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Your debts" state="visible" r:id="rId4"/>
    <sheet sheetId="2" name="Payment plan" state="visible" r:id="rId5"/>
    <sheet sheetId="3" name="Snowball workings" state="visible" r:id="rId6"/>
    <sheet sheetId="4" name="Avalanche workings" state="visible" r:id="rId7"/>
  </sheets>
  <definedNames>
    <definedName name="_xlnm.Print_Titles" localSheetId="1">'Payment plan'!$4:$5</definedName>
  </definedNames>
  <calcPr calcId="171027" fullCalcOnLoad="1"/>
</workbook>
</file>

<file path=xl/sharedStrings.xml><?xml version="1.0" encoding="utf-8"?>
<sst xmlns="http://schemas.openxmlformats.org/spreadsheetml/2006/main" count="93" uniqueCount="55">
  <si>
    <t>Debt snowball spreadsheet</t>
  </si>
  <si>
    <t>Free from Zero Debt. Fill in the yellow cells and everything else updates by itself. Replace the example debts with your own.</t>
  </si>
  <si>
    <t>Prefer not to use a spreadsheet? Try the free online calculator at zero-debt.net</t>
  </si>
  <si>
    <t>#</t>
  </si>
  <si>
    <t>Debt name</t>
  </si>
  <si>
    <t>Balance (£)</t>
  </si>
  <si>
    <t>APR</t>
  </si>
  <si>
    <t>Minimum payment (£)</t>
  </si>
  <si>
    <t>Your results</t>
  </si>
  <si>
    <t>Store card</t>
  </si>
  <si>
    <t/>
  </si>
  <si>
    <t>Snowball</t>
  </si>
  <si>
    <t>Avalanche</t>
  </si>
  <si>
    <t>Overdraft</t>
  </si>
  <si>
    <t>Debt-free in</t>
  </si>
  <si>
    <t>Credit card 1</t>
  </si>
  <si>
    <t>Debt-free date</t>
  </si>
  <si>
    <t>Credit card 2</t>
  </si>
  <si>
    <t>Total interest</t>
  </si>
  <si>
    <t>Total paid</t>
  </si>
  <si>
    <t>Order</t>
  </si>
  <si>
    <t>Debt</t>
  </si>
  <si>
    <t>Paid off</t>
  </si>
  <si>
    <t>Month</t>
  </si>
  <si>
    <t>Total</t>
  </si>
  <si>
    <t>Extra you can pay each month (£)</t>
  </si>
  <si>
    <t>Method</t>
  </si>
  <si>
    <t>First payment month</t>
  </si>
  <si>
    <t>Total paid to debts each month</t>
  </si>
  <si>
    <t>How to use it</t>
  </si>
  <si>
    <t>• Enter each debt: credit cards, loans, overdrafts, buy now pay later. Use the balance, APR and minimum payment from your latest statement.</t>
  </si>
  <si>
    <t>• Add the extra you can afford each month on top of your minimums, even if it is small. The total paid to debts stays the same each month, so when a debt is cleared its payment rolls on to the next.</t>
  </si>
  <si>
    <t>• Choose Snowball (smallest balance first) or Avalanche (highest APR first). The results show both so you can compare.</t>
  </si>
  <si>
    <t>• See the Payment plan sheet for what to pay each debt every month. When a debt is cleared, its payment moves to the next one.</t>
  </si>
  <si>
    <t>• Estimates only. Your lender works out interest daily, so real figures can differ by a few pounds. Promotional 0% rates are not modelled; enter the rate you will pay after the offer ends.</t>
  </si>
  <si>
    <t>• Struggling? Free, confidential debt advice: StepChange (stepchange.org), National Debtline (nationaldebtline.org), Citizens Advice and MoneyHelper.</t>
  </si>
  <si>
    <t>What to pay each debt every month. Change your debts or the method on the Your debts sheet.</t>
  </si>
  <si>
    <t>Total payment</t>
  </si>
  <si>
    <t>Interest</t>
  </si>
  <si>
    <t>Total balance left</t>
  </si>
  <si>
    <t>Payment</t>
  </si>
  <si>
    <t>Balance</t>
  </si>
  <si>
    <t>Snowball workings. Calculated from the Your debts sheet, so there is no need to edit anything here.</t>
  </si>
  <si>
    <t>Debt #</t>
  </si>
  <si>
    <t>Months to debt-free</t>
  </si>
  <si>
    <t>Paid off (month)</t>
  </si>
  <si>
    <t>Starting balance</t>
  </si>
  <si>
    <t>Payoff order</t>
  </si>
  <si>
    <t>Payments too low?</t>
  </si>
  <si>
    <t>Left after minimums</t>
  </si>
  <si>
    <t>Interest this month</t>
  </si>
  <si>
    <t>Total balance</t>
  </si>
  <si>
    <t>Paid this month</t>
  </si>
  <si>
    <t>Over 50 years?</t>
  </si>
  <si>
    <t>Avalanche workings. Calculated from the Your debts sheet, so there is no need to edit anything here.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</si>
</sst>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£#,##0.00"/>
    <numFmt numFmtId="165" formatCode="0.0%"/>
    <numFmt numFmtId="166" formatCode="mmmm yyyy"/>
    <numFmt numFmtId="167" formatCode="mmm yyyy"/>
    <numFmt numFmtId="168" formatCode="£#,##0.00;-£#,##0.00;&quot;–&quot;"/>
  </numFmts>
  <fonts count="13" x14ac:knownFonts="1">
    <font>
      <color theme="1"/>
      <family val="2"/>
      <scheme val="minor"/>
      <sz val="11"/>
      <name val="Calibri"/>
    </font>
    <font>
      <b/>
      <color rgb="FF087F72"/>
      <sz val="18"/>
      <name val="Arial"/>
    </font>
    <font>
      <color rgb="FF5B6B68"/>
      <sz val="10"/>
      <name val="Arial"/>
    </font>
    <font>
      <u/>
      <color rgb="FF087F72"/>
      <sz val="10"/>
      <name val="Arial"/>
    </font>
    <font>
      <b/>
      <color rgb="FFFFFFFF"/>
      <sz val="10"/>
      <name val="Arial"/>
    </font>
    <font>
      <b/>
      <color rgb="FF087F72"/>
      <sz val="13"/>
      <name val="Arial"/>
    </font>
    <font>
      <color rgb="FF1F3FBF"/>
      <sz val="10"/>
      <name val="Arial"/>
    </font>
    <font>
      <b/>
      <sz val="10"/>
      <name val="Arial"/>
    </font>
    <font>
      <sz val="10"/>
      <name val="Arial"/>
    </font>
    <font>
      <b/>
      <color rgb="FFB3261E"/>
      <sz val="10"/>
      <name val="Arial"/>
    </font>
    <font>
      <b/>
      <color rgb="FF087F72"/>
      <sz val="16"/>
      <name val="Arial"/>
    </font>
    <font>
      <color rgb="FFFFFFFF"/>
      <sz val="10"/>
      <name val="Arial"/>
    </font>
    <font>
      <b/>
      <color rgb="FF5B6B68"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087F72"/>
      </patternFill>
    </fill>
    <fill>
      <patternFill patternType="solid">
        <fgColor rgb="FFFFF6D5"/>
      </patternFill>
    </fill>
  </fills>
  <borders count="2">
    <border>
      <left/>
      <right/>
      <top/>
      <bottom/>
      <diagonal/>
    </border>
    <border>
      <left style="thin">
        <color rgb="FFD5DEDC"/>
      </left>
      <right style="thin">
        <color rgb="FFD5DEDC"/>
      </right>
      <top style="thin">
        <color rgb="FFD5DEDC"/>
      </top>
      <bottom style="thin">
        <color rgb="FFD5DED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right" vertical="center" wrapText="1"/>
    </xf>
    <xf numFmtId="0" fontId="5" fillId="0" borderId="0" xfId="0" applyFont="1"/>
    <xf numFmtId="0" fontId="2" fillId="0" borderId="1" xfId="0" applyFont="1" applyBorder="1"/>
    <xf numFmtId="0" fontId="6" fillId="3" borderId="1" xfId="0" applyFont="1" applyFill="1" applyBorder="1" applyAlignment="1">
      <alignment horizontal="left" vertical="center"/>
    </xf>
    <xf numFmtId="164" fontId="6" fillId="3" borderId="1" xfId="0" applyNumberFormat="1" applyFont="1" applyFill="1" applyBorder="1" applyAlignment="1">
      <alignment horizontal="right" vertical="center"/>
    </xf>
    <xf numFmtId="165" fontId="6" fillId="3" borderId="1" xfId="0" applyNumberFormat="1" applyFont="1" applyFill="1" applyBorder="1" applyAlignment="1">
      <alignment horizontal="right" vertical="center"/>
    </xf>
    <xf numFmtId="0" fontId="7" fillId="0" borderId="1" xfId="0" applyFont="1" applyBorder="1"/>
    <xf numFmtId="0" fontId="8" fillId="0" borderId="1" xfId="0" applyFont="1" applyBorder="1" applyAlignment="1">
      <alignment horizontal="right" vertical="center"/>
    </xf>
    <xf numFmtId="166" fontId="8" fillId="0" borderId="1" xfId="0" applyNumberFormat="1" applyFont="1" applyBorder="1" applyAlignment="1">
      <alignment horizontal="right" vertical="center"/>
    </xf>
    <xf numFmtId="164" fontId="8" fillId="0" borderId="1" xfId="0" applyNumberFormat="1" applyFont="1" applyBorder="1" applyAlignment="1">
      <alignment horizontal="right" vertical="center"/>
    </xf>
    <xf numFmtId="0" fontId="9" fillId="0" borderId="0" xfId="0" applyFont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8" fillId="0" borderId="1" xfId="0" applyFont="1" applyBorder="1"/>
    <xf numFmtId="164" fontId="7" fillId="0" borderId="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167" fontId="8" fillId="0" borderId="1" xfId="0" applyNumberFormat="1" applyFont="1" applyBorder="1" applyAlignment="1">
      <alignment horizontal="right" vertical="center"/>
    </xf>
    <xf numFmtId="0" fontId="7" fillId="0" borderId="0" xfId="0" applyFont="1"/>
    <xf numFmtId="0" fontId="6" fillId="3" borderId="1" xfId="0" applyFont="1" applyFill="1" applyBorder="1" applyAlignment="1">
      <alignment horizontal="right" vertical="center"/>
    </xf>
    <xf numFmtId="167" fontId="6" fillId="3" borderId="1" xfId="0" applyNumberFormat="1" applyFont="1" applyFill="1" applyBorder="1" applyAlignment="1">
      <alignment horizontal="right" vertical="center"/>
    </xf>
    <xf numFmtId="0" fontId="8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10" fillId="0" borderId="0" xfId="0" applyFont="1"/>
    <xf numFmtId="0" fontId="11" fillId="0" borderId="0" xfId="0" applyFont="1"/>
    <xf numFmtId="167" fontId="8" fillId="0" borderId="0" xfId="0" applyNumberFormat="1" applyFont="1"/>
    <xf numFmtId="168" fontId="8" fillId="0" borderId="0" xfId="0" applyNumberFormat="1" applyFont="1" applyAlignment="1">
      <alignment horizontal="right" vertical="center"/>
    </xf>
    <xf numFmtId="168" fontId="2" fillId="0" borderId="0" xfId="0" applyNumberFormat="1" applyFont="1" applyAlignment="1">
      <alignment horizontal="right" vertical="center"/>
    </xf>
    <xf numFmtId="0" fontId="12" fillId="0" borderId="0" xfId="0" applyFont="1"/>
    <xf numFmtId="165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12">
    <dxf>
      <font>
        <b/>
      </font>
      <fill>
        <patternFill patternType="solid">
          <bgColor rgb="FFE3F3F0"/>
        </patternFill>
      </fill>
    </dxf>
    <dxf>
      <font>
        <b/>
      </font>
      <fill>
        <patternFill patternType="solid">
          <bgColor rgb="FFE3F3F0"/>
        </patternFill>
      </fill>
    </dxf>
    <dxf>
      <font>
        <b/>
        <color rgb="FF087F72"/>
      </font>
      <fill>
        <patternFill patternType="solid">
          <bgColor rgb="FFE3F3F0"/>
        </patternFill>
      </fill>
    </dxf>
    <dxf>
      <font>
        <b/>
        <color rgb="FF087F72"/>
      </font>
      <fill>
        <patternFill patternType="solid">
          <bgColor rgb="FFE3F3F0"/>
        </patternFill>
      </fill>
    </dxf>
    <dxf>
      <font>
        <b/>
        <color rgb="FF087F72"/>
      </font>
      <fill>
        <patternFill patternType="solid">
          <bgColor rgb="FFE3F3F0"/>
        </patternFill>
      </fill>
    </dxf>
    <dxf>
      <font>
        <b/>
        <color rgb="FF087F72"/>
      </font>
      <fill>
        <patternFill patternType="solid">
          <bgColor rgb="FFE3F3F0"/>
        </patternFill>
      </fill>
    </dxf>
    <dxf>
      <font>
        <b/>
        <color rgb="FF087F72"/>
      </font>
      <fill>
        <patternFill patternType="solid">
          <bgColor rgb="FFE3F3F0"/>
        </patternFill>
      </fill>
    </dxf>
    <dxf>
      <font>
        <b/>
        <color rgb="FF087F72"/>
      </font>
      <fill>
        <patternFill patternType="solid">
          <bgColor rgb="FFE3F3F0"/>
        </patternFill>
      </fill>
    </dxf>
    <dxf>
      <font>
        <b/>
        <color rgb="FF087F72"/>
      </font>
      <fill>
        <patternFill patternType="solid">
          <bgColor rgb="FFE3F3F0"/>
        </patternFill>
      </fill>
    </dxf>
    <dxf>
      <font>
        <b/>
        <color rgb="FF087F72"/>
      </font>
      <fill>
        <patternFill patternType="solid">
          <bgColor rgb="FFE3F3F0"/>
        </patternFill>
      </fill>
    </dxf>
    <dxf>
      <font>
        <b/>
        <color rgb="FF087F72"/>
      </font>
      <fill>
        <patternFill patternType="solid">
          <bgColor rgb="FFE3F3F0"/>
        </patternFill>
      </fill>
    </dxf>
    <dxf>
      <font>
        <b/>
        <color rgb="FF087F72"/>
      </font>
      <fill>
        <patternFill patternType="solid">
          <bgColor rgb="FFE3F3F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zero-debt.net/debt-snowball-calculato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87F72"/>
    <pageSetUpPr fitToPage="1"/>
  </sheetPr>
  <dimension ref="A1:J30"/>
  <sheetViews>
    <sheetView workbookViewId="0" showGridLines="0"/>
  </sheetViews>
  <sheetFormatPr defaultRowHeight="15" outlineLevelRow="0" outlineLevelCol="0" x14ac:dyDescent="55"/>
  <cols>
    <col min="1" max="1" width="4" customWidth="1"/>
    <col min="2" max="2" width="24" customWidth="1"/>
    <col min="3" max="3" width="14" customWidth="1"/>
    <col min="4" max="4" width="12" customWidth="1"/>
    <col min="5" max="5" width="16" customWidth="1"/>
    <col min="6" max="6" width="4" customWidth="1"/>
    <col min="7" max="7" width="22" customWidth="1"/>
    <col min="8" max="9" width="20" customWidth="1"/>
    <col min="10" max="10" width="14" customWidth="1"/>
  </cols>
  <sheetData>
    <row r="1" ht="28" customHeight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ht="30" customHeight="1" spans="1:7" x14ac:dyDescent="0.25">
      <c r="A5" s="4" t="s">
        <v>3</v>
      </c>
      <c r="B5" s="4" t="s">
        <v>4</v>
      </c>
      <c r="C5" s="5" t="s">
        <v>5</v>
      </c>
      <c r="D5" s="5" t="s">
        <v>6</v>
      </c>
      <c r="E5" s="5" t="s">
        <v>7</v>
      </c>
      <c r="G5" s="6" t="s">
        <v>8</v>
      </c>
    </row>
    <row r="6" spans="1:9" x14ac:dyDescent="0.25">
      <c r="A6" s="7">
        <v>1</v>
      </c>
      <c r="B6" s="8" t="s">
        <v>9</v>
      </c>
      <c r="C6" s="9">
        <v>400</v>
      </c>
      <c r="D6" s="10">
        <v>0.299</v>
      </c>
      <c r="E6" s="9">
        <v>25</v>
      </c>
      <c r="G6" s="4" t="s">
        <v>10</v>
      </c>
      <c r="H6" s="5" t="s">
        <v>11</v>
      </c>
      <c r="I6" s="5" t="s">
        <v>12</v>
      </c>
    </row>
    <row r="7" spans="1:9" x14ac:dyDescent="0.25">
      <c r="A7" s="7">
        <v>2</v>
      </c>
      <c r="B7" s="8" t="s">
        <v>13</v>
      </c>
      <c r="C7" s="9">
        <v>900</v>
      </c>
      <c r="D7" s="10">
        <v>0.39899999999999997</v>
      </c>
      <c r="E7" s="9">
        <v>40</v>
      </c>
      <c r="G7" s="11" t="s">
        <v>14</v>
      </c>
      <c r="H7" s="12">
        <f>IF('Snowball workings'!$BH$2="","Over 50 years",'Snowball workings'!$BH$2&amp;IF('Snowball workings'!$BH$2=1," month"," months"))</f>
      </c>
      <c r="I7" s="12">
        <f>IF('Avalanche workings'!$BH$2="","Over 50 years",'Avalanche workings'!$BH$2&amp;IF('Avalanche workings'!$BH$2=1," month"," months"))</f>
      </c>
    </row>
    <row r="8" spans="1:9" x14ac:dyDescent="0.25">
      <c r="A8" s="7">
        <v>3</v>
      </c>
      <c r="B8" s="8" t="s">
        <v>15</v>
      </c>
      <c r="C8" s="9">
        <v>2400</v>
      </c>
      <c r="D8" s="10">
        <v>0.249</v>
      </c>
      <c r="E8" s="9">
        <v>75</v>
      </c>
      <c r="G8" s="11" t="s">
        <v>16</v>
      </c>
      <c r="H8" s="13">
        <f>IF('Snowball workings'!$BH$2="","",EDATE($D$21,'Snowball workings'!$BH$2-1))</f>
      </c>
      <c r="I8" s="13">
        <f>IF('Avalanche workings'!$BH$2="","",EDATE($D$21,'Avalanche workings'!$BH$2-1))</f>
      </c>
    </row>
    <row r="9" spans="1:9" x14ac:dyDescent="0.25">
      <c r="A9" s="7">
        <v>4</v>
      </c>
      <c r="B9" s="8" t="s">
        <v>17</v>
      </c>
      <c r="C9" s="9">
        <v>4300</v>
      </c>
      <c r="D9" s="10">
        <v>0.21899999999999997</v>
      </c>
      <c r="E9" s="9">
        <v>120</v>
      </c>
      <c r="G9" s="11" t="s">
        <v>18</v>
      </c>
      <c r="H9" s="14">
        <f>'Snowball workings'!$BH$3</f>
      </c>
      <c r="I9" s="14">
        <f>'Avalanche workings'!$BH$3</f>
      </c>
    </row>
    <row r="10" spans="1:9" x14ac:dyDescent="0.25">
      <c r="A10" s="7">
        <v>5</v>
      </c>
      <c r="B10" s="8"/>
      <c r="C10" s="9"/>
      <c r="D10" s="10"/>
      <c r="E10" s="9"/>
      <c r="G10" s="11" t="s">
        <v>19</v>
      </c>
      <c r="H10" s="14">
        <f>'Snowball workings'!$BH$4+'Snowball workings'!$BH$3</f>
      </c>
      <c r="I10" s="14">
        <f>'Avalanche workings'!$BH$4+'Avalanche workings'!$BH$3</f>
      </c>
    </row>
    <row r="11" spans="1:10" x14ac:dyDescent="0.25">
      <c r="A11" s="7">
        <v>6</v>
      </c>
      <c r="B11" s="8"/>
      <c r="C11" s="9"/>
      <c r="D11" s="10"/>
      <c r="E11" s="9"/>
      <c r="G11" s="15">
        <f>IF(OR('Snowball workings'!$BH$5,'Avalanche workings'!$BH$5),"Your payments do not cover the interest, so the balance grows. Increase your minimums or the extra payment.",IF(OR('Snowball workings'!$BH$6,'Avalanche workings'!$BH$6),"At these payments it takes more than 50 years. Try a larger extra payment.",""))</f>
      </c>
      <c r="H11" s="15"/>
      <c r="I11" s="15"/>
      <c r="J11" s="15"/>
    </row>
    <row r="12" spans="1:10" x14ac:dyDescent="0.25">
      <c r="A12" s="7">
        <v>7</v>
      </c>
      <c r="B12" s="8"/>
      <c r="C12" s="9"/>
      <c r="D12" s="10"/>
      <c r="E12" s="9"/>
      <c r="G12" s="15"/>
      <c r="H12" s="15"/>
      <c r="I12" s="15"/>
      <c r="J12" s="15"/>
    </row>
    <row r="13" spans="1:5" x14ac:dyDescent="0.25">
      <c r="A13" s="7">
        <v>8</v>
      </c>
      <c r="B13" s="8"/>
      <c r="C13" s="9"/>
      <c r="D13" s="10"/>
      <c r="E13" s="9"/>
    </row>
    <row r="14" spans="1:7" x14ac:dyDescent="0.25">
      <c r="A14" s="7">
        <v>9</v>
      </c>
      <c r="B14" s="8"/>
      <c r="C14" s="9"/>
      <c r="D14" s="10"/>
      <c r="E14" s="9"/>
      <c r="G14" s="6">
        <f>"Payoff order: "&amp;IF($D$20="Avalanche","avalanche","snowball")</f>
      </c>
    </row>
    <row r="15" spans="1:10" x14ac:dyDescent="0.25">
      <c r="A15" s="7">
        <v>10</v>
      </c>
      <c r="B15" s="8"/>
      <c r="C15" s="9"/>
      <c r="D15" s="10"/>
      <c r="E15" s="9"/>
      <c r="G15" s="16" t="s">
        <v>20</v>
      </c>
      <c r="H15" s="4" t="s">
        <v>21</v>
      </c>
      <c r="I15" s="5" t="s">
        <v>22</v>
      </c>
      <c r="J15" s="5" t="s">
        <v>23</v>
      </c>
    </row>
    <row r="16" spans="1:10" x14ac:dyDescent="0.25">
      <c r="A16" s="17"/>
      <c r="B16" s="11" t="s">
        <v>24</v>
      </c>
      <c r="C16" s="18">
        <f>SUM(C6:C15)</f>
      </c>
      <c r="D16" s="17"/>
      <c r="E16" s="18">
        <f>SUM(E6:E15)</f>
      </c>
      <c r="G16" s="19">
        <f>IF(ISERROR(IF($D$20="Avalanche",MATCH(1,'Avalanche workings'!$AP$5:$AY$5,0),MATCH(1,'Snowball workings'!$AP$5:$AY$5,0))),"",1)</f>
      </c>
      <c r="H16" s="17">
        <f>IFERROR(IF(INDEX($B$6:$B$15,IF($D$20="Avalanche",MATCH(1,'Avalanche workings'!$AP$5:$AY$5,0),MATCH(1,'Snowball workings'!$AP$5:$AY$5,0)))="","Debt "&amp;IF($D$20="Avalanche",MATCH(1,'Avalanche workings'!$AP$5:$AY$5,0),MATCH(1,'Snowball workings'!$AP$5:$AY$5,0)),INDEX($B$6:$B$15,IF($D$20="Avalanche",MATCH(1,'Avalanche workings'!$AP$5:$AY$5,0),MATCH(1,'Snowball workings'!$AP$5:$AY$5,0)))),"")</f>
      </c>
      <c r="I16" s="20">
        <f>IFERROR(EDATE($D$21,IF($D$20="Avalanche",INDEX('Avalanche workings'!$AP$4:$AY$4,1,IF($D$20="Avalanche",MATCH(1,'Avalanche workings'!$AP$5:$AY$5,0),MATCH(1,'Snowball workings'!$AP$5:$AY$5,0))),INDEX('Snowball workings'!$AP$4:$AY$4,1,IF($D$20="Avalanche",MATCH(1,'Avalanche workings'!$AP$5:$AY$5,0),MATCH(1,'Snowball workings'!$AP$5:$AY$5,0))))-1),"")</f>
      </c>
      <c r="J16" s="12">
        <f>IFERROR(IF($D$20="Avalanche",INDEX('Avalanche workings'!$AP$4:$AY$4,1,IF($D$20="Avalanche",MATCH(1,'Avalanche workings'!$AP$5:$AY$5,0),MATCH(1,'Snowball workings'!$AP$5:$AY$5,0))),INDEX('Snowball workings'!$AP$4:$AY$4,1,IF($D$20="Avalanche",MATCH(1,'Avalanche workings'!$AP$5:$AY$5,0),MATCH(1,'Snowball workings'!$AP$5:$AY$5,0)))),"")</f>
      </c>
    </row>
    <row r="17" spans="7:10" x14ac:dyDescent="0.25">
      <c r="G17" s="19">
        <f>IF(ISERROR(IF($D$20="Avalanche",MATCH(2,'Avalanche workings'!$AP$5:$AY$5,0),MATCH(2,'Snowball workings'!$AP$5:$AY$5,0))),"",2)</f>
      </c>
      <c r="H17" s="17">
        <f>IFERROR(IF(INDEX($B$6:$B$15,IF($D$20="Avalanche",MATCH(2,'Avalanche workings'!$AP$5:$AY$5,0),MATCH(2,'Snowball workings'!$AP$5:$AY$5,0)))="","Debt "&amp;IF($D$20="Avalanche",MATCH(2,'Avalanche workings'!$AP$5:$AY$5,0),MATCH(2,'Snowball workings'!$AP$5:$AY$5,0)),INDEX($B$6:$B$15,IF($D$20="Avalanche",MATCH(2,'Avalanche workings'!$AP$5:$AY$5,0),MATCH(2,'Snowball workings'!$AP$5:$AY$5,0)))),"")</f>
      </c>
      <c r="I17" s="20">
        <f>IFERROR(EDATE($D$21,IF($D$20="Avalanche",INDEX('Avalanche workings'!$AP$4:$AY$4,1,IF($D$20="Avalanche",MATCH(2,'Avalanche workings'!$AP$5:$AY$5,0),MATCH(2,'Snowball workings'!$AP$5:$AY$5,0))),INDEX('Snowball workings'!$AP$4:$AY$4,1,IF($D$20="Avalanche",MATCH(2,'Avalanche workings'!$AP$5:$AY$5,0),MATCH(2,'Snowball workings'!$AP$5:$AY$5,0))))-1),"")</f>
      </c>
      <c r="J17" s="12">
        <f>IFERROR(IF($D$20="Avalanche",INDEX('Avalanche workings'!$AP$4:$AY$4,1,IF($D$20="Avalanche",MATCH(2,'Avalanche workings'!$AP$5:$AY$5,0),MATCH(2,'Snowball workings'!$AP$5:$AY$5,0))),INDEX('Snowball workings'!$AP$4:$AY$4,1,IF($D$20="Avalanche",MATCH(2,'Avalanche workings'!$AP$5:$AY$5,0),MATCH(2,'Snowball workings'!$AP$5:$AY$5,0)))),"")</f>
      </c>
    </row>
    <row r="18" spans="7:10" x14ac:dyDescent="0.25">
      <c r="G18" s="19">
        <f>IF(ISERROR(IF($D$20="Avalanche",MATCH(3,'Avalanche workings'!$AP$5:$AY$5,0),MATCH(3,'Snowball workings'!$AP$5:$AY$5,0))),"",3)</f>
      </c>
      <c r="H18" s="17">
        <f>IFERROR(IF(INDEX($B$6:$B$15,IF($D$20="Avalanche",MATCH(3,'Avalanche workings'!$AP$5:$AY$5,0),MATCH(3,'Snowball workings'!$AP$5:$AY$5,0)))="","Debt "&amp;IF($D$20="Avalanche",MATCH(3,'Avalanche workings'!$AP$5:$AY$5,0),MATCH(3,'Snowball workings'!$AP$5:$AY$5,0)),INDEX($B$6:$B$15,IF($D$20="Avalanche",MATCH(3,'Avalanche workings'!$AP$5:$AY$5,0),MATCH(3,'Snowball workings'!$AP$5:$AY$5,0)))),"")</f>
      </c>
      <c r="I18" s="20">
        <f>IFERROR(EDATE($D$21,IF($D$20="Avalanche",INDEX('Avalanche workings'!$AP$4:$AY$4,1,IF($D$20="Avalanche",MATCH(3,'Avalanche workings'!$AP$5:$AY$5,0),MATCH(3,'Snowball workings'!$AP$5:$AY$5,0))),INDEX('Snowball workings'!$AP$4:$AY$4,1,IF($D$20="Avalanche",MATCH(3,'Avalanche workings'!$AP$5:$AY$5,0),MATCH(3,'Snowball workings'!$AP$5:$AY$5,0))))-1),"")</f>
      </c>
      <c r="J18" s="12">
        <f>IFERROR(IF($D$20="Avalanche",INDEX('Avalanche workings'!$AP$4:$AY$4,1,IF($D$20="Avalanche",MATCH(3,'Avalanche workings'!$AP$5:$AY$5,0),MATCH(3,'Snowball workings'!$AP$5:$AY$5,0))),INDEX('Snowball workings'!$AP$4:$AY$4,1,IF($D$20="Avalanche",MATCH(3,'Avalanche workings'!$AP$5:$AY$5,0),MATCH(3,'Snowball workings'!$AP$5:$AY$5,0)))),"")</f>
      </c>
    </row>
    <row r="19" spans="1:10" x14ac:dyDescent="0.25">
      <c r="A19" s="21" t="s">
        <v>25</v>
      </c>
      <c r="B19" s="21"/>
      <c r="C19" s="21"/>
      <c r="D19" s="9">
        <v>150</v>
      </c>
      <c r="G19" s="19">
        <f>IF(ISERROR(IF($D$20="Avalanche",MATCH(4,'Avalanche workings'!$AP$5:$AY$5,0),MATCH(4,'Snowball workings'!$AP$5:$AY$5,0))),"",4)</f>
      </c>
      <c r="H19" s="17">
        <f>IFERROR(IF(INDEX($B$6:$B$15,IF($D$20="Avalanche",MATCH(4,'Avalanche workings'!$AP$5:$AY$5,0),MATCH(4,'Snowball workings'!$AP$5:$AY$5,0)))="","Debt "&amp;IF($D$20="Avalanche",MATCH(4,'Avalanche workings'!$AP$5:$AY$5,0),MATCH(4,'Snowball workings'!$AP$5:$AY$5,0)),INDEX($B$6:$B$15,IF($D$20="Avalanche",MATCH(4,'Avalanche workings'!$AP$5:$AY$5,0),MATCH(4,'Snowball workings'!$AP$5:$AY$5,0)))),"")</f>
      </c>
      <c r="I19" s="20">
        <f>IFERROR(EDATE($D$21,IF($D$20="Avalanche",INDEX('Avalanche workings'!$AP$4:$AY$4,1,IF($D$20="Avalanche",MATCH(4,'Avalanche workings'!$AP$5:$AY$5,0),MATCH(4,'Snowball workings'!$AP$5:$AY$5,0))),INDEX('Snowball workings'!$AP$4:$AY$4,1,IF($D$20="Avalanche",MATCH(4,'Avalanche workings'!$AP$5:$AY$5,0),MATCH(4,'Snowball workings'!$AP$5:$AY$5,0))))-1),"")</f>
      </c>
      <c r="J19" s="12">
        <f>IFERROR(IF($D$20="Avalanche",INDEX('Avalanche workings'!$AP$4:$AY$4,1,IF($D$20="Avalanche",MATCH(4,'Avalanche workings'!$AP$5:$AY$5,0),MATCH(4,'Snowball workings'!$AP$5:$AY$5,0))),INDEX('Snowball workings'!$AP$4:$AY$4,1,IF($D$20="Avalanche",MATCH(4,'Avalanche workings'!$AP$5:$AY$5,0),MATCH(4,'Snowball workings'!$AP$5:$AY$5,0)))),"")</f>
      </c>
    </row>
    <row r="20" spans="1:10" x14ac:dyDescent="0.25">
      <c r="A20" s="21" t="s">
        <v>26</v>
      </c>
      <c r="B20" s="21"/>
      <c r="C20" s="21"/>
      <c r="D20" s="22" t="s">
        <v>11</v>
      </c>
      <c r="G20" s="19">
        <f>IF(ISERROR(IF($D$20="Avalanche",MATCH(5,'Avalanche workings'!$AP$5:$AY$5,0),MATCH(5,'Snowball workings'!$AP$5:$AY$5,0))),"",5)</f>
      </c>
      <c r="H20" s="17">
        <f>IFERROR(IF(INDEX($B$6:$B$15,IF($D$20="Avalanche",MATCH(5,'Avalanche workings'!$AP$5:$AY$5,0),MATCH(5,'Snowball workings'!$AP$5:$AY$5,0)))="","Debt "&amp;IF($D$20="Avalanche",MATCH(5,'Avalanche workings'!$AP$5:$AY$5,0),MATCH(5,'Snowball workings'!$AP$5:$AY$5,0)),INDEX($B$6:$B$15,IF($D$20="Avalanche",MATCH(5,'Avalanche workings'!$AP$5:$AY$5,0),MATCH(5,'Snowball workings'!$AP$5:$AY$5,0)))),"")</f>
      </c>
      <c r="I20" s="20">
        <f>IFERROR(EDATE($D$21,IF($D$20="Avalanche",INDEX('Avalanche workings'!$AP$4:$AY$4,1,IF($D$20="Avalanche",MATCH(5,'Avalanche workings'!$AP$5:$AY$5,0),MATCH(5,'Snowball workings'!$AP$5:$AY$5,0))),INDEX('Snowball workings'!$AP$4:$AY$4,1,IF($D$20="Avalanche",MATCH(5,'Avalanche workings'!$AP$5:$AY$5,0),MATCH(5,'Snowball workings'!$AP$5:$AY$5,0))))-1),"")</f>
      </c>
      <c r="J20" s="12">
        <f>IFERROR(IF($D$20="Avalanche",INDEX('Avalanche workings'!$AP$4:$AY$4,1,IF($D$20="Avalanche",MATCH(5,'Avalanche workings'!$AP$5:$AY$5,0),MATCH(5,'Snowball workings'!$AP$5:$AY$5,0))),INDEX('Snowball workings'!$AP$4:$AY$4,1,IF($D$20="Avalanche",MATCH(5,'Avalanche workings'!$AP$5:$AY$5,0),MATCH(5,'Snowball workings'!$AP$5:$AY$5,0)))),"")</f>
      </c>
    </row>
    <row r="21" spans="1:10" x14ac:dyDescent="0.25">
      <c r="A21" s="21" t="s">
        <v>27</v>
      </c>
      <c r="B21" s="21"/>
      <c r="C21" s="21"/>
      <c r="D21" s="23">
        <f>DATE(YEAR(TODAY()),MONTH(TODAY())+1,1)</f>
      </c>
      <c r="G21" s="19">
        <f>IF(ISERROR(IF($D$20="Avalanche",MATCH(6,'Avalanche workings'!$AP$5:$AY$5,0),MATCH(6,'Snowball workings'!$AP$5:$AY$5,0))),"",6)</f>
      </c>
      <c r="H21" s="17">
        <f>IFERROR(IF(INDEX($B$6:$B$15,IF($D$20="Avalanche",MATCH(6,'Avalanche workings'!$AP$5:$AY$5,0),MATCH(6,'Snowball workings'!$AP$5:$AY$5,0)))="","Debt "&amp;IF($D$20="Avalanche",MATCH(6,'Avalanche workings'!$AP$5:$AY$5,0),MATCH(6,'Snowball workings'!$AP$5:$AY$5,0)),INDEX($B$6:$B$15,IF($D$20="Avalanche",MATCH(6,'Avalanche workings'!$AP$5:$AY$5,0),MATCH(6,'Snowball workings'!$AP$5:$AY$5,0)))),"")</f>
      </c>
      <c r="I21" s="20">
        <f>IFERROR(EDATE($D$21,IF($D$20="Avalanche",INDEX('Avalanche workings'!$AP$4:$AY$4,1,IF($D$20="Avalanche",MATCH(6,'Avalanche workings'!$AP$5:$AY$5,0),MATCH(6,'Snowball workings'!$AP$5:$AY$5,0))),INDEX('Snowball workings'!$AP$4:$AY$4,1,IF($D$20="Avalanche",MATCH(6,'Avalanche workings'!$AP$5:$AY$5,0),MATCH(6,'Snowball workings'!$AP$5:$AY$5,0))))-1),"")</f>
      </c>
      <c r="J21" s="12">
        <f>IFERROR(IF($D$20="Avalanche",INDEX('Avalanche workings'!$AP$4:$AY$4,1,IF($D$20="Avalanche",MATCH(6,'Avalanche workings'!$AP$5:$AY$5,0),MATCH(6,'Snowball workings'!$AP$5:$AY$5,0))),INDEX('Snowball workings'!$AP$4:$AY$4,1,IF($D$20="Avalanche",MATCH(6,'Avalanche workings'!$AP$5:$AY$5,0),MATCH(6,'Snowball workings'!$AP$5:$AY$5,0)))),"")</f>
      </c>
    </row>
    <row r="22" spans="1:10" x14ac:dyDescent="0.25">
      <c r="A22" s="21" t="s">
        <v>28</v>
      </c>
      <c r="B22" s="21"/>
      <c r="C22" s="21"/>
      <c r="D22" s="18">
        <f>SUMIF(C6:C15,"&gt;0",E6:E15)+N(D19)</f>
      </c>
      <c r="G22" s="19">
        <f>IF(ISERROR(IF($D$20="Avalanche",MATCH(7,'Avalanche workings'!$AP$5:$AY$5,0),MATCH(7,'Snowball workings'!$AP$5:$AY$5,0))),"",7)</f>
      </c>
      <c r="H22" s="17">
        <f>IFERROR(IF(INDEX($B$6:$B$15,IF($D$20="Avalanche",MATCH(7,'Avalanche workings'!$AP$5:$AY$5,0),MATCH(7,'Snowball workings'!$AP$5:$AY$5,0)))="","Debt "&amp;IF($D$20="Avalanche",MATCH(7,'Avalanche workings'!$AP$5:$AY$5,0),MATCH(7,'Snowball workings'!$AP$5:$AY$5,0)),INDEX($B$6:$B$15,IF($D$20="Avalanche",MATCH(7,'Avalanche workings'!$AP$5:$AY$5,0),MATCH(7,'Snowball workings'!$AP$5:$AY$5,0)))),"")</f>
      </c>
      <c r="I22" s="20">
        <f>IFERROR(EDATE($D$21,IF($D$20="Avalanche",INDEX('Avalanche workings'!$AP$4:$AY$4,1,IF($D$20="Avalanche",MATCH(7,'Avalanche workings'!$AP$5:$AY$5,0),MATCH(7,'Snowball workings'!$AP$5:$AY$5,0))),INDEX('Snowball workings'!$AP$4:$AY$4,1,IF($D$20="Avalanche",MATCH(7,'Avalanche workings'!$AP$5:$AY$5,0),MATCH(7,'Snowball workings'!$AP$5:$AY$5,0))))-1),"")</f>
      </c>
      <c r="J22" s="12">
        <f>IFERROR(IF($D$20="Avalanche",INDEX('Avalanche workings'!$AP$4:$AY$4,1,IF($D$20="Avalanche",MATCH(7,'Avalanche workings'!$AP$5:$AY$5,0),MATCH(7,'Snowball workings'!$AP$5:$AY$5,0))),INDEX('Snowball workings'!$AP$4:$AY$4,1,IF($D$20="Avalanche",MATCH(7,'Avalanche workings'!$AP$5:$AY$5,0),MATCH(7,'Snowball workings'!$AP$5:$AY$5,0)))),"")</f>
      </c>
    </row>
    <row r="23" spans="7:10" x14ac:dyDescent="0.25">
      <c r="G23" s="19">
        <f>IF(ISERROR(IF($D$20="Avalanche",MATCH(8,'Avalanche workings'!$AP$5:$AY$5,0),MATCH(8,'Snowball workings'!$AP$5:$AY$5,0))),"",8)</f>
      </c>
      <c r="H23" s="17">
        <f>IFERROR(IF(INDEX($B$6:$B$15,IF($D$20="Avalanche",MATCH(8,'Avalanche workings'!$AP$5:$AY$5,0),MATCH(8,'Snowball workings'!$AP$5:$AY$5,0)))="","Debt "&amp;IF($D$20="Avalanche",MATCH(8,'Avalanche workings'!$AP$5:$AY$5,0),MATCH(8,'Snowball workings'!$AP$5:$AY$5,0)),INDEX($B$6:$B$15,IF($D$20="Avalanche",MATCH(8,'Avalanche workings'!$AP$5:$AY$5,0),MATCH(8,'Snowball workings'!$AP$5:$AY$5,0)))),"")</f>
      </c>
      <c r="I23" s="20">
        <f>IFERROR(EDATE($D$21,IF($D$20="Avalanche",INDEX('Avalanche workings'!$AP$4:$AY$4,1,IF($D$20="Avalanche",MATCH(8,'Avalanche workings'!$AP$5:$AY$5,0),MATCH(8,'Snowball workings'!$AP$5:$AY$5,0))),INDEX('Snowball workings'!$AP$4:$AY$4,1,IF($D$20="Avalanche",MATCH(8,'Avalanche workings'!$AP$5:$AY$5,0),MATCH(8,'Snowball workings'!$AP$5:$AY$5,0))))-1),"")</f>
      </c>
      <c r="J23" s="12">
        <f>IFERROR(IF($D$20="Avalanche",INDEX('Avalanche workings'!$AP$4:$AY$4,1,IF($D$20="Avalanche",MATCH(8,'Avalanche workings'!$AP$5:$AY$5,0),MATCH(8,'Snowball workings'!$AP$5:$AY$5,0))),INDEX('Snowball workings'!$AP$4:$AY$4,1,IF($D$20="Avalanche",MATCH(8,'Avalanche workings'!$AP$5:$AY$5,0),MATCH(8,'Snowball workings'!$AP$5:$AY$5,0)))),"")</f>
      </c>
    </row>
    <row r="24" spans="1:10" x14ac:dyDescent="0.25">
      <c r="A24" s="6" t="s">
        <v>29</v>
      </c>
      <c r="G24" s="19">
        <f>IF(ISERROR(IF($D$20="Avalanche",MATCH(9,'Avalanche workings'!$AP$5:$AY$5,0),MATCH(9,'Snowball workings'!$AP$5:$AY$5,0))),"",9)</f>
      </c>
      <c r="H24" s="17">
        <f>IFERROR(IF(INDEX($B$6:$B$15,IF($D$20="Avalanche",MATCH(9,'Avalanche workings'!$AP$5:$AY$5,0),MATCH(9,'Snowball workings'!$AP$5:$AY$5,0)))="","Debt "&amp;IF($D$20="Avalanche",MATCH(9,'Avalanche workings'!$AP$5:$AY$5,0),MATCH(9,'Snowball workings'!$AP$5:$AY$5,0)),INDEX($B$6:$B$15,IF($D$20="Avalanche",MATCH(9,'Avalanche workings'!$AP$5:$AY$5,0),MATCH(9,'Snowball workings'!$AP$5:$AY$5,0)))),"")</f>
      </c>
      <c r="I24" s="20">
        <f>IFERROR(EDATE($D$21,IF($D$20="Avalanche",INDEX('Avalanche workings'!$AP$4:$AY$4,1,IF($D$20="Avalanche",MATCH(9,'Avalanche workings'!$AP$5:$AY$5,0),MATCH(9,'Snowball workings'!$AP$5:$AY$5,0))),INDEX('Snowball workings'!$AP$4:$AY$4,1,IF($D$20="Avalanche",MATCH(9,'Avalanche workings'!$AP$5:$AY$5,0),MATCH(9,'Snowball workings'!$AP$5:$AY$5,0))))-1),"")</f>
      </c>
      <c r="J24" s="12">
        <f>IFERROR(IF($D$20="Avalanche",INDEX('Avalanche workings'!$AP$4:$AY$4,1,IF($D$20="Avalanche",MATCH(9,'Avalanche workings'!$AP$5:$AY$5,0),MATCH(9,'Snowball workings'!$AP$5:$AY$5,0))),INDEX('Snowball workings'!$AP$4:$AY$4,1,IF($D$20="Avalanche",MATCH(9,'Avalanche workings'!$AP$5:$AY$5,0),MATCH(9,'Snowball workings'!$AP$5:$AY$5,0)))),"")</f>
      </c>
    </row>
    <row r="25" ht="28" customHeight="1" spans="1:10" x14ac:dyDescent="0.25">
      <c r="A25" s="24" t="s">
        <v>30</v>
      </c>
      <c r="B25" s="24"/>
      <c r="C25" s="24"/>
      <c r="D25" s="24"/>
      <c r="E25" s="24"/>
      <c r="F25" s="24"/>
      <c r="G25" s="24"/>
      <c r="H25" s="24"/>
      <c r="I25" s="24"/>
      <c r="J25" s="24"/>
    </row>
    <row r="26" ht="28" customHeight="1" spans="1:10" x14ac:dyDescent="0.25">
      <c r="A26" s="24" t="s">
        <v>31</v>
      </c>
      <c r="B26" s="24"/>
      <c r="C26" s="24"/>
      <c r="D26" s="24"/>
      <c r="E26" s="24"/>
      <c r="F26" s="24"/>
      <c r="G26" s="24"/>
      <c r="H26" s="24"/>
      <c r="I26" s="24"/>
      <c r="J26" s="24"/>
    </row>
    <row r="27" ht="28" customHeight="1" spans="1:10" x14ac:dyDescent="0.25">
      <c r="A27" s="24" t="s">
        <v>32</v>
      </c>
      <c r="B27" s="24"/>
      <c r="C27" s="24"/>
      <c r="D27" s="24"/>
      <c r="E27" s="24"/>
      <c r="F27" s="24"/>
      <c r="G27" s="24"/>
      <c r="H27" s="24"/>
      <c r="I27" s="24"/>
      <c r="J27" s="24"/>
    </row>
    <row r="28" ht="28" customHeight="1" spans="1:10" x14ac:dyDescent="0.25">
      <c r="A28" s="24" t="s">
        <v>33</v>
      </c>
      <c r="B28" s="24"/>
      <c r="C28" s="24"/>
      <c r="D28" s="24"/>
      <c r="E28" s="24"/>
      <c r="F28" s="24"/>
      <c r="G28" s="24"/>
      <c r="H28" s="24"/>
      <c r="I28" s="24"/>
      <c r="J28" s="24"/>
    </row>
    <row r="29" ht="28" customHeight="1" spans="1:10" x14ac:dyDescent="0.25">
      <c r="A29" s="25" t="s">
        <v>34</v>
      </c>
      <c r="B29" s="25"/>
      <c r="C29" s="25"/>
      <c r="D29" s="25"/>
      <c r="E29" s="25"/>
      <c r="F29" s="25"/>
      <c r="G29" s="25"/>
      <c r="H29" s="25"/>
      <c r="I29" s="25"/>
      <c r="J29" s="25"/>
    </row>
    <row r="30" ht="28" customHeight="1" spans="1:10" x14ac:dyDescent="0.25">
      <c r="A30" s="25" t="s">
        <v>35</v>
      </c>
      <c r="B30" s="25"/>
      <c r="C30" s="25"/>
      <c r="D30" s="25"/>
      <c r="E30" s="25"/>
      <c r="F30" s="25"/>
      <c r="G30" s="25"/>
      <c r="H30" s="25"/>
      <c r="I30" s="25"/>
      <c r="J30" s="25"/>
    </row>
  </sheetData>
  <mergeCells count="11">
    <mergeCell ref="G11:J12"/>
    <mergeCell ref="A19:C19"/>
    <mergeCell ref="A20:C20"/>
    <mergeCell ref="A21:C21"/>
    <mergeCell ref="A22:C22"/>
    <mergeCell ref="A25:J25"/>
    <mergeCell ref="A26:J26"/>
    <mergeCell ref="A27:J27"/>
    <mergeCell ref="A28:J28"/>
    <mergeCell ref="A29:J29"/>
    <mergeCell ref="A30:J30"/>
  </mergeCells>
  <conditionalFormatting sqref="H7:H10">
    <cfRule type="expression" dxfId="0" priority="1">
      <formula>$D$20&lt;&gt;"Avalanche"</formula>
    </cfRule>
  </conditionalFormatting>
  <conditionalFormatting sqref="I7:I10">
    <cfRule type="expression" dxfId="1" priority="2">
      <formula>$D$20="Avalanche"</formula>
    </cfRule>
  </conditionalFormatting>
  <dataValidations count="9">
    <dataValidation type="decimal" operator="greaterThanOrEqual" allowBlank="1" showErrorMessage="1" errorTitle="Check this number" error="Enter an amount of £0 or more." sqref="C10:C15">
      <formula1>0</formula1>
    </dataValidation>
    <dataValidation type="decimal" operator="greaterThanOrEqual" allowBlank="1" showErrorMessage="1" errorTitle="Check this number" error="Enter an amount of £0 or more." sqref="C6:C15">
      <formula1>0</formula1>
    </dataValidation>
    <dataValidation type="decimal" operator="greaterThanOrEqual" allowBlank="1" showErrorMessage="1" errorTitle="Check this number" error="Enter the APR as a percentage, for example 24.9%." sqref="D10:D15">
      <formula1>0</formula1>
    </dataValidation>
    <dataValidation type="decimal" operator="greaterThanOrEqual" allowBlank="1" showInputMessage="1" promptTitle="Extra each month" prompt="What you can pay on top of all your minimums. Even a small amount helps." sqref="D19">
      <formula1>0</formula1>
    </dataValidation>
    <dataValidation type="list" showInputMessage="1" promptTitle="Method" prompt="Snowball: smallest balance first. Avalanche: highest APR first." showErrorMessage="1" errorTitle="Choose a method" error="Choose Snowball or Avalanche." sqref="D20">
      <formula1>"Snowball,Avalanche"</formula1>
    </dataValidation>
    <dataValidation type="date" operator="greaterThan" showInputMessage="1" promptTitle="First payment month" prompt="Overwrite with the month your first payment is due, for example 1/12/2026." sqref="D21">
      <formula1>36526</formula1>
    </dataValidation>
    <dataValidation type="decimal" operator="greaterThanOrEqual" allowBlank="1" showErrorMessage="1" errorTitle="Check this number" error="Enter the APR as a percentage, for example 24.9%." sqref="D6:D15">
      <formula1>0</formula1>
    </dataValidation>
    <dataValidation type="decimal" operator="greaterThanOrEqual" allowBlank="1" showErrorMessage="1" errorTitle="Check this number" error="Enter an amount of £0 or more." sqref="E10:E15">
      <formula1>0</formula1>
    </dataValidation>
    <dataValidation type="decimal" operator="greaterThanOrEqual" allowBlank="1" showErrorMessage="1" errorTitle="Check this number" error="Enter an amount of £0 or more." sqref="E6:E15">
      <formula1>0</formula1>
    </dataValidation>
  </dataValidations>
  <hyperlinks>
    <hyperlink ref="A3" r:id="rId1"/>
  </hyperlinks>
  <pageSetup orientation="landscape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87F72"/>
    <pageSetUpPr fitToPage="1"/>
  </sheetPr>
  <dimension ref="A1:Z605"/>
  <sheetViews>
    <sheetView workbookViewId="0" showGridLines="0">
      <pane xSplit="2" ySplit="5" topLeftCell="C6" activePane="bottomRight" state="frozen"/>
      <selection pane="bottomRight"/>
    </sheetView>
  </sheetViews>
  <sheetFormatPr defaultRowHeight="15" outlineLevelRow="0" outlineLevelCol="0" x14ac:dyDescent="55"/>
  <cols>
    <col min="1" max="1" width="6" customWidth="1"/>
    <col min="2" max="2" width="12" customWidth="1"/>
    <col min="3" max="3" width="14" customWidth="1"/>
    <col min="4" max="4" width="12" customWidth="1"/>
    <col min="5" max="5" width="16" customWidth="1"/>
    <col min="6" max="25" width="12" customWidth="1"/>
  </cols>
  <sheetData>
    <row r="1" ht="26" customHeight="1" spans="1:26" x14ac:dyDescent="0.25">
      <c r="A1" s="26">
        <f>"Payment plan: "&amp;IF('Your debts'!$D$20="Avalanche","avalanche (highest APR first)","snowball (smallest balance first)")</f>
      </c>
      <c r="Z1" s="27">
        <f>IF(IF('Your debts'!$D$20="Avalanche",'Avalanche workings'!$BH$2,'Snowball workings'!$BH$2)="",600,IF('Your debts'!$D$20="Avalanche",'Avalanche workings'!$BH$2,'Snowball workings'!$BH$2))</f>
      </c>
    </row>
    <row r="2" spans="1:1" x14ac:dyDescent="0.25">
      <c r="A2" s="2" t="s">
        <v>36</v>
      </c>
    </row>
    <row r="4" ht="20" customHeight="1" spans="1:25" x14ac:dyDescent="0.25">
      <c r="A4" s="4" t="s">
        <v>3</v>
      </c>
      <c r="B4" s="4" t="s">
        <v>23</v>
      </c>
      <c r="C4" s="5" t="s">
        <v>37</v>
      </c>
      <c r="D4" s="5" t="s">
        <v>38</v>
      </c>
      <c r="E4" s="5" t="s">
        <v>39</v>
      </c>
      <c r="F4" s="16">
        <f>IF('Your debts'!$B$6="",IF(N('Your debts'!$C$6)&gt;0,"Debt 1",""),'Your debts'!$B$6)</f>
      </c>
      <c r="G4" s="16"/>
      <c r="H4" s="16">
        <f>IF('Your debts'!$B$7="",IF(N('Your debts'!$C$7)&gt;0,"Debt 2",""),'Your debts'!$B$7)</f>
      </c>
      <c r="I4" s="16"/>
      <c r="J4" s="16">
        <f>IF('Your debts'!$B$8="",IF(N('Your debts'!$C$8)&gt;0,"Debt 3",""),'Your debts'!$B$8)</f>
      </c>
      <c r="K4" s="16"/>
      <c r="L4" s="16">
        <f>IF('Your debts'!$B$9="",IF(N('Your debts'!$C$9)&gt;0,"Debt 4",""),'Your debts'!$B$9)</f>
      </c>
      <c r="M4" s="16"/>
      <c r="N4" s="16">
        <f>IF('Your debts'!$B$10="",IF(N('Your debts'!$C$10)&gt;0,"Debt 5",""),'Your debts'!$B$10)</f>
      </c>
      <c r="O4" s="16"/>
      <c r="P4" s="16">
        <f>IF('Your debts'!$B$11="",IF(N('Your debts'!$C$11)&gt;0,"Debt 6",""),'Your debts'!$B$11)</f>
      </c>
      <c r="Q4" s="16"/>
      <c r="R4" s="16">
        <f>IF('Your debts'!$B$12="",IF(N('Your debts'!$C$12)&gt;0,"Debt 7",""),'Your debts'!$B$12)</f>
      </c>
      <c r="S4" s="16"/>
      <c r="T4" s="16">
        <f>IF('Your debts'!$B$13="",IF(N('Your debts'!$C$13)&gt;0,"Debt 8",""),'Your debts'!$B$13)</f>
      </c>
      <c r="U4" s="16"/>
      <c r="V4" s="16">
        <f>IF('Your debts'!$B$14="",IF(N('Your debts'!$C$14)&gt;0,"Debt 9",""),'Your debts'!$B$14)</f>
      </c>
      <c r="W4" s="16"/>
      <c r="X4" s="16">
        <f>IF('Your debts'!$B$15="",IF(N('Your debts'!$C$15)&gt;0,"Debt 10",""),'Your debts'!$B$15)</f>
      </c>
      <c r="Y4" s="16"/>
    </row>
    <row r="5" spans="1:25" x14ac:dyDescent="0.25">
      <c r="A5" s="4"/>
      <c r="B5" s="4"/>
      <c r="C5" s="5"/>
      <c r="D5" s="5"/>
      <c r="E5" s="5"/>
      <c r="F5" s="5" t="s">
        <v>40</v>
      </c>
      <c r="G5" s="5" t="s">
        <v>41</v>
      </c>
      <c r="H5" s="5" t="s">
        <v>40</v>
      </c>
      <c r="I5" s="5" t="s">
        <v>41</v>
      </c>
      <c r="J5" s="5" t="s">
        <v>40</v>
      </c>
      <c r="K5" s="5" t="s">
        <v>41</v>
      </c>
      <c r="L5" s="5" t="s">
        <v>40</v>
      </c>
      <c r="M5" s="5" t="s">
        <v>41</v>
      </c>
      <c r="N5" s="5" t="s">
        <v>40</v>
      </c>
      <c r="O5" s="5" t="s">
        <v>41</v>
      </c>
      <c r="P5" s="5" t="s">
        <v>40</v>
      </c>
      <c r="Q5" s="5" t="s">
        <v>41</v>
      </c>
      <c r="R5" s="5" t="s">
        <v>40</v>
      </c>
      <c r="S5" s="5" t="s">
        <v>41</v>
      </c>
      <c r="T5" s="5" t="s">
        <v>40</v>
      </c>
      <c r="U5" s="5" t="s">
        <v>41</v>
      </c>
      <c r="V5" s="5" t="s">
        <v>40</v>
      </c>
      <c r="W5" s="5" t="s">
        <v>41</v>
      </c>
      <c r="X5" s="5" t="s">
        <v>40</v>
      </c>
      <c r="Y5" s="5" t="s">
        <v>41</v>
      </c>
    </row>
    <row r="6" spans="1:25" x14ac:dyDescent="0.25">
      <c r="A6" s="2">
        <f>IF(1&gt;$Z$1,"",1)</f>
      </c>
      <c r="B6" s="28">
        <f>IF(1&gt;$Z$1,"",EDATE('Your debts'!$D$21,0))</f>
      </c>
      <c r="C6" s="29">
        <f>IF(1&gt;$Z$1,"",IF('Your debts'!$D$20="Avalanche",'Avalanche workings'!$BC$8,'Snowball workings'!$BC$8))</f>
      </c>
      <c r="D6" s="29">
        <f>IF(1&gt;$Z$1,"",IF('Your debts'!$D$20="Avalanche",'Avalanche workings'!$BA$8,'Snowball workings'!$BA$8))</f>
      </c>
      <c r="E6" s="29">
        <f>IF(1&gt;$Z$1,"",IF('Your debts'!$D$20="Avalanche",'Avalanche workings'!$BB$8,'Snowball workings'!$BB$8))</f>
      </c>
      <c r="F6" s="29">
        <f>IF(OR(1&gt;$Z$1,NOT(OR('Your debts'!$B$6&lt;&gt;"",N('Your debts'!$C$6)&gt;0))),"",IF('Your debts'!$D$20="Avalanche",'Avalanche workings'!$L$8,'Snowball workings'!$L$8)+IF('Your debts'!$D$20="Avalanche",'Avalanche workings'!$AF$8,'Snowball workings'!$AF$8))</f>
      </c>
      <c r="G6" s="30">
        <f>IF(OR(1&gt;$Z$1,NOT(OR('Your debts'!$B$6&lt;&gt;"",N('Your debts'!$C$6)&gt;0))),"",IF('Your debts'!$D$20="Avalanche",'Avalanche workings'!$AP$8,'Snowball workings'!$AP$8))</f>
      </c>
      <c r="H6" s="29">
        <f>IF(OR(1&gt;$Z$1,NOT(OR('Your debts'!$B$7&lt;&gt;"",N('Your debts'!$C$7)&gt;0))),"",IF('Your debts'!$D$20="Avalanche",'Avalanche workings'!$M$8,'Snowball workings'!$M$8)+IF('Your debts'!$D$20="Avalanche",'Avalanche workings'!$AG$8,'Snowball workings'!$AG$8))</f>
      </c>
      <c r="I6" s="30">
        <f>IF(OR(1&gt;$Z$1,NOT(OR('Your debts'!$B$7&lt;&gt;"",N('Your debts'!$C$7)&gt;0))),"",IF('Your debts'!$D$20="Avalanche",'Avalanche workings'!$AQ$8,'Snowball workings'!$AQ$8))</f>
      </c>
      <c r="J6" s="29">
        <f>IF(OR(1&gt;$Z$1,NOT(OR('Your debts'!$B$8&lt;&gt;"",N('Your debts'!$C$8)&gt;0))),"",IF('Your debts'!$D$20="Avalanche",'Avalanche workings'!$N$8,'Snowball workings'!$N$8)+IF('Your debts'!$D$20="Avalanche",'Avalanche workings'!$AH$8,'Snowball workings'!$AH$8))</f>
      </c>
      <c r="K6" s="30">
        <f>IF(OR(1&gt;$Z$1,NOT(OR('Your debts'!$B$8&lt;&gt;"",N('Your debts'!$C$8)&gt;0))),"",IF('Your debts'!$D$20="Avalanche",'Avalanche workings'!$AR$8,'Snowball workings'!$AR$8))</f>
      </c>
      <c r="L6" s="29">
        <f>IF(OR(1&gt;$Z$1,NOT(OR('Your debts'!$B$9&lt;&gt;"",N('Your debts'!$C$9)&gt;0))),"",IF('Your debts'!$D$20="Avalanche",'Avalanche workings'!$O$8,'Snowball workings'!$O$8)+IF('Your debts'!$D$20="Avalanche",'Avalanche workings'!$AI$8,'Snowball workings'!$AI$8))</f>
      </c>
      <c r="M6" s="30">
        <f>IF(OR(1&gt;$Z$1,NOT(OR('Your debts'!$B$9&lt;&gt;"",N('Your debts'!$C$9)&gt;0))),"",IF('Your debts'!$D$20="Avalanche",'Avalanche workings'!$AS$8,'Snowball workings'!$AS$8))</f>
      </c>
      <c r="N6" s="29">
        <f>IF(OR(1&gt;$Z$1,NOT(OR('Your debts'!$B$10&lt;&gt;"",N('Your debts'!$C$10)&gt;0))),"",IF('Your debts'!$D$20="Avalanche",'Avalanche workings'!$P$8,'Snowball workings'!$P$8)+IF('Your debts'!$D$20="Avalanche",'Avalanche workings'!$AJ$8,'Snowball workings'!$AJ$8))</f>
      </c>
      <c r="O6" s="30">
        <f>IF(OR(1&gt;$Z$1,NOT(OR('Your debts'!$B$10&lt;&gt;"",N('Your debts'!$C$10)&gt;0))),"",IF('Your debts'!$D$20="Avalanche",'Avalanche workings'!$AT$8,'Snowball workings'!$AT$8))</f>
      </c>
      <c r="P6" s="29">
        <f>IF(OR(1&gt;$Z$1,NOT(OR('Your debts'!$B$11&lt;&gt;"",N('Your debts'!$C$11)&gt;0))),"",IF('Your debts'!$D$20="Avalanche",'Avalanche workings'!$Q$8,'Snowball workings'!$Q$8)+IF('Your debts'!$D$20="Avalanche",'Avalanche workings'!$AK$8,'Snowball workings'!$AK$8))</f>
      </c>
      <c r="Q6" s="30">
        <f>IF(OR(1&gt;$Z$1,NOT(OR('Your debts'!$B$11&lt;&gt;"",N('Your debts'!$C$11)&gt;0))),"",IF('Your debts'!$D$20="Avalanche",'Avalanche workings'!$AU$8,'Snowball workings'!$AU$8))</f>
      </c>
      <c r="R6" s="29">
        <f>IF(OR(1&gt;$Z$1,NOT(OR('Your debts'!$B$12&lt;&gt;"",N('Your debts'!$C$12)&gt;0))),"",IF('Your debts'!$D$20="Avalanche",'Avalanche workings'!$R$8,'Snowball workings'!$R$8)+IF('Your debts'!$D$20="Avalanche",'Avalanche workings'!$AL$8,'Snowball workings'!$AL$8))</f>
      </c>
      <c r="S6" s="30">
        <f>IF(OR(1&gt;$Z$1,NOT(OR('Your debts'!$B$12&lt;&gt;"",N('Your debts'!$C$12)&gt;0))),"",IF('Your debts'!$D$20="Avalanche",'Avalanche workings'!$AV$8,'Snowball workings'!$AV$8))</f>
      </c>
      <c r="T6" s="29">
        <f>IF(OR(1&gt;$Z$1,NOT(OR('Your debts'!$B$13&lt;&gt;"",N('Your debts'!$C$13)&gt;0))),"",IF('Your debts'!$D$20="Avalanche",'Avalanche workings'!$S$8,'Snowball workings'!$S$8)+IF('Your debts'!$D$20="Avalanche",'Avalanche workings'!$AM$8,'Snowball workings'!$AM$8))</f>
      </c>
      <c r="U6" s="30">
        <f>IF(OR(1&gt;$Z$1,NOT(OR('Your debts'!$B$13&lt;&gt;"",N('Your debts'!$C$13)&gt;0))),"",IF('Your debts'!$D$20="Avalanche",'Avalanche workings'!$AW$8,'Snowball workings'!$AW$8))</f>
      </c>
      <c r="V6" s="29">
        <f>IF(OR(1&gt;$Z$1,NOT(OR('Your debts'!$B$14&lt;&gt;"",N('Your debts'!$C$14)&gt;0))),"",IF('Your debts'!$D$20="Avalanche",'Avalanche workings'!$T$8,'Snowball workings'!$T$8)+IF('Your debts'!$D$20="Avalanche",'Avalanche workings'!$AN$8,'Snowball workings'!$AN$8))</f>
      </c>
      <c r="W6" s="30">
        <f>IF(OR(1&gt;$Z$1,NOT(OR('Your debts'!$B$14&lt;&gt;"",N('Your debts'!$C$14)&gt;0))),"",IF('Your debts'!$D$20="Avalanche",'Avalanche workings'!$AX$8,'Snowball workings'!$AX$8))</f>
      </c>
      <c r="X6" s="29">
        <f>IF(OR(1&gt;$Z$1,NOT(OR('Your debts'!$B$15&lt;&gt;"",N('Your debts'!$C$15)&gt;0))),"",IF('Your debts'!$D$20="Avalanche",'Avalanche workings'!$U$8,'Snowball workings'!$U$8)+IF('Your debts'!$D$20="Avalanche",'Avalanche workings'!$AO$8,'Snowball workings'!$AO$8))</f>
      </c>
      <c r="Y6" s="30">
        <f>IF(OR(1&gt;$Z$1,NOT(OR('Your debts'!$B$15&lt;&gt;"",N('Your debts'!$C$15)&gt;0))),"",IF('Your debts'!$D$20="Avalanche",'Avalanche workings'!$AY$8,'Snowball workings'!$AY$8))</f>
      </c>
    </row>
    <row r="7" spans="1:25" x14ac:dyDescent="0.25">
      <c r="A7" s="2">
        <f>IF(2&gt;$Z$1,"",2)</f>
      </c>
      <c r="B7" s="28">
        <f>IF(2&gt;$Z$1,"",EDATE('Your debts'!$D$21,1))</f>
      </c>
      <c r="C7" s="29">
        <f>IF(2&gt;$Z$1,"",IF('Your debts'!$D$20="Avalanche",'Avalanche workings'!$BC$9,'Snowball workings'!$BC$9))</f>
      </c>
      <c r="D7" s="29">
        <f>IF(2&gt;$Z$1,"",IF('Your debts'!$D$20="Avalanche",'Avalanche workings'!$BA$9,'Snowball workings'!$BA$9))</f>
      </c>
      <c r="E7" s="29">
        <f>IF(2&gt;$Z$1,"",IF('Your debts'!$D$20="Avalanche",'Avalanche workings'!$BB$9,'Snowball workings'!$BB$9))</f>
      </c>
      <c r="F7" s="29">
        <f>IF(OR(2&gt;$Z$1,NOT(OR('Your debts'!$B$6&lt;&gt;"",N('Your debts'!$C$6)&gt;0))),"",IF('Your debts'!$D$20="Avalanche",'Avalanche workings'!$L$9,'Snowball workings'!$L$9)+IF('Your debts'!$D$20="Avalanche",'Avalanche workings'!$AF$9,'Snowball workings'!$AF$9))</f>
      </c>
      <c r="G7" s="30">
        <f>IF(OR(2&gt;$Z$1,NOT(OR('Your debts'!$B$6&lt;&gt;"",N('Your debts'!$C$6)&gt;0))),"",IF('Your debts'!$D$20="Avalanche",'Avalanche workings'!$AP$9,'Snowball workings'!$AP$9))</f>
      </c>
      <c r="H7" s="29">
        <f>IF(OR(2&gt;$Z$1,NOT(OR('Your debts'!$B$7&lt;&gt;"",N('Your debts'!$C$7)&gt;0))),"",IF('Your debts'!$D$20="Avalanche",'Avalanche workings'!$M$9,'Snowball workings'!$M$9)+IF('Your debts'!$D$20="Avalanche",'Avalanche workings'!$AG$9,'Snowball workings'!$AG$9))</f>
      </c>
      <c r="I7" s="30">
        <f>IF(OR(2&gt;$Z$1,NOT(OR('Your debts'!$B$7&lt;&gt;"",N('Your debts'!$C$7)&gt;0))),"",IF('Your debts'!$D$20="Avalanche",'Avalanche workings'!$AQ$9,'Snowball workings'!$AQ$9))</f>
      </c>
      <c r="J7" s="29">
        <f>IF(OR(2&gt;$Z$1,NOT(OR('Your debts'!$B$8&lt;&gt;"",N('Your debts'!$C$8)&gt;0))),"",IF('Your debts'!$D$20="Avalanche",'Avalanche workings'!$N$9,'Snowball workings'!$N$9)+IF('Your debts'!$D$20="Avalanche",'Avalanche workings'!$AH$9,'Snowball workings'!$AH$9))</f>
      </c>
      <c r="K7" s="30">
        <f>IF(OR(2&gt;$Z$1,NOT(OR('Your debts'!$B$8&lt;&gt;"",N('Your debts'!$C$8)&gt;0))),"",IF('Your debts'!$D$20="Avalanche",'Avalanche workings'!$AR$9,'Snowball workings'!$AR$9))</f>
      </c>
      <c r="L7" s="29">
        <f>IF(OR(2&gt;$Z$1,NOT(OR('Your debts'!$B$9&lt;&gt;"",N('Your debts'!$C$9)&gt;0))),"",IF('Your debts'!$D$20="Avalanche",'Avalanche workings'!$O$9,'Snowball workings'!$O$9)+IF('Your debts'!$D$20="Avalanche",'Avalanche workings'!$AI$9,'Snowball workings'!$AI$9))</f>
      </c>
      <c r="M7" s="30">
        <f>IF(OR(2&gt;$Z$1,NOT(OR('Your debts'!$B$9&lt;&gt;"",N('Your debts'!$C$9)&gt;0))),"",IF('Your debts'!$D$20="Avalanche",'Avalanche workings'!$AS$9,'Snowball workings'!$AS$9))</f>
      </c>
      <c r="N7" s="29">
        <f>IF(OR(2&gt;$Z$1,NOT(OR('Your debts'!$B$10&lt;&gt;"",N('Your debts'!$C$10)&gt;0))),"",IF('Your debts'!$D$20="Avalanche",'Avalanche workings'!$P$9,'Snowball workings'!$P$9)+IF('Your debts'!$D$20="Avalanche",'Avalanche workings'!$AJ$9,'Snowball workings'!$AJ$9))</f>
      </c>
      <c r="O7" s="30">
        <f>IF(OR(2&gt;$Z$1,NOT(OR('Your debts'!$B$10&lt;&gt;"",N('Your debts'!$C$10)&gt;0))),"",IF('Your debts'!$D$20="Avalanche",'Avalanche workings'!$AT$9,'Snowball workings'!$AT$9))</f>
      </c>
      <c r="P7" s="29">
        <f>IF(OR(2&gt;$Z$1,NOT(OR('Your debts'!$B$11&lt;&gt;"",N('Your debts'!$C$11)&gt;0))),"",IF('Your debts'!$D$20="Avalanche",'Avalanche workings'!$Q$9,'Snowball workings'!$Q$9)+IF('Your debts'!$D$20="Avalanche",'Avalanche workings'!$AK$9,'Snowball workings'!$AK$9))</f>
      </c>
      <c r="Q7" s="30">
        <f>IF(OR(2&gt;$Z$1,NOT(OR('Your debts'!$B$11&lt;&gt;"",N('Your debts'!$C$11)&gt;0))),"",IF('Your debts'!$D$20="Avalanche",'Avalanche workings'!$AU$9,'Snowball workings'!$AU$9))</f>
      </c>
      <c r="R7" s="29">
        <f>IF(OR(2&gt;$Z$1,NOT(OR('Your debts'!$B$12&lt;&gt;"",N('Your debts'!$C$12)&gt;0))),"",IF('Your debts'!$D$20="Avalanche",'Avalanche workings'!$R$9,'Snowball workings'!$R$9)+IF('Your debts'!$D$20="Avalanche",'Avalanche workings'!$AL$9,'Snowball workings'!$AL$9))</f>
      </c>
      <c r="S7" s="30">
        <f>IF(OR(2&gt;$Z$1,NOT(OR('Your debts'!$B$12&lt;&gt;"",N('Your debts'!$C$12)&gt;0))),"",IF('Your debts'!$D$20="Avalanche",'Avalanche workings'!$AV$9,'Snowball workings'!$AV$9))</f>
      </c>
      <c r="T7" s="29">
        <f>IF(OR(2&gt;$Z$1,NOT(OR('Your debts'!$B$13&lt;&gt;"",N('Your debts'!$C$13)&gt;0))),"",IF('Your debts'!$D$20="Avalanche",'Avalanche workings'!$S$9,'Snowball workings'!$S$9)+IF('Your debts'!$D$20="Avalanche",'Avalanche workings'!$AM$9,'Snowball workings'!$AM$9))</f>
      </c>
      <c r="U7" s="30">
        <f>IF(OR(2&gt;$Z$1,NOT(OR('Your debts'!$B$13&lt;&gt;"",N('Your debts'!$C$13)&gt;0))),"",IF('Your debts'!$D$20="Avalanche",'Avalanche workings'!$AW$9,'Snowball workings'!$AW$9))</f>
      </c>
      <c r="V7" s="29">
        <f>IF(OR(2&gt;$Z$1,NOT(OR('Your debts'!$B$14&lt;&gt;"",N('Your debts'!$C$14)&gt;0))),"",IF('Your debts'!$D$20="Avalanche",'Avalanche workings'!$T$9,'Snowball workings'!$T$9)+IF('Your debts'!$D$20="Avalanche",'Avalanche workings'!$AN$9,'Snowball workings'!$AN$9))</f>
      </c>
      <c r="W7" s="30">
        <f>IF(OR(2&gt;$Z$1,NOT(OR('Your debts'!$B$14&lt;&gt;"",N('Your debts'!$C$14)&gt;0))),"",IF('Your debts'!$D$20="Avalanche",'Avalanche workings'!$AX$9,'Snowball workings'!$AX$9))</f>
      </c>
      <c r="X7" s="29">
        <f>IF(OR(2&gt;$Z$1,NOT(OR('Your debts'!$B$15&lt;&gt;"",N('Your debts'!$C$15)&gt;0))),"",IF('Your debts'!$D$20="Avalanche",'Avalanche workings'!$U$9,'Snowball workings'!$U$9)+IF('Your debts'!$D$20="Avalanche",'Avalanche workings'!$AO$9,'Snowball workings'!$AO$9))</f>
      </c>
      <c r="Y7" s="30">
        <f>IF(OR(2&gt;$Z$1,NOT(OR('Your debts'!$B$15&lt;&gt;"",N('Your debts'!$C$15)&gt;0))),"",IF('Your debts'!$D$20="Avalanche",'Avalanche workings'!$AY$9,'Snowball workings'!$AY$9))</f>
      </c>
    </row>
    <row r="8" spans="1:25" x14ac:dyDescent="0.25">
      <c r="A8" s="2">
        <f>IF(3&gt;$Z$1,"",3)</f>
      </c>
      <c r="B8" s="28">
        <f>IF(3&gt;$Z$1,"",EDATE('Your debts'!$D$21,2))</f>
      </c>
      <c r="C8" s="29">
        <f>IF(3&gt;$Z$1,"",IF('Your debts'!$D$20="Avalanche",'Avalanche workings'!$BC$10,'Snowball workings'!$BC$10))</f>
      </c>
      <c r="D8" s="29">
        <f>IF(3&gt;$Z$1,"",IF('Your debts'!$D$20="Avalanche",'Avalanche workings'!$BA$10,'Snowball workings'!$BA$10))</f>
      </c>
      <c r="E8" s="29">
        <f>IF(3&gt;$Z$1,"",IF('Your debts'!$D$20="Avalanche",'Avalanche workings'!$BB$10,'Snowball workings'!$BB$10))</f>
      </c>
      <c r="F8" s="29">
        <f>IF(OR(3&gt;$Z$1,NOT(OR('Your debts'!$B$6&lt;&gt;"",N('Your debts'!$C$6)&gt;0))),"",IF('Your debts'!$D$20="Avalanche",'Avalanche workings'!$L$10,'Snowball workings'!$L$10)+IF('Your debts'!$D$20="Avalanche",'Avalanche workings'!$AF$10,'Snowball workings'!$AF$10))</f>
      </c>
      <c r="G8" s="30">
        <f>IF(OR(3&gt;$Z$1,NOT(OR('Your debts'!$B$6&lt;&gt;"",N('Your debts'!$C$6)&gt;0))),"",IF('Your debts'!$D$20="Avalanche",'Avalanche workings'!$AP$10,'Snowball workings'!$AP$10))</f>
      </c>
      <c r="H8" s="29">
        <f>IF(OR(3&gt;$Z$1,NOT(OR('Your debts'!$B$7&lt;&gt;"",N('Your debts'!$C$7)&gt;0))),"",IF('Your debts'!$D$20="Avalanche",'Avalanche workings'!$M$10,'Snowball workings'!$M$10)+IF('Your debts'!$D$20="Avalanche",'Avalanche workings'!$AG$10,'Snowball workings'!$AG$10))</f>
      </c>
      <c r="I8" s="30">
        <f>IF(OR(3&gt;$Z$1,NOT(OR('Your debts'!$B$7&lt;&gt;"",N('Your debts'!$C$7)&gt;0))),"",IF('Your debts'!$D$20="Avalanche",'Avalanche workings'!$AQ$10,'Snowball workings'!$AQ$10))</f>
      </c>
      <c r="J8" s="29">
        <f>IF(OR(3&gt;$Z$1,NOT(OR('Your debts'!$B$8&lt;&gt;"",N('Your debts'!$C$8)&gt;0))),"",IF('Your debts'!$D$20="Avalanche",'Avalanche workings'!$N$10,'Snowball workings'!$N$10)+IF('Your debts'!$D$20="Avalanche",'Avalanche workings'!$AH$10,'Snowball workings'!$AH$10))</f>
      </c>
      <c r="K8" s="30">
        <f>IF(OR(3&gt;$Z$1,NOT(OR('Your debts'!$B$8&lt;&gt;"",N('Your debts'!$C$8)&gt;0))),"",IF('Your debts'!$D$20="Avalanche",'Avalanche workings'!$AR$10,'Snowball workings'!$AR$10))</f>
      </c>
      <c r="L8" s="29">
        <f>IF(OR(3&gt;$Z$1,NOT(OR('Your debts'!$B$9&lt;&gt;"",N('Your debts'!$C$9)&gt;0))),"",IF('Your debts'!$D$20="Avalanche",'Avalanche workings'!$O$10,'Snowball workings'!$O$10)+IF('Your debts'!$D$20="Avalanche",'Avalanche workings'!$AI$10,'Snowball workings'!$AI$10))</f>
      </c>
      <c r="M8" s="30">
        <f>IF(OR(3&gt;$Z$1,NOT(OR('Your debts'!$B$9&lt;&gt;"",N('Your debts'!$C$9)&gt;0))),"",IF('Your debts'!$D$20="Avalanche",'Avalanche workings'!$AS$10,'Snowball workings'!$AS$10))</f>
      </c>
      <c r="N8" s="29">
        <f>IF(OR(3&gt;$Z$1,NOT(OR('Your debts'!$B$10&lt;&gt;"",N('Your debts'!$C$10)&gt;0))),"",IF('Your debts'!$D$20="Avalanche",'Avalanche workings'!$P$10,'Snowball workings'!$P$10)+IF('Your debts'!$D$20="Avalanche",'Avalanche workings'!$AJ$10,'Snowball workings'!$AJ$10))</f>
      </c>
      <c r="O8" s="30">
        <f>IF(OR(3&gt;$Z$1,NOT(OR('Your debts'!$B$10&lt;&gt;"",N('Your debts'!$C$10)&gt;0))),"",IF('Your debts'!$D$20="Avalanche",'Avalanche workings'!$AT$10,'Snowball workings'!$AT$10))</f>
      </c>
      <c r="P8" s="29">
        <f>IF(OR(3&gt;$Z$1,NOT(OR('Your debts'!$B$11&lt;&gt;"",N('Your debts'!$C$11)&gt;0))),"",IF('Your debts'!$D$20="Avalanche",'Avalanche workings'!$Q$10,'Snowball workings'!$Q$10)+IF('Your debts'!$D$20="Avalanche",'Avalanche workings'!$AK$10,'Snowball workings'!$AK$10))</f>
      </c>
      <c r="Q8" s="30">
        <f>IF(OR(3&gt;$Z$1,NOT(OR('Your debts'!$B$11&lt;&gt;"",N('Your debts'!$C$11)&gt;0))),"",IF('Your debts'!$D$20="Avalanche",'Avalanche workings'!$AU$10,'Snowball workings'!$AU$10))</f>
      </c>
      <c r="R8" s="29">
        <f>IF(OR(3&gt;$Z$1,NOT(OR('Your debts'!$B$12&lt;&gt;"",N('Your debts'!$C$12)&gt;0))),"",IF('Your debts'!$D$20="Avalanche",'Avalanche workings'!$R$10,'Snowball workings'!$R$10)+IF('Your debts'!$D$20="Avalanche",'Avalanche workings'!$AL$10,'Snowball workings'!$AL$10))</f>
      </c>
      <c r="S8" s="30">
        <f>IF(OR(3&gt;$Z$1,NOT(OR('Your debts'!$B$12&lt;&gt;"",N('Your debts'!$C$12)&gt;0))),"",IF('Your debts'!$D$20="Avalanche",'Avalanche workings'!$AV$10,'Snowball workings'!$AV$10))</f>
      </c>
      <c r="T8" s="29">
        <f>IF(OR(3&gt;$Z$1,NOT(OR('Your debts'!$B$13&lt;&gt;"",N('Your debts'!$C$13)&gt;0))),"",IF('Your debts'!$D$20="Avalanche",'Avalanche workings'!$S$10,'Snowball workings'!$S$10)+IF('Your debts'!$D$20="Avalanche",'Avalanche workings'!$AM$10,'Snowball workings'!$AM$10))</f>
      </c>
      <c r="U8" s="30">
        <f>IF(OR(3&gt;$Z$1,NOT(OR('Your debts'!$B$13&lt;&gt;"",N('Your debts'!$C$13)&gt;0))),"",IF('Your debts'!$D$20="Avalanche",'Avalanche workings'!$AW$10,'Snowball workings'!$AW$10))</f>
      </c>
      <c r="V8" s="29">
        <f>IF(OR(3&gt;$Z$1,NOT(OR('Your debts'!$B$14&lt;&gt;"",N('Your debts'!$C$14)&gt;0))),"",IF('Your debts'!$D$20="Avalanche",'Avalanche workings'!$T$10,'Snowball workings'!$T$10)+IF('Your debts'!$D$20="Avalanche",'Avalanche workings'!$AN$10,'Snowball workings'!$AN$10))</f>
      </c>
      <c r="W8" s="30">
        <f>IF(OR(3&gt;$Z$1,NOT(OR('Your debts'!$B$14&lt;&gt;"",N('Your debts'!$C$14)&gt;0))),"",IF('Your debts'!$D$20="Avalanche",'Avalanche workings'!$AX$10,'Snowball workings'!$AX$10))</f>
      </c>
      <c r="X8" s="29">
        <f>IF(OR(3&gt;$Z$1,NOT(OR('Your debts'!$B$15&lt;&gt;"",N('Your debts'!$C$15)&gt;0))),"",IF('Your debts'!$D$20="Avalanche",'Avalanche workings'!$U$10,'Snowball workings'!$U$10)+IF('Your debts'!$D$20="Avalanche",'Avalanche workings'!$AO$10,'Snowball workings'!$AO$10))</f>
      </c>
      <c r="Y8" s="30">
        <f>IF(OR(3&gt;$Z$1,NOT(OR('Your debts'!$B$15&lt;&gt;"",N('Your debts'!$C$15)&gt;0))),"",IF('Your debts'!$D$20="Avalanche",'Avalanche workings'!$AY$10,'Snowball workings'!$AY$10))</f>
      </c>
    </row>
    <row r="9" spans="1:25" x14ac:dyDescent="0.25">
      <c r="A9" s="2">
        <f>IF(4&gt;$Z$1,"",4)</f>
      </c>
      <c r="B9" s="28">
        <f>IF(4&gt;$Z$1,"",EDATE('Your debts'!$D$21,3))</f>
      </c>
      <c r="C9" s="29">
        <f>IF(4&gt;$Z$1,"",IF('Your debts'!$D$20="Avalanche",'Avalanche workings'!$BC$11,'Snowball workings'!$BC$11))</f>
      </c>
      <c r="D9" s="29">
        <f>IF(4&gt;$Z$1,"",IF('Your debts'!$D$20="Avalanche",'Avalanche workings'!$BA$11,'Snowball workings'!$BA$11))</f>
      </c>
      <c r="E9" s="29">
        <f>IF(4&gt;$Z$1,"",IF('Your debts'!$D$20="Avalanche",'Avalanche workings'!$BB$11,'Snowball workings'!$BB$11))</f>
      </c>
      <c r="F9" s="29">
        <f>IF(OR(4&gt;$Z$1,NOT(OR('Your debts'!$B$6&lt;&gt;"",N('Your debts'!$C$6)&gt;0))),"",IF('Your debts'!$D$20="Avalanche",'Avalanche workings'!$L$11,'Snowball workings'!$L$11)+IF('Your debts'!$D$20="Avalanche",'Avalanche workings'!$AF$11,'Snowball workings'!$AF$11))</f>
      </c>
      <c r="G9" s="30">
        <f>IF(OR(4&gt;$Z$1,NOT(OR('Your debts'!$B$6&lt;&gt;"",N('Your debts'!$C$6)&gt;0))),"",IF('Your debts'!$D$20="Avalanche",'Avalanche workings'!$AP$11,'Snowball workings'!$AP$11))</f>
      </c>
      <c r="H9" s="29">
        <f>IF(OR(4&gt;$Z$1,NOT(OR('Your debts'!$B$7&lt;&gt;"",N('Your debts'!$C$7)&gt;0))),"",IF('Your debts'!$D$20="Avalanche",'Avalanche workings'!$M$11,'Snowball workings'!$M$11)+IF('Your debts'!$D$20="Avalanche",'Avalanche workings'!$AG$11,'Snowball workings'!$AG$11))</f>
      </c>
      <c r="I9" s="30">
        <f>IF(OR(4&gt;$Z$1,NOT(OR('Your debts'!$B$7&lt;&gt;"",N('Your debts'!$C$7)&gt;0))),"",IF('Your debts'!$D$20="Avalanche",'Avalanche workings'!$AQ$11,'Snowball workings'!$AQ$11))</f>
      </c>
      <c r="J9" s="29">
        <f>IF(OR(4&gt;$Z$1,NOT(OR('Your debts'!$B$8&lt;&gt;"",N('Your debts'!$C$8)&gt;0))),"",IF('Your debts'!$D$20="Avalanche",'Avalanche workings'!$N$11,'Snowball workings'!$N$11)+IF('Your debts'!$D$20="Avalanche",'Avalanche workings'!$AH$11,'Snowball workings'!$AH$11))</f>
      </c>
      <c r="K9" s="30">
        <f>IF(OR(4&gt;$Z$1,NOT(OR('Your debts'!$B$8&lt;&gt;"",N('Your debts'!$C$8)&gt;0))),"",IF('Your debts'!$D$20="Avalanche",'Avalanche workings'!$AR$11,'Snowball workings'!$AR$11))</f>
      </c>
      <c r="L9" s="29">
        <f>IF(OR(4&gt;$Z$1,NOT(OR('Your debts'!$B$9&lt;&gt;"",N('Your debts'!$C$9)&gt;0))),"",IF('Your debts'!$D$20="Avalanche",'Avalanche workings'!$O$11,'Snowball workings'!$O$11)+IF('Your debts'!$D$20="Avalanche",'Avalanche workings'!$AI$11,'Snowball workings'!$AI$11))</f>
      </c>
      <c r="M9" s="30">
        <f>IF(OR(4&gt;$Z$1,NOT(OR('Your debts'!$B$9&lt;&gt;"",N('Your debts'!$C$9)&gt;0))),"",IF('Your debts'!$D$20="Avalanche",'Avalanche workings'!$AS$11,'Snowball workings'!$AS$11))</f>
      </c>
      <c r="N9" s="29">
        <f>IF(OR(4&gt;$Z$1,NOT(OR('Your debts'!$B$10&lt;&gt;"",N('Your debts'!$C$10)&gt;0))),"",IF('Your debts'!$D$20="Avalanche",'Avalanche workings'!$P$11,'Snowball workings'!$P$11)+IF('Your debts'!$D$20="Avalanche",'Avalanche workings'!$AJ$11,'Snowball workings'!$AJ$11))</f>
      </c>
      <c r="O9" s="30">
        <f>IF(OR(4&gt;$Z$1,NOT(OR('Your debts'!$B$10&lt;&gt;"",N('Your debts'!$C$10)&gt;0))),"",IF('Your debts'!$D$20="Avalanche",'Avalanche workings'!$AT$11,'Snowball workings'!$AT$11))</f>
      </c>
      <c r="P9" s="29">
        <f>IF(OR(4&gt;$Z$1,NOT(OR('Your debts'!$B$11&lt;&gt;"",N('Your debts'!$C$11)&gt;0))),"",IF('Your debts'!$D$20="Avalanche",'Avalanche workings'!$Q$11,'Snowball workings'!$Q$11)+IF('Your debts'!$D$20="Avalanche",'Avalanche workings'!$AK$11,'Snowball workings'!$AK$11))</f>
      </c>
      <c r="Q9" s="30">
        <f>IF(OR(4&gt;$Z$1,NOT(OR('Your debts'!$B$11&lt;&gt;"",N('Your debts'!$C$11)&gt;0))),"",IF('Your debts'!$D$20="Avalanche",'Avalanche workings'!$AU$11,'Snowball workings'!$AU$11))</f>
      </c>
      <c r="R9" s="29">
        <f>IF(OR(4&gt;$Z$1,NOT(OR('Your debts'!$B$12&lt;&gt;"",N('Your debts'!$C$12)&gt;0))),"",IF('Your debts'!$D$20="Avalanche",'Avalanche workings'!$R$11,'Snowball workings'!$R$11)+IF('Your debts'!$D$20="Avalanche",'Avalanche workings'!$AL$11,'Snowball workings'!$AL$11))</f>
      </c>
      <c r="S9" s="30">
        <f>IF(OR(4&gt;$Z$1,NOT(OR('Your debts'!$B$12&lt;&gt;"",N('Your debts'!$C$12)&gt;0))),"",IF('Your debts'!$D$20="Avalanche",'Avalanche workings'!$AV$11,'Snowball workings'!$AV$11))</f>
      </c>
      <c r="T9" s="29">
        <f>IF(OR(4&gt;$Z$1,NOT(OR('Your debts'!$B$13&lt;&gt;"",N('Your debts'!$C$13)&gt;0))),"",IF('Your debts'!$D$20="Avalanche",'Avalanche workings'!$S$11,'Snowball workings'!$S$11)+IF('Your debts'!$D$20="Avalanche",'Avalanche workings'!$AM$11,'Snowball workings'!$AM$11))</f>
      </c>
      <c r="U9" s="30">
        <f>IF(OR(4&gt;$Z$1,NOT(OR('Your debts'!$B$13&lt;&gt;"",N('Your debts'!$C$13)&gt;0))),"",IF('Your debts'!$D$20="Avalanche",'Avalanche workings'!$AW$11,'Snowball workings'!$AW$11))</f>
      </c>
      <c r="V9" s="29">
        <f>IF(OR(4&gt;$Z$1,NOT(OR('Your debts'!$B$14&lt;&gt;"",N('Your debts'!$C$14)&gt;0))),"",IF('Your debts'!$D$20="Avalanche",'Avalanche workings'!$T$11,'Snowball workings'!$T$11)+IF('Your debts'!$D$20="Avalanche",'Avalanche workings'!$AN$11,'Snowball workings'!$AN$11))</f>
      </c>
      <c r="W9" s="30">
        <f>IF(OR(4&gt;$Z$1,NOT(OR('Your debts'!$B$14&lt;&gt;"",N('Your debts'!$C$14)&gt;0))),"",IF('Your debts'!$D$20="Avalanche",'Avalanche workings'!$AX$11,'Snowball workings'!$AX$11))</f>
      </c>
      <c r="X9" s="29">
        <f>IF(OR(4&gt;$Z$1,NOT(OR('Your debts'!$B$15&lt;&gt;"",N('Your debts'!$C$15)&gt;0))),"",IF('Your debts'!$D$20="Avalanche",'Avalanche workings'!$U$11,'Snowball workings'!$U$11)+IF('Your debts'!$D$20="Avalanche",'Avalanche workings'!$AO$11,'Snowball workings'!$AO$11))</f>
      </c>
      <c r="Y9" s="30">
        <f>IF(OR(4&gt;$Z$1,NOT(OR('Your debts'!$B$15&lt;&gt;"",N('Your debts'!$C$15)&gt;0))),"",IF('Your debts'!$D$20="Avalanche",'Avalanche workings'!$AY$11,'Snowball workings'!$AY$11))</f>
      </c>
    </row>
    <row r="10" spans="1:25" x14ac:dyDescent="0.25">
      <c r="A10" s="2">
        <f>IF(5&gt;$Z$1,"",5)</f>
      </c>
      <c r="B10" s="28">
        <f>IF(5&gt;$Z$1,"",EDATE('Your debts'!$D$21,4))</f>
      </c>
      <c r="C10" s="29">
        <f>IF(5&gt;$Z$1,"",IF('Your debts'!$D$20="Avalanche",'Avalanche workings'!$BC$12,'Snowball workings'!$BC$12))</f>
      </c>
      <c r="D10" s="29">
        <f>IF(5&gt;$Z$1,"",IF('Your debts'!$D$20="Avalanche",'Avalanche workings'!$BA$12,'Snowball workings'!$BA$12))</f>
      </c>
      <c r="E10" s="29">
        <f>IF(5&gt;$Z$1,"",IF('Your debts'!$D$20="Avalanche",'Avalanche workings'!$BB$12,'Snowball workings'!$BB$12))</f>
      </c>
      <c r="F10" s="29">
        <f>IF(OR(5&gt;$Z$1,NOT(OR('Your debts'!$B$6&lt;&gt;"",N('Your debts'!$C$6)&gt;0))),"",IF('Your debts'!$D$20="Avalanche",'Avalanche workings'!$L$12,'Snowball workings'!$L$12)+IF('Your debts'!$D$20="Avalanche",'Avalanche workings'!$AF$12,'Snowball workings'!$AF$12))</f>
      </c>
      <c r="G10" s="30">
        <f>IF(OR(5&gt;$Z$1,NOT(OR('Your debts'!$B$6&lt;&gt;"",N('Your debts'!$C$6)&gt;0))),"",IF('Your debts'!$D$20="Avalanche",'Avalanche workings'!$AP$12,'Snowball workings'!$AP$12))</f>
      </c>
      <c r="H10" s="29">
        <f>IF(OR(5&gt;$Z$1,NOT(OR('Your debts'!$B$7&lt;&gt;"",N('Your debts'!$C$7)&gt;0))),"",IF('Your debts'!$D$20="Avalanche",'Avalanche workings'!$M$12,'Snowball workings'!$M$12)+IF('Your debts'!$D$20="Avalanche",'Avalanche workings'!$AG$12,'Snowball workings'!$AG$12))</f>
      </c>
      <c r="I10" s="30">
        <f>IF(OR(5&gt;$Z$1,NOT(OR('Your debts'!$B$7&lt;&gt;"",N('Your debts'!$C$7)&gt;0))),"",IF('Your debts'!$D$20="Avalanche",'Avalanche workings'!$AQ$12,'Snowball workings'!$AQ$12))</f>
      </c>
      <c r="J10" s="29">
        <f>IF(OR(5&gt;$Z$1,NOT(OR('Your debts'!$B$8&lt;&gt;"",N('Your debts'!$C$8)&gt;0))),"",IF('Your debts'!$D$20="Avalanche",'Avalanche workings'!$N$12,'Snowball workings'!$N$12)+IF('Your debts'!$D$20="Avalanche",'Avalanche workings'!$AH$12,'Snowball workings'!$AH$12))</f>
      </c>
      <c r="K10" s="30">
        <f>IF(OR(5&gt;$Z$1,NOT(OR('Your debts'!$B$8&lt;&gt;"",N('Your debts'!$C$8)&gt;0))),"",IF('Your debts'!$D$20="Avalanche",'Avalanche workings'!$AR$12,'Snowball workings'!$AR$12))</f>
      </c>
      <c r="L10" s="29">
        <f>IF(OR(5&gt;$Z$1,NOT(OR('Your debts'!$B$9&lt;&gt;"",N('Your debts'!$C$9)&gt;0))),"",IF('Your debts'!$D$20="Avalanche",'Avalanche workings'!$O$12,'Snowball workings'!$O$12)+IF('Your debts'!$D$20="Avalanche",'Avalanche workings'!$AI$12,'Snowball workings'!$AI$12))</f>
      </c>
      <c r="M10" s="30">
        <f>IF(OR(5&gt;$Z$1,NOT(OR('Your debts'!$B$9&lt;&gt;"",N('Your debts'!$C$9)&gt;0))),"",IF('Your debts'!$D$20="Avalanche",'Avalanche workings'!$AS$12,'Snowball workings'!$AS$12))</f>
      </c>
      <c r="N10" s="29">
        <f>IF(OR(5&gt;$Z$1,NOT(OR('Your debts'!$B$10&lt;&gt;"",N('Your debts'!$C$10)&gt;0))),"",IF('Your debts'!$D$20="Avalanche",'Avalanche workings'!$P$12,'Snowball workings'!$P$12)+IF('Your debts'!$D$20="Avalanche",'Avalanche workings'!$AJ$12,'Snowball workings'!$AJ$12))</f>
      </c>
      <c r="O10" s="30">
        <f>IF(OR(5&gt;$Z$1,NOT(OR('Your debts'!$B$10&lt;&gt;"",N('Your debts'!$C$10)&gt;0))),"",IF('Your debts'!$D$20="Avalanche",'Avalanche workings'!$AT$12,'Snowball workings'!$AT$12))</f>
      </c>
      <c r="P10" s="29">
        <f>IF(OR(5&gt;$Z$1,NOT(OR('Your debts'!$B$11&lt;&gt;"",N('Your debts'!$C$11)&gt;0))),"",IF('Your debts'!$D$20="Avalanche",'Avalanche workings'!$Q$12,'Snowball workings'!$Q$12)+IF('Your debts'!$D$20="Avalanche",'Avalanche workings'!$AK$12,'Snowball workings'!$AK$12))</f>
      </c>
      <c r="Q10" s="30">
        <f>IF(OR(5&gt;$Z$1,NOT(OR('Your debts'!$B$11&lt;&gt;"",N('Your debts'!$C$11)&gt;0))),"",IF('Your debts'!$D$20="Avalanche",'Avalanche workings'!$AU$12,'Snowball workings'!$AU$12))</f>
      </c>
      <c r="R10" s="29">
        <f>IF(OR(5&gt;$Z$1,NOT(OR('Your debts'!$B$12&lt;&gt;"",N('Your debts'!$C$12)&gt;0))),"",IF('Your debts'!$D$20="Avalanche",'Avalanche workings'!$R$12,'Snowball workings'!$R$12)+IF('Your debts'!$D$20="Avalanche",'Avalanche workings'!$AL$12,'Snowball workings'!$AL$12))</f>
      </c>
      <c r="S10" s="30">
        <f>IF(OR(5&gt;$Z$1,NOT(OR('Your debts'!$B$12&lt;&gt;"",N('Your debts'!$C$12)&gt;0))),"",IF('Your debts'!$D$20="Avalanche",'Avalanche workings'!$AV$12,'Snowball workings'!$AV$12))</f>
      </c>
      <c r="T10" s="29">
        <f>IF(OR(5&gt;$Z$1,NOT(OR('Your debts'!$B$13&lt;&gt;"",N('Your debts'!$C$13)&gt;0))),"",IF('Your debts'!$D$20="Avalanche",'Avalanche workings'!$S$12,'Snowball workings'!$S$12)+IF('Your debts'!$D$20="Avalanche",'Avalanche workings'!$AM$12,'Snowball workings'!$AM$12))</f>
      </c>
      <c r="U10" s="30">
        <f>IF(OR(5&gt;$Z$1,NOT(OR('Your debts'!$B$13&lt;&gt;"",N('Your debts'!$C$13)&gt;0))),"",IF('Your debts'!$D$20="Avalanche",'Avalanche workings'!$AW$12,'Snowball workings'!$AW$12))</f>
      </c>
      <c r="V10" s="29">
        <f>IF(OR(5&gt;$Z$1,NOT(OR('Your debts'!$B$14&lt;&gt;"",N('Your debts'!$C$14)&gt;0))),"",IF('Your debts'!$D$20="Avalanche",'Avalanche workings'!$T$12,'Snowball workings'!$T$12)+IF('Your debts'!$D$20="Avalanche",'Avalanche workings'!$AN$12,'Snowball workings'!$AN$12))</f>
      </c>
      <c r="W10" s="30">
        <f>IF(OR(5&gt;$Z$1,NOT(OR('Your debts'!$B$14&lt;&gt;"",N('Your debts'!$C$14)&gt;0))),"",IF('Your debts'!$D$20="Avalanche",'Avalanche workings'!$AX$12,'Snowball workings'!$AX$12))</f>
      </c>
      <c r="X10" s="29">
        <f>IF(OR(5&gt;$Z$1,NOT(OR('Your debts'!$B$15&lt;&gt;"",N('Your debts'!$C$15)&gt;0))),"",IF('Your debts'!$D$20="Avalanche",'Avalanche workings'!$U$12,'Snowball workings'!$U$12)+IF('Your debts'!$D$20="Avalanche",'Avalanche workings'!$AO$12,'Snowball workings'!$AO$12))</f>
      </c>
      <c r="Y10" s="30">
        <f>IF(OR(5&gt;$Z$1,NOT(OR('Your debts'!$B$15&lt;&gt;"",N('Your debts'!$C$15)&gt;0))),"",IF('Your debts'!$D$20="Avalanche",'Avalanche workings'!$AY$12,'Snowball workings'!$AY$12))</f>
      </c>
    </row>
    <row r="11" spans="1:25" x14ac:dyDescent="0.25">
      <c r="A11" s="2">
        <f>IF(6&gt;$Z$1,"",6)</f>
      </c>
      <c r="B11" s="28">
        <f>IF(6&gt;$Z$1,"",EDATE('Your debts'!$D$21,5))</f>
      </c>
      <c r="C11" s="29">
        <f>IF(6&gt;$Z$1,"",IF('Your debts'!$D$20="Avalanche",'Avalanche workings'!$BC$13,'Snowball workings'!$BC$13))</f>
      </c>
      <c r="D11" s="29">
        <f>IF(6&gt;$Z$1,"",IF('Your debts'!$D$20="Avalanche",'Avalanche workings'!$BA$13,'Snowball workings'!$BA$13))</f>
      </c>
      <c r="E11" s="29">
        <f>IF(6&gt;$Z$1,"",IF('Your debts'!$D$20="Avalanche",'Avalanche workings'!$BB$13,'Snowball workings'!$BB$13))</f>
      </c>
      <c r="F11" s="29">
        <f>IF(OR(6&gt;$Z$1,NOT(OR('Your debts'!$B$6&lt;&gt;"",N('Your debts'!$C$6)&gt;0))),"",IF('Your debts'!$D$20="Avalanche",'Avalanche workings'!$L$13,'Snowball workings'!$L$13)+IF('Your debts'!$D$20="Avalanche",'Avalanche workings'!$AF$13,'Snowball workings'!$AF$13))</f>
      </c>
      <c r="G11" s="30">
        <f>IF(OR(6&gt;$Z$1,NOT(OR('Your debts'!$B$6&lt;&gt;"",N('Your debts'!$C$6)&gt;0))),"",IF('Your debts'!$D$20="Avalanche",'Avalanche workings'!$AP$13,'Snowball workings'!$AP$13))</f>
      </c>
      <c r="H11" s="29">
        <f>IF(OR(6&gt;$Z$1,NOT(OR('Your debts'!$B$7&lt;&gt;"",N('Your debts'!$C$7)&gt;0))),"",IF('Your debts'!$D$20="Avalanche",'Avalanche workings'!$M$13,'Snowball workings'!$M$13)+IF('Your debts'!$D$20="Avalanche",'Avalanche workings'!$AG$13,'Snowball workings'!$AG$13))</f>
      </c>
      <c r="I11" s="30">
        <f>IF(OR(6&gt;$Z$1,NOT(OR('Your debts'!$B$7&lt;&gt;"",N('Your debts'!$C$7)&gt;0))),"",IF('Your debts'!$D$20="Avalanche",'Avalanche workings'!$AQ$13,'Snowball workings'!$AQ$13))</f>
      </c>
      <c r="J11" s="29">
        <f>IF(OR(6&gt;$Z$1,NOT(OR('Your debts'!$B$8&lt;&gt;"",N('Your debts'!$C$8)&gt;0))),"",IF('Your debts'!$D$20="Avalanche",'Avalanche workings'!$N$13,'Snowball workings'!$N$13)+IF('Your debts'!$D$20="Avalanche",'Avalanche workings'!$AH$13,'Snowball workings'!$AH$13))</f>
      </c>
      <c r="K11" s="30">
        <f>IF(OR(6&gt;$Z$1,NOT(OR('Your debts'!$B$8&lt;&gt;"",N('Your debts'!$C$8)&gt;0))),"",IF('Your debts'!$D$20="Avalanche",'Avalanche workings'!$AR$13,'Snowball workings'!$AR$13))</f>
      </c>
      <c r="L11" s="29">
        <f>IF(OR(6&gt;$Z$1,NOT(OR('Your debts'!$B$9&lt;&gt;"",N('Your debts'!$C$9)&gt;0))),"",IF('Your debts'!$D$20="Avalanche",'Avalanche workings'!$O$13,'Snowball workings'!$O$13)+IF('Your debts'!$D$20="Avalanche",'Avalanche workings'!$AI$13,'Snowball workings'!$AI$13))</f>
      </c>
      <c r="M11" s="30">
        <f>IF(OR(6&gt;$Z$1,NOT(OR('Your debts'!$B$9&lt;&gt;"",N('Your debts'!$C$9)&gt;0))),"",IF('Your debts'!$D$20="Avalanche",'Avalanche workings'!$AS$13,'Snowball workings'!$AS$13))</f>
      </c>
      <c r="N11" s="29">
        <f>IF(OR(6&gt;$Z$1,NOT(OR('Your debts'!$B$10&lt;&gt;"",N('Your debts'!$C$10)&gt;0))),"",IF('Your debts'!$D$20="Avalanche",'Avalanche workings'!$P$13,'Snowball workings'!$P$13)+IF('Your debts'!$D$20="Avalanche",'Avalanche workings'!$AJ$13,'Snowball workings'!$AJ$13))</f>
      </c>
      <c r="O11" s="30">
        <f>IF(OR(6&gt;$Z$1,NOT(OR('Your debts'!$B$10&lt;&gt;"",N('Your debts'!$C$10)&gt;0))),"",IF('Your debts'!$D$20="Avalanche",'Avalanche workings'!$AT$13,'Snowball workings'!$AT$13))</f>
      </c>
      <c r="P11" s="29">
        <f>IF(OR(6&gt;$Z$1,NOT(OR('Your debts'!$B$11&lt;&gt;"",N('Your debts'!$C$11)&gt;0))),"",IF('Your debts'!$D$20="Avalanche",'Avalanche workings'!$Q$13,'Snowball workings'!$Q$13)+IF('Your debts'!$D$20="Avalanche",'Avalanche workings'!$AK$13,'Snowball workings'!$AK$13))</f>
      </c>
      <c r="Q11" s="30">
        <f>IF(OR(6&gt;$Z$1,NOT(OR('Your debts'!$B$11&lt;&gt;"",N('Your debts'!$C$11)&gt;0))),"",IF('Your debts'!$D$20="Avalanche",'Avalanche workings'!$AU$13,'Snowball workings'!$AU$13))</f>
      </c>
      <c r="R11" s="29">
        <f>IF(OR(6&gt;$Z$1,NOT(OR('Your debts'!$B$12&lt;&gt;"",N('Your debts'!$C$12)&gt;0))),"",IF('Your debts'!$D$20="Avalanche",'Avalanche workings'!$R$13,'Snowball workings'!$R$13)+IF('Your debts'!$D$20="Avalanche",'Avalanche workings'!$AL$13,'Snowball workings'!$AL$13))</f>
      </c>
      <c r="S11" s="30">
        <f>IF(OR(6&gt;$Z$1,NOT(OR('Your debts'!$B$12&lt;&gt;"",N('Your debts'!$C$12)&gt;0))),"",IF('Your debts'!$D$20="Avalanche",'Avalanche workings'!$AV$13,'Snowball workings'!$AV$13))</f>
      </c>
      <c r="T11" s="29">
        <f>IF(OR(6&gt;$Z$1,NOT(OR('Your debts'!$B$13&lt;&gt;"",N('Your debts'!$C$13)&gt;0))),"",IF('Your debts'!$D$20="Avalanche",'Avalanche workings'!$S$13,'Snowball workings'!$S$13)+IF('Your debts'!$D$20="Avalanche",'Avalanche workings'!$AM$13,'Snowball workings'!$AM$13))</f>
      </c>
      <c r="U11" s="30">
        <f>IF(OR(6&gt;$Z$1,NOT(OR('Your debts'!$B$13&lt;&gt;"",N('Your debts'!$C$13)&gt;0))),"",IF('Your debts'!$D$20="Avalanche",'Avalanche workings'!$AW$13,'Snowball workings'!$AW$13))</f>
      </c>
      <c r="V11" s="29">
        <f>IF(OR(6&gt;$Z$1,NOT(OR('Your debts'!$B$14&lt;&gt;"",N('Your debts'!$C$14)&gt;0))),"",IF('Your debts'!$D$20="Avalanche",'Avalanche workings'!$T$13,'Snowball workings'!$T$13)+IF('Your debts'!$D$20="Avalanche",'Avalanche workings'!$AN$13,'Snowball workings'!$AN$13))</f>
      </c>
      <c r="W11" s="30">
        <f>IF(OR(6&gt;$Z$1,NOT(OR('Your debts'!$B$14&lt;&gt;"",N('Your debts'!$C$14)&gt;0))),"",IF('Your debts'!$D$20="Avalanche",'Avalanche workings'!$AX$13,'Snowball workings'!$AX$13))</f>
      </c>
      <c r="X11" s="29">
        <f>IF(OR(6&gt;$Z$1,NOT(OR('Your debts'!$B$15&lt;&gt;"",N('Your debts'!$C$15)&gt;0))),"",IF('Your debts'!$D$20="Avalanche",'Avalanche workings'!$U$13,'Snowball workings'!$U$13)+IF('Your debts'!$D$20="Avalanche",'Avalanche workings'!$AO$13,'Snowball workings'!$AO$13))</f>
      </c>
      <c r="Y11" s="30">
        <f>IF(OR(6&gt;$Z$1,NOT(OR('Your debts'!$B$15&lt;&gt;"",N('Your debts'!$C$15)&gt;0))),"",IF('Your debts'!$D$20="Avalanche",'Avalanche workings'!$AY$13,'Snowball workings'!$AY$13))</f>
      </c>
    </row>
    <row r="12" spans="1:25" x14ac:dyDescent="0.25">
      <c r="A12" s="2">
        <f>IF(7&gt;$Z$1,"",7)</f>
      </c>
      <c r="B12" s="28">
        <f>IF(7&gt;$Z$1,"",EDATE('Your debts'!$D$21,6))</f>
      </c>
      <c r="C12" s="29">
        <f>IF(7&gt;$Z$1,"",IF('Your debts'!$D$20="Avalanche",'Avalanche workings'!$BC$14,'Snowball workings'!$BC$14))</f>
      </c>
      <c r="D12" s="29">
        <f>IF(7&gt;$Z$1,"",IF('Your debts'!$D$20="Avalanche",'Avalanche workings'!$BA$14,'Snowball workings'!$BA$14))</f>
      </c>
      <c r="E12" s="29">
        <f>IF(7&gt;$Z$1,"",IF('Your debts'!$D$20="Avalanche",'Avalanche workings'!$BB$14,'Snowball workings'!$BB$14))</f>
      </c>
      <c r="F12" s="29">
        <f>IF(OR(7&gt;$Z$1,NOT(OR('Your debts'!$B$6&lt;&gt;"",N('Your debts'!$C$6)&gt;0))),"",IF('Your debts'!$D$20="Avalanche",'Avalanche workings'!$L$14,'Snowball workings'!$L$14)+IF('Your debts'!$D$20="Avalanche",'Avalanche workings'!$AF$14,'Snowball workings'!$AF$14))</f>
      </c>
      <c r="G12" s="30">
        <f>IF(OR(7&gt;$Z$1,NOT(OR('Your debts'!$B$6&lt;&gt;"",N('Your debts'!$C$6)&gt;0))),"",IF('Your debts'!$D$20="Avalanche",'Avalanche workings'!$AP$14,'Snowball workings'!$AP$14))</f>
      </c>
      <c r="H12" s="29">
        <f>IF(OR(7&gt;$Z$1,NOT(OR('Your debts'!$B$7&lt;&gt;"",N('Your debts'!$C$7)&gt;0))),"",IF('Your debts'!$D$20="Avalanche",'Avalanche workings'!$M$14,'Snowball workings'!$M$14)+IF('Your debts'!$D$20="Avalanche",'Avalanche workings'!$AG$14,'Snowball workings'!$AG$14))</f>
      </c>
      <c r="I12" s="30">
        <f>IF(OR(7&gt;$Z$1,NOT(OR('Your debts'!$B$7&lt;&gt;"",N('Your debts'!$C$7)&gt;0))),"",IF('Your debts'!$D$20="Avalanche",'Avalanche workings'!$AQ$14,'Snowball workings'!$AQ$14))</f>
      </c>
      <c r="J12" s="29">
        <f>IF(OR(7&gt;$Z$1,NOT(OR('Your debts'!$B$8&lt;&gt;"",N('Your debts'!$C$8)&gt;0))),"",IF('Your debts'!$D$20="Avalanche",'Avalanche workings'!$N$14,'Snowball workings'!$N$14)+IF('Your debts'!$D$20="Avalanche",'Avalanche workings'!$AH$14,'Snowball workings'!$AH$14))</f>
      </c>
      <c r="K12" s="30">
        <f>IF(OR(7&gt;$Z$1,NOT(OR('Your debts'!$B$8&lt;&gt;"",N('Your debts'!$C$8)&gt;0))),"",IF('Your debts'!$D$20="Avalanche",'Avalanche workings'!$AR$14,'Snowball workings'!$AR$14))</f>
      </c>
      <c r="L12" s="29">
        <f>IF(OR(7&gt;$Z$1,NOT(OR('Your debts'!$B$9&lt;&gt;"",N('Your debts'!$C$9)&gt;0))),"",IF('Your debts'!$D$20="Avalanche",'Avalanche workings'!$O$14,'Snowball workings'!$O$14)+IF('Your debts'!$D$20="Avalanche",'Avalanche workings'!$AI$14,'Snowball workings'!$AI$14))</f>
      </c>
      <c r="M12" s="30">
        <f>IF(OR(7&gt;$Z$1,NOT(OR('Your debts'!$B$9&lt;&gt;"",N('Your debts'!$C$9)&gt;0))),"",IF('Your debts'!$D$20="Avalanche",'Avalanche workings'!$AS$14,'Snowball workings'!$AS$14))</f>
      </c>
      <c r="N12" s="29">
        <f>IF(OR(7&gt;$Z$1,NOT(OR('Your debts'!$B$10&lt;&gt;"",N('Your debts'!$C$10)&gt;0))),"",IF('Your debts'!$D$20="Avalanche",'Avalanche workings'!$P$14,'Snowball workings'!$P$14)+IF('Your debts'!$D$20="Avalanche",'Avalanche workings'!$AJ$14,'Snowball workings'!$AJ$14))</f>
      </c>
      <c r="O12" s="30">
        <f>IF(OR(7&gt;$Z$1,NOT(OR('Your debts'!$B$10&lt;&gt;"",N('Your debts'!$C$10)&gt;0))),"",IF('Your debts'!$D$20="Avalanche",'Avalanche workings'!$AT$14,'Snowball workings'!$AT$14))</f>
      </c>
      <c r="P12" s="29">
        <f>IF(OR(7&gt;$Z$1,NOT(OR('Your debts'!$B$11&lt;&gt;"",N('Your debts'!$C$11)&gt;0))),"",IF('Your debts'!$D$20="Avalanche",'Avalanche workings'!$Q$14,'Snowball workings'!$Q$14)+IF('Your debts'!$D$20="Avalanche",'Avalanche workings'!$AK$14,'Snowball workings'!$AK$14))</f>
      </c>
      <c r="Q12" s="30">
        <f>IF(OR(7&gt;$Z$1,NOT(OR('Your debts'!$B$11&lt;&gt;"",N('Your debts'!$C$11)&gt;0))),"",IF('Your debts'!$D$20="Avalanche",'Avalanche workings'!$AU$14,'Snowball workings'!$AU$14))</f>
      </c>
      <c r="R12" s="29">
        <f>IF(OR(7&gt;$Z$1,NOT(OR('Your debts'!$B$12&lt;&gt;"",N('Your debts'!$C$12)&gt;0))),"",IF('Your debts'!$D$20="Avalanche",'Avalanche workings'!$R$14,'Snowball workings'!$R$14)+IF('Your debts'!$D$20="Avalanche",'Avalanche workings'!$AL$14,'Snowball workings'!$AL$14))</f>
      </c>
      <c r="S12" s="30">
        <f>IF(OR(7&gt;$Z$1,NOT(OR('Your debts'!$B$12&lt;&gt;"",N('Your debts'!$C$12)&gt;0))),"",IF('Your debts'!$D$20="Avalanche",'Avalanche workings'!$AV$14,'Snowball workings'!$AV$14))</f>
      </c>
      <c r="T12" s="29">
        <f>IF(OR(7&gt;$Z$1,NOT(OR('Your debts'!$B$13&lt;&gt;"",N('Your debts'!$C$13)&gt;0))),"",IF('Your debts'!$D$20="Avalanche",'Avalanche workings'!$S$14,'Snowball workings'!$S$14)+IF('Your debts'!$D$20="Avalanche",'Avalanche workings'!$AM$14,'Snowball workings'!$AM$14))</f>
      </c>
      <c r="U12" s="30">
        <f>IF(OR(7&gt;$Z$1,NOT(OR('Your debts'!$B$13&lt;&gt;"",N('Your debts'!$C$13)&gt;0))),"",IF('Your debts'!$D$20="Avalanche",'Avalanche workings'!$AW$14,'Snowball workings'!$AW$14))</f>
      </c>
      <c r="V12" s="29">
        <f>IF(OR(7&gt;$Z$1,NOT(OR('Your debts'!$B$14&lt;&gt;"",N('Your debts'!$C$14)&gt;0))),"",IF('Your debts'!$D$20="Avalanche",'Avalanche workings'!$T$14,'Snowball workings'!$T$14)+IF('Your debts'!$D$20="Avalanche",'Avalanche workings'!$AN$14,'Snowball workings'!$AN$14))</f>
      </c>
      <c r="W12" s="30">
        <f>IF(OR(7&gt;$Z$1,NOT(OR('Your debts'!$B$14&lt;&gt;"",N('Your debts'!$C$14)&gt;0))),"",IF('Your debts'!$D$20="Avalanche",'Avalanche workings'!$AX$14,'Snowball workings'!$AX$14))</f>
      </c>
      <c r="X12" s="29">
        <f>IF(OR(7&gt;$Z$1,NOT(OR('Your debts'!$B$15&lt;&gt;"",N('Your debts'!$C$15)&gt;0))),"",IF('Your debts'!$D$20="Avalanche",'Avalanche workings'!$U$14,'Snowball workings'!$U$14)+IF('Your debts'!$D$20="Avalanche",'Avalanche workings'!$AO$14,'Snowball workings'!$AO$14))</f>
      </c>
      <c r="Y12" s="30">
        <f>IF(OR(7&gt;$Z$1,NOT(OR('Your debts'!$B$15&lt;&gt;"",N('Your debts'!$C$15)&gt;0))),"",IF('Your debts'!$D$20="Avalanche",'Avalanche workings'!$AY$14,'Snowball workings'!$AY$14))</f>
      </c>
    </row>
    <row r="13" spans="1:25" x14ac:dyDescent="0.25">
      <c r="A13" s="2">
        <f>IF(8&gt;$Z$1,"",8)</f>
      </c>
      <c r="B13" s="28">
        <f>IF(8&gt;$Z$1,"",EDATE('Your debts'!$D$21,7))</f>
      </c>
      <c r="C13" s="29">
        <f>IF(8&gt;$Z$1,"",IF('Your debts'!$D$20="Avalanche",'Avalanche workings'!$BC$15,'Snowball workings'!$BC$15))</f>
      </c>
      <c r="D13" s="29">
        <f>IF(8&gt;$Z$1,"",IF('Your debts'!$D$20="Avalanche",'Avalanche workings'!$BA$15,'Snowball workings'!$BA$15))</f>
      </c>
      <c r="E13" s="29">
        <f>IF(8&gt;$Z$1,"",IF('Your debts'!$D$20="Avalanche",'Avalanche workings'!$BB$15,'Snowball workings'!$BB$15))</f>
      </c>
      <c r="F13" s="29">
        <f>IF(OR(8&gt;$Z$1,NOT(OR('Your debts'!$B$6&lt;&gt;"",N('Your debts'!$C$6)&gt;0))),"",IF('Your debts'!$D$20="Avalanche",'Avalanche workings'!$L$15,'Snowball workings'!$L$15)+IF('Your debts'!$D$20="Avalanche",'Avalanche workings'!$AF$15,'Snowball workings'!$AF$15))</f>
      </c>
      <c r="G13" s="30">
        <f>IF(OR(8&gt;$Z$1,NOT(OR('Your debts'!$B$6&lt;&gt;"",N('Your debts'!$C$6)&gt;0))),"",IF('Your debts'!$D$20="Avalanche",'Avalanche workings'!$AP$15,'Snowball workings'!$AP$15))</f>
      </c>
      <c r="H13" s="29">
        <f>IF(OR(8&gt;$Z$1,NOT(OR('Your debts'!$B$7&lt;&gt;"",N('Your debts'!$C$7)&gt;0))),"",IF('Your debts'!$D$20="Avalanche",'Avalanche workings'!$M$15,'Snowball workings'!$M$15)+IF('Your debts'!$D$20="Avalanche",'Avalanche workings'!$AG$15,'Snowball workings'!$AG$15))</f>
      </c>
      <c r="I13" s="30">
        <f>IF(OR(8&gt;$Z$1,NOT(OR('Your debts'!$B$7&lt;&gt;"",N('Your debts'!$C$7)&gt;0))),"",IF('Your debts'!$D$20="Avalanche",'Avalanche workings'!$AQ$15,'Snowball workings'!$AQ$15))</f>
      </c>
      <c r="J13" s="29">
        <f>IF(OR(8&gt;$Z$1,NOT(OR('Your debts'!$B$8&lt;&gt;"",N('Your debts'!$C$8)&gt;0))),"",IF('Your debts'!$D$20="Avalanche",'Avalanche workings'!$N$15,'Snowball workings'!$N$15)+IF('Your debts'!$D$20="Avalanche",'Avalanche workings'!$AH$15,'Snowball workings'!$AH$15))</f>
      </c>
      <c r="K13" s="30">
        <f>IF(OR(8&gt;$Z$1,NOT(OR('Your debts'!$B$8&lt;&gt;"",N('Your debts'!$C$8)&gt;0))),"",IF('Your debts'!$D$20="Avalanche",'Avalanche workings'!$AR$15,'Snowball workings'!$AR$15))</f>
      </c>
      <c r="L13" s="29">
        <f>IF(OR(8&gt;$Z$1,NOT(OR('Your debts'!$B$9&lt;&gt;"",N('Your debts'!$C$9)&gt;0))),"",IF('Your debts'!$D$20="Avalanche",'Avalanche workings'!$O$15,'Snowball workings'!$O$15)+IF('Your debts'!$D$20="Avalanche",'Avalanche workings'!$AI$15,'Snowball workings'!$AI$15))</f>
      </c>
      <c r="M13" s="30">
        <f>IF(OR(8&gt;$Z$1,NOT(OR('Your debts'!$B$9&lt;&gt;"",N('Your debts'!$C$9)&gt;0))),"",IF('Your debts'!$D$20="Avalanche",'Avalanche workings'!$AS$15,'Snowball workings'!$AS$15))</f>
      </c>
      <c r="N13" s="29">
        <f>IF(OR(8&gt;$Z$1,NOT(OR('Your debts'!$B$10&lt;&gt;"",N('Your debts'!$C$10)&gt;0))),"",IF('Your debts'!$D$20="Avalanche",'Avalanche workings'!$P$15,'Snowball workings'!$P$15)+IF('Your debts'!$D$20="Avalanche",'Avalanche workings'!$AJ$15,'Snowball workings'!$AJ$15))</f>
      </c>
      <c r="O13" s="30">
        <f>IF(OR(8&gt;$Z$1,NOT(OR('Your debts'!$B$10&lt;&gt;"",N('Your debts'!$C$10)&gt;0))),"",IF('Your debts'!$D$20="Avalanche",'Avalanche workings'!$AT$15,'Snowball workings'!$AT$15))</f>
      </c>
      <c r="P13" s="29">
        <f>IF(OR(8&gt;$Z$1,NOT(OR('Your debts'!$B$11&lt;&gt;"",N('Your debts'!$C$11)&gt;0))),"",IF('Your debts'!$D$20="Avalanche",'Avalanche workings'!$Q$15,'Snowball workings'!$Q$15)+IF('Your debts'!$D$20="Avalanche",'Avalanche workings'!$AK$15,'Snowball workings'!$AK$15))</f>
      </c>
      <c r="Q13" s="30">
        <f>IF(OR(8&gt;$Z$1,NOT(OR('Your debts'!$B$11&lt;&gt;"",N('Your debts'!$C$11)&gt;0))),"",IF('Your debts'!$D$20="Avalanche",'Avalanche workings'!$AU$15,'Snowball workings'!$AU$15))</f>
      </c>
      <c r="R13" s="29">
        <f>IF(OR(8&gt;$Z$1,NOT(OR('Your debts'!$B$12&lt;&gt;"",N('Your debts'!$C$12)&gt;0))),"",IF('Your debts'!$D$20="Avalanche",'Avalanche workings'!$R$15,'Snowball workings'!$R$15)+IF('Your debts'!$D$20="Avalanche",'Avalanche workings'!$AL$15,'Snowball workings'!$AL$15))</f>
      </c>
      <c r="S13" s="30">
        <f>IF(OR(8&gt;$Z$1,NOT(OR('Your debts'!$B$12&lt;&gt;"",N('Your debts'!$C$12)&gt;0))),"",IF('Your debts'!$D$20="Avalanche",'Avalanche workings'!$AV$15,'Snowball workings'!$AV$15))</f>
      </c>
      <c r="T13" s="29">
        <f>IF(OR(8&gt;$Z$1,NOT(OR('Your debts'!$B$13&lt;&gt;"",N('Your debts'!$C$13)&gt;0))),"",IF('Your debts'!$D$20="Avalanche",'Avalanche workings'!$S$15,'Snowball workings'!$S$15)+IF('Your debts'!$D$20="Avalanche",'Avalanche workings'!$AM$15,'Snowball workings'!$AM$15))</f>
      </c>
      <c r="U13" s="30">
        <f>IF(OR(8&gt;$Z$1,NOT(OR('Your debts'!$B$13&lt;&gt;"",N('Your debts'!$C$13)&gt;0))),"",IF('Your debts'!$D$20="Avalanche",'Avalanche workings'!$AW$15,'Snowball workings'!$AW$15))</f>
      </c>
      <c r="V13" s="29">
        <f>IF(OR(8&gt;$Z$1,NOT(OR('Your debts'!$B$14&lt;&gt;"",N('Your debts'!$C$14)&gt;0))),"",IF('Your debts'!$D$20="Avalanche",'Avalanche workings'!$T$15,'Snowball workings'!$T$15)+IF('Your debts'!$D$20="Avalanche",'Avalanche workings'!$AN$15,'Snowball workings'!$AN$15))</f>
      </c>
      <c r="W13" s="30">
        <f>IF(OR(8&gt;$Z$1,NOT(OR('Your debts'!$B$14&lt;&gt;"",N('Your debts'!$C$14)&gt;0))),"",IF('Your debts'!$D$20="Avalanche",'Avalanche workings'!$AX$15,'Snowball workings'!$AX$15))</f>
      </c>
      <c r="X13" s="29">
        <f>IF(OR(8&gt;$Z$1,NOT(OR('Your debts'!$B$15&lt;&gt;"",N('Your debts'!$C$15)&gt;0))),"",IF('Your debts'!$D$20="Avalanche",'Avalanche workings'!$U$15,'Snowball workings'!$U$15)+IF('Your debts'!$D$20="Avalanche",'Avalanche workings'!$AO$15,'Snowball workings'!$AO$15))</f>
      </c>
      <c r="Y13" s="30">
        <f>IF(OR(8&gt;$Z$1,NOT(OR('Your debts'!$B$15&lt;&gt;"",N('Your debts'!$C$15)&gt;0))),"",IF('Your debts'!$D$20="Avalanche",'Avalanche workings'!$AY$15,'Snowball workings'!$AY$15))</f>
      </c>
    </row>
    <row r="14" spans="1:25" x14ac:dyDescent="0.25">
      <c r="A14" s="2">
        <f>IF(9&gt;$Z$1,"",9)</f>
      </c>
      <c r="B14" s="28">
        <f>IF(9&gt;$Z$1,"",EDATE('Your debts'!$D$21,8))</f>
      </c>
      <c r="C14" s="29">
        <f>IF(9&gt;$Z$1,"",IF('Your debts'!$D$20="Avalanche",'Avalanche workings'!$BC$16,'Snowball workings'!$BC$16))</f>
      </c>
      <c r="D14" s="29">
        <f>IF(9&gt;$Z$1,"",IF('Your debts'!$D$20="Avalanche",'Avalanche workings'!$BA$16,'Snowball workings'!$BA$16))</f>
      </c>
      <c r="E14" s="29">
        <f>IF(9&gt;$Z$1,"",IF('Your debts'!$D$20="Avalanche",'Avalanche workings'!$BB$16,'Snowball workings'!$BB$16))</f>
      </c>
      <c r="F14" s="29">
        <f>IF(OR(9&gt;$Z$1,NOT(OR('Your debts'!$B$6&lt;&gt;"",N('Your debts'!$C$6)&gt;0))),"",IF('Your debts'!$D$20="Avalanche",'Avalanche workings'!$L$16,'Snowball workings'!$L$16)+IF('Your debts'!$D$20="Avalanche",'Avalanche workings'!$AF$16,'Snowball workings'!$AF$16))</f>
      </c>
      <c r="G14" s="30">
        <f>IF(OR(9&gt;$Z$1,NOT(OR('Your debts'!$B$6&lt;&gt;"",N('Your debts'!$C$6)&gt;0))),"",IF('Your debts'!$D$20="Avalanche",'Avalanche workings'!$AP$16,'Snowball workings'!$AP$16))</f>
      </c>
      <c r="H14" s="29">
        <f>IF(OR(9&gt;$Z$1,NOT(OR('Your debts'!$B$7&lt;&gt;"",N('Your debts'!$C$7)&gt;0))),"",IF('Your debts'!$D$20="Avalanche",'Avalanche workings'!$M$16,'Snowball workings'!$M$16)+IF('Your debts'!$D$20="Avalanche",'Avalanche workings'!$AG$16,'Snowball workings'!$AG$16))</f>
      </c>
      <c r="I14" s="30">
        <f>IF(OR(9&gt;$Z$1,NOT(OR('Your debts'!$B$7&lt;&gt;"",N('Your debts'!$C$7)&gt;0))),"",IF('Your debts'!$D$20="Avalanche",'Avalanche workings'!$AQ$16,'Snowball workings'!$AQ$16))</f>
      </c>
      <c r="J14" s="29">
        <f>IF(OR(9&gt;$Z$1,NOT(OR('Your debts'!$B$8&lt;&gt;"",N('Your debts'!$C$8)&gt;0))),"",IF('Your debts'!$D$20="Avalanche",'Avalanche workings'!$N$16,'Snowball workings'!$N$16)+IF('Your debts'!$D$20="Avalanche",'Avalanche workings'!$AH$16,'Snowball workings'!$AH$16))</f>
      </c>
      <c r="K14" s="30">
        <f>IF(OR(9&gt;$Z$1,NOT(OR('Your debts'!$B$8&lt;&gt;"",N('Your debts'!$C$8)&gt;0))),"",IF('Your debts'!$D$20="Avalanche",'Avalanche workings'!$AR$16,'Snowball workings'!$AR$16))</f>
      </c>
      <c r="L14" s="29">
        <f>IF(OR(9&gt;$Z$1,NOT(OR('Your debts'!$B$9&lt;&gt;"",N('Your debts'!$C$9)&gt;0))),"",IF('Your debts'!$D$20="Avalanche",'Avalanche workings'!$O$16,'Snowball workings'!$O$16)+IF('Your debts'!$D$20="Avalanche",'Avalanche workings'!$AI$16,'Snowball workings'!$AI$16))</f>
      </c>
      <c r="M14" s="30">
        <f>IF(OR(9&gt;$Z$1,NOT(OR('Your debts'!$B$9&lt;&gt;"",N('Your debts'!$C$9)&gt;0))),"",IF('Your debts'!$D$20="Avalanche",'Avalanche workings'!$AS$16,'Snowball workings'!$AS$16))</f>
      </c>
      <c r="N14" s="29">
        <f>IF(OR(9&gt;$Z$1,NOT(OR('Your debts'!$B$10&lt;&gt;"",N('Your debts'!$C$10)&gt;0))),"",IF('Your debts'!$D$20="Avalanche",'Avalanche workings'!$P$16,'Snowball workings'!$P$16)+IF('Your debts'!$D$20="Avalanche",'Avalanche workings'!$AJ$16,'Snowball workings'!$AJ$16))</f>
      </c>
      <c r="O14" s="30">
        <f>IF(OR(9&gt;$Z$1,NOT(OR('Your debts'!$B$10&lt;&gt;"",N('Your debts'!$C$10)&gt;0))),"",IF('Your debts'!$D$20="Avalanche",'Avalanche workings'!$AT$16,'Snowball workings'!$AT$16))</f>
      </c>
      <c r="P14" s="29">
        <f>IF(OR(9&gt;$Z$1,NOT(OR('Your debts'!$B$11&lt;&gt;"",N('Your debts'!$C$11)&gt;0))),"",IF('Your debts'!$D$20="Avalanche",'Avalanche workings'!$Q$16,'Snowball workings'!$Q$16)+IF('Your debts'!$D$20="Avalanche",'Avalanche workings'!$AK$16,'Snowball workings'!$AK$16))</f>
      </c>
      <c r="Q14" s="30">
        <f>IF(OR(9&gt;$Z$1,NOT(OR('Your debts'!$B$11&lt;&gt;"",N('Your debts'!$C$11)&gt;0))),"",IF('Your debts'!$D$20="Avalanche",'Avalanche workings'!$AU$16,'Snowball workings'!$AU$16))</f>
      </c>
      <c r="R14" s="29">
        <f>IF(OR(9&gt;$Z$1,NOT(OR('Your debts'!$B$12&lt;&gt;"",N('Your debts'!$C$12)&gt;0))),"",IF('Your debts'!$D$20="Avalanche",'Avalanche workings'!$R$16,'Snowball workings'!$R$16)+IF('Your debts'!$D$20="Avalanche",'Avalanche workings'!$AL$16,'Snowball workings'!$AL$16))</f>
      </c>
      <c r="S14" s="30">
        <f>IF(OR(9&gt;$Z$1,NOT(OR('Your debts'!$B$12&lt;&gt;"",N('Your debts'!$C$12)&gt;0))),"",IF('Your debts'!$D$20="Avalanche",'Avalanche workings'!$AV$16,'Snowball workings'!$AV$16))</f>
      </c>
      <c r="T14" s="29">
        <f>IF(OR(9&gt;$Z$1,NOT(OR('Your debts'!$B$13&lt;&gt;"",N('Your debts'!$C$13)&gt;0))),"",IF('Your debts'!$D$20="Avalanche",'Avalanche workings'!$S$16,'Snowball workings'!$S$16)+IF('Your debts'!$D$20="Avalanche",'Avalanche workings'!$AM$16,'Snowball workings'!$AM$16))</f>
      </c>
      <c r="U14" s="30">
        <f>IF(OR(9&gt;$Z$1,NOT(OR('Your debts'!$B$13&lt;&gt;"",N('Your debts'!$C$13)&gt;0))),"",IF('Your debts'!$D$20="Avalanche",'Avalanche workings'!$AW$16,'Snowball workings'!$AW$16))</f>
      </c>
      <c r="V14" s="29">
        <f>IF(OR(9&gt;$Z$1,NOT(OR('Your debts'!$B$14&lt;&gt;"",N('Your debts'!$C$14)&gt;0))),"",IF('Your debts'!$D$20="Avalanche",'Avalanche workings'!$T$16,'Snowball workings'!$T$16)+IF('Your debts'!$D$20="Avalanche",'Avalanche workings'!$AN$16,'Snowball workings'!$AN$16))</f>
      </c>
      <c r="W14" s="30">
        <f>IF(OR(9&gt;$Z$1,NOT(OR('Your debts'!$B$14&lt;&gt;"",N('Your debts'!$C$14)&gt;0))),"",IF('Your debts'!$D$20="Avalanche",'Avalanche workings'!$AX$16,'Snowball workings'!$AX$16))</f>
      </c>
      <c r="X14" s="29">
        <f>IF(OR(9&gt;$Z$1,NOT(OR('Your debts'!$B$15&lt;&gt;"",N('Your debts'!$C$15)&gt;0))),"",IF('Your debts'!$D$20="Avalanche",'Avalanche workings'!$U$16,'Snowball workings'!$U$16)+IF('Your debts'!$D$20="Avalanche",'Avalanche workings'!$AO$16,'Snowball workings'!$AO$16))</f>
      </c>
      <c r="Y14" s="30">
        <f>IF(OR(9&gt;$Z$1,NOT(OR('Your debts'!$B$15&lt;&gt;"",N('Your debts'!$C$15)&gt;0))),"",IF('Your debts'!$D$20="Avalanche",'Avalanche workings'!$AY$16,'Snowball workings'!$AY$16))</f>
      </c>
    </row>
    <row r="15" spans="1:25" x14ac:dyDescent="0.25">
      <c r="A15" s="2">
        <f>IF(10&gt;$Z$1,"",10)</f>
      </c>
      <c r="B15" s="28">
        <f>IF(10&gt;$Z$1,"",EDATE('Your debts'!$D$21,9))</f>
      </c>
      <c r="C15" s="29">
        <f>IF(10&gt;$Z$1,"",IF('Your debts'!$D$20="Avalanche",'Avalanche workings'!$BC$17,'Snowball workings'!$BC$17))</f>
      </c>
      <c r="D15" s="29">
        <f>IF(10&gt;$Z$1,"",IF('Your debts'!$D$20="Avalanche",'Avalanche workings'!$BA$17,'Snowball workings'!$BA$17))</f>
      </c>
      <c r="E15" s="29">
        <f>IF(10&gt;$Z$1,"",IF('Your debts'!$D$20="Avalanche",'Avalanche workings'!$BB$17,'Snowball workings'!$BB$17))</f>
      </c>
      <c r="F15" s="29">
        <f>IF(OR(10&gt;$Z$1,NOT(OR('Your debts'!$B$6&lt;&gt;"",N('Your debts'!$C$6)&gt;0))),"",IF('Your debts'!$D$20="Avalanche",'Avalanche workings'!$L$17,'Snowball workings'!$L$17)+IF('Your debts'!$D$20="Avalanche",'Avalanche workings'!$AF$17,'Snowball workings'!$AF$17))</f>
      </c>
      <c r="G15" s="30">
        <f>IF(OR(10&gt;$Z$1,NOT(OR('Your debts'!$B$6&lt;&gt;"",N('Your debts'!$C$6)&gt;0))),"",IF('Your debts'!$D$20="Avalanche",'Avalanche workings'!$AP$17,'Snowball workings'!$AP$17))</f>
      </c>
      <c r="H15" s="29">
        <f>IF(OR(10&gt;$Z$1,NOT(OR('Your debts'!$B$7&lt;&gt;"",N('Your debts'!$C$7)&gt;0))),"",IF('Your debts'!$D$20="Avalanche",'Avalanche workings'!$M$17,'Snowball workings'!$M$17)+IF('Your debts'!$D$20="Avalanche",'Avalanche workings'!$AG$17,'Snowball workings'!$AG$17))</f>
      </c>
      <c r="I15" s="30">
        <f>IF(OR(10&gt;$Z$1,NOT(OR('Your debts'!$B$7&lt;&gt;"",N('Your debts'!$C$7)&gt;0))),"",IF('Your debts'!$D$20="Avalanche",'Avalanche workings'!$AQ$17,'Snowball workings'!$AQ$17))</f>
      </c>
      <c r="J15" s="29">
        <f>IF(OR(10&gt;$Z$1,NOT(OR('Your debts'!$B$8&lt;&gt;"",N('Your debts'!$C$8)&gt;0))),"",IF('Your debts'!$D$20="Avalanche",'Avalanche workings'!$N$17,'Snowball workings'!$N$17)+IF('Your debts'!$D$20="Avalanche",'Avalanche workings'!$AH$17,'Snowball workings'!$AH$17))</f>
      </c>
      <c r="K15" s="30">
        <f>IF(OR(10&gt;$Z$1,NOT(OR('Your debts'!$B$8&lt;&gt;"",N('Your debts'!$C$8)&gt;0))),"",IF('Your debts'!$D$20="Avalanche",'Avalanche workings'!$AR$17,'Snowball workings'!$AR$17))</f>
      </c>
      <c r="L15" s="29">
        <f>IF(OR(10&gt;$Z$1,NOT(OR('Your debts'!$B$9&lt;&gt;"",N('Your debts'!$C$9)&gt;0))),"",IF('Your debts'!$D$20="Avalanche",'Avalanche workings'!$O$17,'Snowball workings'!$O$17)+IF('Your debts'!$D$20="Avalanche",'Avalanche workings'!$AI$17,'Snowball workings'!$AI$17))</f>
      </c>
      <c r="M15" s="30">
        <f>IF(OR(10&gt;$Z$1,NOT(OR('Your debts'!$B$9&lt;&gt;"",N('Your debts'!$C$9)&gt;0))),"",IF('Your debts'!$D$20="Avalanche",'Avalanche workings'!$AS$17,'Snowball workings'!$AS$17))</f>
      </c>
      <c r="N15" s="29">
        <f>IF(OR(10&gt;$Z$1,NOT(OR('Your debts'!$B$10&lt;&gt;"",N('Your debts'!$C$10)&gt;0))),"",IF('Your debts'!$D$20="Avalanche",'Avalanche workings'!$P$17,'Snowball workings'!$P$17)+IF('Your debts'!$D$20="Avalanche",'Avalanche workings'!$AJ$17,'Snowball workings'!$AJ$17))</f>
      </c>
      <c r="O15" s="30">
        <f>IF(OR(10&gt;$Z$1,NOT(OR('Your debts'!$B$10&lt;&gt;"",N('Your debts'!$C$10)&gt;0))),"",IF('Your debts'!$D$20="Avalanche",'Avalanche workings'!$AT$17,'Snowball workings'!$AT$17))</f>
      </c>
      <c r="P15" s="29">
        <f>IF(OR(10&gt;$Z$1,NOT(OR('Your debts'!$B$11&lt;&gt;"",N('Your debts'!$C$11)&gt;0))),"",IF('Your debts'!$D$20="Avalanche",'Avalanche workings'!$Q$17,'Snowball workings'!$Q$17)+IF('Your debts'!$D$20="Avalanche",'Avalanche workings'!$AK$17,'Snowball workings'!$AK$17))</f>
      </c>
      <c r="Q15" s="30">
        <f>IF(OR(10&gt;$Z$1,NOT(OR('Your debts'!$B$11&lt;&gt;"",N('Your debts'!$C$11)&gt;0))),"",IF('Your debts'!$D$20="Avalanche",'Avalanche workings'!$AU$17,'Snowball workings'!$AU$17))</f>
      </c>
      <c r="R15" s="29">
        <f>IF(OR(10&gt;$Z$1,NOT(OR('Your debts'!$B$12&lt;&gt;"",N('Your debts'!$C$12)&gt;0))),"",IF('Your debts'!$D$20="Avalanche",'Avalanche workings'!$R$17,'Snowball workings'!$R$17)+IF('Your debts'!$D$20="Avalanche",'Avalanche workings'!$AL$17,'Snowball workings'!$AL$17))</f>
      </c>
      <c r="S15" s="30">
        <f>IF(OR(10&gt;$Z$1,NOT(OR('Your debts'!$B$12&lt;&gt;"",N('Your debts'!$C$12)&gt;0))),"",IF('Your debts'!$D$20="Avalanche",'Avalanche workings'!$AV$17,'Snowball workings'!$AV$17))</f>
      </c>
      <c r="T15" s="29">
        <f>IF(OR(10&gt;$Z$1,NOT(OR('Your debts'!$B$13&lt;&gt;"",N('Your debts'!$C$13)&gt;0))),"",IF('Your debts'!$D$20="Avalanche",'Avalanche workings'!$S$17,'Snowball workings'!$S$17)+IF('Your debts'!$D$20="Avalanche",'Avalanche workings'!$AM$17,'Snowball workings'!$AM$17))</f>
      </c>
      <c r="U15" s="30">
        <f>IF(OR(10&gt;$Z$1,NOT(OR('Your debts'!$B$13&lt;&gt;"",N('Your debts'!$C$13)&gt;0))),"",IF('Your debts'!$D$20="Avalanche",'Avalanche workings'!$AW$17,'Snowball workings'!$AW$17))</f>
      </c>
      <c r="V15" s="29">
        <f>IF(OR(10&gt;$Z$1,NOT(OR('Your debts'!$B$14&lt;&gt;"",N('Your debts'!$C$14)&gt;0))),"",IF('Your debts'!$D$20="Avalanche",'Avalanche workings'!$T$17,'Snowball workings'!$T$17)+IF('Your debts'!$D$20="Avalanche",'Avalanche workings'!$AN$17,'Snowball workings'!$AN$17))</f>
      </c>
      <c r="W15" s="30">
        <f>IF(OR(10&gt;$Z$1,NOT(OR('Your debts'!$B$14&lt;&gt;"",N('Your debts'!$C$14)&gt;0))),"",IF('Your debts'!$D$20="Avalanche",'Avalanche workings'!$AX$17,'Snowball workings'!$AX$17))</f>
      </c>
      <c r="X15" s="29">
        <f>IF(OR(10&gt;$Z$1,NOT(OR('Your debts'!$B$15&lt;&gt;"",N('Your debts'!$C$15)&gt;0))),"",IF('Your debts'!$D$20="Avalanche",'Avalanche workings'!$U$17,'Snowball workings'!$U$17)+IF('Your debts'!$D$20="Avalanche",'Avalanche workings'!$AO$17,'Snowball workings'!$AO$17))</f>
      </c>
      <c r="Y15" s="30">
        <f>IF(OR(10&gt;$Z$1,NOT(OR('Your debts'!$B$15&lt;&gt;"",N('Your debts'!$C$15)&gt;0))),"",IF('Your debts'!$D$20="Avalanche",'Avalanche workings'!$AY$17,'Snowball workings'!$AY$17))</f>
      </c>
    </row>
    <row r="16" spans="1:25" x14ac:dyDescent="0.25">
      <c r="A16" s="2">
        <f>IF(11&gt;$Z$1,"",11)</f>
      </c>
      <c r="B16" s="28">
        <f>IF(11&gt;$Z$1,"",EDATE('Your debts'!$D$21,10))</f>
      </c>
      <c r="C16" s="29">
        <f>IF(11&gt;$Z$1,"",IF('Your debts'!$D$20="Avalanche",'Avalanche workings'!$BC$18,'Snowball workings'!$BC$18))</f>
      </c>
      <c r="D16" s="29">
        <f>IF(11&gt;$Z$1,"",IF('Your debts'!$D$20="Avalanche",'Avalanche workings'!$BA$18,'Snowball workings'!$BA$18))</f>
      </c>
      <c r="E16" s="29">
        <f>IF(11&gt;$Z$1,"",IF('Your debts'!$D$20="Avalanche",'Avalanche workings'!$BB$18,'Snowball workings'!$BB$18))</f>
      </c>
      <c r="F16" s="29">
        <f>IF(OR(11&gt;$Z$1,NOT(OR('Your debts'!$B$6&lt;&gt;"",N('Your debts'!$C$6)&gt;0))),"",IF('Your debts'!$D$20="Avalanche",'Avalanche workings'!$L$18,'Snowball workings'!$L$18)+IF('Your debts'!$D$20="Avalanche",'Avalanche workings'!$AF$18,'Snowball workings'!$AF$18))</f>
      </c>
      <c r="G16" s="30">
        <f>IF(OR(11&gt;$Z$1,NOT(OR('Your debts'!$B$6&lt;&gt;"",N('Your debts'!$C$6)&gt;0))),"",IF('Your debts'!$D$20="Avalanche",'Avalanche workings'!$AP$18,'Snowball workings'!$AP$18))</f>
      </c>
      <c r="H16" s="29">
        <f>IF(OR(11&gt;$Z$1,NOT(OR('Your debts'!$B$7&lt;&gt;"",N('Your debts'!$C$7)&gt;0))),"",IF('Your debts'!$D$20="Avalanche",'Avalanche workings'!$M$18,'Snowball workings'!$M$18)+IF('Your debts'!$D$20="Avalanche",'Avalanche workings'!$AG$18,'Snowball workings'!$AG$18))</f>
      </c>
      <c r="I16" s="30">
        <f>IF(OR(11&gt;$Z$1,NOT(OR('Your debts'!$B$7&lt;&gt;"",N('Your debts'!$C$7)&gt;0))),"",IF('Your debts'!$D$20="Avalanche",'Avalanche workings'!$AQ$18,'Snowball workings'!$AQ$18))</f>
      </c>
      <c r="J16" s="29">
        <f>IF(OR(11&gt;$Z$1,NOT(OR('Your debts'!$B$8&lt;&gt;"",N('Your debts'!$C$8)&gt;0))),"",IF('Your debts'!$D$20="Avalanche",'Avalanche workings'!$N$18,'Snowball workings'!$N$18)+IF('Your debts'!$D$20="Avalanche",'Avalanche workings'!$AH$18,'Snowball workings'!$AH$18))</f>
      </c>
      <c r="K16" s="30">
        <f>IF(OR(11&gt;$Z$1,NOT(OR('Your debts'!$B$8&lt;&gt;"",N('Your debts'!$C$8)&gt;0))),"",IF('Your debts'!$D$20="Avalanche",'Avalanche workings'!$AR$18,'Snowball workings'!$AR$18))</f>
      </c>
      <c r="L16" s="29">
        <f>IF(OR(11&gt;$Z$1,NOT(OR('Your debts'!$B$9&lt;&gt;"",N('Your debts'!$C$9)&gt;0))),"",IF('Your debts'!$D$20="Avalanche",'Avalanche workings'!$O$18,'Snowball workings'!$O$18)+IF('Your debts'!$D$20="Avalanche",'Avalanche workings'!$AI$18,'Snowball workings'!$AI$18))</f>
      </c>
      <c r="M16" s="30">
        <f>IF(OR(11&gt;$Z$1,NOT(OR('Your debts'!$B$9&lt;&gt;"",N('Your debts'!$C$9)&gt;0))),"",IF('Your debts'!$D$20="Avalanche",'Avalanche workings'!$AS$18,'Snowball workings'!$AS$18))</f>
      </c>
      <c r="N16" s="29">
        <f>IF(OR(11&gt;$Z$1,NOT(OR('Your debts'!$B$10&lt;&gt;"",N('Your debts'!$C$10)&gt;0))),"",IF('Your debts'!$D$20="Avalanche",'Avalanche workings'!$P$18,'Snowball workings'!$P$18)+IF('Your debts'!$D$20="Avalanche",'Avalanche workings'!$AJ$18,'Snowball workings'!$AJ$18))</f>
      </c>
      <c r="O16" s="30">
        <f>IF(OR(11&gt;$Z$1,NOT(OR('Your debts'!$B$10&lt;&gt;"",N('Your debts'!$C$10)&gt;0))),"",IF('Your debts'!$D$20="Avalanche",'Avalanche workings'!$AT$18,'Snowball workings'!$AT$18))</f>
      </c>
      <c r="P16" s="29">
        <f>IF(OR(11&gt;$Z$1,NOT(OR('Your debts'!$B$11&lt;&gt;"",N('Your debts'!$C$11)&gt;0))),"",IF('Your debts'!$D$20="Avalanche",'Avalanche workings'!$Q$18,'Snowball workings'!$Q$18)+IF('Your debts'!$D$20="Avalanche",'Avalanche workings'!$AK$18,'Snowball workings'!$AK$18))</f>
      </c>
      <c r="Q16" s="30">
        <f>IF(OR(11&gt;$Z$1,NOT(OR('Your debts'!$B$11&lt;&gt;"",N('Your debts'!$C$11)&gt;0))),"",IF('Your debts'!$D$20="Avalanche",'Avalanche workings'!$AU$18,'Snowball workings'!$AU$18))</f>
      </c>
      <c r="R16" s="29">
        <f>IF(OR(11&gt;$Z$1,NOT(OR('Your debts'!$B$12&lt;&gt;"",N('Your debts'!$C$12)&gt;0))),"",IF('Your debts'!$D$20="Avalanche",'Avalanche workings'!$R$18,'Snowball workings'!$R$18)+IF('Your debts'!$D$20="Avalanche",'Avalanche workings'!$AL$18,'Snowball workings'!$AL$18))</f>
      </c>
      <c r="S16" s="30">
        <f>IF(OR(11&gt;$Z$1,NOT(OR('Your debts'!$B$12&lt;&gt;"",N('Your debts'!$C$12)&gt;0))),"",IF('Your debts'!$D$20="Avalanche",'Avalanche workings'!$AV$18,'Snowball workings'!$AV$18))</f>
      </c>
      <c r="T16" s="29">
        <f>IF(OR(11&gt;$Z$1,NOT(OR('Your debts'!$B$13&lt;&gt;"",N('Your debts'!$C$13)&gt;0))),"",IF('Your debts'!$D$20="Avalanche",'Avalanche workings'!$S$18,'Snowball workings'!$S$18)+IF('Your debts'!$D$20="Avalanche",'Avalanche workings'!$AM$18,'Snowball workings'!$AM$18))</f>
      </c>
      <c r="U16" s="30">
        <f>IF(OR(11&gt;$Z$1,NOT(OR('Your debts'!$B$13&lt;&gt;"",N('Your debts'!$C$13)&gt;0))),"",IF('Your debts'!$D$20="Avalanche",'Avalanche workings'!$AW$18,'Snowball workings'!$AW$18))</f>
      </c>
      <c r="V16" s="29">
        <f>IF(OR(11&gt;$Z$1,NOT(OR('Your debts'!$B$14&lt;&gt;"",N('Your debts'!$C$14)&gt;0))),"",IF('Your debts'!$D$20="Avalanche",'Avalanche workings'!$T$18,'Snowball workings'!$T$18)+IF('Your debts'!$D$20="Avalanche",'Avalanche workings'!$AN$18,'Snowball workings'!$AN$18))</f>
      </c>
      <c r="W16" s="30">
        <f>IF(OR(11&gt;$Z$1,NOT(OR('Your debts'!$B$14&lt;&gt;"",N('Your debts'!$C$14)&gt;0))),"",IF('Your debts'!$D$20="Avalanche",'Avalanche workings'!$AX$18,'Snowball workings'!$AX$18))</f>
      </c>
      <c r="X16" s="29">
        <f>IF(OR(11&gt;$Z$1,NOT(OR('Your debts'!$B$15&lt;&gt;"",N('Your debts'!$C$15)&gt;0))),"",IF('Your debts'!$D$20="Avalanche",'Avalanche workings'!$U$18,'Snowball workings'!$U$18)+IF('Your debts'!$D$20="Avalanche",'Avalanche workings'!$AO$18,'Snowball workings'!$AO$18))</f>
      </c>
      <c r="Y16" s="30">
        <f>IF(OR(11&gt;$Z$1,NOT(OR('Your debts'!$B$15&lt;&gt;"",N('Your debts'!$C$15)&gt;0))),"",IF('Your debts'!$D$20="Avalanche",'Avalanche workings'!$AY$18,'Snowball workings'!$AY$18))</f>
      </c>
    </row>
    <row r="17" spans="1:25" x14ac:dyDescent="0.25">
      <c r="A17" s="2">
        <f>IF(12&gt;$Z$1,"",12)</f>
      </c>
      <c r="B17" s="28">
        <f>IF(12&gt;$Z$1,"",EDATE('Your debts'!$D$21,11))</f>
      </c>
      <c r="C17" s="29">
        <f>IF(12&gt;$Z$1,"",IF('Your debts'!$D$20="Avalanche",'Avalanche workings'!$BC$19,'Snowball workings'!$BC$19))</f>
      </c>
      <c r="D17" s="29">
        <f>IF(12&gt;$Z$1,"",IF('Your debts'!$D$20="Avalanche",'Avalanche workings'!$BA$19,'Snowball workings'!$BA$19))</f>
      </c>
      <c r="E17" s="29">
        <f>IF(12&gt;$Z$1,"",IF('Your debts'!$D$20="Avalanche",'Avalanche workings'!$BB$19,'Snowball workings'!$BB$19))</f>
      </c>
      <c r="F17" s="29">
        <f>IF(OR(12&gt;$Z$1,NOT(OR('Your debts'!$B$6&lt;&gt;"",N('Your debts'!$C$6)&gt;0))),"",IF('Your debts'!$D$20="Avalanche",'Avalanche workings'!$L$19,'Snowball workings'!$L$19)+IF('Your debts'!$D$20="Avalanche",'Avalanche workings'!$AF$19,'Snowball workings'!$AF$19))</f>
      </c>
      <c r="G17" s="30">
        <f>IF(OR(12&gt;$Z$1,NOT(OR('Your debts'!$B$6&lt;&gt;"",N('Your debts'!$C$6)&gt;0))),"",IF('Your debts'!$D$20="Avalanche",'Avalanche workings'!$AP$19,'Snowball workings'!$AP$19))</f>
      </c>
      <c r="H17" s="29">
        <f>IF(OR(12&gt;$Z$1,NOT(OR('Your debts'!$B$7&lt;&gt;"",N('Your debts'!$C$7)&gt;0))),"",IF('Your debts'!$D$20="Avalanche",'Avalanche workings'!$M$19,'Snowball workings'!$M$19)+IF('Your debts'!$D$20="Avalanche",'Avalanche workings'!$AG$19,'Snowball workings'!$AG$19))</f>
      </c>
      <c r="I17" s="30">
        <f>IF(OR(12&gt;$Z$1,NOT(OR('Your debts'!$B$7&lt;&gt;"",N('Your debts'!$C$7)&gt;0))),"",IF('Your debts'!$D$20="Avalanche",'Avalanche workings'!$AQ$19,'Snowball workings'!$AQ$19))</f>
      </c>
      <c r="J17" s="29">
        <f>IF(OR(12&gt;$Z$1,NOT(OR('Your debts'!$B$8&lt;&gt;"",N('Your debts'!$C$8)&gt;0))),"",IF('Your debts'!$D$20="Avalanche",'Avalanche workings'!$N$19,'Snowball workings'!$N$19)+IF('Your debts'!$D$20="Avalanche",'Avalanche workings'!$AH$19,'Snowball workings'!$AH$19))</f>
      </c>
      <c r="K17" s="30">
        <f>IF(OR(12&gt;$Z$1,NOT(OR('Your debts'!$B$8&lt;&gt;"",N('Your debts'!$C$8)&gt;0))),"",IF('Your debts'!$D$20="Avalanche",'Avalanche workings'!$AR$19,'Snowball workings'!$AR$19))</f>
      </c>
      <c r="L17" s="29">
        <f>IF(OR(12&gt;$Z$1,NOT(OR('Your debts'!$B$9&lt;&gt;"",N('Your debts'!$C$9)&gt;0))),"",IF('Your debts'!$D$20="Avalanche",'Avalanche workings'!$O$19,'Snowball workings'!$O$19)+IF('Your debts'!$D$20="Avalanche",'Avalanche workings'!$AI$19,'Snowball workings'!$AI$19))</f>
      </c>
      <c r="M17" s="30">
        <f>IF(OR(12&gt;$Z$1,NOT(OR('Your debts'!$B$9&lt;&gt;"",N('Your debts'!$C$9)&gt;0))),"",IF('Your debts'!$D$20="Avalanche",'Avalanche workings'!$AS$19,'Snowball workings'!$AS$19))</f>
      </c>
      <c r="N17" s="29">
        <f>IF(OR(12&gt;$Z$1,NOT(OR('Your debts'!$B$10&lt;&gt;"",N('Your debts'!$C$10)&gt;0))),"",IF('Your debts'!$D$20="Avalanche",'Avalanche workings'!$P$19,'Snowball workings'!$P$19)+IF('Your debts'!$D$20="Avalanche",'Avalanche workings'!$AJ$19,'Snowball workings'!$AJ$19))</f>
      </c>
      <c r="O17" s="30">
        <f>IF(OR(12&gt;$Z$1,NOT(OR('Your debts'!$B$10&lt;&gt;"",N('Your debts'!$C$10)&gt;0))),"",IF('Your debts'!$D$20="Avalanche",'Avalanche workings'!$AT$19,'Snowball workings'!$AT$19))</f>
      </c>
      <c r="P17" s="29">
        <f>IF(OR(12&gt;$Z$1,NOT(OR('Your debts'!$B$11&lt;&gt;"",N('Your debts'!$C$11)&gt;0))),"",IF('Your debts'!$D$20="Avalanche",'Avalanche workings'!$Q$19,'Snowball workings'!$Q$19)+IF('Your debts'!$D$20="Avalanche",'Avalanche workings'!$AK$19,'Snowball workings'!$AK$19))</f>
      </c>
      <c r="Q17" s="30">
        <f>IF(OR(12&gt;$Z$1,NOT(OR('Your debts'!$B$11&lt;&gt;"",N('Your debts'!$C$11)&gt;0))),"",IF('Your debts'!$D$20="Avalanche",'Avalanche workings'!$AU$19,'Snowball workings'!$AU$19))</f>
      </c>
      <c r="R17" s="29">
        <f>IF(OR(12&gt;$Z$1,NOT(OR('Your debts'!$B$12&lt;&gt;"",N('Your debts'!$C$12)&gt;0))),"",IF('Your debts'!$D$20="Avalanche",'Avalanche workings'!$R$19,'Snowball workings'!$R$19)+IF('Your debts'!$D$20="Avalanche",'Avalanche workings'!$AL$19,'Snowball workings'!$AL$19))</f>
      </c>
      <c r="S17" s="30">
        <f>IF(OR(12&gt;$Z$1,NOT(OR('Your debts'!$B$12&lt;&gt;"",N('Your debts'!$C$12)&gt;0))),"",IF('Your debts'!$D$20="Avalanche",'Avalanche workings'!$AV$19,'Snowball workings'!$AV$19))</f>
      </c>
      <c r="T17" s="29">
        <f>IF(OR(12&gt;$Z$1,NOT(OR('Your debts'!$B$13&lt;&gt;"",N('Your debts'!$C$13)&gt;0))),"",IF('Your debts'!$D$20="Avalanche",'Avalanche workings'!$S$19,'Snowball workings'!$S$19)+IF('Your debts'!$D$20="Avalanche",'Avalanche workings'!$AM$19,'Snowball workings'!$AM$19))</f>
      </c>
      <c r="U17" s="30">
        <f>IF(OR(12&gt;$Z$1,NOT(OR('Your debts'!$B$13&lt;&gt;"",N('Your debts'!$C$13)&gt;0))),"",IF('Your debts'!$D$20="Avalanche",'Avalanche workings'!$AW$19,'Snowball workings'!$AW$19))</f>
      </c>
      <c r="V17" s="29">
        <f>IF(OR(12&gt;$Z$1,NOT(OR('Your debts'!$B$14&lt;&gt;"",N('Your debts'!$C$14)&gt;0))),"",IF('Your debts'!$D$20="Avalanche",'Avalanche workings'!$T$19,'Snowball workings'!$T$19)+IF('Your debts'!$D$20="Avalanche",'Avalanche workings'!$AN$19,'Snowball workings'!$AN$19))</f>
      </c>
      <c r="W17" s="30">
        <f>IF(OR(12&gt;$Z$1,NOT(OR('Your debts'!$B$14&lt;&gt;"",N('Your debts'!$C$14)&gt;0))),"",IF('Your debts'!$D$20="Avalanche",'Avalanche workings'!$AX$19,'Snowball workings'!$AX$19))</f>
      </c>
      <c r="X17" s="29">
        <f>IF(OR(12&gt;$Z$1,NOT(OR('Your debts'!$B$15&lt;&gt;"",N('Your debts'!$C$15)&gt;0))),"",IF('Your debts'!$D$20="Avalanche",'Avalanche workings'!$U$19,'Snowball workings'!$U$19)+IF('Your debts'!$D$20="Avalanche",'Avalanche workings'!$AO$19,'Snowball workings'!$AO$19))</f>
      </c>
      <c r="Y17" s="30">
        <f>IF(OR(12&gt;$Z$1,NOT(OR('Your debts'!$B$15&lt;&gt;"",N('Your debts'!$C$15)&gt;0))),"",IF('Your debts'!$D$20="Avalanche",'Avalanche workings'!$AY$19,'Snowball workings'!$AY$19))</f>
      </c>
    </row>
    <row r="18" spans="1:25" x14ac:dyDescent="0.25">
      <c r="A18" s="2">
        <f>IF(13&gt;$Z$1,"",13)</f>
      </c>
      <c r="B18" s="28">
        <f>IF(13&gt;$Z$1,"",EDATE('Your debts'!$D$21,12))</f>
      </c>
      <c r="C18" s="29">
        <f>IF(13&gt;$Z$1,"",IF('Your debts'!$D$20="Avalanche",'Avalanche workings'!$BC$20,'Snowball workings'!$BC$20))</f>
      </c>
      <c r="D18" s="29">
        <f>IF(13&gt;$Z$1,"",IF('Your debts'!$D$20="Avalanche",'Avalanche workings'!$BA$20,'Snowball workings'!$BA$20))</f>
      </c>
      <c r="E18" s="29">
        <f>IF(13&gt;$Z$1,"",IF('Your debts'!$D$20="Avalanche",'Avalanche workings'!$BB$20,'Snowball workings'!$BB$20))</f>
      </c>
      <c r="F18" s="29">
        <f>IF(OR(13&gt;$Z$1,NOT(OR('Your debts'!$B$6&lt;&gt;"",N('Your debts'!$C$6)&gt;0))),"",IF('Your debts'!$D$20="Avalanche",'Avalanche workings'!$L$20,'Snowball workings'!$L$20)+IF('Your debts'!$D$20="Avalanche",'Avalanche workings'!$AF$20,'Snowball workings'!$AF$20))</f>
      </c>
      <c r="G18" s="30">
        <f>IF(OR(13&gt;$Z$1,NOT(OR('Your debts'!$B$6&lt;&gt;"",N('Your debts'!$C$6)&gt;0))),"",IF('Your debts'!$D$20="Avalanche",'Avalanche workings'!$AP$20,'Snowball workings'!$AP$20))</f>
      </c>
      <c r="H18" s="29">
        <f>IF(OR(13&gt;$Z$1,NOT(OR('Your debts'!$B$7&lt;&gt;"",N('Your debts'!$C$7)&gt;0))),"",IF('Your debts'!$D$20="Avalanche",'Avalanche workings'!$M$20,'Snowball workings'!$M$20)+IF('Your debts'!$D$20="Avalanche",'Avalanche workings'!$AG$20,'Snowball workings'!$AG$20))</f>
      </c>
      <c r="I18" s="30">
        <f>IF(OR(13&gt;$Z$1,NOT(OR('Your debts'!$B$7&lt;&gt;"",N('Your debts'!$C$7)&gt;0))),"",IF('Your debts'!$D$20="Avalanche",'Avalanche workings'!$AQ$20,'Snowball workings'!$AQ$20))</f>
      </c>
      <c r="J18" s="29">
        <f>IF(OR(13&gt;$Z$1,NOT(OR('Your debts'!$B$8&lt;&gt;"",N('Your debts'!$C$8)&gt;0))),"",IF('Your debts'!$D$20="Avalanche",'Avalanche workings'!$N$20,'Snowball workings'!$N$20)+IF('Your debts'!$D$20="Avalanche",'Avalanche workings'!$AH$20,'Snowball workings'!$AH$20))</f>
      </c>
      <c r="K18" s="30">
        <f>IF(OR(13&gt;$Z$1,NOT(OR('Your debts'!$B$8&lt;&gt;"",N('Your debts'!$C$8)&gt;0))),"",IF('Your debts'!$D$20="Avalanche",'Avalanche workings'!$AR$20,'Snowball workings'!$AR$20))</f>
      </c>
      <c r="L18" s="29">
        <f>IF(OR(13&gt;$Z$1,NOT(OR('Your debts'!$B$9&lt;&gt;"",N('Your debts'!$C$9)&gt;0))),"",IF('Your debts'!$D$20="Avalanche",'Avalanche workings'!$O$20,'Snowball workings'!$O$20)+IF('Your debts'!$D$20="Avalanche",'Avalanche workings'!$AI$20,'Snowball workings'!$AI$20))</f>
      </c>
      <c r="M18" s="30">
        <f>IF(OR(13&gt;$Z$1,NOT(OR('Your debts'!$B$9&lt;&gt;"",N('Your debts'!$C$9)&gt;0))),"",IF('Your debts'!$D$20="Avalanche",'Avalanche workings'!$AS$20,'Snowball workings'!$AS$20))</f>
      </c>
      <c r="N18" s="29">
        <f>IF(OR(13&gt;$Z$1,NOT(OR('Your debts'!$B$10&lt;&gt;"",N('Your debts'!$C$10)&gt;0))),"",IF('Your debts'!$D$20="Avalanche",'Avalanche workings'!$P$20,'Snowball workings'!$P$20)+IF('Your debts'!$D$20="Avalanche",'Avalanche workings'!$AJ$20,'Snowball workings'!$AJ$20))</f>
      </c>
      <c r="O18" s="30">
        <f>IF(OR(13&gt;$Z$1,NOT(OR('Your debts'!$B$10&lt;&gt;"",N('Your debts'!$C$10)&gt;0))),"",IF('Your debts'!$D$20="Avalanche",'Avalanche workings'!$AT$20,'Snowball workings'!$AT$20))</f>
      </c>
      <c r="P18" s="29">
        <f>IF(OR(13&gt;$Z$1,NOT(OR('Your debts'!$B$11&lt;&gt;"",N('Your debts'!$C$11)&gt;0))),"",IF('Your debts'!$D$20="Avalanche",'Avalanche workings'!$Q$20,'Snowball workings'!$Q$20)+IF('Your debts'!$D$20="Avalanche",'Avalanche workings'!$AK$20,'Snowball workings'!$AK$20))</f>
      </c>
      <c r="Q18" s="30">
        <f>IF(OR(13&gt;$Z$1,NOT(OR('Your debts'!$B$11&lt;&gt;"",N('Your debts'!$C$11)&gt;0))),"",IF('Your debts'!$D$20="Avalanche",'Avalanche workings'!$AU$20,'Snowball workings'!$AU$20))</f>
      </c>
      <c r="R18" s="29">
        <f>IF(OR(13&gt;$Z$1,NOT(OR('Your debts'!$B$12&lt;&gt;"",N('Your debts'!$C$12)&gt;0))),"",IF('Your debts'!$D$20="Avalanche",'Avalanche workings'!$R$20,'Snowball workings'!$R$20)+IF('Your debts'!$D$20="Avalanche",'Avalanche workings'!$AL$20,'Snowball workings'!$AL$20))</f>
      </c>
      <c r="S18" s="30">
        <f>IF(OR(13&gt;$Z$1,NOT(OR('Your debts'!$B$12&lt;&gt;"",N('Your debts'!$C$12)&gt;0))),"",IF('Your debts'!$D$20="Avalanche",'Avalanche workings'!$AV$20,'Snowball workings'!$AV$20))</f>
      </c>
      <c r="T18" s="29">
        <f>IF(OR(13&gt;$Z$1,NOT(OR('Your debts'!$B$13&lt;&gt;"",N('Your debts'!$C$13)&gt;0))),"",IF('Your debts'!$D$20="Avalanche",'Avalanche workings'!$S$20,'Snowball workings'!$S$20)+IF('Your debts'!$D$20="Avalanche",'Avalanche workings'!$AM$20,'Snowball workings'!$AM$20))</f>
      </c>
      <c r="U18" s="30">
        <f>IF(OR(13&gt;$Z$1,NOT(OR('Your debts'!$B$13&lt;&gt;"",N('Your debts'!$C$13)&gt;0))),"",IF('Your debts'!$D$20="Avalanche",'Avalanche workings'!$AW$20,'Snowball workings'!$AW$20))</f>
      </c>
      <c r="V18" s="29">
        <f>IF(OR(13&gt;$Z$1,NOT(OR('Your debts'!$B$14&lt;&gt;"",N('Your debts'!$C$14)&gt;0))),"",IF('Your debts'!$D$20="Avalanche",'Avalanche workings'!$T$20,'Snowball workings'!$T$20)+IF('Your debts'!$D$20="Avalanche",'Avalanche workings'!$AN$20,'Snowball workings'!$AN$20))</f>
      </c>
      <c r="W18" s="30">
        <f>IF(OR(13&gt;$Z$1,NOT(OR('Your debts'!$B$14&lt;&gt;"",N('Your debts'!$C$14)&gt;0))),"",IF('Your debts'!$D$20="Avalanche",'Avalanche workings'!$AX$20,'Snowball workings'!$AX$20))</f>
      </c>
      <c r="X18" s="29">
        <f>IF(OR(13&gt;$Z$1,NOT(OR('Your debts'!$B$15&lt;&gt;"",N('Your debts'!$C$15)&gt;0))),"",IF('Your debts'!$D$20="Avalanche",'Avalanche workings'!$U$20,'Snowball workings'!$U$20)+IF('Your debts'!$D$20="Avalanche",'Avalanche workings'!$AO$20,'Snowball workings'!$AO$20))</f>
      </c>
      <c r="Y18" s="30">
        <f>IF(OR(13&gt;$Z$1,NOT(OR('Your debts'!$B$15&lt;&gt;"",N('Your debts'!$C$15)&gt;0))),"",IF('Your debts'!$D$20="Avalanche",'Avalanche workings'!$AY$20,'Snowball workings'!$AY$20))</f>
      </c>
    </row>
    <row r="19" spans="1:25" x14ac:dyDescent="0.25">
      <c r="A19" s="2">
        <f>IF(14&gt;$Z$1,"",14)</f>
      </c>
      <c r="B19" s="28">
        <f>IF(14&gt;$Z$1,"",EDATE('Your debts'!$D$21,13))</f>
      </c>
      <c r="C19" s="29">
        <f>IF(14&gt;$Z$1,"",IF('Your debts'!$D$20="Avalanche",'Avalanche workings'!$BC$21,'Snowball workings'!$BC$21))</f>
      </c>
      <c r="D19" s="29">
        <f>IF(14&gt;$Z$1,"",IF('Your debts'!$D$20="Avalanche",'Avalanche workings'!$BA$21,'Snowball workings'!$BA$21))</f>
      </c>
      <c r="E19" s="29">
        <f>IF(14&gt;$Z$1,"",IF('Your debts'!$D$20="Avalanche",'Avalanche workings'!$BB$21,'Snowball workings'!$BB$21))</f>
      </c>
      <c r="F19" s="29">
        <f>IF(OR(14&gt;$Z$1,NOT(OR('Your debts'!$B$6&lt;&gt;"",N('Your debts'!$C$6)&gt;0))),"",IF('Your debts'!$D$20="Avalanche",'Avalanche workings'!$L$21,'Snowball workings'!$L$21)+IF('Your debts'!$D$20="Avalanche",'Avalanche workings'!$AF$21,'Snowball workings'!$AF$21))</f>
      </c>
      <c r="G19" s="30">
        <f>IF(OR(14&gt;$Z$1,NOT(OR('Your debts'!$B$6&lt;&gt;"",N('Your debts'!$C$6)&gt;0))),"",IF('Your debts'!$D$20="Avalanche",'Avalanche workings'!$AP$21,'Snowball workings'!$AP$21))</f>
      </c>
      <c r="H19" s="29">
        <f>IF(OR(14&gt;$Z$1,NOT(OR('Your debts'!$B$7&lt;&gt;"",N('Your debts'!$C$7)&gt;0))),"",IF('Your debts'!$D$20="Avalanche",'Avalanche workings'!$M$21,'Snowball workings'!$M$21)+IF('Your debts'!$D$20="Avalanche",'Avalanche workings'!$AG$21,'Snowball workings'!$AG$21))</f>
      </c>
      <c r="I19" s="30">
        <f>IF(OR(14&gt;$Z$1,NOT(OR('Your debts'!$B$7&lt;&gt;"",N('Your debts'!$C$7)&gt;0))),"",IF('Your debts'!$D$20="Avalanche",'Avalanche workings'!$AQ$21,'Snowball workings'!$AQ$21))</f>
      </c>
      <c r="J19" s="29">
        <f>IF(OR(14&gt;$Z$1,NOT(OR('Your debts'!$B$8&lt;&gt;"",N('Your debts'!$C$8)&gt;0))),"",IF('Your debts'!$D$20="Avalanche",'Avalanche workings'!$N$21,'Snowball workings'!$N$21)+IF('Your debts'!$D$20="Avalanche",'Avalanche workings'!$AH$21,'Snowball workings'!$AH$21))</f>
      </c>
      <c r="K19" s="30">
        <f>IF(OR(14&gt;$Z$1,NOT(OR('Your debts'!$B$8&lt;&gt;"",N('Your debts'!$C$8)&gt;0))),"",IF('Your debts'!$D$20="Avalanche",'Avalanche workings'!$AR$21,'Snowball workings'!$AR$21))</f>
      </c>
      <c r="L19" s="29">
        <f>IF(OR(14&gt;$Z$1,NOT(OR('Your debts'!$B$9&lt;&gt;"",N('Your debts'!$C$9)&gt;0))),"",IF('Your debts'!$D$20="Avalanche",'Avalanche workings'!$O$21,'Snowball workings'!$O$21)+IF('Your debts'!$D$20="Avalanche",'Avalanche workings'!$AI$21,'Snowball workings'!$AI$21))</f>
      </c>
      <c r="M19" s="30">
        <f>IF(OR(14&gt;$Z$1,NOT(OR('Your debts'!$B$9&lt;&gt;"",N('Your debts'!$C$9)&gt;0))),"",IF('Your debts'!$D$20="Avalanche",'Avalanche workings'!$AS$21,'Snowball workings'!$AS$21))</f>
      </c>
      <c r="N19" s="29">
        <f>IF(OR(14&gt;$Z$1,NOT(OR('Your debts'!$B$10&lt;&gt;"",N('Your debts'!$C$10)&gt;0))),"",IF('Your debts'!$D$20="Avalanche",'Avalanche workings'!$P$21,'Snowball workings'!$P$21)+IF('Your debts'!$D$20="Avalanche",'Avalanche workings'!$AJ$21,'Snowball workings'!$AJ$21))</f>
      </c>
      <c r="O19" s="30">
        <f>IF(OR(14&gt;$Z$1,NOT(OR('Your debts'!$B$10&lt;&gt;"",N('Your debts'!$C$10)&gt;0))),"",IF('Your debts'!$D$20="Avalanche",'Avalanche workings'!$AT$21,'Snowball workings'!$AT$21))</f>
      </c>
      <c r="P19" s="29">
        <f>IF(OR(14&gt;$Z$1,NOT(OR('Your debts'!$B$11&lt;&gt;"",N('Your debts'!$C$11)&gt;0))),"",IF('Your debts'!$D$20="Avalanche",'Avalanche workings'!$Q$21,'Snowball workings'!$Q$21)+IF('Your debts'!$D$20="Avalanche",'Avalanche workings'!$AK$21,'Snowball workings'!$AK$21))</f>
      </c>
      <c r="Q19" s="30">
        <f>IF(OR(14&gt;$Z$1,NOT(OR('Your debts'!$B$11&lt;&gt;"",N('Your debts'!$C$11)&gt;0))),"",IF('Your debts'!$D$20="Avalanche",'Avalanche workings'!$AU$21,'Snowball workings'!$AU$21))</f>
      </c>
      <c r="R19" s="29">
        <f>IF(OR(14&gt;$Z$1,NOT(OR('Your debts'!$B$12&lt;&gt;"",N('Your debts'!$C$12)&gt;0))),"",IF('Your debts'!$D$20="Avalanche",'Avalanche workings'!$R$21,'Snowball workings'!$R$21)+IF('Your debts'!$D$20="Avalanche",'Avalanche workings'!$AL$21,'Snowball workings'!$AL$21))</f>
      </c>
      <c r="S19" s="30">
        <f>IF(OR(14&gt;$Z$1,NOT(OR('Your debts'!$B$12&lt;&gt;"",N('Your debts'!$C$12)&gt;0))),"",IF('Your debts'!$D$20="Avalanche",'Avalanche workings'!$AV$21,'Snowball workings'!$AV$21))</f>
      </c>
      <c r="T19" s="29">
        <f>IF(OR(14&gt;$Z$1,NOT(OR('Your debts'!$B$13&lt;&gt;"",N('Your debts'!$C$13)&gt;0))),"",IF('Your debts'!$D$20="Avalanche",'Avalanche workings'!$S$21,'Snowball workings'!$S$21)+IF('Your debts'!$D$20="Avalanche",'Avalanche workings'!$AM$21,'Snowball workings'!$AM$21))</f>
      </c>
      <c r="U19" s="30">
        <f>IF(OR(14&gt;$Z$1,NOT(OR('Your debts'!$B$13&lt;&gt;"",N('Your debts'!$C$13)&gt;0))),"",IF('Your debts'!$D$20="Avalanche",'Avalanche workings'!$AW$21,'Snowball workings'!$AW$21))</f>
      </c>
      <c r="V19" s="29">
        <f>IF(OR(14&gt;$Z$1,NOT(OR('Your debts'!$B$14&lt;&gt;"",N('Your debts'!$C$14)&gt;0))),"",IF('Your debts'!$D$20="Avalanche",'Avalanche workings'!$T$21,'Snowball workings'!$T$21)+IF('Your debts'!$D$20="Avalanche",'Avalanche workings'!$AN$21,'Snowball workings'!$AN$21))</f>
      </c>
      <c r="W19" s="30">
        <f>IF(OR(14&gt;$Z$1,NOT(OR('Your debts'!$B$14&lt;&gt;"",N('Your debts'!$C$14)&gt;0))),"",IF('Your debts'!$D$20="Avalanche",'Avalanche workings'!$AX$21,'Snowball workings'!$AX$21))</f>
      </c>
      <c r="X19" s="29">
        <f>IF(OR(14&gt;$Z$1,NOT(OR('Your debts'!$B$15&lt;&gt;"",N('Your debts'!$C$15)&gt;0))),"",IF('Your debts'!$D$20="Avalanche",'Avalanche workings'!$U$21,'Snowball workings'!$U$21)+IF('Your debts'!$D$20="Avalanche",'Avalanche workings'!$AO$21,'Snowball workings'!$AO$21))</f>
      </c>
      <c r="Y19" s="30">
        <f>IF(OR(14&gt;$Z$1,NOT(OR('Your debts'!$B$15&lt;&gt;"",N('Your debts'!$C$15)&gt;0))),"",IF('Your debts'!$D$20="Avalanche",'Avalanche workings'!$AY$21,'Snowball workings'!$AY$21))</f>
      </c>
    </row>
    <row r="20" spans="1:25" x14ac:dyDescent="0.25">
      <c r="A20" s="2">
        <f>IF(15&gt;$Z$1,"",15)</f>
      </c>
      <c r="B20" s="28">
        <f>IF(15&gt;$Z$1,"",EDATE('Your debts'!$D$21,14))</f>
      </c>
      <c r="C20" s="29">
        <f>IF(15&gt;$Z$1,"",IF('Your debts'!$D$20="Avalanche",'Avalanche workings'!$BC$22,'Snowball workings'!$BC$22))</f>
      </c>
      <c r="D20" s="29">
        <f>IF(15&gt;$Z$1,"",IF('Your debts'!$D$20="Avalanche",'Avalanche workings'!$BA$22,'Snowball workings'!$BA$22))</f>
      </c>
      <c r="E20" s="29">
        <f>IF(15&gt;$Z$1,"",IF('Your debts'!$D$20="Avalanche",'Avalanche workings'!$BB$22,'Snowball workings'!$BB$22))</f>
      </c>
      <c r="F20" s="29">
        <f>IF(OR(15&gt;$Z$1,NOT(OR('Your debts'!$B$6&lt;&gt;"",N('Your debts'!$C$6)&gt;0))),"",IF('Your debts'!$D$20="Avalanche",'Avalanche workings'!$L$22,'Snowball workings'!$L$22)+IF('Your debts'!$D$20="Avalanche",'Avalanche workings'!$AF$22,'Snowball workings'!$AF$22))</f>
      </c>
      <c r="G20" s="30">
        <f>IF(OR(15&gt;$Z$1,NOT(OR('Your debts'!$B$6&lt;&gt;"",N('Your debts'!$C$6)&gt;0))),"",IF('Your debts'!$D$20="Avalanche",'Avalanche workings'!$AP$22,'Snowball workings'!$AP$22))</f>
      </c>
      <c r="H20" s="29">
        <f>IF(OR(15&gt;$Z$1,NOT(OR('Your debts'!$B$7&lt;&gt;"",N('Your debts'!$C$7)&gt;0))),"",IF('Your debts'!$D$20="Avalanche",'Avalanche workings'!$M$22,'Snowball workings'!$M$22)+IF('Your debts'!$D$20="Avalanche",'Avalanche workings'!$AG$22,'Snowball workings'!$AG$22))</f>
      </c>
      <c r="I20" s="30">
        <f>IF(OR(15&gt;$Z$1,NOT(OR('Your debts'!$B$7&lt;&gt;"",N('Your debts'!$C$7)&gt;0))),"",IF('Your debts'!$D$20="Avalanche",'Avalanche workings'!$AQ$22,'Snowball workings'!$AQ$22))</f>
      </c>
      <c r="J20" s="29">
        <f>IF(OR(15&gt;$Z$1,NOT(OR('Your debts'!$B$8&lt;&gt;"",N('Your debts'!$C$8)&gt;0))),"",IF('Your debts'!$D$20="Avalanche",'Avalanche workings'!$N$22,'Snowball workings'!$N$22)+IF('Your debts'!$D$20="Avalanche",'Avalanche workings'!$AH$22,'Snowball workings'!$AH$22))</f>
      </c>
      <c r="K20" s="30">
        <f>IF(OR(15&gt;$Z$1,NOT(OR('Your debts'!$B$8&lt;&gt;"",N('Your debts'!$C$8)&gt;0))),"",IF('Your debts'!$D$20="Avalanche",'Avalanche workings'!$AR$22,'Snowball workings'!$AR$22))</f>
      </c>
      <c r="L20" s="29">
        <f>IF(OR(15&gt;$Z$1,NOT(OR('Your debts'!$B$9&lt;&gt;"",N('Your debts'!$C$9)&gt;0))),"",IF('Your debts'!$D$20="Avalanche",'Avalanche workings'!$O$22,'Snowball workings'!$O$22)+IF('Your debts'!$D$20="Avalanche",'Avalanche workings'!$AI$22,'Snowball workings'!$AI$22))</f>
      </c>
      <c r="M20" s="30">
        <f>IF(OR(15&gt;$Z$1,NOT(OR('Your debts'!$B$9&lt;&gt;"",N('Your debts'!$C$9)&gt;0))),"",IF('Your debts'!$D$20="Avalanche",'Avalanche workings'!$AS$22,'Snowball workings'!$AS$22))</f>
      </c>
      <c r="N20" s="29">
        <f>IF(OR(15&gt;$Z$1,NOT(OR('Your debts'!$B$10&lt;&gt;"",N('Your debts'!$C$10)&gt;0))),"",IF('Your debts'!$D$20="Avalanche",'Avalanche workings'!$P$22,'Snowball workings'!$P$22)+IF('Your debts'!$D$20="Avalanche",'Avalanche workings'!$AJ$22,'Snowball workings'!$AJ$22))</f>
      </c>
      <c r="O20" s="30">
        <f>IF(OR(15&gt;$Z$1,NOT(OR('Your debts'!$B$10&lt;&gt;"",N('Your debts'!$C$10)&gt;0))),"",IF('Your debts'!$D$20="Avalanche",'Avalanche workings'!$AT$22,'Snowball workings'!$AT$22))</f>
      </c>
      <c r="P20" s="29">
        <f>IF(OR(15&gt;$Z$1,NOT(OR('Your debts'!$B$11&lt;&gt;"",N('Your debts'!$C$11)&gt;0))),"",IF('Your debts'!$D$20="Avalanche",'Avalanche workings'!$Q$22,'Snowball workings'!$Q$22)+IF('Your debts'!$D$20="Avalanche",'Avalanche workings'!$AK$22,'Snowball workings'!$AK$22))</f>
      </c>
      <c r="Q20" s="30">
        <f>IF(OR(15&gt;$Z$1,NOT(OR('Your debts'!$B$11&lt;&gt;"",N('Your debts'!$C$11)&gt;0))),"",IF('Your debts'!$D$20="Avalanche",'Avalanche workings'!$AU$22,'Snowball workings'!$AU$22))</f>
      </c>
      <c r="R20" s="29">
        <f>IF(OR(15&gt;$Z$1,NOT(OR('Your debts'!$B$12&lt;&gt;"",N('Your debts'!$C$12)&gt;0))),"",IF('Your debts'!$D$20="Avalanche",'Avalanche workings'!$R$22,'Snowball workings'!$R$22)+IF('Your debts'!$D$20="Avalanche",'Avalanche workings'!$AL$22,'Snowball workings'!$AL$22))</f>
      </c>
      <c r="S20" s="30">
        <f>IF(OR(15&gt;$Z$1,NOT(OR('Your debts'!$B$12&lt;&gt;"",N('Your debts'!$C$12)&gt;0))),"",IF('Your debts'!$D$20="Avalanche",'Avalanche workings'!$AV$22,'Snowball workings'!$AV$22))</f>
      </c>
      <c r="T20" s="29">
        <f>IF(OR(15&gt;$Z$1,NOT(OR('Your debts'!$B$13&lt;&gt;"",N('Your debts'!$C$13)&gt;0))),"",IF('Your debts'!$D$20="Avalanche",'Avalanche workings'!$S$22,'Snowball workings'!$S$22)+IF('Your debts'!$D$20="Avalanche",'Avalanche workings'!$AM$22,'Snowball workings'!$AM$22))</f>
      </c>
      <c r="U20" s="30">
        <f>IF(OR(15&gt;$Z$1,NOT(OR('Your debts'!$B$13&lt;&gt;"",N('Your debts'!$C$13)&gt;0))),"",IF('Your debts'!$D$20="Avalanche",'Avalanche workings'!$AW$22,'Snowball workings'!$AW$22))</f>
      </c>
      <c r="V20" s="29">
        <f>IF(OR(15&gt;$Z$1,NOT(OR('Your debts'!$B$14&lt;&gt;"",N('Your debts'!$C$14)&gt;0))),"",IF('Your debts'!$D$20="Avalanche",'Avalanche workings'!$T$22,'Snowball workings'!$T$22)+IF('Your debts'!$D$20="Avalanche",'Avalanche workings'!$AN$22,'Snowball workings'!$AN$22))</f>
      </c>
      <c r="W20" s="30">
        <f>IF(OR(15&gt;$Z$1,NOT(OR('Your debts'!$B$14&lt;&gt;"",N('Your debts'!$C$14)&gt;0))),"",IF('Your debts'!$D$20="Avalanche",'Avalanche workings'!$AX$22,'Snowball workings'!$AX$22))</f>
      </c>
      <c r="X20" s="29">
        <f>IF(OR(15&gt;$Z$1,NOT(OR('Your debts'!$B$15&lt;&gt;"",N('Your debts'!$C$15)&gt;0))),"",IF('Your debts'!$D$20="Avalanche",'Avalanche workings'!$U$22,'Snowball workings'!$U$22)+IF('Your debts'!$D$20="Avalanche",'Avalanche workings'!$AO$22,'Snowball workings'!$AO$22))</f>
      </c>
      <c r="Y20" s="30">
        <f>IF(OR(15&gt;$Z$1,NOT(OR('Your debts'!$B$15&lt;&gt;"",N('Your debts'!$C$15)&gt;0))),"",IF('Your debts'!$D$20="Avalanche",'Avalanche workings'!$AY$22,'Snowball workings'!$AY$22))</f>
      </c>
    </row>
    <row r="21" spans="1:25" x14ac:dyDescent="0.25">
      <c r="A21" s="2">
        <f>IF(16&gt;$Z$1,"",16)</f>
      </c>
      <c r="B21" s="28">
        <f>IF(16&gt;$Z$1,"",EDATE('Your debts'!$D$21,15))</f>
      </c>
      <c r="C21" s="29">
        <f>IF(16&gt;$Z$1,"",IF('Your debts'!$D$20="Avalanche",'Avalanche workings'!$BC$23,'Snowball workings'!$BC$23))</f>
      </c>
      <c r="D21" s="29">
        <f>IF(16&gt;$Z$1,"",IF('Your debts'!$D$20="Avalanche",'Avalanche workings'!$BA$23,'Snowball workings'!$BA$23))</f>
      </c>
      <c r="E21" s="29">
        <f>IF(16&gt;$Z$1,"",IF('Your debts'!$D$20="Avalanche",'Avalanche workings'!$BB$23,'Snowball workings'!$BB$23))</f>
      </c>
      <c r="F21" s="29">
        <f>IF(OR(16&gt;$Z$1,NOT(OR('Your debts'!$B$6&lt;&gt;"",N('Your debts'!$C$6)&gt;0))),"",IF('Your debts'!$D$20="Avalanche",'Avalanche workings'!$L$23,'Snowball workings'!$L$23)+IF('Your debts'!$D$20="Avalanche",'Avalanche workings'!$AF$23,'Snowball workings'!$AF$23))</f>
      </c>
      <c r="G21" s="30">
        <f>IF(OR(16&gt;$Z$1,NOT(OR('Your debts'!$B$6&lt;&gt;"",N('Your debts'!$C$6)&gt;0))),"",IF('Your debts'!$D$20="Avalanche",'Avalanche workings'!$AP$23,'Snowball workings'!$AP$23))</f>
      </c>
      <c r="H21" s="29">
        <f>IF(OR(16&gt;$Z$1,NOT(OR('Your debts'!$B$7&lt;&gt;"",N('Your debts'!$C$7)&gt;0))),"",IF('Your debts'!$D$20="Avalanche",'Avalanche workings'!$M$23,'Snowball workings'!$M$23)+IF('Your debts'!$D$20="Avalanche",'Avalanche workings'!$AG$23,'Snowball workings'!$AG$23))</f>
      </c>
      <c r="I21" s="30">
        <f>IF(OR(16&gt;$Z$1,NOT(OR('Your debts'!$B$7&lt;&gt;"",N('Your debts'!$C$7)&gt;0))),"",IF('Your debts'!$D$20="Avalanche",'Avalanche workings'!$AQ$23,'Snowball workings'!$AQ$23))</f>
      </c>
      <c r="J21" s="29">
        <f>IF(OR(16&gt;$Z$1,NOT(OR('Your debts'!$B$8&lt;&gt;"",N('Your debts'!$C$8)&gt;0))),"",IF('Your debts'!$D$20="Avalanche",'Avalanche workings'!$N$23,'Snowball workings'!$N$23)+IF('Your debts'!$D$20="Avalanche",'Avalanche workings'!$AH$23,'Snowball workings'!$AH$23))</f>
      </c>
      <c r="K21" s="30">
        <f>IF(OR(16&gt;$Z$1,NOT(OR('Your debts'!$B$8&lt;&gt;"",N('Your debts'!$C$8)&gt;0))),"",IF('Your debts'!$D$20="Avalanche",'Avalanche workings'!$AR$23,'Snowball workings'!$AR$23))</f>
      </c>
      <c r="L21" s="29">
        <f>IF(OR(16&gt;$Z$1,NOT(OR('Your debts'!$B$9&lt;&gt;"",N('Your debts'!$C$9)&gt;0))),"",IF('Your debts'!$D$20="Avalanche",'Avalanche workings'!$O$23,'Snowball workings'!$O$23)+IF('Your debts'!$D$20="Avalanche",'Avalanche workings'!$AI$23,'Snowball workings'!$AI$23))</f>
      </c>
      <c r="M21" s="30">
        <f>IF(OR(16&gt;$Z$1,NOT(OR('Your debts'!$B$9&lt;&gt;"",N('Your debts'!$C$9)&gt;0))),"",IF('Your debts'!$D$20="Avalanche",'Avalanche workings'!$AS$23,'Snowball workings'!$AS$23))</f>
      </c>
      <c r="N21" s="29">
        <f>IF(OR(16&gt;$Z$1,NOT(OR('Your debts'!$B$10&lt;&gt;"",N('Your debts'!$C$10)&gt;0))),"",IF('Your debts'!$D$20="Avalanche",'Avalanche workings'!$P$23,'Snowball workings'!$P$23)+IF('Your debts'!$D$20="Avalanche",'Avalanche workings'!$AJ$23,'Snowball workings'!$AJ$23))</f>
      </c>
      <c r="O21" s="30">
        <f>IF(OR(16&gt;$Z$1,NOT(OR('Your debts'!$B$10&lt;&gt;"",N('Your debts'!$C$10)&gt;0))),"",IF('Your debts'!$D$20="Avalanche",'Avalanche workings'!$AT$23,'Snowball workings'!$AT$23))</f>
      </c>
      <c r="P21" s="29">
        <f>IF(OR(16&gt;$Z$1,NOT(OR('Your debts'!$B$11&lt;&gt;"",N('Your debts'!$C$11)&gt;0))),"",IF('Your debts'!$D$20="Avalanche",'Avalanche workings'!$Q$23,'Snowball workings'!$Q$23)+IF('Your debts'!$D$20="Avalanche",'Avalanche workings'!$AK$23,'Snowball workings'!$AK$23))</f>
      </c>
      <c r="Q21" s="30">
        <f>IF(OR(16&gt;$Z$1,NOT(OR('Your debts'!$B$11&lt;&gt;"",N('Your debts'!$C$11)&gt;0))),"",IF('Your debts'!$D$20="Avalanche",'Avalanche workings'!$AU$23,'Snowball workings'!$AU$23))</f>
      </c>
      <c r="R21" s="29">
        <f>IF(OR(16&gt;$Z$1,NOT(OR('Your debts'!$B$12&lt;&gt;"",N('Your debts'!$C$12)&gt;0))),"",IF('Your debts'!$D$20="Avalanche",'Avalanche workings'!$R$23,'Snowball workings'!$R$23)+IF('Your debts'!$D$20="Avalanche",'Avalanche workings'!$AL$23,'Snowball workings'!$AL$23))</f>
      </c>
      <c r="S21" s="30">
        <f>IF(OR(16&gt;$Z$1,NOT(OR('Your debts'!$B$12&lt;&gt;"",N('Your debts'!$C$12)&gt;0))),"",IF('Your debts'!$D$20="Avalanche",'Avalanche workings'!$AV$23,'Snowball workings'!$AV$23))</f>
      </c>
      <c r="T21" s="29">
        <f>IF(OR(16&gt;$Z$1,NOT(OR('Your debts'!$B$13&lt;&gt;"",N('Your debts'!$C$13)&gt;0))),"",IF('Your debts'!$D$20="Avalanche",'Avalanche workings'!$S$23,'Snowball workings'!$S$23)+IF('Your debts'!$D$20="Avalanche",'Avalanche workings'!$AM$23,'Snowball workings'!$AM$23))</f>
      </c>
      <c r="U21" s="30">
        <f>IF(OR(16&gt;$Z$1,NOT(OR('Your debts'!$B$13&lt;&gt;"",N('Your debts'!$C$13)&gt;0))),"",IF('Your debts'!$D$20="Avalanche",'Avalanche workings'!$AW$23,'Snowball workings'!$AW$23))</f>
      </c>
      <c r="V21" s="29">
        <f>IF(OR(16&gt;$Z$1,NOT(OR('Your debts'!$B$14&lt;&gt;"",N('Your debts'!$C$14)&gt;0))),"",IF('Your debts'!$D$20="Avalanche",'Avalanche workings'!$T$23,'Snowball workings'!$T$23)+IF('Your debts'!$D$20="Avalanche",'Avalanche workings'!$AN$23,'Snowball workings'!$AN$23))</f>
      </c>
      <c r="W21" s="30">
        <f>IF(OR(16&gt;$Z$1,NOT(OR('Your debts'!$B$14&lt;&gt;"",N('Your debts'!$C$14)&gt;0))),"",IF('Your debts'!$D$20="Avalanche",'Avalanche workings'!$AX$23,'Snowball workings'!$AX$23))</f>
      </c>
      <c r="X21" s="29">
        <f>IF(OR(16&gt;$Z$1,NOT(OR('Your debts'!$B$15&lt;&gt;"",N('Your debts'!$C$15)&gt;0))),"",IF('Your debts'!$D$20="Avalanche",'Avalanche workings'!$U$23,'Snowball workings'!$U$23)+IF('Your debts'!$D$20="Avalanche",'Avalanche workings'!$AO$23,'Snowball workings'!$AO$23))</f>
      </c>
      <c r="Y21" s="30">
        <f>IF(OR(16&gt;$Z$1,NOT(OR('Your debts'!$B$15&lt;&gt;"",N('Your debts'!$C$15)&gt;0))),"",IF('Your debts'!$D$20="Avalanche",'Avalanche workings'!$AY$23,'Snowball workings'!$AY$23))</f>
      </c>
    </row>
    <row r="22" spans="1:25" x14ac:dyDescent="0.25">
      <c r="A22" s="2">
        <f>IF(17&gt;$Z$1,"",17)</f>
      </c>
      <c r="B22" s="28">
        <f>IF(17&gt;$Z$1,"",EDATE('Your debts'!$D$21,16))</f>
      </c>
      <c r="C22" s="29">
        <f>IF(17&gt;$Z$1,"",IF('Your debts'!$D$20="Avalanche",'Avalanche workings'!$BC$24,'Snowball workings'!$BC$24))</f>
      </c>
      <c r="D22" s="29">
        <f>IF(17&gt;$Z$1,"",IF('Your debts'!$D$20="Avalanche",'Avalanche workings'!$BA$24,'Snowball workings'!$BA$24))</f>
      </c>
      <c r="E22" s="29">
        <f>IF(17&gt;$Z$1,"",IF('Your debts'!$D$20="Avalanche",'Avalanche workings'!$BB$24,'Snowball workings'!$BB$24))</f>
      </c>
      <c r="F22" s="29">
        <f>IF(OR(17&gt;$Z$1,NOT(OR('Your debts'!$B$6&lt;&gt;"",N('Your debts'!$C$6)&gt;0))),"",IF('Your debts'!$D$20="Avalanche",'Avalanche workings'!$L$24,'Snowball workings'!$L$24)+IF('Your debts'!$D$20="Avalanche",'Avalanche workings'!$AF$24,'Snowball workings'!$AF$24))</f>
      </c>
      <c r="G22" s="30">
        <f>IF(OR(17&gt;$Z$1,NOT(OR('Your debts'!$B$6&lt;&gt;"",N('Your debts'!$C$6)&gt;0))),"",IF('Your debts'!$D$20="Avalanche",'Avalanche workings'!$AP$24,'Snowball workings'!$AP$24))</f>
      </c>
      <c r="H22" s="29">
        <f>IF(OR(17&gt;$Z$1,NOT(OR('Your debts'!$B$7&lt;&gt;"",N('Your debts'!$C$7)&gt;0))),"",IF('Your debts'!$D$20="Avalanche",'Avalanche workings'!$M$24,'Snowball workings'!$M$24)+IF('Your debts'!$D$20="Avalanche",'Avalanche workings'!$AG$24,'Snowball workings'!$AG$24))</f>
      </c>
      <c r="I22" s="30">
        <f>IF(OR(17&gt;$Z$1,NOT(OR('Your debts'!$B$7&lt;&gt;"",N('Your debts'!$C$7)&gt;0))),"",IF('Your debts'!$D$20="Avalanche",'Avalanche workings'!$AQ$24,'Snowball workings'!$AQ$24))</f>
      </c>
      <c r="J22" s="29">
        <f>IF(OR(17&gt;$Z$1,NOT(OR('Your debts'!$B$8&lt;&gt;"",N('Your debts'!$C$8)&gt;0))),"",IF('Your debts'!$D$20="Avalanche",'Avalanche workings'!$N$24,'Snowball workings'!$N$24)+IF('Your debts'!$D$20="Avalanche",'Avalanche workings'!$AH$24,'Snowball workings'!$AH$24))</f>
      </c>
      <c r="K22" s="30">
        <f>IF(OR(17&gt;$Z$1,NOT(OR('Your debts'!$B$8&lt;&gt;"",N('Your debts'!$C$8)&gt;0))),"",IF('Your debts'!$D$20="Avalanche",'Avalanche workings'!$AR$24,'Snowball workings'!$AR$24))</f>
      </c>
      <c r="L22" s="29">
        <f>IF(OR(17&gt;$Z$1,NOT(OR('Your debts'!$B$9&lt;&gt;"",N('Your debts'!$C$9)&gt;0))),"",IF('Your debts'!$D$20="Avalanche",'Avalanche workings'!$O$24,'Snowball workings'!$O$24)+IF('Your debts'!$D$20="Avalanche",'Avalanche workings'!$AI$24,'Snowball workings'!$AI$24))</f>
      </c>
      <c r="M22" s="30">
        <f>IF(OR(17&gt;$Z$1,NOT(OR('Your debts'!$B$9&lt;&gt;"",N('Your debts'!$C$9)&gt;0))),"",IF('Your debts'!$D$20="Avalanche",'Avalanche workings'!$AS$24,'Snowball workings'!$AS$24))</f>
      </c>
      <c r="N22" s="29">
        <f>IF(OR(17&gt;$Z$1,NOT(OR('Your debts'!$B$10&lt;&gt;"",N('Your debts'!$C$10)&gt;0))),"",IF('Your debts'!$D$20="Avalanche",'Avalanche workings'!$P$24,'Snowball workings'!$P$24)+IF('Your debts'!$D$20="Avalanche",'Avalanche workings'!$AJ$24,'Snowball workings'!$AJ$24))</f>
      </c>
      <c r="O22" s="30">
        <f>IF(OR(17&gt;$Z$1,NOT(OR('Your debts'!$B$10&lt;&gt;"",N('Your debts'!$C$10)&gt;0))),"",IF('Your debts'!$D$20="Avalanche",'Avalanche workings'!$AT$24,'Snowball workings'!$AT$24))</f>
      </c>
      <c r="P22" s="29">
        <f>IF(OR(17&gt;$Z$1,NOT(OR('Your debts'!$B$11&lt;&gt;"",N('Your debts'!$C$11)&gt;0))),"",IF('Your debts'!$D$20="Avalanche",'Avalanche workings'!$Q$24,'Snowball workings'!$Q$24)+IF('Your debts'!$D$20="Avalanche",'Avalanche workings'!$AK$24,'Snowball workings'!$AK$24))</f>
      </c>
      <c r="Q22" s="30">
        <f>IF(OR(17&gt;$Z$1,NOT(OR('Your debts'!$B$11&lt;&gt;"",N('Your debts'!$C$11)&gt;0))),"",IF('Your debts'!$D$20="Avalanche",'Avalanche workings'!$AU$24,'Snowball workings'!$AU$24))</f>
      </c>
      <c r="R22" s="29">
        <f>IF(OR(17&gt;$Z$1,NOT(OR('Your debts'!$B$12&lt;&gt;"",N('Your debts'!$C$12)&gt;0))),"",IF('Your debts'!$D$20="Avalanche",'Avalanche workings'!$R$24,'Snowball workings'!$R$24)+IF('Your debts'!$D$20="Avalanche",'Avalanche workings'!$AL$24,'Snowball workings'!$AL$24))</f>
      </c>
      <c r="S22" s="30">
        <f>IF(OR(17&gt;$Z$1,NOT(OR('Your debts'!$B$12&lt;&gt;"",N('Your debts'!$C$12)&gt;0))),"",IF('Your debts'!$D$20="Avalanche",'Avalanche workings'!$AV$24,'Snowball workings'!$AV$24))</f>
      </c>
      <c r="T22" s="29">
        <f>IF(OR(17&gt;$Z$1,NOT(OR('Your debts'!$B$13&lt;&gt;"",N('Your debts'!$C$13)&gt;0))),"",IF('Your debts'!$D$20="Avalanche",'Avalanche workings'!$S$24,'Snowball workings'!$S$24)+IF('Your debts'!$D$20="Avalanche",'Avalanche workings'!$AM$24,'Snowball workings'!$AM$24))</f>
      </c>
      <c r="U22" s="30">
        <f>IF(OR(17&gt;$Z$1,NOT(OR('Your debts'!$B$13&lt;&gt;"",N('Your debts'!$C$13)&gt;0))),"",IF('Your debts'!$D$20="Avalanche",'Avalanche workings'!$AW$24,'Snowball workings'!$AW$24))</f>
      </c>
      <c r="V22" s="29">
        <f>IF(OR(17&gt;$Z$1,NOT(OR('Your debts'!$B$14&lt;&gt;"",N('Your debts'!$C$14)&gt;0))),"",IF('Your debts'!$D$20="Avalanche",'Avalanche workings'!$T$24,'Snowball workings'!$T$24)+IF('Your debts'!$D$20="Avalanche",'Avalanche workings'!$AN$24,'Snowball workings'!$AN$24))</f>
      </c>
      <c r="W22" s="30">
        <f>IF(OR(17&gt;$Z$1,NOT(OR('Your debts'!$B$14&lt;&gt;"",N('Your debts'!$C$14)&gt;0))),"",IF('Your debts'!$D$20="Avalanche",'Avalanche workings'!$AX$24,'Snowball workings'!$AX$24))</f>
      </c>
      <c r="X22" s="29">
        <f>IF(OR(17&gt;$Z$1,NOT(OR('Your debts'!$B$15&lt;&gt;"",N('Your debts'!$C$15)&gt;0))),"",IF('Your debts'!$D$20="Avalanche",'Avalanche workings'!$U$24,'Snowball workings'!$U$24)+IF('Your debts'!$D$20="Avalanche",'Avalanche workings'!$AO$24,'Snowball workings'!$AO$24))</f>
      </c>
      <c r="Y22" s="30">
        <f>IF(OR(17&gt;$Z$1,NOT(OR('Your debts'!$B$15&lt;&gt;"",N('Your debts'!$C$15)&gt;0))),"",IF('Your debts'!$D$20="Avalanche",'Avalanche workings'!$AY$24,'Snowball workings'!$AY$24))</f>
      </c>
    </row>
    <row r="23" spans="1:25" x14ac:dyDescent="0.25">
      <c r="A23" s="2">
        <f>IF(18&gt;$Z$1,"",18)</f>
      </c>
      <c r="B23" s="28">
        <f>IF(18&gt;$Z$1,"",EDATE('Your debts'!$D$21,17))</f>
      </c>
      <c r="C23" s="29">
        <f>IF(18&gt;$Z$1,"",IF('Your debts'!$D$20="Avalanche",'Avalanche workings'!$BC$25,'Snowball workings'!$BC$25))</f>
      </c>
      <c r="D23" s="29">
        <f>IF(18&gt;$Z$1,"",IF('Your debts'!$D$20="Avalanche",'Avalanche workings'!$BA$25,'Snowball workings'!$BA$25))</f>
      </c>
      <c r="E23" s="29">
        <f>IF(18&gt;$Z$1,"",IF('Your debts'!$D$20="Avalanche",'Avalanche workings'!$BB$25,'Snowball workings'!$BB$25))</f>
      </c>
      <c r="F23" s="29">
        <f>IF(OR(18&gt;$Z$1,NOT(OR('Your debts'!$B$6&lt;&gt;"",N('Your debts'!$C$6)&gt;0))),"",IF('Your debts'!$D$20="Avalanche",'Avalanche workings'!$L$25,'Snowball workings'!$L$25)+IF('Your debts'!$D$20="Avalanche",'Avalanche workings'!$AF$25,'Snowball workings'!$AF$25))</f>
      </c>
      <c r="G23" s="30">
        <f>IF(OR(18&gt;$Z$1,NOT(OR('Your debts'!$B$6&lt;&gt;"",N('Your debts'!$C$6)&gt;0))),"",IF('Your debts'!$D$20="Avalanche",'Avalanche workings'!$AP$25,'Snowball workings'!$AP$25))</f>
      </c>
      <c r="H23" s="29">
        <f>IF(OR(18&gt;$Z$1,NOT(OR('Your debts'!$B$7&lt;&gt;"",N('Your debts'!$C$7)&gt;0))),"",IF('Your debts'!$D$20="Avalanche",'Avalanche workings'!$M$25,'Snowball workings'!$M$25)+IF('Your debts'!$D$20="Avalanche",'Avalanche workings'!$AG$25,'Snowball workings'!$AG$25))</f>
      </c>
      <c r="I23" s="30">
        <f>IF(OR(18&gt;$Z$1,NOT(OR('Your debts'!$B$7&lt;&gt;"",N('Your debts'!$C$7)&gt;0))),"",IF('Your debts'!$D$20="Avalanche",'Avalanche workings'!$AQ$25,'Snowball workings'!$AQ$25))</f>
      </c>
      <c r="J23" s="29">
        <f>IF(OR(18&gt;$Z$1,NOT(OR('Your debts'!$B$8&lt;&gt;"",N('Your debts'!$C$8)&gt;0))),"",IF('Your debts'!$D$20="Avalanche",'Avalanche workings'!$N$25,'Snowball workings'!$N$25)+IF('Your debts'!$D$20="Avalanche",'Avalanche workings'!$AH$25,'Snowball workings'!$AH$25))</f>
      </c>
      <c r="K23" s="30">
        <f>IF(OR(18&gt;$Z$1,NOT(OR('Your debts'!$B$8&lt;&gt;"",N('Your debts'!$C$8)&gt;0))),"",IF('Your debts'!$D$20="Avalanche",'Avalanche workings'!$AR$25,'Snowball workings'!$AR$25))</f>
      </c>
      <c r="L23" s="29">
        <f>IF(OR(18&gt;$Z$1,NOT(OR('Your debts'!$B$9&lt;&gt;"",N('Your debts'!$C$9)&gt;0))),"",IF('Your debts'!$D$20="Avalanche",'Avalanche workings'!$O$25,'Snowball workings'!$O$25)+IF('Your debts'!$D$20="Avalanche",'Avalanche workings'!$AI$25,'Snowball workings'!$AI$25))</f>
      </c>
      <c r="M23" s="30">
        <f>IF(OR(18&gt;$Z$1,NOT(OR('Your debts'!$B$9&lt;&gt;"",N('Your debts'!$C$9)&gt;0))),"",IF('Your debts'!$D$20="Avalanche",'Avalanche workings'!$AS$25,'Snowball workings'!$AS$25))</f>
      </c>
      <c r="N23" s="29">
        <f>IF(OR(18&gt;$Z$1,NOT(OR('Your debts'!$B$10&lt;&gt;"",N('Your debts'!$C$10)&gt;0))),"",IF('Your debts'!$D$20="Avalanche",'Avalanche workings'!$P$25,'Snowball workings'!$P$25)+IF('Your debts'!$D$20="Avalanche",'Avalanche workings'!$AJ$25,'Snowball workings'!$AJ$25))</f>
      </c>
      <c r="O23" s="30">
        <f>IF(OR(18&gt;$Z$1,NOT(OR('Your debts'!$B$10&lt;&gt;"",N('Your debts'!$C$10)&gt;0))),"",IF('Your debts'!$D$20="Avalanche",'Avalanche workings'!$AT$25,'Snowball workings'!$AT$25))</f>
      </c>
      <c r="P23" s="29">
        <f>IF(OR(18&gt;$Z$1,NOT(OR('Your debts'!$B$11&lt;&gt;"",N('Your debts'!$C$11)&gt;0))),"",IF('Your debts'!$D$20="Avalanche",'Avalanche workings'!$Q$25,'Snowball workings'!$Q$25)+IF('Your debts'!$D$20="Avalanche",'Avalanche workings'!$AK$25,'Snowball workings'!$AK$25))</f>
      </c>
      <c r="Q23" s="30">
        <f>IF(OR(18&gt;$Z$1,NOT(OR('Your debts'!$B$11&lt;&gt;"",N('Your debts'!$C$11)&gt;0))),"",IF('Your debts'!$D$20="Avalanche",'Avalanche workings'!$AU$25,'Snowball workings'!$AU$25))</f>
      </c>
      <c r="R23" s="29">
        <f>IF(OR(18&gt;$Z$1,NOT(OR('Your debts'!$B$12&lt;&gt;"",N('Your debts'!$C$12)&gt;0))),"",IF('Your debts'!$D$20="Avalanche",'Avalanche workings'!$R$25,'Snowball workings'!$R$25)+IF('Your debts'!$D$20="Avalanche",'Avalanche workings'!$AL$25,'Snowball workings'!$AL$25))</f>
      </c>
      <c r="S23" s="30">
        <f>IF(OR(18&gt;$Z$1,NOT(OR('Your debts'!$B$12&lt;&gt;"",N('Your debts'!$C$12)&gt;0))),"",IF('Your debts'!$D$20="Avalanche",'Avalanche workings'!$AV$25,'Snowball workings'!$AV$25))</f>
      </c>
      <c r="T23" s="29">
        <f>IF(OR(18&gt;$Z$1,NOT(OR('Your debts'!$B$13&lt;&gt;"",N('Your debts'!$C$13)&gt;0))),"",IF('Your debts'!$D$20="Avalanche",'Avalanche workings'!$S$25,'Snowball workings'!$S$25)+IF('Your debts'!$D$20="Avalanche",'Avalanche workings'!$AM$25,'Snowball workings'!$AM$25))</f>
      </c>
      <c r="U23" s="30">
        <f>IF(OR(18&gt;$Z$1,NOT(OR('Your debts'!$B$13&lt;&gt;"",N('Your debts'!$C$13)&gt;0))),"",IF('Your debts'!$D$20="Avalanche",'Avalanche workings'!$AW$25,'Snowball workings'!$AW$25))</f>
      </c>
      <c r="V23" s="29">
        <f>IF(OR(18&gt;$Z$1,NOT(OR('Your debts'!$B$14&lt;&gt;"",N('Your debts'!$C$14)&gt;0))),"",IF('Your debts'!$D$20="Avalanche",'Avalanche workings'!$T$25,'Snowball workings'!$T$25)+IF('Your debts'!$D$20="Avalanche",'Avalanche workings'!$AN$25,'Snowball workings'!$AN$25))</f>
      </c>
      <c r="W23" s="30">
        <f>IF(OR(18&gt;$Z$1,NOT(OR('Your debts'!$B$14&lt;&gt;"",N('Your debts'!$C$14)&gt;0))),"",IF('Your debts'!$D$20="Avalanche",'Avalanche workings'!$AX$25,'Snowball workings'!$AX$25))</f>
      </c>
      <c r="X23" s="29">
        <f>IF(OR(18&gt;$Z$1,NOT(OR('Your debts'!$B$15&lt;&gt;"",N('Your debts'!$C$15)&gt;0))),"",IF('Your debts'!$D$20="Avalanche",'Avalanche workings'!$U$25,'Snowball workings'!$U$25)+IF('Your debts'!$D$20="Avalanche",'Avalanche workings'!$AO$25,'Snowball workings'!$AO$25))</f>
      </c>
      <c r="Y23" s="30">
        <f>IF(OR(18&gt;$Z$1,NOT(OR('Your debts'!$B$15&lt;&gt;"",N('Your debts'!$C$15)&gt;0))),"",IF('Your debts'!$D$20="Avalanche",'Avalanche workings'!$AY$25,'Snowball workings'!$AY$25))</f>
      </c>
    </row>
    <row r="24" spans="1:25" x14ac:dyDescent="0.25">
      <c r="A24" s="2">
        <f>IF(19&gt;$Z$1,"",19)</f>
      </c>
      <c r="B24" s="28">
        <f>IF(19&gt;$Z$1,"",EDATE('Your debts'!$D$21,18))</f>
      </c>
      <c r="C24" s="29">
        <f>IF(19&gt;$Z$1,"",IF('Your debts'!$D$20="Avalanche",'Avalanche workings'!$BC$26,'Snowball workings'!$BC$26))</f>
      </c>
      <c r="D24" s="29">
        <f>IF(19&gt;$Z$1,"",IF('Your debts'!$D$20="Avalanche",'Avalanche workings'!$BA$26,'Snowball workings'!$BA$26))</f>
      </c>
      <c r="E24" s="29">
        <f>IF(19&gt;$Z$1,"",IF('Your debts'!$D$20="Avalanche",'Avalanche workings'!$BB$26,'Snowball workings'!$BB$26))</f>
      </c>
      <c r="F24" s="29">
        <f>IF(OR(19&gt;$Z$1,NOT(OR('Your debts'!$B$6&lt;&gt;"",N('Your debts'!$C$6)&gt;0))),"",IF('Your debts'!$D$20="Avalanche",'Avalanche workings'!$L$26,'Snowball workings'!$L$26)+IF('Your debts'!$D$20="Avalanche",'Avalanche workings'!$AF$26,'Snowball workings'!$AF$26))</f>
      </c>
      <c r="G24" s="30">
        <f>IF(OR(19&gt;$Z$1,NOT(OR('Your debts'!$B$6&lt;&gt;"",N('Your debts'!$C$6)&gt;0))),"",IF('Your debts'!$D$20="Avalanche",'Avalanche workings'!$AP$26,'Snowball workings'!$AP$26))</f>
      </c>
      <c r="H24" s="29">
        <f>IF(OR(19&gt;$Z$1,NOT(OR('Your debts'!$B$7&lt;&gt;"",N('Your debts'!$C$7)&gt;0))),"",IF('Your debts'!$D$20="Avalanche",'Avalanche workings'!$M$26,'Snowball workings'!$M$26)+IF('Your debts'!$D$20="Avalanche",'Avalanche workings'!$AG$26,'Snowball workings'!$AG$26))</f>
      </c>
      <c r="I24" s="30">
        <f>IF(OR(19&gt;$Z$1,NOT(OR('Your debts'!$B$7&lt;&gt;"",N('Your debts'!$C$7)&gt;0))),"",IF('Your debts'!$D$20="Avalanche",'Avalanche workings'!$AQ$26,'Snowball workings'!$AQ$26))</f>
      </c>
      <c r="J24" s="29">
        <f>IF(OR(19&gt;$Z$1,NOT(OR('Your debts'!$B$8&lt;&gt;"",N('Your debts'!$C$8)&gt;0))),"",IF('Your debts'!$D$20="Avalanche",'Avalanche workings'!$N$26,'Snowball workings'!$N$26)+IF('Your debts'!$D$20="Avalanche",'Avalanche workings'!$AH$26,'Snowball workings'!$AH$26))</f>
      </c>
      <c r="K24" s="30">
        <f>IF(OR(19&gt;$Z$1,NOT(OR('Your debts'!$B$8&lt;&gt;"",N('Your debts'!$C$8)&gt;0))),"",IF('Your debts'!$D$20="Avalanche",'Avalanche workings'!$AR$26,'Snowball workings'!$AR$26))</f>
      </c>
      <c r="L24" s="29">
        <f>IF(OR(19&gt;$Z$1,NOT(OR('Your debts'!$B$9&lt;&gt;"",N('Your debts'!$C$9)&gt;0))),"",IF('Your debts'!$D$20="Avalanche",'Avalanche workings'!$O$26,'Snowball workings'!$O$26)+IF('Your debts'!$D$20="Avalanche",'Avalanche workings'!$AI$26,'Snowball workings'!$AI$26))</f>
      </c>
      <c r="M24" s="30">
        <f>IF(OR(19&gt;$Z$1,NOT(OR('Your debts'!$B$9&lt;&gt;"",N('Your debts'!$C$9)&gt;0))),"",IF('Your debts'!$D$20="Avalanche",'Avalanche workings'!$AS$26,'Snowball workings'!$AS$26))</f>
      </c>
      <c r="N24" s="29">
        <f>IF(OR(19&gt;$Z$1,NOT(OR('Your debts'!$B$10&lt;&gt;"",N('Your debts'!$C$10)&gt;0))),"",IF('Your debts'!$D$20="Avalanche",'Avalanche workings'!$P$26,'Snowball workings'!$P$26)+IF('Your debts'!$D$20="Avalanche",'Avalanche workings'!$AJ$26,'Snowball workings'!$AJ$26))</f>
      </c>
      <c r="O24" s="30">
        <f>IF(OR(19&gt;$Z$1,NOT(OR('Your debts'!$B$10&lt;&gt;"",N('Your debts'!$C$10)&gt;0))),"",IF('Your debts'!$D$20="Avalanche",'Avalanche workings'!$AT$26,'Snowball workings'!$AT$26))</f>
      </c>
      <c r="P24" s="29">
        <f>IF(OR(19&gt;$Z$1,NOT(OR('Your debts'!$B$11&lt;&gt;"",N('Your debts'!$C$11)&gt;0))),"",IF('Your debts'!$D$20="Avalanche",'Avalanche workings'!$Q$26,'Snowball workings'!$Q$26)+IF('Your debts'!$D$20="Avalanche",'Avalanche workings'!$AK$26,'Snowball workings'!$AK$26))</f>
      </c>
      <c r="Q24" s="30">
        <f>IF(OR(19&gt;$Z$1,NOT(OR('Your debts'!$B$11&lt;&gt;"",N('Your debts'!$C$11)&gt;0))),"",IF('Your debts'!$D$20="Avalanche",'Avalanche workings'!$AU$26,'Snowball workings'!$AU$26))</f>
      </c>
      <c r="R24" s="29">
        <f>IF(OR(19&gt;$Z$1,NOT(OR('Your debts'!$B$12&lt;&gt;"",N('Your debts'!$C$12)&gt;0))),"",IF('Your debts'!$D$20="Avalanche",'Avalanche workings'!$R$26,'Snowball workings'!$R$26)+IF('Your debts'!$D$20="Avalanche",'Avalanche workings'!$AL$26,'Snowball workings'!$AL$26))</f>
      </c>
      <c r="S24" s="30">
        <f>IF(OR(19&gt;$Z$1,NOT(OR('Your debts'!$B$12&lt;&gt;"",N('Your debts'!$C$12)&gt;0))),"",IF('Your debts'!$D$20="Avalanche",'Avalanche workings'!$AV$26,'Snowball workings'!$AV$26))</f>
      </c>
      <c r="T24" s="29">
        <f>IF(OR(19&gt;$Z$1,NOT(OR('Your debts'!$B$13&lt;&gt;"",N('Your debts'!$C$13)&gt;0))),"",IF('Your debts'!$D$20="Avalanche",'Avalanche workings'!$S$26,'Snowball workings'!$S$26)+IF('Your debts'!$D$20="Avalanche",'Avalanche workings'!$AM$26,'Snowball workings'!$AM$26))</f>
      </c>
      <c r="U24" s="30">
        <f>IF(OR(19&gt;$Z$1,NOT(OR('Your debts'!$B$13&lt;&gt;"",N('Your debts'!$C$13)&gt;0))),"",IF('Your debts'!$D$20="Avalanche",'Avalanche workings'!$AW$26,'Snowball workings'!$AW$26))</f>
      </c>
      <c r="V24" s="29">
        <f>IF(OR(19&gt;$Z$1,NOT(OR('Your debts'!$B$14&lt;&gt;"",N('Your debts'!$C$14)&gt;0))),"",IF('Your debts'!$D$20="Avalanche",'Avalanche workings'!$T$26,'Snowball workings'!$T$26)+IF('Your debts'!$D$20="Avalanche",'Avalanche workings'!$AN$26,'Snowball workings'!$AN$26))</f>
      </c>
      <c r="W24" s="30">
        <f>IF(OR(19&gt;$Z$1,NOT(OR('Your debts'!$B$14&lt;&gt;"",N('Your debts'!$C$14)&gt;0))),"",IF('Your debts'!$D$20="Avalanche",'Avalanche workings'!$AX$26,'Snowball workings'!$AX$26))</f>
      </c>
      <c r="X24" s="29">
        <f>IF(OR(19&gt;$Z$1,NOT(OR('Your debts'!$B$15&lt;&gt;"",N('Your debts'!$C$15)&gt;0))),"",IF('Your debts'!$D$20="Avalanche",'Avalanche workings'!$U$26,'Snowball workings'!$U$26)+IF('Your debts'!$D$20="Avalanche",'Avalanche workings'!$AO$26,'Snowball workings'!$AO$26))</f>
      </c>
      <c r="Y24" s="30">
        <f>IF(OR(19&gt;$Z$1,NOT(OR('Your debts'!$B$15&lt;&gt;"",N('Your debts'!$C$15)&gt;0))),"",IF('Your debts'!$D$20="Avalanche",'Avalanche workings'!$AY$26,'Snowball workings'!$AY$26))</f>
      </c>
    </row>
    <row r="25" spans="1:25" x14ac:dyDescent="0.25">
      <c r="A25" s="2">
        <f>IF(20&gt;$Z$1,"",20)</f>
      </c>
      <c r="B25" s="28">
        <f>IF(20&gt;$Z$1,"",EDATE('Your debts'!$D$21,19))</f>
      </c>
      <c r="C25" s="29">
        <f>IF(20&gt;$Z$1,"",IF('Your debts'!$D$20="Avalanche",'Avalanche workings'!$BC$27,'Snowball workings'!$BC$27))</f>
      </c>
      <c r="D25" s="29">
        <f>IF(20&gt;$Z$1,"",IF('Your debts'!$D$20="Avalanche",'Avalanche workings'!$BA$27,'Snowball workings'!$BA$27))</f>
      </c>
      <c r="E25" s="29">
        <f>IF(20&gt;$Z$1,"",IF('Your debts'!$D$20="Avalanche",'Avalanche workings'!$BB$27,'Snowball workings'!$BB$27))</f>
      </c>
      <c r="F25" s="29">
        <f>IF(OR(20&gt;$Z$1,NOT(OR('Your debts'!$B$6&lt;&gt;"",N('Your debts'!$C$6)&gt;0))),"",IF('Your debts'!$D$20="Avalanche",'Avalanche workings'!$L$27,'Snowball workings'!$L$27)+IF('Your debts'!$D$20="Avalanche",'Avalanche workings'!$AF$27,'Snowball workings'!$AF$27))</f>
      </c>
      <c r="G25" s="30">
        <f>IF(OR(20&gt;$Z$1,NOT(OR('Your debts'!$B$6&lt;&gt;"",N('Your debts'!$C$6)&gt;0))),"",IF('Your debts'!$D$20="Avalanche",'Avalanche workings'!$AP$27,'Snowball workings'!$AP$27))</f>
      </c>
      <c r="H25" s="29">
        <f>IF(OR(20&gt;$Z$1,NOT(OR('Your debts'!$B$7&lt;&gt;"",N('Your debts'!$C$7)&gt;0))),"",IF('Your debts'!$D$20="Avalanche",'Avalanche workings'!$M$27,'Snowball workings'!$M$27)+IF('Your debts'!$D$20="Avalanche",'Avalanche workings'!$AG$27,'Snowball workings'!$AG$27))</f>
      </c>
      <c r="I25" s="30">
        <f>IF(OR(20&gt;$Z$1,NOT(OR('Your debts'!$B$7&lt;&gt;"",N('Your debts'!$C$7)&gt;0))),"",IF('Your debts'!$D$20="Avalanche",'Avalanche workings'!$AQ$27,'Snowball workings'!$AQ$27))</f>
      </c>
      <c r="J25" s="29">
        <f>IF(OR(20&gt;$Z$1,NOT(OR('Your debts'!$B$8&lt;&gt;"",N('Your debts'!$C$8)&gt;0))),"",IF('Your debts'!$D$20="Avalanche",'Avalanche workings'!$N$27,'Snowball workings'!$N$27)+IF('Your debts'!$D$20="Avalanche",'Avalanche workings'!$AH$27,'Snowball workings'!$AH$27))</f>
      </c>
      <c r="K25" s="30">
        <f>IF(OR(20&gt;$Z$1,NOT(OR('Your debts'!$B$8&lt;&gt;"",N('Your debts'!$C$8)&gt;0))),"",IF('Your debts'!$D$20="Avalanche",'Avalanche workings'!$AR$27,'Snowball workings'!$AR$27))</f>
      </c>
      <c r="L25" s="29">
        <f>IF(OR(20&gt;$Z$1,NOT(OR('Your debts'!$B$9&lt;&gt;"",N('Your debts'!$C$9)&gt;0))),"",IF('Your debts'!$D$20="Avalanche",'Avalanche workings'!$O$27,'Snowball workings'!$O$27)+IF('Your debts'!$D$20="Avalanche",'Avalanche workings'!$AI$27,'Snowball workings'!$AI$27))</f>
      </c>
      <c r="M25" s="30">
        <f>IF(OR(20&gt;$Z$1,NOT(OR('Your debts'!$B$9&lt;&gt;"",N('Your debts'!$C$9)&gt;0))),"",IF('Your debts'!$D$20="Avalanche",'Avalanche workings'!$AS$27,'Snowball workings'!$AS$27))</f>
      </c>
      <c r="N25" s="29">
        <f>IF(OR(20&gt;$Z$1,NOT(OR('Your debts'!$B$10&lt;&gt;"",N('Your debts'!$C$10)&gt;0))),"",IF('Your debts'!$D$20="Avalanche",'Avalanche workings'!$P$27,'Snowball workings'!$P$27)+IF('Your debts'!$D$20="Avalanche",'Avalanche workings'!$AJ$27,'Snowball workings'!$AJ$27))</f>
      </c>
      <c r="O25" s="30">
        <f>IF(OR(20&gt;$Z$1,NOT(OR('Your debts'!$B$10&lt;&gt;"",N('Your debts'!$C$10)&gt;0))),"",IF('Your debts'!$D$20="Avalanche",'Avalanche workings'!$AT$27,'Snowball workings'!$AT$27))</f>
      </c>
      <c r="P25" s="29">
        <f>IF(OR(20&gt;$Z$1,NOT(OR('Your debts'!$B$11&lt;&gt;"",N('Your debts'!$C$11)&gt;0))),"",IF('Your debts'!$D$20="Avalanche",'Avalanche workings'!$Q$27,'Snowball workings'!$Q$27)+IF('Your debts'!$D$20="Avalanche",'Avalanche workings'!$AK$27,'Snowball workings'!$AK$27))</f>
      </c>
      <c r="Q25" s="30">
        <f>IF(OR(20&gt;$Z$1,NOT(OR('Your debts'!$B$11&lt;&gt;"",N('Your debts'!$C$11)&gt;0))),"",IF('Your debts'!$D$20="Avalanche",'Avalanche workings'!$AU$27,'Snowball workings'!$AU$27))</f>
      </c>
      <c r="R25" s="29">
        <f>IF(OR(20&gt;$Z$1,NOT(OR('Your debts'!$B$12&lt;&gt;"",N('Your debts'!$C$12)&gt;0))),"",IF('Your debts'!$D$20="Avalanche",'Avalanche workings'!$R$27,'Snowball workings'!$R$27)+IF('Your debts'!$D$20="Avalanche",'Avalanche workings'!$AL$27,'Snowball workings'!$AL$27))</f>
      </c>
      <c r="S25" s="30">
        <f>IF(OR(20&gt;$Z$1,NOT(OR('Your debts'!$B$12&lt;&gt;"",N('Your debts'!$C$12)&gt;0))),"",IF('Your debts'!$D$20="Avalanche",'Avalanche workings'!$AV$27,'Snowball workings'!$AV$27))</f>
      </c>
      <c r="T25" s="29">
        <f>IF(OR(20&gt;$Z$1,NOT(OR('Your debts'!$B$13&lt;&gt;"",N('Your debts'!$C$13)&gt;0))),"",IF('Your debts'!$D$20="Avalanche",'Avalanche workings'!$S$27,'Snowball workings'!$S$27)+IF('Your debts'!$D$20="Avalanche",'Avalanche workings'!$AM$27,'Snowball workings'!$AM$27))</f>
      </c>
      <c r="U25" s="30">
        <f>IF(OR(20&gt;$Z$1,NOT(OR('Your debts'!$B$13&lt;&gt;"",N('Your debts'!$C$13)&gt;0))),"",IF('Your debts'!$D$20="Avalanche",'Avalanche workings'!$AW$27,'Snowball workings'!$AW$27))</f>
      </c>
      <c r="V25" s="29">
        <f>IF(OR(20&gt;$Z$1,NOT(OR('Your debts'!$B$14&lt;&gt;"",N('Your debts'!$C$14)&gt;0))),"",IF('Your debts'!$D$20="Avalanche",'Avalanche workings'!$T$27,'Snowball workings'!$T$27)+IF('Your debts'!$D$20="Avalanche",'Avalanche workings'!$AN$27,'Snowball workings'!$AN$27))</f>
      </c>
      <c r="W25" s="30">
        <f>IF(OR(20&gt;$Z$1,NOT(OR('Your debts'!$B$14&lt;&gt;"",N('Your debts'!$C$14)&gt;0))),"",IF('Your debts'!$D$20="Avalanche",'Avalanche workings'!$AX$27,'Snowball workings'!$AX$27))</f>
      </c>
      <c r="X25" s="29">
        <f>IF(OR(20&gt;$Z$1,NOT(OR('Your debts'!$B$15&lt;&gt;"",N('Your debts'!$C$15)&gt;0))),"",IF('Your debts'!$D$20="Avalanche",'Avalanche workings'!$U$27,'Snowball workings'!$U$27)+IF('Your debts'!$D$20="Avalanche",'Avalanche workings'!$AO$27,'Snowball workings'!$AO$27))</f>
      </c>
      <c r="Y25" s="30">
        <f>IF(OR(20&gt;$Z$1,NOT(OR('Your debts'!$B$15&lt;&gt;"",N('Your debts'!$C$15)&gt;0))),"",IF('Your debts'!$D$20="Avalanche",'Avalanche workings'!$AY$27,'Snowball workings'!$AY$27))</f>
      </c>
    </row>
    <row r="26" spans="1:25" x14ac:dyDescent="0.25">
      <c r="A26" s="2">
        <f>IF(21&gt;$Z$1,"",21)</f>
      </c>
      <c r="B26" s="28">
        <f>IF(21&gt;$Z$1,"",EDATE('Your debts'!$D$21,20))</f>
      </c>
      <c r="C26" s="29">
        <f>IF(21&gt;$Z$1,"",IF('Your debts'!$D$20="Avalanche",'Avalanche workings'!$BC$28,'Snowball workings'!$BC$28))</f>
      </c>
      <c r="D26" s="29">
        <f>IF(21&gt;$Z$1,"",IF('Your debts'!$D$20="Avalanche",'Avalanche workings'!$BA$28,'Snowball workings'!$BA$28))</f>
      </c>
      <c r="E26" s="29">
        <f>IF(21&gt;$Z$1,"",IF('Your debts'!$D$20="Avalanche",'Avalanche workings'!$BB$28,'Snowball workings'!$BB$28))</f>
      </c>
      <c r="F26" s="29">
        <f>IF(OR(21&gt;$Z$1,NOT(OR('Your debts'!$B$6&lt;&gt;"",N('Your debts'!$C$6)&gt;0))),"",IF('Your debts'!$D$20="Avalanche",'Avalanche workings'!$L$28,'Snowball workings'!$L$28)+IF('Your debts'!$D$20="Avalanche",'Avalanche workings'!$AF$28,'Snowball workings'!$AF$28))</f>
      </c>
      <c r="G26" s="30">
        <f>IF(OR(21&gt;$Z$1,NOT(OR('Your debts'!$B$6&lt;&gt;"",N('Your debts'!$C$6)&gt;0))),"",IF('Your debts'!$D$20="Avalanche",'Avalanche workings'!$AP$28,'Snowball workings'!$AP$28))</f>
      </c>
      <c r="H26" s="29">
        <f>IF(OR(21&gt;$Z$1,NOT(OR('Your debts'!$B$7&lt;&gt;"",N('Your debts'!$C$7)&gt;0))),"",IF('Your debts'!$D$20="Avalanche",'Avalanche workings'!$M$28,'Snowball workings'!$M$28)+IF('Your debts'!$D$20="Avalanche",'Avalanche workings'!$AG$28,'Snowball workings'!$AG$28))</f>
      </c>
      <c r="I26" s="30">
        <f>IF(OR(21&gt;$Z$1,NOT(OR('Your debts'!$B$7&lt;&gt;"",N('Your debts'!$C$7)&gt;0))),"",IF('Your debts'!$D$20="Avalanche",'Avalanche workings'!$AQ$28,'Snowball workings'!$AQ$28))</f>
      </c>
      <c r="J26" s="29">
        <f>IF(OR(21&gt;$Z$1,NOT(OR('Your debts'!$B$8&lt;&gt;"",N('Your debts'!$C$8)&gt;0))),"",IF('Your debts'!$D$20="Avalanche",'Avalanche workings'!$N$28,'Snowball workings'!$N$28)+IF('Your debts'!$D$20="Avalanche",'Avalanche workings'!$AH$28,'Snowball workings'!$AH$28))</f>
      </c>
      <c r="K26" s="30">
        <f>IF(OR(21&gt;$Z$1,NOT(OR('Your debts'!$B$8&lt;&gt;"",N('Your debts'!$C$8)&gt;0))),"",IF('Your debts'!$D$20="Avalanche",'Avalanche workings'!$AR$28,'Snowball workings'!$AR$28))</f>
      </c>
      <c r="L26" s="29">
        <f>IF(OR(21&gt;$Z$1,NOT(OR('Your debts'!$B$9&lt;&gt;"",N('Your debts'!$C$9)&gt;0))),"",IF('Your debts'!$D$20="Avalanche",'Avalanche workings'!$O$28,'Snowball workings'!$O$28)+IF('Your debts'!$D$20="Avalanche",'Avalanche workings'!$AI$28,'Snowball workings'!$AI$28))</f>
      </c>
      <c r="M26" s="30">
        <f>IF(OR(21&gt;$Z$1,NOT(OR('Your debts'!$B$9&lt;&gt;"",N('Your debts'!$C$9)&gt;0))),"",IF('Your debts'!$D$20="Avalanche",'Avalanche workings'!$AS$28,'Snowball workings'!$AS$28))</f>
      </c>
      <c r="N26" s="29">
        <f>IF(OR(21&gt;$Z$1,NOT(OR('Your debts'!$B$10&lt;&gt;"",N('Your debts'!$C$10)&gt;0))),"",IF('Your debts'!$D$20="Avalanche",'Avalanche workings'!$P$28,'Snowball workings'!$P$28)+IF('Your debts'!$D$20="Avalanche",'Avalanche workings'!$AJ$28,'Snowball workings'!$AJ$28))</f>
      </c>
      <c r="O26" s="30">
        <f>IF(OR(21&gt;$Z$1,NOT(OR('Your debts'!$B$10&lt;&gt;"",N('Your debts'!$C$10)&gt;0))),"",IF('Your debts'!$D$20="Avalanche",'Avalanche workings'!$AT$28,'Snowball workings'!$AT$28))</f>
      </c>
      <c r="P26" s="29">
        <f>IF(OR(21&gt;$Z$1,NOT(OR('Your debts'!$B$11&lt;&gt;"",N('Your debts'!$C$11)&gt;0))),"",IF('Your debts'!$D$20="Avalanche",'Avalanche workings'!$Q$28,'Snowball workings'!$Q$28)+IF('Your debts'!$D$20="Avalanche",'Avalanche workings'!$AK$28,'Snowball workings'!$AK$28))</f>
      </c>
      <c r="Q26" s="30">
        <f>IF(OR(21&gt;$Z$1,NOT(OR('Your debts'!$B$11&lt;&gt;"",N('Your debts'!$C$11)&gt;0))),"",IF('Your debts'!$D$20="Avalanche",'Avalanche workings'!$AU$28,'Snowball workings'!$AU$28))</f>
      </c>
      <c r="R26" s="29">
        <f>IF(OR(21&gt;$Z$1,NOT(OR('Your debts'!$B$12&lt;&gt;"",N('Your debts'!$C$12)&gt;0))),"",IF('Your debts'!$D$20="Avalanche",'Avalanche workings'!$R$28,'Snowball workings'!$R$28)+IF('Your debts'!$D$20="Avalanche",'Avalanche workings'!$AL$28,'Snowball workings'!$AL$28))</f>
      </c>
      <c r="S26" s="30">
        <f>IF(OR(21&gt;$Z$1,NOT(OR('Your debts'!$B$12&lt;&gt;"",N('Your debts'!$C$12)&gt;0))),"",IF('Your debts'!$D$20="Avalanche",'Avalanche workings'!$AV$28,'Snowball workings'!$AV$28))</f>
      </c>
      <c r="T26" s="29">
        <f>IF(OR(21&gt;$Z$1,NOT(OR('Your debts'!$B$13&lt;&gt;"",N('Your debts'!$C$13)&gt;0))),"",IF('Your debts'!$D$20="Avalanche",'Avalanche workings'!$S$28,'Snowball workings'!$S$28)+IF('Your debts'!$D$20="Avalanche",'Avalanche workings'!$AM$28,'Snowball workings'!$AM$28))</f>
      </c>
      <c r="U26" s="30">
        <f>IF(OR(21&gt;$Z$1,NOT(OR('Your debts'!$B$13&lt;&gt;"",N('Your debts'!$C$13)&gt;0))),"",IF('Your debts'!$D$20="Avalanche",'Avalanche workings'!$AW$28,'Snowball workings'!$AW$28))</f>
      </c>
      <c r="V26" s="29">
        <f>IF(OR(21&gt;$Z$1,NOT(OR('Your debts'!$B$14&lt;&gt;"",N('Your debts'!$C$14)&gt;0))),"",IF('Your debts'!$D$20="Avalanche",'Avalanche workings'!$T$28,'Snowball workings'!$T$28)+IF('Your debts'!$D$20="Avalanche",'Avalanche workings'!$AN$28,'Snowball workings'!$AN$28))</f>
      </c>
      <c r="W26" s="30">
        <f>IF(OR(21&gt;$Z$1,NOT(OR('Your debts'!$B$14&lt;&gt;"",N('Your debts'!$C$14)&gt;0))),"",IF('Your debts'!$D$20="Avalanche",'Avalanche workings'!$AX$28,'Snowball workings'!$AX$28))</f>
      </c>
      <c r="X26" s="29">
        <f>IF(OR(21&gt;$Z$1,NOT(OR('Your debts'!$B$15&lt;&gt;"",N('Your debts'!$C$15)&gt;0))),"",IF('Your debts'!$D$20="Avalanche",'Avalanche workings'!$U$28,'Snowball workings'!$U$28)+IF('Your debts'!$D$20="Avalanche",'Avalanche workings'!$AO$28,'Snowball workings'!$AO$28))</f>
      </c>
      <c r="Y26" s="30">
        <f>IF(OR(21&gt;$Z$1,NOT(OR('Your debts'!$B$15&lt;&gt;"",N('Your debts'!$C$15)&gt;0))),"",IF('Your debts'!$D$20="Avalanche",'Avalanche workings'!$AY$28,'Snowball workings'!$AY$28))</f>
      </c>
    </row>
    <row r="27" spans="1:25" x14ac:dyDescent="0.25">
      <c r="A27" s="2">
        <f>IF(22&gt;$Z$1,"",22)</f>
      </c>
      <c r="B27" s="28">
        <f>IF(22&gt;$Z$1,"",EDATE('Your debts'!$D$21,21))</f>
      </c>
      <c r="C27" s="29">
        <f>IF(22&gt;$Z$1,"",IF('Your debts'!$D$20="Avalanche",'Avalanche workings'!$BC$29,'Snowball workings'!$BC$29))</f>
      </c>
      <c r="D27" s="29">
        <f>IF(22&gt;$Z$1,"",IF('Your debts'!$D$20="Avalanche",'Avalanche workings'!$BA$29,'Snowball workings'!$BA$29))</f>
      </c>
      <c r="E27" s="29">
        <f>IF(22&gt;$Z$1,"",IF('Your debts'!$D$20="Avalanche",'Avalanche workings'!$BB$29,'Snowball workings'!$BB$29))</f>
      </c>
      <c r="F27" s="29">
        <f>IF(OR(22&gt;$Z$1,NOT(OR('Your debts'!$B$6&lt;&gt;"",N('Your debts'!$C$6)&gt;0))),"",IF('Your debts'!$D$20="Avalanche",'Avalanche workings'!$L$29,'Snowball workings'!$L$29)+IF('Your debts'!$D$20="Avalanche",'Avalanche workings'!$AF$29,'Snowball workings'!$AF$29))</f>
      </c>
      <c r="G27" s="30">
        <f>IF(OR(22&gt;$Z$1,NOT(OR('Your debts'!$B$6&lt;&gt;"",N('Your debts'!$C$6)&gt;0))),"",IF('Your debts'!$D$20="Avalanche",'Avalanche workings'!$AP$29,'Snowball workings'!$AP$29))</f>
      </c>
      <c r="H27" s="29">
        <f>IF(OR(22&gt;$Z$1,NOT(OR('Your debts'!$B$7&lt;&gt;"",N('Your debts'!$C$7)&gt;0))),"",IF('Your debts'!$D$20="Avalanche",'Avalanche workings'!$M$29,'Snowball workings'!$M$29)+IF('Your debts'!$D$20="Avalanche",'Avalanche workings'!$AG$29,'Snowball workings'!$AG$29))</f>
      </c>
      <c r="I27" s="30">
        <f>IF(OR(22&gt;$Z$1,NOT(OR('Your debts'!$B$7&lt;&gt;"",N('Your debts'!$C$7)&gt;0))),"",IF('Your debts'!$D$20="Avalanche",'Avalanche workings'!$AQ$29,'Snowball workings'!$AQ$29))</f>
      </c>
      <c r="J27" s="29">
        <f>IF(OR(22&gt;$Z$1,NOT(OR('Your debts'!$B$8&lt;&gt;"",N('Your debts'!$C$8)&gt;0))),"",IF('Your debts'!$D$20="Avalanche",'Avalanche workings'!$N$29,'Snowball workings'!$N$29)+IF('Your debts'!$D$20="Avalanche",'Avalanche workings'!$AH$29,'Snowball workings'!$AH$29))</f>
      </c>
      <c r="K27" s="30">
        <f>IF(OR(22&gt;$Z$1,NOT(OR('Your debts'!$B$8&lt;&gt;"",N('Your debts'!$C$8)&gt;0))),"",IF('Your debts'!$D$20="Avalanche",'Avalanche workings'!$AR$29,'Snowball workings'!$AR$29))</f>
      </c>
      <c r="L27" s="29">
        <f>IF(OR(22&gt;$Z$1,NOT(OR('Your debts'!$B$9&lt;&gt;"",N('Your debts'!$C$9)&gt;0))),"",IF('Your debts'!$D$20="Avalanche",'Avalanche workings'!$O$29,'Snowball workings'!$O$29)+IF('Your debts'!$D$20="Avalanche",'Avalanche workings'!$AI$29,'Snowball workings'!$AI$29))</f>
      </c>
      <c r="M27" s="30">
        <f>IF(OR(22&gt;$Z$1,NOT(OR('Your debts'!$B$9&lt;&gt;"",N('Your debts'!$C$9)&gt;0))),"",IF('Your debts'!$D$20="Avalanche",'Avalanche workings'!$AS$29,'Snowball workings'!$AS$29))</f>
      </c>
      <c r="N27" s="29">
        <f>IF(OR(22&gt;$Z$1,NOT(OR('Your debts'!$B$10&lt;&gt;"",N('Your debts'!$C$10)&gt;0))),"",IF('Your debts'!$D$20="Avalanche",'Avalanche workings'!$P$29,'Snowball workings'!$P$29)+IF('Your debts'!$D$20="Avalanche",'Avalanche workings'!$AJ$29,'Snowball workings'!$AJ$29))</f>
      </c>
      <c r="O27" s="30">
        <f>IF(OR(22&gt;$Z$1,NOT(OR('Your debts'!$B$10&lt;&gt;"",N('Your debts'!$C$10)&gt;0))),"",IF('Your debts'!$D$20="Avalanche",'Avalanche workings'!$AT$29,'Snowball workings'!$AT$29))</f>
      </c>
      <c r="P27" s="29">
        <f>IF(OR(22&gt;$Z$1,NOT(OR('Your debts'!$B$11&lt;&gt;"",N('Your debts'!$C$11)&gt;0))),"",IF('Your debts'!$D$20="Avalanche",'Avalanche workings'!$Q$29,'Snowball workings'!$Q$29)+IF('Your debts'!$D$20="Avalanche",'Avalanche workings'!$AK$29,'Snowball workings'!$AK$29))</f>
      </c>
      <c r="Q27" s="30">
        <f>IF(OR(22&gt;$Z$1,NOT(OR('Your debts'!$B$11&lt;&gt;"",N('Your debts'!$C$11)&gt;0))),"",IF('Your debts'!$D$20="Avalanche",'Avalanche workings'!$AU$29,'Snowball workings'!$AU$29))</f>
      </c>
      <c r="R27" s="29">
        <f>IF(OR(22&gt;$Z$1,NOT(OR('Your debts'!$B$12&lt;&gt;"",N('Your debts'!$C$12)&gt;0))),"",IF('Your debts'!$D$20="Avalanche",'Avalanche workings'!$R$29,'Snowball workings'!$R$29)+IF('Your debts'!$D$20="Avalanche",'Avalanche workings'!$AL$29,'Snowball workings'!$AL$29))</f>
      </c>
      <c r="S27" s="30">
        <f>IF(OR(22&gt;$Z$1,NOT(OR('Your debts'!$B$12&lt;&gt;"",N('Your debts'!$C$12)&gt;0))),"",IF('Your debts'!$D$20="Avalanche",'Avalanche workings'!$AV$29,'Snowball workings'!$AV$29))</f>
      </c>
      <c r="T27" s="29">
        <f>IF(OR(22&gt;$Z$1,NOT(OR('Your debts'!$B$13&lt;&gt;"",N('Your debts'!$C$13)&gt;0))),"",IF('Your debts'!$D$20="Avalanche",'Avalanche workings'!$S$29,'Snowball workings'!$S$29)+IF('Your debts'!$D$20="Avalanche",'Avalanche workings'!$AM$29,'Snowball workings'!$AM$29))</f>
      </c>
      <c r="U27" s="30">
        <f>IF(OR(22&gt;$Z$1,NOT(OR('Your debts'!$B$13&lt;&gt;"",N('Your debts'!$C$13)&gt;0))),"",IF('Your debts'!$D$20="Avalanche",'Avalanche workings'!$AW$29,'Snowball workings'!$AW$29))</f>
      </c>
      <c r="V27" s="29">
        <f>IF(OR(22&gt;$Z$1,NOT(OR('Your debts'!$B$14&lt;&gt;"",N('Your debts'!$C$14)&gt;0))),"",IF('Your debts'!$D$20="Avalanche",'Avalanche workings'!$T$29,'Snowball workings'!$T$29)+IF('Your debts'!$D$20="Avalanche",'Avalanche workings'!$AN$29,'Snowball workings'!$AN$29))</f>
      </c>
      <c r="W27" s="30">
        <f>IF(OR(22&gt;$Z$1,NOT(OR('Your debts'!$B$14&lt;&gt;"",N('Your debts'!$C$14)&gt;0))),"",IF('Your debts'!$D$20="Avalanche",'Avalanche workings'!$AX$29,'Snowball workings'!$AX$29))</f>
      </c>
      <c r="X27" s="29">
        <f>IF(OR(22&gt;$Z$1,NOT(OR('Your debts'!$B$15&lt;&gt;"",N('Your debts'!$C$15)&gt;0))),"",IF('Your debts'!$D$20="Avalanche",'Avalanche workings'!$U$29,'Snowball workings'!$U$29)+IF('Your debts'!$D$20="Avalanche",'Avalanche workings'!$AO$29,'Snowball workings'!$AO$29))</f>
      </c>
      <c r="Y27" s="30">
        <f>IF(OR(22&gt;$Z$1,NOT(OR('Your debts'!$B$15&lt;&gt;"",N('Your debts'!$C$15)&gt;0))),"",IF('Your debts'!$D$20="Avalanche",'Avalanche workings'!$AY$29,'Snowball workings'!$AY$29))</f>
      </c>
    </row>
    <row r="28" spans="1:25" x14ac:dyDescent="0.25">
      <c r="A28" s="2">
        <f>IF(23&gt;$Z$1,"",23)</f>
      </c>
      <c r="B28" s="28">
        <f>IF(23&gt;$Z$1,"",EDATE('Your debts'!$D$21,22))</f>
      </c>
      <c r="C28" s="29">
        <f>IF(23&gt;$Z$1,"",IF('Your debts'!$D$20="Avalanche",'Avalanche workings'!$BC$30,'Snowball workings'!$BC$30))</f>
      </c>
      <c r="D28" s="29">
        <f>IF(23&gt;$Z$1,"",IF('Your debts'!$D$20="Avalanche",'Avalanche workings'!$BA$30,'Snowball workings'!$BA$30))</f>
      </c>
      <c r="E28" s="29">
        <f>IF(23&gt;$Z$1,"",IF('Your debts'!$D$20="Avalanche",'Avalanche workings'!$BB$30,'Snowball workings'!$BB$30))</f>
      </c>
      <c r="F28" s="29">
        <f>IF(OR(23&gt;$Z$1,NOT(OR('Your debts'!$B$6&lt;&gt;"",N('Your debts'!$C$6)&gt;0))),"",IF('Your debts'!$D$20="Avalanche",'Avalanche workings'!$L$30,'Snowball workings'!$L$30)+IF('Your debts'!$D$20="Avalanche",'Avalanche workings'!$AF$30,'Snowball workings'!$AF$30))</f>
      </c>
      <c r="G28" s="30">
        <f>IF(OR(23&gt;$Z$1,NOT(OR('Your debts'!$B$6&lt;&gt;"",N('Your debts'!$C$6)&gt;0))),"",IF('Your debts'!$D$20="Avalanche",'Avalanche workings'!$AP$30,'Snowball workings'!$AP$30))</f>
      </c>
      <c r="H28" s="29">
        <f>IF(OR(23&gt;$Z$1,NOT(OR('Your debts'!$B$7&lt;&gt;"",N('Your debts'!$C$7)&gt;0))),"",IF('Your debts'!$D$20="Avalanche",'Avalanche workings'!$M$30,'Snowball workings'!$M$30)+IF('Your debts'!$D$20="Avalanche",'Avalanche workings'!$AG$30,'Snowball workings'!$AG$30))</f>
      </c>
      <c r="I28" s="30">
        <f>IF(OR(23&gt;$Z$1,NOT(OR('Your debts'!$B$7&lt;&gt;"",N('Your debts'!$C$7)&gt;0))),"",IF('Your debts'!$D$20="Avalanche",'Avalanche workings'!$AQ$30,'Snowball workings'!$AQ$30))</f>
      </c>
      <c r="J28" s="29">
        <f>IF(OR(23&gt;$Z$1,NOT(OR('Your debts'!$B$8&lt;&gt;"",N('Your debts'!$C$8)&gt;0))),"",IF('Your debts'!$D$20="Avalanche",'Avalanche workings'!$N$30,'Snowball workings'!$N$30)+IF('Your debts'!$D$20="Avalanche",'Avalanche workings'!$AH$30,'Snowball workings'!$AH$30))</f>
      </c>
      <c r="K28" s="30">
        <f>IF(OR(23&gt;$Z$1,NOT(OR('Your debts'!$B$8&lt;&gt;"",N('Your debts'!$C$8)&gt;0))),"",IF('Your debts'!$D$20="Avalanche",'Avalanche workings'!$AR$30,'Snowball workings'!$AR$30))</f>
      </c>
      <c r="L28" s="29">
        <f>IF(OR(23&gt;$Z$1,NOT(OR('Your debts'!$B$9&lt;&gt;"",N('Your debts'!$C$9)&gt;0))),"",IF('Your debts'!$D$20="Avalanche",'Avalanche workings'!$O$30,'Snowball workings'!$O$30)+IF('Your debts'!$D$20="Avalanche",'Avalanche workings'!$AI$30,'Snowball workings'!$AI$30))</f>
      </c>
      <c r="M28" s="30">
        <f>IF(OR(23&gt;$Z$1,NOT(OR('Your debts'!$B$9&lt;&gt;"",N('Your debts'!$C$9)&gt;0))),"",IF('Your debts'!$D$20="Avalanche",'Avalanche workings'!$AS$30,'Snowball workings'!$AS$30))</f>
      </c>
      <c r="N28" s="29">
        <f>IF(OR(23&gt;$Z$1,NOT(OR('Your debts'!$B$10&lt;&gt;"",N('Your debts'!$C$10)&gt;0))),"",IF('Your debts'!$D$20="Avalanche",'Avalanche workings'!$P$30,'Snowball workings'!$P$30)+IF('Your debts'!$D$20="Avalanche",'Avalanche workings'!$AJ$30,'Snowball workings'!$AJ$30))</f>
      </c>
      <c r="O28" s="30">
        <f>IF(OR(23&gt;$Z$1,NOT(OR('Your debts'!$B$10&lt;&gt;"",N('Your debts'!$C$10)&gt;0))),"",IF('Your debts'!$D$20="Avalanche",'Avalanche workings'!$AT$30,'Snowball workings'!$AT$30))</f>
      </c>
      <c r="P28" s="29">
        <f>IF(OR(23&gt;$Z$1,NOT(OR('Your debts'!$B$11&lt;&gt;"",N('Your debts'!$C$11)&gt;0))),"",IF('Your debts'!$D$20="Avalanche",'Avalanche workings'!$Q$30,'Snowball workings'!$Q$30)+IF('Your debts'!$D$20="Avalanche",'Avalanche workings'!$AK$30,'Snowball workings'!$AK$30))</f>
      </c>
      <c r="Q28" s="30">
        <f>IF(OR(23&gt;$Z$1,NOT(OR('Your debts'!$B$11&lt;&gt;"",N('Your debts'!$C$11)&gt;0))),"",IF('Your debts'!$D$20="Avalanche",'Avalanche workings'!$AU$30,'Snowball workings'!$AU$30))</f>
      </c>
      <c r="R28" s="29">
        <f>IF(OR(23&gt;$Z$1,NOT(OR('Your debts'!$B$12&lt;&gt;"",N('Your debts'!$C$12)&gt;0))),"",IF('Your debts'!$D$20="Avalanche",'Avalanche workings'!$R$30,'Snowball workings'!$R$30)+IF('Your debts'!$D$20="Avalanche",'Avalanche workings'!$AL$30,'Snowball workings'!$AL$30))</f>
      </c>
      <c r="S28" s="30">
        <f>IF(OR(23&gt;$Z$1,NOT(OR('Your debts'!$B$12&lt;&gt;"",N('Your debts'!$C$12)&gt;0))),"",IF('Your debts'!$D$20="Avalanche",'Avalanche workings'!$AV$30,'Snowball workings'!$AV$30))</f>
      </c>
      <c r="T28" s="29">
        <f>IF(OR(23&gt;$Z$1,NOT(OR('Your debts'!$B$13&lt;&gt;"",N('Your debts'!$C$13)&gt;0))),"",IF('Your debts'!$D$20="Avalanche",'Avalanche workings'!$S$30,'Snowball workings'!$S$30)+IF('Your debts'!$D$20="Avalanche",'Avalanche workings'!$AM$30,'Snowball workings'!$AM$30))</f>
      </c>
      <c r="U28" s="30">
        <f>IF(OR(23&gt;$Z$1,NOT(OR('Your debts'!$B$13&lt;&gt;"",N('Your debts'!$C$13)&gt;0))),"",IF('Your debts'!$D$20="Avalanche",'Avalanche workings'!$AW$30,'Snowball workings'!$AW$30))</f>
      </c>
      <c r="V28" s="29">
        <f>IF(OR(23&gt;$Z$1,NOT(OR('Your debts'!$B$14&lt;&gt;"",N('Your debts'!$C$14)&gt;0))),"",IF('Your debts'!$D$20="Avalanche",'Avalanche workings'!$T$30,'Snowball workings'!$T$30)+IF('Your debts'!$D$20="Avalanche",'Avalanche workings'!$AN$30,'Snowball workings'!$AN$30))</f>
      </c>
      <c r="W28" s="30">
        <f>IF(OR(23&gt;$Z$1,NOT(OR('Your debts'!$B$14&lt;&gt;"",N('Your debts'!$C$14)&gt;0))),"",IF('Your debts'!$D$20="Avalanche",'Avalanche workings'!$AX$30,'Snowball workings'!$AX$30))</f>
      </c>
      <c r="X28" s="29">
        <f>IF(OR(23&gt;$Z$1,NOT(OR('Your debts'!$B$15&lt;&gt;"",N('Your debts'!$C$15)&gt;0))),"",IF('Your debts'!$D$20="Avalanche",'Avalanche workings'!$U$30,'Snowball workings'!$U$30)+IF('Your debts'!$D$20="Avalanche",'Avalanche workings'!$AO$30,'Snowball workings'!$AO$30))</f>
      </c>
      <c r="Y28" s="30">
        <f>IF(OR(23&gt;$Z$1,NOT(OR('Your debts'!$B$15&lt;&gt;"",N('Your debts'!$C$15)&gt;0))),"",IF('Your debts'!$D$20="Avalanche",'Avalanche workings'!$AY$30,'Snowball workings'!$AY$30))</f>
      </c>
    </row>
    <row r="29" spans="1:25" x14ac:dyDescent="0.25">
      <c r="A29" s="2">
        <f>IF(24&gt;$Z$1,"",24)</f>
      </c>
      <c r="B29" s="28">
        <f>IF(24&gt;$Z$1,"",EDATE('Your debts'!$D$21,23))</f>
      </c>
      <c r="C29" s="29">
        <f>IF(24&gt;$Z$1,"",IF('Your debts'!$D$20="Avalanche",'Avalanche workings'!$BC$31,'Snowball workings'!$BC$31))</f>
      </c>
      <c r="D29" s="29">
        <f>IF(24&gt;$Z$1,"",IF('Your debts'!$D$20="Avalanche",'Avalanche workings'!$BA$31,'Snowball workings'!$BA$31))</f>
      </c>
      <c r="E29" s="29">
        <f>IF(24&gt;$Z$1,"",IF('Your debts'!$D$20="Avalanche",'Avalanche workings'!$BB$31,'Snowball workings'!$BB$31))</f>
      </c>
      <c r="F29" s="29">
        <f>IF(OR(24&gt;$Z$1,NOT(OR('Your debts'!$B$6&lt;&gt;"",N('Your debts'!$C$6)&gt;0))),"",IF('Your debts'!$D$20="Avalanche",'Avalanche workings'!$L$31,'Snowball workings'!$L$31)+IF('Your debts'!$D$20="Avalanche",'Avalanche workings'!$AF$31,'Snowball workings'!$AF$31))</f>
      </c>
      <c r="G29" s="30">
        <f>IF(OR(24&gt;$Z$1,NOT(OR('Your debts'!$B$6&lt;&gt;"",N('Your debts'!$C$6)&gt;0))),"",IF('Your debts'!$D$20="Avalanche",'Avalanche workings'!$AP$31,'Snowball workings'!$AP$31))</f>
      </c>
      <c r="H29" s="29">
        <f>IF(OR(24&gt;$Z$1,NOT(OR('Your debts'!$B$7&lt;&gt;"",N('Your debts'!$C$7)&gt;0))),"",IF('Your debts'!$D$20="Avalanche",'Avalanche workings'!$M$31,'Snowball workings'!$M$31)+IF('Your debts'!$D$20="Avalanche",'Avalanche workings'!$AG$31,'Snowball workings'!$AG$31))</f>
      </c>
      <c r="I29" s="30">
        <f>IF(OR(24&gt;$Z$1,NOT(OR('Your debts'!$B$7&lt;&gt;"",N('Your debts'!$C$7)&gt;0))),"",IF('Your debts'!$D$20="Avalanche",'Avalanche workings'!$AQ$31,'Snowball workings'!$AQ$31))</f>
      </c>
      <c r="J29" s="29">
        <f>IF(OR(24&gt;$Z$1,NOT(OR('Your debts'!$B$8&lt;&gt;"",N('Your debts'!$C$8)&gt;0))),"",IF('Your debts'!$D$20="Avalanche",'Avalanche workings'!$N$31,'Snowball workings'!$N$31)+IF('Your debts'!$D$20="Avalanche",'Avalanche workings'!$AH$31,'Snowball workings'!$AH$31))</f>
      </c>
      <c r="K29" s="30">
        <f>IF(OR(24&gt;$Z$1,NOT(OR('Your debts'!$B$8&lt;&gt;"",N('Your debts'!$C$8)&gt;0))),"",IF('Your debts'!$D$20="Avalanche",'Avalanche workings'!$AR$31,'Snowball workings'!$AR$31))</f>
      </c>
      <c r="L29" s="29">
        <f>IF(OR(24&gt;$Z$1,NOT(OR('Your debts'!$B$9&lt;&gt;"",N('Your debts'!$C$9)&gt;0))),"",IF('Your debts'!$D$20="Avalanche",'Avalanche workings'!$O$31,'Snowball workings'!$O$31)+IF('Your debts'!$D$20="Avalanche",'Avalanche workings'!$AI$31,'Snowball workings'!$AI$31))</f>
      </c>
      <c r="M29" s="30">
        <f>IF(OR(24&gt;$Z$1,NOT(OR('Your debts'!$B$9&lt;&gt;"",N('Your debts'!$C$9)&gt;0))),"",IF('Your debts'!$D$20="Avalanche",'Avalanche workings'!$AS$31,'Snowball workings'!$AS$31))</f>
      </c>
      <c r="N29" s="29">
        <f>IF(OR(24&gt;$Z$1,NOT(OR('Your debts'!$B$10&lt;&gt;"",N('Your debts'!$C$10)&gt;0))),"",IF('Your debts'!$D$20="Avalanche",'Avalanche workings'!$P$31,'Snowball workings'!$P$31)+IF('Your debts'!$D$20="Avalanche",'Avalanche workings'!$AJ$31,'Snowball workings'!$AJ$31))</f>
      </c>
      <c r="O29" s="30">
        <f>IF(OR(24&gt;$Z$1,NOT(OR('Your debts'!$B$10&lt;&gt;"",N('Your debts'!$C$10)&gt;0))),"",IF('Your debts'!$D$20="Avalanche",'Avalanche workings'!$AT$31,'Snowball workings'!$AT$31))</f>
      </c>
      <c r="P29" s="29">
        <f>IF(OR(24&gt;$Z$1,NOT(OR('Your debts'!$B$11&lt;&gt;"",N('Your debts'!$C$11)&gt;0))),"",IF('Your debts'!$D$20="Avalanche",'Avalanche workings'!$Q$31,'Snowball workings'!$Q$31)+IF('Your debts'!$D$20="Avalanche",'Avalanche workings'!$AK$31,'Snowball workings'!$AK$31))</f>
      </c>
      <c r="Q29" s="30">
        <f>IF(OR(24&gt;$Z$1,NOT(OR('Your debts'!$B$11&lt;&gt;"",N('Your debts'!$C$11)&gt;0))),"",IF('Your debts'!$D$20="Avalanche",'Avalanche workings'!$AU$31,'Snowball workings'!$AU$31))</f>
      </c>
      <c r="R29" s="29">
        <f>IF(OR(24&gt;$Z$1,NOT(OR('Your debts'!$B$12&lt;&gt;"",N('Your debts'!$C$12)&gt;0))),"",IF('Your debts'!$D$20="Avalanche",'Avalanche workings'!$R$31,'Snowball workings'!$R$31)+IF('Your debts'!$D$20="Avalanche",'Avalanche workings'!$AL$31,'Snowball workings'!$AL$31))</f>
      </c>
      <c r="S29" s="30">
        <f>IF(OR(24&gt;$Z$1,NOT(OR('Your debts'!$B$12&lt;&gt;"",N('Your debts'!$C$12)&gt;0))),"",IF('Your debts'!$D$20="Avalanche",'Avalanche workings'!$AV$31,'Snowball workings'!$AV$31))</f>
      </c>
      <c r="T29" s="29">
        <f>IF(OR(24&gt;$Z$1,NOT(OR('Your debts'!$B$13&lt;&gt;"",N('Your debts'!$C$13)&gt;0))),"",IF('Your debts'!$D$20="Avalanche",'Avalanche workings'!$S$31,'Snowball workings'!$S$31)+IF('Your debts'!$D$20="Avalanche",'Avalanche workings'!$AM$31,'Snowball workings'!$AM$31))</f>
      </c>
      <c r="U29" s="30">
        <f>IF(OR(24&gt;$Z$1,NOT(OR('Your debts'!$B$13&lt;&gt;"",N('Your debts'!$C$13)&gt;0))),"",IF('Your debts'!$D$20="Avalanche",'Avalanche workings'!$AW$31,'Snowball workings'!$AW$31))</f>
      </c>
      <c r="V29" s="29">
        <f>IF(OR(24&gt;$Z$1,NOT(OR('Your debts'!$B$14&lt;&gt;"",N('Your debts'!$C$14)&gt;0))),"",IF('Your debts'!$D$20="Avalanche",'Avalanche workings'!$T$31,'Snowball workings'!$T$31)+IF('Your debts'!$D$20="Avalanche",'Avalanche workings'!$AN$31,'Snowball workings'!$AN$31))</f>
      </c>
      <c r="W29" s="30">
        <f>IF(OR(24&gt;$Z$1,NOT(OR('Your debts'!$B$14&lt;&gt;"",N('Your debts'!$C$14)&gt;0))),"",IF('Your debts'!$D$20="Avalanche",'Avalanche workings'!$AX$31,'Snowball workings'!$AX$31))</f>
      </c>
      <c r="X29" s="29">
        <f>IF(OR(24&gt;$Z$1,NOT(OR('Your debts'!$B$15&lt;&gt;"",N('Your debts'!$C$15)&gt;0))),"",IF('Your debts'!$D$20="Avalanche",'Avalanche workings'!$U$31,'Snowball workings'!$U$31)+IF('Your debts'!$D$20="Avalanche",'Avalanche workings'!$AO$31,'Snowball workings'!$AO$31))</f>
      </c>
      <c r="Y29" s="30">
        <f>IF(OR(24&gt;$Z$1,NOT(OR('Your debts'!$B$15&lt;&gt;"",N('Your debts'!$C$15)&gt;0))),"",IF('Your debts'!$D$20="Avalanche",'Avalanche workings'!$AY$31,'Snowball workings'!$AY$31))</f>
      </c>
    </row>
    <row r="30" spans="1:25" x14ac:dyDescent="0.25">
      <c r="A30" s="2">
        <f>IF(25&gt;$Z$1,"",25)</f>
      </c>
      <c r="B30" s="28">
        <f>IF(25&gt;$Z$1,"",EDATE('Your debts'!$D$21,24))</f>
      </c>
      <c r="C30" s="29">
        <f>IF(25&gt;$Z$1,"",IF('Your debts'!$D$20="Avalanche",'Avalanche workings'!$BC$32,'Snowball workings'!$BC$32))</f>
      </c>
      <c r="D30" s="29">
        <f>IF(25&gt;$Z$1,"",IF('Your debts'!$D$20="Avalanche",'Avalanche workings'!$BA$32,'Snowball workings'!$BA$32))</f>
      </c>
      <c r="E30" s="29">
        <f>IF(25&gt;$Z$1,"",IF('Your debts'!$D$20="Avalanche",'Avalanche workings'!$BB$32,'Snowball workings'!$BB$32))</f>
      </c>
      <c r="F30" s="29">
        <f>IF(OR(25&gt;$Z$1,NOT(OR('Your debts'!$B$6&lt;&gt;"",N('Your debts'!$C$6)&gt;0))),"",IF('Your debts'!$D$20="Avalanche",'Avalanche workings'!$L$32,'Snowball workings'!$L$32)+IF('Your debts'!$D$20="Avalanche",'Avalanche workings'!$AF$32,'Snowball workings'!$AF$32))</f>
      </c>
      <c r="G30" s="30">
        <f>IF(OR(25&gt;$Z$1,NOT(OR('Your debts'!$B$6&lt;&gt;"",N('Your debts'!$C$6)&gt;0))),"",IF('Your debts'!$D$20="Avalanche",'Avalanche workings'!$AP$32,'Snowball workings'!$AP$32))</f>
      </c>
      <c r="H30" s="29">
        <f>IF(OR(25&gt;$Z$1,NOT(OR('Your debts'!$B$7&lt;&gt;"",N('Your debts'!$C$7)&gt;0))),"",IF('Your debts'!$D$20="Avalanche",'Avalanche workings'!$M$32,'Snowball workings'!$M$32)+IF('Your debts'!$D$20="Avalanche",'Avalanche workings'!$AG$32,'Snowball workings'!$AG$32))</f>
      </c>
      <c r="I30" s="30">
        <f>IF(OR(25&gt;$Z$1,NOT(OR('Your debts'!$B$7&lt;&gt;"",N('Your debts'!$C$7)&gt;0))),"",IF('Your debts'!$D$20="Avalanche",'Avalanche workings'!$AQ$32,'Snowball workings'!$AQ$32))</f>
      </c>
      <c r="J30" s="29">
        <f>IF(OR(25&gt;$Z$1,NOT(OR('Your debts'!$B$8&lt;&gt;"",N('Your debts'!$C$8)&gt;0))),"",IF('Your debts'!$D$20="Avalanche",'Avalanche workings'!$N$32,'Snowball workings'!$N$32)+IF('Your debts'!$D$20="Avalanche",'Avalanche workings'!$AH$32,'Snowball workings'!$AH$32))</f>
      </c>
      <c r="K30" s="30">
        <f>IF(OR(25&gt;$Z$1,NOT(OR('Your debts'!$B$8&lt;&gt;"",N('Your debts'!$C$8)&gt;0))),"",IF('Your debts'!$D$20="Avalanche",'Avalanche workings'!$AR$32,'Snowball workings'!$AR$32))</f>
      </c>
      <c r="L30" s="29">
        <f>IF(OR(25&gt;$Z$1,NOT(OR('Your debts'!$B$9&lt;&gt;"",N('Your debts'!$C$9)&gt;0))),"",IF('Your debts'!$D$20="Avalanche",'Avalanche workings'!$O$32,'Snowball workings'!$O$32)+IF('Your debts'!$D$20="Avalanche",'Avalanche workings'!$AI$32,'Snowball workings'!$AI$32))</f>
      </c>
      <c r="M30" s="30">
        <f>IF(OR(25&gt;$Z$1,NOT(OR('Your debts'!$B$9&lt;&gt;"",N('Your debts'!$C$9)&gt;0))),"",IF('Your debts'!$D$20="Avalanche",'Avalanche workings'!$AS$32,'Snowball workings'!$AS$32))</f>
      </c>
      <c r="N30" s="29">
        <f>IF(OR(25&gt;$Z$1,NOT(OR('Your debts'!$B$10&lt;&gt;"",N('Your debts'!$C$10)&gt;0))),"",IF('Your debts'!$D$20="Avalanche",'Avalanche workings'!$P$32,'Snowball workings'!$P$32)+IF('Your debts'!$D$20="Avalanche",'Avalanche workings'!$AJ$32,'Snowball workings'!$AJ$32))</f>
      </c>
      <c r="O30" s="30">
        <f>IF(OR(25&gt;$Z$1,NOT(OR('Your debts'!$B$10&lt;&gt;"",N('Your debts'!$C$10)&gt;0))),"",IF('Your debts'!$D$20="Avalanche",'Avalanche workings'!$AT$32,'Snowball workings'!$AT$32))</f>
      </c>
      <c r="P30" s="29">
        <f>IF(OR(25&gt;$Z$1,NOT(OR('Your debts'!$B$11&lt;&gt;"",N('Your debts'!$C$11)&gt;0))),"",IF('Your debts'!$D$20="Avalanche",'Avalanche workings'!$Q$32,'Snowball workings'!$Q$32)+IF('Your debts'!$D$20="Avalanche",'Avalanche workings'!$AK$32,'Snowball workings'!$AK$32))</f>
      </c>
      <c r="Q30" s="30">
        <f>IF(OR(25&gt;$Z$1,NOT(OR('Your debts'!$B$11&lt;&gt;"",N('Your debts'!$C$11)&gt;0))),"",IF('Your debts'!$D$20="Avalanche",'Avalanche workings'!$AU$32,'Snowball workings'!$AU$32))</f>
      </c>
      <c r="R30" s="29">
        <f>IF(OR(25&gt;$Z$1,NOT(OR('Your debts'!$B$12&lt;&gt;"",N('Your debts'!$C$12)&gt;0))),"",IF('Your debts'!$D$20="Avalanche",'Avalanche workings'!$R$32,'Snowball workings'!$R$32)+IF('Your debts'!$D$20="Avalanche",'Avalanche workings'!$AL$32,'Snowball workings'!$AL$32))</f>
      </c>
      <c r="S30" s="30">
        <f>IF(OR(25&gt;$Z$1,NOT(OR('Your debts'!$B$12&lt;&gt;"",N('Your debts'!$C$12)&gt;0))),"",IF('Your debts'!$D$20="Avalanche",'Avalanche workings'!$AV$32,'Snowball workings'!$AV$32))</f>
      </c>
      <c r="T30" s="29">
        <f>IF(OR(25&gt;$Z$1,NOT(OR('Your debts'!$B$13&lt;&gt;"",N('Your debts'!$C$13)&gt;0))),"",IF('Your debts'!$D$20="Avalanche",'Avalanche workings'!$S$32,'Snowball workings'!$S$32)+IF('Your debts'!$D$20="Avalanche",'Avalanche workings'!$AM$32,'Snowball workings'!$AM$32))</f>
      </c>
      <c r="U30" s="30">
        <f>IF(OR(25&gt;$Z$1,NOT(OR('Your debts'!$B$13&lt;&gt;"",N('Your debts'!$C$13)&gt;0))),"",IF('Your debts'!$D$20="Avalanche",'Avalanche workings'!$AW$32,'Snowball workings'!$AW$32))</f>
      </c>
      <c r="V30" s="29">
        <f>IF(OR(25&gt;$Z$1,NOT(OR('Your debts'!$B$14&lt;&gt;"",N('Your debts'!$C$14)&gt;0))),"",IF('Your debts'!$D$20="Avalanche",'Avalanche workings'!$T$32,'Snowball workings'!$T$32)+IF('Your debts'!$D$20="Avalanche",'Avalanche workings'!$AN$32,'Snowball workings'!$AN$32))</f>
      </c>
      <c r="W30" s="30">
        <f>IF(OR(25&gt;$Z$1,NOT(OR('Your debts'!$B$14&lt;&gt;"",N('Your debts'!$C$14)&gt;0))),"",IF('Your debts'!$D$20="Avalanche",'Avalanche workings'!$AX$32,'Snowball workings'!$AX$32))</f>
      </c>
      <c r="X30" s="29">
        <f>IF(OR(25&gt;$Z$1,NOT(OR('Your debts'!$B$15&lt;&gt;"",N('Your debts'!$C$15)&gt;0))),"",IF('Your debts'!$D$20="Avalanche",'Avalanche workings'!$U$32,'Snowball workings'!$U$32)+IF('Your debts'!$D$20="Avalanche",'Avalanche workings'!$AO$32,'Snowball workings'!$AO$32))</f>
      </c>
      <c r="Y30" s="30">
        <f>IF(OR(25&gt;$Z$1,NOT(OR('Your debts'!$B$15&lt;&gt;"",N('Your debts'!$C$15)&gt;0))),"",IF('Your debts'!$D$20="Avalanche",'Avalanche workings'!$AY$32,'Snowball workings'!$AY$32))</f>
      </c>
    </row>
    <row r="31" spans="1:25" x14ac:dyDescent="0.25">
      <c r="A31" s="2">
        <f>IF(26&gt;$Z$1,"",26)</f>
      </c>
      <c r="B31" s="28">
        <f>IF(26&gt;$Z$1,"",EDATE('Your debts'!$D$21,25))</f>
      </c>
      <c r="C31" s="29">
        <f>IF(26&gt;$Z$1,"",IF('Your debts'!$D$20="Avalanche",'Avalanche workings'!$BC$33,'Snowball workings'!$BC$33))</f>
      </c>
      <c r="D31" s="29">
        <f>IF(26&gt;$Z$1,"",IF('Your debts'!$D$20="Avalanche",'Avalanche workings'!$BA$33,'Snowball workings'!$BA$33))</f>
      </c>
      <c r="E31" s="29">
        <f>IF(26&gt;$Z$1,"",IF('Your debts'!$D$20="Avalanche",'Avalanche workings'!$BB$33,'Snowball workings'!$BB$33))</f>
      </c>
      <c r="F31" s="29">
        <f>IF(OR(26&gt;$Z$1,NOT(OR('Your debts'!$B$6&lt;&gt;"",N('Your debts'!$C$6)&gt;0))),"",IF('Your debts'!$D$20="Avalanche",'Avalanche workings'!$L$33,'Snowball workings'!$L$33)+IF('Your debts'!$D$20="Avalanche",'Avalanche workings'!$AF$33,'Snowball workings'!$AF$33))</f>
      </c>
      <c r="G31" s="30">
        <f>IF(OR(26&gt;$Z$1,NOT(OR('Your debts'!$B$6&lt;&gt;"",N('Your debts'!$C$6)&gt;0))),"",IF('Your debts'!$D$20="Avalanche",'Avalanche workings'!$AP$33,'Snowball workings'!$AP$33))</f>
      </c>
      <c r="H31" s="29">
        <f>IF(OR(26&gt;$Z$1,NOT(OR('Your debts'!$B$7&lt;&gt;"",N('Your debts'!$C$7)&gt;0))),"",IF('Your debts'!$D$20="Avalanche",'Avalanche workings'!$M$33,'Snowball workings'!$M$33)+IF('Your debts'!$D$20="Avalanche",'Avalanche workings'!$AG$33,'Snowball workings'!$AG$33))</f>
      </c>
      <c r="I31" s="30">
        <f>IF(OR(26&gt;$Z$1,NOT(OR('Your debts'!$B$7&lt;&gt;"",N('Your debts'!$C$7)&gt;0))),"",IF('Your debts'!$D$20="Avalanche",'Avalanche workings'!$AQ$33,'Snowball workings'!$AQ$33))</f>
      </c>
      <c r="J31" s="29">
        <f>IF(OR(26&gt;$Z$1,NOT(OR('Your debts'!$B$8&lt;&gt;"",N('Your debts'!$C$8)&gt;0))),"",IF('Your debts'!$D$20="Avalanche",'Avalanche workings'!$N$33,'Snowball workings'!$N$33)+IF('Your debts'!$D$20="Avalanche",'Avalanche workings'!$AH$33,'Snowball workings'!$AH$33))</f>
      </c>
      <c r="K31" s="30">
        <f>IF(OR(26&gt;$Z$1,NOT(OR('Your debts'!$B$8&lt;&gt;"",N('Your debts'!$C$8)&gt;0))),"",IF('Your debts'!$D$20="Avalanche",'Avalanche workings'!$AR$33,'Snowball workings'!$AR$33))</f>
      </c>
      <c r="L31" s="29">
        <f>IF(OR(26&gt;$Z$1,NOT(OR('Your debts'!$B$9&lt;&gt;"",N('Your debts'!$C$9)&gt;0))),"",IF('Your debts'!$D$20="Avalanche",'Avalanche workings'!$O$33,'Snowball workings'!$O$33)+IF('Your debts'!$D$20="Avalanche",'Avalanche workings'!$AI$33,'Snowball workings'!$AI$33))</f>
      </c>
      <c r="M31" s="30">
        <f>IF(OR(26&gt;$Z$1,NOT(OR('Your debts'!$B$9&lt;&gt;"",N('Your debts'!$C$9)&gt;0))),"",IF('Your debts'!$D$20="Avalanche",'Avalanche workings'!$AS$33,'Snowball workings'!$AS$33))</f>
      </c>
      <c r="N31" s="29">
        <f>IF(OR(26&gt;$Z$1,NOT(OR('Your debts'!$B$10&lt;&gt;"",N('Your debts'!$C$10)&gt;0))),"",IF('Your debts'!$D$20="Avalanche",'Avalanche workings'!$P$33,'Snowball workings'!$P$33)+IF('Your debts'!$D$20="Avalanche",'Avalanche workings'!$AJ$33,'Snowball workings'!$AJ$33))</f>
      </c>
      <c r="O31" s="30">
        <f>IF(OR(26&gt;$Z$1,NOT(OR('Your debts'!$B$10&lt;&gt;"",N('Your debts'!$C$10)&gt;0))),"",IF('Your debts'!$D$20="Avalanche",'Avalanche workings'!$AT$33,'Snowball workings'!$AT$33))</f>
      </c>
      <c r="P31" s="29">
        <f>IF(OR(26&gt;$Z$1,NOT(OR('Your debts'!$B$11&lt;&gt;"",N('Your debts'!$C$11)&gt;0))),"",IF('Your debts'!$D$20="Avalanche",'Avalanche workings'!$Q$33,'Snowball workings'!$Q$33)+IF('Your debts'!$D$20="Avalanche",'Avalanche workings'!$AK$33,'Snowball workings'!$AK$33))</f>
      </c>
      <c r="Q31" s="30">
        <f>IF(OR(26&gt;$Z$1,NOT(OR('Your debts'!$B$11&lt;&gt;"",N('Your debts'!$C$11)&gt;0))),"",IF('Your debts'!$D$20="Avalanche",'Avalanche workings'!$AU$33,'Snowball workings'!$AU$33))</f>
      </c>
      <c r="R31" s="29">
        <f>IF(OR(26&gt;$Z$1,NOT(OR('Your debts'!$B$12&lt;&gt;"",N('Your debts'!$C$12)&gt;0))),"",IF('Your debts'!$D$20="Avalanche",'Avalanche workings'!$R$33,'Snowball workings'!$R$33)+IF('Your debts'!$D$20="Avalanche",'Avalanche workings'!$AL$33,'Snowball workings'!$AL$33))</f>
      </c>
      <c r="S31" s="30">
        <f>IF(OR(26&gt;$Z$1,NOT(OR('Your debts'!$B$12&lt;&gt;"",N('Your debts'!$C$12)&gt;0))),"",IF('Your debts'!$D$20="Avalanche",'Avalanche workings'!$AV$33,'Snowball workings'!$AV$33))</f>
      </c>
      <c r="T31" s="29">
        <f>IF(OR(26&gt;$Z$1,NOT(OR('Your debts'!$B$13&lt;&gt;"",N('Your debts'!$C$13)&gt;0))),"",IF('Your debts'!$D$20="Avalanche",'Avalanche workings'!$S$33,'Snowball workings'!$S$33)+IF('Your debts'!$D$20="Avalanche",'Avalanche workings'!$AM$33,'Snowball workings'!$AM$33))</f>
      </c>
      <c r="U31" s="30">
        <f>IF(OR(26&gt;$Z$1,NOT(OR('Your debts'!$B$13&lt;&gt;"",N('Your debts'!$C$13)&gt;0))),"",IF('Your debts'!$D$20="Avalanche",'Avalanche workings'!$AW$33,'Snowball workings'!$AW$33))</f>
      </c>
      <c r="V31" s="29">
        <f>IF(OR(26&gt;$Z$1,NOT(OR('Your debts'!$B$14&lt;&gt;"",N('Your debts'!$C$14)&gt;0))),"",IF('Your debts'!$D$20="Avalanche",'Avalanche workings'!$T$33,'Snowball workings'!$T$33)+IF('Your debts'!$D$20="Avalanche",'Avalanche workings'!$AN$33,'Snowball workings'!$AN$33))</f>
      </c>
      <c r="W31" s="30">
        <f>IF(OR(26&gt;$Z$1,NOT(OR('Your debts'!$B$14&lt;&gt;"",N('Your debts'!$C$14)&gt;0))),"",IF('Your debts'!$D$20="Avalanche",'Avalanche workings'!$AX$33,'Snowball workings'!$AX$33))</f>
      </c>
      <c r="X31" s="29">
        <f>IF(OR(26&gt;$Z$1,NOT(OR('Your debts'!$B$15&lt;&gt;"",N('Your debts'!$C$15)&gt;0))),"",IF('Your debts'!$D$20="Avalanche",'Avalanche workings'!$U$33,'Snowball workings'!$U$33)+IF('Your debts'!$D$20="Avalanche",'Avalanche workings'!$AO$33,'Snowball workings'!$AO$33))</f>
      </c>
      <c r="Y31" s="30">
        <f>IF(OR(26&gt;$Z$1,NOT(OR('Your debts'!$B$15&lt;&gt;"",N('Your debts'!$C$15)&gt;0))),"",IF('Your debts'!$D$20="Avalanche",'Avalanche workings'!$AY$33,'Snowball workings'!$AY$33))</f>
      </c>
    </row>
    <row r="32" spans="1:25" x14ac:dyDescent="0.25">
      <c r="A32" s="2">
        <f>IF(27&gt;$Z$1,"",27)</f>
      </c>
      <c r="B32" s="28">
        <f>IF(27&gt;$Z$1,"",EDATE('Your debts'!$D$21,26))</f>
      </c>
      <c r="C32" s="29">
        <f>IF(27&gt;$Z$1,"",IF('Your debts'!$D$20="Avalanche",'Avalanche workings'!$BC$34,'Snowball workings'!$BC$34))</f>
      </c>
      <c r="D32" s="29">
        <f>IF(27&gt;$Z$1,"",IF('Your debts'!$D$20="Avalanche",'Avalanche workings'!$BA$34,'Snowball workings'!$BA$34))</f>
      </c>
      <c r="E32" s="29">
        <f>IF(27&gt;$Z$1,"",IF('Your debts'!$D$20="Avalanche",'Avalanche workings'!$BB$34,'Snowball workings'!$BB$34))</f>
      </c>
      <c r="F32" s="29">
        <f>IF(OR(27&gt;$Z$1,NOT(OR('Your debts'!$B$6&lt;&gt;"",N('Your debts'!$C$6)&gt;0))),"",IF('Your debts'!$D$20="Avalanche",'Avalanche workings'!$L$34,'Snowball workings'!$L$34)+IF('Your debts'!$D$20="Avalanche",'Avalanche workings'!$AF$34,'Snowball workings'!$AF$34))</f>
      </c>
      <c r="G32" s="30">
        <f>IF(OR(27&gt;$Z$1,NOT(OR('Your debts'!$B$6&lt;&gt;"",N('Your debts'!$C$6)&gt;0))),"",IF('Your debts'!$D$20="Avalanche",'Avalanche workings'!$AP$34,'Snowball workings'!$AP$34))</f>
      </c>
      <c r="H32" s="29">
        <f>IF(OR(27&gt;$Z$1,NOT(OR('Your debts'!$B$7&lt;&gt;"",N('Your debts'!$C$7)&gt;0))),"",IF('Your debts'!$D$20="Avalanche",'Avalanche workings'!$M$34,'Snowball workings'!$M$34)+IF('Your debts'!$D$20="Avalanche",'Avalanche workings'!$AG$34,'Snowball workings'!$AG$34))</f>
      </c>
      <c r="I32" s="30">
        <f>IF(OR(27&gt;$Z$1,NOT(OR('Your debts'!$B$7&lt;&gt;"",N('Your debts'!$C$7)&gt;0))),"",IF('Your debts'!$D$20="Avalanche",'Avalanche workings'!$AQ$34,'Snowball workings'!$AQ$34))</f>
      </c>
      <c r="J32" s="29">
        <f>IF(OR(27&gt;$Z$1,NOT(OR('Your debts'!$B$8&lt;&gt;"",N('Your debts'!$C$8)&gt;0))),"",IF('Your debts'!$D$20="Avalanche",'Avalanche workings'!$N$34,'Snowball workings'!$N$34)+IF('Your debts'!$D$20="Avalanche",'Avalanche workings'!$AH$34,'Snowball workings'!$AH$34))</f>
      </c>
      <c r="K32" s="30">
        <f>IF(OR(27&gt;$Z$1,NOT(OR('Your debts'!$B$8&lt;&gt;"",N('Your debts'!$C$8)&gt;0))),"",IF('Your debts'!$D$20="Avalanche",'Avalanche workings'!$AR$34,'Snowball workings'!$AR$34))</f>
      </c>
      <c r="L32" s="29">
        <f>IF(OR(27&gt;$Z$1,NOT(OR('Your debts'!$B$9&lt;&gt;"",N('Your debts'!$C$9)&gt;0))),"",IF('Your debts'!$D$20="Avalanche",'Avalanche workings'!$O$34,'Snowball workings'!$O$34)+IF('Your debts'!$D$20="Avalanche",'Avalanche workings'!$AI$34,'Snowball workings'!$AI$34))</f>
      </c>
      <c r="M32" s="30">
        <f>IF(OR(27&gt;$Z$1,NOT(OR('Your debts'!$B$9&lt;&gt;"",N('Your debts'!$C$9)&gt;0))),"",IF('Your debts'!$D$20="Avalanche",'Avalanche workings'!$AS$34,'Snowball workings'!$AS$34))</f>
      </c>
      <c r="N32" s="29">
        <f>IF(OR(27&gt;$Z$1,NOT(OR('Your debts'!$B$10&lt;&gt;"",N('Your debts'!$C$10)&gt;0))),"",IF('Your debts'!$D$20="Avalanche",'Avalanche workings'!$P$34,'Snowball workings'!$P$34)+IF('Your debts'!$D$20="Avalanche",'Avalanche workings'!$AJ$34,'Snowball workings'!$AJ$34))</f>
      </c>
      <c r="O32" s="30">
        <f>IF(OR(27&gt;$Z$1,NOT(OR('Your debts'!$B$10&lt;&gt;"",N('Your debts'!$C$10)&gt;0))),"",IF('Your debts'!$D$20="Avalanche",'Avalanche workings'!$AT$34,'Snowball workings'!$AT$34))</f>
      </c>
      <c r="P32" s="29">
        <f>IF(OR(27&gt;$Z$1,NOT(OR('Your debts'!$B$11&lt;&gt;"",N('Your debts'!$C$11)&gt;0))),"",IF('Your debts'!$D$20="Avalanche",'Avalanche workings'!$Q$34,'Snowball workings'!$Q$34)+IF('Your debts'!$D$20="Avalanche",'Avalanche workings'!$AK$34,'Snowball workings'!$AK$34))</f>
      </c>
      <c r="Q32" s="30">
        <f>IF(OR(27&gt;$Z$1,NOT(OR('Your debts'!$B$11&lt;&gt;"",N('Your debts'!$C$11)&gt;0))),"",IF('Your debts'!$D$20="Avalanche",'Avalanche workings'!$AU$34,'Snowball workings'!$AU$34))</f>
      </c>
      <c r="R32" s="29">
        <f>IF(OR(27&gt;$Z$1,NOT(OR('Your debts'!$B$12&lt;&gt;"",N('Your debts'!$C$12)&gt;0))),"",IF('Your debts'!$D$20="Avalanche",'Avalanche workings'!$R$34,'Snowball workings'!$R$34)+IF('Your debts'!$D$20="Avalanche",'Avalanche workings'!$AL$34,'Snowball workings'!$AL$34))</f>
      </c>
      <c r="S32" s="30">
        <f>IF(OR(27&gt;$Z$1,NOT(OR('Your debts'!$B$12&lt;&gt;"",N('Your debts'!$C$12)&gt;0))),"",IF('Your debts'!$D$20="Avalanche",'Avalanche workings'!$AV$34,'Snowball workings'!$AV$34))</f>
      </c>
      <c r="T32" s="29">
        <f>IF(OR(27&gt;$Z$1,NOT(OR('Your debts'!$B$13&lt;&gt;"",N('Your debts'!$C$13)&gt;0))),"",IF('Your debts'!$D$20="Avalanche",'Avalanche workings'!$S$34,'Snowball workings'!$S$34)+IF('Your debts'!$D$20="Avalanche",'Avalanche workings'!$AM$34,'Snowball workings'!$AM$34))</f>
      </c>
      <c r="U32" s="30">
        <f>IF(OR(27&gt;$Z$1,NOT(OR('Your debts'!$B$13&lt;&gt;"",N('Your debts'!$C$13)&gt;0))),"",IF('Your debts'!$D$20="Avalanche",'Avalanche workings'!$AW$34,'Snowball workings'!$AW$34))</f>
      </c>
      <c r="V32" s="29">
        <f>IF(OR(27&gt;$Z$1,NOT(OR('Your debts'!$B$14&lt;&gt;"",N('Your debts'!$C$14)&gt;0))),"",IF('Your debts'!$D$20="Avalanche",'Avalanche workings'!$T$34,'Snowball workings'!$T$34)+IF('Your debts'!$D$20="Avalanche",'Avalanche workings'!$AN$34,'Snowball workings'!$AN$34))</f>
      </c>
      <c r="W32" s="30">
        <f>IF(OR(27&gt;$Z$1,NOT(OR('Your debts'!$B$14&lt;&gt;"",N('Your debts'!$C$14)&gt;0))),"",IF('Your debts'!$D$20="Avalanche",'Avalanche workings'!$AX$34,'Snowball workings'!$AX$34))</f>
      </c>
      <c r="X32" s="29">
        <f>IF(OR(27&gt;$Z$1,NOT(OR('Your debts'!$B$15&lt;&gt;"",N('Your debts'!$C$15)&gt;0))),"",IF('Your debts'!$D$20="Avalanche",'Avalanche workings'!$U$34,'Snowball workings'!$U$34)+IF('Your debts'!$D$20="Avalanche",'Avalanche workings'!$AO$34,'Snowball workings'!$AO$34))</f>
      </c>
      <c r="Y32" s="30">
        <f>IF(OR(27&gt;$Z$1,NOT(OR('Your debts'!$B$15&lt;&gt;"",N('Your debts'!$C$15)&gt;0))),"",IF('Your debts'!$D$20="Avalanche",'Avalanche workings'!$AY$34,'Snowball workings'!$AY$34))</f>
      </c>
    </row>
    <row r="33" spans="1:25" x14ac:dyDescent="0.25">
      <c r="A33" s="2">
        <f>IF(28&gt;$Z$1,"",28)</f>
      </c>
      <c r="B33" s="28">
        <f>IF(28&gt;$Z$1,"",EDATE('Your debts'!$D$21,27))</f>
      </c>
      <c r="C33" s="29">
        <f>IF(28&gt;$Z$1,"",IF('Your debts'!$D$20="Avalanche",'Avalanche workings'!$BC$35,'Snowball workings'!$BC$35))</f>
      </c>
      <c r="D33" s="29">
        <f>IF(28&gt;$Z$1,"",IF('Your debts'!$D$20="Avalanche",'Avalanche workings'!$BA$35,'Snowball workings'!$BA$35))</f>
      </c>
      <c r="E33" s="29">
        <f>IF(28&gt;$Z$1,"",IF('Your debts'!$D$20="Avalanche",'Avalanche workings'!$BB$35,'Snowball workings'!$BB$35))</f>
      </c>
      <c r="F33" s="29">
        <f>IF(OR(28&gt;$Z$1,NOT(OR('Your debts'!$B$6&lt;&gt;"",N('Your debts'!$C$6)&gt;0))),"",IF('Your debts'!$D$20="Avalanche",'Avalanche workings'!$L$35,'Snowball workings'!$L$35)+IF('Your debts'!$D$20="Avalanche",'Avalanche workings'!$AF$35,'Snowball workings'!$AF$35))</f>
      </c>
      <c r="G33" s="30">
        <f>IF(OR(28&gt;$Z$1,NOT(OR('Your debts'!$B$6&lt;&gt;"",N('Your debts'!$C$6)&gt;0))),"",IF('Your debts'!$D$20="Avalanche",'Avalanche workings'!$AP$35,'Snowball workings'!$AP$35))</f>
      </c>
      <c r="H33" s="29">
        <f>IF(OR(28&gt;$Z$1,NOT(OR('Your debts'!$B$7&lt;&gt;"",N('Your debts'!$C$7)&gt;0))),"",IF('Your debts'!$D$20="Avalanche",'Avalanche workings'!$M$35,'Snowball workings'!$M$35)+IF('Your debts'!$D$20="Avalanche",'Avalanche workings'!$AG$35,'Snowball workings'!$AG$35))</f>
      </c>
      <c r="I33" s="30">
        <f>IF(OR(28&gt;$Z$1,NOT(OR('Your debts'!$B$7&lt;&gt;"",N('Your debts'!$C$7)&gt;0))),"",IF('Your debts'!$D$20="Avalanche",'Avalanche workings'!$AQ$35,'Snowball workings'!$AQ$35))</f>
      </c>
      <c r="J33" s="29">
        <f>IF(OR(28&gt;$Z$1,NOT(OR('Your debts'!$B$8&lt;&gt;"",N('Your debts'!$C$8)&gt;0))),"",IF('Your debts'!$D$20="Avalanche",'Avalanche workings'!$N$35,'Snowball workings'!$N$35)+IF('Your debts'!$D$20="Avalanche",'Avalanche workings'!$AH$35,'Snowball workings'!$AH$35))</f>
      </c>
      <c r="K33" s="30">
        <f>IF(OR(28&gt;$Z$1,NOT(OR('Your debts'!$B$8&lt;&gt;"",N('Your debts'!$C$8)&gt;0))),"",IF('Your debts'!$D$20="Avalanche",'Avalanche workings'!$AR$35,'Snowball workings'!$AR$35))</f>
      </c>
      <c r="L33" s="29">
        <f>IF(OR(28&gt;$Z$1,NOT(OR('Your debts'!$B$9&lt;&gt;"",N('Your debts'!$C$9)&gt;0))),"",IF('Your debts'!$D$20="Avalanche",'Avalanche workings'!$O$35,'Snowball workings'!$O$35)+IF('Your debts'!$D$20="Avalanche",'Avalanche workings'!$AI$35,'Snowball workings'!$AI$35))</f>
      </c>
      <c r="M33" s="30">
        <f>IF(OR(28&gt;$Z$1,NOT(OR('Your debts'!$B$9&lt;&gt;"",N('Your debts'!$C$9)&gt;0))),"",IF('Your debts'!$D$20="Avalanche",'Avalanche workings'!$AS$35,'Snowball workings'!$AS$35))</f>
      </c>
      <c r="N33" s="29">
        <f>IF(OR(28&gt;$Z$1,NOT(OR('Your debts'!$B$10&lt;&gt;"",N('Your debts'!$C$10)&gt;0))),"",IF('Your debts'!$D$20="Avalanche",'Avalanche workings'!$P$35,'Snowball workings'!$P$35)+IF('Your debts'!$D$20="Avalanche",'Avalanche workings'!$AJ$35,'Snowball workings'!$AJ$35))</f>
      </c>
      <c r="O33" s="30">
        <f>IF(OR(28&gt;$Z$1,NOT(OR('Your debts'!$B$10&lt;&gt;"",N('Your debts'!$C$10)&gt;0))),"",IF('Your debts'!$D$20="Avalanche",'Avalanche workings'!$AT$35,'Snowball workings'!$AT$35))</f>
      </c>
      <c r="P33" s="29">
        <f>IF(OR(28&gt;$Z$1,NOT(OR('Your debts'!$B$11&lt;&gt;"",N('Your debts'!$C$11)&gt;0))),"",IF('Your debts'!$D$20="Avalanche",'Avalanche workings'!$Q$35,'Snowball workings'!$Q$35)+IF('Your debts'!$D$20="Avalanche",'Avalanche workings'!$AK$35,'Snowball workings'!$AK$35))</f>
      </c>
      <c r="Q33" s="30">
        <f>IF(OR(28&gt;$Z$1,NOT(OR('Your debts'!$B$11&lt;&gt;"",N('Your debts'!$C$11)&gt;0))),"",IF('Your debts'!$D$20="Avalanche",'Avalanche workings'!$AU$35,'Snowball workings'!$AU$35))</f>
      </c>
      <c r="R33" s="29">
        <f>IF(OR(28&gt;$Z$1,NOT(OR('Your debts'!$B$12&lt;&gt;"",N('Your debts'!$C$12)&gt;0))),"",IF('Your debts'!$D$20="Avalanche",'Avalanche workings'!$R$35,'Snowball workings'!$R$35)+IF('Your debts'!$D$20="Avalanche",'Avalanche workings'!$AL$35,'Snowball workings'!$AL$35))</f>
      </c>
      <c r="S33" s="30">
        <f>IF(OR(28&gt;$Z$1,NOT(OR('Your debts'!$B$12&lt;&gt;"",N('Your debts'!$C$12)&gt;0))),"",IF('Your debts'!$D$20="Avalanche",'Avalanche workings'!$AV$35,'Snowball workings'!$AV$35))</f>
      </c>
      <c r="T33" s="29">
        <f>IF(OR(28&gt;$Z$1,NOT(OR('Your debts'!$B$13&lt;&gt;"",N('Your debts'!$C$13)&gt;0))),"",IF('Your debts'!$D$20="Avalanche",'Avalanche workings'!$S$35,'Snowball workings'!$S$35)+IF('Your debts'!$D$20="Avalanche",'Avalanche workings'!$AM$35,'Snowball workings'!$AM$35))</f>
      </c>
      <c r="U33" s="30">
        <f>IF(OR(28&gt;$Z$1,NOT(OR('Your debts'!$B$13&lt;&gt;"",N('Your debts'!$C$13)&gt;0))),"",IF('Your debts'!$D$20="Avalanche",'Avalanche workings'!$AW$35,'Snowball workings'!$AW$35))</f>
      </c>
      <c r="V33" s="29">
        <f>IF(OR(28&gt;$Z$1,NOT(OR('Your debts'!$B$14&lt;&gt;"",N('Your debts'!$C$14)&gt;0))),"",IF('Your debts'!$D$20="Avalanche",'Avalanche workings'!$T$35,'Snowball workings'!$T$35)+IF('Your debts'!$D$20="Avalanche",'Avalanche workings'!$AN$35,'Snowball workings'!$AN$35))</f>
      </c>
      <c r="W33" s="30">
        <f>IF(OR(28&gt;$Z$1,NOT(OR('Your debts'!$B$14&lt;&gt;"",N('Your debts'!$C$14)&gt;0))),"",IF('Your debts'!$D$20="Avalanche",'Avalanche workings'!$AX$35,'Snowball workings'!$AX$35))</f>
      </c>
      <c r="X33" s="29">
        <f>IF(OR(28&gt;$Z$1,NOT(OR('Your debts'!$B$15&lt;&gt;"",N('Your debts'!$C$15)&gt;0))),"",IF('Your debts'!$D$20="Avalanche",'Avalanche workings'!$U$35,'Snowball workings'!$U$35)+IF('Your debts'!$D$20="Avalanche",'Avalanche workings'!$AO$35,'Snowball workings'!$AO$35))</f>
      </c>
      <c r="Y33" s="30">
        <f>IF(OR(28&gt;$Z$1,NOT(OR('Your debts'!$B$15&lt;&gt;"",N('Your debts'!$C$15)&gt;0))),"",IF('Your debts'!$D$20="Avalanche",'Avalanche workings'!$AY$35,'Snowball workings'!$AY$35))</f>
      </c>
    </row>
    <row r="34" spans="1:25" x14ac:dyDescent="0.25">
      <c r="A34" s="2">
        <f>IF(29&gt;$Z$1,"",29)</f>
      </c>
      <c r="B34" s="28">
        <f>IF(29&gt;$Z$1,"",EDATE('Your debts'!$D$21,28))</f>
      </c>
      <c r="C34" s="29">
        <f>IF(29&gt;$Z$1,"",IF('Your debts'!$D$20="Avalanche",'Avalanche workings'!$BC$36,'Snowball workings'!$BC$36))</f>
      </c>
      <c r="D34" s="29">
        <f>IF(29&gt;$Z$1,"",IF('Your debts'!$D$20="Avalanche",'Avalanche workings'!$BA$36,'Snowball workings'!$BA$36))</f>
      </c>
      <c r="E34" s="29">
        <f>IF(29&gt;$Z$1,"",IF('Your debts'!$D$20="Avalanche",'Avalanche workings'!$BB$36,'Snowball workings'!$BB$36))</f>
      </c>
      <c r="F34" s="29">
        <f>IF(OR(29&gt;$Z$1,NOT(OR('Your debts'!$B$6&lt;&gt;"",N('Your debts'!$C$6)&gt;0))),"",IF('Your debts'!$D$20="Avalanche",'Avalanche workings'!$L$36,'Snowball workings'!$L$36)+IF('Your debts'!$D$20="Avalanche",'Avalanche workings'!$AF$36,'Snowball workings'!$AF$36))</f>
      </c>
      <c r="G34" s="30">
        <f>IF(OR(29&gt;$Z$1,NOT(OR('Your debts'!$B$6&lt;&gt;"",N('Your debts'!$C$6)&gt;0))),"",IF('Your debts'!$D$20="Avalanche",'Avalanche workings'!$AP$36,'Snowball workings'!$AP$36))</f>
      </c>
      <c r="H34" s="29">
        <f>IF(OR(29&gt;$Z$1,NOT(OR('Your debts'!$B$7&lt;&gt;"",N('Your debts'!$C$7)&gt;0))),"",IF('Your debts'!$D$20="Avalanche",'Avalanche workings'!$M$36,'Snowball workings'!$M$36)+IF('Your debts'!$D$20="Avalanche",'Avalanche workings'!$AG$36,'Snowball workings'!$AG$36))</f>
      </c>
      <c r="I34" s="30">
        <f>IF(OR(29&gt;$Z$1,NOT(OR('Your debts'!$B$7&lt;&gt;"",N('Your debts'!$C$7)&gt;0))),"",IF('Your debts'!$D$20="Avalanche",'Avalanche workings'!$AQ$36,'Snowball workings'!$AQ$36))</f>
      </c>
      <c r="J34" s="29">
        <f>IF(OR(29&gt;$Z$1,NOT(OR('Your debts'!$B$8&lt;&gt;"",N('Your debts'!$C$8)&gt;0))),"",IF('Your debts'!$D$20="Avalanche",'Avalanche workings'!$N$36,'Snowball workings'!$N$36)+IF('Your debts'!$D$20="Avalanche",'Avalanche workings'!$AH$36,'Snowball workings'!$AH$36))</f>
      </c>
      <c r="K34" s="30">
        <f>IF(OR(29&gt;$Z$1,NOT(OR('Your debts'!$B$8&lt;&gt;"",N('Your debts'!$C$8)&gt;0))),"",IF('Your debts'!$D$20="Avalanche",'Avalanche workings'!$AR$36,'Snowball workings'!$AR$36))</f>
      </c>
      <c r="L34" s="29">
        <f>IF(OR(29&gt;$Z$1,NOT(OR('Your debts'!$B$9&lt;&gt;"",N('Your debts'!$C$9)&gt;0))),"",IF('Your debts'!$D$20="Avalanche",'Avalanche workings'!$O$36,'Snowball workings'!$O$36)+IF('Your debts'!$D$20="Avalanche",'Avalanche workings'!$AI$36,'Snowball workings'!$AI$36))</f>
      </c>
      <c r="M34" s="30">
        <f>IF(OR(29&gt;$Z$1,NOT(OR('Your debts'!$B$9&lt;&gt;"",N('Your debts'!$C$9)&gt;0))),"",IF('Your debts'!$D$20="Avalanche",'Avalanche workings'!$AS$36,'Snowball workings'!$AS$36))</f>
      </c>
      <c r="N34" s="29">
        <f>IF(OR(29&gt;$Z$1,NOT(OR('Your debts'!$B$10&lt;&gt;"",N('Your debts'!$C$10)&gt;0))),"",IF('Your debts'!$D$20="Avalanche",'Avalanche workings'!$P$36,'Snowball workings'!$P$36)+IF('Your debts'!$D$20="Avalanche",'Avalanche workings'!$AJ$36,'Snowball workings'!$AJ$36))</f>
      </c>
      <c r="O34" s="30">
        <f>IF(OR(29&gt;$Z$1,NOT(OR('Your debts'!$B$10&lt;&gt;"",N('Your debts'!$C$10)&gt;0))),"",IF('Your debts'!$D$20="Avalanche",'Avalanche workings'!$AT$36,'Snowball workings'!$AT$36))</f>
      </c>
      <c r="P34" s="29">
        <f>IF(OR(29&gt;$Z$1,NOT(OR('Your debts'!$B$11&lt;&gt;"",N('Your debts'!$C$11)&gt;0))),"",IF('Your debts'!$D$20="Avalanche",'Avalanche workings'!$Q$36,'Snowball workings'!$Q$36)+IF('Your debts'!$D$20="Avalanche",'Avalanche workings'!$AK$36,'Snowball workings'!$AK$36))</f>
      </c>
      <c r="Q34" s="30">
        <f>IF(OR(29&gt;$Z$1,NOT(OR('Your debts'!$B$11&lt;&gt;"",N('Your debts'!$C$11)&gt;0))),"",IF('Your debts'!$D$20="Avalanche",'Avalanche workings'!$AU$36,'Snowball workings'!$AU$36))</f>
      </c>
      <c r="R34" s="29">
        <f>IF(OR(29&gt;$Z$1,NOT(OR('Your debts'!$B$12&lt;&gt;"",N('Your debts'!$C$12)&gt;0))),"",IF('Your debts'!$D$20="Avalanche",'Avalanche workings'!$R$36,'Snowball workings'!$R$36)+IF('Your debts'!$D$20="Avalanche",'Avalanche workings'!$AL$36,'Snowball workings'!$AL$36))</f>
      </c>
      <c r="S34" s="30">
        <f>IF(OR(29&gt;$Z$1,NOT(OR('Your debts'!$B$12&lt;&gt;"",N('Your debts'!$C$12)&gt;0))),"",IF('Your debts'!$D$20="Avalanche",'Avalanche workings'!$AV$36,'Snowball workings'!$AV$36))</f>
      </c>
      <c r="T34" s="29">
        <f>IF(OR(29&gt;$Z$1,NOT(OR('Your debts'!$B$13&lt;&gt;"",N('Your debts'!$C$13)&gt;0))),"",IF('Your debts'!$D$20="Avalanche",'Avalanche workings'!$S$36,'Snowball workings'!$S$36)+IF('Your debts'!$D$20="Avalanche",'Avalanche workings'!$AM$36,'Snowball workings'!$AM$36))</f>
      </c>
      <c r="U34" s="30">
        <f>IF(OR(29&gt;$Z$1,NOT(OR('Your debts'!$B$13&lt;&gt;"",N('Your debts'!$C$13)&gt;0))),"",IF('Your debts'!$D$20="Avalanche",'Avalanche workings'!$AW$36,'Snowball workings'!$AW$36))</f>
      </c>
      <c r="V34" s="29">
        <f>IF(OR(29&gt;$Z$1,NOT(OR('Your debts'!$B$14&lt;&gt;"",N('Your debts'!$C$14)&gt;0))),"",IF('Your debts'!$D$20="Avalanche",'Avalanche workings'!$T$36,'Snowball workings'!$T$36)+IF('Your debts'!$D$20="Avalanche",'Avalanche workings'!$AN$36,'Snowball workings'!$AN$36))</f>
      </c>
      <c r="W34" s="30">
        <f>IF(OR(29&gt;$Z$1,NOT(OR('Your debts'!$B$14&lt;&gt;"",N('Your debts'!$C$14)&gt;0))),"",IF('Your debts'!$D$20="Avalanche",'Avalanche workings'!$AX$36,'Snowball workings'!$AX$36))</f>
      </c>
      <c r="X34" s="29">
        <f>IF(OR(29&gt;$Z$1,NOT(OR('Your debts'!$B$15&lt;&gt;"",N('Your debts'!$C$15)&gt;0))),"",IF('Your debts'!$D$20="Avalanche",'Avalanche workings'!$U$36,'Snowball workings'!$U$36)+IF('Your debts'!$D$20="Avalanche",'Avalanche workings'!$AO$36,'Snowball workings'!$AO$36))</f>
      </c>
      <c r="Y34" s="30">
        <f>IF(OR(29&gt;$Z$1,NOT(OR('Your debts'!$B$15&lt;&gt;"",N('Your debts'!$C$15)&gt;0))),"",IF('Your debts'!$D$20="Avalanche",'Avalanche workings'!$AY$36,'Snowball workings'!$AY$36))</f>
      </c>
    </row>
    <row r="35" spans="1:25" x14ac:dyDescent="0.25">
      <c r="A35" s="2">
        <f>IF(30&gt;$Z$1,"",30)</f>
      </c>
      <c r="B35" s="28">
        <f>IF(30&gt;$Z$1,"",EDATE('Your debts'!$D$21,29))</f>
      </c>
      <c r="C35" s="29">
        <f>IF(30&gt;$Z$1,"",IF('Your debts'!$D$20="Avalanche",'Avalanche workings'!$BC$37,'Snowball workings'!$BC$37))</f>
      </c>
      <c r="D35" s="29">
        <f>IF(30&gt;$Z$1,"",IF('Your debts'!$D$20="Avalanche",'Avalanche workings'!$BA$37,'Snowball workings'!$BA$37))</f>
      </c>
      <c r="E35" s="29">
        <f>IF(30&gt;$Z$1,"",IF('Your debts'!$D$20="Avalanche",'Avalanche workings'!$BB$37,'Snowball workings'!$BB$37))</f>
      </c>
      <c r="F35" s="29">
        <f>IF(OR(30&gt;$Z$1,NOT(OR('Your debts'!$B$6&lt;&gt;"",N('Your debts'!$C$6)&gt;0))),"",IF('Your debts'!$D$20="Avalanche",'Avalanche workings'!$L$37,'Snowball workings'!$L$37)+IF('Your debts'!$D$20="Avalanche",'Avalanche workings'!$AF$37,'Snowball workings'!$AF$37))</f>
      </c>
      <c r="G35" s="30">
        <f>IF(OR(30&gt;$Z$1,NOT(OR('Your debts'!$B$6&lt;&gt;"",N('Your debts'!$C$6)&gt;0))),"",IF('Your debts'!$D$20="Avalanche",'Avalanche workings'!$AP$37,'Snowball workings'!$AP$37))</f>
      </c>
      <c r="H35" s="29">
        <f>IF(OR(30&gt;$Z$1,NOT(OR('Your debts'!$B$7&lt;&gt;"",N('Your debts'!$C$7)&gt;0))),"",IF('Your debts'!$D$20="Avalanche",'Avalanche workings'!$M$37,'Snowball workings'!$M$37)+IF('Your debts'!$D$20="Avalanche",'Avalanche workings'!$AG$37,'Snowball workings'!$AG$37))</f>
      </c>
      <c r="I35" s="30">
        <f>IF(OR(30&gt;$Z$1,NOT(OR('Your debts'!$B$7&lt;&gt;"",N('Your debts'!$C$7)&gt;0))),"",IF('Your debts'!$D$20="Avalanche",'Avalanche workings'!$AQ$37,'Snowball workings'!$AQ$37))</f>
      </c>
      <c r="J35" s="29">
        <f>IF(OR(30&gt;$Z$1,NOT(OR('Your debts'!$B$8&lt;&gt;"",N('Your debts'!$C$8)&gt;0))),"",IF('Your debts'!$D$20="Avalanche",'Avalanche workings'!$N$37,'Snowball workings'!$N$37)+IF('Your debts'!$D$20="Avalanche",'Avalanche workings'!$AH$37,'Snowball workings'!$AH$37))</f>
      </c>
      <c r="K35" s="30">
        <f>IF(OR(30&gt;$Z$1,NOT(OR('Your debts'!$B$8&lt;&gt;"",N('Your debts'!$C$8)&gt;0))),"",IF('Your debts'!$D$20="Avalanche",'Avalanche workings'!$AR$37,'Snowball workings'!$AR$37))</f>
      </c>
      <c r="L35" s="29">
        <f>IF(OR(30&gt;$Z$1,NOT(OR('Your debts'!$B$9&lt;&gt;"",N('Your debts'!$C$9)&gt;0))),"",IF('Your debts'!$D$20="Avalanche",'Avalanche workings'!$O$37,'Snowball workings'!$O$37)+IF('Your debts'!$D$20="Avalanche",'Avalanche workings'!$AI$37,'Snowball workings'!$AI$37))</f>
      </c>
      <c r="M35" s="30">
        <f>IF(OR(30&gt;$Z$1,NOT(OR('Your debts'!$B$9&lt;&gt;"",N('Your debts'!$C$9)&gt;0))),"",IF('Your debts'!$D$20="Avalanche",'Avalanche workings'!$AS$37,'Snowball workings'!$AS$37))</f>
      </c>
      <c r="N35" s="29">
        <f>IF(OR(30&gt;$Z$1,NOT(OR('Your debts'!$B$10&lt;&gt;"",N('Your debts'!$C$10)&gt;0))),"",IF('Your debts'!$D$20="Avalanche",'Avalanche workings'!$P$37,'Snowball workings'!$P$37)+IF('Your debts'!$D$20="Avalanche",'Avalanche workings'!$AJ$37,'Snowball workings'!$AJ$37))</f>
      </c>
      <c r="O35" s="30">
        <f>IF(OR(30&gt;$Z$1,NOT(OR('Your debts'!$B$10&lt;&gt;"",N('Your debts'!$C$10)&gt;0))),"",IF('Your debts'!$D$20="Avalanche",'Avalanche workings'!$AT$37,'Snowball workings'!$AT$37))</f>
      </c>
      <c r="P35" s="29">
        <f>IF(OR(30&gt;$Z$1,NOT(OR('Your debts'!$B$11&lt;&gt;"",N('Your debts'!$C$11)&gt;0))),"",IF('Your debts'!$D$20="Avalanche",'Avalanche workings'!$Q$37,'Snowball workings'!$Q$37)+IF('Your debts'!$D$20="Avalanche",'Avalanche workings'!$AK$37,'Snowball workings'!$AK$37))</f>
      </c>
      <c r="Q35" s="30">
        <f>IF(OR(30&gt;$Z$1,NOT(OR('Your debts'!$B$11&lt;&gt;"",N('Your debts'!$C$11)&gt;0))),"",IF('Your debts'!$D$20="Avalanche",'Avalanche workings'!$AU$37,'Snowball workings'!$AU$37))</f>
      </c>
      <c r="R35" s="29">
        <f>IF(OR(30&gt;$Z$1,NOT(OR('Your debts'!$B$12&lt;&gt;"",N('Your debts'!$C$12)&gt;0))),"",IF('Your debts'!$D$20="Avalanche",'Avalanche workings'!$R$37,'Snowball workings'!$R$37)+IF('Your debts'!$D$20="Avalanche",'Avalanche workings'!$AL$37,'Snowball workings'!$AL$37))</f>
      </c>
      <c r="S35" s="30">
        <f>IF(OR(30&gt;$Z$1,NOT(OR('Your debts'!$B$12&lt;&gt;"",N('Your debts'!$C$12)&gt;0))),"",IF('Your debts'!$D$20="Avalanche",'Avalanche workings'!$AV$37,'Snowball workings'!$AV$37))</f>
      </c>
      <c r="T35" s="29">
        <f>IF(OR(30&gt;$Z$1,NOT(OR('Your debts'!$B$13&lt;&gt;"",N('Your debts'!$C$13)&gt;0))),"",IF('Your debts'!$D$20="Avalanche",'Avalanche workings'!$S$37,'Snowball workings'!$S$37)+IF('Your debts'!$D$20="Avalanche",'Avalanche workings'!$AM$37,'Snowball workings'!$AM$37))</f>
      </c>
      <c r="U35" s="30">
        <f>IF(OR(30&gt;$Z$1,NOT(OR('Your debts'!$B$13&lt;&gt;"",N('Your debts'!$C$13)&gt;0))),"",IF('Your debts'!$D$20="Avalanche",'Avalanche workings'!$AW$37,'Snowball workings'!$AW$37))</f>
      </c>
      <c r="V35" s="29">
        <f>IF(OR(30&gt;$Z$1,NOT(OR('Your debts'!$B$14&lt;&gt;"",N('Your debts'!$C$14)&gt;0))),"",IF('Your debts'!$D$20="Avalanche",'Avalanche workings'!$T$37,'Snowball workings'!$T$37)+IF('Your debts'!$D$20="Avalanche",'Avalanche workings'!$AN$37,'Snowball workings'!$AN$37))</f>
      </c>
      <c r="W35" s="30">
        <f>IF(OR(30&gt;$Z$1,NOT(OR('Your debts'!$B$14&lt;&gt;"",N('Your debts'!$C$14)&gt;0))),"",IF('Your debts'!$D$20="Avalanche",'Avalanche workings'!$AX$37,'Snowball workings'!$AX$37))</f>
      </c>
      <c r="X35" s="29">
        <f>IF(OR(30&gt;$Z$1,NOT(OR('Your debts'!$B$15&lt;&gt;"",N('Your debts'!$C$15)&gt;0))),"",IF('Your debts'!$D$20="Avalanche",'Avalanche workings'!$U$37,'Snowball workings'!$U$37)+IF('Your debts'!$D$20="Avalanche",'Avalanche workings'!$AO$37,'Snowball workings'!$AO$37))</f>
      </c>
      <c r="Y35" s="30">
        <f>IF(OR(30&gt;$Z$1,NOT(OR('Your debts'!$B$15&lt;&gt;"",N('Your debts'!$C$15)&gt;0))),"",IF('Your debts'!$D$20="Avalanche",'Avalanche workings'!$AY$37,'Snowball workings'!$AY$37))</f>
      </c>
    </row>
    <row r="36" spans="1:25" x14ac:dyDescent="0.25">
      <c r="A36" s="2">
        <f>IF(31&gt;$Z$1,"",31)</f>
      </c>
      <c r="B36" s="28">
        <f>IF(31&gt;$Z$1,"",EDATE('Your debts'!$D$21,30))</f>
      </c>
      <c r="C36" s="29">
        <f>IF(31&gt;$Z$1,"",IF('Your debts'!$D$20="Avalanche",'Avalanche workings'!$BC$38,'Snowball workings'!$BC$38))</f>
      </c>
      <c r="D36" s="29">
        <f>IF(31&gt;$Z$1,"",IF('Your debts'!$D$20="Avalanche",'Avalanche workings'!$BA$38,'Snowball workings'!$BA$38))</f>
      </c>
      <c r="E36" s="29">
        <f>IF(31&gt;$Z$1,"",IF('Your debts'!$D$20="Avalanche",'Avalanche workings'!$BB$38,'Snowball workings'!$BB$38))</f>
      </c>
      <c r="F36" s="29">
        <f>IF(OR(31&gt;$Z$1,NOT(OR('Your debts'!$B$6&lt;&gt;"",N('Your debts'!$C$6)&gt;0))),"",IF('Your debts'!$D$20="Avalanche",'Avalanche workings'!$L$38,'Snowball workings'!$L$38)+IF('Your debts'!$D$20="Avalanche",'Avalanche workings'!$AF$38,'Snowball workings'!$AF$38))</f>
      </c>
      <c r="G36" s="30">
        <f>IF(OR(31&gt;$Z$1,NOT(OR('Your debts'!$B$6&lt;&gt;"",N('Your debts'!$C$6)&gt;0))),"",IF('Your debts'!$D$20="Avalanche",'Avalanche workings'!$AP$38,'Snowball workings'!$AP$38))</f>
      </c>
      <c r="H36" s="29">
        <f>IF(OR(31&gt;$Z$1,NOT(OR('Your debts'!$B$7&lt;&gt;"",N('Your debts'!$C$7)&gt;0))),"",IF('Your debts'!$D$20="Avalanche",'Avalanche workings'!$M$38,'Snowball workings'!$M$38)+IF('Your debts'!$D$20="Avalanche",'Avalanche workings'!$AG$38,'Snowball workings'!$AG$38))</f>
      </c>
      <c r="I36" s="30">
        <f>IF(OR(31&gt;$Z$1,NOT(OR('Your debts'!$B$7&lt;&gt;"",N('Your debts'!$C$7)&gt;0))),"",IF('Your debts'!$D$20="Avalanche",'Avalanche workings'!$AQ$38,'Snowball workings'!$AQ$38))</f>
      </c>
      <c r="J36" s="29">
        <f>IF(OR(31&gt;$Z$1,NOT(OR('Your debts'!$B$8&lt;&gt;"",N('Your debts'!$C$8)&gt;0))),"",IF('Your debts'!$D$20="Avalanche",'Avalanche workings'!$N$38,'Snowball workings'!$N$38)+IF('Your debts'!$D$20="Avalanche",'Avalanche workings'!$AH$38,'Snowball workings'!$AH$38))</f>
      </c>
      <c r="K36" s="30">
        <f>IF(OR(31&gt;$Z$1,NOT(OR('Your debts'!$B$8&lt;&gt;"",N('Your debts'!$C$8)&gt;0))),"",IF('Your debts'!$D$20="Avalanche",'Avalanche workings'!$AR$38,'Snowball workings'!$AR$38))</f>
      </c>
      <c r="L36" s="29">
        <f>IF(OR(31&gt;$Z$1,NOT(OR('Your debts'!$B$9&lt;&gt;"",N('Your debts'!$C$9)&gt;0))),"",IF('Your debts'!$D$20="Avalanche",'Avalanche workings'!$O$38,'Snowball workings'!$O$38)+IF('Your debts'!$D$20="Avalanche",'Avalanche workings'!$AI$38,'Snowball workings'!$AI$38))</f>
      </c>
      <c r="M36" s="30">
        <f>IF(OR(31&gt;$Z$1,NOT(OR('Your debts'!$B$9&lt;&gt;"",N('Your debts'!$C$9)&gt;0))),"",IF('Your debts'!$D$20="Avalanche",'Avalanche workings'!$AS$38,'Snowball workings'!$AS$38))</f>
      </c>
      <c r="N36" s="29">
        <f>IF(OR(31&gt;$Z$1,NOT(OR('Your debts'!$B$10&lt;&gt;"",N('Your debts'!$C$10)&gt;0))),"",IF('Your debts'!$D$20="Avalanche",'Avalanche workings'!$P$38,'Snowball workings'!$P$38)+IF('Your debts'!$D$20="Avalanche",'Avalanche workings'!$AJ$38,'Snowball workings'!$AJ$38))</f>
      </c>
      <c r="O36" s="30">
        <f>IF(OR(31&gt;$Z$1,NOT(OR('Your debts'!$B$10&lt;&gt;"",N('Your debts'!$C$10)&gt;0))),"",IF('Your debts'!$D$20="Avalanche",'Avalanche workings'!$AT$38,'Snowball workings'!$AT$38))</f>
      </c>
      <c r="P36" s="29">
        <f>IF(OR(31&gt;$Z$1,NOT(OR('Your debts'!$B$11&lt;&gt;"",N('Your debts'!$C$11)&gt;0))),"",IF('Your debts'!$D$20="Avalanche",'Avalanche workings'!$Q$38,'Snowball workings'!$Q$38)+IF('Your debts'!$D$20="Avalanche",'Avalanche workings'!$AK$38,'Snowball workings'!$AK$38))</f>
      </c>
      <c r="Q36" s="30">
        <f>IF(OR(31&gt;$Z$1,NOT(OR('Your debts'!$B$11&lt;&gt;"",N('Your debts'!$C$11)&gt;0))),"",IF('Your debts'!$D$20="Avalanche",'Avalanche workings'!$AU$38,'Snowball workings'!$AU$38))</f>
      </c>
      <c r="R36" s="29">
        <f>IF(OR(31&gt;$Z$1,NOT(OR('Your debts'!$B$12&lt;&gt;"",N('Your debts'!$C$12)&gt;0))),"",IF('Your debts'!$D$20="Avalanche",'Avalanche workings'!$R$38,'Snowball workings'!$R$38)+IF('Your debts'!$D$20="Avalanche",'Avalanche workings'!$AL$38,'Snowball workings'!$AL$38))</f>
      </c>
      <c r="S36" s="30">
        <f>IF(OR(31&gt;$Z$1,NOT(OR('Your debts'!$B$12&lt;&gt;"",N('Your debts'!$C$12)&gt;0))),"",IF('Your debts'!$D$20="Avalanche",'Avalanche workings'!$AV$38,'Snowball workings'!$AV$38))</f>
      </c>
      <c r="T36" s="29">
        <f>IF(OR(31&gt;$Z$1,NOT(OR('Your debts'!$B$13&lt;&gt;"",N('Your debts'!$C$13)&gt;0))),"",IF('Your debts'!$D$20="Avalanche",'Avalanche workings'!$S$38,'Snowball workings'!$S$38)+IF('Your debts'!$D$20="Avalanche",'Avalanche workings'!$AM$38,'Snowball workings'!$AM$38))</f>
      </c>
      <c r="U36" s="30">
        <f>IF(OR(31&gt;$Z$1,NOT(OR('Your debts'!$B$13&lt;&gt;"",N('Your debts'!$C$13)&gt;0))),"",IF('Your debts'!$D$20="Avalanche",'Avalanche workings'!$AW$38,'Snowball workings'!$AW$38))</f>
      </c>
      <c r="V36" s="29">
        <f>IF(OR(31&gt;$Z$1,NOT(OR('Your debts'!$B$14&lt;&gt;"",N('Your debts'!$C$14)&gt;0))),"",IF('Your debts'!$D$20="Avalanche",'Avalanche workings'!$T$38,'Snowball workings'!$T$38)+IF('Your debts'!$D$20="Avalanche",'Avalanche workings'!$AN$38,'Snowball workings'!$AN$38))</f>
      </c>
      <c r="W36" s="30">
        <f>IF(OR(31&gt;$Z$1,NOT(OR('Your debts'!$B$14&lt;&gt;"",N('Your debts'!$C$14)&gt;0))),"",IF('Your debts'!$D$20="Avalanche",'Avalanche workings'!$AX$38,'Snowball workings'!$AX$38))</f>
      </c>
      <c r="X36" s="29">
        <f>IF(OR(31&gt;$Z$1,NOT(OR('Your debts'!$B$15&lt;&gt;"",N('Your debts'!$C$15)&gt;0))),"",IF('Your debts'!$D$20="Avalanche",'Avalanche workings'!$U$38,'Snowball workings'!$U$38)+IF('Your debts'!$D$20="Avalanche",'Avalanche workings'!$AO$38,'Snowball workings'!$AO$38))</f>
      </c>
      <c r="Y36" s="30">
        <f>IF(OR(31&gt;$Z$1,NOT(OR('Your debts'!$B$15&lt;&gt;"",N('Your debts'!$C$15)&gt;0))),"",IF('Your debts'!$D$20="Avalanche",'Avalanche workings'!$AY$38,'Snowball workings'!$AY$38))</f>
      </c>
    </row>
    <row r="37" spans="1:25" x14ac:dyDescent="0.25">
      <c r="A37" s="2">
        <f>IF(32&gt;$Z$1,"",32)</f>
      </c>
      <c r="B37" s="28">
        <f>IF(32&gt;$Z$1,"",EDATE('Your debts'!$D$21,31))</f>
      </c>
      <c r="C37" s="29">
        <f>IF(32&gt;$Z$1,"",IF('Your debts'!$D$20="Avalanche",'Avalanche workings'!$BC$39,'Snowball workings'!$BC$39))</f>
      </c>
      <c r="D37" s="29">
        <f>IF(32&gt;$Z$1,"",IF('Your debts'!$D$20="Avalanche",'Avalanche workings'!$BA$39,'Snowball workings'!$BA$39))</f>
      </c>
      <c r="E37" s="29">
        <f>IF(32&gt;$Z$1,"",IF('Your debts'!$D$20="Avalanche",'Avalanche workings'!$BB$39,'Snowball workings'!$BB$39))</f>
      </c>
      <c r="F37" s="29">
        <f>IF(OR(32&gt;$Z$1,NOT(OR('Your debts'!$B$6&lt;&gt;"",N('Your debts'!$C$6)&gt;0))),"",IF('Your debts'!$D$20="Avalanche",'Avalanche workings'!$L$39,'Snowball workings'!$L$39)+IF('Your debts'!$D$20="Avalanche",'Avalanche workings'!$AF$39,'Snowball workings'!$AF$39))</f>
      </c>
      <c r="G37" s="30">
        <f>IF(OR(32&gt;$Z$1,NOT(OR('Your debts'!$B$6&lt;&gt;"",N('Your debts'!$C$6)&gt;0))),"",IF('Your debts'!$D$20="Avalanche",'Avalanche workings'!$AP$39,'Snowball workings'!$AP$39))</f>
      </c>
      <c r="H37" s="29">
        <f>IF(OR(32&gt;$Z$1,NOT(OR('Your debts'!$B$7&lt;&gt;"",N('Your debts'!$C$7)&gt;0))),"",IF('Your debts'!$D$20="Avalanche",'Avalanche workings'!$M$39,'Snowball workings'!$M$39)+IF('Your debts'!$D$20="Avalanche",'Avalanche workings'!$AG$39,'Snowball workings'!$AG$39))</f>
      </c>
      <c r="I37" s="30">
        <f>IF(OR(32&gt;$Z$1,NOT(OR('Your debts'!$B$7&lt;&gt;"",N('Your debts'!$C$7)&gt;0))),"",IF('Your debts'!$D$20="Avalanche",'Avalanche workings'!$AQ$39,'Snowball workings'!$AQ$39))</f>
      </c>
      <c r="J37" s="29">
        <f>IF(OR(32&gt;$Z$1,NOT(OR('Your debts'!$B$8&lt;&gt;"",N('Your debts'!$C$8)&gt;0))),"",IF('Your debts'!$D$20="Avalanche",'Avalanche workings'!$N$39,'Snowball workings'!$N$39)+IF('Your debts'!$D$20="Avalanche",'Avalanche workings'!$AH$39,'Snowball workings'!$AH$39))</f>
      </c>
      <c r="K37" s="30">
        <f>IF(OR(32&gt;$Z$1,NOT(OR('Your debts'!$B$8&lt;&gt;"",N('Your debts'!$C$8)&gt;0))),"",IF('Your debts'!$D$20="Avalanche",'Avalanche workings'!$AR$39,'Snowball workings'!$AR$39))</f>
      </c>
      <c r="L37" s="29">
        <f>IF(OR(32&gt;$Z$1,NOT(OR('Your debts'!$B$9&lt;&gt;"",N('Your debts'!$C$9)&gt;0))),"",IF('Your debts'!$D$20="Avalanche",'Avalanche workings'!$O$39,'Snowball workings'!$O$39)+IF('Your debts'!$D$20="Avalanche",'Avalanche workings'!$AI$39,'Snowball workings'!$AI$39))</f>
      </c>
      <c r="M37" s="30">
        <f>IF(OR(32&gt;$Z$1,NOT(OR('Your debts'!$B$9&lt;&gt;"",N('Your debts'!$C$9)&gt;0))),"",IF('Your debts'!$D$20="Avalanche",'Avalanche workings'!$AS$39,'Snowball workings'!$AS$39))</f>
      </c>
      <c r="N37" s="29">
        <f>IF(OR(32&gt;$Z$1,NOT(OR('Your debts'!$B$10&lt;&gt;"",N('Your debts'!$C$10)&gt;0))),"",IF('Your debts'!$D$20="Avalanche",'Avalanche workings'!$P$39,'Snowball workings'!$P$39)+IF('Your debts'!$D$20="Avalanche",'Avalanche workings'!$AJ$39,'Snowball workings'!$AJ$39))</f>
      </c>
      <c r="O37" s="30">
        <f>IF(OR(32&gt;$Z$1,NOT(OR('Your debts'!$B$10&lt;&gt;"",N('Your debts'!$C$10)&gt;0))),"",IF('Your debts'!$D$20="Avalanche",'Avalanche workings'!$AT$39,'Snowball workings'!$AT$39))</f>
      </c>
      <c r="P37" s="29">
        <f>IF(OR(32&gt;$Z$1,NOT(OR('Your debts'!$B$11&lt;&gt;"",N('Your debts'!$C$11)&gt;0))),"",IF('Your debts'!$D$20="Avalanche",'Avalanche workings'!$Q$39,'Snowball workings'!$Q$39)+IF('Your debts'!$D$20="Avalanche",'Avalanche workings'!$AK$39,'Snowball workings'!$AK$39))</f>
      </c>
      <c r="Q37" s="30">
        <f>IF(OR(32&gt;$Z$1,NOT(OR('Your debts'!$B$11&lt;&gt;"",N('Your debts'!$C$11)&gt;0))),"",IF('Your debts'!$D$20="Avalanche",'Avalanche workings'!$AU$39,'Snowball workings'!$AU$39))</f>
      </c>
      <c r="R37" s="29">
        <f>IF(OR(32&gt;$Z$1,NOT(OR('Your debts'!$B$12&lt;&gt;"",N('Your debts'!$C$12)&gt;0))),"",IF('Your debts'!$D$20="Avalanche",'Avalanche workings'!$R$39,'Snowball workings'!$R$39)+IF('Your debts'!$D$20="Avalanche",'Avalanche workings'!$AL$39,'Snowball workings'!$AL$39))</f>
      </c>
      <c r="S37" s="30">
        <f>IF(OR(32&gt;$Z$1,NOT(OR('Your debts'!$B$12&lt;&gt;"",N('Your debts'!$C$12)&gt;0))),"",IF('Your debts'!$D$20="Avalanche",'Avalanche workings'!$AV$39,'Snowball workings'!$AV$39))</f>
      </c>
      <c r="T37" s="29">
        <f>IF(OR(32&gt;$Z$1,NOT(OR('Your debts'!$B$13&lt;&gt;"",N('Your debts'!$C$13)&gt;0))),"",IF('Your debts'!$D$20="Avalanche",'Avalanche workings'!$S$39,'Snowball workings'!$S$39)+IF('Your debts'!$D$20="Avalanche",'Avalanche workings'!$AM$39,'Snowball workings'!$AM$39))</f>
      </c>
      <c r="U37" s="30">
        <f>IF(OR(32&gt;$Z$1,NOT(OR('Your debts'!$B$13&lt;&gt;"",N('Your debts'!$C$13)&gt;0))),"",IF('Your debts'!$D$20="Avalanche",'Avalanche workings'!$AW$39,'Snowball workings'!$AW$39))</f>
      </c>
      <c r="V37" s="29">
        <f>IF(OR(32&gt;$Z$1,NOT(OR('Your debts'!$B$14&lt;&gt;"",N('Your debts'!$C$14)&gt;0))),"",IF('Your debts'!$D$20="Avalanche",'Avalanche workings'!$T$39,'Snowball workings'!$T$39)+IF('Your debts'!$D$20="Avalanche",'Avalanche workings'!$AN$39,'Snowball workings'!$AN$39))</f>
      </c>
      <c r="W37" s="30">
        <f>IF(OR(32&gt;$Z$1,NOT(OR('Your debts'!$B$14&lt;&gt;"",N('Your debts'!$C$14)&gt;0))),"",IF('Your debts'!$D$20="Avalanche",'Avalanche workings'!$AX$39,'Snowball workings'!$AX$39))</f>
      </c>
      <c r="X37" s="29">
        <f>IF(OR(32&gt;$Z$1,NOT(OR('Your debts'!$B$15&lt;&gt;"",N('Your debts'!$C$15)&gt;0))),"",IF('Your debts'!$D$20="Avalanche",'Avalanche workings'!$U$39,'Snowball workings'!$U$39)+IF('Your debts'!$D$20="Avalanche",'Avalanche workings'!$AO$39,'Snowball workings'!$AO$39))</f>
      </c>
      <c r="Y37" s="30">
        <f>IF(OR(32&gt;$Z$1,NOT(OR('Your debts'!$B$15&lt;&gt;"",N('Your debts'!$C$15)&gt;0))),"",IF('Your debts'!$D$20="Avalanche",'Avalanche workings'!$AY$39,'Snowball workings'!$AY$39))</f>
      </c>
    </row>
    <row r="38" spans="1:25" x14ac:dyDescent="0.25">
      <c r="A38" s="2">
        <f>IF(33&gt;$Z$1,"",33)</f>
      </c>
      <c r="B38" s="28">
        <f>IF(33&gt;$Z$1,"",EDATE('Your debts'!$D$21,32))</f>
      </c>
      <c r="C38" s="29">
        <f>IF(33&gt;$Z$1,"",IF('Your debts'!$D$20="Avalanche",'Avalanche workings'!$BC$40,'Snowball workings'!$BC$40))</f>
      </c>
      <c r="D38" s="29">
        <f>IF(33&gt;$Z$1,"",IF('Your debts'!$D$20="Avalanche",'Avalanche workings'!$BA$40,'Snowball workings'!$BA$40))</f>
      </c>
      <c r="E38" s="29">
        <f>IF(33&gt;$Z$1,"",IF('Your debts'!$D$20="Avalanche",'Avalanche workings'!$BB$40,'Snowball workings'!$BB$40))</f>
      </c>
      <c r="F38" s="29">
        <f>IF(OR(33&gt;$Z$1,NOT(OR('Your debts'!$B$6&lt;&gt;"",N('Your debts'!$C$6)&gt;0))),"",IF('Your debts'!$D$20="Avalanche",'Avalanche workings'!$L$40,'Snowball workings'!$L$40)+IF('Your debts'!$D$20="Avalanche",'Avalanche workings'!$AF$40,'Snowball workings'!$AF$40))</f>
      </c>
      <c r="G38" s="30">
        <f>IF(OR(33&gt;$Z$1,NOT(OR('Your debts'!$B$6&lt;&gt;"",N('Your debts'!$C$6)&gt;0))),"",IF('Your debts'!$D$20="Avalanche",'Avalanche workings'!$AP$40,'Snowball workings'!$AP$40))</f>
      </c>
      <c r="H38" s="29">
        <f>IF(OR(33&gt;$Z$1,NOT(OR('Your debts'!$B$7&lt;&gt;"",N('Your debts'!$C$7)&gt;0))),"",IF('Your debts'!$D$20="Avalanche",'Avalanche workings'!$M$40,'Snowball workings'!$M$40)+IF('Your debts'!$D$20="Avalanche",'Avalanche workings'!$AG$40,'Snowball workings'!$AG$40))</f>
      </c>
      <c r="I38" s="30">
        <f>IF(OR(33&gt;$Z$1,NOT(OR('Your debts'!$B$7&lt;&gt;"",N('Your debts'!$C$7)&gt;0))),"",IF('Your debts'!$D$20="Avalanche",'Avalanche workings'!$AQ$40,'Snowball workings'!$AQ$40))</f>
      </c>
      <c r="J38" s="29">
        <f>IF(OR(33&gt;$Z$1,NOT(OR('Your debts'!$B$8&lt;&gt;"",N('Your debts'!$C$8)&gt;0))),"",IF('Your debts'!$D$20="Avalanche",'Avalanche workings'!$N$40,'Snowball workings'!$N$40)+IF('Your debts'!$D$20="Avalanche",'Avalanche workings'!$AH$40,'Snowball workings'!$AH$40))</f>
      </c>
      <c r="K38" s="30">
        <f>IF(OR(33&gt;$Z$1,NOT(OR('Your debts'!$B$8&lt;&gt;"",N('Your debts'!$C$8)&gt;0))),"",IF('Your debts'!$D$20="Avalanche",'Avalanche workings'!$AR$40,'Snowball workings'!$AR$40))</f>
      </c>
      <c r="L38" s="29">
        <f>IF(OR(33&gt;$Z$1,NOT(OR('Your debts'!$B$9&lt;&gt;"",N('Your debts'!$C$9)&gt;0))),"",IF('Your debts'!$D$20="Avalanche",'Avalanche workings'!$O$40,'Snowball workings'!$O$40)+IF('Your debts'!$D$20="Avalanche",'Avalanche workings'!$AI$40,'Snowball workings'!$AI$40))</f>
      </c>
      <c r="M38" s="30">
        <f>IF(OR(33&gt;$Z$1,NOT(OR('Your debts'!$B$9&lt;&gt;"",N('Your debts'!$C$9)&gt;0))),"",IF('Your debts'!$D$20="Avalanche",'Avalanche workings'!$AS$40,'Snowball workings'!$AS$40))</f>
      </c>
      <c r="N38" s="29">
        <f>IF(OR(33&gt;$Z$1,NOT(OR('Your debts'!$B$10&lt;&gt;"",N('Your debts'!$C$10)&gt;0))),"",IF('Your debts'!$D$20="Avalanche",'Avalanche workings'!$P$40,'Snowball workings'!$P$40)+IF('Your debts'!$D$20="Avalanche",'Avalanche workings'!$AJ$40,'Snowball workings'!$AJ$40))</f>
      </c>
      <c r="O38" s="30">
        <f>IF(OR(33&gt;$Z$1,NOT(OR('Your debts'!$B$10&lt;&gt;"",N('Your debts'!$C$10)&gt;0))),"",IF('Your debts'!$D$20="Avalanche",'Avalanche workings'!$AT$40,'Snowball workings'!$AT$40))</f>
      </c>
      <c r="P38" s="29">
        <f>IF(OR(33&gt;$Z$1,NOT(OR('Your debts'!$B$11&lt;&gt;"",N('Your debts'!$C$11)&gt;0))),"",IF('Your debts'!$D$20="Avalanche",'Avalanche workings'!$Q$40,'Snowball workings'!$Q$40)+IF('Your debts'!$D$20="Avalanche",'Avalanche workings'!$AK$40,'Snowball workings'!$AK$40))</f>
      </c>
      <c r="Q38" s="30">
        <f>IF(OR(33&gt;$Z$1,NOT(OR('Your debts'!$B$11&lt;&gt;"",N('Your debts'!$C$11)&gt;0))),"",IF('Your debts'!$D$20="Avalanche",'Avalanche workings'!$AU$40,'Snowball workings'!$AU$40))</f>
      </c>
      <c r="R38" s="29">
        <f>IF(OR(33&gt;$Z$1,NOT(OR('Your debts'!$B$12&lt;&gt;"",N('Your debts'!$C$12)&gt;0))),"",IF('Your debts'!$D$20="Avalanche",'Avalanche workings'!$R$40,'Snowball workings'!$R$40)+IF('Your debts'!$D$20="Avalanche",'Avalanche workings'!$AL$40,'Snowball workings'!$AL$40))</f>
      </c>
      <c r="S38" s="30">
        <f>IF(OR(33&gt;$Z$1,NOT(OR('Your debts'!$B$12&lt;&gt;"",N('Your debts'!$C$12)&gt;0))),"",IF('Your debts'!$D$20="Avalanche",'Avalanche workings'!$AV$40,'Snowball workings'!$AV$40))</f>
      </c>
      <c r="T38" s="29">
        <f>IF(OR(33&gt;$Z$1,NOT(OR('Your debts'!$B$13&lt;&gt;"",N('Your debts'!$C$13)&gt;0))),"",IF('Your debts'!$D$20="Avalanche",'Avalanche workings'!$S$40,'Snowball workings'!$S$40)+IF('Your debts'!$D$20="Avalanche",'Avalanche workings'!$AM$40,'Snowball workings'!$AM$40))</f>
      </c>
      <c r="U38" s="30">
        <f>IF(OR(33&gt;$Z$1,NOT(OR('Your debts'!$B$13&lt;&gt;"",N('Your debts'!$C$13)&gt;0))),"",IF('Your debts'!$D$20="Avalanche",'Avalanche workings'!$AW$40,'Snowball workings'!$AW$40))</f>
      </c>
      <c r="V38" s="29">
        <f>IF(OR(33&gt;$Z$1,NOT(OR('Your debts'!$B$14&lt;&gt;"",N('Your debts'!$C$14)&gt;0))),"",IF('Your debts'!$D$20="Avalanche",'Avalanche workings'!$T$40,'Snowball workings'!$T$40)+IF('Your debts'!$D$20="Avalanche",'Avalanche workings'!$AN$40,'Snowball workings'!$AN$40))</f>
      </c>
      <c r="W38" s="30">
        <f>IF(OR(33&gt;$Z$1,NOT(OR('Your debts'!$B$14&lt;&gt;"",N('Your debts'!$C$14)&gt;0))),"",IF('Your debts'!$D$20="Avalanche",'Avalanche workings'!$AX$40,'Snowball workings'!$AX$40))</f>
      </c>
      <c r="X38" s="29">
        <f>IF(OR(33&gt;$Z$1,NOT(OR('Your debts'!$B$15&lt;&gt;"",N('Your debts'!$C$15)&gt;0))),"",IF('Your debts'!$D$20="Avalanche",'Avalanche workings'!$U$40,'Snowball workings'!$U$40)+IF('Your debts'!$D$20="Avalanche",'Avalanche workings'!$AO$40,'Snowball workings'!$AO$40))</f>
      </c>
      <c r="Y38" s="30">
        <f>IF(OR(33&gt;$Z$1,NOT(OR('Your debts'!$B$15&lt;&gt;"",N('Your debts'!$C$15)&gt;0))),"",IF('Your debts'!$D$20="Avalanche",'Avalanche workings'!$AY$40,'Snowball workings'!$AY$40))</f>
      </c>
    </row>
    <row r="39" spans="1:25" x14ac:dyDescent="0.25">
      <c r="A39" s="2">
        <f>IF(34&gt;$Z$1,"",34)</f>
      </c>
      <c r="B39" s="28">
        <f>IF(34&gt;$Z$1,"",EDATE('Your debts'!$D$21,33))</f>
      </c>
      <c r="C39" s="29">
        <f>IF(34&gt;$Z$1,"",IF('Your debts'!$D$20="Avalanche",'Avalanche workings'!$BC$41,'Snowball workings'!$BC$41))</f>
      </c>
      <c r="D39" s="29">
        <f>IF(34&gt;$Z$1,"",IF('Your debts'!$D$20="Avalanche",'Avalanche workings'!$BA$41,'Snowball workings'!$BA$41))</f>
      </c>
      <c r="E39" s="29">
        <f>IF(34&gt;$Z$1,"",IF('Your debts'!$D$20="Avalanche",'Avalanche workings'!$BB$41,'Snowball workings'!$BB$41))</f>
      </c>
      <c r="F39" s="29">
        <f>IF(OR(34&gt;$Z$1,NOT(OR('Your debts'!$B$6&lt;&gt;"",N('Your debts'!$C$6)&gt;0))),"",IF('Your debts'!$D$20="Avalanche",'Avalanche workings'!$L$41,'Snowball workings'!$L$41)+IF('Your debts'!$D$20="Avalanche",'Avalanche workings'!$AF$41,'Snowball workings'!$AF$41))</f>
      </c>
      <c r="G39" s="30">
        <f>IF(OR(34&gt;$Z$1,NOT(OR('Your debts'!$B$6&lt;&gt;"",N('Your debts'!$C$6)&gt;0))),"",IF('Your debts'!$D$20="Avalanche",'Avalanche workings'!$AP$41,'Snowball workings'!$AP$41))</f>
      </c>
      <c r="H39" s="29">
        <f>IF(OR(34&gt;$Z$1,NOT(OR('Your debts'!$B$7&lt;&gt;"",N('Your debts'!$C$7)&gt;0))),"",IF('Your debts'!$D$20="Avalanche",'Avalanche workings'!$M$41,'Snowball workings'!$M$41)+IF('Your debts'!$D$20="Avalanche",'Avalanche workings'!$AG$41,'Snowball workings'!$AG$41))</f>
      </c>
      <c r="I39" s="30">
        <f>IF(OR(34&gt;$Z$1,NOT(OR('Your debts'!$B$7&lt;&gt;"",N('Your debts'!$C$7)&gt;0))),"",IF('Your debts'!$D$20="Avalanche",'Avalanche workings'!$AQ$41,'Snowball workings'!$AQ$41))</f>
      </c>
      <c r="J39" s="29">
        <f>IF(OR(34&gt;$Z$1,NOT(OR('Your debts'!$B$8&lt;&gt;"",N('Your debts'!$C$8)&gt;0))),"",IF('Your debts'!$D$20="Avalanche",'Avalanche workings'!$N$41,'Snowball workings'!$N$41)+IF('Your debts'!$D$20="Avalanche",'Avalanche workings'!$AH$41,'Snowball workings'!$AH$41))</f>
      </c>
      <c r="K39" s="30">
        <f>IF(OR(34&gt;$Z$1,NOT(OR('Your debts'!$B$8&lt;&gt;"",N('Your debts'!$C$8)&gt;0))),"",IF('Your debts'!$D$20="Avalanche",'Avalanche workings'!$AR$41,'Snowball workings'!$AR$41))</f>
      </c>
      <c r="L39" s="29">
        <f>IF(OR(34&gt;$Z$1,NOT(OR('Your debts'!$B$9&lt;&gt;"",N('Your debts'!$C$9)&gt;0))),"",IF('Your debts'!$D$20="Avalanche",'Avalanche workings'!$O$41,'Snowball workings'!$O$41)+IF('Your debts'!$D$20="Avalanche",'Avalanche workings'!$AI$41,'Snowball workings'!$AI$41))</f>
      </c>
      <c r="M39" s="30">
        <f>IF(OR(34&gt;$Z$1,NOT(OR('Your debts'!$B$9&lt;&gt;"",N('Your debts'!$C$9)&gt;0))),"",IF('Your debts'!$D$20="Avalanche",'Avalanche workings'!$AS$41,'Snowball workings'!$AS$41))</f>
      </c>
      <c r="N39" s="29">
        <f>IF(OR(34&gt;$Z$1,NOT(OR('Your debts'!$B$10&lt;&gt;"",N('Your debts'!$C$10)&gt;0))),"",IF('Your debts'!$D$20="Avalanche",'Avalanche workings'!$P$41,'Snowball workings'!$P$41)+IF('Your debts'!$D$20="Avalanche",'Avalanche workings'!$AJ$41,'Snowball workings'!$AJ$41))</f>
      </c>
      <c r="O39" s="30">
        <f>IF(OR(34&gt;$Z$1,NOT(OR('Your debts'!$B$10&lt;&gt;"",N('Your debts'!$C$10)&gt;0))),"",IF('Your debts'!$D$20="Avalanche",'Avalanche workings'!$AT$41,'Snowball workings'!$AT$41))</f>
      </c>
      <c r="P39" s="29">
        <f>IF(OR(34&gt;$Z$1,NOT(OR('Your debts'!$B$11&lt;&gt;"",N('Your debts'!$C$11)&gt;0))),"",IF('Your debts'!$D$20="Avalanche",'Avalanche workings'!$Q$41,'Snowball workings'!$Q$41)+IF('Your debts'!$D$20="Avalanche",'Avalanche workings'!$AK$41,'Snowball workings'!$AK$41))</f>
      </c>
      <c r="Q39" s="30">
        <f>IF(OR(34&gt;$Z$1,NOT(OR('Your debts'!$B$11&lt;&gt;"",N('Your debts'!$C$11)&gt;0))),"",IF('Your debts'!$D$20="Avalanche",'Avalanche workings'!$AU$41,'Snowball workings'!$AU$41))</f>
      </c>
      <c r="R39" s="29">
        <f>IF(OR(34&gt;$Z$1,NOT(OR('Your debts'!$B$12&lt;&gt;"",N('Your debts'!$C$12)&gt;0))),"",IF('Your debts'!$D$20="Avalanche",'Avalanche workings'!$R$41,'Snowball workings'!$R$41)+IF('Your debts'!$D$20="Avalanche",'Avalanche workings'!$AL$41,'Snowball workings'!$AL$41))</f>
      </c>
      <c r="S39" s="30">
        <f>IF(OR(34&gt;$Z$1,NOT(OR('Your debts'!$B$12&lt;&gt;"",N('Your debts'!$C$12)&gt;0))),"",IF('Your debts'!$D$20="Avalanche",'Avalanche workings'!$AV$41,'Snowball workings'!$AV$41))</f>
      </c>
      <c r="T39" s="29">
        <f>IF(OR(34&gt;$Z$1,NOT(OR('Your debts'!$B$13&lt;&gt;"",N('Your debts'!$C$13)&gt;0))),"",IF('Your debts'!$D$20="Avalanche",'Avalanche workings'!$S$41,'Snowball workings'!$S$41)+IF('Your debts'!$D$20="Avalanche",'Avalanche workings'!$AM$41,'Snowball workings'!$AM$41))</f>
      </c>
      <c r="U39" s="30">
        <f>IF(OR(34&gt;$Z$1,NOT(OR('Your debts'!$B$13&lt;&gt;"",N('Your debts'!$C$13)&gt;0))),"",IF('Your debts'!$D$20="Avalanche",'Avalanche workings'!$AW$41,'Snowball workings'!$AW$41))</f>
      </c>
      <c r="V39" s="29">
        <f>IF(OR(34&gt;$Z$1,NOT(OR('Your debts'!$B$14&lt;&gt;"",N('Your debts'!$C$14)&gt;0))),"",IF('Your debts'!$D$20="Avalanche",'Avalanche workings'!$T$41,'Snowball workings'!$T$41)+IF('Your debts'!$D$20="Avalanche",'Avalanche workings'!$AN$41,'Snowball workings'!$AN$41))</f>
      </c>
      <c r="W39" s="30">
        <f>IF(OR(34&gt;$Z$1,NOT(OR('Your debts'!$B$14&lt;&gt;"",N('Your debts'!$C$14)&gt;0))),"",IF('Your debts'!$D$20="Avalanche",'Avalanche workings'!$AX$41,'Snowball workings'!$AX$41))</f>
      </c>
      <c r="X39" s="29">
        <f>IF(OR(34&gt;$Z$1,NOT(OR('Your debts'!$B$15&lt;&gt;"",N('Your debts'!$C$15)&gt;0))),"",IF('Your debts'!$D$20="Avalanche",'Avalanche workings'!$U$41,'Snowball workings'!$U$41)+IF('Your debts'!$D$20="Avalanche",'Avalanche workings'!$AO$41,'Snowball workings'!$AO$41))</f>
      </c>
      <c r="Y39" s="30">
        <f>IF(OR(34&gt;$Z$1,NOT(OR('Your debts'!$B$15&lt;&gt;"",N('Your debts'!$C$15)&gt;0))),"",IF('Your debts'!$D$20="Avalanche",'Avalanche workings'!$AY$41,'Snowball workings'!$AY$41))</f>
      </c>
    </row>
    <row r="40" spans="1:25" x14ac:dyDescent="0.25">
      <c r="A40" s="2">
        <f>IF(35&gt;$Z$1,"",35)</f>
      </c>
      <c r="B40" s="28">
        <f>IF(35&gt;$Z$1,"",EDATE('Your debts'!$D$21,34))</f>
      </c>
      <c r="C40" s="29">
        <f>IF(35&gt;$Z$1,"",IF('Your debts'!$D$20="Avalanche",'Avalanche workings'!$BC$42,'Snowball workings'!$BC$42))</f>
      </c>
      <c r="D40" s="29">
        <f>IF(35&gt;$Z$1,"",IF('Your debts'!$D$20="Avalanche",'Avalanche workings'!$BA$42,'Snowball workings'!$BA$42))</f>
      </c>
      <c r="E40" s="29">
        <f>IF(35&gt;$Z$1,"",IF('Your debts'!$D$20="Avalanche",'Avalanche workings'!$BB$42,'Snowball workings'!$BB$42))</f>
      </c>
      <c r="F40" s="29">
        <f>IF(OR(35&gt;$Z$1,NOT(OR('Your debts'!$B$6&lt;&gt;"",N('Your debts'!$C$6)&gt;0))),"",IF('Your debts'!$D$20="Avalanche",'Avalanche workings'!$L$42,'Snowball workings'!$L$42)+IF('Your debts'!$D$20="Avalanche",'Avalanche workings'!$AF$42,'Snowball workings'!$AF$42))</f>
      </c>
      <c r="G40" s="30">
        <f>IF(OR(35&gt;$Z$1,NOT(OR('Your debts'!$B$6&lt;&gt;"",N('Your debts'!$C$6)&gt;0))),"",IF('Your debts'!$D$20="Avalanche",'Avalanche workings'!$AP$42,'Snowball workings'!$AP$42))</f>
      </c>
      <c r="H40" s="29">
        <f>IF(OR(35&gt;$Z$1,NOT(OR('Your debts'!$B$7&lt;&gt;"",N('Your debts'!$C$7)&gt;0))),"",IF('Your debts'!$D$20="Avalanche",'Avalanche workings'!$M$42,'Snowball workings'!$M$42)+IF('Your debts'!$D$20="Avalanche",'Avalanche workings'!$AG$42,'Snowball workings'!$AG$42))</f>
      </c>
      <c r="I40" s="30">
        <f>IF(OR(35&gt;$Z$1,NOT(OR('Your debts'!$B$7&lt;&gt;"",N('Your debts'!$C$7)&gt;0))),"",IF('Your debts'!$D$20="Avalanche",'Avalanche workings'!$AQ$42,'Snowball workings'!$AQ$42))</f>
      </c>
      <c r="J40" s="29">
        <f>IF(OR(35&gt;$Z$1,NOT(OR('Your debts'!$B$8&lt;&gt;"",N('Your debts'!$C$8)&gt;0))),"",IF('Your debts'!$D$20="Avalanche",'Avalanche workings'!$N$42,'Snowball workings'!$N$42)+IF('Your debts'!$D$20="Avalanche",'Avalanche workings'!$AH$42,'Snowball workings'!$AH$42))</f>
      </c>
      <c r="K40" s="30">
        <f>IF(OR(35&gt;$Z$1,NOT(OR('Your debts'!$B$8&lt;&gt;"",N('Your debts'!$C$8)&gt;0))),"",IF('Your debts'!$D$20="Avalanche",'Avalanche workings'!$AR$42,'Snowball workings'!$AR$42))</f>
      </c>
      <c r="L40" s="29">
        <f>IF(OR(35&gt;$Z$1,NOT(OR('Your debts'!$B$9&lt;&gt;"",N('Your debts'!$C$9)&gt;0))),"",IF('Your debts'!$D$20="Avalanche",'Avalanche workings'!$O$42,'Snowball workings'!$O$42)+IF('Your debts'!$D$20="Avalanche",'Avalanche workings'!$AI$42,'Snowball workings'!$AI$42))</f>
      </c>
      <c r="M40" s="30">
        <f>IF(OR(35&gt;$Z$1,NOT(OR('Your debts'!$B$9&lt;&gt;"",N('Your debts'!$C$9)&gt;0))),"",IF('Your debts'!$D$20="Avalanche",'Avalanche workings'!$AS$42,'Snowball workings'!$AS$42))</f>
      </c>
      <c r="N40" s="29">
        <f>IF(OR(35&gt;$Z$1,NOT(OR('Your debts'!$B$10&lt;&gt;"",N('Your debts'!$C$10)&gt;0))),"",IF('Your debts'!$D$20="Avalanche",'Avalanche workings'!$P$42,'Snowball workings'!$P$42)+IF('Your debts'!$D$20="Avalanche",'Avalanche workings'!$AJ$42,'Snowball workings'!$AJ$42))</f>
      </c>
      <c r="O40" s="30">
        <f>IF(OR(35&gt;$Z$1,NOT(OR('Your debts'!$B$10&lt;&gt;"",N('Your debts'!$C$10)&gt;0))),"",IF('Your debts'!$D$20="Avalanche",'Avalanche workings'!$AT$42,'Snowball workings'!$AT$42))</f>
      </c>
      <c r="P40" s="29">
        <f>IF(OR(35&gt;$Z$1,NOT(OR('Your debts'!$B$11&lt;&gt;"",N('Your debts'!$C$11)&gt;0))),"",IF('Your debts'!$D$20="Avalanche",'Avalanche workings'!$Q$42,'Snowball workings'!$Q$42)+IF('Your debts'!$D$20="Avalanche",'Avalanche workings'!$AK$42,'Snowball workings'!$AK$42))</f>
      </c>
      <c r="Q40" s="30">
        <f>IF(OR(35&gt;$Z$1,NOT(OR('Your debts'!$B$11&lt;&gt;"",N('Your debts'!$C$11)&gt;0))),"",IF('Your debts'!$D$20="Avalanche",'Avalanche workings'!$AU$42,'Snowball workings'!$AU$42))</f>
      </c>
      <c r="R40" s="29">
        <f>IF(OR(35&gt;$Z$1,NOT(OR('Your debts'!$B$12&lt;&gt;"",N('Your debts'!$C$12)&gt;0))),"",IF('Your debts'!$D$20="Avalanche",'Avalanche workings'!$R$42,'Snowball workings'!$R$42)+IF('Your debts'!$D$20="Avalanche",'Avalanche workings'!$AL$42,'Snowball workings'!$AL$42))</f>
      </c>
      <c r="S40" s="30">
        <f>IF(OR(35&gt;$Z$1,NOT(OR('Your debts'!$B$12&lt;&gt;"",N('Your debts'!$C$12)&gt;0))),"",IF('Your debts'!$D$20="Avalanche",'Avalanche workings'!$AV$42,'Snowball workings'!$AV$42))</f>
      </c>
      <c r="T40" s="29">
        <f>IF(OR(35&gt;$Z$1,NOT(OR('Your debts'!$B$13&lt;&gt;"",N('Your debts'!$C$13)&gt;0))),"",IF('Your debts'!$D$20="Avalanche",'Avalanche workings'!$S$42,'Snowball workings'!$S$42)+IF('Your debts'!$D$20="Avalanche",'Avalanche workings'!$AM$42,'Snowball workings'!$AM$42))</f>
      </c>
      <c r="U40" s="30">
        <f>IF(OR(35&gt;$Z$1,NOT(OR('Your debts'!$B$13&lt;&gt;"",N('Your debts'!$C$13)&gt;0))),"",IF('Your debts'!$D$20="Avalanche",'Avalanche workings'!$AW$42,'Snowball workings'!$AW$42))</f>
      </c>
      <c r="V40" s="29">
        <f>IF(OR(35&gt;$Z$1,NOT(OR('Your debts'!$B$14&lt;&gt;"",N('Your debts'!$C$14)&gt;0))),"",IF('Your debts'!$D$20="Avalanche",'Avalanche workings'!$T$42,'Snowball workings'!$T$42)+IF('Your debts'!$D$20="Avalanche",'Avalanche workings'!$AN$42,'Snowball workings'!$AN$42))</f>
      </c>
      <c r="W40" s="30">
        <f>IF(OR(35&gt;$Z$1,NOT(OR('Your debts'!$B$14&lt;&gt;"",N('Your debts'!$C$14)&gt;0))),"",IF('Your debts'!$D$20="Avalanche",'Avalanche workings'!$AX$42,'Snowball workings'!$AX$42))</f>
      </c>
      <c r="X40" s="29">
        <f>IF(OR(35&gt;$Z$1,NOT(OR('Your debts'!$B$15&lt;&gt;"",N('Your debts'!$C$15)&gt;0))),"",IF('Your debts'!$D$20="Avalanche",'Avalanche workings'!$U$42,'Snowball workings'!$U$42)+IF('Your debts'!$D$20="Avalanche",'Avalanche workings'!$AO$42,'Snowball workings'!$AO$42))</f>
      </c>
      <c r="Y40" s="30">
        <f>IF(OR(35&gt;$Z$1,NOT(OR('Your debts'!$B$15&lt;&gt;"",N('Your debts'!$C$15)&gt;0))),"",IF('Your debts'!$D$20="Avalanche",'Avalanche workings'!$AY$42,'Snowball workings'!$AY$42))</f>
      </c>
    </row>
    <row r="41" spans="1:25" x14ac:dyDescent="0.25">
      <c r="A41" s="2">
        <f>IF(36&gt;$Z$1,"",36)</f>
      </c>
      <c r="B41" s="28">
        <f>IF(36&gt;$Z$1,"",EDATE('Your debts'!$D$21,35))</f>
      </c>
      <c r="C41" s="29">
        <f>IF(36&gt;$Z$1,"",IF('Your debts'!$D$20="Avalanche",'Avalanche workings'!$BC$43,'Snowball workings'!$BC$43))</f>
      </c>
      <c r="D41" s="29">
        <f>IF(36&gt;$Z$1,"",IF('Your debts'!$D$20="Avalanche",'Avalanche workings'!$BA$43,'Snowball workings'!$BA$43))</f>
      </c>
      <c r="E41" s="29">
        <f>IF(36&gt;$Z$1,"",IF('Your debts'!$D$20="Avalanche",'Avalanche workings'!$BB$43,'Snowball workings'!$BB$43))</f>
      </c>
      <c r="F41" s="29">
        <f>IF(OR(36&gt;$Z$1,NOT(OR('Your debts'!$B$6&lt;&gt;"",N('Your debts'!$C$6)&gt;0))),"",IF('Your debts'!$D$20="Avalanche",'Avalanche workings'!$L$43,'Snowball workings'!$L$43)+IF('Your debts'!$D$20="Avalanche",'Avalanche workings'!$AF$43,'Snowball workings'!$AF$43))</f>
      </c>
      <c r="G41" s="30">
        <f>IF(OR(36&gt;$Z$1,NOT(OR('Your debts'!$B$6&lt;&gt;"",N('Your debts'!$C$6)&gt;0))),"",IF('Your debts'!$D$20="Avalanche",'Avalanche workings'!$AP$43,'Snowball workings'!$AP$43))</f>
      </c>
      <c r="H41" s="29">
        <f>IF(OR(36&gt;$Z$1,NOT(OR('Your debts'!$B$7&lt;&gt;"",N('Your debts'!$C$7)&gt;0))),"",IF('Your debts'!$D$20="Avalanche",'Avalanche workings'!$M$43,'Snowball workings'!$M$43)+IF('Your debts'!$D$20="Avalanche",'Avalanche workings'!$AG$43,'Snowball workings'!$AG$43))</f>
      </c>
      <c r="I41" s="30">
        <f>IF(OR(36&gt;$Z$1,NOT(OR('Your debts'!$B$7&lt;&gt;"",N('Your debts'!$C$7)&gt;0))),"",IF('Your debts'!$D$20="Avalanche",'Avalanche workings'!$AQ$43,'Snowball workings'!$AQ$43))</f>
      </c>
      <c r="J41" s="29">
        <f>IF(OR(36&gt;$Z$1,NOT(OR('Your debts'!$B$8&lt;&gt;"",N('Your debts'!$C$8)&gt;0))),"",IF('Your debts'!$D$20="Avalanche",'Avalanche workings'!$N$43,'Snowball workings'!$N$43)+IF('Your debts'!$D$20="Avalanche",'Avalanche workings'!$AH$43,'Snowball workings'!$AH$43))</f>
      </c>
      <c r="K41" s="30">
        <f>IF(OR(36&gt;$Z$1,NOT(OR('Your debts'!$B$8&lt;&gt;"",N('Your debts'!$C$8)&gt;0))),"",IF('Your debts'!$D$20="Avalanche",'Avalanche workings'!$AR$43,'Snowball workings'!$AR$43))</f>
      </c>
      <c r="L41" s="29">
        <f>IF(OR(36&gt;$Z$1,NOT(OR('Your debts'!$B$9&lt;&gt;"",N('Your debts'!$C$9)&gt;0))),"",IF('Your debts'!$D$20="Avalanche",'Avalanche workings'!$O$43,'Snowball workings'!$O$43)+IF('Your debts'!$D$20="Avalanche",'Avalanche workings'!$AI$43,'Snowball workings'!$AI$43))</f>
      </c>
      <c r="M41" s="30">
        <f>IF(OR(36&gt;$Z$1,NOT(OR('Your debts'!$B$9&lt;&gt;"",N('Your debts'!$C$9)&gt;0))),"",IF('Your debts'!$D$20="Avalanche",'Avalanche workings'!$AS$43,'Snowball workings'!$AS$43))</f>
      </c>
      <c r="N41" s="29">
        <f>IF(OR(36&gt;$Z$1,NOT(OR('Your debts'!$B$10&lt;&gt;"",N('Your debts'!$C$10)&gt;0))),"",IF('Your debts'!$D$20="Avalanche",'Avalanche workings'!$P$43,'Snowball workings'!$P$43)+IF('Your debts'!$D$20="Avalanche",'Avalanche workings'!$AJ$43,'Snowball workings'!$AJ$43))</f>
      </c>
      <c r="O41" s="30">
        <f>IF(OR(36&gt;$Z$1,NOT(OR('Your debts'!$B$10&lt;&gt;"",N('Your debts'!$C$10)&gt;0))),"",IF('Your debts'!$D$20="Avalanche",'Avalanche workings'!$AT$43,'Snowball workings'!$AT$43))</f>
      </c>
      <c r="P41" s="29">
        <f>IF(OR(36&gt;$Z$1,NOT(OR('Your debts'!$B$11&lt;&gt;"",N('Your debts'!$C$11)&gt;0))),"",IF('Your debts'!$D$20="Avalanche",'Avalanche workings'!$Q$43,'Snowball workings'!$Q$43)+IF('Your debts'!$D$20="Avalanche",'Avalanche workings'!$AK$43,'Snowball workings'!$AK$43))</f>
      </c>
      <c r="Q41" s="30">
        <f>IF(OR(36&gt;$Z$1,NOT(OR('Your debts'!$B$11&lt;&gt;"",N('Your debts'!$C$11)&gt;0))),"",IF('Your debts'!$D$20="Avalanche",'Avalanche workings'!$AU$43,'Snowball workings'!$AU$43))</f>
      </c>
      <c r="R41" s="29">
        <f>IF(OR(36&gt;$Z$1,NOT(OR('Your debts'!$B$12&lt;&gt;"",N('Your debts'!$C$12)&gt;0))),"",IF('Your debts'!$D$20="Avalanche",'Avalanche workings'!$R$43,'Snowball workings'!$R$43)+IF('Your debts'!$D$20="Avalanche",'Avalanche workings'!$AL$43,'Snowball workings'!$AL$43))</f>
      </c>
      <c r="S41" s="30">
        <f>IF(OR(36&gt;$Z$1,NOT(OR('Your debts'!$B$12&lt;&gt;"",N('Your debts'!$C$12)&gt;0))),"",IF('Your debts'!$D$20="Avalanche",'Avalanche workings'!$AV$43,'Snowball workings'!$AV$43))</f>
      </c>
      <c r="T41" s="29">
        <f>IF(OR(36&gt;$Z$1,NOT(OR('Your debts'!$B$13&lt;&gt;"",N('Your debts'!$C$13)&gt;0))),"",IF('Your debts'!$D$20="Avalanche",'Avalanche workings'!$S$43,'Snowball workings'!$S$43)+IF('Your debts'!$D$20="Avalanche",'Avalanche workings'!$AM$43,'Snowball workings'!$AM$43))</f>
      </c>
      <c r="U41" s="30">
        <f>IF(OR(36&gt;$Z$1,NOT(OR('Your debts'!$B$13&lt;&gt;"",N('Your debts'!$C$13)&gt;0))),"",IF('Your debts'!$D$20="Avalanche",'Avalanche workings'!$AW$43,'Snowball workings'!$AW$43))</f>
      </c>
      <c r="V41" s="29">
        <f>IF(OR(36&gt;$Z$1,NOT(OR('Your debts'!$B$14&lt;&gt;"",N('Your debts'!$C$14)&gt;0))),"",IF('Your debts'!$D$20="Avalanche",'Avalanche workings'!$T$43,'Snowball workings'!$T$43)+IF('Your debts'!$D$20="Avalanche",'Avalanche workings'!$AN$43,'Snowball workings'!$AN$43))</f>
      </c>
      <c r="W41" s="30">
        <f>IF(OR(36&gt;$Z$1,NOT(OR('Your debts'!$B$14&lt;&gt;"",N('Your debts'!$C$14)&gt;0))),"",IF('Your debts'!$D$20="Avalanche",'Avalanche workings'!$AX$43,'Snowball workings'!$AX$43))</f>
      </c>
      <c r="X41" s="29">
        <f>IF(OR(36&gt;$Z$1,NOT(OR('Your debts'!$B$15&lt;&gt;"",N('Your debts'!$C$15)&gt;0))),"",IF('Your debts'!$D$20="Avalanche",'Avalanche workings'!$U$43,'Snowball workings'!$U$43)+IF('Your debts'!$D$20="Avalanche",'Avalanche workings'!$AO$43,'Snowball workings'!$AO$43))</f>
      </c>
      <c r="Y41" s="30">
        <f>IF(OR(36&gt;$Z$1,NOT(OR('Your debts'!$B$15&lt;&gt;"",N('Your debts'!$C$15)&gt;0))),"",IF('Your debts'!$D$20="Avalanche",'Avalanche workings'!$AY$43,'Snowball workings'!$AY$43))</f>
      </c>
    </row>
    <row r="42" spans="1:25" x14ac:dyDescent="0.25">
      <c r="A42" s="2">
        <f>IF(37&gt;$Z$1,"",37)</f>
      </c>
      <c r="B42" s="28">
        <f>IF(37&gt;$Z$1,"",EDATE('Your debts'!$D$21,36))</f>
      </c>
      <c r="C42" s="29">
        <f>IF(37&gt;$Z$1,"",IF('Your debts'!$D$20="Avalanche",'Avalanche workings'!$BC$44,'Snowball workings'!$BC$44))</f>
      </c>
      <c r="D42" s="29">
        <f>IF(37&gt;$Z$1,"",IF('Your debts'!$D$20="Avalanche",'Avalanche workings'!$BA$44,'Snowball workings'!$BA$44))</f>
      </c>
      <c r="E42" s="29">
        <f>IF(37&gt;$Z$1,"",IF('Your debts'!$D$20="Avalanche",'Avalanche workings'!$BB$44,'Snowball workings'!$BB$44))</f>
      </c>
      <c r="F42" s="29">
        <f>IF(OR(37&gt;$Z$1,NOT(OR('Your debts'!$B$6&lt;&gt;"",N('Your debts'!$C$6)&gt;0))),"",IF('Your debts'!$D$20="Avalanche",'Avalanche workings'!$L$44,'Snowball workings'!$L$44)+IF('Your debts'!$D$20="Avalanche",'Avalanche workings'!$AF$44,'Snowball workings'!$AF$44))</f>
      </c>
      <c r="G42" s="30">
        <f>IF(OR(37&gt;$Z$1,NOT(OR('Your debts'!$B$6&lt;&gt;"",N('Your debts'!$C$6)&gt;0))),"",IF('Your debts'!$D$20="Avalanche",'Avalanche workings'!$AP$44,'Snowball workings'!$AP$44))</f>
      </c>
      <c r="H42" s="29">
        <f>IF(OR(37&gt;$Z$1,NOT(OR('Your debts'!$B$7&lt;&gt;"",N('Your debts'!$C$7)&gt;0))),"",IF('Your debts'!$D$20="Avalanche",'Avalanche workings'!$M$44,'Snowball workings'!$M$44)+IF('Your debts'!$D$20="Avalanche",'Avalanche workings'!$AG$44,'Snowball workings'!$AG$44))</f>
      </c>
      <c r="I42" s="30">
        <f>IF(OR(37&gt;$Z$1,NOT(OR('Your debts'!$B$7&lt;&gt;"",N('Your debts'!$C$7)&gt;0))),"",IF('Your debts'!$D$20="Avalanche",'Avalanche workings'!$AQ$44,'Snowball workings'!$AQ$44))</f>
      </c>
      <c r="J42" s="29">
        <f>IF(OR(37&gt;$Z$1,NOT(OR('Your debts'!$B$8&lt;&gt;"",N('Your debts'!$C$8)&gt;0))),"",IF('Your debts'!$D$20="Avalanche",'Avalanche workings'!$N$44,'Snowball workings'!$N$44)+IF('Your debts'!$D$20="Avalanche",'Avalanche workings'!$AH$44,'Snowball workings'!$AH$44))</f>
      </c>
      <c r="K42" s="30">
        <f>IF(OR(37&gt;$Z$1,NOT(OR('Your debts'!$B$8&lt;&gt;"",N('Your debts'!$C$8)&gt;0))),"",IF('Your debts'!$D$20="Avalanche",'Avalanche workings'!$AR$44,'Snowball workings'!$AR$44))</f>
      </c>
      <c r="L42" s="29">
        <f>IF(OR(37&gt;$Z$1,NOT(OR('Your debts'!$B$9&lt;&gt;"",N('Your debts'!$C$9)&gt;0))),"",IF('Your debts'!$D$20="Avalanche",'Avalanche workings'!$O$44,'Snowball workings'!$O$44)+IF('Your debts'!$D$20="Avalanche",'Avalanche workings'!$AI$44,'Snowball workings'!$AI$44))</f>
      </c>
      <c r="M42" s="30">
        <f>IF(OR(37&gt;$Z$1,NOT(OR('Your debts'!$B$9&lt;&gt;"",N('Your debts'!$C$9)&gt;0))),"",IF('Your debts'!$D$20="Avalanche",'Avalanche workings'!$AS$44,'Snowball workings'!$AS$44))</f>
      </c>
      <c r="N42" s="29">
        <f>IF(OR(37&gt;$Z$1,NOT(OR('Your debts'!$B$10&lt;&gt;"",N('Your debts'!$C$10)&gt;0))),"",IF('Your debts'!$D$20="Avalanche",'Avalanche workings'!$P$44,'Snowball workings'!$P$44)+IF('Your debts'!$D$20="Avalanche",'Avalanche workings'!$AJ$44,'Snowball workings'!$AJ$44))</f>
      </c>
      <c r="O42" s="30">
        <f>IF(OR(37&gt;$Z$1,NOT(OR('Your debts'!$B$10&lt;&gt;"",N('Your debts'!$C$10)&gt;0))),"",IF('Your debts'!$D$20="Avalanche",'Avalanche workings'!$AT$44,'Snowball workings'!$AT$44))</f>
      </c>
      <c r="P42" s="29">
        <f>IF(OR(37&gt;$Z$1,NOT(OR('Your debts'!$B$11&lt;&gt;"",N('Your debts'!$C$11)&gt;0))),"",IF('Your debts'!$D$20="Avalanche",'Avalanche workings'!$Q$44,'Snowball workings'!$Q$44)+IF('Your debts'!$D$20="Avalanche",'Avalanche workings'!$AK$44,'Snowball workings'!$AK$44))</f>
      </c>
      <c r="Q42" s="30">
        <f>IF(OR(37&gt;$Z$1,NOT(OR('Your debts'!$B$11&lt;&gt;"",N('Your debts'!$C$11)&gt;0))),"",IF('Your debts'!$D$20="Avalanche",'Avalanche workings'!$AU$44,'Snowball workings'!$AU$44))</f>
      </c>
      <c r="R42" s="29">
        <f>IF(OR(37&gt;$Z$1,NOT(OR('Your debts'!$B$12&lt;&gt;"",N('Your debts'!$C$12)&gt;0))),"",IF('Your debts'!$D$20="Avalanche",'Avalanche workings'!$R$44,'Snowball workings'!$R$44)+IF('Your debts'!$D$20="Avalanche",'Avalanche workings'!$AL$44,'Snowball workings'!$AL$44))</f>
      </c>
      <c r="S42" s="30">
        <f>IF(OR(37&gt;$Z$1,NOT(OR('Your debts'!$B$12&lt;&gt;"",N('Your debts'!$C$12)&gt;0))),"",IF('Your debts'!$D$20="Avalanche",'Avalanche workings'!$AV$44,'Snowball workings'!$AV$44))</f>
      </c>
      <c r="T42" s="29">
        <f>IF(OR(37&gt;$Z$1,NOT(OR('Your debts'!$B$13&lt;&gt;"",N('Your debts'!$C$13)&gt;0))),"",IF('Your debts'!$D$20="Avalanche",'Avalanche workings'!$S$44,'Snowball workings'!$S$44)+IF('Your debts'!$D$20="Avalanche",'Avalanche workings'!$AM$44,'Snowball workings'!$AM$44))</f>
      </c>
      <c r="U42" s="30">
        <f>IF(OR(37&gt;$Z$1,NOT(OR('Your debts'!$B$13&lt;&gt;"",N('Your debts'!$C$13)&gt;0))),"",IF('Your debts'!$D$20="Avalanche",'Avalanche workings'!$AW$44,'Snowball workings'!$AW$44))</f>
      </c>
      <c r="V42" s="29">
        <f>IF(OR(37&gt;$Z$1,NOT(OR('Your debts'!$B$14&lt;&gt;"",N('Your debts'!$C$14)&gt;0))),"",IF('Your debts'!$D$20="Avalanche",'Avalanche workings'!$T$44,'Snowball workings'!$T$44)+IF('Your debts'!$D$20="Avalanche",'Avalanche workings'!$AN$44,'Snowball workings'!$AN$44))</f>
      </c>
      <c r="W42" s="30">
        <f>IF(OR(37&gt;$Z$1,NOT(OR('Your debts'!$B$14&lt;&gt;"",N('Your debts'!$C$14)&gt;0))),"",IF('Your debts'!$D$20="Avalanche",'Avalanche workings'!$AX$44,'Snowball workings'!$AX$44))</f>
      </c>
      <c r="X42" s="29">
        <f>IF(OR(37&gt;$Z$1,NOT(OR('Your debts'!$B$15&lt;&gt;"",N('Your debts'!$C$15)&gt;0))),"",IF('Your debts'!$D$20="Avalanche",'Avalanche workings'!$U$44,'Snowball workings'!$U$44)+IF('Your debts'!$D$20="Avalanche",'Avalanche workings'!$AO$44,'Snowball workings'!$AO$44))</f>
      </c>
      <c r="Y42" s="30">
        <f>IF(OR(37&gt;$Z$1,NOT(OR('Your debts'!$B$15&lt;&gt;"",N('Your debts'!$C$15)&gt;0))),"",IF('Your debts'!$D$20="Avalanche",'Avalanche workings'!$AY$44,'Snowball workings'!$AY$44))</f>
      </c>
    </row>
    <row r="43" spans="1:25" x14ac:dyDescent="0.25">
      <c r="A43" s="2">
        <f>IF(38&gt;$Z$1,"",38)</f>
      </c>
      <c r="B43" s="28">
        <f>IF(38&gt;$Z$1,"",EDATE('Your debts'!$D$21,37))</f>
      </c>
      <c r="C43" s="29">
        <f>IF(38&gt;$Z$1,"",IF('Your debts'!$D$20="Avalanche",'Avalanche workings'!$BC$45,'Snowball workings'!$BC$45))</f>
      </c>
      <c r="D43" s="29">
        <f>IF(38&gt;$Z$1,"",IF('Your debts'!$D$20="Avalanche",'Avalanche workings'!$BA$45,'Snowball workings'!$BA$45))</f>
      </c>
      <c r="E43" s="29">
        <f>IF(38&gt;$Z$1,"",IF('Your debts'!$D$20="Avalanche",'Avalanche workings'!$BB$45,'Snowball workings'!$BB$45))</f>
      </c>
      <c r="F43" s="29">
        <f>IF(OR(38&gt;$Z$1,NOT(OR('Your debts'!$B$6&lt;&gt;"",N('Your debts'!$C$6)&gt;0))),"",IF('Your debts'!$D$20="Avalanche",'Avalanche workings'!$L$45,'Snowball workings'!$L$45)+IF('Your debts'!$D$20="Avalanche",'Avalanche workings'!$AF$45,'Snowball workings'!$AF$45))</f>
      </c>
      <c r="G43" s="30">
        <f>IF(OR(38&gt;$Z$1,NOT(OR('Your debts'!$B$6&lt;&gt;"",N('Your debts'!$C$6)&gt;0))),"",IF('Your debts'!$D$20="Avalanche",'Avalanche workings'!$AP$45,'Snowball workings'!$AP$45))</f>
      </c>
      <c r="H43" s="29">
        <f>IF(OR(38&gt;$Z$1,NOT(OR('Your debts'!$B$7&lt;&gt;"",N('Your debts'!$C$7)&gt;0))),"",IF('Your debts'!$D$20="Avalanche",'Avalanche workings'!$M$45,'Snowball workings'!$M$45)+IF('Your debts'!$D$20="Avalanche",'Avalanche workings'!$AG$45,'Snowball workings'!$AG$45))</f>
      </c>
      <c r="I43" s="30">
        <f>IF(OR(38&gt;$Z$1,NOT(OR('Your debts'!$B$7&lt;&gt;"",N('Your debts'!$C$7)&gt;0))),"",IF('Your debts'!$D$20="Avalanche",'Avalanche workings'!$AQ$45,'Snowball workings'!$AQ$45))</f>
      </c>
      <c r="J43" s="29">
        <f>IF(OR(38&gt;$Z$1,NOT(OR('Your debts'!$B$8&lt;&gt;"",N('Your debts'!$C$8)&gt;0))),"",IF('Your debts'!$D$20="Avalanche",'Avalanche workings'!$N$45,'Snowball workings'!$N$45)+IF('Your debts'!$D$20="Avalanche",'Avalanche workings'!$AH$45,'Snowball workings'!$AH$45))</f>
      </c>
      <c r="K43" s="30">
        <f>IF(OR(38&gt;$Z$1,NOT(OR('Your debts'!$B$8&lt;&gt;"",N('Your debts'!$C$8)&gt;0))),"",IF('Your debts'!$D$20="Avalanche",'Avalanche workings'!$AR$45,'Snowball workings'!$AR$45))</f>
      </c>
      <c r="L43" s="29">
        <f>IF(OR(38&gt;$Z$1,NOT(OR('Your debts'!$B$9&lt;&gt;"",N('Your debts'!$C$9)&gt;0))),"",IF('Your debts'!$D$20="Avalanche",'Avalanche workings'!$O$45,'Snowball workings'!$O$45)+IF('Your debts'!$D$20="Avalanche",'Avalanche workings'!$AI$45,'Snowball workings'!$AI$45))</f>
      </c>
      <c r="M43" s="30">
        <f>IF(OR(38&gt;$Z$1,NOT(OR('Your debts'!$B$9&lt;&gt;"",N('Your debts'!$C$9)&gt;0))),"",IF('Your debts'!$D$20="Avalanche",'Avalanche workings'!$AS$45,'Snowball workings'!$AS$45))</f>
      </c>
      <c r="N43" s="29">
        <f>IF(OR(38&gt;$Z$1,NOT(OR('Your debts'!$B$10&lt;&gt;"",N('Your debts'!$C$10)&gt;0))),"",IF('Your debts'!$D$20="Avalanche",'Avalanche workings'!$P$45,'Snowball workings'!$P$45)+IF('Your debts'!$D$20="Avalanche",'Avalanche workings'!$AJ$45,'Snowball workings'!$AJ$45))</f>
      </c>
      <c r="O43" s="30">
        <f>IF(OR(38&gt;$Z$1,NOT(OR('Your debts'!$B$10&lt;&gt;"",N('Your debts'!$C$10)&gt;0))),"",IF('Your debts'!$D$20="Avalanche",'Avalanche workings'!$AT$45,'Snowball workings'!$AT$45))</f>
      </c>
      <c r="P43" s="29">
        <f>IF(OR(38&gt;$Z$1,NOT(OR('Your debts'!$B$11&lt;&gt;"",N('Your debts'!$C$11)&gt;0))),"",IF('Your debts'!$D$20="Avalanche",'Avalanche workings'!$Q$45,'Snowball workings'!$Q$45)+IF('Your debts'!$D$20="Avalanche",'Avalanche workings'!$AK$45,'Snowball workings'!$AK$45))</f>
      </c>
      <c r="Q43" s="30">
        <f>IF(OR(38&gt;$Z$1,NOT(OR('Your debts'!$B$11&lt;&gt;"",N('Your debts'!$C$11)&gt;0))),"",IF('Your debts'!$D$20="Avalanche",'Avalanche workings'!$AU$45,'Snowball workings'!$AU$45))</f>
      </c>
      <c r="R43" s="29">
        <f>IF(OR(38&gt;$Z$1,NOT(OR('Your debts'!$B$12&lt;&gt;"",N('Your debts'!$C$12)&gt;0))),"",IF('Your debts'!$D$20="Avalanche",'Avalanche workings'!$R$45,'Snowball workings'!$R$45)+IF('Your debts'!$D$20="Avalanche",'Avalanche workings'!$AL$45,'Snowball workings'!$AL$45))</f>
      </c>
      <c r="S43" s="30">
        <f>IF(OR(38&gt;$Z$1,NOT(OR('Your debts'!$B$12&lt;&gt;"",N('Your debts'!$C$12)&gt;0))),"",IF('Your debts'!$D$20="Avalanche",'Avalanche workings'!$AV$45,'Snowball workings'!$AV$45))</f>
      </c>
      <c r="T43" s="29">
        <f>IF(OR(38&gt;$Z$1,NOT(OR('Your debts'!$B$13&lt;&gt;"",N('Your debts'!$C$13)&gt;0))),"",IF('Your debts'!$D$20="Avalanche",'Avalanche workings'!$S$45,'Snowball workings'!$S$45)+IF('Your debts'!$D$20="Avalanche",'Avalanche workings'!$AM$45,'Snowball workings'!$AM$45))</f>
      </c>
      <c r="U43" s="30">
        <f>IF(OR(38&gt;$Z$1,NOT(OR('Your debts'!$B$13&lt;&gt;"",N('Your debts'!$C$13)&gt;0))),"",IF('Your debts'!$D$20="Avalanche",'Avalanche workings'!$AW$45,'Snowball workings'!$AW$45))</f>
      </c>
      <c r="V43" s="29">
        <f>IF(OR(38&gt;$Z$1,NOT(OR('Your debts'!$B$14&lt;&gt;"",N('Your debts'!$C$14)&gt;0))),"",IF('Your debts'!$D$20="Avalanche",'Avalanche workings'!$T$45,'Snowball workings'!$T$45)+IF('Your debts'!$D$20="Avalanche",'Avalanche workings'!$AN$45,'Snowball workings'!$AN$45))</f>
      </c>
      <c r="W43" s="30">
        <f>IF(OR(38&gt;$Z$1,NOT(OR('Your debts'!$B$14&lt;&gt;"",N('Your debts'!$C$14)&gt;0))),"",IF('Your debts'!$D$20="Avalanche",'Avalanche workings'!$AX$45,'Snowball workings'!$AX$45))</f>
      </c>
      <c r="X43" s="29">
        <f>IF(OR(38&gt;$Z$1,NOT(OR('Your debts'!$B$15&lt;&gt;"",N('Your debts'!$C$15)&gt;0))),"",IF('Your debts'!$D$20="Avalanche",'Avalanche workings'!$U$45,'Snowball workings'!$U$45)+IF('Your debts'!$D$20="Avalanche",'Avalanche workings'!$AO$45,'Snowball workings'!$AO$45))</f>
      </c>
      <c r="Y43" s="30">
        <f>IF(OR(38&gt;$Z$1,NOT(OR('Your debts'!$B$15&lt;&gt;"",N('Your debts'!$C$15)&gt;0))),"",IF('Your debts'!$D$20="Avalanche",'Avalanche workings'!$AY$45,'Snowball workings'!$AY$45))</f>
      </c>
    </row>
    <row r="44" spans="1:25" x14ac:dyDescent="0.25">
      <c r="A44" s="2">
        <f>IF(39&gt;$Z$1,"",39)</f>
      </c>
      <c r="B44" s="28">
        <f>IF(39&gt;$Z$1,"",EDATE('Your debts'!$D$21,38))</f>
      </c>
      <c r="C44" s="29">
        <f>IF(39&gt;$Z$1,"",IF('Your debts'!$D$20="Avalanche",'Avalanche workings'!$BC$46,'Snowball workings'!$BC$46))</f>
      </c>
      <c r="D44" s="29">
        <f>IF(39&gt;$Z$1,"",IF('Your debts'!$D$20="Avalanche",'Avalanche workings'!$BA$46,'Snowball workings'!$BA$46))</f>
      </c>
      <c r="E44" s="29">
        <f>IF(39&gt;$Z$1,"",IF('Your debts'!$D$20="Avalanche",'Avalanche workings'!$BB$46,'Snowball workings'!$BB$46))</f>
      </c>
      <c r="F44" s="29">
        <f>IF(OR(39&gt;$Z$1,NOT(OR('Your debts'!$B$6&lt;&gt;"",N('Your debts'!$C$6)&gt;0))),"",IF('Your debts'!$D$20="Avalanche",'Avalanche workings'!$L$46,'Snowball workings'!$L$46)+IF('Your debts'!$D$20="Avalanche",'Avalanche workings'!$AF$46,'Snowball workings'!$AF$46))</f>
      </c>
      <c r="G44" s="30">
        <f>IF(OR(39&gt;$Z$1,NOT(OR('Your debts'!$B$6&lt;&gt;"",N('Your debts'!$C$6)&gt;0))),"",IF('Your debts'!$D$20="Avalanche",'Avalanche workings'!$AP$46,'Snowball workings'!$AP$46))</f>
      </c>
      <c r="H44" s="29">
        <f>IF(OR(39&gt;$Z$1,NOT(OR('Your debts'!$B$7&lt;&gt;"",N('Your debts'!$C$7)&gt;0))),"",IF('Your debts'!$D$20="Avalanche",'Avalanche workings'!$M$46,'Snowball workings'!$M$46)+IF('Your debts'!$D$20="Avalanche",'Avalanche workings'!$AG$46,'Snowball workings'!$AG$46))</f>
      </c>
      <c r="I44" s="30">
        <f>IF(OR(39&gt;$Z$1,NOT(OR('Your debts'!$B$7&lt;&gt;"",N('Your debts'!$C$7)&gt;0))),"",IF('Your debts'!$D$20="Avalanche",'Avalanche workings'!$AQ$46,'Snowball workings'!$AQ$46))</f>
      </c>
      <c r="J44" s="29">
        <f>IF(OR(39&gt;$Z$1,NOT(OR('Your debts'!$B$8&lt;&gt;"",N('Your debts'!$C$8)&gt;0))),"",IF('Your debts'!$D$20="Avalanche",'Avalanche workings'!$N$46,'Snowball workings'!$N$46)+IF('Your debts'!$D$20="Avalanche",'Avalanche workings'!$AH$46,'Snowball workings'!$AH$46))</f>
      </c>
      <c r="K44" s="30">
        <f>IF(OR(39&gt;$Z$1,NOT(OR('Your debts'!$B$8&lt;&gt;"",N('Your debts'!$C$8)&gt;0))),"",IF('Your debts'!$D$20="Avalanche",'Avalanche workings'!$AR$46,'Snowball workings'!$AR$46))</f>
      </c>
      <c r="L44" s="29">
        <f>IF(OR(39&gt;$Z$1,NOT(OR('Your debts'!$B$9&lt;&gt;"",N('Your debts'!$C$9)&gt;0))),"",IF('Your debts'!$D$20="Avalanche",'Avalanche workings'!$O$46,'Snowball workings'!$O$46)+IF('Your debts'!$D$20="Avalanche",'Avalanche workings'!$AI$46,'Snowball workings'!$AI$46))</f>
      </c>
      <c r="M44" s="30">
        <f>IF(OR(39&gt;$Z$1,NOT(OR('Your debts'!$B$9&lt;&gt;"",N('Your debts'!$C$9)&gt;0))),"",IF('Your debts'!$D$20="Avalanche",'Avalanche workings'!$AS$46,'Snowball workings'!$AS$46))</f>
      </c>
      <c r="N44" s="29">
        <f>IF(OR(39&gt;$Z$1,NOT(OR('Your debts'!$B$10&lt;&gt;"",N('Your debts'!$C$10)&gt;0))),"",IF('Your debts'!$D$20="Avalanche",'Avalanche workings'!$P$46,'Snowball workings'!$P$46)+IF('Your debts'!$D$20="Avalanche",'Avalanche workings'!$AJ$46,'Snowball workings'!$AJ$46))</f>
      </c>
      <c r="O44" s="30">
        <f>IF(OR(39&gt;$Z$1,NOT(OR('Your debts'!$B$10&lt;&gt;"",N('Your debts'!$C$10)&gt;0))),"",IF('Your debts'!$D$20="Avalanche",'Avalanche workings'!$AT$46,'Snowball workings'!$AT$46))</f>
      </c>
      <c r="P44" s="29">
        <f>IF(OR(39&gt;$Z$1,NOT(OR('Your debts'!$B$11&lt;&gt;"",N('Your debts'!$C$11)&gt;0))),"",IF('Your debts'!$D$20="Avalanche",'Avalanche workings'!$Q$46,'Snowball workings'!$Q$46)+IF('Your debts'!$D$20="Avalanche",'Avalanche workings'!$AK$46,'Snowball workings'!$AK$46))</f>
      </c>
      <c r="Q44" s="30">
        <f>IF(OR(39&gt;$Z$1,NOT(OR('Your debts'!$B$11&lt;&gt;"",N('Your debts'!$C$11)&gt;0))),"",IF('Your debts'!$D$20="Avalanche",'Avalanche workings'!$AU$46,'Snowball workings'!$AU$46))</f>
      </c>
      <c r="R44" s="29">
        <f>IF(OR(39&gt;$Z$1,NOT(OR('Your debts'!$B$12&lt;&gt;"",N('Your debts'!$C$12)&gt;0))),"",IF('Your debts'!$D$20="Avalanche",'Avalanche workings'!$R$46,'Snowball workings'!$R$46)+IF('Your debts'!$D$20="Avalanche",'Avalanche workings'!$AL$46,'Snowball workings'!$AL$46))</f>
      </c>
      <c r="S44" s="30">
        <f>IF(OR(39&gt;$Z$1,NOT(OR('Your debts'!$B$12&lt;&gt;"",N('Your debts'!$C$12)&gt;0))),"",IF('Your debts'!$D$20="Avalanche",'Avalanche workings'!$AV$46,'Snowball workings'!$AV$46))</f>
      </c>
      <c r="T44" s="29">
        <f>IF(OR(39&gt;$Z$1,NOT(OR('Your debts'!$B$13&lt;&gt;"",N('Your debts'!$C$13)&gt;0))),"",IF('Your debts'!$D$20="Avalanche",'Avalanche workings'!$S$46,'Snowball workings'!$S$46)+IF('Your debts'!$D$20="Avalanche",'Avalanche workings'!$AM$46,'Snowball workings'!$AM$46))</f>
      </c>
      <c r="U44" s="30">
        <f>IF(OR(39&gt;$Z$1,NOT(OR('Your debts'!$B$13&lt;&gt;"",N('Your debts'!$C$13)&gt;0))),"",IF('Your debts'!$D$20="Avalanche",'Avalanche workings'!$AW$46,'Snowball workings'!$AW$46))</f>
      </c>
      <c r="V44" s="29">
        <f>IF(OR(39&gt;$Z$1,NOT(OR('Your debts'!$B$14&lt;&gt;"",N('Your debts'!$C$14)&gt;0))),"",IF('Your debts'!$D$20="Avalanche",'Avalanche workings'!$T$46,'Snowball workings'!$T$46)+IF('Your debts'!$D$20="Avalanche",'Avalanche workings'!$AN$46,'Snowball workings'!$AN$46))</f>
      </c>
      <c r="W44" s="30">
        <f>IF(OR(39&gt;$Z$1,NOT(OR('Your debts'!$B$14&lt;&gt;"",N('Your debts'!$C$14)&gt;0))),"",IF('Your debts'!$D$20="Avalanche",'Avalanche workings'!$AX$46,'Snowball workings'!$AX$46))</f>
      </c>
      <c r="X44" s="29">
        <f>IF(OR(39&gt;$Z$1,NOT(OR('Your debts'!$B$15&lt;&gt;"",N('Your debts'!$C$15)&gt;0))),"",IF('Your debts'!$D$20="Avalanche",'Avalanche workings'!$U$46,'Snowball workings'!$U$46)+IF('Your debts'!$D$20="Avalanche",'Avalanche workings'!$AO$46,'Snowball workings'!$AO$46))</f>
      </c>
      <c r="Y44" s="30">
        <f>IF(OR(39&gt;$Z$1,NOT(OR('Your debts'!$B$15&lt;&gt;"",N('Your debts'!$C$15)&gt;0))),"",IF('Your debts'!$D$20="Avalanche",'Avalanche workings'!$AY$46,'Snowball workings'!$AY$46))</f>
      </c>
    </row>
    <row r="45" spans="1:25" x14ac:dyDescent="0.25">
      <c r="A45" s="2">
        <f>IF(40&gt;$Z$1,"",40)</f>
      </c>
      <c r="B45" s="28">
        <f>IF(40&gt;$Z$1,"",EDATE('Your debts'!$D$21,39))</f>
      </c>
      <c r="C45" s="29">
        <f>IF(40&gt;$Z$1,"",IF('Your debts'!$D$20="Avalanche",'Avalanche workings'!$BC$47,'Snowball workings'!$BC$47))</f>
      </c>
      <c r="D45" s="29">
        <f>IF(40&gt;$Z$1,"",IF('Your debts'!$D$20="Avalanche",'Avalanche workings'!$BA$47,'Snowball workings'!$BA$47))</f>
      </c>
      <c r="E45" s="29">
        <f>IF(40&gt;$Z$1,"",IF('Your debts'!$D$20="Avalanche",'Avalanche workings'!$BB$47,'Snowball workings'!$BB$47))</f>
      </c>
      <c r="F45" s="29">
        <f>IF(OR(40&gt;$Z$1,NOT(OR('Your debts'!$B$6&lt;&gt;"",N('Your debts'!$C$6)&gt;0))),"",IF('Your debts'!$D$20="Avalanche",'Avalanche workings'!$L$47,'Snowball workings'!$L$47)+IF('Your debts'!$D$20="Avalanche",'Avalanche workings'!$AF$47,'Snowball workings'!$AF$47))</f>
      </c>
      <c r="G45" s="30">
        <f>IF(OR(40&gt;$Z$1,NOT(OR('Your debts'!$B$6&lt;&gt;"",N('Your debts'!$C$6)&gt;0))),"",IF('Your debts'!$D$20="Avalanche",'Avalanche workings'!$AP$47,'Snowball workings'!$AP$47))</f>
      </c>
      <c r="H45" s="29">
        <f>IF(OR(40&gt;$Z$1,NOT(OR('Your debts'!$B$7&lt;&gt;"",N('Your debts'!$C$7)&gt;0))),"",IF('Your debts'!$D$20="Avalanche",'Avalanche workings'!$M$47,'Snowball workings'!$M$47)+IF('Your debts'!$D$20="Avalanche",'Avalanche workings'!$AG$47,'Snowball workings'!$AG$47))</f>
      </c>
      <c r="I45" s="30">
        <f>IF(OR(40&gt;$Z$1,NOT(OR('Your debts'!$B$7&lt;&gt;"",N('Your debts'!$C$7)&gt;0))),"",IF('Your debts'!$D$20="Avalanche",'Avalanche workings'!$AQ$47,'Snowball workings'!$AQ$47))</f>
      </c>
      <c r="J45" s="29">
        <f>IF(OR(40&gt;$Z$1,NOT(OR('Your debts'!$B$8&lt;&gt;"",N('Your debts'!$C$8)&gt;0))),"",IF('Your debts'!$D$20="Avalanche",'Avalanche workings'!$N$47,'Snowball workings'!$N$47)+IF('Your debts'!$D$20="Avalanche",'Avalanche workings'!$AH$47,'Snowball workings'!$AH$47))</f>
      </c>
      <c r="K45" s="30">
        <f>IF(OR(40&gt;$Z$1,NOT(OR('Your debts'!$B$8&lt;&gt;"",N('Your debts'!$C$8)&gt;0))),"",IF('Your debts'!$D$20="Avalanche",'Avalanche workings'!$AR$47,'Snowball workings'!$AR$47))</f>
      </c>
      <c r="L45" s="29">
        <f>IF(OR(40&gt;$Z$1,NOT(OR('Your debts'!$B$9&lt;&gt;"",N('Your debts'!$C$9)&gt;0))),"",IF('Your debts'!$D$20="Avalanche",'Avalanche workings'!$O$47,'Snowball workings'!$O$47)+IF('Your debts'!$D$20="Avalanche",'Avalanche workings'!$AI$47,'Snowball workings'!$AI$47))</f>
      </c>
      <c r="M45" s="30">
        <f>IF(OR(40&gt;$Z$1,NOT(OR('Your debts'!$B$9&lt;&gt;"",N('Your debts'!$C$9)&gt;0))),"",IF('Your debts'!$D$20="Avalanche",'Avalanche workings'!$AS$47,'Snowball workings'!$AS$47))</f>
      </c>
      <c r="N45" s="29">
        <f>IF(OR(40&gt;$Z$1,NOT(OR('Your debts'!$B$10&lt;&gt;"",N('Your debts'!$C$10)&gt;0))),"",IF('Your debts'!$D$20="Avalanche",'Avalanche workings'!$P$47,'Snowball workings'!$P$47)+IF('Your debts'!$D$20="Avalanche",'Avalanche workings'!$AJ$47,'Snowball workings'!$AJ$47))</f>
      </c>
      <c r="O45" s="30">
        <f>IF(OR(40&gt;$Z$1,NOT(OR('Your debts'!$B$10&lt;&gt;"",N('Your debts'!$C$10)&gt;0))),"",IF('Your debts'!$D$20="Avalanche",'Avalanche workings'!$AT$47,'Snowball workings'!$AT$47))</f>
      </c>
      <c r="P45" s="29">
        <f>IF(OR(40&gt;$Z$1,NOT(OR('Your debts'!$B$11&lt;&gt;"",N('Your debts'!$C$11)&gt;0))),"",IF('Your debts'!$D$20="Avalanche",'Avalanche workings'!$Q$47,'Snowball workings'!$Q$47)+IF('Your debts'!$D$20="Avalanche",'Avalanche workings'!$AK$47,'Snowball workings'!$AK$47))</f>
      </c>
      <c r="Q45" s="30">
        <f>IF(OR(40&gt;$Z$1,NOT(OR('Your debts'!$B$11&lt;&gt;"",N('Your debts'!$C$11)&gt;0))),"",IF('Your debts'!$D$20="Avalanche",'Avalanche workings'!$AU$47,'Snowball workings'!$AU$47))</f>
      </c>
      <c r="R45" s="29">
        <f>IF(OR(40&gt;$Z$1,NOT(OR('Your debts'!$B$12&lt;&gt;"",N('Your debts'!$C$12)&gt;0))),"",IF('Your debts'!$D$20="Avalanche",'Avalanche workings'!$R$47,'Snowball workings'!$R$47)+IF('Your debts'!$D$20="Avalanche",'Avalanche workings'!$AL$47,'Snowball workings'!$AL$47))</f>
      </c>
      <c r="S45" s="30">
        <f>IF(OR(40&gt;$Z$1,NOT(OR('Your debts'!$B$12&lt;&gt;"",N('Your debts'!$C$12)&gt;0))),"",IF('Your debts'!$D$20="Avalanche",'Avalanche workings'!$AV$47,'Snowball workings'!$AV$47))</f>
      </c>
      <c r="T45" s="29">
        <f>IF(OR(40&gt;$Z$1,NOT(OR('Your debts'!$B$13&lt;&gt;"",N('Your debts'!$C$13)&gt;0))),"",IF('Your debts'!$D$20="Avalanche",'Avalanche workings'!$S$47,'Snowball workings'!$S$47)+IF('Your debts'!$D$20="Avalanche",'Avalanche workings'!$AM$47,'Snowball workings'!$AM$47))</f>
      </c>
      <c r="U45" s="30">
        <f>IF(OR(40&gt;$Z$1,NOT(OR('Your debts'!$B$13&lt;&gt;"",N('Your debts'!$C$13)&gt;0))),"",IF('Your debts'!$D$20="Avalanche",'Avalanche workings'!$AW$47,'Snowball workings'!$AW$47))</f>
      </c>
      <c r="V45" s="29">
        <f>IF(OR(40&gt;$Z$1,NOT(OR('Your debts'!$B$14&lt;&gt;"",N('Your debts'!$C$14)&gt;0))),"",IF('Your debts'!$D$20="Avalanche",'Avalanche workings'!$T$47,'Snowball workings'!$T$47)+IF('Your debts'!$D$20="Avalanche",'Avalanche workings'!$AN$47,'Snowball workings'!$AN$47))</f>
      </c>
      <c r="W45" s="30">
        <f>IF(OR(40&gt;$Z$1,NOT(OR('Your debts'!$B$14&lt;&gt;"",N('Your debts'!$C$14)&gt;0))),"",IF('Your debts'!$D$20="Avalanche",'Avalanche workings'!$AX$47,'Snowball workings'!$AX$47))</f>
      </c>
      <c r="X45" s="29">
        <f>IF(OR(40&gt;$Z$1,NOT(OR('Your debts'!$B$15&lt;&gt;"",N('Your debts'!$C$15)&gt;0))),"",IF('Your debts'!$D$20="Avalanche",'Avalanche workings'!$U$47,'Snowball workings'!$U$47)+IF('Your debts'!$D$20="Avalanche",'Avalanche workings'!$AO$47,'Snowball workings'!$AO$47))</f>
      </c>
      <c r="Y45" s="30">
        <f>IF(OR(40&gt;$Z$1,NOT(OR('Your debts'!$B$15&lt;&gt;"",N('Your debts'!$C$15)&gt;0))),"",IF('Your debts'!$D$20="Avalanche",'Avalanche workings'!$AY$47,'Snowball workings'!$AY$47))</f>
      </c>
    </row>
    <row r="46" spans="1:25" x14ac:dyDescent="0.25">
      <c r="A46" s="2">
        <f>IF(41&gt;$Z$1,"",41)</f>
      </c>
      <c r="B46" s="28">
        <f>IF(41&gt;$Z$1,"",EDATE('Your debts'!$D$21,40))</f>
      </c>
      <c r="C46" s="29">
        <f>IF(41&gt;$Z$1,"",IF('Your debts'!$D$20="Avalanche",'Avalanche workings'!$BC$48,'Snowball workings'!$BC$48))</f>
      </c>
      <c r="D46" s="29">
        <f>IF(41&gt;$Z$1,"",IF('Your debts'!$D$20="Avalanche",'Avalanche workings'!$BA$48,'Snowball workings'!$BA$48))</f>
      </c>
      <c r="E46" s="29">
        <f>IF(41&gt;$Z$1,"",IF('Your debts'!$D$20="Avalanche",'Avalanche workings'!$BB$48,'Snowball workings'!$BB$48))</f>
      </c>
      <c r="F46" s="29">
        <f>IF(OR(41&gt;$Z$1,NOT(OR('Your debts'!$B$6&lt;&gt;"",N('Your debts'!$C$6)&gt;0))),"",IF('Your debts'!$D$20="Avalanche",'Avalanche workings'!$L$48,'Snowball workings'!$L$48)+IF('Your debts'!$D$20="Avalanche",'Avalanche workings'!$AF$48,'Snowball workings'!$AF$48))</f>
      </c>
      <c r="G46" s="30">
        <f>IF(OR(41&gt;$Z$1,NOT(OR('Your debts'!$B$6&lt;&gt;"",N('Your debts'!$C$6)&gt;0))),"",IF('Your debts'!$D$20="Avalanche",'Avalanche workings'!$AP$48,'Snowball workings'!$AP$48))</f>
      </c>
      <c r="H46" s="29">
        <f>IF(OR(41&gt;$Z$1,NOT(OR('Your debts'!$B$7&lt;&gt;"",N('Your debts'!$C$7)&gt;0))),"",IF('Your debts'!$D$20="Avalanche",'Avalanche workings'!$M$48,'Snowball workings'!$M$48)+IF('Your debts'!$D$20="Avalanche",'Avalanche workings'!$AG$48,'Snowball workings'!$AG$48))</f>
      </c>
      <c r="I46" s="30">
        <f>IF(OR(41&gt;$Z$1,NOT(OR('Your debts'!$B$7&lt;&gt;"",N('Your debts'!$C$7)&gt;0))),"",IF('Your debts'!$D$20="Avalanche",'Avalanche workings'!$AQ$48,'Snowball workings'!$AQ$48))</f>
      </c>
      <c r="J46" s="29">
        <f>IF(OR(41&gt;$Z$1,NOT(OR('Your debts'!$B$8&lt;&gt;"",N('Your debts'!$C$8)&gt;0))),"",IF('Your debts'!$D$20="Avalanche",'Avalanche workings'!$N$48,'Snowball workings'!$N$48)+IF('Your debts'!$D$20="Avalanche",'Avalanche workings'!$AH$48,'Snowball workings'!$AH$48))</f>
      </c>
      <c r="K46" s="30">
        <f>IF(OR(41&gt;$Z$1,NOT(OR('Your debts'!$B$8&lt;&gt;"",N('Your debts'!$C$8)&gt;0))),"",IF('Your debts'!$D$20="Avalanche",'Avalanche workings'!$AR$48,'Snowball workings'!$AR$48))</f>
      </c>
      <c r="L46" s="29">
        <f>IF(OR(41&gt;$Z$1,NOT(OR('Your debts'!$B$9&lt;&gt;"",N('Your debts'!$C$9)&gt;0))),"",IF('Your debts'!$D$20="Avalanche",'Avalanche workings'!$O$48,'Snowball workings'!$O$48)+IF('Your debts'!$D$20="Avalanche",'Avalanche workings'!$AI$48,'Snowball workings'!$AI$48))</f>
      </c>
      <c r="M46" s="30">
        <f>IF(OR(41&gt;$Z$1,NOT(OR('Your debts'!$B$9&lt;&gt;"",N('Your debts'!$C$9)&gt;0))),"",IF('Your debts'!$D$20="Avalanche",'Avalanche workings'!$AS$48,'Snowball workings'!$AS$48))</f>
      </c>
      <c r="N46" s="29">
        <f>IF(OR(41&gt;$Z$1,NOT(OR('Your debts'!$B$10&lt;&gt;"",N('Your debts'!$C$10)&gt;0))),"",IF('Your debts'!$D$20="Avalanche",'Avalanche workings'!$P$48,'Snowball workings'!$P$48)+IF('Your debts'!$D$20="Avalanche",'Avalanche workings'!$AJ$48,'Snowball workings'!$AJ$48))</f>
      </c>
      <c r="O46" s="30">
        <f>IF(OR(41&gt;$Z$1,NOT(OR('Your debts'!$B$10&lt;&gt;"",N('Your debts'!$C$10)&gt;0))),"",IF('Your debts'!$D$20="Avalanche",'Avalanche workings'!$AT$48,'Snowball workings'!$AT$48))</f>
      </c>
      <c r="P46" s="29">
        <f>IF(OR(41&gt;$Z$1,NOT(OR('Your debts'!$B$11&lt;&gt;"",N('Your debts'!$C$11)&gt;0))),"",IF('Your debts'!$D$20="Avalanche",'Avalanche workings'!$Q$48,'Snowball workings'!$Q$48)+IF('Your debts'!$D$20="Avalanche",'Avalanche workings'!$AK$48,'Snowball workings'!$AK$48))</f>
      </c>
      <c r="Q46" s="30">
        <f>IF(OR(41&gt;$Z$1,NOT(OR('Your debts'!$B$11&lt;&gt;"",N('Your debts'!$C$11)&gt;0))),"",IF('Your debts'!$D$20="Avalanche",'Avalanche workings'!$AU$48,'Snowball workings'!$AU$48))</f>
      </c>
      <c r="R46" s="29">
        <f>IF(OR(41&gt;$Z$1,NOT(OR('Your debts'!$B$12&lt;&gt;"",N('Your debts'!$C$12)&gt;0))),"",IF('Your debts'!$D$20="Avalanche",'Avalanche workings'!$R$48,'Snowball workings'!$R$48)+IF('Your debts'!$D$20="Avalanche",'Avalanche workings'!$AL$48,'Snowball workings'!$AL$48))</f>
      </c>
      <c r="S46" s="30">
        <f>IF(OR(41&gt;$Z$1,NOT(OR('Your debts'!$B$12&lt;&gt;"",N('Your debts'!$C$12)&gt;0))),"",IF('Your debts'!$D$20="Avalanche",'Avalanche workings'!$AV$48,'Snowball workings'!$AV$48))</f>
      </c>
      <c r="T46" s="29">
        <f>IF(OR(41&gt;$Z$1,NOT(OR('Your debts'!$B$13&lt;&gt;"",N('Your debts'!$C$13)&gt;0))),"",IF('Your debts'!$D$20="Avalanche",'Avalanche workings'!$S$48,'Snowball workings'!$S$48)+IF('Your debts'!$D$20="Avalanche",'Avalanche workings'!$AM$48,'Snowball workings'!$AM$48))</f>
      </c>
      <c r="U46" s="30">
        <f>IF(OR(41&gt;$Z$1,NOT(OR('Your debts'!$B$13&lt;&gt;"",N('Your debts'!$C$13)&gt;0))),"",IF('Your debts'!$D$20="Avalanche",'Avalanche workings'!$AW$48,'Snowball workings'!$AW$48))</f>
      </c>
      <c r="V46" s="29">
        <f>IF(OR(41&gt;$Z$1,NOT(OR('Your debts'!$B$14&lt;&gt;"",N('Your debts'!$C$14)&gt;0))),"",IF('Your debts'!$D$20="Avalanche",'Avalanche workings'!$T$48,'Snowball workings'!$T$48)+IF('Your debts'!$D$20="Avalanche",'Avalanche workings'!$AN$48,'Snowball workings'!$AN$48))</f>
      </c>
      <c r="W46" s="30">
        <f>IF(OR(41&gt;$Z$1,NOT(OR('Your debts'!$B$14&lt;&gt;"",N('Your debts'!$C$14)&gt;0))),"",IF('Your debts'!$D$20="Avalanche",'Avalanche workings'!$AX$48,'Snowball workings'!$AX$48))</f>
      </c>
      <c r="X46" s="29">
        <f>IF(OR(41&gt;$Z$1,NOT(OR('Your debts'!$B$15&lt;&gt;"",N('Your debts'!$C$15)&gt;0))),"",IF('Your debts'!$D$20="Avalanche",'Avalanche workings'!$U$48,'Snowball workings'!$U$48)+IF('Your debts'!$D$20="Avalanche",'Avalanche workings'!$AO$48,'Snowball workings'!$AO$48))</f>
      </c>
      <c r="Y46" s="30">
        <f>IF(OR(41&gt;$Z$1,NOT(OR('Your debts'!$B$15&lt;&gt;"",N('Your debts'!$C$15)&gt;0))),"",IF('Your debts'!$D$20="Avalanche",'Avalanche workings'!$AY$48,'Snowball workings'!$AY$48))</f>
      </c>
    </row>
    <row r="47" spans="1:25" x14ac:dyDescent="0.25">
      <c r="A47" s="2">
        <f>IF(42&gt;$Z$1,"",42)</f>
      </c>
      <c r="B47" s="28">
        <f>IF(42&gt;$Z$1,"",EDATE('Your debts'!$D$21,41))</f>
      </c>
      <c r="C47" s="29">
        <f>IF(42&gt;$Z$1,"",IF('Your debts'!$D$20="Avalanche",'Avalanche workings'!$BC$49,'Snowball workings'!$BC$49))</f>
      </c>
      <c r="D47" s="29">
        <f>IF(42&gt;$Z$1,"",IF('Your debts'!$D$20="Avalanche",'Avalanche workings'!$BA$49,'Snowball workings'!$BA$49))</f>
      </c>
      <c r="E47" s="29">
        <f>IF(42&gt;$Z$1,"",IF('Your debts'!$D$20="Avalanche",'Avalanche workings'!$BB$49,'Snowball workings'!$BB$49))</f>
      </c>
      <c r="F47" s="29">
        <f>IF(OR(42&gt;$Z$1,NOT(OR('Your debts'!$B$6&lt;&gt;"",N('Your debts'!$C$6)&gt;0))),"",IF('Your debts'!$D$20="Avalanche",'Avalanche workings'!$L$49,'Snowball workings'!$L$49)+IF('Your debts'!$D$20="Avalanche",'Avalanche workings'!$AF$49,'Snowball workings'!$AF$49))</f>
      </c>
      <c r="G47" s="30">
        <f>IF(OR(42&gt;$Z$1,NOT(OR('Your debts'!$B$6&lt;&gt;"",N('Your debts'!$C$6)&gt;0))),"",IF('Your debts'!$D$20="Avalanche",'Avalanche workings'!$AP$49,'Snowball workings'!$AP$49))</f>
      </c>
      <c r="H47" s="29">
        <f>IF(OR(42&gt;$Z$1,NOT(OR('Your debts'!$B$7&lt;&gt;"",N('Your debts'!$C$7)&gt;0))),"",IF('Your debts'!$D$20="Avalanche",'Avalanche workings'!$M$49,'Snowball workings'!$M$49)+IF('Your debts'!$D$20="Avalanche",'Avalanche workings'!$AG$49,'Snowball workings'!$AG$49))</f>
      </c>
      <c r="I47" s="30">
        <f>IF(OR(42&gt;$Z$1,NOT(OR('Your debts'!$B$7&lt;&gt;"",N('Your debts'!$C$7)&gt;0))),"",IF('Your debts'!$D$20="Avalanche",'Avalanche workings'!$AQ$49,'Snowball workings'!$AQ$49))</f>
      </c>
      <c r="J47" s="29">
        <f>IF(OR(42&gt;$Z$1,NOT(OR('Your debts'!$B$8&lt;&gt;"",N('Your debts'!$C$8)&gt;0))),"",IF('Your debts'!$D$20="Avalanche",'Avalanche workings'!$N$49,'Snowball workings'!$N$49)+IF('Your debts'!$D$20="Avalanche",'Avalanche workings'!$AH$49,'Snowball workings'!$AH$49))</f>
      </c>
      <c r="K47" s="30">
        <f>IF(OR(42&gt;$Z$1,NOT(OR('Your debts'!$B$8&lt;&gt;"",N('Your debts'!$C$8)&gt;0))),"",IF('Your debts'!$D$20="Avalanche",'Avalanche workings'!$AR$49,'Snowball workings'!$AR$49))</f>
      </c>
      <c r="L47" s="29">
        <f>IF(OR(42&gt;$Z$1,NOT(OR('Your debts'!$B$9&lt;&gt;"",N('Your debts'!$C$9)&gt;0))),"",IF('Your debts'!$D$20="Avalanche",'Avalanche workings'!$O$49,'Snowball workings'!$O$49)+IF('Your debts'!$D$20="Avalanche",'Avalanche workings'!$AI$49,'Snowball workings'!$AI$49))</f>
      </c>
      <c r="M47" s="30">
        <f>IF(OR(42&gt;$Z$1,NOT(OR('Your debts'!$B$9&lt;&gt;"",N('Your debts'!$C$9)&gt;0))),"",IF('Your debts'!$D$20="Avalanche",'Avalanche workings'!$AS$49,'Snowball workings'!$AS$49))</f>
      </c>
      <c r="N47" s="29">
        <f>IF(OR(42&gt;$Z$1,NOT(OR('Your debts'!$B$10&lt;&gt;"",N('Your debts'!$C$10)&gt;0))),"",IF('Your debts'!$D$20="Avalanche",'Avalanche workings'!$P$49,'Snowball workings'!$P$49)+IF('Your debts'!$D$20="Avalanche",'Avalanche workings'!$AJ$49,'Snowball workings'!$AJ$49))</f>
      </c>
      <c r="O47" s="30">
        <f>IF(OR(42&gt;$Z$1,NOT(OR('Your debts'!$B$10&lt;&gt;"",N('Your debts'!$C$10)&gt;0))),"",IF('Your debts'!$D$20="Avalanche",'Avalanche workings'!$AT$49,'Snowball workings'!$AT$49))</f>
      </c>
      <c r="P47" s="29">
        <f>IF(OR(42&gt;$Z$1,NOT(OR('Your debts'!$B$11&lt;&gt;"",N('Your debts'!$C$11)&gt;0))),"",IF('Your debts'!$D$20="Avalanche",'Avalanche workings'!$Q$49,'Snowball workings'!$Q$49)+IF('Your debts'!$D$20="Avalanche",'Avalanche workings'!$AK$49,'Snowball workings'!$AK$49))</f>
      </c>
      <c r="Q47" s="30">
        <f>IF(OR(42&gt;$Z$1,NOT(OR('Your debts'!$B$11&lt;&gt;"",N('Your debts'!$C$11)&gt;0))),"",IF('Your debts'!$D$20="Avalanche",'Avalanche workings'!$AU$49,'Snowball workings'!$AU$49))</f>
      </c>
      <c r="R47" s="29">
        <f>IF(OR(42&gt;$Z$1,NOT(OR('Your debts'!$B$12&lt;&gt;"",N('Your debts'!$C$12)&gt;0))),"",IF('Your debts'!$D$20="Avalanche",'Avalanche workings'!$R$49,'Snowball workings'!$R$49)+IF('Your debts'!$D$20="Avalanche",'Avalanche workings'!$AL$49,'Snowball workings'!$AL$49))</f>
      </c>
      <c r="S47" s="30">
        <f>IF(OR(42&gt;$Z$1,NOT(OR('Your debts'!$B$12&lt;&gt;"",N('Your debts'!$C$12)&gt;0))),"",IF('Your debts'!$D$20="Avalanche",'Avalanche workings'!$AV$49,'Snowball workings'!$AV$49))</f>
      </c>
      <c r="T47" s="29">
        <f>IF(OR(42&gt;$Z$1,NOT(OR('Your debts'!$B$13&lt;&gt;"",N('Your debts'!$C$13)&gt;0))),"",IF('Your debts'!$D$20="Avalanche",'Avalanche workings'!$S$49,'Snowball workings'!$S$49)+IF('Your debts'!$D$20="Avalanche",'Avalanche workings'!$AM$49,'Snowball workings'!$AM$49))</f>
      </c>
      <c r="U47" s="30">
        <f>IF(OR(42&gt;$Z$1,NOT(OR('Your debts'!$B$13&lt;&gt;"",N('Your debts'!$C$13)&gt;0))),"",IF('Your debts'!$D$20="Avalanche",'Avalanche workings'!$AW$49,'Snowball workings'!$AW$49))</f>
      </c>
      <c r="V47" s="29">
        <f>IF(OR(42&gt;$Z$1,NOT(OR('Your debts'!$B$14&lt;&gt;"",N('Your debts'!$C$14)&gt;0))),"",IF('Your debts'!$D$20="Avalanche",'Avalanche workings'!$T$49,'Snowball workings'!$T$49)+IF('Your debts'!$D$20="Avalanche",'Avalanche workings'!$AN$49,'Snowball workings'!$AN$49))</f>
      </c>
      <c r="W47" s="30">
        <f>IF(OR(42&gt;$Z$1,NOT(OR('Your debts'!$B$14&lt;&gt;"",N('Your debts'!$C$14)&gt;0))),"",IF('Your debts'!$D$20="Avalanche",'Avalanche workings'!$AX$49,'Snowball workings'!$AX$49))</f>
      </c>
      <c r="X47" s="29">
        <f>IF(OR(42&gt;$Z$1,NOT(OR('Your debts'!$B$15&lt;&gt;"",N('Your debts'!$C$15)&gt;0))),"",IF('Your debts'!$D$20="Avalanche",'Avalanche workings'!$U$49,'Snowball workings'!$U$49)+IF('Your debts'!$D$20="Avalanche",'Avalanche workings'!$AO$49,'Snowball workings'!$AO$49))</f>
      </c>
      <c r="Y47" s="30">
        <f>IF(OR(42&gt;$Z$1,NOT(OR('Your debts'!$B$15&lt;&gt;"",N('Your debts'!$C$15)&gt;0))),"",IF('Your debts'!$D$20="Avalanche",'Avalanche workings'!$AY$49,'Snowball workings'!$AY$49))</f>
      </c>
    </row>
    <row r="48" spans="1:25" x14ac:dyDescent="0.25">
      <c r="A48" s="2">
        <f>IF(43&gt;$Z$1,"",43)</f>
      </c>
      <c r="B48" s="28">
        <f>IF(43&gt;$Z$1,"",EDATE('Your debts'!$D$21,42))</f>
      </c>
      <c r="C48" s="29">
        <f>IF(43&gt;$Z$1,"",IF('Your debts'!$D$20="Avalanche",'Avalanche workings'!$BC$50,'Snowball workings'!$BC$50))</f>
      </c>
      <c r="D48" s="29">
        <f>IF(43&gt;$Z$1,"",IF('Your debts'!$D$20="Avalanche",'Avalanche workings'!$BA$50,'Snowball workings'!$BA$50))</f>
      </c>
      <c r="E48" s="29">
        <f>IF(43&gt;$Z$1,"",IF('Your debts'!$D$20="Avalanche",'Avalanche workings'!$BB$50,'Snowball workings'!$BB$50))</f>
      </c>
      <c r="F48" s="29">
        <f>IF(OR(43&gt;$Z$1,NOT(OR('Your debts'!$B$6&lt;&gt;"",N('Your debts'!$C$6)&gt;0))),"",IF('Your debts'!$D$20="Avalanche",'Avalanche workings'!$L$50,'Snowball workings'!$L$50)+IF('Your debts'!$D$20="Avalanche",'Avalanche workings'!$AF$50,'Snowball workings'!$AF$50))</f>
      </c>
      <c r="G48" s="30">
        <f>IF(OR(43&gt;$Z$1,NOT(OR('Your debts'!$B$6&lt;&gt;"",N('Your debts'!$C$6)&gt;0))),"",IF('Your debts'!$D$20="Avalanche",'Avalanche workings'!$AP$50,'Snowball workings'!$AP$50))</f>
      </c>
      <c r="H48" s="29">
        <f>IF(OR(43&gt;$Z$1,NOT(OR('Your debts'!$B$7&lt;&gt;"",N('Your debts'!$C$7)&gt;0))),"",IF('Your debts'!$D$20="Avalanche",'Avalanche workings'!$M$50,'Snowball workings'!$M$50)+IF('Your debts'!$D$20="Avalanche",'Avalanche workings'!$AG$50,'Snowball workings'!$AG$50))</f>
      </c>
      <c r="I48" s="30">
        <f>IF(OR(43&gt;$Z$1,NOT(OR('Your debts'!$B$7&lt;&gt;"",N('Your debts'!$C$7)&gt;0))),"",IF('Your debts'!$D$20="Avalanche",'Avalanche workings'!$AQ$50,'Snowball workings'!$AQ$50))</f>
      </c>
      <c r="J48" s="29">
        <f>IF(OR(43&gt;$Z$1,NOT(OR('Your debts'!$B$8&lt;&gt;"",N('Your debts'!$C$8)&gt;0))),"",IF('Your debts'!$D$20="Avalanche",'Avalanche workings'!$N$50,'Snowball workings'!$N$50)+IF('Your debts'!$D$20="Avalanche",'Avalanche workings'!$AH$50,'Snowball workings'!$AH$50))</f>
      </c>
      <c r="K48" s="30">
        <f>IF(OR(43&gt;$Z$1,NOT(OR('Your debts'!$B$8&lt;&gt;"",N('Your debts'!$C$8)&gt;0))),"",IF('Your debts'!$D$20="Avalanche",'Avalanche workings'!$AR$50,'Snowball workings'!$AR$50))</f>
      </c>
      <c r="L48" s="29">
        <f>IF(OR(43&gt;$Z$1,NOT(OR('Your debts'!$B$9&lt;&gt;"",N('Your debts'!$C$9)&gt;0))),"",IF('Your debts'!$D$20="Avalanche",'Avalanche workings'!$O$50,'Snowball workings'!$O$50)+IF('Your debts'!$D$20="Avalanche",'Avalanche workings'!$AI$50,'Snowball workings'!$AI$50))</f>
      </c>
      <c r="M48" s="30">
        <f>IF(OR(43&gt;$Z$1,NOT(OR('Your debts'!$B$9&lt;&gt;"",N('Your debts'!$C$9)&gt;0))),"",IF('Your debts'!$D$20="Avalanche",'Avalanche workings'!$AS$50,'Snowball workings'!$AS$50))</f>
      </c>
      <c r="N48" s="29">
        <f>IF(OR(43&gt;$Z$1,NOT(OR('Your debts'!$B$10&lt;&gt;"",N('Your debts'!$C$10)&gt;0))),"",IF('Your debts'!$D$20="Avalanche",'Avalanche workings'!$P$50,'Snowball workings'!$P$50)+IF('Your debts'!$D$20="Avalanche",'Avalanche workings'!$AJ$50,'Snowball workings'!$AJ$50))</f>
      </c>
      <c r="O48" s="30">
        <f>IF(OR(43&gt;$Z$1,NOT(OR('Your debts'!$B$10&lt;&gt;"",N('Your debts'!$C$10)&gt;0))),"",IF('Your debts'!$D$20="Avalanche",'Avalanche workings'!$AT$50,'Snowball workings'!$AT$50))</f>
      </c>
      <c r="P48" s="29">
        <f>IF(OR(43&gt;$Z$1,NOT(OR('Your debts'!$B$11&lt;&gt;"",N('Your debts'!$C$11)&gt;0))),"",IF('Your debts'!$D$20="Avalanche",'Avalanche workings'!$Q$50,'Snowball workings'!$Q$50)+IF('Your debts'!$D$20="Avalanche",'Avalanche workings'!$AK$50,'Snowball workings'!$AK$50))</f>
      </c>
      <c r="Q48" s="30">
        <f>IF(OR(43&gt;$Z$1,NOT(OR('Your debts'!$B$11&lt;&gt;"",N('Your debts'!$C$11)&gt;0))),"",IF('Your debts'!$D$20="Avalanche",'Avalanche workings'!$AU$50,'Snowball workings'!$AU$50))</f>
      </c>
      <c r="R48" s="29">
        <f>IF(OR(43&gt;$Z$1,NOT(OR('Your debts'!$B$12&lt;&gt;"",N('Your debts'!$C$12)&gt;0))),"",IF('Your debts'!$D$20="Avalanche",'Avalanche workings'!$R$50,'Snowball workings'!$R$50)+IF('Your debts'!$D$20="Avalanche",'Avalanche workings'!$AL$50,'Snowball workings'!$AL$50))</f>
      </c>
      <c r="S48" s="30">
        <f>IF(OR(43&gt;$Z$1,NOT(OR('Your debts'!$B$12&lt;&gt;"",N('Your debts'!$C$12)&gt;0))),"",IF('Your debts'!$D$20="Avalanche",'Avalanche workings'!$AV$50,'Snowball workings'!$AV$50))</f>
      </c>
      <c r="T48" s="29">
        <f>IF(OR(43&gt;$Z$1,NOT(OR('Your debts'!$B$13&lt;&gt;"",N('Your debts'!$C$13)&gt;0))),"",IF('Your debts'!$D$20="Avalanche",'Avalanche workings'!$S$50,'Snowball workings'!$S$50)+IF('Your debts'!$D$20="Avalanche",'Avalanche workings'!$AM$50,'Snowball workings'!$AM$50))</f>
      </c>
      <c r="U48" s="30">
        <f>IF(OR(43&gt;$Z$1,NOT(OR('Your debts'!$B$13&lt;&gt;"",N('Your debts'!$C$13)&gt;0))),"",IF('Your debts'!$D$20="Avalanche",'Avalanche workings'!$AW$50,'Snowball workings'!$AW$50))</f>
      </c>
      <c r="V48" s="29">
        <f>IF(OR(43&gt;$Z$1,NOT(OR('Your debts'!$B$14&lt;&gt;"",N('Your debts'!$C$14)&gt;0))),"",IF('Your debts'!$D$20="Avalanche",'Avalanche workings'!$T$50,'Snowball workings'!$T$50)+IF('Your debts'!$D$20="Avalanche",'Avalanche workings'!$AN$50,'Snowball workings'!$AN$50))</f>
      </c>
      <c r="W48" s="30">
        <f>IF(OR(43&gt;$Z$1,NOT(OR('Your debts'!$B$14&lt;&gt;"",N('Your debts'!$C$14)&gt;0))),"",IF('Your debts'!$D$20="Avalanche",'Avalanche workings'!$AX$50,'Snowball workings'!$AX$50))</f>
      </c>
      <c r="X48" s="29">
        <f>IF(OR(43&gt;$Z$1,NOT(OR('Your debts'!$B$15&lt;&gt;"",N('Your debts'!$C$15)&gt;0))),"",IF('Your debts'!$D$20="Avalanche",'Avalanche workings'!$U$50,'Snowball workings'!$U$50)+IF('Your debts'!$D$20="Avalanche",'Avalanche workings'!$AO$50,'Snowball workings'!$AO$50))</f>
      </c>
      <c r="Y48" s="30">
        <f>IF(OR(43&gt;$Z$1,NOT(OR('Your debts'!$B$15&lt;&gt;"",N('Your debts'!$C$15)&gt;0))),"",IF('Your debts'!$D$20="Avalanche",'Avalanche workings'!$AY$50,'Snowball workings'!$AY$50))</f>
      </c>
    </row>
    <row r="49" spans="1:25" x14ac:dyDescent="0.25">
      <c r="A49" s="2">
        <f>IF(44&gt;$Z$1,"",44)</f>
      </c>
      <c r="B49" s="28">
        <f>IF(44&gt;$Z$1,"",EDATE('Your debts'!$D$21,43))</f>
      </c>
      <c r="C49" s="29">
        <f>IF(44&gt;$Z$1,"",IF('Your debts'!$D$20="Avalanche",'Avalanche workings'!$BC$51,'Snowball workings'!$BC$51))</f>
      </c>
      <c r="D49" s="29">
        <f>IF(44&gt;$Z$1,"",IF('Your debts'!$D$20="Avalanche",'Avalanche workings'!$BA$51,'Snowball workings'!$BA$51))</f>
      </c>
      <c r="E49" s="29">
        <f>IF(44&gt;$Z$1,"",IF('Your debts'!$D$20="Avalanche",'Avalanche workings'!$BB$51,'Snowball workings'!$BB$51))</f>
      </c>
      <c r="F49" s="29">
        <f>IF(OR(44&gt;$Z$1,NOT(OR('Your debts'!$B$6&lt;&gt;"",N('Your debts'!$C$6)&gt;0))),"",IF('Your debts'!$D$20="Avalanche",'Avalanche workings'!$L$51,'Snowball workings'!$L$51)+IF('Your debts'!$D$20="Avalanche",'Avalanche workings'!$AF$51,'Snowball workings'!$AF$51))</f>
      </c>
      <c r="G49" s="30">
        <f>IF(OR(44&gt;$Z$1,NOT(OR('Your debts'!$B$6&lt;&gt;"",N('Your debts'!$C$6)&gt;0))),"",IF('Your debts'!$D$20="Avalanche",'Avalanche workings'!$AP$51,'Snowball workings'!$AP$51))</f>
      </c>
      <c r="H49" s="29">
        <f>IF(OR(44&gt;$Z$1,NOT(OR('Your debts'!$B$7&lt;&gt;"",N('Your debts'!$C$7)&gt;0))),"",IF('Your debts'!$D$20="Avalanche",'Avalanche workings'!$M$51,'Snowball workings'!$M$51)+IF('Your debts'!$D$20="Avalanche",'Avalanche workings'!$AG$51,'Snowball workings'!$AG$51))</f>
      </c>
      <c r="I49" s="30">
        <f>IF(OR(44&gt;$Z$1,NOT(OR('Your debts'!$B$7&lt;&gt;"",N('Your debts'!$C$7)&gt;0))),"",IF('Your debts'!$D$20="Avalanche",'Avalanche workings'!$AQ$51,'Snowball workings'!$AQ$51))</f>
      </c>
      <c r="J49" s="29">
        <f>IF(OR(44&gt;$Z$1,NOT(OR('Your debts'!$B$8&lt;&gt;"",N('Your debts'!$C$8)&gt;0))),"",IF('Your debts'!$D$20="Avalanche",'Avalanche workings'!$N$51,'Snowball workings'!$N$51)+IF('Your debts'!$D$20="Avalanche",'Avalanche workings'!$AH$51,'Snowball workings'!$AH$51))</f>
      </c>
      <c r="K49" s="30">
        <f>IF(OR(44&gt;$Z$1,NOT(OR('Your debts'!$B$8&lt;&gt;"",N('Your debts'!$C$8)&gt;0))),"",IF('Your debts'!$D$20="Avalanche",'Avalanche workings'!$AR$51,'Snowball workings'!$AR$51))</f>
      </c>
      <c r="L49" s="29">
        <f>IF(OR(44&gt;$Z$1,NOT(OR('Your debts'!$B$9&lt;&gt;"",N('Your debts'!$C$9)&gt;0))),"",IF('Your debts'!$D$20="Avalanche",'Avalanche workings'!$O$51,'Snowball workings'!$O$51)+IF('Your debts'!$D$20="Avalanche",'Avalanche workings'!$AI$51,'Snowball workings'!$AI$51))</f>
      </c>
      <c r="M49" s="30">
        <f>IF(OR(44&gt;$Z$1,NOT(OR('Your debts'!$B$9&lt;&gt;"",N('Your debts'!$C$9)&gt;0))),"",IF('Your debts'!$D$20="Avalanche",'Avalanche workings'!$AS$51,'Snowball workings'!$AS$51))</f>
      </c>
      <c r="N49" s="29">
        <f>IF(OR(44&gt;$Z$1,NOT(OR('Your debts'!$B$10&lt;&gt;"",N('Your debts'!$C$10)&gt;0))),"",IF('Your debts'!$D$20="Avalanche",'Avalanche workings'!$P$51,'Snowball workings'!$P$51)+IF('Your debts'!$D$20="Avalanche",'Avalanche workings'!$AJ$51,'Snowball workings'!$AJ$51))</f>
      </c>
      <c r="O49" s="30">
        <f>IF(OR(44&gt;$Z$1,NOT(OR('Your debts'!$B$10&lt;&gt;"",N('Your debts'!$C$10)&gt;0))),"",IF('Your debts'!$D$20="Avalanche",'Avalanche workings'!$AT$51,'Snowball workings'!$AT$51))</f>
      </c>
      <c r="P49" s="29">
        <f>IF(OR(44&gt;$Z$1,NOT(OR('Your debts'!$B$11&lt;&gt;"",N('Your debts'!$C$11)&gt;0))),"",IF('Your debts'!$D$20="Avalanche",'Avalanche workings'!$Q$51,'Snowball workings'!$Q$51)+IF('Your debts'!$D$20="Avalanche",'Avalanche workings'!$AK$51,'Snowball workings'!$AK$51))</f>
      </c>
      <c r="Q49" s="30">
        <f>IF(OR(44&gt;$Z$1,NOT(OR('Your debts'!$B$11&lt;&gt;"",N('Your debts'!$C$11)&gt;0))),"",IF('Your debts'!$D$20="Avalanche",'Avalanche workings'!$AU$51,'Snowball workings'!$AU$51))</f>
      </c>
      <c r="R49" s="29">
        <f>IF(OR(44&gt;$Z$1,NOT(OR('Your debts'!$B$12&lt;&gt;"",N('Your debts'!$C$12)&gt;0))),"",IF('Your debts'!$D$20="Avalanche",'Avalanche workings'!$R$51,'Snowball workings'!$R$51)+IF('Your debts'!$D$20="Avalanche",'Avalanche workings'!$AL$51,'Snowball workings'!$AL$51))</f>
      </c>
      <c r="S49" s="30">
        <f>IF(OR(44&gt;$Z$1,NOT(OR('Your debts'!$B$12&lt;&gt;"",N('Your debts'!$C$12)&gt;0))),"",IF('Your debts'!$D$20="Avalanche",'Avalanche workings'!$AV$51,'Snowball workings'!$AV$51))</f>
      </c>
      <c r="T49" s="29">
        <f>IF(OR(44&gt;$Z$1,NOT(OR('Your debts'!$B$13&lt;&gt;"",N('Your debts'!$C$13)&gt;0))),"",IF('Your debts'!$D$20="Avalanche",'Avalanche workings'!$S$51,'Snowball workings'!$S$51)+IF('Your debts'!$D$20="Avalanche",'Avalanche workings'!$AM$51,'Snowball workings'!$AM$51))</f>
      </c>
      <c r="U49" s="30">
        <f>IF(OR(44&gt;$Z$1,NOT(OR('Your debts'!$B$13&lt;&gt;"",N('Your debts'!$C$13)&gt;0))),"",IF('Your debts'!$D$20="Avalanche",'Avalanche workings'!$AW$51,'Snowball workings'!$AW$51))</f>
      </c>
      <c r="V49" s="29">
        <f>IF(OR(44&gt;$Z$1,NOT(OR('Your debts'!$B$14&lt;&gt;"",N('Your debts'!$C$14)&gt;0))),"",IF('Your debts'!$D$20="Avalanche",'Avalanche workings'!$T$51,'Snowball workings'!$T$51)+IF('Your debts'!$D$20="Avalanche",'Avalanche workings'!$AN$51,'Snowball workings'!$AN$51))</f>
      </c>
      <c r="W49" s="30">
        <f>IF(OR(44&gt;$Z$1,NOT(OR('Your debts'!$B$14&lt;&gt;"",N('Your debts'!$C$14)&gt;0))),"",IF('Your debts'!$D$20="Avalanche",'Avalanche workings'!$AX$51,'Snowball workings'!$AX$51))</f>
      </c>
      <c r="X49" s="29">
        <f>IF(OR(44&gt;$Z$1,NOT(OR('Your debts'!$B$15&lt;&gt;"",N('Your debts'!$C$15)&gt;0))),"",IF('Your debts'!$D$20="Avalanche",'Avalanche workings'!$U$51,'Snowball workings'!$U$51)+IF('Your debts'!$D$20="Avalanche",'Avalanche workings'!$AO$51,'Snowball workings'!$AO$51))</f>
      </c>
      <c r="Y49" s="30">
        <f>IF(OR(44&gt;$Z$1,NOT(OR('Your debts'!$B$15&lt;&gt;"",N('Your debts'!$C$15)&gt;0))),"",IF('Your debts'!$D$20="Avalanche",'Avalanche workings'!$AY$51,'Snowball workings'!$AY$51))</f>
      </c>
    </row>
    <row r="50" spans="1:25" x14ac:dyDescent="0.25">
      <c r="A50" s="2">
        <f>IF(45&gt;$Z$1,"",45)</f>
      </c>
      <c r="B50" s="28">
        <f>IF(45&gt;$Z$1,"",EDATE('Your debts'!$D$21,44))</f>
      </c>
      <c r="C50" s="29">
        <f>IF(45&gt;$Z$1,"",IF('Your debts'!$D$20="Avalanche",'Avalanche workings'!$BC$52,'Snowball workings'!$BC$52))</f>
      </c>
      <c r="D50" s="29">
        <f>IF(45&gt;$Z$1,"",IF('Your debts'!$D$20="Avalanche",'Avalanche workings'!$BA$52,'Snowball workings'!$BA$52))</f>
      </c>
      <c r="E50" s="29">
        <f>IF(45&gt;$Z$1,"",IF('Your debts'!$D$20="Avalanche",'Avalanche workings'!$BB$52,'Snowball workings'!$BB$52))</f>
      </c>
      <c r="F50" s="29">
        <f>IF(OR(45&gt;$Z$1,NOT(OR('Your debts'!$B$6&lt;&gt;"",N('Your debts'!$C$6)&gt;0))),"",IF('Your debts'!$D$20="Avalanche",'Avalanche workings'!$L$52,'Snowball workings'!$L$52)+IF('Your debts'!$D$20="Avalanche",'Avalanche workings'!$AF$52,'Snowball workings'!$AF$52))</f>
      </c>
      <c r="G50" s="30">
        <f>IF(OR(45&gt;$Z$1,NOT(OR('Your debts'!$B$6&lt;&gt;"",N('Your debts'!$C$6)&gt;0))),"",IF('Your debts'!$D$20="Avalanche",'Avalanche workings'!$AP$52,'Snowball workings'!$AP$52))</f>
      </c>
      <c r="H50" s="29">
        <f>IF(OR(45&gt;$Z$1,NOT(OR('Your debts'!$B$7&lt;&gt;"",N('Your debts'!$C$7)&gt;0))),"",IF('Your debts'!$D$20="Avalanche",'Avalanche workings'!$M$52,'Snowball workings'!$M$52)+IF('Your debts'!$D$20="Avalanche",'Avalanche workings'!$AG$52,'Snowball workings'!$AG$52))</f>
      </c>
      <c r="I50" s="30">
        <f>IF(OR(45&gt;$Z$1,NOT(OR('Your debts'!$B$7&lt;&gt;"",N('Your debts'!$C$7)&gt;0))),"",IF('Your debts'!$D$20="Avalanche",'Avalanche workings'!$AQ$52,'Snowball workings'!$AQ$52))</f>
      </c>
      <c r="J50" s="29">
        <f>IF(OR(45&gt;$Z$1,NOT(OR('Your debts'!$B$8&lt;&gt;"",N('Your debts'!$C$8)&gt;0))),"",IF('Your debts'!$D$20="Avalanche",'Avalanche workings'!$N$52,'Snowball workings'!$N$52)+IF('Your debts'!$D$20="Avalanche",'Avalanche workings'!$AH$52,'Snowball workings'!$AH$52))</f>
      </c>
      <c r="K50" s="30">
        <f>IF(OR(45&gt;$Z$1,NOT(OR('Your debts'!$B$8&lt;&gt;"",N('Your debts'!$C$8)&gt;0))),"",IF('Your debts'!$D$20="Avalanche",'Avalanche workings'!$AR$52,'Snowball workings'!$AR$52))</f>
      </c>
      <c r="L50" s="29">
        <f>IF(OR(45&gt;$Z$1,NOT(OR('Your debts'!$B$9&lt;&gt;"",N('Your debts'!$C$9)&gt;0))),"",IF('Your debts'!$D$20="Avalanche",'Avalanche workings'!$O$52,'Snowball workings'!$O$52)+IF('Your debts'!$D$20="Avalanche",'Avalanche workings'!$AI$52,'Snowball workings'!$AI$52))</f>
      </c>
      <c r="M50" s="30">
        <f>IF(OR(45&gt;$Z$1,NOT(OR('Your debts'!$B$9&lt;&gt;"",N('Your debts'!$C$9)&gt;0))),"",IF('Your debts'!$D$20="Avalanche",'Avalanche workings'!$AS$52,'Snowball workings'!$AS$52))</f>
      </c>
      <c r="N50" s="29">
        <f>IF(OR(45&gt;$Z$1,NOT(OR('Your debts'!$B$10&lt;&gt;"",N('Your debts'!$C$10)&gt;0))),"",IF('Your debts'!$D$20="Avalanche",'Avalanche workings'!$P$52,'Snowball workings'!$P$52)+IF('Your debts'!$D$20="Avalanche",'Avalanche workings'!$AJ$52,'Snowball workings'!$AJ$52))</f>
      </c>
      <c r="O50" s="30">
        <f>IF(OR(45&gt;$Z$1,NOT(OR('Your debts'!$B$10&lt;&gt;"",N('Your debts'!$C$10)&gt;0))),"",IF('Your debts'!$D$20="Avalanche",'Avalanche workings'!$AT$52,'Snowball workings'!$AT$52))</f>
      </c>
      <c r="P50" s="29">
        <f>IF(OR(45&gt;$Z$1,NOT(OR('Your debts'!$B$11&lt;&gt;"",N('Your debts'!$C$11)&gt;0))),"",IF('Your debts'!$D$20="Avalanche",'Avalanche workings'!$Q$52,'Snowball workings'!$Q$52)+IF('Your debts'!$D$20="Avalanche",'Avalanche workings'!$AK$52,'Snowball workings'!$AK$52))</f>
      </c>
      <c r="Q50" s="30">
        <f>IF(OR(45&gt;$Z$1,NOT(OR('Your debts'!$B$11&lt;&gt;"",N('Your debts'!$C$11)&gt;0))),"",IF('Your debts'!$D$20="Avalanche",'Avalanche workings'!$AU$52,'Snowball workings'!$AU$52))</f>
      </c>
      <c r="R50" s="29">
        <f>IF(OR(45&gt;$Z$1,NOT(OR('Your debts'!$B$12&lt;&gt;"",N('Your debts'!$C$12)&gt;0))),"",IF('Your debts'!$D$20="Avalanche",'Avalanche workings'!$R$52,'Snowball workings'!$R$52)+IF('Your debts'!$D$20="Avalanche",'Avalanche workings'!$AL$52,'Snowball workings'!$AL$52))</f>
      </c>
      <c r="S50" s="30">
        <f>IF(OR(45&gt;$Z$1,NOT(OR('Your debts'!$B$12&lt;&gt;"",N('Your debts'!$C$12)&gt;0))),"",IF('Your debts'!$D$20="Avalanche",'Avalanche workings'!$AV$52,'Snowball workings'!$AV$52))</f>
      </c>
      <c r="T50" s="29">
        <f>IF(OR(45&gt;$Z$1,NOT(OR('Your debts'!$B$13&lt;&gt;"",N('Your debts'!$C$13)&gt;0))),"",IF('Your debts'!$D$20="Avalanche",'Avalanche workings'!$S$52,'Snowball workings'!$S$52)+IF('Your debts'!$D$20="Avalanche",'Avalanche workings'!$AM$52,'Snowball workings'!$AM$52))</f>
      </c>
      <c r="U50" s="30">
        <f>IF(OR(45&gt;$Z$1,NOT(OR('Your debts'!$B$13&lt;&gt;"",N('Your debts'!$C$13)&gt;0))),"",IF('Your debts'!$D$20="Avalanche",'Avalanche workings'!$AW$52,'Snowball workings'!$AW$52))</f>
      </c>
      <c r="V50" s="29">
        <f>IF(OR(45&gt;$Z$1,NOT(OR('Your debts'!$B$14&lt;&gt;"",N('Your debts'!$C$14)&gt;0))),"",IF('Your debts'!$D$20="Avalanche",'Avalanche workings'!$T$52,'Snowball workings'!$T$52)+IF('Your debts'!$D$20="Avalanche",'Avalanche workings'!$AN$52,'Snowball workings'!$AN$52))</f>
      </c>
      <c r="W50" s="30">
        <f>IF(OR(45&gt;$Z$1,NOT(OR('Your debts'!$B$14&lt;&gt;"",N('Your debts'!$C$14)&gt;0))),"",IF('Your debts'!$D$20="Avalanche",'Avalanche workings'!$AX$52,'Snowball workings'!$AX$52))</f>
      </c>
      <c r="X50" s="29">
        <f>IF(OR(45&gt;$Z$1,NOT(OR('Your debts'!$B$15&lt;&gt;"",N('Your debts'!$C$15)&gt;0))),"",IF('Your debts'!$D$20="Avalanche",'Avalanche workings'!$U$52,'Snowball workings'!$U$52)+IF('Your debts'!$D$20="Avalanche",'Avalanche workings'!$AO$52,'Snowball workings'!$AO$52))</f>
      </c>
      <c r="Y50" s="30">
        <f>IF(OR(45&gt;$Z$1,NOT(OR('Your debts'!$B$15&lt;&gt;"",N('Your debts'!$C$15)&gt;0))),"",IF('Your debts'!$D$20="Avalanche",'Avalanche workings'!$AY$52,'Snowball workings'!$AY$52))</f>
      </c>
    </row>
    <row r="51" spans="1:25" x14ac:dyDescent="0.25">
      <c r="A51" s="2">
        <f>IF(46&gt;$Z$1,"",46)</f>
      </c>
      <c r="B51" s="28">
        <f>IF(46&gt;$Z$1,"",EDATE('Your debts'!$D$21,45))</f>
      </c>
      <c r="C51" s="29">
        <f>IF(46&gt;$Z$1,"",IF('Your debts'!$D$20="Avalanche",'Avalanche workings'!$BC$53,'Snowball workings'!$BC$53))</f>
      </c>
      <c r="D51" s="29">
        <f>IF(46&gt;$Z$1,"",IF('Your debts'!$D$20="Avalanche",'Avalanche workings'!$BA$53,'Snowball workings'!$BA$53))</f>
      </c>
      <c r="E51" s="29">
        <f>IF(46&gt;$Z$1,"",IF('Your debts'!$D$20="Avalanche",'Avalanche workings'!$BB$53,'Snowball workings'!$BB$53))</f>
      </c>
      <c r="F51" s="29">
        <f>IF(OR(46&gt;$Z$1,NOT(OR('Your debts'!$B$6&lt;&gt;"",N('Your debts'!$C$6)&gt;0))),"",IF('Your debts'!$D$20="Avalanche",'Avalanche workings'!$L$53,'Snowball workings'!$L$53)+IF('Your debts'!$D$20="Avalanche",'Avalanche workings'!$AF$53,'Snowball workings'!$AF$53))</f>
      </c>
      <c r="G51" s="30">
        <f>IF(OR(46&gt;$Z$1,NOT(OR('Your debts'!$B$6&lt;&gt;"",N('Your debts'!$C$6)&gt;0))),"",IF('Your debts'!$D$20="Avalanche",'Avalanche workings'!$AP$53,'Snowball workings'!$AP$53))</f>
      </c>
      <c r="H51" s="29">
        <f>IF(OR(46&gt;$Z$1,NOT(OR('Your debts'!$B$7&lt;&gt;"",N('Your debts'!$C$7)&gt;0))),"",IF('Your debts'!$D$20="Avalanche",'Avalanche workings'!$M$53,'Snowball workings'!$M$53)+IF('Your debts'!$D$20="Avalanche",'Avalanche workings'!$AG$53,'Snowball workings'!$AG$53))</f>
      </c>
      <c r="I51" s="30">
        <f>IF(OR(46&gt;$Z$1,NOT(OR('Your debts'!$B$7&lt;&gt;"",N('Your debts'!$C$7)&gt;0))),"",IF('Your debts'!$D$20="Avalanche",'Avalanche workings'!$AQ$53,'Snowball workings'!$AQ$53))</f>
      </c>
      <c r="J51" s="29">
        <f>IF(OR(46&gt;$Z$1,NOT(OR('Your debts'!$B$8&lt;&gt;"",N('Your debts'!$C$8)&gt;0))),"",IF('Your debts'!$D$20="Avalanche",'Avalanche workings'!$N$53,'Snowball workings'!$N$53)+IF('Your debts'!$D$20="Avalanche",'Avalanche workings'!$AH$53,'Snowball workings'!$AH$53))</f>
      </c>
      <c r="K51" s="30">
        <f>IF(OR(46&gt;$Z$1,NOT(OR('Your debts'!$B$8&lt;&gt;"",N('Your debts'!$C$8)&gt;0))),"",IF('Your debts'!$D$20="Avalanche",'Avalanche workings'!$AR$53,'Snowball workings'!$AR$53))</f>
      </c>
      <c r="L51" s="29">
        <f>IF(OR(46&gt;$Z$1,NOT(OR('Your debts'!$B$9&lt;&gt;"",N('Your debts'!$C$9)&gt;0))),"",IF('Your debts'!$D$20="Avalanche",'Avalanche workings'!$O$53,'Snowball workings'!$O$53)+IF('Your debts'!$D$20="Avalanche",'Avalanche workings'!$AI$53,'Snowball workings'!$AI$53))</f>
      </c>
      <c r="M51" s="30">
        <f>IF(OR(46&gt;$Z$1,NOT(OR('Your debts'!$B$9&lt;&gt;"",N('Your debts'!$C$9)&gt;0))),"",IF('Your debts'!$D$20="Avalanche",'Avalanche workings'!$AS$53,'Snowball workings'!$AS$53))</f>
      </c>
      <c r="N51" s="29">
        <f>IF(OR(46&gt;$Z$1,NOT(OR('Your debts'!$B$10&lt;&gt;"",N('Your debts'!$C$10)&gt;0))),"",IF('Your debts'!$D$20="Avalanche",'Avalanche workings'!$P$53,'Snowball workings'!$P$53)+IF('Your debts'!$D$20="Avalanche",'Avalanche workings'!$AJ$53,'Snowball workings'!$AJ$53))</f>
      </c>
      <c r="O51" s="30">
        <f>IF(OR(46&gt;$Z$1,NOT(OR('Your debts'!$B$10&lt;&gt;"",N('Your debts'!$C$10)&gt;0))),"",IF('Your debts'!$D$20="Avalanche",'Avalanche workings'!$AT$53,'Snowball workings'!$AT$53))</f>
      </c>
      <c r="P51" s="29">
        <f>IF(OR(46&gt;$Z$1,NOT(OR('Your debts'!$B$11&lt;&gt;"",N('Your debts'!$C$11)&gt;0))),"",IF('Your debts'!$D$20="Avalanche",'Avalanche workings'!$Q$53,'Snowball workings'!$Q$53)+IF('Your debts'!$D$20="Avalanche",'Avalanche workings'!$AK$53,'Snowball workings'!$AK$53))</f>
      </c>
      <c r="Q51" s="30">
        <f>IF(OR(46&gt;$Z$1,NOT(OR('Your debts'!$B$11&lt;&gt;"",N('Your debts'!$C$11)&gt;0))),"",IF('Your debts'!$D$20="Avalanche",'Avalanche workings'!$AU$53,'Snowball workings'!$AU$53))</f>
      </c>
      <c r="R51" s="29">
        <f>IF(OR(46&gt;$Z$1,NOT(OR('Your debts'!$B$12&lt;&gt;"",N('Your debts'!$C$12)&gt;0))),"",IF('Your debts'!$D$20="Avalanche",'Avalanche workings'!$R$53,'Snowball workings'!$R$53)+IF('Your debts'!$D$20="Avalanche",'Avalanche workings'!$AL$53,'Snowball workings'!$AL$53))</f>
      </c>
      <c r="S51" s="30">
        <f>IF(OR(46&gt;$Z$1,NOT(OR('Your debts'!$B$12&lt;&gt;"",N('Your debts'!$C$12)&gt;0))),"",IF('Your debts'!$D$20="Avalanche",'Avalanche workings'!$AV$53,'Snowball workings'!$AV$53))</f>
      </c>
      <c r="T51" s="29">
        <f>IF(OR(46&gt;$Z$1,NOT(OR('Your debts'!$B$13&lt;&gt;"",N('Your debts'!$C$13)&gt;0))),"",IF('Your debts'!$D$20="Avalanche",'Avalanche workings'!$S$53,'Snowball workings'!$S$53)+IF('Your debts'!$D$20="Avalanche",'Avalanche workings'!$AM$53,'Snowball workings'!$AM$53))</f>
      </c>
      <c r="U51" s="30">
        <f>IF(OR(46&gt;$Z$1,NOT(OR('Your debts'!$B$13&lt;&gt;"",N('Your debts'!$C$13)&gt;0))),"",IF('Your debts'!$D$20="Avalanche",'Avalanche workings'!$AW$53,'Snowball workings'!$AW$53))</f>
      </c>
      <c r="V51" s="29">
        <f>IF(OR(46&gt;$Z$1,NOT(OR('Your debts'!$B$14&lt;&gt;"",N('Your debts'!$C$14)&gt;0))),"",IF('Your debts'!$D$20="Avalanche",'Avalanche workings'!$T$53,'Snowball workings'!$T$53)+IF('Your debts'!$D$20="Avalanche",'Avalanche workings'!$AN$53,'Snowball workings'!$AN$53))</f>
      </c>
      <c r="W51" s="30">
        <f>IF(OR(46&gt;$Z$1,NOT(OR('Your debts'!$B$14&lt;&gt;"",N('Your debts'!$C$14)&gt;0))),"",IF('Your debts'!$D$20="Avalanche",'Avalanche workings'!$AX$53,'Snowball workings'!$AX$53))</f>
      </c>
      <c r="X51" s="29">
        <f>IF(OR(46&gt;$Z$1,NOT(OR('Your debts'!$B$15&lt;&gt;"",N('Your debts'!$C$15)&gt;0))),"",IF('Your debts'!$D$20="Avalanche",'Avalanche workings'!$U$53,'Snowball workings'!$U$53)+IF('Your debts'!$D$20="Avalanche",'Avalanche workings'!$AO$53,'Snowball workings'!$AO$53))</f>
      </c>
      <c r="Y51" s="30">
        <f>IF(OR(46&gt;$Z$1,NOT(OR('Your debts'!$B$15&lt;&gt;"",N('Your debts'!$C$15)&gt;0))),"",IF('Your debts'!$D$20="Avalanche",'Avalanche workings'!$AY$53,'Snowball workings'!$AY$53))</f>
      </c>
    </row>
    <row r="52" spans="1:25" x14ac:dyDescent="0.25">
      <c r="A52" s="2">
        <f>IF(47&gt;$Z$1,"",47)</f>
      </c>
      <c r="B52" s="28">
        <f>IF(47&gt;$Z$1,"",EDATE('Your debts'!$D$21,46))</f>
      </c>
      <c r="C52" s="29">
        <f>IF(47&gt;$Z$1,"",IF('Your debts'!$D$20="Avalanche",'Avalanche workings'!$BC$54,'Snowball workings'!$BC$54))</f>
      </c>
      <c r="D52" s="29">
        <f>IF(47&gt;$Z$1,"",IF('Your debts'!$D$20="Avalanche",'Avalanche workings'!$BA$54,'Snowball workings'!$BA$54))</f>
      </c>
      <c r="E52" s="29">
        <f>IF(47&gt;$Z$1,"",IF('Your debts'!$D$20="Avalanche",'Avalanche workings'!$BB$54,'Snowball workings'!$BB$54))</f>
      </c>
      <c r="F52" s="29">
        <f>IF(OR(47&gt;$Z$1,NOT(OR('Your debts'!$B$6&lt;&gt;"",N('Your debts'!$C$6)&gt;0))),"",IF('Your debts'!$D$20="Avalanche",'Avalanche workings'!$L$54,'Snowball workings'!$L$54)+IF('Your debts'!$D$20="Avalanche",'Avalanche workings'!$AF$54,'Snowball workings'!$AF$54))</f>
      </c>
      <c r="G52" s="30">
        <f>IF(OR(47&gt;$Z$1,NOT(OR('Your debts'!$B$6&lt;&gt;"",N('Your debts'!$C$6)&gt;0))),"",IF('Your debts'!$D$20="Avalanche",'Avalanche workings'!$AP$54,'Snowball workings'!$AP$54))</f>
      </c>
      <c r="H52" s="29">
        <f>IF(OR(47&gt;$Z$1,NOT(OR('Your debts'!$B$7&lt;&gt;"",N('Your debts'!$C$7)&gt;0))),"",IF('Your debts'!$D$20="Avalanche",'Avalanche workings'!$M$54,'Snowball workings'!$M$54)+IF('Your debts'!$D$20="Avalanche",'Avalanche workings'!$AG$54,'Snowball workings'!$AG$54))</f>
      </c>
      <c r="I52" s="30">
        <f>IF(OR(47&gt;$Z$1,NOT(OR('Your debts'!$B$7&lt;&gt;"",N('Your debts'!$C$7)&gt;0))),"",IF('Your debts'!$D$20="Avalanche",'Avalanche workings'!$AQ$54,'Snowball workings'!$AQ$54))</f>
      </c>
      <c r="J52" s="29">
        <f>IF(OR(47&gt;$Z$1,NOT(OR('Your debts'!$B$8&lt;&gt;"",N('Your debts'!$C$8)&gt;0))),"",IF('Your debts'!$D$20="Avalanche",'Avalanche workings'!$N$54,'Snowball workings'!$N$54)+IF('Your debts'!$D$20="Avalanche",'Avalanche workings'!$AH$54,'Snowball workings'!$AH$54))</f>
      </c>
      <c r="K52" s="30">
        <f>IF(OR(47&gt;$Z$1,NOT(OR('Your debts'!$B$8&lt;&gt;"",N('Your debts'!$C$8)&gt;0))),"",IF('Your debts'!$D$20="Avalanche",'Avalanche workings'!$AR$54,'Snowball workings'!$AR$54))</f>
      </c>
      <c r="L52" s="29">
        <f>IF(OR(47&gt;$Z$1,NOT(OR('Your debts'!$B$9&lt;&gt;"",N('Your debts'!$C$9)&gt;0))),"",IF('Your debts'!$D$20="Avalanche",'Avalanche workings'!$O$54,'Snowball workings'!$O$54)+IF('Your debts'!$D$20="Avalanche",'Avalanche workings'!$AI$54,'Snowball workings'!$AI$54))</f>
      </c>
      <c r="M52" s="30">
        <f>IF(OR(47&gt;$Z$1,NOT(OR('Your debts'!$B$9&lt;&gt;"",N('Your debts'!$C$9)&gt;0))),"",IF('Your debts'!$D$20="Avalanche",'Avalanche workings'!$AS$54,'Snowball workings'!$AS$54))</f>
      </c>
      <c r="N52" s="29">
        <f>IF(OR(47&gt;$Z$1,NOT(OR('Your debts'!$B$10&lt;&gt;"",N('Your debts'!$C$10)&gt;0))),"",IF('Your debts'!$D$20="Avalanche",'Avalanche workings'!$P$54,'Snowball workings'!$P$54)+IF('Your debts'!$D$20="Avalanche",'Avalanche workings'!$AJ$54,'Snowball workings'!$AJ$54))</f>
      </c>
      <c r="O52" s="30">
        <f>IF(OR(47&gt;$Z$1,NOT(OR('Your debts'!$B$10&lt;&gt;"",N('Your debts'!$C$10)&gt;0))),"",IF('Your debts'!$D$20="Avalanche",'Avalanche workings'!$AT$54,'Snowball workings'!$AT$54))</f>
      </c>
      <c r="P52" s="29">
        <f>IF(OR(47&gt;$Z$1,NOT(OR('Your debts'!$B$11&lt;&gt;"",N('Your debts'!$C$11)&gt;0))),"",IF('Your debts'!$D$20="Avalanche",'Avalanche workings'!$Q$54,'Snowball workings'!$Q$54)+IF('Your debts'!$D$20="Avalanche",'Avalanche workings'!$AK$54,'Snowball workings'!$AK$54))</f>
      </c>
      <c r="Q52" s="30">
        <f>IF(OR(47&gt;$Z$1,NOT(OR('Your debts'!$B$11&lt;&gt;"",N('Your debts'!$C$11)&gt;0))),"",IF('Your debts'!$D$20="Avalanche",'Avalanche workings'!$AU$54,'Snowball workings'!$AU$54))</f>
      </c>
      <c r="R52" s="29">
        <f>IF(OR(47&gt;$Z$1,NOT(OR('Your debts'!$B$12&lt;&gt;"",N('Your debts'!$C$12)&gt;0))),"",IF('Your debts'!$D$20="Avalanche",'Avalanche workings'!$R$54,'Snowball workings'!$R$54)+IF('Your debts'!$D$20="Avalanche",'Avalanche workings'!$AL$54,'Snowball workings'!$AL$54))</f>
      </c>
      <c r="S52" s="30">
        <f>IF(OR(47&gt;$Z$1,NOT(OR('Your debts'!$B$12&lt;&gt;"",N('Your debts'!$C$12)&gt;0))),"",IF('Your debts'!$D$20="Avalanche",'Avalanche workings'!$AV$54,'Snowball workings'!$AV$54))</f>
      </c>
      <c r="T52" s="29">
        <f>IF(OR(47&gt;$Z$1,NOT(OR('Your debts'!$B$13&lt;&gt;"",N('Your debts'!$C$13)&gt;0))),"",IF('Your debts'!$D$20="Avalanche",'Avalanche workings'!$S$54,'Snowball workings'!$S$54)+IF('Your debts'!$D$20="Avalanche",'Avalanche workings'!$AM$54,'Snowball workings'!$AM$54))</f>
      </c>
      <c r="U52" s="30">
        <f>IF(OR(47&gt;$Z$1,NOT(OR('Your debts'!$B$13&lt;&gt;"",N('Your debts'!$C$13)&gt;0))),"",IF('Your debts'!$D$20="Avalanche",'Avalanche workings'!$AW$54,'Snowball workings'!$AW$54))</f>
      </c>
      <c r="V52" s="29">
        <f>IF(OR(47&gt;$Z$1,NOT(OR('Your debts'!$B$14&lt;&gt;"",N('Your debts'!$C$14)&gt;0))),"",IF('Your debts'!$D$20="Avalanche",'Avalanche workings'!$T$54,'Snowball workings'!$T$54)+IF('Your debts'!$D$20="Avalanche",'Avalanche workings'!$AN$54,'Snowball workings'!$AN$54))</f>
      </c>
      <c r="W52" s="30">
        <f>IF(OR(47&gt;$Z$1,NOT(OR('Your debts'!$B$14&lt;&gt;"",N('Your debts'!$C$14)&gt;0))),"",IF('Your debts'!$D$20="Avalanche",'Avalanche workings'!$AX$54,'Snowball workings'!$AX$54))</f>
      </c>
      <c r="X52" s="29">
        <f>IF(OR(47&gt;$Z$1,NOT(OR('Your debts'!$B$15&lt;&gt;"",N('Your debts'!$C$15)&gt;0))),"",IF('Your debts'!$D$20="Avalanche",'Avalanche workings'!$U$54,'Snowball workings'!$U$54)+IF('Your debts'!$D$20="Avalanche",'Avalanche workings'!$AO$54,'Snowball workings'!$AO$54))</f>
      </c>
      <c r="Y52" s="30">
        <f>IF(OR(47&gt;$Z$1,NOT(OR('Your debts'!$B$15&lt;&gt;"",N('Your debts'!$C$15)&gt;0))),"",IF('Your debts'!$D$20="Avalanche",'Avalanche workings'!$AY$54,'Snowball workings'!$AY$54))</f>
      </c>
    </row>
    <row r="53" spans="1:25" x14ac:dyDescent="0.25">
      <c r="A53" s="2">
        <f>IF(48&gt;$Z$1,"",48)</f>
      </c>
      <c r="B53" s="28">
        <f>IF(48&gt;$Z$1,"",EDATE('Your debts'!$D$21,47))</f>
      </c>
      <c r="C53" s="29">
        <f>IF(48&gt;$Z$1,"",IF('Your debts'!$D$20="Avalanche",'Avalanche workings'!$BC$55,'Snowball workings'!$BC$55))</f>
      </c>
      <c r="D53" s="29">
        <f>IF(48&gt;$Z$1,"",IF('Your debts'!$D$20="Avalanche",'Avalanche workings'!$BA$55,'Snowball workings'!$BA$55))</f>
      </c>
      <c r="E53" s="29">
        <f>IF(48&gt;$Z$1,"",IF('Your debts'!$D$20="Avalanche",'Avalanche workings'!$BB$55,'Snowball workings'!$BB$55))</f>
      </c>
      <c r="F53" s="29">
        <f>IF(OR(48&gt;$Z$1,NOT(OR('Your debts'!$B$6&lt;&gt;"",N('Your debts'!$C$6)&gt;0))),"",IF('Your debts'!$D$20="Avalanche",'Avalanche workings'!$L$55,'Snowball workings'!$L$55)+IF('Your debts'!$D$20="Avalanche",'Avalanche workings'!$AF$55,'Snowball workings'!$AF$55))</f>
      </c>
      <c r="G53" s="30">
        <f>IF(OR(48&gt;$Z$1,NOT(OR('Your debts'!$B$6&lt;&gt;"",N('Your debts'!$C$6)&gt;0))),"",IF('Your debts'!$D$20="Avalanche",'Avalanche workings'!$AP$55,'Snowball workings'!$AP$55))</f>
      </c>
      <c r="H53" s="29">
        <f>IF(OR(48&gt;$Z$1,NOT(OR('Your debts'!$B$7&lt;&gt;"",N('Your debts'!$C$7)&gt;0))),"",IF('Your debts'!$D$20="Avalanche",'Avalanche workings'!$M$55,'Snowball workings'!$M$55)+IF('Your debts'!$D$20="Avalanche",'Avalanche workings'!$AG$55,'Snowball workings'!$AG$55))</f>
      </c>
      <c r="I53" s="30">
        <f>IF(OR(48&gt;$Z$1,NOT(OR('Your debts'!$B$7&lt;&gt;"",N('Your debts'!$C$7)&gt;0))),"",IF('Your debts'!$D$20="Avalanche",'Avalanche workings'!$AQ$55,'Snowball workings'!$AQ$55))</f>
      </c>
      <c r="J53" s="29">
        <f>IF(OR(48&gt;$Z$1,NOT(OR('Your debts'!$B$8&lt;&gt;"",N('Your debts'!$C$8)&gt;0))),"",IF('Your debts'!$D$20="Avalanche",'Avalanche workings'!$N$55,'Snowball workings'!$N$55)+IF('Your debts'!$D$20="Avalanche",'Avalanche workings'!$AH$55,'Snowball workings'!$AH$55))</f>
      </c>
      <c r="K53" s="30">
        <f>IF(OR(48&gt;$Z$1,NOT(OR('Your debts'!$B$8&lt;&gt;"",N('Your debts'!$C$8)&gt;0))),"",IF('Your debts'!$D$20="Avalanche",'Avalanche workings'!$AR$55,'Snowball workings'!$AR$55))</f>
      </c>
      <c r="L53" s="29">
        <f>IF(OR(48&gt;$Z$1,NOT(OR('Your debts'!$B$9&lt;&gt;"",N('Your debts'!$C$9)&gt;0))),"",IF('Your debts'!$D$20="Avalanche",'Avalanche workings'!$O$55,'Snowball workings'!$O$55)+IF('Your debts'!$D$20="Avalanche",'Avalanche workings'!$AI$55,'Snowball workings'!$AI$55))</f>
      </c>
      <c r="M53" s="30">
        <f>IF(OR(48&gt;$Z$1,NOT(OR('Your debts'!$B$9&lt;&gt;"",N('Your debts'!$C$9)&gt;0))),"",IF('Your debts'!$D$20="Avalanche",'Avalanche workings'!$AS$55,'Snowball workings'!$AS$55))</f>
      </c>
      <c r="N53" s="29">
        <f>IF(OR(48&gt;$Z$1,NOT(OR('Your debts'!$B$10&lt;&gt;"",N('Your debts'!$C$10)&gt;0))),"",IF('Your debts'!$D$20="Avalanche",'Avalanche workings'!$P$55,'Snowball workings'!$P$55)+IF('Your debts'!$D$20="Avalanche",'Avalanche workings'!$AJ$55,'Snowball workings'!$AJ$55))</f>
      </c>
      <c r="O53" s="30">
        <f>IF(OR(48&gt;$Z$1,NOT(OR('Your debts'!$B$10&lt;&gt;"",N('Your debts'!$C$10)&gt;0))),"",IF('Your debts'!$D$20="Avalanche",'Avalanche workings'!$AT$55,'Snowball workings'!$AT$55))</f>
      </c>
      <c r="P53" s="29">
        <f>IF(OR(48&gt;$Z$1,NOT(OR('Your debts'!$B$11&lt;&gt;"",N('Your debts'!$C$11)&gt;0))),"",IF('Your debts'!$D$20="Avalanche",'Avalanche workings'!$Q$55,'Snowball workings'!$Q$55)+IF('Your debts'!$D$20="Avalanche",'Avalanche workings'!$AK$55,'Snowball workings'!$AK$55))</f>
      </c>
      <c r="Q53" s="30">
        <f>IF(OR(48&gt;$Z$1,NOT(OR('Your debts'!$B$11&lt;&gt;"",N('Your debts'!$C$11)&gt;0))),"",IF('Your debts'!$D$20="Avalanche",'Avalanche workings'!$AU$55,'Snowball workings'!$AU$55))</f>
      </c>
      <c r="R53" s="29">
        <f>IF(OR(48&gt;$Z$1,NOT(OR('Your debts'!$B$12&lt;&gt;"",N('Your debts'!$C$12)&gt;0))),"",IF('Your debts'!$D$20="Avalanche",'Avalanche workings'!$R$55,'Snowball workings'!$R$55)+IF('Your debts'!$D$20="Avalanche",'Avalanche workings'!$AL$55,'Snowball workings'!$AL$55))</f>
      </c>
      <c r="S53" s="30">
        <f>IF(OR(48&gt;$Z$1,NOT(OR('Your debts'!$B$12&lt;&gt;"",N('Your debts'!$C$12)&gt;0))),"",IF('Your debts'!$D$20="Avalanche",'Avalanche workings'!$AV$55,'Snowball workings'!$AV$55))</f>
      </c>
      <c r="T53" s="29">
        <f>IF(OR(48&gt;$Z$1,NOT(OR('Your debts'!$B$13&lt;&gt;"",N('Your debts'!$C$13)&gt;0))),"",IF('Your debts'!$D$20="Avalanche",'Avalanche workings'!$S$55,'Snowball workings'!$S$55)+IF('Your debts'!$D$20="Avalanche",'Avalanche workings'!$AM$55,'Snowball workings'!$AM$55))</f>
      </c>
      <c r="U53" s="30">
        <f>IF(OR(48&gt;$Z$1,NOT(OR('Your debts'!$B$13&lt;&gt;"",N('Your debts'!$C$13)&gt;0))),"",IF('Your debts'!$D$20="Avalanche",'Avalanche workings'!$AW$55,'Snowball workings'!$AW$55))</f>
      </c>
      <c r="V53" s="29">
        <f>IF(OR(48&gt;$Z$1,NOT(OR('Your debts'!$B$14&lt;&gt;"",N('Your debts'!$C$14)&gt;0))),"",IF('Your debts'!$D$20="Avalanche",'Avalanche workings'!$T$55,'Snowball workings'!$T$55)+IF('Your debts'!$D$20="Avalanche",'Avalanche workings'!$AN$55,'Snowball workings'!$AN$55))</f>
      </c>
      <c r="W53" s="30">
        <f>IF(OR(48&gt;$Z$1,NOT(OR('Your debts'!$B$14&lt;&gt;"",N('Your debts'!$C$14)&gt;0))),"",IF('Your debts'!$D$20="Avalanche",'Avalanche workings'!$AX$55,'Snowball workings'!$AX$55))</f>
      </c>
      <c r="X53" s="29">
        <f>IF(OR(48&gt;$Z$1,NOT(OR('Your debts'!$B$15&lt;&gt;"",N('Your debts'!$C$15)&gt;0))),"",IF('Your debts'!$D$20="Avalanche",'Avalanche workings'!$U$55,'Snowball workings'!$U$55)+IF('Your debts'!$D$20="Avalanche",'Avalanche workings'!$AO$55,'Snowball workings'!$AO$55))</f>
      </c>
      <c r="Y53" s="30">
        <f>IF(OR(48&gt;$Z$1,NOT(OR('Your debts'!$B$15&lt;&gt;"",N('Your debts'!$C$15)&gt;0))),"",IF('Your debts'!$D$20="Avalanche",'Avalanche workings'!$AY$55,'Snowball workings'!$AY$55))</f>
      </c>
    </row>
    <row r="54" spans="1:25" x14ac:dyDescent="0.25">
      <c r="A54" s="2">
        <f>IF(49&gt;$Z$1,"",49)</f>
      </c>
      <c r="B54" s="28">
        <f>IF(49&gt;$Z$1,"",EDATE('Your debts'!$D$21,48))</f>
      </c>
      <c r="C54" s="29">
        <f>IF(49&gt;$Z$1,"",IF('Your debts'!$D$20="Avalanche",'Avalanche workings'!$BC$56,'Snowball workings'!$BC$56))</f>
      </c>
      <c r="D54" s="29">
        <f>IF(49&gt;$Z$1,"",IF('Your debts'!$D$20="Avalanche",'Avalanche workings'!$BA$56,'Snowball workings'!$BA$56))</f>
      </c>
      <c r="E54" s="29">
        <f>IF(49&gt;$Z$1,"",IF('Your debts'!$D$20="Avalanche",'Avalanche workings'!$BB$56,'Snowball workings'!$BB$56))</f>
      </c>
      <c r="F54" s="29">
        <f>IF(OR(49&gt;$Z$1,NOT(OR('Your debts'!$B$6&lt;&gt;"",N('Your debts'!$C$6)&gt;0))),"",IF('Your debts'!$D$20="Avalanche",'Avalanche workings'!$L$56,'Snowball workings'!$L$56)+IF('Your debts'!$D$20="Avalanche",'Avalanche workings'!$AF$56,'Snowball workings'!$AF$56))</f>
      </c>
      <c r="G54" s="30">
        <f>IF(OR(49&gt;$Z$1,NOT(OR('Your debts'!$B$6&lt;&gt;"",N('Your debts'!$C$6)&gt;0))),"",IF('Your debts'!$D$20="Avalanche",'Avalanche workings'!$AP$56,'Snowball workings'!$AP$56))</f>
      </c>
      <c r="H54" s="29">
        <f>IF(OR(49&gt;$Z$1,NOT(OR('Your debts'!$B$7&lt;&gt;"",N('Your debts'!$C$7)&gt;0))),"",IF('Your debts'!$D$20="Avalanche",'Avalanche workings'!$M$56,'Snowball workings'!$M$56)+IF('Your debts'!$D$20="Avalanche",'Avalanche workings'!$AG$56,'Snowball workings'!$AG$56))</f>
      </c>
      <c r="I54" s="30">
        <f>IF(OR(49&gt;$Z$1,NOT(OR('Your debts'!$B$7&lt;&gt;"",N('Your debts'!$C$7)&gt;0))),"",IF('Your debts'!$D$20="Avalanche",'Avalanche workings'!$AQ$56,'Snowball workings'!$AQ$56))</f>
      </c>
      <c r="J54" s="29">
        <f>IF(OR(49&gt;$Z$1,NOT(OR('Your debts'!$B$8&lt;&gt;"",N('Your debts'!$C$8)&gt;0))),"",IF('Your debts'!$D$20="Avalanche",'Avalanche workings'!$N$56,'Snowball workings'!$N$56)+IF('Your debts'!$D$20="Avalanche",'Avalanche workings'!$AH$56,'Snowball workings'!$AH$56))</f>
      </c>
      <c r="K54" s="30">
        <f>IF(OR(49&gt;$Z$1,NOT(OR('Your debts'!$B$8&lt;&gt;"",N('Your debts'!$C$8)&gt;0))),"",IF('Your debts'!$D$20="Avalanche",'Avalanche workings'!$AR$56,'Snowball workings'!$AR$56))</f>
      </c>
      <c r="L54" s="29">
        <f>IF(OR(49&gt;$Z$1,NOT(OR('Your debts'!$B$9&lt;&gt;"",N('Your debts'!$C$9)&gt;0))),"",IF('Your debts'!$D$20="Avalanche",'Avalanche workings'!$O$56,'Snowball workings'!$O$56)+IF('Your debts'!$D$20="Avalanche",'Avalanche workings'!$AI$56,'Snowball workings'!$AI$56))</f>
      </c>
      <c r="M54" s="30">
        <f>IF(OR(49&gt;$Z$1,NOT(OR('Your debts'!$B$9&lt;&gt;"",N('Your debts'!$C$9)&gt;0))),"",IF('Your debts'!$D$20="Avalanche",'Avalanche workings'!$AS$56,'Snowball workings'!$AS$56))</f>
      </c>
      <c r="N54" s="29">
        <f>IF(OR(49&gt;$Z$1,NOT(OR('Your debts'!$B$10&lt;&gt;"",N('Your debts'!$C$10)&gt;0))),"",IF('Your debts'!$D$20="Avalanche",'Avalanche workings'!$P$56,'Snowball workings'!$P$56)+IF('Your debts'!$D$20="Avalanche",'Avalanche workings'!$AJ$56,'Snowball workings'!$AJ$56))</f>
      </c>
      <c r="O54" s="30">
        <f>IF(OR(49&gt;$Z$1,NOT(OR('Your debts'!$B$10&lt;&gt;"",N('Your debts'!$C$10)&gt;0))),"",IF('Your debts'!$D$20="Avalanche",'Avalanche workings'!$AT$56,'Snowball workings'!$AT$56))</f>
      </c>
      <c r="P54" s="29">
        <f>IF(OR(49&gt;$Z$1,NOT(OR('Your debts'!$B$11&lt;&gt;"",N('Your debts'!$C$11)&gt;0))),"",IF('Your debts'!$D$20="Avalanche",'Avalanche workings'!$Q$56,'Snowball workings'!$Q$56)+IF('Your debts'!$D$20="Avalanche",'Avalanche workings'!$AK$56,'Snowball workings'!$AK$56))</f>
      </c>
      <c r="Q54" s="30">
        <f>IF(OR(49&gt;$Z$1,NOT(OR('Your debts'!$B$11&lt;&gt;"",N('Your debts'!$C$11)&gt;0))),"",IF('Your debts'!$D$20="Avalanche",'Avalanche workings'!$AU$56,'Snowball workings'!$AU$56))</f>
      </c>
      <c r="R54" s="29">
        <f>IF(OR(49&gt;$Z$1,NOT(OR('Your debts'!$B$12&lt;&gt;"",N('Your debts'!$C$12)&gt;0))),"",IF('Your debts'!$D$20="Avalanche",'Avalanche workings'!$R$56,'Snowball workings'!$R$56)+IF('Your debts'!$D$20="Avalanche",'Avalanche workings'!$AL$56,'Snowball workings'!$AL$56))</f>
      </c>
      <c r="S54" s="30">
        <f>IF(OR(49&gt;$Z$1,NOT(OR('Your debts'!$B$12&lt;&gt;"",N('Your debts'!$C$12)&gt;0))),"",IF('Your debts'!$D$20="Avalanche",'Avalanche workings'!$AV$56,'Snowball workings'!$AV$56))</f>
      </c>
      <c r="T54" s="29">
        <f>IF(OR(49&gt;$Z$1,NOT(OR('Your debts'!$B$13&lt;&gt;"",N('Your debts'!$C$13)&gt;0))),"",IF('Your debts'!$D$20="Avalanche",'Avalanche workings'!$S$56,'Snowball workings'!$S$56)+IF('Your debts'!$D$20="Avalanche",'Avalanche workings'!$AM$56,'Snowball workings'!$AM$56))</f>
      </c>
      <c r="U54" s="30">
        <f>IF(OR(49&gt;$Z$1,NOT(OR('Your debts'!$B$13&lt;&gt;"",N('Your debts'!$C$13)&gt;0))),"",IF('Your debts'!$D$20="Avalanche",'Avalanche workings'!$AW$56,'Snowball workings'!$AW$56))</f>
      </c>
      <c r="V54" s="29">
        <f>IF(OR(49&gt;$Z$1,NOT(OR('Your debts'!$B$14&lt;&gt;"",N('Your debts'!$C$14)&gt;0))),"",IF('Your debts'!$D$20="Avalanche",'Avalanche workings'!$T$56,'Snowball workings'!$T$56)+IF('Your debts'!$D$20="Avalanche",'Avalanche workings'!$AN$56,'Snowball workings'!$AN$56))</f>
      </c>
      <c r="W54" s="30">
        <f>IF(OR(49&gt;$Z$1,NOT(OR('Your debts'!$B$14&lt;&gt;"",N('Your debts'!$C$14)&gt;0))),"",IF('Your debts'!$D$20="Avalanche",'Avalanche workings'!$AX$56,'Snowball workings'!$AX$56))</f>
      </c>
      <c r="X54" s="29">
        <f>IF(OR(49&gt;$Z$1,NOT(OR('Your debts'!$B$15&lt;&gt;"",N('Your debts'!$C$15)&gt;0))),"",IF('Your debts'!$D$20="Avalanche",'Avalanche workings'!$U$56,'Snowball workings'!$U$56)+IF('Your debts'!$D$20="Avalanche",'Avalanche workings'!$AO$56,'Snowball workings'!$AO$56))</f>
      </c>
      <c r="Y54" s="30">
        <f>IF(OR(49&gt;$Z$1,NOT(OR('Your debts'!$B$15&lt;&gt;"",N('Your debts'!$C$15)&gt;0))),"",IF('Your debts'!$D$20="Avalanche",'Avalanche workings'!$AY$56,'Snowball workings'!$AY$56))</f>
      </c>
    </row>
    <row r="55" spans="1:25" x14ac:dyDescent="0.25">
      <c r="A55" s="2">
        <f>IF(50&gt;$Z$1,"",50)</f>
      </c>
      <c r="B55" s="28">
        <f>IF(50&gt;$Z$1,"",EDATE('Your debts'!$D$21,49))</f>
      </c>
      <c r="C55" s="29">
        <f>IF(50&gt;$Z$1,"",IF('Your debts'!$D$20="Avalanche",'Avalanche workings'!$BC$57,'Snowball workings'!$BC$57))</f>
      </c>
      <c r="D55" s="29">
        <f>IF(50&gt;$Z$1,"",IF('Your debts'!$D$20="Avalanche",'Avalanche workings'!$BA$57,'Snowball workings'!$BA$57))</f>
      </c>
      <c r="E55" s="29">
        <f>IF(50&gt;$Z$1,"",IF('Your debts'!$D$20="Avalanche",'Avalanche workings'!$BB$57,'Snowball workings'!$BB$57))</f>
      </c>
      <c r="F55" s="29">
        <f>IF(OR(50&gt;$Z$1,NOT(OR('Your debts'!$B$6&lt;&gt;"",N('Your debts'!$C$6)&gt;0))),"",IF('Your debts'!$D$20="Avalanche",'Avalanche workings'!$L$57,'Snowball workings'!$L$57)+IF('Your debts'!$D$20="Avalanche",'Avalanche workings'!$AF$57,'Snowball workings'!$AF$57))</f>
      </c>
      <c r="G55" s="30">
        <f>IF(OR(50&gt;$Z$1,NOT(OR('Your debts'!$B$6&lt;&gt;"",N('Your debts'!$C$6)&gt;0))),"",IF('Your debts'!$D$20="Avalanche",'Avalanche workings'!$AP$57,'Snowball workings'!$AP$57))</f>
      </c>
      <c r="H55" s="29">
        <f>IF(OR(50&gt;$Z$1,NOT(OR('Your debts'!$B$7&lt;&gt;"",N('Your debts'!$C$7)&gt;0))),"",IF('Your debts'!$D$20="Avalanche",'Avalanche workings'!$M$57,'Snowball workings'!$M$57)+IF('Your debts'!$D$20="Avalanche",'Avalanche workings'!$AG$57,'Snowball workings'!$AG$57))</f>
      </c>
      <c r="I55" s="30">
        <f>IF(OR(50&gt;$Z$1,NOT(OR('Your debts'!$B$7&lt;&gt;"",N('Your debts'!$C$7)&gt;0))),"",IF('Your debts'!$D$20="Avalanche",'Avalanche workings'!$AQ$57,'Snowball workings'!$AQ$57))</f>
      </c>
      <c r="J55" s="29">
        <f>IF(OR(50&gt;$Z$1,NOT(OR('Your debts'!$B$8&lt;&gt;"",N('Your debts'!$C$8)&gt;0))),"",IF('Your debts'!$D$20="Avalanche",'Avalanche workings'!$N$57,'Snowball workings'!$N$57)+IF('Your debts'!$D$20="Avalanche",'Avalanche workings'!$AH$57,'Snowball workings'!$AH$57))</f>
      </c>
      <c r="K55" s="30">
        <f>IF(OR(50&gt;$Z$1,NOT(OR('Your debts'!$B$8&lt;&gt;"",N('Your debts'!$C$8)&gt;0))),"",IF('Your debts'!$D$20="Avalanche",'Avalanche workings'!$AR$57,'Snowball workings'!$AR$57))</f>
      </c>
      <c r="L55" s="29">
        <f>IF(OR(50&gt;$Z$1,NOT(OR('Your debts'!$B$9&lt;&gt;"",N('Your debts'!$C$9)&gt;0))),"",IF('Your debts'!$D$20="Avalanche",'Avalanche workings'!$O$57,'Snowball workings'!$O$57)+IF('Your debts'!$D$20="Avalanche",'Avalanche workings'!$AI$57,'Snowball workings'!$AI$57))</f>
      </c>
      <c r="M55" s="30">
        <f>IF(OR(50&gt;$Z$1,NOT(OR('Your debts'!$B$9&lt;&gt;"",N('Your debts'!$C$9)&gt;0))),"",IF('Your debts'!$D$20="Avalanche",'Avalanche workings'!$AS$57,'Snowball workings'!$AS$57))</f>
      </c>
      <c r="N55" s="29">
        <f>IF(OR(50&gt;$Z$1,NOT(OR('Your debts'!$B$10&lt;&gt;"",N('Your debts'!$C$10)&gt;0))),"",IF('Your debts'!$D$20="Avalanche",'Avalanche workings'!$P$57,'Snowball workings'!$P$57)+IF('Your debts'!$D$20="Avalanche",'Avalanche workings'!$AJ$57,'Snowball workings'!$AJ$57))</f>
      </c>
      <c r="O55" s="30">
        <f>IF(OR(50&gt;$Z$1,NOT(OR('Your debts'!$B$10&lt;&gt;"",N('Your debts'!$C$10)&gt;0))),"",IF('Your debts'!$D$20="Avalanche",'Avalanche workings'!$AT$57,'Snowball workings'!$AT$57))</f>
      </c>
      <c r="P55" s="29">
        <f>IF(OR(50&gt;$Z$1,NOT(OR('Your debts'!$B$11&lt;&gt;"",N('Your debts'!$C$11)&gt;0))),"",IF('Your debts'!$D$20="Avalanche",'Avalanche workings'!$Q$57,'Snowball workings'!$Q$57)+IF('Your debts'!$D$20="Avalanche",'Avalanche workings'!$AK$57,'Snowball workings'!$AK$57))</f>
      </c>
      <c r="Q55" s="30">
        <f>IF(OR(50&gt;$Z$1,NOT(OR('Your debts'!$B$11&lt;&gt;"",N('Your debts'!$C$11)&gt;0))),"",IF('Your debts'!$D$20="Avalanche",'Avalanche workings'!$AU$57,'Snowball workings'!$AU$57))</f>
      </c>
      <c r="R55" s="29">
        <f>IF(OR(50&gt;$Z$1,NOT(OR('Your debts'!$B$12&lt;&gt;"",N('Your debts'!$C$12)&gt;0))),"",IF('Your debts'!$D$20="Avalanche",'Avalanche workings'!$R$57,'Snowball workings'!$R$57)+IF('Your debts'!$D$20="Avalanche",'Avalanche workings'!$AL$57,'Snowball workings'!$AL$57))</f>
      </c>
      <c r="S55" s="30">
        <f>IF(OR(50&gt;$Z$1,NOT(OR('Your debts'!$B$12&lt;&gt;"",N('Your debts'!$C$12)&gt;0))),"",IF('Your debts'!$D$20="Avalanche",'Avalanche workings'!$AV$57,'Snowball workings'!$AV$57))</f>
      </c>
      <c r="T55" s="29">
        <f>IF(OR(50&gt;$Z$1,NOT(OR('Your debts'!$B$13&lt;&gt;"",N('Your debts'!$C$13)&gt;0))),"",IF('Your debts'!$D$20="Avalanche",'Avalanche workings'!$S$57,'Snowball workings'!$S$57)+IF('Your debts'!$D$20="Avalanche",'Avalanche workings'!$AM$57,'Snowball workings'!$AM$57))</f>
      </c>
      <c r="U55" s="30">
        <f>IF(OR(50&gt;$Z$1,NOT(OR('Your debts'!$B$13&lt;&gt;"",N('Your debts'!$C$13)&gt;0))),"",IF('Your debts'!$D$20="Avalanche",'Avalanche workings'!$AW$57,'Snowball workings'!$AW$57))</f>
      </c>
      <c r="V55" s="29">
        <f>IF(OR(50&gt;$Z$1,NOT(OR('Your debts'!$B$14&lt;&gt;"",N('Your debts'!$C$14)&gt;0))),"",IF('Your debts'!$D$20="Avalanche",'Avalanche workings'!$T$57,'Snowball workings'!$T$57)+IF('Your debts'!$D$20="Avalanche",'Avalanche workings'!$AN$57,'Snowball workings'!$AN$57))</f>
      </c>
      <c r="W55" s="30">
        <f>IF(OR(50&gt;$Z$1,NOT(OR('Your debts'!$B$14&lt;&gt;"",N('Your debts'!$C$14)&gt;0))),"",IF('Your debts'!$D$20="Avalanche",'Avalanche workings'!$AX$57,'Snowball workings'!$AX$57))</f>
      </c>
      <c r="X55" s="29">
        <f>IF(OR(50&gt;$Z$1,NOT(OR('Your debts'!$B$15&lt;&gt;"",N('Your debts'!$C$15)&gt;0))),"",IF('Your debts'!$D$20="Avalanche",'Avalanche workings'!$U$57,'Snowball workings'!$U$57)+IF('Your debts'!$D$20="Avalanche",'Avalanche workings'!$AO$57,'Snowball workings'!$AO$57))</f>
      </c>
      <c r="Y55" s="30">
        <f>IF(OR(50&gt;$Z$1,NOT(OR('Your debts'!$B$15&lt;&gt;"",N('Your debts'!$C$15)&gt;0))),"",IF('Your debts'!$D$20="Avalanche",'Avalanche workings'!$AY$57,'Snowball workings'!$AY$57))</f>
      </c>
    </row>
    <row r="56" spans="1:25" x14ac:dyDescent="0.25">
      <c r="A56" s="2">
        <f>IF(51&gt;$Z$1,"",51)</f>
      </c>
      <c r="B56" s="28">
        <f>IF(51&gt;$Z$1,"",EDATE('Your debts'!$D$21,50))</f>
      </c>
      <c r="C56" s="29">
        <f>IF(51&gt;$Z$1,"",IF('Your debts'!$D$20="Avalanche",'Avalanche workings'!$BC$58,'Snowball workings'!$BC$58))</f>
      </c>
      <c r="D56" s="29">
        <f>IF(51&gt;$Z$1,"",IF('Your debts'!$D$20="Avalanche",'Avalanche workings'!$BA$58,'Snowball workings'!$BA$58))</f>
      </c>
      <c r="E56" s="29">
        <f>IF(51&gt;$Z$1,"",IF('Your debts'!$D$20="Avalanche",'Avalanche workings'!$BB$58,'Snowball workings'!$BB$58))</f>
      </c>
      <c r="F56" s="29">
        <f>IF(OR(51&gt;$Z$1,NOT(OR('Your debts'!$B$6&lt;&gt;"",N('Your debts'!$C$6)&gt;0))),"",IF('Your debts'!$D$20="Avalanche",'Avalanche workings'!$L$58,'Snowball workings'!$L$58)+IF('Your debts'!$D$20="Avalanche",'Avalanche workings'!$AF$58,'Snowball workings'!$AF$58))</f>
      </c>
      <c r="G56" s="30">
        <f>IF(OR(51&gt;$Z$1,NOT(OR('Your debts'!$B$6&lt;&gt;"",N('Your debts'!$C$6)&gt;0))),"",IF('Your debts'!$D$20="Avalanche",'Avalanche workings'!$AP$58,'Snowball workings'!$AP$58))</f>
      </c>
      <c r="H56" s="29">
        <f>IF(OR(51&gt;$Z$1,NOT(OR('Your debts'!$B$7&lt;&gt;"",N('Your debts'!$C$7)&gt;0))),"",IF('Your debts'!$D$20="Avalanche",'Avalanche workings'!$M$58,'Snowball workings'!$M$58)+IF('Your debts'!$D$20="Avalanche",'Avalanche workings'!$AG$58,'Snowball workings'!$AG$58))</f>
      </c>
      <c r="I56" s="30">
        <f>IF(OR(51&gt;$Z$1,NOT(OR('Your debts'!$B$7&lt;&gt;"",N('Your debts'!$C$7)&gt;0))),"",IF('Your debts'!$D$20="Avalanche",'Avalanche workings'!$AQ$58,'Snowball workings'!$AQ$58))</f>
      </c>
      <c r="J56" s="29">
        <f>IF(OR(51&gt;$Z$1,NOT(OR('Your debts'!$B$8&lt;&gt;"",N('Your debts'!$C$8)&gt;0))),"",IF('Your debts'!$D$20="Avalanche",'Avalanche workings'!$N$58,'Snowball workings'!$N$58)+IF('Your debts'!$D$20="Avalanche",'Avalanche workings'!$AH$58,'Snowball workings'!$AH$58))</f>
      </c>
      <c r="K56" s="30">
        <f>IF(OR(51&gt;$Z$1,NOT(OR('Your debts'!$B$8&lt;&gt;"",N('Your debts'!$C$8)&gt;0))),"",IF('Your debts'!$D$20="Avalanche",'Avalanche workings'!$AR$58,'Snowball workings'!$AR$58))</f>
      </c>
      <c r="L56" s="29">
        <f>IF(OR(51&gt;$Z$1,NOT(OR('Your debts'!$B$9&lt;&gt;"",N('Your debts'!$C$9)&gt;0))),"",IF('Your debts'!$D$20="Avalanche",'Avalanche workings'!$O$58,'Snowball workings'!$O$58)+IF('Your debts'!$D$20="Avalanche",'Avalanche workings'!$AI$58,'Snowball workings'!$AI$58))</f>
      </c>
      <c r="M56" s="30">
        <f>IF(OR(51&gt;$Z$1,NOT(OR('Your debts'!$B$9&lt;&gt;"",N('Your debts'!$C$9)&gt;0))),"",IF('Your debts'!$D$20="Avalanche",'Avalanche workings'!$AS$58,'Snowball workings'!$AS$58))</f>
      </c>
      <c r="N56" s="29">
        <f>IF(OR(51&gt;$Z$1,NOT(OR('Your debts'!$B$10&lt;&gt;"",N('Your debts'!$C$10)&gt;0))),"",IF('Your debts'!$D$20="Avalanche",'Avalanche workings'!$P$58,'Snowball workings'!$P$58)+IF('Your debts'!$D$20="Avalanche",'Avalanche workings'!$AJ$58,'Snowball workings'!$AJ$58))</f>
      </c>
      <c r="O56" s="30">
        <f>IF(OR(51&gt;$Z$1,NOT(OR('Your debts'!$B$10&lt;&gt;"",N('Your debts'!$C$10)&gt;0))),"",IF('Your debts'!$D$20="Avalanche",'Avalanche workings'!$AT$58,'Snowball workings'!$AT$58))</f>
      </c>
      <c r="P56" s="29">
        <f>IF(OR(51&gt;$Z$1,NOT(OR('Your debts'!$B$11&lt;&gt;"",N('Your debts'!$C$11)&gt;0))),"",IF('Your debts'!$D$20="Avalanche",'Avalanche workings'!$Q$58,'Snowball workings'!$Q$58)+IF('Your debts'!$D$20="Avalanche",'Avalanche workings'!$AK$58,'Snowball workings'!$AK$58))</f>
      </c>
      <c r="Q56" s="30">
        <f>IF(OR(51&gt;$Z$1,NOT(OR('Your debts'!$B$11&lt;&gt;"",N('Your debts'!$C$11)&gt;0))),"",IF('Your debts'!$D$20="Avalanche",'Avalanche workings'!$AU$58,'Snowball workings'!$AU$58))</f>
      </c>
      <c r="R56" s="29">
        <f>IF(OR(51&gt;$Z$1,NOT(OR('Your debts'!$B$12&lt;&gt;"",N('Your debts'!$C$12)&gt;0))),"",IF('Your debts'!$D$20="Avalanche",'Avalanche workings'!$R$58,'Snowball workings'!$R$58)+IF('Your debts'!$D$20="Avalanche",'Avalanche workings'!$AL$58,'Snowball workings'!$AL$58))</f>
      </c>
      <c r="S56" s="30">
        <f>IF(OR(51&gt;$Z$1,NOT(OR('Your debts'!$B$12&lt;&gt;"",N('Your debts'!$C$12)&gt;0))),"",IF('Your debts'!$D$20="Avalanche",'Avalanche workings'!$AV$58,'Snowball workings'!$AV$58))</f>
      </c>
      <c r="T56" s="29">
        <f>IF(OR(51&gt;$Z$1,NOT(OR('Your debts'!$B$13&lt;&gt;"",N('Your debts'!$C$13)&gt;0))),"",IF('Your debts'!$D$20="Avalanche",'Avalanche workings'!$S$58,'Snowball workings'!$S$58)+IF('Your debts'!$D$20="Avalanche",'Avalanche workings'!$AM$58,'Snowball workings'!$AM$58))</f>
      </c>
      <c r="U56" s="30">
        <f>IF(OR(51&gt;$Z$1,NOT(OR('Your debts'!$B$13&lt;&gt;"",N('Your debts'!$C$13)&gt;0))),"",IF('Your debts'!$D$20="Avalanche",'Avalanche workings'!$AW$58,'Snowball workings'!$AW$58))</f>
      </c>
      <c r="V56" s="29">
        <f>IF(OR(51&gt;$Z$1,NOT(OR('Your debts'!$B$14&lt;&gt;"",N('Your debts'!$C$14)&gt;0))),"",IF('Your debts'!$D$20="Avalanche",'Avalanche workings'!$T$58,'Snowball workings'!$T$58)+IF('Your debts'!$D$20="Avalanche",'Avalanche workings'!$AN$58,'Snowball workings'!$AN$58))</f>
      </c>
      <c r="W56" s="30">
        <f>IF(OR(51&gt;$Z$1,NOT(OR('Your debts'!$B$14&lt;&gt;"",N('Your debts'!$C$14)&gt;0))),"",IF('Your debts'!$D$20="Avalanche",'Avalanche workings'!$AX$58,'Snowball workings'!$AX$58))</f>
      </c>
      <c r="X56" s="29">
        <f>IF(OR(51&gt;$Z$1,NOT(OR('Your debts'!$B$15&lt;&gt;"",N('Your debts'!$C$15)&gt;0))),"",IF('Your debts'!$D$20="Avalanche",'Avalanche workings'!$U$58,'Snowball workings'!$U$58)+IF('Your debts'!$D$20="Avalanche",'Avalanche workings'!$AO$58,'Snowball workings'!$AO$58))</f>
      </c>
      <c r="Y56" s="30">
        <f>IF(OR(51&gt;$Z$1,NOT(OR('Your debts'!$B$15&lt;&gt;"",N('Your debts'!$C$15)&gt;0))),"",IF('Your debts'!$D$20="Avalanche",'Avalanche workings'!$AY$58,'Snowball workings'!$AY$58))</f>
      </c>
    </row>
    <row r="57" spans="1:25" x14ac:dyDescent="0.25">
      <c r="A57" s="2">
        <f>IF(52&gt;$Z$1,"",52)</f>
      </c>
      <c r="B57" s="28">
        <f>IF(52&gt;$Z$1,"",EDATE('Your debts'!$D$21,51))</f>
      </c>
      <c r="C57" s="29">
        <f>IF(52&gt;$Z$1,"",IF('Your debts'!$D$20="Avalanche",'Avalanche workings'!$BC$59,'Snowball workings'!$BC$59))</f>
      </c>
      <c r="D57" s="29">
        <f>IF(52&gt;$Z$1,"",IF('Your debts'!$D$20="Avalanche",'Avalanche workings'!$BA$59,'Snowball workings'!$BA$59))</f>
      </c>
      <c r="E57" s="29">
        <f>IF(52&gt;$Z$1,"",IF('Your debts'!$D$20="Avalanche",'Avalanche workings'!$BB$59,'Snowball workings'!$BB$59))</f>
      </c>
      <c r="F57" s="29">
        <f>IF(OR(52&gt;$Z$1,NOT(OR('Your debts'!$B$6&lt;&gt;"",N('Your debts'!$C$6)&gt;0))),"",IF('Your debts'!$D$20="Avalanche",'Avalanche workings'!$L$59,'Snowball workings'!$L$59)+IF('Your debts'!$D$20="Avalanche",'Avalanche workings'!$AF$59,'Snowball workings'!$AF$59))</f>
      </c>
      <c r="G57" s="30">
        <f>IF(OR(52&gt;$Z$1,NOT(OR('Your debts'!$B$6&lt;&gt;"",N('Your debts'!$C$6)&gt;0))),"",IF('Your debts'!$D$20="Avalanche",'Avalanche workings'!$AP$59,'Snowball workings'!$AP$59))</f>
      </c>
      <c r="H57" s="29">
        <f>IF(OR(52&gt;$Z$1,NOT(OR('Your debts'!$B$7&lt;&gt;"",N('Your debts'!$C$7)&gt;0))),"",IF('Your debts'!$D$20="Avalanche",'Avalanche workings'!$M$59,'Snowball workings'!$M$59)+IF('Your debts'!$D$20="Avalanche",'Avalanche workings'!$AG$59,'Snowball workings'!$AG$59))</f>
      </c>
      <c r="I57" s="30">
        <f>IF(OR(52&gt;$Z$1,NOT(OR('Your debts'!$B$7&lt;&gt;"",N('Your debts'!$C$7)&gt;0))),"",IF('Your debts'!$D$20="Avalanche",'Avalanche workings'!$AQ$59,'Snowball workings'!$AQ$59))</f>
      </c>
      <c r="J57" s="29">
        <f>IF(OR(52&gt;$Z$1,NOT(OR('Your debts'!$B$8&lt;&gt;"",N('Your debts'!$C$8)&gt;0))),"",IF('Your debts'!$D$20="Avalanche",'Avalanche workings'!$N$59,'Snowball workings'!$N$59)+IF('Your debts'!$D$20="Avalanche",'Avalanche workings'!$AH$59,'Snowball workings'!$AH$59))</f>
      </c>
      <c r="K57" s="30">
        <f>IF(OR(52&gt;$Z$1,NOT(OR('Your debts'!$B$8&lt;&gt;"",N('Your debts'!$C$8)&gt;0))),"",IF('Your debts'!$D$20="Avalanche",'Avalanche workings'!$AR$59,'Snowball workings'!$AR$59))</f>
      </c>
      <c r="L57" s="29">
        <f>IF(OR(52&gt;$Z$1,NOT(OR('Your debts'!$B$9&lt;&gt;"",N('Your debts'!$C$9)&gt;0))),"",IF('Your debts'!$D$20="Avalanche",'Avalanche workings'!$O$59,'Snowball workings'!$O$59)+IF('Your debts'!$D$20="Avalanche",'Avalanche workings'!$AI$59,'Snowball workings'!$AI$59))</f>
      </c>
      <c r="M57" s="30">
        <f>IF(OR(52&gt;$Z$1,NOT(OR('Your debts'!$B$9&lt;&gt;"",N('Your debts'!$C$9)&gt;0))),"",IF('Your debts'!$D$20="Avalanche",'Avalanche workings'!$AS$59,'Snowball workings'!$AS$59))</f>
      </c>
      <c r="N57" s="29">
        <f>IF(OR(52&gt;$Z$1,NOT(OR('Your debts'!$B$10&lt;&gt;"",N('Your debts'!$C$10)&gt;0))),"",IF('Your debts'!$D$20="Avalanche",'Avalanche workings'!$P$59,'Snowball workings'!$P$59)+IF('Your debts'!$D$20="Avalanche",'Avalanche workings'!$AJ$59,'Snowball workings'!$AJ$59))</f>
      </c>
      <c r="O57" s="30">
        <f>IF(OR(52&gt;$Z$1,NOT(OR('Your debts'!$B$10&lt;&gt;"",N('Your debts'!$C$10)&gt;0))),"",IF('Your debts'!$D$20="Avalanche",'Avalanche workings'!$AT$59,'Snowball workings'!$AT$59))</f>
      </c>
      <c r="P57" s="29">
        <f>IF(OR(52&gt;$Z$1,NOT(OR('Your debts'!$B$11&lt;&gt;"",N('Your debts'!$C$11)&gt;0))),"",IF('Your debts'!$D$20="Avalanche",'Avalanche workings'!$Q$59,'Snowball workings'!$Q$59)+IF('Your debts'!$D$20="Avalanche",'Avalanche workings'!$AK$59,'Snowball workings'!$AK$59))</f>
      </c>
      <c r="Q57" s="30">
        <f>IF(OR(52&gt;$Z$1,NOT(OR('Your debts'!$B$11&lt;&gt;"",N('Your debts'!$C$11)&gt;0))),"",IF('Your debts'!$D$20="Avalanche",'Avalanche workings'!$AU$59,'Snowball workings'!$AU$59))</f>
      </c>
      <c r="R57" s="29">
        <f>IF(OR(52&gt;$Z$1,NOT(OR('Your debts'!$B$12&lt;&gt;"",N('Your debts'!$C$12)&gt;0))),"",IF('Your debts'!$D$20="Avalanche",'Avalanche workings'!$R$59,'Snowball workings'!$R$59)+IF('Your debts'!$D$20="Avalanche",'Avalanche workings'!$AL$59,'Snowball workings'!$AL$59))</f>
      </c>
      <c r="S57" s="30">
        <f>IF(OR(52&gt;$Z$1,NOT(OR('Your debts'!$B$12&lt;&gt;"",N('Your debts'!$C$12)&gt;0))),"",IF('Your debts'!$D$20="Avalanche",'Avalanche workings'!$AV$59,'Snowball workings'!$AV$59))</f>
      </c>
      <c r="T57" s="29">
        <f>IF(OR(52&gt;$Z$1,NOT(OR('Your debts'!$B$13&lt;&gt;"",N('Your debts'!$C$13)&gt;0))),"",IF('Your debts'!$D$20="Avalanche",'Avalanche workings'!$S$59,'Snowball workings'!$S$59)+IF('Your debts'!$D$20="Avalanche",'Avalanche workings'!$AM$59,'Snowball workings'!$AM$59))</f>
      </c>
      <c r="U57" s="30">
        <f>IF(OR(52&gt;$Z$1,NOT(OR('Your debts'!$B$13&lt;&gt;"",N('Your debts'!$C$13)&gt;0))),"",IF('Your debts'!$D$20="Avalanche",'Avalanche workings'!$AW$59,'Snowball workings'!$AW$59))</f>
      </c>
      <c r="V57" s="29">
        <f>IF(OR(52&gt;$Z$1,NOT(OR('Your debts'!$B$14&lt;&gt;"",N('Your debts'!$C$14)&gt;0))),"",IF('Your debts'!$D$20="Avalanche",'Avalanche workings'!$T$59,'Snowball workings'!$T$59)+IF('Your debts'!$D$20="Avalanche",'Avalanche workings'!$AN$59,'Snowball workings'!$AN$59))</f>
      </c>
      <c r="W57" s="30">
        <f>IF(OR(52&gt;$Z$1,NOT(OR('Your debts'!$B$14&lt;&gt;"",N('Your debts'!$C$14)&gt;0))),"",IF('Your debts'!$D$20="Avalanche",'Avalanche workings'!$AX$59,'Snowball workings'!$AX$59))</f>
      </c>
      <c r="X57" s="29">
        <f>IF(OR(52&gt;$Z$1,NOT(OR('Your debts'!$B$15&lt;&gt;"",N('Your debts'!$C$15)&gt;0))),"",IF('Your debts'!$D$20="Avalanche",'Avalanche workings'!$U$59,'Snowball workings'!$U$59)+IF('Your debts'!$D$20="Avalanche",'Avalanche workings'!$AO$59,'Snowball workings'!$AO$59))</f>
      </c>
      <c r="Y57" s="30">
        <f>IF(OR(52&gt;$Z$1,NOT(OR('Your debts'!$B$15&lt;&gt;"",N('Your debts'!$C$15)&gt;0))),"",IF('Your debts'!$D$20="Avalanche",'Avalanche workings'!$AY$59,'Snowball workings'!$AY$59))</f>
      </c>
    </row>
    <row r="58" spans="1:25" x14ac:dyDescent="0.25">
      <c r="A58" s="2">
        <f>IF(53&gt;$Z$1,"",53)</f>
      </c>
      <c r="B58" s="28">
        <f>IF(53&gt;$Z$1,"",EDATE('Your debts'!$D$21,52))</f>
      </c>
      <c r="C58" s="29">
        <f>IF(53&gt;$Z$1,"",IF('Your debts'!$D$20="Avalanche",'Avalanche workings'!$BC$60,'Snowball workings'!$BC$60))</f>
      </c>
      <c r="D58" s="29">
        <f>IF(53&gt;$Z$1,"",IF('Your debts'!$D$20="Avalanche",'Avalanche workings'!$BA$60,'Snowball workings'!$BA$60))</f>
      </c>
      <c r="E58" s="29">
        <f>IF(53&gt;$Z$1,"",IF('Your debts'!$D$20="Avalanche",'Avalanche workings'!$BB$60,'Snowball workings'!$BB$60))</f>
      </c>
      <c r="F58" s="29">
        <f>IF(OR(53&gt;$Z$1,NOT(OR('Your debts'!$B$6&lt;&gt;"",N('Your debts'!$C$6)&gt;0))),"",IF('Your debts'!$D$20="Avalanche",'Avalanche workings'!$L$60,'Snowball workings'!$L$60)+IF('Your debts'!$D$20="Avalanche",'Avalanche workings'!$AF$60,'Snowball workings'!$AF$60))</f>
      </c>
      <c r="G58" s="30">
        <f>IF(OR(53&gt;$Z$1,NOT(OR('Your debts'!$B$6&lt;&gt;"",N('Your debts'!$C$6)&gt;0))),"",IF('Your debts'!$D$20="Avalanche",'Avalanche workings'!$AP$60,'Snowball workings'!$AP$60))</f>
      </c>
      <c r="H58" s="29">
        <f>IF(OR(53&gt;$Z$1,NOT(OR('Your debts'!$B$7&lt;&gt;"",N('Your debts'!$C$7)&gt;0))),"",IF('Your debts'!$D$20="Avalanche",'Avalanche workings'!$M$60,'Snowball workings'!$M$60)+IF('Your debts'!$D$20="Avalanche",'Avalanche workings'!$AG$60,'Snowball workings'!$AG$60))</f>
      </c>
      <c r="I58" s="30">
        <f>IF(OR(53&gt;$Z$1,NOT(OR('Your debts'!$B$7&lt;&gt;"",N('Your debts'!$C$7)&gt;0))),"",IF('Your debts'!$D$20="Avalanche",'Avalanche workings'!$AQ$60,'Snowball workings'!$AQ$60))</f>
      </c>
      <c r="J58" s="29">
        <f>IF(OR(53&gt;$Z$1,NOT(OR('Your debts'!$B$8&lt;&gt;"",N('Your debts'!$C$8)&gt;0))),"",IF('Your debts'!$D$20="Avalanche",'Avalanche workings'!$N$60,'Snowball workings'!$N$60)+IF('Your debts'!$D$20="Avalanche",'Avalanche workings'!$AH$60,'Snowball workings'!$AH$60))</f>
      </c>
      <c r="K58" s="30">
        <f>IF(OR(53&gt;$Z$1,NOT(OR('Your debts'!$B$8&lt;&gt;"",N('Your debts'!$C$8)&gt;0))),"",IF('Your debts'!$D$20="Avalanche",'Avalanche workings'!$AR$60,'Snowball workings'!$AR$60))</f>
      </c>
      <c r="L58" s="29">
        <f>IF(OR(53&gt;$Z$1,NOT(OR('Your debts'!$B$9&lt;&gt;"",N('Your debts'!$C$9)&gt;0))),"",IF('Your debts'!$D$20="Avalanche",'Avalanche workings'!$O$60,'Snowball workings'!$O$60)+IF('Your debts'!$D$20="Avalanche",'Avalanche workings'!$AI$60,'Snowball workings'!$AI$60))</f>
      </c>
      <c r="M58" s="30">
        <f>IF(OR(53&gt;$Z$1,NOT(OR('Your debts'!$B$9&lt;&gt;"",N('Your debts'!$C$9)&gt;0))),"",IF('Your debts'!$D$20="Avalanche",'Avalanche workings'!$AS$60,'Snowball workings'!$AS$60))</f>
      </c>
      <c r="N58" s="29">
        <f>IF(OR(53&gt;$Z$1,NOT(OR('Your debts'!$B$10&lt;&gt;"",N('Your debts'!$C$10)&gt;0))),"",IF('Your debts'!$D$20="Avalanche",'Avalanche workings'!$P$60,'Snowball workings'!$P$60)+IF('Your debts'!$D$20="Avalanche",'Avalanche workings'!$AJ$60,'Snowball workings'!$AJ$60))</f>
      </c>
      <c r="O58" s="30">
        <f>IF(OR(53&gt;$Z$1,NOT(OR('Your debts'!$B$10&lt;&gt;"",N('Your debts'!$C$10)&gt;0))),"",IF('Your debts'!$D$20="Avalanche",'Avalanche workings'!$AT$60,'Snowball workings'!$AT$60))</f>
      </c>
      <c r="P58" s="29">
        <f>IF(OR(53&gt;$Z$1,NOT(OR('Your debts'!$B$11&lt;&gt;"",N('Your debts'!$C$11)&gt;0))),"",IF('Your debts'!$D$20="Avalanche",'Avalanche workings'!$Q$60,'Snowball workings'!$Q$60)+IF('Your debts'!$D$20="Avalanche",'Avalanche workings'!$AK$60,'Snowball workings'!$AK$60))</f>
      </c>
      <c r="Q58" s="30">
        <f>IF(OR(53&gt;$Z$1,NOT(OR('Your debts'!$B$11&lt;&gt;"",N('Your debts'!$C$11)&gt;0))),"",IF('Your debts'!$D$20="Avalanche",'Avalanche workings'!$AU$60,'Snowball workings'!$AU$60))</f>
      </c>
      <c r="R58" s="29">
        <f>IF(OR(53&gt;$Z$1,NOT(OR('Your debts'!$B$12&lt;&gt;"",N('Your debts'!$C$12)&gt;0))),"",IF('Your debts'!$D$20="Avalanche",'Avalanche workings'!$R$60,'Snowball workings'!$R$60)+IF('Your debts'!$D$20="Avalanche",'Avalanche workings'!$AL$60,'Snowball workings'!$AL$60))</f>
      </c>
      <c r="S58" s="30">
        <f>IF(OR(53&gt;$Z$1,NOT(OR('Your debts'!$B$12&lt;&gt;"",N('Your debts'!$C$12)&gt;0))),"",IF('Your debts'!$D$20="Avalanche",'Avalanche workings'!$AV$60,'Snowball workings'!$AV$60))</f>
      </c>
      <c r="T58" s="29">
        <f>IF(OR(53&gt;$Z$1,NOT(OR('Your debts'!$B$13&lt;&gt;"",N('Your debts'!$C$13)&gt;0))),"",IF('Your debts'!$D$20="Avalanche",'Avalanche workings'!$S$60,'Snowball workings'!$S$60)+IF('Your debts'!$D$20="Avalanche",'Avalanche workings'!$AM$60,'Snowball workings'!$AM$60))</f>
      </c>
      <c r="U58" s="30">
        <f>IF(OR(53&gt;$Z$1,NOT(OR('Your debts'!$B$13&lt;&gt;"",N('Your debts'!$C$13)&gt;0))),"",IF('Your debts'!$D$20="Avalanche",'Avalanche workings'!$AW$60,'Snowball workings'!$AW$60))</f>
      </c>
      <c r="V58" s="29">
        <f>IF(OR(53&gt;$Z$1,NOT(OR('Your debts'!$B$14&lt;&gt;"",N('Your debts'!$C$14)&gt;0))),"",IF('Your debts'!$D$20="Avalanche",'Avalanche workings'!$T$60,'Snowball workings'!$T$60)+IF('Your debts'!$D$20="Avalanche",'Avalanche workings'!$AN$60,'Snowball workings'!$AN$60))</f>
      </c>
      <c r="W58" s="30">
        <f>IF(OR(53&gt;$Z$1,NOT(OR('Your debts'!$B$14&lt;&gt;"",N('Your debts'!$C$14)&gt;0))),"",IF('Your debts'!$D$20="Avalanche",'Avalanche workings'!$AX$60,'Snowball workings'!$AX$60))</f>
      </c>
      <c r="X58" s="29">
        <f>IF(OR(53&gt;$Z$1,NOT(OR('Your debts'!$B$15&lt;&gt;"",N('Your debts'!$C$15)&gt;0))),"",IF('Your debts'!$D$20="Avalanche",'Avalanche workings'!$U$60,'Snowball workings'!$U$60)+IF('Your debts'!$D$20="Avalanche",'Avalanche workings'!$AO$60,'Snowball workings'!$AO$60))</f>
      </c>
      <c r="Y58" s="30">
        <f>IF(OR(53&gt;$Z$1,NOT(OR('Your debts'!$B$15&lt;&gt;"",N('Your debts'!$C$15)&gt;0))),"",IF('Your debts'!$D$20="Avalanche",'Avalanche workings'!$AY$60,'Snowball workings'!$AY$60))</f>
      </c>
    </row>
    <row r="59" spans="1:25" x14ac:dyDescent="0.25">
      <c r="A59" s="2">
        <f>IF(54&gt;$Z$1,"",54)</f>
      </c>
      <c r="B59" s="28">
        <f>IF(54&gt;$Z$1,"",EDATE('Your debts'!$D$21,53))</f>
      </c>
      <c r="C59" s="29">
        <f>IF(54&gt;$Z$1,"",IF('Your debts'!$D$20="Avalanche",'Avalanche workings'!$BC$61,'Snowball workings'!$BC$61))</f>
      </c>
      <c r="D59" s="29">
        <f>IF(54&gt;$Z$1,"",IF('Your debts'!$D$20="Avalanche",'Avalanche workings'!$BA$61,'Snowball workings'!$BA$61))</f>
      </c>
      <c r="E59" s="29">
        <f>IF(54&gt;$Z$1,"",IF('Your debts'!$D$20="Avalanche",'Avalanche workings'!$BB$61,'Snowball workings'!$BB$61))</f>
      </c>
      <c r="F59" s="29">
        <f>IF(OR(54&gt;$Z$1,NOT(OR('Your debts'!$B$6&lt;&gt;"",N('Your debts'!$C$6)&gt;0))),"",IF('Your debts'!$D$20="Avalanche",'Avalanche workings'!$L$61,'Snowball workings'!$L$61)+IF('Your debts'!$D$20="Avalanche",'Avalanche workings'!$AF$61,'Snowball workings'!$AF$61))</f>
      </c>
      <c r="G59" s="30">
        <f>IF(OR(54&gt;$Z$1,NOT(OR('Your debts'!$B$6&lt;&gt;"",N('Your debts'!$C$6)&gt;0))),"",IF('Your debts'!$D$20="Avalanche",'Avalanche workings'!$AP$61,'Snowball workings'!$AP$61))</f>
      </c>
      <c r="H59" s="29">
        <f>IF(OR(54&gt;$Z$1,NOT(OR('Your debts'!$B$7&lt;&gt;"",N('Your debts'!$C$7)&gt;0))),"",IF('Your debts'!$D$20="Avalanche",'Avalanche workings'!$M$61,'Snowball workings'!$M$61)+IF('Your debts'!$D$20="Avalanche",'Avalanche workings'!$AG$61,'Snowball workings'!$AG$61))</f>
      </c>
      <c r="I59" s="30">
        <f>IF(OR(54&gt;$Z$1,NOT(OR('Your debts'!$B$7&lt;&gt;"",N('Your debts'!$C$7)&gt;0))),"",IF('Your debts'!$D$20="Avalanche",'Avalanche workings'!$AQ$61,'Snowball workings'!$AQ$61))</f>
      </c>
      <c r="J59" s="29">
        <f>IF(OR(54&gt;$Z$1,NOT(OR('Your debts'!$B$8&lt;&gt;"",N('Your debts'!$C$8)&gt;0))),"",IF('Your debts'!$D$20="Avalanche",'Avalanche workings'!$N$61,'Snowball workings'!$N$61)+IF('Your debts'!$D$20="Avalanche",'Avalanche workings'!$AH$61,'Snowball workings'!$AH$61))</f>
      </c>
      <c r="K59" s="30">
        <f>IF(OR(54&gt;$Z$1,NOT(OR('Your debts'!$B$8&lt;&gt;"",N('Your debts'!$C$8)&gt;0))),"",IF('Your debts'!$D$20="Avalanche",'Avalanche workings'!$AR$61,'Snowball workings'!$AR$61))</f>
      </c>
      <c r="L59" s="29">
        <f>IF(OR(54&gt;$Z$1,NOT(OR('Your debts'!$B$9&lt;&gt;"",N('Your debts'!$C$9)&gt;0))),"",IF('Your debts'!$D$20="Avalanche",'Avalanche workings'!$O$61,'Snowball workings'!$O$61)+IF('Your debts'!$D$20="Avalanche",'Avalanche workings'!$AI$61,'Snowball workings'!$AI$61))</f>
      </c>
      <c r="M59" s="30">
        <f>IF(OR(54&gt;$Z$1,NOT(OR('Your debts'!$B$9&lt;&gt;"",N('Your debts'!$C$9)&gt;0))),"",IF('Your debts'!$D$20="Avalanche",'Avalanche workings'!$AS$61,'Snowball workings'!$AS$61))</f>
      </c>
      <c r="N59" s="29">
        <f>IF(OR(54&gt;$Z$1,NOT(OR('Your debts'!$B$10&lt;&gt;"",N('Your debts'!$C$10)&gt;0))),"",IF('Your debts'!$D$20="Avalanche",'Avalanche workings'!$P$61,'Snowball workings'!$P$61)+IF('Your debts'!$D$20="Avalanche",'Avalanche workings'!$AJ$61,'Snowball workings'!$AJ$61))</f>
      </c>
      <c r="O59" s="30">
        <f>IF(OR(54&gt;$Z$1,NOT(OR('Your debts'!$B$10&lt;&gt;"",N('Your debts'!$C$10)&gt;0))),"",IF('Your debts'!$D$20="Avalanche",'Avalanche workings'!$AT$61,'Snowball workings'!$AT$61))</f>
      </c>
      <c r="P59" s="29">
        <f>IF(OR(54&gt;$Z$1,NOT(OR('Your debts'!$B$11&lt;&gt;"",N('Your debts'!$C$11)&gt;0))),"",IF('Your debts'!$D$20="Avalanche",'Avalanche workings'!$Q$61,'Snowball workings'!$Q$61)+IF('Your debts'!$D$20="Avalanche",'Avalanche workings'!$AK$61,'Snowball workings'!$AK$61))</f>
      </c>
      <c r="Q59" s="30">
        <f>IF(OR(54&gt;$Z$1,NOT(OR('Your debts'!$B$11&lt;&gt;"",N('Your debts'!$C$11)&gt;0))),"",IF('Your debts'!$D$20="Avalanche",'Avalanche workings'!$AU$61,'Snowball workings'!$AU$61))</f>
      </c>
      <c r="R59" s="29">
        <f>IF(OR(54&gt;$Z$1,NOT(OR('Your debts'!$B$12&lt;&gt;"",N('Your debts'!$C$12)&gt;0))),"",IF('Your debts'!$D$20="Avalanche",'Avalanche workings'!$R$61,'Snowball workings'!$R$61)+IF('Your debts'!$D$20="Avalanche",'Avalanche workings'!$AL$61,'Snowball workings'!$AL$61))</f>
      </c>
      <c r="S59" s="30">
        <f>IF(OR(54&gt;$Z$1,NOT(OR('Your debts'!$B$12&lt;&gt;"",N('Your debts'!$C$12)&gt;0))),"",IF('Your debts'!$D$20="Avalanche",'Avalanche workings'!$AV$61,'Snowball workings'!$AV$61))</f>
      </c>
      <c r="T59" s="29">
        <f>IF(OR(54&gt;$Z$1,NOT(OR('Your debts'!$B$13&lt;&gt;"",N('Your debts'!$C$13)&gt;0))),"",IF('Your debts'!$D$20="Avalanche",'Avalanche workings'!$S$61,'Snowball workings'!$S$61)+IF('Your debts'!$D$20="Avalanche",'Avalanche workings'!$AM$61,'Snowball workings'!$AM$61))</f>
      </c>
      <c r="U59" s="30">
        <f>IF(OR(54&gt;$Z$1,NOT(OR('Your debts'!$B$13&lt;&gt;"",N('Your debts'!$C$13)&gt;0))),"",IF('Your debts'!$D$20="Avalanche",'Avalanche workings'!$AW$61,'Snowball workings'!$AW$61))</f>
      </c>
      <c r="V59" s="29">
        <f>IF(OR(54&gt;$Z$1,NOT(OR('Your debts'!$B$14&lt;&gt;"",N('Your debts'!$C$14)&gt;0))),"",IF('Your debts'!$D$20="Avalanche",'Avalanche workings'!$T$61,'Snowball workings'!$T$61)+IF('Your debts'!$D$20="Avalanche",'Avalanche workings'!$AN$61,'Snowball workings'!$AN$61))</f>
      </c>
      <c r="W59" s="30">
        <f>IF(OR(54&gt;$Z$1,NOT(OR('Your debts'!$B$14&lt;&gt;"",N('Your debts'!$C$14)&gt;0))),"",IF('Your debts'!$D$20="Avalanche",'Avalanche workings'!$AX$61,'Snowball workings'!$AX$61))</f>
      </c>
      <c r="X59" s="29">
        <f>IF(OR(54&gt;$Z$1,NOT(OR('Your debts'!$B$15&lt;&gt;"",N('Your debts'!$C$15)&gt;0))),"",IF('Your debts'!$D$20="Avalanche",'Avalanche workings'!$U$61,'Snowball workings'!$U$61)+IF('Your debts'!$D$20="Avalanche",'Avalanche workings'!$AO$61,'Snowball workings'!$AO$61))</f>
      </c>
      <c r="Y59" s="30">
        <f>IF(OR(54&gt;$Z$1,NOT(OR('Your debts'!$B$15&lt;&gt;"",N('Your debts'!$C$15)&gt;0))),"",IF('Your debts'!$D$20="Avalanche",'Avalanche workings'!$AY$61,'Snowball workings'!$AY$61))</f>
      </c>
    </row>
    <row r="60" spans="1:25" x14ac:dyDescent="0.25">
      <c r="A60" s="2">
        <f>IF(55&gt;$Z$1,"",55)</f>
      </c>
      <c r="B60" s="28">
        <f>IF(55&gt;$Z$1,"",EDATE('Your debts'!$D$21,54))</f>
      </c>
      <c r="C60" s="29">
        <f>IF(55&gt;$Z$1,"",IF('Your debts'!$D$20="Avalanche",'Avalanche workings'!$BC$62,'Snowball workings'!$BC$62))</f>
      </c>
      <c r="D60" s="29">
        <f>IF(55&gt;$Z$1,"",IF('Your debts'!$D$20="Avalanche",'Avalanche workings'!$BA$62,'Snowball workings'!$BA$62))</f>
      </c>
      <c r="E60" s="29">
        <f>IF(55&gt;$Z$1,"",IF('Your debts'!$D$20="Avalanche",'Avalanche workings'!$BB$62,'Snowball workings'!$BB$62))</f>
      </c>
      <c r="F60" s="29">
        <f>IF(OR(55&gt;$Z$1,NOT(OR('Your debts'!$B$6&lt;&gt;"",N('Your debts'!$C$6)&gt;0))),"",IF('Your debts'!$D$20="Avalanche",'Avalanche workings'!$L$62,'Snowball workings'!$L$62)+IF('Your debts'!$D$20="Avalanche",'Avalanche workings'!$AF$62,'Snowball workings'!$AF$62))</f>
      </c>
      <c r="G60" s="30">
        <f>IF(OR(55&gt;$Z$1,NOT(OR('Your debts'!$B$6&lt;&gt;"",N('Your debts'!$C$6)&gt;0))),"",IF('Your debts'!$D$20="Avalanche",'Avalanche workings'!$AP$62,'Snowball workings'!$AP$62))</f>
      </c>
      <c r="H60" s="29">
        <f>IF(OR(55&gt;$Z$1,NOT(OR('Your debts'!$B$7&lt;&gt;"",N('Your debts'!$C$7)&gt;0))),"",IF('Your debts'!$D$20="Avalanche",'Avalanche workings'!$M$62,'Snowball workings'!$M$62)+IF('Your debts'!$D$20="Avalanche",'Avalanche workings'!$AG$62,'Snowball workings'!$AG$62))</f>
      </c>
      <c r="I60" s="30">
        <f>IF(OR(55&gt;$Z$1,NOT(OR('Your debts'!$B$7&lt;&gt;"",N('Your debts'!$C$7)&gt;0))),"",IF('Your debts'!$D$20="Avalanche",'Avalanche workings'!$AQ$62,'Snowball workings'!$AQ$62))</f>
      </c>
      <c r="J60" s="29">
        <f>IF(OR(55&gt;$Z$1,NOT(OR('Your debts'!$B$8&lt;&gt;"",N('Your debts'!$C$8)&gt;0))),"",IF('Your debts'!$D$20="Avalanche",'Avalanche workings'!$N$62,'Snowball workings'!$N$62)+IF('Your debts'!$D$20="Avalanche",'Avalanche workings'!$AH$62,'Snowball workings'!$AH$62))</f>
      </c>
      <c r="K60" s="30">
        <f>IF(OR(55&gt;$Z$1,NOT(OR('Your debts'!$B$8&lt;&gt;"",N('Your debts'!$C$8)&gt;0))),"",IF('Your debts'!$D$20="Avalanche",'Avalanche workings'!$AR$62,'Snowball workings'!$AR$62))</f>
      </c>
      <c r="L60" s="29">
        <f>IF(OR(55&gt;$Z$1,NOT(OR('Your debts'!$B$9&lt;&gt;"",N('Your debts'!$C$9)&gt;0))),"",IF('Your debts'!$D$20="Avalanche",'Avalanche workings'!$O$62,'Snowball workings'!$O$62)+IF('Your debts'!$D$20="Avalanche",'Avalanche workings'!$AI$62,'Snowball workings'!$AI$62))</f>
      </c>
      <c r="M60" s="30">
        <f>IF(OR(55&gt;$Z$1,NOT(OR('Your debts'!$B$9&lt;&gt;"",N('Your debts'!$C$9)&gt;0))),"",IF('Your debts'!$D$20="Avalanche",'Avalanche workings'!$AS$62,'Snowball workings'!$AS$62))</f>
      </c>
      <c r="N60" s="29">
        <f>IF(OR(55&gt;$Z$1,NOT(OR('Your debts'!$B$10&lt;&gt;"",N('Your debts'!$C$10)&gt;0))),"",IF('Your debts'!$D$20="Avalanche",'Avalanche workings'!$P$62,'Snowball workings'!$P$62)+IF('Your debts'!$D$20="Avalanche",'Avalanche workings'!$AJ$62,'Snowball workings'!$AJ$62))</f>
      </c>
      <c r="O60" s="30">
        <f>IF(OR(55&gt;$Z$1,NOT(OR('Your debts'!$B$10&lt;&gt;"",N('Your debts'!$C$10)&gt;0))),"",IF('Your debts'!$D$20="Avalanche",'Avalanche workings'!$AT$62,'Snowball workings'!$AT$62))</f>
      </c>
      <c r="P60" s="29">
        <f>IF(OR(55&gt;$Z$1,NOT(OR('Your debts'!$B$11&lt;&gt;"",N('Your debts'!$C$11)&gt;0))),"",IF('Your debts'!$D$20="Avalanche",'Avalanche workings'!$Q$62,'Snowball workings'!$Q$62)+IF('Your debts'!$D$20="Avalanche",'Avalanche workings'!$AK$62,'Snowball workings'!$AK$62))</f>
      </c>
      <c r="Q60" s="30">
        <f>IF(OR(55&gt;$Z$1,NOT(OR('Your debts'!$B$11&lt;&gt;"",N('Your debts'!$C$11)&gt;0))),"",IF('Your debts'!$D$20="Avalanche",'Avalanche workings'!$AU$62,'Snowball workings'!$AU$62))</f>
      </c>
      <c r="R60" s="29">
        <f>IF(OR(55&gt;$Z$1,NOT(OR('Your debts'!$B$12&lt;&gt;"",N('Your debts'!$C$12)&gt;0))),"",IF('Your debts'!$D$20="Avalanche",'Avalanche workings'!$R$62,'Snowball workings'!$R$62)+IF('Your debts'!$D$20="Avalanche",'Avalanche workings'!$AL$62,'Snowball workings'!$AL$62))</f>
      </c>
      <c r="S60" s="30">
        <f>IF(OR(55&gt;$Z$1,NOT(OR('Your debts'!$B$12&lt;&gt;"",N('Your debts'!$C$12)&gt;0))),"",IF('Your debts'!$D$20="Avalanche",'Avalanche workings'!$AV$62,'Snowball workings'!$AV$62))</f>
      </c>
      <c r="T60" s="29">
        <f>IF(OR(55&gt;$Z$1,NOT(OR('Your debts'!$B$13&lt;&gt;"",N('Your debts'!$C$13)&gt;0))),"",IF('Your debts'!$D$20="Avalanche",'Avalanche workings'!$S$62,'Snowball workings'!$S$62)+IF('Your debts'!$D$20="Avalanche",'Avalanche workings'!$AM$62,'Snowball workings'!$AM$62))</f>
      </c>
      <c r="U60" s="30">
        <f>IF(OR(55&gt;$Z$1,NOT(OR('Your debts'!$B$13&lt;&gt;"",N('Your debts'!$C$13)&gt;0))),"",IF('Your debts'!$D$20="Avalanche",'Avalanche workings'!$AW$62,'Snowball workings'!$AW$62))</f>
      </c>
      <c r="V60" s="29">
        <f>IF(OR(55&gt;$Z$1,NOT(OR('Your debts'!$B$14&lt;&gt;"",N('Your debts'!$C$14)&gt;0))),"",IF('Your debts'!$D$20="Avalanche",'Avalanche workings'!$T$62,'Snowball workings'!$T$62)+IF('Your debts'!$D$20="Avalanche",'Avalanche workings'!$AN$62,'Snowball workings'!$AN$62))</f>
      </c>
      <c r="W60" s="30">
        <f>IF(OR(55&gt;$Z$1,NOT(OR('Your debts'!$B$14&lt;&gt;"",N('Your debts'!$C$14)&gt;0))),"",IF('Your debts'!$D$20="Avalanche",'Avalanche workings'!$AX$62,'Snowball workings'!$AX$62))</f>
      </c>
      <c r="X60" s="29">
        <f>IF(OR(55&gt;$Z$1,NOT(OR('Your debts'!$B$15&lt;&gt;"",N('Your debts'!$C$15)&gt;0))),"",IF('Your debts'!$D$20="Avalanche",'Avalanche workings'!$U$62,'Snowball workings'!$U$62)+IF('Your debts'!$D$20="Avalanche",'Avalanche workings'!$AO$62,'Snowball workings'!$AO$62))</f>
      </c>
      <c r="Y60" s="30">
        <f>IF(OR(55&gt;$Z$1,NOT(OR('Your debts'!$B$15&lt;&gt;"",N('Your debts'!$C$15)&gt;0))),"",IF('Your debts'!$D$20="Avalanche",'Avalanche workings'!$AY$62,'Snowball workings'!$AY$62))</f>
      </c>
    </row>
    <row r="61" spans="1:25" x14ac:dyDescent="0.25">
      <c r="A61" s="2">
        <f>IF(56&gt;$Z$1,"",56)</f>
      </c>
      <c r="B61" s="28">
        <f>IF(56&gt;$Z$1,"",EDATE('Your debts'!$D$21,55))</f>
      </c>
      <c r="C61" s="29">
        <f>IF(56&gt;$Z$1,"",IF('Your debts'!$D$20="Avalanche",'Avalanche workings'!$BC$63,'Snowball workings'!$BC$63))</f>
      </c>
      <c r="D61" s="29">
        <f>IF(56&gt;$Z$1,"",IF('Your debts'!$D$20="Avalanche",'Avalanche workings'!$BA$63,'Snowball workings'!$BA$63))</f>
      </c>
      <c r="E61" s="29">
        <f>IF(56&gt;$Z$1,"",IF('Your debts'!$D$20="Avalanche",'Avalanche workings'!$BB$63,'Snowball workings'!$BB$63))</f>
      </c>
      <c r="F61" s="29">
        <f>IF(OR(56&gt;$Z$1,NOT(OR('Your debts'!$B$6&lt;&gt;"",N('Your debts'!$C$6)&gt;0))),"",IF('Your debts'!$D$20="Avalanche",'Avalanche workings'!$L$63,'Snowball workings'!$L$63)+IF('Your debts'!$D$20="Avalanche",'Avalanche workings'!$AF$63,'Snowball workings'!$AF$63))</f>
      </c>
      <c r="G61" s="30">
        <f>IF(OR(56&gt;$Z$1,NOT(OR('Your debts'!$B$6&lt;&gt;"",N('Your debts'!$C$6)&gt;0))),"",IF('Your debts'!$D$20="Avalanche",'Avalanche workings'!$AP$63,'Snowball workings'!$AP$63))</f>
      </c>
      <c r="H61" s="29">
        <f>IF(OR(56&gt;$Z$1,NOT(OR('Your debts'!$B$7&lt;&gt;"",N('Your debts'!$C$7)&gt;0))),"",IF('Your debts'!$D$20="Avalanche",'Avalanche workings'!$M$63,'Snowball workings'!$M$63)+IF('Your debts'!$D$20="Avalanche",'Avalanche workings'!$AG$63,'Snowball workings'!$AG$63))</f>
      </c>
      <c r="I61" s="30">
        <f>IF(OR(56&gt;$Z$1,NOT(OR('Your debts'!$B$7&lt;&gt;"",N('Your debts'!$C$7)&gt;0))),"",IF('Your debts'!$D$20="Avalanche",'Avalanche workings'!$AQ$63,'Snowball workings'!$AQ$63))</f>
      </c>
      <c r="J61" s="29">
        <f>IF(OR(56&gt;$Z$1,NOT(OR('Your debts'!$B$8&lt;&gt;"",N('Your debts'!$C$8)&gt;0))),"",IF('Your debts'!$D$20="Avalanche",'Avalanche workings'!$N$63,'Snowball workings'!$N$63)+IF('Your debts'!$D$20="Avalanche",'Avalanche workings'!$AH$63,'Snowball workings'!$AH$63))</f>
      </c>
      <c r="K61" s="30">
        <f>IF(OR(56&gt;$Z$1,NOT(OR('Your debts'!$B$8&lt;&gt;"",N('Your debts'!$C$8)&gt;0))),"",IF('Your debts'!$D$20="Avalanche",'Avalanche workings'!$AR$63,'Snowball workings'!$AR$63))</f>
      </c>
      <c r="L61" s="29">
        <f>IF(OR(56&gt;$Z$1,NOT(OR('Your debts'!$B$9&lt;&gt;"",N('Your debts'!$C$9)&gt;0))),"",IF('Your debts'!$D$20="Avalanche",'Avalanche workings'!$O$63,'Snowball workings'!$O$63)+IF('Your debts'!$D$20="Avalanche",'Avalanche workings'!$AI$63,'Snowball workings'!$AI$63))</f>
      </c>
      <c r="M61" s="30">
        <f>IF(OR(56&gt;$Z$1,NOT(OR('Your debts'!$B$9&lt;&gt;"",N('Your debts'!$C$9)&gt;0))),"",IF('Your debts'!$D$20="Avalanche",'Avalanche workings'!$AS$63,'Snowball workings'!$AS$63))</f>
      </c>
      <c r="N61" s="29">
        <f>IF(OR(56&gt;$Z$1,NOT(OR('Your debts'!$B$10&lt;&gt;"",N('Your debts'!$C$10)&gt;0))),"",IF('Your debts'!$D$20="Avalanche",'Avalanche workings'!$P$63,'Snowball workings'!$P$63)+IF('Your debts'!$D$20="Avalanche",'Avalanche workings'!$AJ$63,'Snowball workings'!$AJ$63))</f>
      </c>
      <c r="O61" s="30">
        <f>IF(OR(56&gt;$Z$1,NOT(OR('Your debts'!$B$10&lt;&gt;"",N('Your debts'!$C$10)&gt;0))),"",IF('Your debts'!$D$20="Avalanche",'Avalanche workings'!$AT$63,'Snowball workings'!$AT$63))</f>
      </c>
      <c r="P61" s="29">
        <f>IF(OR(56&gt;$Z$1,NOT(OR('Your debts'!$B$11&lt;&gt;"",N('Your debts'!$C$11)&gt;0))),"",IF('Your debts'!$D$20="Avalanche",'Avalanche workings'!$Q$63,'Snowball workings'!$Q$63)+IF('Your debts'!$D$20="Avalanche",'Avalanche workings'!$AK$63,'Snowball workings'!$AK$63))</f>
      </c>
      <c r="Q61" s="30">
        <f>IF(OR(56&gt;$Z$1,NOT(OR('Your debts'!$B$11&lt;&gt;"",N('Your debts'!$C$11)&gt;0))),"",IF('Your debts'!$D$20="Avalanche",'Avalanche workings'!$AU$63,'Snowball workings'!$AU$63))</f>
      </c>
      <c r="R61" s="29">
        <f>IF(OR(56&gt;$Z$1,NOT(OR('Your debts'!$B$12&lt;&gt;"",N('Your debts'!$C$12)&gt;0))),"",IF('Your debts'!$D$20="Avalanche",'Avalanche workings'!$R$63,'Snowball workings'!$R$63)+IF('Your debts'!$D$20="Avalanche",'Avalanche workings'!$AL$63,'Snowball workings'!$AL$63))</f>
      </c>
      <c r="S61" s="30">
        <f>IF(OR(56&gt;$Z$1,NOT(OR('Your debts'!$B$12&lt;&gt;"",N('Your debts'!$C$12)&gt;0))),"",IF('Your debts'!$D$20="Avalanche",'Avalanche workings'!$AV$63,'Snowball workings'!$AV$63))</f>
      </c>
      <c r="T61" s="29">
        <f>IF(OR(56&gt;$Z$1,NOT(OR('Your debts'!$B$13&lt;&gt;"",N('Your debts'!$C$13)&gt;0))),"",IF('Your debts'!$D$20="Avalanche",'Avalanche workings'!$S$63,'Snowball workings'!$S$63)+IF('Your debts'!$D$20="Avalanche",'Avalanche workings'!$AM$63,'Snowball workings'!$AM$63))</f>
      </c>
      <c r="U61" s="30">
        <f>IF(OR(56&gt;$Z$1,NOT(OR('Your debts'!$B$13&lt;&gt;"",N('Your debts'!$C$13)&gt;0))),"",IF('Your debts'!$D$20="Avalanche",'Avalanche workings'!$AW$63,'Snowball workings'!$AW$63))</f>
      </c>
      <c r="V61" s="29">
        <f>IF(OR(56&gt;$Z$1,NOT(OR('Your debts'!$B$14&lt;&gt;"",N('Your debts'!$C$14)&gt;0))),"",IF('Your debts'!$D$20="Avalanche",'Avalanche workings'!$T$63,'Snowball workings'!$T$63)+IF('Your debts'!$D$20="Avalanche",'Avalanche workings'!$AN$63,'Snowball workings'!$AN$63))</f>
      </c>
      <c r="W61" s="30">
        <f>IF(OR(56&gt;$Z$1,NOT(OR('Your debts'!$B$14&lt;&gt;"",N('Your debts'!$C$14)&gt;0))),"",IF('Your debts'!$D$20="Avalanche",'Avalanche workings'!$AX$63,'Snowball workings'!$AX$63))</f>
      </c>
      <c r="X61" s="29">
        <f>IF(OR(56&gt;$Z$1,NOT(OR('Your debts'!$B$15&lt;&gt;"",N('Your debts'!$C$15)&gt;0))),"",IF('Your debts'!$D$20="Avalanche",'Avalanche workings'!$U$63,'Snowball workings'!$U$63)+IF('Your debts'!$D$20="Avalanche",'Avalanche workings'!$AO$63,'Snowball workings'!$AO$63))</f>
      </c>
      <c r="Y61" s="30">
        <f>IF(OR(56&gt;$Z$1,NOT(OR('Your debts'!$B$15&lt;&gt;"",N('Your debts'!$C$15)&gt;0))),"",IF('Your debts'!$D$20="Avalanche",'Avalanche workings'!$AY$63,'Snowball workings'!$AY$63))</f>
      </c>
    </row>
    <row r="62" spans="1:25" x14ac:dyDescent="0.25">
      <c r="A62" s="2">
        <f>IF(57&gt;$Z$1,"",57)</f>
      </c>
      <c r="B62" s="28">
        <f>IF(57&gt;$Z$1,"",EDATE('Your debts'!$D$21,56))</f>
      </c>
      <c r="C62" s="29">
        <f>IF(57&gt;$Z$1,"",IF('Your debts'!$D$20="Avalanche",'Avalanche workings'!$BC$64,'Snowball workings'!$BC$64))</f>
      </c>
      <c r="D62" s="29">
        <f>IF(57&gt;$Z$1,"",IF('Your debts'!$D$20="Avalanche",'Avalanche workings'!$BA$64,'Snowball workings'!$BA$64))</f>
      </c>
      <c r="E62" s="29">
        <f>IF(57&gt;$Z$1,"",IF('Your debts'!$D$20="Avalanche",'Avalanche workings'!$BB$64,'Snowball workings'!$BB$64))</f>
      </c>
      <c r="F62" s="29">
        <f>IF(OR(57&gt;$Z$1,NOT(OR('Your debts'!$B$6&lt;&gt;"",N('Your debts'!$C$6)&gt;0))),"",IF('Your debts'!$D$20="Avalanche",'Avalanche workings'!$L$64,'Snowball workings'!$L$64)+IF('Your debts'!$D$20="Avalanche",'Avalanche workings'!$AF$64,'Snowball workings'!$AF$64))</f>
      </c>
      <c r="G62" s="30">
        <f>IF(OR(57&gt;$Z$1,NOT(OR('Your debts'!$B$6&lt;&gt;"",N('Your debts'!$C$6)&gt;0))),"",IF('Your debts'!$D$20="Avalanche",'Avalanche workings'!$AP$64,'Snowball workings'!$AP$64))</f>
      </c>
      <c r="H62" s="29">
        <f>IF(OR(57&gt;$Z$1,NOT(OR('Your debts'!$B$7&lt;&gt;"",N('Your debts'!$C$7)&gt;0))),"",IF('Your debts'!$D$20="Avalanche",'Avalanche workings'!$M$64,'Snowball workings'!$M$64)+IF('Your debts'!$D$20="Avalanche",'Avalanche workings'!$AG$64,'Snowball workings'!$AG$64))</f>
      </c>
      <c r="I62" s="30">
        <f>IF(OR(57&gt;$Z$1,NOT(OR('Your debts'!$B$7&lt;&gt;"",N('Your debts'!$C$7)&gt;0))),"",IF('Your debts'!$D$20="Avalanche",'Avalanche workings'!$AQ$64,'Snowball workings'!$AQ$64))</f>
      </c>
      <c r="J62" s="29">
        <f>IF(OR(57&gt;$Z$1,NOT(OR('Your debts'!$B$8&lt;&gt;"",N('Your debts'!$C$8)&gt;0))),"",IF('Your debts'!$D$20="Avalanche",'Avalanche workings'!$N$64,'Snowball workings'!$N$64)+IF('Your debts'!$D$20="Avalanche",'Avalanche workings'!$AH$64,'Snowball workings'!$AH$64))</f>
      </c>
      <c r="K62" s="30">
        <f>IF(OR(57&gt;$Z$1,NOT(OR('Your debts'!$B$8&lt;&gt;"",N('Your debts'!$C$8)&gt;0))),"",IF('Your debts'!$D$20="Avalanche",'Avalanche workings'!$AR$64,'Snowball workings'!$AR$64))</f>
      </c>
      <c r="L62" s="29">
        <f>IF(OR(57&gt;$Z$1,NOT(OR('Your debts'!$B$9&lt;&gt;"",N('Your debts'!$C$9)&gt;0))),"",IF('Your debts'!$D$20="Avalanche",'Avalanche workings'!$O$64,'Snowball workings'!$O$64)+IF('Your debts'!$D$20="Avalanche",'Avalanche workings'!$AI$64,'Snowball workings'!$AI$64))</f>
      </c>
      <c r="M62" s="30">
        <f>IF(OR(57&gt;$Z$1,NOT(OR('Your debts'!$B$9&lt;&gt;"",N('Your debts'!$C$9)&gt;0))),"",IF('Your debts'!$D$20="Avalanche",'Avalanche workings'!$AS$64,'Snowball workings'!$AS$64))</f>
      </c>
      <c r="N62" s="29">
        <f>IF(OR(57&gt;$Z$1,NOT(OR('Your debts'!$B$10&lt;&gt;"",N('Your debts'!$C$10)&gt;0))),"",IF('Your debts'!$D$20="Avalanche",'Avalanche workings'!$P$64,'Snowball workings'!$P$64)+IF('Your debts'!$D$20="Avalanche",'Avalanche workings'!$AJ$64,'Snowball workings'!$AJ$64))</f>
      </c>
      <c r="O62" s="30">
        <f>IF(OR(57&gt;$Z$1,NOT(OR('Your debts'!$B$10&lt;&gt;"",N('Your debts'!$C$10)&gt;0))),"",IF('Your debts'!$D$20="Avalanche",'Avalanche workings'!$AT$64,'Snowball workings'!$AT$64))</f>
      </c>
      <c r="P62" s="29">
        <f>IF(OR(57&gt;$Z$1,NOT(OR('Your debts'!$B$11&lt;&gt;"",N('Your debts'!$C$11)&gt;0))),"",IF('Your debts'!$D$20="Avalanche",'Avalanche workings'!$Q$64,'Snowball workings'!$Q$64)+IF('Your debts'!$D$20="Avalanche",'Avalanche workings'!$AK$64,'Snowball workings'!$AK$64))</f>
      </c>
      <c r="Q62" s="30">
        <f>IF(OR(57&gt;$Z$1,NOT(OR('Your debts'!$B$11&lt;&gt;"",N('Your debts'!$C$11)&gt;0))),"",IF('Your debts'!$D$20="Avalanche",'Avalanche workings'!$AU$64,'Snowball workings'!$AU$64))</f>
      </c>
      <c r="R62" s="29">
        <f>IF(OR(57&gt;$Z$1,NOT(OR('Your debts'!$B$12&lt;&gt;"",N('Your debts'!$C$12)&gt;0))),"",IF('Your debts'!$D$20="Avalanche",'Avalanche workings'!$R$64,'Snowball workings'!$R$64)+IF('Your debts'!$D$20="Avalanche",'Avalanche workings'!$AL$64,'Snowball workings'!$AL$64))</f>
      </c>
      <c r="S62" s="30">
        <f>IF(OR(57&gt;$Z$1,NOT(OR('Your debts'!$B$12&lt;&gt;"",N('Your debts'!$C$12)&gt;0))),"",IF('Your debts'!$D$20="Avalanche",'Avalanche workings'!$AV$64,'Snowball workings'!$AV$64))</f>
      </c>
      <c r="T62" s="29">
        <f>IF(OR(57&gt;$Z$1,NOT(OR('Your debts'!$B$13&lt;&gt;"",N('Your debts'!$C$13)&gt;0))),"",IF('Your debts'!$D$20="Avalanche",'Avalanche workings'!$S$64,'Snowball workings'!$S$64)+IF('Your debts'!$D$20="Avalanche",'Avalanche workings'!$AM$64,'Snowball workings'!$AM$64))</f>
      </c>
      <c r="U62" s="30">
        <f>IF(OR(57&gt;$Z$1,NOT(OR('Your debts'!$B$13&lt;&gt;"",N('Your debts'!$C$13)&gt;0))),"",IF('Your debts'!$D$20="Avalanche",'Avalanche workings'!$AW$64,'Snowball workings'!$AW$64))</f>
      </c>
      <c r="V62" s="29">
        <f>IF(OR(57&gt;$Z$1,NOT(OR('Your debts'!$B$14&lt;&gt;"",N('Your debts'!$C$14)&gt;0))),"",IF('Your debts'!$D$20="Avalanche",'Avalanche workings'!$T$64,'Snowball workings'!$T$64)+IF('Your debts'!$D$20="Avalanche",'Avalanche workings'!$AN$64,'Snowball workings'!$AN$64))</f>
      </c>
      <c r="W62" s="30">
        <f>IF(OR(57&gt;$Z$1,NOT(OR('Your debts'!$B$14&lt;&gt;"",N('Your debts'!$C$14)&gt;0))),"",IF('Your debts'!$D$20="Avalanche",'Avalanche workings'!$AX$64,'Snowball workings'!$AX$64))</f>
      </c>
      <c r="X62" s="29">
        <f>IF(OR(57&gt;$Z$1,NOT(OR('Your debts'!$B$15&lt;&gt;"",N('Your debts'!$C$15)&gt;0))),"",IF('Your debts'!$D$20="Avalanche",'Avalanche workings'!$U$64,'Snowball workings'!$U$64)+IF('Your debts'!$D$20="Avalanche",'Avalanche workings'!$AO$64,'Snowball workings'!$AO$64))</f>
      </c>
      <c r="Y62" s="30">
        <f>IF(OR(57&gt;$Z$1,NOT(OR('Your debts'!$B$15&lt;&gt;"",N('Your debts'!$C$15)&gt;0))),"",IF('Your debts'!$D$20="Avalanche",'Avalanche workings'!$AY$64,'Snowball workings'!$AY$64))</f>
      </c>
    </row>
    <row r="63" spans="1:25" x14ac:dyDescent="0.25">
      <c r="A63" s="2">
        <f>IF(58&gt;$Z$1,"",58)</f>
      </c>
      <c r="B63" s="28">
        <f>IF(58&gt;$Z$1,"",EDATE('Your debts'!$D$21,57))</f>
      </c>
      <c r="C63" s="29">
        <f>IF(58&gt;$Z$1,"",IF('Your debts'!$D$20="Avalanche",'Avalanche workings'!$BC$65,'Snowball workings'!$BC$65))</f>
      </c>
      <c r="D63" s="29">
        <f>IF(58&gt;$Z$1,"",IF('Your debts'!$D$20="Avalanche",'Avalanche workings'!$BA$65,'Snowball workings'!$BA$65))</f>
      </c>
      <c r="E63" s="29">
        <f>IF(58&gt;$Z$1,"",IF('Your debts'!$D$20="Avalanche",'Avalanche workings'!$BB$65,'Snowball workings'!$BB$65))</f>
      </c>
      <c r="F63" s="29">
        <f>IF(OR(58&gt;$Z$1,NOT(OR('Your debts'!$B$6&lt;&gt;"",N('Your debts'!$C$6)&gt;0))),"",IF('Your debts'!$D$20="Avalanche",'Avalanche workings'!$L$65,'Snowball workings'!$L$65)+IF('Your debts'!$D$20="Avalanche",'Avalanche workings'!$AF$65,'Snowball workings'!$AF$65))</f>
      </c>
      <c r="G63" s="30">
        <f>IF(OR(58&gt;$Z$1,NOT(OR('Your debts'!$B$6&lt;&gt;"",N('Your debts'!$C$6)&gt;0))),"",IF('Your debts'!$D$20="Avalanche",'Avalanche workings'!$AP$65,'Snowball workings'!$AP$65))</f>
      </c>
      <c r="H63" s="29">
        <f>IF(OR(58&gt;$Z$1,NOT(OR('Your debts'!$B$7&lt;&gt;"",N('Your debts'!$C$7)&gt;0))),"",IF('Your debts'!$D$20="Avalanche",'Avalanche workings'!$M$65,'Snowball workings'!$M$65)+IF('Your debts'!$D$20="Avalanche",'Avalanche workings'!$AG$65,'Snowball workings'!$AG$65))</f>
      </c>
      <c r="I63" s="30">
        <f>IF(OR(58&gt;$Z$1,NOT(OR('Your debts'!$B$7&lt;&gt;"",N('Your debts'!$C$7)&gt;0))),"",IF('Your debts'!$D$20="Avalanche",'Avalanche workings'!$AQ$65,'Snowball workings'!$AQ$65))</f>
      </c>
      <c r="J63" s="29">
        <f>IF(OR(58&gt;$Z$1,NOT(OR('Your debts'!$B$8&lt;&gt;"",N('Your debts'!$C$8)&gt;0))),"",IF('Your debts'!$D$20="Avalanche",'Avalanche workings'!$N$65,'Snowball workings'!$N$65)+IF('Your debts'!$D$20="Avalanche",'Avalanche workings'!$AH$65,'Snowball workings'!$AH$65))</f>
      </c>
      <c r="K63" s="30">
        <f>IF(OR(58&gt;$Z$1,NOT(OR('Your debts'!$B$8&lt;&gt;"",N('Your debts'!$C$8)&gt;0))),"",IF('Your debts'!$D$20="Avalanche",'Avalanche workings'!$AR$65,'Snowball workings'!$AR$65))</f>
      </c>
      <c r="L63" s="29">
        <f>IF(OR(58&gt;$Z$1,NOT(OR('Your debts'!$B$9&lt;&gt;"",N('Your debts'!$C$9)&gt;0))),"",IF('Your debts'!$D$20="Avalanche",'Avalanche workings'!$O$65,'Snowball workings'!$O$65)+IF('Your debts'!$D$20="Avalanche",'Avalanche workings'!$AI$65,'Snowball workings'!$AI$65))</f>
      </c>
      <c r="M63" s="30">
        <f>IF(OR(58&gt;$Z$1,NOT(OR('Your debts'!$B$9&lt;&gt;"",N('Your debts'!$C$9)&gt;0))),"",IF('Your debts'!$D$20="Avalanche",'Avalanche workings'!$AS$65,'Snowball workings'!$AS$65))</f>
      </c>
      <c r="N63" s="29">
        <f>IF(OR(58&gt;$Z$1,NOT(OR('Your debts'!$B$10&lt;&gt;"",N('Your debts'!$C$10)&gt;0))),"",IF('Your debts'!$D$20="Avalanche",'Avalanche workings'!$P$65,'Snowball workings'!$P$65)+IF('Your debts'!$D$20="Avalanche",'Avalanche workings'!$AJ$65,'Snowball workings'!$AJ$65))</f>
      </c>
      <c r="O63" s="30">
        <f>IF(OR(58&gt;$Z$1,NOT(OR('Your debts'!$B$10&lt;&gt;"",N('Your debts'!$C$10)&gt;0))),"",IF('Your debts'!$D$20="Avalanche",'Avalanche workings'!$AT$65,'Snowball workings'!$AT$65))</f>
      </c>
      <c r="P63" s="29">
        <f>IF(OR(58&gt;$Z$1,NOT(OR('Your debts'!$B$11&lt;&gt;"",N('Your debts'!$C$11)&gt;0))),"",IF('Your debts'!$D$20="Avalanche",'Avalanche workings'!$Q$65,'Snowball workings'!$Q$65)+IF('Your debts'!$D$20="Avalanche",'Avalanche workings'!$AK$65,'Snowball workings'!$AK$65))</f>
      </c>
      <c r="Q63" s="30">
        <f>IF(OR(58&gt;$Z$1,NOT(OR('Your debts'!$B$11&lt;&gt;"",N('Your debts'!$C$11)&gt;0))),"",IF('Your debts'!$D$20="Avalanche",'Avalanche workings'!$AU$65,'Snowball workings'!$AU$65))</f>
      </c>
      <c r="R63" s="29">
        <f>IF(OR(58&gt;$Z$1,NOT(OR('Your debts'!$B$12&lt;&gt;"",N('Your debts'!$C$12)&gt;0))),"",IF('Your debts'!$D$20="Avalanche",'Avalanche workings'!$R$65,'Snowball workings'!$R$65)+IF('Your debts'!$D$20="Avalanche",'Avalanche workings'!$AL$65,'Snowball workings'!$AL$65))</f>
      </c>
      <c r="S63" s="30">
        <f>IF(OR(58&gt;$Z$1,NOT(OR('Your debts'!$B$12&lt;&gt;"",N('Your debts'!$C$12)&gt;0))),"",IF('Your debts'!$D$20="Avalanche",'Avalanche workings'!$AV$65,'Snowball workings'!$AV$65))</f>
      </c>
      <c r="T63" s="29">
        <f>IF(OR(58&gt;$Z$1,NOT(OR('Your debts'!$B$13&lt;&gt;"",N('Your debts'!$C$13)&gt;0))),"",IF('Your debts'!$D$20="Avalanche",'Avalanche workings'!$S$65,'Snowball workings'!$S$65)+IF('Your debts'!$D$20="Avalanche",'Avalanche workings'!$AM$65,'Snowball workings'!$AM$65))</f>
      </c>
      <c r="U63" s="30">
        <f>IF(OR(58&gt;$Z$1,NOT(OR('Your debts'!$B$13&lt;&gt;"",N('Your debts'!$C$13)&gt;0))),"",IF('Your debts'!$D$20="Avalanche",'Avalanche workings'!$AW$65,'Snowball workings'!$AW$65))</f>
      </c>
      <c r="V63" s="29">
        <f>IF(OR(58&gt;$Z$1,NOT(OR('Your debts'!$B$14&lt;&gt;"",N('Your debts'!$C$14)&gt;0))),"",IF('Your debts'!$D$20="Avalanche",'Avalanche workings'!$T$65,'Snowball workings'!$T$65)+IF('Your debts'!$D$20="Avalanche",'Avalanche workings'!$AN$65,'Snowball workings'!$AN$65))</f>
      </c>
      <c r="W63" s="30">
        <f>IF(OR(58&gt;$Z$1,NOT(OR('Your debts'!$B$14&lt;&gt;"",N('Your debts'!$C$14)&gt;0))),"",IF('Your debts'!$D$20="Avalanche",'Avalanche workings'!$AX$65,'Snowball workings'!$AX$65))</f>
      </c>
      <c r="X63" s="29">
        <f>IF(OR(58&gt;$Z$1,NOT(OR('Your debts'!$B$15&lt;&gt;"",N('Your debts'!$C$15)&gt;0))),"",IF('Your debts'!$D$20="Avalanche",'Avalanche workings'!$U$65,'Snowball workings'!$U$65)+IF('Your debts'!$D$20="Avalanche",'Avalanche workings'!$AO$65,'Snowball workings'!$AO$65))</f>
      </c>
      <c r="Y63" s="30">
        <f>IF(OR(58&gt;$Z$1,NOT(OR('Your debts'!$B$15&lt;&gt;"",N('Your debts'!$C$15)&gt;0))),"",IF('Your debts'!$D$20="Avalanche",'Avalanche workings'!$AY$65,'Snowball workings'!$AY$65))</f>
      </c>
    </row>
    <row r="64" spans="1:25" x14ac:dyDescent="0.25">
      <c r="A64" s="2">
        <f>IF(59&gt;$Z$1,"",59)</f>
      </c>
      <c r="B64" s="28">
        <f>IF(59&gt;$Z$1,"",EDATE('Your debts'!$D$21,58))</f>
      </c>
      <c r="C64" s="29">
        <f>IF(59&gt;$Z$1,"",IF('Your debts'!$D$20="Avalanche",'Avalanche workings'!$BC$66,'Snowball workings'!$BC$66))</f>
      </c>
      <c r="D64" s="29">
        <f>IF(59&gt;$Z$1,"",IF('Your debts'!$D$20="Avalanche",'Avalanche workings'!$BA$66,'Snowball workings'!$BA$66))</f>
      </c>
      <c r="E64" s="29">
        <f>IF(59&gt;$Z$1,"",IF('Your debts'!$D$20="Avalanche",'Avalanche workings'!$BB$66,'Snowball workings'!$BB$66))</f>
      </c>
      <c r="F64" s="29">
        <f>IF(OR(59&gt;$Z$1,NOT(OR('Your debts'!$B$6&lt;&gt;"",N('Your debts'!$C$6)&gt;0))),"",IF('Your debts'!$D$20="Avalanche",'Avalanche workings'!$L$66,'Snowball workings'!$L$66)+IF('Your debts'!$D$20="Avalanche",'Avalanche workings'!$AF$66,'Snowball workings'!$AF$66))</f>
      </c>
      <c r="G64" s="30">
        <f>IF(OR(59&gt;$Z$1,NOT(OR('Your debts'!$B$6&lt;&gt;"",N('Your debts'!$C$6)&gt;0))),"",IF('Your debts'!$D$20="Avalanche",'Avalanche workings'!$AP$66,'Snowball workings'!$AP$66))</f>
      </c>
      <c r="H64" s="29">
        <f>IF(OR(59&gt;$Z$1,NOT(OR('Your debts'!$B$7&lt;&gt;"",N('Your debts'!$C$7)&gt;0))),"",IF('Your debts'!$D$20="Avalanche",'Avalanche workings'!$M$66,'Snowball workings'!$M$66)+IF('Your debts'!$D$20="Avalanche",'Avalanche workings'!$AG$66,'Snowball workings'!$AG$66))</f>
      </c>
      <c r="I64" s="30">
        <f>IF(OR(59&gt;$Z$1,NOT(OR('Your debts'!$B$7&lt;&gt;"",N('Your debts'!$C$7)&gt;0))),"",IF('Your debts'!$D$20="Avalanche",'Avalanche workings'!$AQ$66,'Snowball workings'!$AQ$66))</f>
      </c>
      <c r="J64" s="29">
        <f>IF(OR(59&gt;$Z$1,NOT(OR('Your debts'!$B$8&lt;&gt;"",N('Your debts'!$C$8)&gt;0))),"",IF('Your debts'!$D$20="Avalanche",'Avalanche workings'!$N$66,'Snowball workings'!$N$66)+IF('Your debts'!$D$20="Avalanche",'Avalanche workings'!$AH$66,'Snowball workings'!$AH$66))</f>
      </c>
      <c r="K64" s="30">
        <f>IF(OR(59&gt;$Z$1,NOT(OR('Your debts'!$B$8&lt;&gt;"",N('Your debts'!$C$8)&gt;0))),"",IF('Your debts'!$D$20="Avalanche",'Avalanche workings'!$AR$66,'Snowball workings'!$AR$66))</f>
      </c>
      <c r="L64" s="29">
        <f>IF(OR(59&gt;$Z$1,NOT(OR('Your debts'!$B$9&lt;&gt;"",N('Your debts'!$C$9)&gt;0))),"",IF('Your debts'!$D$20="Avalanche",'Avalanche workings'!$O$66,'Snowball workings'!$O$66)+IF('Your debts'!$D$20="Avalanche",'Avalanche workings'!$AI$66,'Snowball workings'!$AI$66))</f>
      </c>
      <c r="M64" s="30">
        <f>IF(OR(59&gt;$Z$1,NOT(OR('Your debts'!$B$9&lt;&gt;"",N('Your debts'!$C$9)&gt;0))),"",IF('Your debts'!$D$20="Avalanche",'Avalanche workings'!$AS$66,'Snowball workings'!$AS$66))</f>
      </c>
      <c r="N64" s="29">
        <f>IF(OR(59&gt;$Z$1,NOT(OR('Your debts'!$B$10&lt;&gt;"",N('Your debts'!$C$10)&gt;0))),"",IF('Your debts'!$D$20="Avalanche",'Avalanche workings'!$P$66,'Snowball workings'!$P$66)+IF('Your debts'!$D$20="Avalanche",'Avalanche workings'!$AJ$66,'Snowball workings'!$AJ$66))</f>
      </c>
      <c r="O64" s="30">
        <f>IF(OR(59&gt;$Z$1,NOT(OR('Your debts'!$B$10&lt;&gt;"",N('Your debts'!$C$10)&gt;0))),"",IF('Your debts'!$D$20="Avalanche",'Avalanche workings'!$AT$66,'Snowball workings'!$AT$66))</f>
      </c>
      <c r="P64" s="29">
        <f>IF(OR(59&gt;$Z$1,NOT(OR('Your debts'!$B$11&lt;&gt;"",N('Your debts'!$C$11)&gt;0))),"",IF('Your debts'!$D$20="Avalanche",'Avalanche workings'!$Q$66,'Snowball workings'!$Q$66)+IF('Your debts'!$D$20="Avalanche",'Avalanche workings'!$AK$66,'Snowball workings'!$AK$66))</f>
      </c>
      <c r="Q64" s="30">
        <f>IF(OR(59&gt;$Z$1,NOT(OR('Your debts'!$B$11&lt;&gt;"",N('Your debts'!$C$11)&gt;0))),"",IF('Your debts'!$D$20="Avalanche",'Avalanche workings'!$AU$66,'Snowball workings'!$AU$66))</f>
      </c>
      <c r="R64" s="29">
        <f>IF(OR(59&gt;$Z$1,NOT(OR('Your debts'!$B$12&lt;&gt;"",N('Your debts'!$C$12)&gt;0))),"",IF('Your debts'!$D$20="Avalanche",'Avalanche workings'!$R$66,'Snowball workings'!$R$66)+IF('Your debts'!$D$20="Avalanche",'Avalanche workings'!$AL$66,'Snowball workings'!$AL$66))</f>
      </c>
      <c r="S64" s="30">
        <f>IF(OR(59&gt;$Z$1,NOT(OR('Your debts'!$B$12&lt;&gt;"",N('Your debts'!$C$12)&gt;0))),"",IF('Your debts'!$D$20="Avalanche",'Avalanche workings'!$AV$66,'Snowball workings'!$AV$66))</f>
      </c>
      <c r="T64" s="29">
        <f>IF(OR(59&gt;$Z$1,NOT(OR('Your debts'!$B$13&lt;&gt;"",N('Your debts'!$C$13)&gt;0))),"",IF('Your debts'!$D$20="Avalanche",'Avalanche workings'!$S$66,'Snowball workings'!$S$66)+IF('Your debts'!$D$20="Avalanche",'Avalanche workings'!$AM$66,'Snowball workings'!$AM$66))</f>
      </c>
      <c r="U64" s="30">
        <f>IF(OR(59&gt;$Z$1,NOT(OR('Your debts'!$B$13&lt;&gt;"",N('Your debts'!$C$13)&gt;0))),"",IF('Your debts'!$D$20="Avalanche",'Avalanche workings'!$AW$66,'Snowball workings'!$AW$66))</f>
      </c>
      <c r="V64" s="29">
        <f>IF(OR(59&gt;$Z$1,NOT(OR('Your debts'!$B$14&lt;&gt;"",N('Your debts'!$C$14)&gt;0))),"",IF('Your debts'!$D$20="Avalanche",'Avalanche workings'!$T$66,'Snowball workings'!$T$66)+IF('Your debts'!$D$20="Avalanche",'Avalanche workings'!$AN$66,'Snowball workings'!$AN$66))</f>
      </c>
      <c r="W64" s="30">
        <f>IF(OR(59&gt;$Z$1,NOT(OR('Your debts'!$B$14&lt;&gt;"",N('Your debts'!$C$14)&gt;0))),"",IF('Your debts'!$D$20="Avalanche",'Avalanche workings'!$AX$66,'Snowball workings'!$AX$66))</f>
      </c>
      <c r="X64" s="29">
        <f>IF(OR(59&gt;$Z$1,NOT(OR('Your debts'!$B$15&lt;&gt;"",N('Your debts'!$C$15)&gt;0))),"",IF('Your debts'!$D$20="Avalanche",'Avalanche workings'!$U$66,'Snowball workings'!$U$66)+IF('Your debts'!$D$20="Avalanche",'Avalanche workings'!$AO$66,'Snowball workings'!$AO$66))</f>
      </c>
      <c r="Y64" s="30">
        <f>IF(OR(59&gt;$Z$1,NOT(OR('Your debts'!$B$15&lt;&gt;"",N('Your debts'!$C$15)&gt;0))),"",IF('Your debts'!$D$20="Avalanche",'Avalanche workings'!$AY$66,'Snowball workings'!$AY$66))</f>
      </c>
    </row>
    <row r="65" spans="1:25" x14ac:dyDescent="0.25">
      <c r="A65" s="2">
        <f>IF(60&gt;$Z$1,"",60)</f>
      </c>
      <c r="B65" s="28">
        <f>IF(60&gt;$Z$1,"",EDATE('Your debts'!$D$21,59))</f>
      </c>
      <c r="C65" s="29">
        <f>IF(60&gt;$Z$1,"",IF('Your debts'!$D$20="Avalanche",'Avalanche workings'!$BC$67,'Snowball workings'!$BC$67))</f>
      </c>
      <c r="D65" s="29">
        <f>IF(60&gt;$Z$1,"",IF('Your debts'!$D$20="Avalanche",'Avalanche workings'!$BA$67,'Snowball workings'!$BA$67))</f>
      </c>
      <c r="E65" s="29">
        <f>IF(60&gt;$Z$1,"",IF('Your debts'!$D$20="Avalanche",'Avalanche workings'!$BB$67,'Snowball workings'!$BB$67))</f>
      </c>
      <c r="F65" s="29">
        <f>IF(OR(60&gt;$Z$1,NOT(OR('Your debts'!$B$6&lt;&gt;"",N('Your debts'!$C$6)&gt;0))),"",IF('Your debts'!$D$20="Avalanche",'Avalanche workings'!$L$67,'Snowball workings'!$L$67)+IF('Your debts'!$D$20="Avalanche",'Avalanche workings'!$AF$67,'Snowball workings'!$AF$67))</f>
      </c>
      <c r="G65" s="30">
        <f>IF(OR(60&gt;$Z$1,NOT(OR('Your debts'!$B$6&lt;&gt;"",N('Your debts'!$C$6)&gt;0))),"",IF('Your debts'!$D$20="Avalanche",'Avalanche workings'!$AP$67,'Snowball workings'!$AP$67))</f>
      </c>
      <c r="H65" s="29">
        <f>IF(OR(60&gt;$Z$1,NOT(OR('Your debts'!$B$7&lt;&gt;"",N('Your debts'!$C$7)&gt;0))),"",IF('Your debts'!$D$20="Avalanche",'Avalanche workings'!$M$67,'Snowball workings'!$M$67)+IF('Your debts'!$D$20="Avalanche",'Avalanche workings'!$AG$67,'Snowball workings'!$AG$67))</f>
      </c>
      <c r="I65" s="30">
        <f>IF(OR(60&gt;$Z$1,NOT(OR('Your debts'!$B$7&lt;&gt;"",N('Your debts'!$C$7)&gt;0))),"",IF('Your debts'!$D$20="Avalanche",'Avalanche workings'!$AQ$67,'Snowball workings'!$AQ$67))</f>
      </c>
      <c r="J65" s="29">
        <f>IF(OR(60&gt;$Z$1,NOT(OR('Your debts'!$B$8&lt;&gt;"",N('Your debts'!$C$8)&gt;0))),"",IF('Your debts'!$D$20="Avalanche",'Avalanche workings'!$N$67,'Snowball workings'!$N$67)+IF('Your debts'!$D$20="Avalanche",'Avalanche workings'!$AH$67,'Snowball workings'!$AH$67))</f>
      </c>
      <c r="K65" s="30">
        <f>IF(OR(60&gt;$Z$1,NOT(OR('Your debts'!$B$8&lt;&gt;"",N('Your debts'!$C$8)&gt;0))),"",IF('Your debts'!$D$20="Avalanche",'Avalanche workings'!$AR$67,'Snowball workings'!$AR$67))</f>
      </c>
      <c r="L65" s="29">
        <f>IF(OR(60&gt;$Z$1,NOT(OR('Your debts'!$B$9&lt;&gt;"",N('Your debts'!$C$9)&gt;0))),"",IF('Your debts'!$D$20="Avalanche",'Avalanche workings'!$O$67,'Snowball workings'!$O$67)+IF('Your debts'!$D$20="Avalanche",'Avalanche workings'!$AI$67,'Snowball workings'!$AI$67))</f>
      </c>
      <c r="M65" s="30">
        <f>IF(OR(60&gt;$Z$1,NOT(OR('Your debts'!$B$9&lt;&gt;"",N('Your debts'!$C$9)&gt;0))),"",IF('Your debts'!$D$20="Avalanche",'Avalanche workings'!$AS$67,'Snowball workings'!$AS$67))</f>
      </c>
      <c r="N65" s="29">
        <f>IF(OR(60&gt;$Z$1,NOT(OR('Your debts'!$B$10&lt;&gt;"",N('Your debts'!$C$10)&gt;0))),"",IF('Your debts'!$D$20="Avalanche",'Avalanche workings'!$P$67,'Snowball workings'!$P$67)+IF('Your debts'!$D$20="Avalanche",'Avalanche workings'!$AJ$67,'Snowball workings'!$AJ$67))</f>
      </c>
      <c r="O65" s="30">
        <f>IF(OR(60&gt;$Z$1,NOT(OR('Your debts'!$B$10&lt;&gt;"",N('Your debts'!$C$10)&gt;0))),"",IF('Your debts'!$D$20="Avalanche",'Avalanche workings'!$AT$67,'Snowball workings'!$AT$67))</f>
      </c>
      <c r="P65" s="29">
        <f>IF(OR(60&gt;$Z$1,NOT(OR('Your debts'!$B$11&lt;&gt;"",N('Your debts'!$C$11)&gt;0))),"",IF('Your debts'!$D$20="Avalanche",'Avalanche workings'!$Q$67,'Snowball workings'!$Q$67)+IF('Your debts'!$D$20="Avalanche",'Avalanche workings'!$AK$67,'Snowball workings'!$AK$67))</f>
      </c>
      <c r="Q65" s="30">
        <f>IF(OR(60&gt;$Z$1,NOT(OR('Your debts'!$B$11&lt;&gt;"",N('Your debts'!$C$11)&gt;0))),"",IF('Your debts'!$D$20="Avalanche",'Avalanche workings'!$AU$67,'Snowball workings'!$AU$67))</f>
      </c>
      <c r="R65" s="29">
        <f>IF(OR(60&gt;$Z$1,NOT(OR('Your debts'!$B$12&lt;&gt;"",N('Your debts'!$C$12)&gt;0))),"",IF('Your debts'!$D$20="Avalanche",'Avalanche workings'!$R$67,'Snowball workings'!$R$67)+IF('Your debts'!$D$20="Avalanche",'Avalanche workings'!$AL$67,'Snowball workings'!$AL$67))</f>
      </c>
      <c r="S65" s="30">
        <f>IF(OR(60&gt;$Z$1,NOT(OR('Your debts'!$B$12&lt;&gt;"",N('Your debts'!$C$12)&gt;0))),"",IF('Your debts'!$D$20="Avalanche",'Avalanche workings'!$AV$67,'Snowball workings'!$AV$67))</f>
      </c>
      <c r="T65" s="29">
        <f>IF(OR(60&gt;$Z$1,NOT(OR('Your debts'!$B$13&lt;&gt;"",N('Your debts'!$C$13)&gt;0))),"",IF('Your debts'!$D$20="Avalanche",'Avalanche workings'!$S$67,'Snowball workings'!$S$67)+IF('Your debts'!$D$20="Avalanche",'Avalanche workings'!$AM$67,'Snowball workings'!$AM$67))</f>
      </c>
      <c r="U65" s="30">
        <f>IF(OR(60&gt;$Z$1,NOT(OR('Your debts'!$B$13&lt;&gt;"",N('Your debts'!$C$13)&gt;0))),"",IF('Your debts'!$D$20="Avalanche",'Avalanche workings'!$AW$67,'Snowball workings'!$AW$67))</f>
      </c>
      <c r="V65" s="29">
        <f>IF(OR(60&gt;$Z$1,NOT(OR('Your debts'!$B$14&lt;&gt;"",N('Your debts'!$C$14)&gt;0))),"",IF('Your debts'!$D$20="Avalanche",'Avalanche workings'!$T$67,'Snowball workings'!$T$67)+IF('Your debts'!$D$20="Avalanche",'Avalanche workings'!$AN$67,'Snowball workings'!$AN$67))</f>
      </c>
      <c r="W65" s="30">
        <f>IF(OR(60&gt;$Z$1,NOT(OR('Your debts'!$B$14&lt;&gt;"",N('Your debts'!$C$14)&gt;0))),"",IF('Your debts'!$D$20="Avalanche",'Avalanche workings'!$AX$67,'Snowball workings'!$AX$67))</f>
      </c>
      <c r="X65" s="29">
        <f>IF(OR(60&gt;$Z$1,NOT(OR('Your debts'!$B$15&lt;&gt;"",N('Your debts'!$C$15)&gt;0))),"",IF('Your debts'!$D$20="Avalanche",'Avalanche workings'!$U$67,'Snowball workings'!$U$67)+IF('Your debts'!$D$20="Avalanche",'Avalanche workings'!$AO$67,'Snowball workings'!$AO$67))</f>
      </c>
      <c r="Y65" s="30">
        <f>IF(OR(60&gt;$Z$1,NOT(OR('Your debts'!$B$15&lt;&gt;"",N('Your debts'!$C$15)&gt;0))),"",IF('Your debts'!$D$20="Avalanche",'Avalanche workings'!$AY$67,'Snowball workings'!$AY$67))</f>
      </c>
    </row>
    <row r="66" spans="1:25" x14ac:dyDescent="0.25">
      <c r="A66" s="2">
        <f>IF(61&gt;$Z$1,"",61)</f>
      </c>
      <c r="B66" s="28">
        <f>IF(61&gt;$Z$1,"",EDATE('Your debts'!$D$21,60))</f>
      </c>
      <c r="C66" s="29">
        <f>IF(61&gt;$Z$1,"",IF('Your debts'!$D$20="Avalanche",'Avalanche workings'!$BC$68,'Snowball workings'!$BC$68))</f>
      </c>
      <c r="D66" s="29">
        <f>IF(61&gt;$Z$1,"",IF('Your debts'!$D$20="Avalanche",'Avalanche workings'!$BA$68,'Snowball workings'!$BA$68))</f>
      </c>
      <c r="E66" s="29">
        <f>IF(61&gt;$Z$1,"",IF('Your debts'!$D$20="Avalanche",'Avalanche workings'!$BB$68,'Snowball workings'!$BB$68))</f>
      </c>
      <c r="F66" s="29">
        <f>IF(OR(61&gt;$Z$1,NOT(OR('Your debts'!$B$6&lt;&gt;"",N('Your debts'!$C$6)&gt;0))),"",IF('Your debts'!$D$20="Avalanche",'Avalanche workings'!$L$68,'Snowball workings'!$L$68)+IF('Your debts'!$D$20="Avalanche",'Avalanche workings'!$AF$68,'Snowball workings'!$AF$68))</f>
      </c>
      <c r="G66" s="30">
        <f>IF(OR(61&gt;$Z$1,NOT(OR('Your debts'!$B$6&lt;&gt;"",N('Your debts'!$C$6)&gt;0))),"",IF('Your debts'!$D$20="Avalanche",'Avalanche workings'!$AP$68,'Snowball workings'!$AP$68))</f>
      </c>
      <c r="H66" s="29">
        <f>IF(OR(61&gt;$Z$1,NOT(OR('Your debts'!$B$7&lt;&gt;"",N('Your debts'!$C$7)&gt;0))),"",IF('Your debts'!$D$20="Avalanche",'Avalanche workings'!$M$68,'Snowball workings'!$M$68)+IF('Your debts'!$D$20="Avalanche",'Avalanche workings'!$AG$68,'Snowball workings'!$AG$68))</f>
      </c>
      <c r="I66" s="30">
        <f>IF(OR(61&gt;$Z$1,NOT(OR('Your debts'!$B$7&lt;&gt;"",N('Your debts'!$C$7)&gt;0))),"",IF('Your debts'!$D$20="Avalanche",'Avalanche workings'!$AQ$68,'Snowball workings'!$AQ$68))</f>
      </c>
      <c r="J66" s="29">
        <f>IF(OR(61&gt;$Z$1,NOT(OR('Your debts'!$B$8&lt;&gt;"",N('Your debts'!$C$8)&gt;0))),"",IF('Your debts'!$D$20="Avalanche",'Avalanche workings'!$N$68,'Snowball workings'!$N$68)+IF('Your debts'!$D$20="Avalanche",'Avalanche workings'!$AH$68,'Snowball workings'!$AH$68))</f>
      </c>
      <c r="K66" s="30">
        <f>IF(OR(61&gt;$Z$1,NOT(OR('Your debts'!$B$8&lt;&gt;"",N('Your debts'!$C$8)&gt;0))),"",IF('Your debts'!$D$20="Avalanche",'Avalanche workings'!$AR$68,'Snowball workings'!$AR$68))</f>
      </c>
      <c r="L66" s="29">
        <f>IF(OR(61&gt;$Z$1,NOT(OR('Your debts'!$B$9&lt;&gt;"",N('Your debts'!$C$9)&gt;0))),"",IF('Your debts'!$D$20="Avalanche",'Avalanche workings'!$O$68,'Snowball workings'!$O$68)+IF('Your debts'!$D$20="Avalanche",'Avalanche workings'!$AI$68,'Snowball workings'!$AI$68))</f>
      </c>
      <c r="M66" s="30">
        <f>IF(OR(61&gt;$Z$1,NOT(OR('Your debts'!$B$9&lt;&gt;"",N('Your debts'!$C$9)&gt;0))),"",IF('Your debts'!$D$20="Avalanche",'Avalanche workings'!$AS$68,'Snowball workings'!$AS$68))</f>
      </c>
      <c r="N66" s="29">
        <f>IF(OR(61&gt;$Z$1,NOT(OR('Your debts'!$B$10&lt;&gt;"",N('Your debts'!$C$10)&gt;0))),"",IF('Your debts'!$D$20="Avalanche",'Avalanche workings'!$P$68,'Snowball workings'!$P$68)+IF('Your debts'!$D$20="Avalanche",'Avalanche workings'!$AJ$68,'Snowball workings'!$AJ$68))</f>
      </c>
      <c r="O66" s="30">
        <f>IF(OR(61&gt;$Z$1,NOT(OR('Your debts'!$B$10&lt;&gt;"",N('Your debts'!$C$10)&gt;0))),"",IF('Your debts'!$D$20="Avalanche",'Avalanche workings'!$AT$68,'Snowball workings'!$AT$68))</f>
      </c>
      <c r="P66" s="29">
        <f>IF(OR(61&gt;$Z$1,NOT(OR('Your debts'!$B$11&lt;&gt;"",N('Your debts'!$C$11)&gt;0))),"",IF('Your debts'!$D$20="Avalanche",'Avalanche workings'!$Q$68,'Snowball workings'!$Q$68)+IF('Your debts'!$D$20="Avalanche",'Avalanche workings'!$AK$68,'Snowball workings'!$AK$68))</f>
      </c>
      <c r="Q66" s="30">
        <f>IF(OR(61&gt;$Z$1,NOT(OR('Your debts'!$B$11&lt;&gt;"",N('Your debts'!$C$11)&gt;0))),"",IF('Your debts'!$D$20="Avalanche",'Avalanche workings'!$AU$68,'Snowball workings'!$AU$68))</f>
      </c>
      <c r="R66" s="29">
        <f>IF(OR(61&gt;$Z$1,NOT(OR('Your debts'!$B$12&lt;&gt;"",N('Your debts'!$C$12)&gt;0))),"",IF('Your debts'!$D$20="Avalanche",'Avalanche workings'!$R$68,'Snowball workings'!$R$68)+IF('Your debts'!$D$20="Avalanche",'Avalanche workings'!$AL$68,'Snowball workings'!$AL$68))</f>
      </c>
      <c r="S66" s="30">
        <f>IF(OR(61&gt;$Z$1,NOT(OR('Your debts'!$B$12&lt;&gt;"",N('Your debts'!$C$12)&gt;0))),"",IF('Your debts'!$D$20="Avalanche",'Avalanche workings'!$AV$68,'Snowball workings'!$AV$68))</f>
      </c>
      <c r="T66" s="29">
        <f>IF(OR(61&gt;$Z$1,NOT(OR('Your debts'!$B$13&lt;&gt;"",N('Your debts'!$C$13)&gt;0))),"",IF('Your debts'!$D$20="Avalanche",'Avalanche workings'!$S$68,'Snowball workings'!$S$68)+IF('Your debts'!$D$20="Avalanche",'Avalanche workings'!$AM$68,'Snowball workings'!$AM$68))</f>
      </c>
      <c r="U66" s="30">
        <f>IF(OR(61&gt;$Z$1,NOT(OR('Your debts'!$B$13&lt;&gt;"",N('Your debts'!$C$13)&gt;0))),"",IF('Your debts'!$D$20="Avalanche",'Avalanche workings'!$AW$68,'Snowball workings'!$AW$68))</f>
      </c>
      <c r="V66" s="29">
        <f>IF(OR(61&gt;$Z$1,NOT(OR('Your debts'!$B$14&lt;&gt;"",N('Your debts'!$C$14)&gt;0))),"",IF('Your debts'!$D$20="Avalanche",'Avalanche workings'!$T$68,'Snowball workings'!$T$68)+IF('Your debts'!$D$20="Avalanche",'Avalanche workings'!$AN$68,'Snowball workings'!$AN$68))</f>
      </c>
      <c r="W66" s="30">
        <f>IF(OR(61&gt;$Z$1,NOT(OR('Your debts'!$B$14&lt;&gt;"",N('Your debts'!$C$14)&gt;0))),"",IF('Your debts'!$D$20="Avalanche",'Avalanche workings'!$AX$68,'Snowball workings'!$AX$68))</f>
      </c>
      <c r="X66" s="29">
        <f>IF(OR(61&gt;$Z$1,NOT(OR('Your debts'!$B$15&lt;&gt;"",N('Your debts'!$C$15)&gt;0))),"",IF('Your debts'!$D$20="Avalanche",'Avalanche workings'!$U$68,'Snowball workings'!$U$68)+IF('Your debts'!$D$20="Avalanche",'Avalanche workings'!$AO$68,'Snowball workings'!$AO$68))</f>
      </c>
      <c r="Y66" s="30">
        <f>IF(OR(61&gt;$Z$1,NOT(OR('Your debts'!$B$15&lt;&gt;"",N('Your debts'!$C$15)&gt;0))),"",IF('Your debts'!$D$20="Avalanche",'Avalanche workings'!$AY$68,'Snowball workings'!$AY$68))</f>
      </c>
    </row>
    <row r="67" spans="1:25" x14ac:dyDescent="0.25">
      <c r="A67" s="2">
        <f>IF(62&gt;$Z$1,"",62)</f>
      </c>
      <c r="B67" s="28">
        <f>IF(62&gt;$Z$1,"",EDATE('Your debts'!$D$21,61))</f>
      </c>
      <c r="C67" s="29">
        <f>IF(62&gt;$Z$1,"",IF('Your debts'!$D$20="Avalanche",'Avalanche workings'!$BC$69,'Snowball workings'!$BC$69))</f>
      </c>
      <c r="D67" s="29">
        <f>IF(62&gt;$Z$1,"",IF('Your debts'!$D$20="Avalanche",'Avalanche workings'!$BA$69,'Snowball workings'!$BA$69))</f>
      </c>
      <c r="E67" s="29">
        <f>IF(62&gt;$Z$1,"",IF('Your debts'!$D$20="Avalanche",'Avalanche workings'!$BB$69,'Snowball workings'!$BB$69))</f>
      </c>
      <c r="F67" s="29">
        <f>IF(OR(62&gt;$Z$1,NOT(OR('Your debts'!$B$6&lt;&gt;"",N('Your debts'!$C$6)&gt;0))),"",IF('Your debts'!$D$20="Avalanche",'Avalanche workings'!$L$69,'Snowball workings'!$L$69)+IF('Your debts'!$D$20="Avalanche",'Avalanche workings'!$AF$69,'Snowball workings'!$AF$69))</f>
      </c>
      <c r="G67" s="30">
        <f>IF(OR(62&gt;$Z$1,NOT(OR('Your debts'!$B$6&lt;&gt;"",N('Your debts'!$C$6)&gt;0))),"",IF('Your debts'!$D$20="Avalanche",'Avalanche workings'!$AP$69,'Snowball workings'!$AP$69))</f>
      </c>
      <c r="H67" s="29">
        <f>IF(OR(62&gt;$Z$1,NOT(OR('Your debts'!$B$7&lt;&gt;"",N('Your debts'!$C$7)&gt;0))),"",IF('Your debts'!$D$20="Avalanche",'Avalanche workings'!$M$69,'Snowball workings'!$M$69)+IF('Your debts'!$D$20="Avalanche",'Avalanche workings'!$AG$69,'Snowball workings'!$AG$69))</f>
      </c>
      <c r="I67" s="30">
        <f>IF(OR(62&gt;$Z$1,NOT(OR('Your debts'!$B$7&lt;&gt;"",N('Your debts'!$C$7)&gt;0))),"",IF('Your debts'!$D$20="Avalanche",'Avalanche workings'!$AQ$69,'Snowball workings'!$AQ$69))</f>
      </c>
      <c r="J67" s="29">
        <f>IF(OR(62&gt;$Z$1,NOT(OR('Your debts'!$B$8&lt;&gt;"",N('Your debts'!$C$8)&gt;0))),"",IF('Your debts'!$D$20="Avalanche",'Avalanche workings'!$N$69,'Snowball workings'!$N$69)+IF('Your debts'!$D$20="Avalanche",'Avalanche workings'!$AH$69,'Snowball workings'!$AH$69))</f>
      </c>
      <c r="K67" s="30">
        <f>IF(OR(62&gt;$Z$1,NOT(OR('Your debts'!$B$8&lt;&gt;"",N('Your debts'!$C$8)&gt;0))),"",IF('Your debts'!$D$20="Avalanche",'Avalanche workings'!$AR$69,'Snowball workings'!$AR$69))</f>
      </c>
      <c r="L67" s="29">
        <f>IF(OR(62&gt;$Z$1,NOT(OR('Your debts'!$B$9&lt;&gt;"",N('Your debts'!$C$9)&gt;0))),"",IF('Your debts'!$D$20="Avalanche",'Avalanche workings'!$O$69,'Snowball workings'!$O$69)+IF('Your debts'!$D$20="Avalanche",'Avalanche workings'!$AI$69,'Snowball workings'!$AI$69))</f>
      </c>
      <c r="M67" s="30">
        <f>IF(OR(62&gt;$Z$1,NOT(OR('Your debts'!$B$9&lt;&gt;"",N('Your debts'!$C$9)&gt;0))),"",IF('Your debts'!$D$20="Avalanche",'Avalanche workings'!$AS$69,'Snowball workings'!$AS$69))</f>
      </c>
      <c r="N67" s="29">
        <f>IF(OR(62&gt;$Z$1,NOT(OR('Your debts'!$B$10&lt;&gt;"",N('Your debts'!$C$10)&gt;0))),"",IF('Your debts'!$D$20="Avalanche",'Avalanche workings'!$P$69,'Snowball workings'!$P$69)+IF('Your debts'!$D$20="Avalanche",'Avalanche workings'!$AJ$69,'Snowball workings'!$AJ$69))</f>
      </c>
      <c r="O67" s="30">
        <f>IF(OR(62&gt;$Z$1,NOT(OR('Your debts'!$B$10&lt;&gt;"",N('Your debts'!$C$10)&gt;0))),"",IF('Your debts'!$D$20="Avalanche",'Avalanche workings'!$AT$69,'Snowball workings'!$AT$69))</f>
      </c>
      <c r="P67" s="29">
        <f>IF(OR(62&gt;$Z$1,NOT(OR('Your debts'!$B$11&lt;&gt;"",N('Your debts'!$C$11)&gt;0))),"",IF('Your debts'!$D$20="Avalanche",'Avalanche workings'!$Q$69,'Snowball workings'!$Q$69)+IF('Your debts'!$D$20="Avalanche",'Avalanche workings'!$AK$69,'Snowball workings'!$AK$69))</f>
      </c>
      <c r="Q67" s="30">
        <f>IF(OR(62&gt;$Z$1,NOT(OR('Your debts'!$B$11&lt;&gt;"",N('Your debts'!$C$11)&gt;0))),"",IF('Your debts'!$D$20="Avalanche",'Avalanche workings'!$AU$69,'Snowball workings'!$AU$69))</f>
      </c>
      <c r="R67" s="29">
        <f>IF(OR(62&gt;$Z$1,NOT(OR('Your debts'!$B$12&lt;&gt;"",N('Your debts'!$C$12)&gt;0))),"",IF('Your debts'!$D$20="Avalanche",'Avalanche workings'!$R$69,'Snowball workings'!$R$69)+IF('Your debts'!$D$20="Avalanche",'Avalanche workings'!$AL$69,'Snowball workings'!$AL$69))</f>
      </c>
      <c r="S67" s="30">
        <f>IF(OR(62&gt;$Z$1,NOT(OR('Your debts'!$B$12&lt;&gt;"",N('Your debts'!$C$12)&gt;0))),"",IF('Your debts'!$D$20="Avalanche",'Avalanche workings'!$AV$69,'Snowball workings'!$AV$69))</f>
      </c>
      <c r="T67" s="29">
        <f>IF(OR(62&gt;$Z$1,NOT(OR('Your debts'!$B$13&lt;&gt;"",N('Your debts'!$C$13)&gt;0))),"",IF('Your debts'!$D$20="Avalanche",'Avalanche workings'!$S$69,'Snowball workings'!$S$69)+IF('Your debts'!$D$20="Avalanche",'Avalanche workings'!$AM$69,'Snowball workings'!$AM$69))</f>
      </c>
      <c r="U67" s="30">
        <f>IF(OR(62&gt;$Z$1,NOT(OR('Your debts'!$B$13&lt;&gt;"",N('Your debts'!$C$13)&gt;0))),"",IF('Your debts'!$D$20="Avalanche",'Avalanche workings'!$AW$69,'Snowball workings'!$AW$69))</f>
      </c>
      <c r="V67" s="29">
        <f>IF(OR(62&gt;$Z$1,NOT(OR('Your debts'!$B$14&lt;&gt;"",N('Your debts'!$C$14)&gt;0))),"",IF('Your debts'!$D$20="Avalanche",'Avalanche workings'!$T$69,'Snowball workings'!$T$69)+IF('Your debts'!$D$20="Avalanche",'Avalanche workings'!$AN$69,'Snowball workings'!$AN$69))</f>
      </c>
      <c r="W67" s="30">
        <f>IF(OR(62&gt;$Z$1,NOT(OR('Your debts'!$B$14&lt;&gt;"",N('Your debts'!$C$14)&gt;0))),"",IF('Your debts'!$D$20="Avalanche",'Avalanche workings'!$AX$69,'Snowball workings'!$AX$69))</f>
      </c>
      <c r="X67" s="29">
        <f>IF(OR(62&gt;$Z$1,NOT(OR('Your debts'!$B$15&lt;&gt;"",N('Your debts'!$C$15)&gt;0))),"",IF('Your debts'!$D$20="Avalanche",'Avalanche workings'!$U$69,'Snowball workings'!$U$69)+IF('Your debts'!$D$20="Avalanche",'Avalanche workings'!$AO$69,'Snowball workings'!$AO$69))</f>
      </c>
      <c r="Y67" s="30">
        <f>IF(OR(62&gt;$Z$1,NOT(OR('Your debts'!$B$15&lt;&gt;"",N('Your debts'!$C$15)&gt;0))),"",IF('Your debts'!$D$20="Avalanche",'Avalanche workings'!$AY$69,'Snowball workings'!$AY$69))</f>
      </c>
    </row>
    <row r="68" spans="1:25" x14ac:dyDescent="0.25">
      <c r="A68" s="2">
        <f>IF(63&gt;$Z$1,"",63)</f>
      </c>
      <c r="B68" s="28">
        <f>IF(63&gt;$Z$1,"",EDATE('Your debts'!$D$21,62))</f>
      </c>
      <c r="C68" s="29">
        <f>IF(63&gt;$Z$1,"",IF('Your debts'!$D$20="Avalanche",'Avalanche workings'!$BC$70,'Snowball workings'!$BC$70))</f>
      </c>
      <c r="D68" s="29">
        <f>IF(63&gt;$Z$1,"",IF('Your debts'!$D$20="Avalanche",'Avalanche workings'!$BA$70,'Snowball workings'!$BA$70))</f>
      </c>
      <c r="E68" s="29">
        <f>IF(63&gt;$Z$1,"",IF('Your debts'!$D$20="Avalanche",'Avalanche workings'!$BB$70,'Snowball workings'!$BB$70))</f>
      </c>
      <c r="F68" s="29">
        <f>IF(OR(63&gt;$Z$1,NOT(OR('Your debts'!$B$6&lt;&gt;"",N('Your debts'!$C$6)&gt;0))),"",IF('Your debts'!$D$20="Avalanche",'Avalanche workings'!$L$70,'Snowball workings'!$L$70)+IF('Your debts'!$D$20="Avalanche",'Avalanche workings'!$AF$70,'Snowball workings'!$AF$70))</f>
      </c>
      <c r="G68" s="30">
        <f>IF(OR(63&gt;$Z$1,NOT(OR('Your debts'!$B$6&lt;&gt;"",N('Your debts'!$C$6)&gt;0))),"",IF('Your debts'!$D$20="Avalanche",'Avalanche workings'!$AP$70,'Snowball workings'!$AP$70))</f>
      </c>
      <c r="H68" s="29">
        <f>IF(OR(63&gt;$Z$1,NOT(OR('Your debts'!$B$7&lt;&gt;"",N('Your debts'!$C$7)&gt;0))),"",IF('Your debts'!$D$20="Avalanche",'Avalanche workings'!$M$70,'Snowball workings'!$M$70)+IF('Your debts'!$D$20="Avalanche",'Avalanche workings'!$AG$70,'Snowball workings'!$AG$70))</f>
      </c>
      <c r="I68" s="30">
        <f>IF(OR(63&gt;$Z$1,NOT(OR('Your debts'!$B$7&lt;&gt;"",N('Your debts'!$C$7)&gt;0))),"",IF('Your debts'!$D$20="Avalanche",'Avalanche workings'!$AQ$70,'Snowball workings'!$AQ$70))</f>
      </c>
      <c r="J68" s="29">
        <f>IF(OR(63&gt;$Z$1,NOT(OR('Your debts'!$B$8&lt;&gt;"",N('Your debts'!$C$8)&gt;0))),"",IF('Your debts'!$D$20="Avalanche",'Avalanche workings'!$N$70,'Snowball workings'!$N$70)+IF('Your debts'!$D$20="Avalanche",'Avalanche workings'!$AH$70,'Snowball workings'!$AH$70))</f>
      </c>
      <c r="K68" s="30">
        <f>IF(OR(63&gt;$Z$1,NOT(OR('Your debts'!$B$8&lt;&gt;"",N('Your debts'!$C$8)&gt;0))),"",IF('Your debts'!$D$20="Avalanche",'Avalanche workings'!$AR$70,'Snowball workings'!$AR$70))</f>
      </c>
      <c r="L68" s="29">
        <f>IF(OR(63&gt;$Z$1,NOT(OR('Your debts'!$B$9&lt;&gt;"",N('Your debts'!$C$9)&gt;0))),"",IF('Your debts'!$D$20="Avalanche",'Avalanche workings'!$O$70,'Snowball workings'!$O$70)+IF('Your debts'!$D$20="Avalanche",'Avalanche workings'!$AI$70,'Snowball workings'!$AI$70))</f>
      </c>
      <c r="M68" s="30">
        <f>IF(OR(63&gt;$Z$1,NOT(OR('Your debts'!$B$9&lt;&gt;"",N('Your debts'!$C$9)&gt;0))),"",IF('Your debts'!$D$20="Avalanche",'Avalanche workings'!$AS$70,'Snowball workings'!$AS$70))</f>
      </c>
      <c r="N68" s="29">
        <f>IF(OR(63&gt;$Z$1,NOT(OR('Your debts'!$B$10&lt;&gt;"",N('Your debts'!$C$10)&gt;0))),"",IF('Your debts'!$D$20="Avalanche",'Avalanche workings'!$P$70,'Snowball workings'!$P$70)+IF('Your debts'!$D$20="Avalanche",'Avalanche workings'!$AJ$70,'Snowball workings'!$AJ$70))</f>
      </c>
      <c r="O68" s="30">
        <f>IF(OR(63&gt;$Z$1,NOT(OR('Your debts'!$B$10&lt;&gt;"",N('Your debts'!$C$10)&gt;0))),"",IF('Your debts'!$D$20="Avalanche",'Avalanche workings'!$AT$70,'Snowball workings'!$AT$70))</f>
      </c>
      <c r="P68" s="29">
        <f>IF(OR(63&gt;$Z$1,NOT(OR('Your debts'!$B$11&lt;&gt;"",N('Your debts'!$C$11)&gt;0))),"",IF('Your debts'!$D$20="Avalanche",'Avalanche workings'!$Q$70,'Snowball workings'!$Q$70)+IF('Your debts'!$D$20="Avalanche",'Avalanche workings'!$AK$70,'Snowball workings'!$AK$70))</f>
      </c>
      <c r="Q68" s="30">
        <f>IF(OR(63&gt;$Z$1,NOT(OR('Your debts'!$B$11&lt;&gt;"",N('Your debts'!$C$11)&gt;0))),"",IF('Your debts'!$D$20="Avalanche",'Avalanche workings'!$AU$70,'Snowball workings'!$AU$70))</f>
      </c>
      <c r="R68" s="29">
        <f>IF(OR(63&gt;$Z$1,NOT(OR('Your debts'!$B$12&lt;&gt;"",N('Your debts'!$C$12)&gt;0))),"",IF('Your debts'!$D$20="Avalanche",'Avalanche workings'!$R$70,'Snowball workings'!$R$70)+IF('Your debts'!$D$20="Avalanche",'Avalanche workings'!$AL$70,'Snowball workings'!$AL$70))</f>
      </c>
      <c r="S68" s="30">
        <f>IF(OR(63&gt;$Z$1,NOT(OR('Your debts'!$B$12&lt;&gt;"",N('Your debts'!$C$12)&gt;0))),"",IF('Your debts'!$D$20="Avalanche",'Avalanche workings'!$AV$70,'Snowball workings'!$AV$70))</f>
      </c>
      <c r="T68" s="29">
        <f>IF(OR(63&gt;$Z$1,NOT(OR('Your debts'!$B$13&lt;&gt;"",N('Your debts'!$C$13)&gt;0))),"",IF('Your debts'!$D$20="Avalanche",'Avalanche workings'!$S$70,'Snowball workings'!$S$70)+IF('Your debts'!$D$20="Avalanche",'Avalanche workings'!$AM$70,'Snowball workings'!$AM$70))</f>
      </c>
      <c r="U68" s="30">
        <f>IF(OR(63&gt;$Z$1,NOT(OR('Your debts'!$B$13&lt;&gt;"",N('Your debts'!$C$13)&gt;0))),"",IF('Your debts'!$D$20="Avalanche",'Avalanche workings'!$AW$70,'Snowball workings'!$AW$70))</f>
      </c>
      <c r="V68" s="29">
        <f>IF(OR(63&gt;$Z$1,NOT(OR('Your debts'!$B$14&lt;&gt;"",N('Your debts'!$C$14)&gt;0))),"",IF('Your debts'!$D$20="Avalanche",'Avalanche workings'!$T$70,'Snowball workings'!$T$70)+IF('Your debts'!$D$20="Avalanche",'Avalanche workings'!$AN$70,'Snowball workings'!$AN$70))</f>
      </c>
      <c r="W68" s="30">
        <f>IF(OR(63&gt;$Z$1,NOT(OR('Your debts'!$B$14&lt;&gt;"",N('Your debts'!$C$14)&gt;0))),"",IF('Your debts'!$D$20="Avalanche",'Avalanche workings'!$AX$70,'Snowball workings'!$AX$70))</f>
      </c>
      <c r="X68" s="29">
        <f>IF(OR(63&gt;$Z$1,NOT(OR('Your debts'!$B$15&lt;&gt;"",N('Your debts'!$C$15)&gt;0))),"",IF('Your debts'!$D$20="Avalanche",'Avalanche workings'!$U$70,'Snowball workings'!$U$70)+IF('Your debts'!$D$20="Avalanche",'Avalanche workings'!$AO$70,'Snowball workings'!$AO$70))</f>
      </c>
      <c r="Y68" s="30">
        <f>IF(OR(63&gt;$Z$1,NOT(OR('Your debts'!$B$15&lt;&gt;"",N('Your debts'!$C$15)&gt;0))),"",IF('Your debts'!$D$20="Avalanche",'Avalanche workings'!$AY$70,'Snowball workings'!$AY$70))</f>
      </c>
    </row>
    <row r="69" spans="1:25" x14ac:dyDescent="0.25">
      <c r="A69" s="2">
        <f>IF(64&gt;$Z$1,"",64)</f>
      </c>
      <c r="B69" s="28">
        <f>IF(64&gt;$Z$1,"",EDATE('Your debts'!$D$21,63))</f>
      </c>
      <c r="C69" s="29">
        <f>IF(64&gt;$Z$1,"",IF('Your debts'!$D$20="Avalanche",'Avalanche workings'!$BC$71,'Snowball workings'!$BC$71))</f>
      </c>
      <c r="D69" s="29">
        <f>IF(64&gt;$Z$1,"",IF('Your debts'!$D$20="Avalanche",'Avalanche workings'!$BA$71,'Snowball workings'!$BA$71))</f>
      </c>
      <c r="E69" s="29">
        <f>IF(64&gt;$Z$1,"",IF('Your debts'!$D$20="Avalanche",'Avalanche workings'!$BB$71,'Snowball workings'!$BB$71))</f>
      </c>
      <c r="F69" s="29">
        <f>IF(OR(64&gt;$Z$1,NOT(OR('Your debts'!$B$6&lt;&gt;"",N('Your debts'!$C$6)&gt;0))),"",IF('Your debts'!$D$20="Avalanche",'Avalanche workings'!$L$71,'Snowball workings'!$L$71)+IF('Your debts'!$D$20="Avalanche",'Avalanche workings'!$AF$71,'Snowball workings'!$AF$71))</f>
      </c>
      <c r="G69" s="30">
        <f>IF(OR(64&gt;$Z$1,NOT(OR('Your debts'!$B$6&lt;&gt;"",N('Your debts'!$C$6)&gt;0))),"",IF('Your debts'!$D$20="Avalanche",'Avalanche workings'!$AP$71,'Snowball workings'!$AP$71))</f>
      </c>
      <c r="H69" s="29">
        <f>IF(OR(64&gt;$Z$1,NOT(OR('Your debts'!$B$7&lt;&gt;"",N('Your debts'!$C$7)&gt;0))),"",IF('Your debts'!$D$20="Avalanche",'Avalanche workings'!$M$71,'Snowball workings'!$M$71)+IF('Your debts'!$D$20="Avalanche",'Avalanche workings'!$AG$71,'Snowball workings'!$AG$71))</f>
      </c>
      <c r="I69" s="30">
        <f>IF(OR(64&gt;$Z$1,NOT(OR('Your debts'!$B$7&lt;&gt;"",N('Your debts'!$C$7)&gt;0))),"",IF('Your debts'!$D$20="Avalanche",'Avalanche workings'!$AQ$71,'Snowball workings'!$AQ$71))</f>
      </c>
      <c r="J69" s="29">
        <f>IF(OR(64&gt;$Z$1,NOT(OR('Your debts'!$B$8&lt;&gt;"",N('Your debts'!$C$8)&gt;0))),"",IF('Your debts'!$D$20="Avalanche",'Avalanche workings'!$N$71,'Snowball workings'!$N$71)+IF('Your debts'!$D$20="Avalanche",'Avalanche workings'!$AH$71,'Snowball workings'!$AH$71))</f>
      </c>
      <c r="K69" s="30">
        <f>IF(OR(64&gt;$Z$1,NOT(OR('Your debts'!$B$8&lt;&gt;"",N('Your debts'!$C$8)&gt;0))),"",IF('Your debts'!$D$20="Avalanche",'Avalanche workings'!$AR$71,'Snowball workings'!$AR$71))</f>
      </c>
      <c r="L69" s="29">
        <f>IF(OR(64&gt;$Z$1,NOT(OR('Your debts'!$B$9&lt;&gt;"",N('Your debts'!$C$9)&gt;0))),"",IF('Your debts'!$D$20="Avalanche",'Avalanche workings'!$O$71,'Snowball workings'!$O$71)+IF('Your debts'!$D$20="Avalanche",'Avalanche workings'!$AI$71,'Snowball workings'!$AI$71))</f>
      </c>
      <c r="M69" s="30">
        <f>IF(OR(64&gt;$Z$1,NOT(OR('Your debts'!$B$9&lt;&gt;"",N('Your debts'!$C$9)&gt;0))),"",IF('Your debts'!$D$20="Avalanche",'Avalanche workings'!$AS$71,'Snowball workings'!$AS$71))</f>
      </c>
      <c r="N69" s="29">
        <f>IF(OR(64&gt;$Z$1,NOT(OR('Your debts'!$B$10&lt;&gt;"",N('Your debts'!$C$10)&gt;0))),"",IF('Your debts'!$D$20="Avalanche",'Avalanche workings'!$P$71,'Snowball workings'!$P$71)+IF('Your debts'!$D$20="Avalanche",'Avalanche workings'!$AJ$71,'Snowball workings'!$AJ$71))</f>
      </c>
      <c r="O69" s="30">
        <f>IF(OR(64&gt;$Z$1,NOT(OR('Your debts'!$B$10&lt;&gt;"",N('Your debts'!$C$10)&gt;0))),"",IF('Your debts'!$D$20="Avalanche",'Avalanche workings'!$AT$71,'Snowball workings'!$AT$71))</f>
      </c>
      <c r="P69" s="29">
        <f>IF(OR(64&gt;$Z$1,NOT(OR('Your debts'!$B$11&lt;&gt;"",N('Your debts'!$C$11)&gt;0))),"",IF('Your debts'!$D$20="Avalanche",'Avalanche workings'!$Q$71,'Snowball workings'!$Q$71)+IF('Your debts'!$D$20="Avalanche",'Avalanche workings'!$AK$71,'Snowball workings'!$AK$71))</f>
      </c>
      <c r="Q69" s="30">
        <f>IF(OR(64&gt;$Z$1,NOT(OR('Your debts'!$B$11&lt;&gt;"",N('Your debts'!$C$11)&gt;0))),"",IF('Your debts'!$D$20="Avalanche",'Avalanche workings'!$AU$71,'Snowball workings'!$AU$71))</f>
      </c>
      <c r="R69" s="29">
        <f>IF(OR(64&gt;$Z$1,NOT(OR('Your debts'!$B$12&lt;&gt;"",N('Your debts'!$C$12)&gt;0))),"",IF('Your debts'!$D$20="Avalanche",'Avalanche workings'!$R$71,'Snowball workings'!$R$71)+IF('Your debts'!$D$20="Avalanche",'Avalanche workings'!$AL$71,'Snowball workings'!$AL$71))</f>
      </c>
      <c r="S69" s="30">
        <f>IF(OR(64&gt;$Z$1,NOT(OR('Your debts'!$B$12&lt;&gt;"",N('Your debts'!$C$12)&gt;0))),"",IF('Your debts'!$D$20="Avalanche",'Avalanche workings'!$AV$71,'Snowball workings'!$AV$71))</f>
      </c>
      <c r="T69" s="29">
        <f>IF(OR(64&gt;$Z$1,NOT(OR('Your debts'!$B$13&lt;&gt;"",N('Your debts'!$C$13)&gt;0))),"",IF('Your debts'!$D$20="Avalanche",'Avalanche workings'!$S$71,'Snowball workings'!$S$71)+IF('Your debts'!$D$20="Avalanche",'Avalanche workings'!$AM$71,'Snowball workings'!$AM$71))</f>
      </c>
      <c r="U69" s="30">
        <f>IF(OR(64&gt;$Z$1,NOT(OR('Your debts'!$B$13&lt;&gt;"",N('Your debts'!$C$13)&gt;0))),"",IF('Your debts'!$D$20="Avalanche",'Avalanche workings'!$AW$71,'Snowball workings'!$AW$71))</f>
      </c>
      <c r="V69" s="29">
        <f>IF(OR(64&gt;$Z$1,NOT(OR('Your debts'!$B$14&lt;&gt;"",N('Your debts'!$C$14)&gt;0))),"",IF('Your debts'!$D$20="Avalanche",'Avalanche workings'!$T$71,'Snowball workings'!$T$71)+IF('Your debts'!$D$20="Avalanche",'Avalanche workings'!$AN$71,'Snowball workings'!$AN$71))</f>
      </c>
      <c r="W69" s="30">
        <f>IF(OR(64&gt;$Z$1,NOT(OR('Your debts'!$B$14&lt;&gt;"",N('Your debts'!$C$14)&gt;0))),"",IF('Your debts'!$D$20="Avalanche",'Avalanche workings'!$AX$71,'Snowball workings'!$AX$71))</f>
      </c>
      <c r="X69" s="29">
        <f>IF(OR(64&gt;$Z$1,NOT(OR('Your debts'!$B$15&lt;&gt;"",N('Your debts'!$C$15)&gt;0))),"",IF('Your debts'!$D$20="Avalanche",'Avalanche workings'!$U$71,'Snowball workings'!$U$71)+IF('Your debts'!$D$20="Avalanche",'Avalanche workings'!$AO$71,'Snowball workings'!$AO$71))</f>
      </c>
      <c r="Y69" s="30">
        <f>IF(OR(64&gt;$Z$1,NOT(OR('Your debts'!$B$15&lt;&gt;"",N('Your debts'!$C$15)&gt;0))),"",IF('Your debts'!$D$20="Avalanche",'Avalanche workings'!$AY$71,'Snowball workings'!$AY$71))</f>
      </c>
    </row>
    <row r="70" spans="1:25" x14ac:dyDescent="0.25">
      <c r="A70" s="2">
        <f>IF(65&gt;$Z$1,"",65)</f>
      </c>
      <c r="B70" s="28">
        <f>IF(65&gt;$Z$1,"",EDATE('Your debts'!$D$21,64))</f>
      </c>
      <c r="C70" s="29">
        <f>IF(65&gt;$Z$1,"",IF('Your debts'!$D$20="Avalanche",'Avalanche workings'!$BC$72,'Snowball workings'!$BC$72))</f>
      </c>
      <c r="D70" s="29">
        <f>IF(65&gt;$Z$1,"",IF('Your debts'!$D$20="Avalanche",'Avalanche workings'!$BA$72,'Snowball workings'!$BA$72))</f>
      </c>
      <c r="E70" s="29">
        <f>IF(65&gt;$Z$1,"",IF('Your debts'!$D$20="Avalanche",'Avalanche workings'!$BB$72,'Snowball workings'!$BB$72))</f>
      </c>
      <c r="F70" s="29">
        <f>IF(OR(65&gt;$Z$1,NOT(OR('Your debts'!$B$6&lt;&gt;"",N('Your debts'!$C$6)&gt;0))),"",IF('Your debts'!$D$20="Avalanche",'Avalanche workings'!$L$72,'Snowball workings'!$L$72)+IF('Your debts'!$D$20="Avalanche",'Avalanche workings'!$AF$72,'Snowball workings'!$AF$72))</f>
      </c>
      <c r="G70" s="30">
        <f>IF(OR(65&gt;$Z$1,NOT(OR('Your debts'!$B$6&lt;&gt;"",N('Your debts'!$C$6)&gt;0))),"",IF('Your debts'!$D$20="Avalanche",'Avalanche workings'!$AP$72,'Snowball workings'!$AP$72))</f>
      </c>
      <c r="H70" s="29">
        <f>IF(OR(65&gt;$Z$1,NOT(OR('Your debts'!$B$7&lt;&gt;"",N('Your debts'!$C$7)&gt;0))),"",IF('Your debts'!$D$20="Avalanche",'Avalanche workings'!$M$72,'Snowball workings'!$M$72)+IF('Your debts'!$D$20="Avalanche",'Avalanche workings'!$AG$72,'Snowball workings'!$AG$72))</f>
      </c>
      <c r="I70" s="30">
        <f>IF(OR(65&gt;$Z$1,NOT(OR('Your debts'!$B$7&lt;&gt;"",N('Your debts'!$C$7)&gt;0))),"",IF('Your debts'!$D$20="Avalanche",'Avalanche workings'!$AQ$72,'Snowball workings'!$AQ$72))</f>
      </c>
      <c r="J70" s="29">
        <f>IF(OR(65&gt;$Z$1,NOT(OR('Your debts'!$B$8&lt;&gt;"",N('Your debts'!$C$8)&gt;0))),"",IF('Your debts'!$D$20="Avalanche",'Avalanche workings'!$N$72,'Snowball workings'!$N$72)+IF('Your debts'!$D$20="Avalanche",'Avalanche workings'!$AH$72,'Snowball workings'!$AH$72))</f>
      </c>
      <c r="K70" s="30">
        <f>IF(OR(65&gt;$Z$1,NOT(OR('Your debts'!$B$8&lt;&gt;"",N('Your debts'!$C$8)&gt;0))),"",IF('Your debts'!$D$20="Avalanche",'Avalanche workings'!$AR$72,'Snowball workings'!$AR$72))</f>
      </c>
      <c r="L70" s="29">
        <f>IF(OR(65&gt;$Z$1,NOT(OR('Your debts'!$B$9&lt;&gt;"",N('Your debts'!$C$9)&gt;0))),"",IF('Your debts'!$D$20="Avalanche",'Avalanche workings'!$O$72,'Snowball workings'!$O$72)+IF('Your debts'!$D$20="Avalanche",'Avalanche workings'!$AI$72,'Snowball workings'!$AI$72))</f>
      </c>
      <c r="M70" s="30">
        <f>IF(OR(65&gt;$Z$1,NOT(OR('Your debts'!$B$9&lt;&gt;"",N('Your debts'!$C$9)&gt;0))),"",IF('Your debts'!$D$20="Avalanche",'Avalanche workings'!$AS$72,'Snowball workings'!$AS$72))</f>
      </c>
      <c r="N70" s="29">
        <f>IF(OR(65&gt;$Z$1,NOT(OR('Your debts'!$B$10&lt;&gt;"",N('Your debts'!$C$10)&gt;0))),"",IF('Your debts'!$D$20="Avalanche",'Avalanche workings'!$P$72,'Snowball workings'!$P$72)+IF('Your debts'!$D$20="Avalanche",'Avalanche workings'!$AJ$72,'Snowball workings'!$AJ$72))</f>
      </c>
      <c r="O70" s="30">
        <f>IF(OR(65&gt;$Z$1,NOT(OR('Your debts'!$B$10&lt;&gt;"",N('Your debts'!$C$10)&gt;0))),"",IF('Your debts'!$D$20="Avalanche",'Avalanche workings'!$AT$72,'Snowball workings'!$AT$72))</f>
      </c>
      <c r="P70" s="29">
        <f>IF(OR(65&gt;$Z$1,NOT(OR('Your debts'!$B$11&lt;&gt;"",N('Your debts'!$C$11)&gt;0))),"",IF('Your debts'!$D$20="Avalanche",'Avalanche workings'!$Q$72,'Snowball workings'!$Q$72)+IF('Your debts'!$D$20="Avalanche",'Avalanche workings'!$AK$72,'Snowball workings'!$AK$72))</f>
      </c>
      <c r="Q70" s="30">
        <f>IF(OR(65&gt;$Z$1,NOT(OR('Your debts'!$B$11&lt;&gt;"",N('Your debts'!$C$11)&gt;0))),"",IF('Your debts'!$D$20="Avalanche",'Avalanche workings'!$AU$72,'Snowball workings'!$AU$72))</f>
      </c>
      <c r="R70" s="29">
        <f>IF(OR(65&gt;$Z$1,NOT(OR('Your debts'!$B$12&lt;&gt;"",N('Your debts'!$C$12)&gt;0))),"",IF('Your debts'!$D$20="Avalanche",'Avalanche workings'!$R$72,'Snowball workings'!$R$72)+IF('Your debts'!$D$20="Avalanche",'Avalanche workings'!$AL$72,'Snowball workings'!$AL$72))</f>
      </c>
      <c r="S70" s="30">
        <f>IF(OR(65&gt;$Z$1,NOT(OR('Your debts'!$B$12&lt;&gt;"",N('Your debts'!$C$12)&gt;0))),"",IF('Your debts'!$D$20="Avalanche",'Avalanche workings'!$AV$72,'Snowball workings'!$AV$72))</f>
      </c>
      <c r="T70" s="29">
        <f>IF(OR(65&gt;$Z$1,NOT(OR('Your debts'!$B$13&lt;&gt;"",N('Your debts'!$C$13)&gt;0))),"",IF('Your debts'!$D$20="Avalanche",'Avalanche workings'!$S$72,'Snowball workings'!$S$72)+IF('Your debts'!$D$20="Avalanche",'Avalanche workings'!$AM$72,'Snowball workings'!$AM$72))</f>
      </c>
      <c r="U70" s="30">
        <f>IF(OR(65&gt;$Z$1,NOT(OR('Your debts'!$B$13&lt;&gt;"",N('Your debts'!$C$13)&gt;0))),"",IF('Your debts'!$D$20="Avalanche",'Avalanche workings'!$AW$72,'Snowball workings'!$AW$72))</f>
      </c>
      <c r="V70" s="29">
        <f>IF(OR(65&gt;$Z$1,NOT(OR('Your debts'!$B$14&lt;&gt;"",N('Your debts'!$C$14)&gt;0))),"",IF('Your debts'!$D$20="Avalanche",'Avalanche workings'!$T$72,'Snowball workings'!$T$72)+IF('Your debts'!$D$20="Avalanche",'Avalanche workings'!$AN$72,'Snowball workings'!$AN$72))</f>
      </c>
      <c r="W70" s="30">
        <f>IF(OR(65&gt;$Z$1,NOT(OR('Your debts'!$B$14&lt;&gt;"",N('Your debts'!$C$14)&gt;0))),"",IF('Your debts'!$D$20="Avalanche",'Avalanche workings'!$AX$72,'Snowball workings'!$AX$72))</f>
      </c>
      <c r="X70" s="29">
        <f>IF(OR(65&gt;$Z$1,NOT(OR('Your debts'!$B$15&lt;&gt;"",N('Your debts'!$C$15)&gt;0))),"",IF('Your debts'!$D$20="Avalanche",'Avalanche workings'!$U$72,'Snowball workings'!$U$72)+IF('Your debts'!$D$20="Avalanche",'Avalanche workings'!$AO$72,'Snowball workings'!$AO$72))</f>
      </c>
      <c r="Y70" s="30">
        <f>IF(OR(65&gt;$Z$1,NOT(OR('Your debts'!$B$15&lt;&gt;"",N('Your debts'!$C$15)&gt;0))),"",IF('Your debts'!$D$20="Avalanche",'Avalanche workings'!$AY$72,'Snowball workings'!$AY$72))</f>
      </c>
    </row>
    <row r="71" spans="1:25" x14ac:dyDescent="0.25">
      <c r="A71" s="2">
        <f>IF(66&gt;$Z$1,"",66)</f>
      </c>
      <c r="B71" s="28">
        <f>IF(66&gt;$Z$1,"",EDATE('Your debts'!$D$21,65))</f>
      </c>
      <c r="C71" s="29">
        <f>IF(66&gt;$Z$1,"",IF('Your debts'!$D$20="Avalanche",'Avalanche workings'!$BC$73,'Snowball workings'!$BC$73))</f>
      </c>
      <c r="D71" s="29">
        <f>IF(66&gt;$Z$1,"",IF('Your debts'!$D$20="Avalanche",'Avalanche workings'!$BA$73,'Snowball workings'!$BA$73))</f>
      </c>
      <c r="E71" s="29">
        <f>IF(66&gt;$Z$1,"",IF('Your debts'!$D$20="Avalanche",'Avalanche workings'!$BB$73,'Snowball workings'!$BB$73))</f>
      </c>
      <c r="F71" s="29">
        <f>IF(OR(66&gt;$Z$1,NOT(OR('Your debts'!$B$6&lt;&gt;"",N('Your debts'!$C$6)&gt;0))),"",IF('Your debts'!$D$20="Avalanche",'Avalanche workings'!$L$73,'Snowball workings'!$L$73)+IF('Your debts'!$D$20="Avalanche",'Avalanche workings'!$AF$73,'Snowball workings'!$AF$73))</f>
      </c>
      <c r="G71" s="30">
        <f>IF(OR(66&gt;$Z$1,NOT(OR('Your debts'!$B$6&lt;&gt;"",N('Your debts'!$C$6)&gt;0))),"",IF('Your debts'!$D$20="Avalanche",'Avalanche workings'!$AP$73,'Snowball workings'!$AP$73))</f>
      </c>
      <c r="H71" s="29">
        <f>IF(OR(66&gt;$Z$1,NOT(OR('Your debts'!$B$7&lt;&gt;"",N('Your debts'!$C$7)&gt;0))),"",IF('Your debts'!$D$20="Avalanche",'Avalanche workings'!$M$73,'Snowball workings'!$M$73)+IF('Your debts'!$D$20="Avalanche",'Avalanche workings'!$AG$73,'Snowball workings'!$AG$73))</f>
      </c>
      <c r="I71" s="30">
        <f>IF(OR(66&gt;$Z$1,NOT(OR('Your debts'!$B$7&lt;&gt;"",N('Your debts'!$C$7)&gt;0))),"",IF('Your debts'!$D$20="Avalanche",'Avalanche workings'!$AQ$73,'Snowball workings'!$AQ$73))</f>
      </c>
      <c r="J71" s="29">
        <f>IF(OR(66&gt;$Z$1,NOT(OR('Your debts'!$B$8&lt;&gt;"",N('Your debts'!$C$8)&gt;0))),"",IF('Your debts'!$D$20="Avalanche",'Avalanche workings'!$N$73,'Snowball workings'!$N$73)+IF('Your debts'!$D$20="Avalanche",'Avalanche workings'!$AH$73,'Snowball workings'!$AH$73))</f>
      </c>
      <c r="K71" s="30">
        <f>IF(OR(66&gt;$Z$1,NOT(OR('Your debts'!$B$8&lt;&gt;"",N('Your debts'!$C$8)&gt;0))),"",IF('Your debts'!$D$20="Avalanche",'Avalanche workings'!$AR$73,'Snowball workings'!$AR$73))</f>
      </c>
      <c r="L71" s="29">
        <f>IF(OR(66&gt;$Z$1,NOT(OR('Your debts'!$B$9&lt;&gt;"",N('Your debts'!$C$9)&gt;0))),"",IF('Your debts'!$D$20="Avalanche",'Avalanche workings'!$O$73,'Snowball workings'!$O$73)+IF('Your debts'!$D$20="Avalanche",'Avalanche workings'!$AI$73,'Snowball workings'!$AI$73))</f>
      </c>
      <c r="M71" s="30">
        <f>IF(OR(66&gt;$Z$1,NOT(OR('Your debts'!$B$9&lt;&gt;"",N('Your debts'!$C$9)&gt;0))),"",IF('Your debts'!$D$20="Avalanche",'Avalanche workings'!$AS$73,'Snowball workings'!$AS$73))</f>
      </c>
      <c r="N71" s="29">
        <f>IF(OR(66&gt;$Z$1,NOT(OR('Your debts'!$B$10&lt;&gt;"",N('Your debts'!$C$10)&gt;0))),"",IF('Your debts'!$D$20="Avalanche",'Avalanche workings'!$P$73,'Snowball workings'!$P$73)+IF('Your debts'!$D$20="Avalanche",'Avalanche workings'!$AJ$73,'Snowball workings'!$AJ$73))</f>
      </c>
      <c r="O71" s="30">
        <f>IF(OR(66&gt;$Z$1,NOT(OR('Your debts'!$B$10&lt;&gt;"",N('Your debts'!$C$10)&gt;0))),"",IF('Your debts'!$D$20="Avalanche",'Avalanche workings'!$AT$73,'Snowball workings'!$AT$73))</f>
      </c>
      <c r="P71" s="29">
        <f>IF(OR(66&gt;$Z$1,NOT(OR('Your debts'!$B$11&lt;&gt;"",N('Your debts'!$C$11)&gt;0))),"",IF('Your debts'!$D$20="Avalanche",'Avalanche workings'!$Q$73,'Snowball workings'!$Q$73)+IF('Your debts'!$D$20="Avalanche",'Avalanche workings'!$AK$73,'Snowball workings'!$AK$73))</f>
      </c>
      <c r="Q71" s="30">
        <f>IF(OR(66&gt;$Z$1,NOT(OR('Your debts'!$B$11&lt;&gt;"",N('Your debts'!$C$11)&gt;0))),"",IF('Your debts'!$D$20="Avalanche",'Avalanche workings'!$AU$73,'Snowball workings'!$AU$73))</f>
      </c>
      <c r="R71" s="29">
        <f>IF(OR(66&gt;$Z$1,NOT(OR('Your debts'!$B$12&lt;&gt;"",N('Your debts'!$C$12)&gt;0))),"",IF('Your debts'!$D$20="Avalanche",'Avalanche workings'!$R$73,'Snowball workings'!$R$73)+IF('Your debts'!$D$20="Avalanche",'Avalanche workings'!$AL$73,'Snowball workings'!$AL$73))</f>
      </c>
      <c r="S71" s="30">
        <f>IF(OR(66&gt;$Z$1,NOT(OR('Your debts'!$B$12&lt;&gt;"",N('Your debts'!$C$12)&gt;0))),"",IF('Your debts'!$D$20="Avalanche",'Avalanche workings'!$AV$73,'Snowball workings'!$AV$73))</f>
      </c>
      <c r="T71" s="29">
        <f>IF(OR(66&gt;$Z$1,NOT(OR('Your debts'!$B$13&lt;&gt;"",N('Your debts'!$C$13)&gt;0))),"",IF('Your debts'!$D$20="Avalanche",'Avalanche workings'!$S$73,'Snowball workings'!$S$73)+IF('Your debts'!$D$20="Avalanche",'Avalanche workings'!$AM$73,'Snowball workings'!$AM$73))</f>
      </c>
      <c r="U71" s="30">
        <f>IF(OR(66&gt;$Z$1,NOT(OR('Your debts'!$B$13&lt;&gt;"",N('Your debts'!$C$13)&gt;0))),"",IF('Your debts'!$D$20="Avalanche",'Avalanche workings'!$AW$73,'Snowball workings'!$AW$73))</f>
      </c>
      <c r="V71" s="29">
        <f>IF(OR(66&gt;$Z$1,NOT(OR('Your debts'!$B$14&lt;&gt;"",N('Your debts'!$C$14)&gt;0))),"",IF('Your debts'!$D$20="Avalanche",'Avalanche workings'!$T$73,'Snowball workings'!$T$73)+IF('Your debts'!$D$20="Avalanche",'Avalanche workings'!$AN$73,'Snowball workings'!$AN$73))</f>
      </c>
      <c r="W71" s="30">
        <f>IF(OR(66&gt;$Z$1,NOT(OR('Your debts'!$B$14&lt;&gt;"",N('Your debts'!$C$14)&gt;0))),"",IF('Your debts'!$D$20="Avalanche",'Avalanche workings'!$AX$73,'Snowball workings'!$AX$73))</f>
      </c>
      <c r="X71" s="29">
        <f>IF(OR(66&gt;$Z$1,NOT(OR('Your debts'!$B$15&lt;&gt;"",N('Your debts'!$C$15)&gt;0))),"",IF('Your debts'!$D$20="Avalanche",'Avalanche workings'!$U$73,'Snowball workings'!$U$73)+IF('Your debts'!$D$20="Avalanche",'Avalanche workings'!$AO$73,'Snowball workings'!$AO$73))</f>
      </c>
      <c r="Y71" s="30">
        <f>IF(OR(66&gt;$Z$1,NOT(OR('Your debts'!$B$15&lt;&gt;"",N('Your debts'!$C$15)&gt;0))),"",IF('Your debts'!$D$20="Avalanche",'Avalanche workings'!$AY$73,'Snowball workings'!$AY$73))</f>
      </c>
    </row>
    <row r="72" spans="1:25" x14ac:dyDescent="0.25">
      <c r="A72" s="2">
        <f>IF(67&gt;$Z$1,"",67)</f>
      </c>
      <c r="B72" s="28">
        <f>IF(67&gt;$Z$1,"",EDATE('Your debts'!$D$21,66))</f>
      </c>
      <c r="C72" s="29">
        <f>IF(67&gt;$Z$1,"",IF('Your debts'!$D$20="Avalanche",'Avalanche workings'!$BC$74,'Snowball workings'!$BC$74))</f>
      </c>
      <c r="D72" s="29">
        <f>IF(67&gt;$Z$1,"",IF('Your debts'!$D$20="Avalanche",'Avalanche workings'!$BA$74,'Snowball workings'!$BA$74))</f>
      </c>
      <c r="E72" s="29">
        <f>IF(67&gt;$Z$1,"",IF('Your debts'!$D$20="Avalanche",'Avalanche workings'!$BB$74,'Snowball workings'!$BB$74))</f>
      </c>
      <c r="F72" s="29">
        <f>IF(OR(67&gt;$Z$1,NOT(OR('Your debts'!$B$6&lt;&gt;"",N('Your debts'!$C$6)&gt;0))),"",IF('Your debts'!$D$20="Avalanche",'Avalanche workings'!$L$74,'Snowball workings'!$L$74)+IF('Your debts'!$D$20="Avalanche",'Avalanche workings'!$AF$74,'Snowball workings'!$AF$74))</f>
      </c>
      <c r="G72" s="30">
        <f>IF(OR(67&gt;$Z$1,NOT(OR('Your debts'!$B$6&lt;&gt;"",N('Your debts'!$C$6)&gt;0))),"",IF('Your debts'!$D$20="Avalanche",'Avalanche workings'!$AP$74,'Snowball workings'!$AP$74))</f>
      </c>
      <c r="H72" s="29">
        <f>IF(OR(67&gt;$Z$1,NOT(OR('Your debts'!$B$7&lt;&gt;"",N('Your debts'!$C$7)&gt;0))),"",IF('Your debts'!$D$20="Avalanche",'Avalanche workings'!$M$74,'Snowball workings'!$M$74)+IF('Your debts'!$D$20="Avalanche",'Avalanche workings'!$AG$74,'Snowball workings'!$AG$74))</f>
      </c>
      <c r="I72" s="30">
        <f>IF(OR(67&gt;$Z$1,NOT(OR('Your debts'!$B$7&lt;&gt;"",N('Your debts'!$C$7)&gt;0))),"",IF('Your debts'!$D$20="Avalanche",'Avalanche workings'!$AQ$74,'Snowball workings'!$AQ$74))</f>
      </c>
      <c r="J72" s="29">
        <f>IF(OR(67&gt;$Z$1,NOT(OR('Your debts'!$B$8&lt;&gt;"",N('Your debts'!$C$8)&gt;0))),"",IF('Your debts'!$D$20="Avalanche",'Avalanche workings'!$N$74,'Snowball workings'!$N$74)+IF('Your debts'!$D$20="Avalanche",'Avalanche workings'!$AH$74,'Snowball workings'!$AH$74))</f>
      </c>
      <c r="K72" s="30">
        <f>IF(OR(67&gt;$Z$1,NOT(OR('Your debts'!$B$8&lt;&gt;"",N('Your debts'!$C$8)&gt;0))),"",IF('Your debts'!$D$20="Avalanche",'Avalanche workings'!$AR$74,'Snowball workings'!$AR$74))</f>
      </c>
      <c r="L72" s="29">
        <f>IF(OR(67&gt;$Z$1,NOT(OR('Your debts'!$B$9&lt;&gt;"",N('Your debts'!$C$9)&gt;0))),"",IF('Your debts'!$D$20="Avalanche",'Avalanche workings'!$O$74,'Snowball workings'!$O$74)+IF('Your debts'!$D$20="Avalanche",'Avalanche workings'!$AI$74,'Snowball workings'!$AI$74))</f>
      </c>
      <c r="M72" s="30">
        <f>IF(OR(67&gt;$Z$1,NOT(OR('Your debts'!$B$9&lt;&gt;"",N('Your debts'!$C$9)&gt;0))),"",IF('Your debts'!$D$20="Avalanche",'Avalanche workings'!$AS$74,'Snowball workings'!$AS$74))</f>
      </c>
      <c r="N72" s="29">
        <f>IF(OR(67&gt;$Z$1,NOT(OR('Your debts'!$B$10&lt;&gt;"",N('Your debts'!$C$10)&gt;0))),"",IF('Your debts'!$D$20="Avalanche",'Avalanche workings'!$P$74,'Snowball workings'!$P$74)+IF('Your debts'!$D$20="Avalanche",'Avalanche workings'!$AJ$74,'Snowball workings'!$AJ$74))</f>
      </c>
      <c r="O72" s="30">
        <f>IF(OR(67&gt;$Z$1,NOT(OR('Your debts'!$B$10&lt;&gt;"",N('Your debts'!$C$10)&gt;0))),"",IF('Your debts'!$D$20="Avalanche",'Avalanche workings'!$AT$74,'Snowball workings'!$AT$74))</f>
      </c>
      <c r="P72" s="29">
        <f>IF(OR(67&gt;$Z$1,NOT(OR('Your debts'!$B$11&lt;&gt;"",N('Your debts'!$C$11)&gt;0))),"",IF('Your debts'!$D$20="Avalanche",'Avalanche workings'!$Q$74,'Snowball workings'!$Q$74)+IF('Your debts'!$D$20="Avalanche",'Avalanche workings'!$AK$74,'Snowball workings'!$AK$74))</f>
      </c>
      <c r="Q72" s="30">
        <f>IF(OR(67&gt;$Z$1,NOT(OR('Your debts'!$B$11&lt;&gt;"",N('Your debts'!$C$11)&gt;0))),"",IF('Your debts'!$D$20="Avalanche",'Avalanche workings'!$AU$74,'Snowball workings'!$AU$74))</f>
      </c>
      <c r="R72" s="29">
        <f>IF(OR(67&gt;$Z$1,NOT(OR('Your debts'!$B$12&lt;&gt;"",N('Your debts'!$C$12)&gt;0))),"",IF('Your debts'!$D$20="Avalanche",'Avalanche workings'!$R$74,'Snowball workings'!$R$74)+IF('Your debts'!$D$20="Avalanche",'Avalanche workings'!$AL$74,'Snowball workings'!$AL$74))</f>
      </c>
      <c r="S72" s="30">
        <f>IF(OR(67&gt;$Z$1,NOT(OR('Your debts'!$B$12&lt;&gt;"",N('Your debts'!$C$12)&gt;0))),"",IF('Your debts'!$D$20="Avalanche",'Avalanche workings'!$AV$74,'Snowball workings'!$AV$74))</f>
      </c>
      <c r="T72" s="29">
        <f>IF(OR(67&gt;$Z$1,NOT(OR('Your debts'!$B$13&lt;&gt;"",N('Your debts'!$C$13)&gt;0))),"",IF('Your debts'!$D$20="Avalanche",'Avalanche workings'!$S$74,'Snowball workings'!$S$74)+IF('Your debts'!$D$20="Avalanche",'Avalanche workings'!$AM$74,'Snowball workings'!$AM$74))</f>
      </c>
      <c r="U72" s="30">
        <f>IF(OR(67&gt;$Z$1,NOT(OR('Your debts'!$B$13&lt;&gt;"",N('Your debts'!$C$13)&gt;0))),"",IF('Your debts'!$D$20="Avalanche",'Avalanche workings'!$AW$74,'Snowball workings'!$AW$74))</f>
      </c>
      <c r="V72" s="29">
        <f>IF(OR(67&gt;$Z$1,NOT(OR('Your debts'!$B$14&lt;&gt;"",N('Your debts'!$C$14)&gt;0))),"",IF('Your debts'!$D$20="Avalanche",'Avalanche workings'!$T$74,'Snowball workings'!$T$74)+IF('Your debts'!$D$20="Avalanche",'Avalanche workings'!$AN$74,'Snowball workings'!$AN$74))</f>
      </c>
      <c r="W72" s="30">
        <f>IF(OR(67&gt;$Z$1,NOT(OR('Your debts'!$B$14&lt;&gt;"",N('Your debts'!$C$14)&gt;0))),"",IF('Your debts'!$D$20="Avalanche",'Avalanche workings'!$AX$74,'Snowball workings'!$AX$74))</f>
      </c>
      <c r="X72" s="29">
        <f>IF(OR(67&gt;$Z$1,NOT(OR('Your debts'!$B$15&lt;&gt;"",N('Your debts'!$C$15)&gt;0))),"",IF('Your debts'!$D$20="Avalanche",'Avalanche workings'!$U$74,'Snowball workings'!$U$74)+IF('Your debts'!$D$20="Avalanche",'Avalanche workings'!$AO$74,'Snowball workings'!$AO$74))</f>
      </c>
      <c r="Y72" s="30">
        <f>IF(OR(67&gt;$Z$1,NOT(OR('Your debts'!$B$15&lt;&gt;"",N('Your debts'!$C$15)&gt;0))),"",IF('Your debts'!$D$20="Avalanche",'Avalanche workings'!$AY$74,'Snowball workings'!$AY$74))</f>
      </c>
    </row>
    <row r="73" spans="1:25" x14ac:dyDescent="0.25">
      <c r="A73" s="2">
        <f>IF(68&gt;$Z$1,"",68)</f>
      </c>
      <c r="B73" s="28">
        <f>IF(68&gt;$Z$1,"",EDATE('Your debts'!$D$21,67))</f>
      </c>
      <c r="C73" s="29">
        <f>IF(68&gt;$Z$1,"",IF('Your debts'!$D$20="Avalanche",'Avalanche workings'!$BC$75,'Snowball workings'!$BC$75))</f>
      </c>
      <c r="D73" s="29">
        <f>IF(68&gt;$Z$1,"",IF('Your debts'!$D$20="Avalanche",'Avalanche workings'!$BA$75,'Snowball workings'!$BA$75))</f>
      </c>
      <c r="E73" s="29">
        <f>IF(68&gt;$Z$1,"",IF('Your debts'!$D$20="Avalanche",'Avalanche workings'!$BB$75,'Snowball workings'!$BB$75))</f>
      </c>
      <c r="F73" s="29">
        <f>IF(OR(68&gt;$Z$1,NOT(OR('Your debts'!$B$6&lt;&gt;"",N('Your debts'!$C$6)&gt;0))),"",IF('Your debts'!$D$20="Avalanche",'Avalanche workings'!$L$75,'Snowball workings'!$L$75)+IF('Your debts'!$D$20="Avalanche",'Avalanche workings'!$AF$75,'Snowball workings'!$AF$75))</f>
      </c>
      <c r="G73" s="30">
        <f>IF(OR(68&gt;$Z$1,NOT(OR('Your debts'!$B$6&lt;&gt;"",N('Your debts'!$C$6)&gt;0))),"",IF('Your debts'!$D$20="Avalanche",'Avalanche workings'!$AP$75,'Snowball workings'!$AP$75))</f>
      </c>
      <c r="H73" s="29">
        <f>IF(OR(68&gt;$Z$1,NOT(OR('Your debts'!$B$7&lt;&gt;"",N('Your debts'!$C$7)&gt;0))),"",IF('Your debts'!$D$20="Avalanche",'Avalanche workings'!$M$75,'Snowball workings'!$M$75)+IF('Your debts'!$D$20="Avalanche",'Avalanche workings'!$AG$75,'Snowball workings'!$AG$75))</f>
      </c>
      <c r="I73" s="30">
        <f>IF(OR(68&gt;$Z$1,NOT(OR('Your debts'!$B$7&lt;&gt;"",N('Your debts'!$C$7)&gt;0))),"",IF('Your debts'!$D$20="Avalanche",'Avalanche workings'!$AQ$75,'Snowball workings'!$AQ$75))</f>
      </c>
      <c r="J73" s="29">
        <f>IF(OR(68&gt;$Z$1,NOT(OR('Your debts'!$B$8&lt;&gt;"",N('Your debts'!$C$8)&gt;0))),"",IF('Your debts'!$D$20="Avalanche",'Avalanche workings'!$N$75,'Snowball workings'!$N$75)+IF('Your debts'!$D$20="Avalanche",'Avalanche workings'!$AH$75,'Snowball workings'!$AH$75))</f>
      </c>
      <c r="K73" s="30">
        <f>IF(OR(68&gt;$Z$1,NOT(OR('Your debts'!$B$8&lt;&gt;"",N('Your debts'!$C$8)&gt;0))),"",IF('Your debts'!$D$20="Avalanche",'Avalanche workings'!$AR$75,'Snowball workings'!$AR$75))</f>
      </c>
      <c r="L73" s="29">
        <f>IF(OR(68&gt;$Z$1,NOT(OR('Your debts'!$B$9&lt;&gt;"",N('Your debts'!$C$9)&gt;0))),"",IF('Your debts'!$D$20="Avalanche",'Avalanche workings'!$O$75,'Snowball workings'!$O$75)+IF('Your debts'!$D$20="Avalanche",'Avalanche workings'!$AI$75,'Snowball workings'!$AI$75))</f>
      </c>
      <c r="M73" s="30">
        <f>IF(OR(68&gt;$Z$1,NOT(OR('Your debts'!$B$9&lt;&gt;"",N('Your debts'!$C$9)&gt;0))),"",IF('Your debts'!$D$20="Avalanche",'Avalanche workings'!$AS$75,'Snowball workings'!$AS$75))</f>
      </c>
      <c r="N73" s="29">
        <f>IF(OR(68&gt;$Z$1,NOT(OR('Your debts'!$B$10&lt;&gt;"",N('Your debts'!$C$10)&gt;0))),"",IF('Your debts'!$D$20="Avalanche",'Avalanche workings'!$P$75,'Snowball workings'!$P$75)+IF('Your debts'!$D$20="Avalanche",'Avalanche workings'!$AJ$75,'Snowball workings'!$AJ$75))</f>
      </c>
      <c r="O73" s="30">
        <f>IF(OR(68&gt;$Z$1,NOT(OR('Your debts'!$B$10&lt;&gt;"",N('Your debts'!$C$10)&gt;0))),"",IF('Your debts'!$D$20="Avalanche",'Avalanche workings'!$AT$75,'Snowball workings'!$AT$75))</f>
      </c>
      <c r="P73" s="29">
        <f>IF(OR(68&gt;$Z$1,NOT(OR('Your debts'!$B$11&lt;&gt;"",N('Your debts'!$C$11)&gt;0))),"",IF('Your debts'!$D$20="Avalanche",'Avalanche workings'!$Q$75,'Snowball workings'!$Q$75)+IF('Your debts'!$D$20="Avalanche",'Avalanche workings'!$AK$75,'Snowball workings'!$AK$75))</f>
      </c>
      <c r="Q73" s="30">
        <f>IF(OR(68&gt;$Z$1,NOT(OR('Your debts'!$B$11&lt;&gt;"",N('Your debts'!$C$11)&gt;0))),"",IF('Your debts'!$D$20="Avalanche",'Avalanche workings'!$AU$75,'Snowball workings'!$AU$75))</f>
      </c>
      <c r="R73" s="29">
        <f>IF(OR(68&gt;$Z$1,NOT(OR('Your debts'!$B$12&lt;&gt;"",N('Your debts'!$C$12)&gt;0))),"",IF('Your debts'!$D$20="Avalanche",'Avalanche workings'!$R$75,'Snowball workings'!$R$75)+IF('Your debts'!$D$20="Avalanche",'Avalanche workings'!$AL$75,'Snowball workings'!$AL$75))</f>
      </c>
      <c r="S73" s="30">
        <f>IF(OR(68&gt;$Z$1,NOT(OR('Your debts'!$B$12&lt;&gt;"",N('Your debts'!$C$12)&gt;0))),"",IF('Your debts'!$D$20="Avalanche",'Avalanche workings'!$AV$75,'Snowball workings'!$AV$75))</f>
      </c>
      <c r="T73" s="29">
        <f>IF(OR(68&gt;$Z$1,NOT(OR('Your debts'!$B$13&lt;&gt;"",N('Your debts'!$C$13)&gt;0))),"",IF('Your debts'!$D$20="Avalanche",'Avalanche workings'!$S$75,'Snowball workings'!$S$75)+IF('Your debts'!$D$20="Avalanche",'Avalanche workings'!$AM$75,'Snowball workings'!$AM$75))</f>
      </c>
      <c r="U73" s="30">
        <f>IF(OR(68&gt;$Z$1,NOT(OR('Your debts'!$B$13&lt;&gt;"",N('Your debts'!$C$13)&gt;0))),"",IF('Your debts'!$D$20="Avalanche",'Avalanche workings'!$AW$75,'Snowball workings'!$AW$75))</f>
      </c>
      <c r="V73" s="29">
        <f>IF(OR(68&gt;$Z$1,NOT(OR('Your debts'!$B$14&lt;&gt;"",N('Your debts'!$C$14)&gt;0))),"",IF('Your debts'!$D$20="Avalanche",'Avalanche workings'!$T$75,'Snowball workings'!$T$75)+IF('Your debts'!$D$20="Avalanche",'Avalanche workings'!$AN$75,'Snowball workings'!$AN$75))</f>
      </c>
      <c r="W73" s="30">
        <f>IF(OR(68&gt;$Z$1,NOT(OR('Your debts'!$B$14&lt;&gt;"",N('Your debts'!$C$14)&gt;0))),"",IF('Your debts'!$D$20="Avalanche",'Avalanche workings'!$AX$75,'Snowball workings'!$AX$75))</f>
      </c>
      <c r="X73" s="29">
        <f>IF(OR(68&gt;$Z$1,NOT(OR('Your debts'!$B$15&lt;&gt;"",N('Your debts'!$C$15)&gt;0))),"",IF('Your debts'!$D$20="Avalanche",'Avalanche workings'!$U$75,'Snowball workings'!$U$75)+IF('Your debts'!$D$20="Avalanche",'Avalanche workings'!$AO$75,'Snowball workings'!$AO$75))</f>
      </c>
      <c r="Y73" s="30">
        <f>IF(OR(68&gt;$Z$1,NOT(OR('Your debts'!$B$15&lt;&gt;"",N('Your debts'!$C$15)&gt;0))),"",IF('Your debts'!$D$20="Avalanche",'Avalanche workings'!$AY$75,'Snowball workings'!$AY$75))</f>
      </c>
    </row>
    <row r="74" spans="1:25" x14ac:dyDescent="0.25">
      <c r="A74" s="2">
        <f>IF(69&gt;$Z$1,"",69)</f>
      </c>
      <c r="B74" s="28">
        <f>IF(69&gt;$Z$1,"",EDATE('Your debts'!$D$21,68))</f>
      </c>
      <c r="C74" s="29">
        <f>IF(69&gt;$Z$1,"",IF('Your debts'!$D$20="Avalanche",'Avalanche workings'!$BC$76,'Snowball workings'!$BC$76))</f>
      </c>
      <c r="D74" s="29">
        <f>IF(69&gt;$Z$1,"",IF('Your debts'!$D$20="Avalanche",'Avalanche workings'!$BA$76,'Snowball workings'!$BA$76))</f>
      </c>
      <c r="E74" s="29">
        <f>IF(69&gt;$Z$1,"",IF('Your debts'!$D$20="Avalanche",'Avalanche workings'!$BB$76,'Snowball workings'!$BB$76))</f>
      </c>
      <c r="F74" s="29">
        <f>IF(OR(69&gt;$Z$1,NOT(OR('Your debts'!$B$6&lt;&gt;"",N('Your debts'!$C$6)&gt;0))),"",IF('Your debts'!$D$20="Avalanche",'Avalanche workings'!$L$76,'Snowball workings'!$L$76)+IF('Your debts'!$D$20="Avalanche",'Avalanche workings'!$AF$76,'Snowball workings'!$AF$76))</f>
      </c>
      <c r="G74" s="30">
        <f>IF(OR(69&gt;$Z$1,NOT(OR('Your debts'!$B$6&lt;&gt;"",N('Your debts'!$C$6)&gt;0))),"",IF('Your debts'!$D$20="Avalanche",'Avalanche workings'!$AP$76,'Snowball workings'!$AP$76))</f>
      </c>
      <c r="H74" s="29">
        <f>IF(OR(69&gt;$Z$1,NOT(OR('Your debts'!$B$7&lt;&gt;"",N('Your debts'!$C$7)&gt;0))),"",IF('Your debts'!$D$20="Avalanche",'Avalanche workings'!$M$76,'Snowball workings'!$M$76)+IF('Your debts'!$D$20="Avalanche",'Avalanche workings'!$AG$76,'Snowball workings'!$AG$76))</f>
      </c>
      <c r="I74" s="30">
        <f>IF(OR(69&gt;$Z$1,NOT(OR('Your debts'!$B$7&lt;&gt;"",N('Your debts'!$C$7)&gt;0))),"",IF('Your debts'!$D$20="Avalanche",'Avalanche workings'!$AQ$76,'Snowball workings'!$AQ$76))</f>
      </c>
      <c r="J74" s="29">
        <f>IF(OR(69&gt;$Z$1,NOT(OR('Your debts'!$B$8&lt;&gt;"",N('Your debts'!$C$8)&gt;0))),"",IF('Your debts'!$D$20="Avalanche",'Avalanche workings'!$N$76,'Snowball workings'!$N$76)+IF('Your debts'!$D$20="Avalanche",'Avalanche workings'!$AH$76,'Snowball workings'!$AH$76))</f>
      </c>
      <c r="K74" s="30">
        <f>IF(OR(69&gt;$Z$1,NOT(OR('Your debts'!$B$8&lt;&gt;"",N('Your debts'!$C$8)&gt;0))),"",IF('Your debts'!$D$20="Avalanche",'Avalanche workings'!$AR$76,'Snowball workings'!$AR$76))</f>
      </c>
      <c r="L74" s="29">
        <f>IF(OR(69&gt;$Z$1,NOT(OR('Your debts'!$B$9&lt;&gt;"",N('Your debts'!$C$9)&gt;0))),"",IF('Your debts'!$D$20="Avalanche",'Avalanche workings'!$O$76,'Snowball workings'!$O$76)+IF('Your debts'!$D$20="Avalanche",'Avalanche workings'!$AI$76,'Snowball workings'!$AI$76))</f>
      </c>
      <c r="M74" s="30">
        <f>IF(OR(69&gt;$Z$1,NOT(OR('Your debts'!$B$9&lt;&gt;"",N('Your debts'!$C$9)&gt;0))),"",IF('Your debts'!$D$20="Avalanche",'Avalanche workings'!$AS$76,'Snowball workings'!$AS$76))</f>
      </c>
      <c r="N74" s="29">
        <f>IF(OR(69&gt;$Z$1,NOT(OR('Your debts'!$B$10&lt;&gt;"",N('Your debts'!$C$10)&gt;0))),"",IF('Your debts'!$D$20="Avalanche",'Avalanche workings'!$P$76,'Snowball workings'!$P$76)+IF('Your debts'!$D$20="Avalanche",'Avalanche workings'!$AJ$76,'Snowball workings'!$AJ$76))</f>
      </c>
      <c r="O74" s="30">
        <f>IF(OR(69&gt;$Z$1,NOT(OR('Your debts'!$B$10&lt;&gt;"",N('Your debts'!$C$10)&gt;0))),"",IF('Your debts'!$D$20="Avalanche",'Avalanche workings'!$AT$76,'Snowball workings'!$AT$76))</f>
      </c>
      <c r="P74" s="29">
        <f>IF(OR(69&gt;$Z$1,NOT(OR('Your debts'!$B$11&lt;&gt;"",N('Your debts'!$C$11)&gt;0))),"",IF('Your debts'!$D$20="Avalanche",'Avalanche workings'!$Q$76,'Snowball workings'!$Q$76)+IF('Your debts'!$D$20="Avalanche",'Avalanche workings'!$AK$76,'Snowball workings'!$AK$76))</f>
      </c>
      <c r="Q74" s="30">
        <f>IF(OR(69&gt;$Z$1,NOT(OR('Your debts'!$B$11&lt;&gt;"",N('Your debts'!$C$11)&gt;0))),"",IF('Your debts'!$D$20="Avalanche",'Avalanche workings'!$AU$76,'Snowball workings'!$AU$76))</f>
      </c>
      <c r="R74" s="29">
        <f>IF(OR(69&gt;$Z$1,NOT(OR('Your debts'!$B$12&lt;&gt;"",N('Your debts'!$C$12)&gt;0))),"",IF('Your debts'!$D$20="Avalanche",'Avalanche workings'!$R$76,'Snowball workings'!$R$76)+IF('Your debts'!$D$20="Avalanche",'Avalanche workings'!$AL$76,'Snowball workings'!$AL$76))</f>
      </c>
      <c r="S74" s="30">
        <f>IF(OR(69&gt;$Z$1,NOT(OR('Your debts'!$B$12&lt;&gt;"",N('Your debts'!$C$12)&gt;0))),"",IF('Your debts'!$D$20="Avalanche",'Avalanche workings'!$AV$76,'Snowball workings'!$AV$76))</f>
      </c>
      <c r="T74" s="29">
        <f>IF(OR(69&gt;$Z$1,NOT(OR('Your debts'!$B$13&lt;&gt;"",N('Your debts'!$C$13)&gt;0))),"",IF('Your debts'!$D$20="Avalanche",'Avalanche workings'!$S$76,'Snowball workings'!$S$76)+IF('Your debts'!$D$20="Avalanche",'Avalanche workings'!$AM$76,'Snowball workings'!$AM$76))</f>
      </c>
      <c r="U74" s="30">
        <f>IF(OR(69&gt;$Z$1,NOT(OR('Your debts'!$B$13&lt;&gt;"",N('Your debts'!$C$13)&gt;0))),"",IF('Your debts'!$D$20="Avalanche",'Avalanche workings'!$AW$76,'Snowball workings'!$AW$76))</f>
      </c>
      <c r="V74" s="29">
        <f>IF(OR(69&gt;$Z$1,NOT(OR('Your debts'!$B$14&lt;&gt;"",N('Your debts'!$C$14)&gt;0))),"",IF('Your debts'!$D$20="Avalanche",'Avalanche workings'!$T$76,'Snowball workings'!$T$76)+IF('Your debts'!$D$20="Avalanche",'Avalanche workings'!$AN$76,'Snowball workings'!$AN$76))</f>
      </c>
      <c r="W74" s="30">
        <f>IF(OR(69&gt;$Z$1,NOT(OR('Your debts'!$B$14&lt;&gt;"",N('Your debts'!$C$14)&gt;0))),"",IF('Your debts'!$D$20="Avalanche",'Avalanche workings'!$AX$76,'Snowball workings'!$AX$76))</f>
      </c>
      <c r="X74" s="29">
        <f>IF(OR(69&gt;$Z$1,NOT(OR('Your debts'!$B$15&lt;&gt;"",N('Your debts'!$C$15)&gt;0))),"",IF('Your debts'!$D$20="Avalanche",'Avalanche workings'!$U$76,'Snowball workings'!$U$76)+IF('Your debts'!$D$20="Avalanche",'Avalanche workings'!$AO$76,'Snowball workings'!$AO$76))</f>
      </c>
      <c r="Y74" s="30">
        <f>IF(OR(69&gt;$Z$1,NOT(OR('Your debts'!$B$15&lt;&gt;"",N('Your debts'!$C$15)&gt;0))),"",IF('Your debts'!$D$20="Avalanche",'Avalanche workings'!$AY$76,'Snowball workings'!$AY$76))</f>
      </c>
    </row>
    <row r="75" spans="1:25" x14ac:dyDescent="0.25">
      <c r="A75" s="2">
        <f>IF(70&gt;$Z$1,"",70)</f>
      </c>
      <c r="B75" s="28">
        <f>IF(70&gt;$Z$1,"",EDATE('Your debts'!$D$21,69))</f>
      </c>
      <c r="C75" s="29">
        <f>IF(70&gt;$Z$1,"",IF('Your debts'!$D$20="Avalanche",'Avalanche workings'!$BC$77,'Snowball workings'!$BC$77))</f>
      </c>
      <c r="D75" s="29">
        <f>IF(70&gt;$Z$1,"",IF('Your debts'!$D$20="Avalanche",'Avalanche workings'!$BA$77,'Snowball workings'!$BA$77))</f>
      </c>
      <c r="E75" s="29">
        <f>IF(70&gt;$Z$1,"",IF('Your debts'!$D$20="Avalanche",'Avalanche workings'!$BB$77,'Snowball workings'!$BB$77))</f>
      </c>
      <c r="F75" s="29">
        <f>IF(OR(70&gt;$Z$1,NOT(OR('Your debts'!$B$6&lt;&gt;"",N('Your debts'!$C$6)&gt;0))),"",IF('Your debts'!$D$20="Avalanche",'Avalanche workings'!$L$77,'Snowball workings'!$L$77)+IF('Your debts'!$D$20="Avalanche",'Avalanche workings'!$AF$77,'Snowball workings'!$AF$77))</f>
      </c>
      <c r="G75" s="30">
        <f>IF(OR(70&gt;$Z$1,NOT(OR('Your debts'!$B$6&lt;&gt;"",N('Your debts'!$C$6)&gt;0))),"",IF('Your debts'!$D$20="Avalanche",'Avalanche workings'!$AP$77,'Snowball workings'!$AP$77))</f>
      </c>
      <c r="H75" s="29">
        <f>IF(OR(70&gt;$Z$1,NOT(OR('Your debts'!$B$7&lt;&gt;"",N('Your debts'!$C$7)&gt;0))),"",IF('Your debts'!$D$20="Avalanche",'Avalanche workings'!$M$77,'Snowball workings'!$M$77)+IF('Your debts'!$D$20="Avalanche",'Avalanche workings'!$AG$77,'Snowball workings'!$AG$77))</f>
      </c>
      <c r="I75" s="30">
        <f>IF(OR(70&gt;$Z$1,NOT(OR('Your debts'!$B$7&lt;&gt;"",N('Your debts'!$C$7)&gt;0))),"",IF('Your debts'!$D$20="Avalanche",'Avalanche workings'!$AQ$77,'Snowball workings'!$AQ$77))</f>
      </c>
      <c r="J75" s="29">
        <f>IF(OR(70&gt;$Z$1,NOT(OR('Your debts'!$B$8&lt;&gt;"",N('Your debts'!$C$8)&gt;0))),"",IF('Your debts'!$D$20="Avalanche",'Avalanche workings'!$N$77,'Snowball workings'!$N$77)+IF('Your debts'!$D$20="Avalanche",'Avalanche workings'!$AH$77,'Snowball workings'!$AH$77))</f>
      </c>
      <c r="K75" s="30">
        <f>IF(OR(70&gt;$Z$1,NOT(OR('Your debts'!$B$8&lt;&gt;"",N('Your debts'!$C$8)&gt;0))),"",IF('Your debts'!$D$20="Avalanche",'Avalanche workings'!$AR$77,'Snowball workings'!$AR$77))</f>
      </c>
      <c r="L75" s="29">
        <f>IF(OR(70&gt;$Z$1,NOT(OR('Your debts'!$B$9&lt;&gt;"",N('Your debts'!$C$9)&gt;0))),"",IF('Your debts'!$D$20="Avalanche",'Avalanche workings'!$O$77,'Snowball workings'!$O$77)+IF('Your debts'!$D$20="Avalanche",'Avalanche workings'!$AI$77,'Snowball workings'!$AI$77))</f>
      </c>
      <c r="M75" s="30">
        <f>IF(OR(70&gt;$Z$1,NOT(OR('Your debts'!$B$9&lt;&gt;"",N('Your debts'!$C$9)&gt;0))),"",IF('Your debts'!$D$20="Avalanche",'Avalanche workings'!$AS$77,'Snowball workings'!$AS$77))</f>
      </c>
      <c r="N75" s="29">
        <f>IF(OR(70&gt;$Z$1,NOT(OR('Your debts'!$B$10&lt;&gt;"",N('Your debts'!$C$10)&gt;0))),"",IF('Your debts'!$D$20="Avalanche",'Avalanche workings'!$P$77,'Snowball workings'!$P$77)+IF('Your debts'!$D$20="Avalanche",'Avalanche workings'!$AJ$77,'Snowball workings'!$AJ$77))</f>
      </c>
      <c r="O75" s="30">
        <f>IF(OR(70&gt;$Z$1,NOT(OR('Your debts'!$B$10&lt;&gt;"",N('Your debts'!$C$10)&gt;0))),"",IF('Your debts'!$D$20="Avalanche",'Avalanche workings'!$AT$77,'Snowball workings'!$AT$77))</f>
      </c>
      <c r="P75" s="29">
        <f>IF(OR(70&gt;$Z$1,NOT(OR('Your debts'!$B$11&lt;&gt;"",N('Your debts'!$C$11)&gt;0))),"",IF('Your debts'!$D$20="Avalanche",'Avalanche workings'!$Q$77,'Snowball workings'!$Q$77)+IF('Your debts'!$D$20="Avalanche",'Avalanche workings'!$AK$77,'Snowball workings'!$AK$77))</f>
      </c>
      <c r="Q75" s="30">
        <f>IF(OR(70&gt;$Z$1,NOT(OR('Your debts'!$B$11&lt;&gt;"",N('Your debts'!$C$11)&gt;0))),"",IF('Your debts'!$D$20="Avalanche",'Avalanche workings'!$AU$77,'Snowball workings'!$AU$77))</f>
      </c>
      <c r="R75" s="29">
        <f>IF(OR(70&gt;$Z$1,NOT(OR('Your debts'!$B$12&lt;&gt;"",N('Your debts'!$C$12)&gt;0))),"",IF('Your debts'!$D$20="Avalanche",'Avalanche workings'!$R$77,'Snowball workings'!$R$77)+IF('Your debts'!$D$20="Avalanche",'Avalanche workings'!$AL$77,'Snowball workings'!$AL$77))</f>
      </c>
      <c r="S75" s="30">
        <f>IF(OR(70&gt;$Z$1,NOT(OR('Your debts'!$B$12&lt;&gt;"",N('Your debts'!$C$12)&gt;0))),"",IF('Your debts'!$D$20="Avalanche",'Avalanche workings'!$AV$77,'Snowball workings'!$AV$77))</f>
      </c>
      <c r="T75" s="29">
        <f>IF(OR(70&gt;$Z$1,NOT(OR('Your debts'!$B$13&lt;&gt;"",N('Your debts'!$C$13)&gt;0))),"",IF('Your debts'!$D$20="Avalanche",'Avalanche workings'!$S$77,'Snowball workings'!$S$77)+IF('Your debts'!$D$20="Avalanche",'Avalanche workings'!$AM$77,'Snowball workings'!$AM$77))</f>
      </c>
      <c r="U75" s="30">
        <f>IF(OR(70&gt;$Z$1,NOT(OR('Your debts'!$B$13&lt;&gt;"",N('Your debts'!$C$13)&gt;0))),"",IF('Your debts'!$D$20="Avalanche",'Avalanche workings'!$AW$77,'Snowball workings'!$AW$77))</f>
      </c>
      <c r="V75" s="29">
        <f>IF(OR(70&gt;$Z$1,NOT(OR('Your debts'!$B$14&lt;&gt;"",N('Your debts'!$C$14)&gt;0))),"",IF('Your debts'!$D$20="Avalanche",'Avalanche workings'!$T$77,'Snowball workings'!$T$77)+IF('Your debts'!$D$20="Avalanche",'Avalanche workings'!$AN$77,'Snowball workings'!$AN$77))</f>
      </c>
      <c r="W75" s="30">
        <f>IF(OR(70&gt;$Z$1,NOT(OR('Your debts'!$B$14&lt;&gt;"",N('Your debts'!$C$14)&gt;0))),"",IF('Your debts'!$D$20="Avalanche",'Avalanche workings'!$AX$77,'Snowball workings'!$AX$77))</f>
      </c>
      <c r="X75" s="29">
        <f>IF(OR(70&gt;$Z$1,NOT(OR('Your debts'!$B$15&lt;&gt;"",N('Your debts'!$C$15)&gt;0))),"",IF('Your debts'!$D$20="Avalanche",'Avalanche workings'!$U$77,'Snowball workings'!$U$77)+IF('Your debts'!$D$20="Avalanche",'Avalanche workings'!$AO$77,'Snowball workings'!$AO$77))</f>
      </c>
      <c r="Y75" s="30">
        <f>IF(OR(70&gt;$Z$1,NOT(OR('Your debts'!$B$15&lt;&gt;"",N('Your debts'!$C$15)&gt;0))),"",IF('Your debts'!$D$20="Avalanche",'Avalanche workings'!$AY$77,'Snowball workings'!$AY$77))</f>
      </c>
    </row>
    <row r="76" spans="1:25" x14ac:dyDescent="0.25">
      <c r="A76" s="2">
        <f>IF(71&gt;$Z$1,"",71)</f>
      </c>
      <c r="B76" s="28">
        <f>IF(71&gt;$Z$1,"",EDATE('Your debts'!$D$21,70))</f>
      </c>
      <c r="C76" s="29">
        <f>IF(71&gt;$Z$1,"",IF('Your debts'!$D$20="Avalanche",'Avalanche workings'!$BC$78,'Snowball workings'!$BC$78))</f>
      </c>
      <c r="D76" s="29">
        <f>IF(71&gt;$Z$1,"",IF('Your debts'!$D$20="Avalanche",'Avalanche workings'!$BA$78,'Snowball workings'!$BA$78))</f>
      </c>
      <c r="E76" s="29">
        <f>IF(71&gt;$Z$1,"",IF('Your debts'!$D$20="Avalanche",'Avalanche workings'!$BB$78,'Snowball workings'!$BB$78))</f>
      </c>
      <c r="F76" s="29">
        <f>IF(OR(71&gt;$Z$1,NOT(OR('Your debts'!$B$6&lt;&gt;"",N('Your debts'!$C$6)&gt;0))),"",IF('Your debts'!$D$20="Avalanche",'Avalanche workings'!$L$78,'Snowball workings'!$L$78)+IF('Your debts'!$D$20="Avalanche",'Avalanche workings'!$AF$78,'Snowball workings'!$AF$78))</f>
      </c>
      <c r="G76" s="30">
        <f>IF(OR(71&gt;$Z$1,NOT(OR('Your debts'!$B$6&lt;&gt;"",N('Your debts'!$C$6)&gt;0))),"",IF('Your debts'!$D$20="Avalanche",'Avalanche workings'!$AP$78,'Snowball workings'!$AP$78))</f>
      </c>
      <c r="H76" s="29">
        <f>IF(OR(71&gt;$Z$1,NOT(OR('Your debts'!$B$7&lt;&gt;"",N('Your debts'!$C$7)&gt;0))),"",IF('Your debts'!$D$20="Avalanche",'Avalanche workings'!$M$78,'Snowball workings'!$M$78)+IF('Your debts'!$D$20="Avalanche",'Avalanche workings'!$AG$78,'Snowball workings'!$AG$78))</f>
      </c>
      <c r="I76" s="30">
        <f>IF(OR(71&gt;$Z$1,NOT(OR('Your debts'!$B$7&lt;&gt;"",N('Your debts'!$C$7)&gt;0))),"",IF('Your debts'!$D$20="Avalanche",'Avalanche workings'!$AQ$78,'Snowball workings'!$AQ$78))</f>
      </c>
      <c r="J76" s="29">
        <f>IF(OR(71&gt;$Z$1,NOT(OR('Your debts'!$B$8&lt;&gt;"",N('Your debts'!$C$8)&gt;0))),"",IF('Your debts'!$D$20="Avalanche",'Avalanche workings'!$N$78,'Snowball workings'!$N$78)+IF('Your debts'!$D$20="Avalanche",'Avalanche workings'!$AH$78,'Snowball workings'!$AH$78))</f>
      </c>
      <c r="K76" s="30">
        <f>IF(OR(71&gt;$Z$1,NOT(OR('Your debts'!$B$8&lt;&gt;"",N('Your debts'!$C$8)&gt;0))),"",IF('Your debts'!$D$20="Avalanche",'Avalanche workings'!$AR$78,'Snowball workings'!$AR$78))</f>
      </c>
      <c r="L76" s="29">
        <f>IF(OR(71&gt;$Z$1,NOT(OR('Your debts'!$B$9&lt;&gt;"",N('Your debts'!$C$9)&gt;0))),"",IF('Your debts'!$D$20="Avalanche",'Avalanche workings'!$O$78,'Snowball workings'!$O$78)+IF('Your debts'!$D$20="Avalanche",'Avalanche workings'!$AI$78,'Snowball workings'!$AI$78))</f>
      </c>
      <c r="M76" s="30">
        <f>IF(OR(71&gt;$Z$1,NOT(OR('Your debts'!$B$9&lt;&gt;"",N('Your debts'!$C$9)&gt;0))),"",IF('Your debts'!$D$20="Avalanche",'Avalanche workings'!$AS$78,'Snowball workings'!$AS$78))</f>
      </c>
      <c r="N76" s="29">
        <f>IF(OR(71&gt;$Z$1,NOT(OR('Your debts'!$B$10&lt;&gt;"",N('Your debts'!$C$10)&gt;0))),"",IF('Your debts'!$D$20="Avalanche",'Avalanche workings'!$P$78,'Snowball workings'!$P$78)+IF('Your debts'!$D$20="Avalanche",'Avalanche workings'!$AJ$78,'Snowball workings'!$AJ$78))</f>
      </c>
      <c r="O76" s="30">
        <f>IF(OR(71&gt;$Z$1,NOT(OR('Your debts'!$B$10&lt;&gt;"",N('Your debts'!$C$10)&gt;0))),"",IF('Your debts'!$D$20="Avalanche",'Avalanche workings'!$AT$78,'Snowball workings'!$AT$78))</f>
      </c>
      <c r="P76" s="29">
        <f>IF(OR(71&gt;$Z$1,NOT(OR('Your debts'!$B$11&lt;&gt;"",N('Your debts'!$C$11)&gt;0))),"",IF('Your debts'!$D$20="Avalanche",'Avalanche workings'!$Q$78,'Snowball workings'!$Q$78)+IF('Your debts'!$D$20="Avalanche",'Avalanche workings'!$AK$78,'Snowball workings'!$AK$78))</f>
      </c>
      <c r="Q76" s="30">
        <f>IF(OR(71&gt;$Z$1,NOT(OR('Your debts'!$B$11&lt;&gt;"",N('Your debts'!$C$11)&gt;0))),"",IF('Your debts'!$D$20="Avalanche",'Avalanche workings'!$AU$78,'Snowball workings'!$AU$78))</f>
      </c>
      <c r="R76" s="29">
        <f>IF(OR(71&gt;$Z$1,NOT(OR('Your debts'!$B$12&lt;&gt;"",N('Your debts'!$C$12)&gt;0))),"",IF('Your debts'!$D$20="Avalanche",'Avalanche workings'!$R$78,'Snowball workings'!$R$78)+IF('Your debts'!$D$20="Avalanche",'Avalanche workings'!$AL$78,'Snowball workings'!$AL$78))</f>
      </c>
      <c r="S76" s="30">
        <f>IF(OR(71&gt;$Z$1,NOT(OR('Your debts'!$B$12&lt;&gt;"",N('Your debts'!$C$12)&gt;0))),"",IF('Your debts'!$D$20="Avalanche",'Avalanche workings'!$AV$78,'Snowball workings'!$AV$78))</f>
      </c>
      <c r="T76" s="29">
        <f>IF(OR(71&gt;$Z$1,NOT(OR('Your debts'!$B$13&lt;&gt;"",N('Your debts'!$C$13)&gt;0))),"",IF('Your debts'!$D$20="Avalanche",'Avalanche workings'!$S$78,'Snowball workings'!$S$78)+IF('Your debts'!$D$20="Avalanche",'Avalanche workings'!$AM$78,'Snowball workings'!$AM$78))</f>
      </c>
      <c r="U76" s="30">
        <f>IF(OR(71&gt;$Z$1,NOT(OR('Your debts'!$B$13&lt;&gt;"",N('Your debts'!$C$13)&gt;0))),"",IF('Your debts'!$D$20="Avalanche",'Avalanche workings'!$AW$78,'Snowball workings'!$AW$78))</f>
      </c>
      <c r="V76" s="29">
        <f>IF(OR(71&gt;$Z$1,NOT(OR('Your debts'!$B$14&lt;&gt;"",N('Your debts'!$C$14)&gt;0))),"",IF('Your debts'!$D$20="Avalanche",'Avalanche workings'!$T$78,'Snowball workings'!$T$78)+IF('Your debts'!$D$20="Avalanche",'Avalanche workings'!$AN$78,'Snowball workings'!$AN$78))</f>
      </c>
      <c r="W76" s="30">
        <f>IF(OR(71&gt;$Z$1,NOT(OR('Your debts'!$B$14&lt;&gt;"",N('Your debts'!$C$14)&gt;0))),"",IF('Your debts'!$D$20="Avalanche",'Avalanche workings'!$AX$78,'Snowball workings'!$AX$78))</f>
      </c>
      <c r="X76" s="29">
        <f>IF(OR(71&gt;$Z$1,NOT(OR('Your debts'!$B$15&lt;&gt;"",N('Your debts'!$C$15)&gt;0))),"",IF('Your debts'!$D$20="Avalanche",'Avalanche workings'!$U$78,'Snowball workings'!$U$78)+IF('Your debts'!$D$20="Avalanche",'Avalanche workings'!$AO$78,'Snowball workings'!$AO$78))</f>
      </c>
      <c r="Y76" s="30">
        <f>IF(OR(71&gt;$Z$1,NOT(OR('Your debts'!$B$15&lt;&gt;"",N('Your debts'!$C$15)&gt;0))),"",IF('Your debts'!$D$20="Avalanche",'Avalanche workings'!$AY$78,'Snowball workings'!$AY$78))</f>
      </c>
    </row>
    <row r="77" spans="1:25" x14ac:dyDescent="0.25">
      <c r="A77" s="2">
        <f>IF(72&gt;$Z$1,"",72)</f>
      </c>
      <c r="B77" s="28">
        <f>IF(72&gt;$Z$1,"",EDATE('Your debts'!$D$21,71))</f>
      </c>
      <c r="C77" s="29">
        <f>IF(72&gt;$Z$1,"",IF('Your debts'!$D$20="Avalanche",'Avalanche workings'!$BC$79,'Snowball workings'!$BC$79))</f>
      </c>
      <c r="D77" s="29">
        <f>IF(72&gt;$Z$1,"",IF('Your debts'!$D$20="Avalanche",'Avalanche workings'!$BA$79,'Snowball workings'!$BA$79))</f>
      </c>
      <c r="E77" s="29">
        <f>IF(72&gt;$Z$1,"",IF('Your debts'!$D$20="Avalanche",'Avalanche workings'!$BB$79,'Snowball workings'!$BB$79))</f>
      </c>
      <c r="F77" s="29">
        <f>IF(OR(72&gt;$Z$1,NOT(OR('Your debts'!$B$6&lt;&gt;"",N('Your debts'!$C$6)&gt;0))),"",IF('Your debts'!$D$20="Avalanche",'Avalanche workings'!$L$79,'Snowball workings'!$L$79)+IF('Your debts'!$D$20="Avalanche",'Avalanche workings'!$AF$79,'Snowball workings'!$AF$79))</f>
      </c>
      <c r="G77" s="30">
        <f>IF(OR(72&gt;$Z$1,NOT(OR('Your debts'!$B$6&lt;&gt;"",N('Your debts'!$C$6)&gt;0))),"",IF('Your debts'!$D$20="Avalanche",'Avalanche workings'!$AP$79,'Snowball workings'!$AP$79))</f>
      </c>
      <c r="H77" s="29">
        <f>IF(OR(72&gt;$Z$1,NOT(OR('Your debts'!$B$7&lt;&gt;"",N('Your debts'!$C$7)&gt;0))),"",IF('Your debts'!$D$20="Avalanche",'Avalanche workings'!$M$79,'Snowball workings'!$M$79)+IF('Your debts'!$D$20="Avalanche",'Avalanche workings'!$AG$79,'Snowball workings'!$AG$79))</f>
      </c>
      <c r="I77" s="30">
        <f>IF(OR(72&gt;$Z$1,NOT(OR('Your debts'!$B$7&lt;&gt;"",N('Your debts'!$C$7)&gt;0))),"",IF('Your debts'!$D$20="Avalanche",'Avalanche workings'!$AQ$79,'Snowball workings'!$AQ$79))</f>
      </c>
      <c r="J77" s="29">
        <f>IF(OR(72&gt;$Z$1,NOT(OR('Your debts'!$B$8&lt;&gt;"",N('Your debts'!$C$8)&gt;0))),"",IF('Your debts'!$D$20="Avalanche",'Avalanche workings'!$N$79,'Snowball workings'!$N$79)+IF('Your debts'!$D$20="Avalanche",'Avalanche workings'!$AH$79,'Snowball workings'!$AH$79))</f>
      </c>
      <c r="K77" s="30">
        <f>IF(OR(72&gt;$Z$1,NOT(OR('Your debts'!$B$8&lt;&gt;"",N('Your debts'!$C$8)&gt;0))),"",IF('Your debts'!$D$20="Avalanche",'Avalanche workings'!$AR$79,'Snowball workings'!$AR$79))</f>
      </c>
      <c r="L77" s="29">
        <f>IF(OR(72&gt;$Z$1,NOT(OR('Your debts'!$B$9&lt;&gt;"",N('Your debts'!$C$9)&gt;0))),"",IF('Your debts'!$D$20="Avalanche",'Avalanche workings'!$O$79,'Snowball workings'!$O$79)+IF('Your debts'!$D$20="Avalanche",'Avalanche workings'!$AI$79,'Snowball workings'!$AI$79))</f>
      </c>
      <c r="M77" s="30">
        <f>IF(OR(72&gt;$Z$1,NOT(OR('Your debts'!$B$9&lt;&gt;"",N('Your debts'!$C$9)&gt;0))),"",IF('Your debts'!$D$20="Avalanche",'Avalanche workings'!$AS$79,'Snowball workings'!$AS$79))</f>
      </c>
      <c r="N77" s="29">
        <f>IF(OR(72&gt;$Z$1,NOT(OR('Your debts'!$B$10&lt;&gt;"",N('Your debts'!$C$10)&gt;0))),"",IF('Your debts'!$D$20="Avalanche",'Avalanche workings'!$P$79,'Snowball workings'!$P$79)+IF('Your debts'!$D$20="Avalanche",'Avalanche workings'!$AJ$79,'Snowball workings'!$AJ$79))</f>
      </c>
      <c r="O77" s="30">
        <f>IF(OR(72&gt;$Z$1,NOT(OR('Your debts'!$B$10&lt;&gt;"",N('Your debts'!$C$10)&gt;0))),"",IF('Your debts'!$D$20="Avalanche",'Avalanche workings'!$AT$79,'Snowball workings'!$AT$79))</f>
      </c>
      <c r="P77" s="29">
        <f>IF(OR(72&gt;$Z$1,NOT(OR('Your debts'!$B$11&lt;&gt;"",N('Your debts'!$C$11)&gt;0))),"",IF('Your debts'!$D$20="Avalanche",'Avalanche workings'!$Q$79,'Snowball workings'!$Q$79)+IF('Your debts'!$D$20="Avalanche",'Avalanche workings'!$AK$79,'Snowball workings'!$AK$79))</f>
      </c>
      <c r="Q77" s="30">
        <f>IF(OR(72&gt;$Z$1,NOT(OR('Your debts'!$B$11&lt;&gt;"",N('Your debts'!$C$11)&gt;0))),"",IF('Your debts'!$D$20="Avalanche",'Avalanche workings'!$AU$79,'Snowball workings'!$AU$79))</f>
      </c>
      <c r="R77" s="29">
        <f>IF(OR(72&gt;$Z$1,NOT(OR('Your debts'!$B$12&lt;&gt;"",N('Your debts'!$C$12)&gt;0))),"",IF('Your debts'!$D$20="Avalanche",'Avalanche workings'!$R$79,'Snowball workings'!$R$79)+IF('Your debts'!$D$20="Avalanche",'Avalanche workings'!$AL$79,'Snowball workings'!$AL$79))</f>
      </c>
      <c r="S77" s="30">
        <f>IF(OR(72&gt;$Z$1,NOT(OR('Your debts'!$B$12&lt;&gt;"",N('Your debts'!$C$12)&gt;0))),"",IF('Your debts'!$D$20="Avalanche",'Avalanche workings'!$AV$79,'Snowball workings'!$AV$79))</f>
      </c>
      <c r="T77" s="29">
        <f>IF(OR(72&gt;$Z$1,NOT(OR('Your debts'!$B$13&lt;&gt;"",N('Your debts'!$C$13)&gt;0))),"",IF('Your debts'!$D$20="Avalanche",'Avalanche workings'!$S$79,'Snowball workings'!$S$79)+IF('Your debts'!$D$20="Avalanche",'Avalanche workings'!$AM$79,'Snowball workings'!$AM$79))</f>
      </c>
      <c r="U77" s="30">
        <f>IF(OR(72&gt;$Z$1,NOT(OR('Your debts'!$B$13&lt;&gt;"",N('Your debts'!$C$13)&gt;0))),"",IF('Your debts'!$D$20="Avalanche",'Avalanche workings'!$AW$79,'Snowball workings'!$AW$79))</f>
      </c>
      <c r="V77" s="29">
        <f>IF(OR(72&gt;$Z$1,NOT(OR('Your debts'!$B$14&lt;&gt;"",N('Your debts'!$C$14)&gt;0))),"",IF('Your debts'!$D$20="Avalanche",'Avalanche workings'!$T$79,'Snowball workings'!$T$79)+IF('Your debts'!$D$20="Avalanche",'Avalanche workings'!$AN$79,'Snowball workings'!$AN$79))</f>
      </c>
      <c r="W77" s="30">
        <f>IF(OR(72&gt;$Z$1,NOT(OR('Your debts'!$B$14&lt;&gt;"",N('Your debts'!$C$14)&gt;0))),"",IF('Your debts'!$D$20="Avalanche",'Avalanche workings'!$AX$79,'Snowball workings'!$AX$79))</f>
      </c>
      <c r="X77" s="29">
        <f>IF(OR(72&gt;$Z$1,NOT(OR('Your debts'!$B$15&lt;&gt;"",N('Your debts'!$C$15)&gt;0))),"",IF('Your debts'!$D$20="Avalanche",'Avalanche workings'!$U$79,'Snowball workings'!$U$79)+IF('Your debts'!$D$20="Avalanche",'Avalanche workings'!$AO$79,'Snowball workings'!$AO$79))</f>
      </c>
      <c r="Y77" s="30">
        <f>IF(OR(72&gt;$Z$1,NOT(OR('Your debts'!$B$15&lt;&gt;"",N('Your debts'!$C$15)&gt;0))),"",IF('Your debts'!$D$20="Avalanche",'Avalanche workings'!$AY$79,'Snowball workings'!$AY$79))</f>
      </c>
    </row>
    <row r="78" spans="1:25" x14ac:dyDescent="0.25">
      <c r="A78" s="2">
        <f>IF(73&gt;$Z$1,"",73)</f>
      </c>
      <c r="B78" s="28">
        <f>IF(73&gt;$Z$1,"",EDATE('Your debts'!$D$21,72))</f>
      </c>
      <c r="C78" s="29">
        <f>IF(73&gt;$Z$1,"",IF('Your debts'!$D$20="Avalanche",'Avalanche workings'!$BC$80,'Snowball workings'!$BC$80))</f>
      </c>
      <c r="D78" s="29">
        <f>IF(73&gt;$Z$1,"",IF('Your debts'!$D$20="Avalanche",'Avalanche workings'!$BA$80,'Snowball workings'!$BA$80))</f>
      </c>
      <c r="E78" s="29">
        <f>IF(73&gt;$Z$1,"",IF('Your debts'!$D$20="Avalanche",'Avalanche workings'!$BB$80,'Snowball workings'!$BB$80))</f>
      </c>
      <c r="F78" s="29">
        <f>IF(OR(73&gt;$Z$1,NOT(OR('Your debts'!$B$6&lt;&gt;"",N('Your debts'!$C$6)&gt;0))),"",IF('Your debts'!$D$20="Avalanche",'Avalanche workings'!$L$80,'Snowball workings'!$L$80)+IF('Your debts'!$D$20="Avalanche",'Avalanche workings'!$AF$80,'Snowball workings'!$AF$80))</f>
      </c>
      <c r="G78" s="30">
        <f>IF(OR(73&gt;$Z$1,NOT(OR('Your debts'!$B$6&lt;&gt;"",N('Your debts'!$C$6)&gt;0))),"",IF('Your debts'!$D$20="Avalanche",'Avalanche workings'!$AP$80,'Snowball workings'!$AP$80))</f>
      </c>
      <c r="H78" s="29">
        <f>IF(OR(73&gt;$Z$1,NOT(OR('Your debts'!$B$7&lt;&gt;"",N('Your debts'!$C$7)&gt;0))),"",IF('Your debts'!$D$20="Avalanche",'Avalanche workings'!$M$80,'Snowball workings'!$M$80)+IF('Your debts'!$D$20="Avalanche",'Avalanche workings'!$AG$80,'Snowball workings'!$AG$80))</f>
      </c>
      <c r="I78" s="30">
        <f>IF(OR(73&gt;$Z$1,NOT(OR('Your debts'!$B$7&lt;&gt;"",N('Your debts'!$C$7)&gt;0))),"",IF('Your debts'!$D$20="Avalanche",'Avalanche workings'!$AQ$80,'Snowball workings'!$AQ$80))</f>
      </c>
      <c r="J78" s="29">
        <f>IF(OR(73&gt;$Z$1,NOT(OR('Your debts'!$B$8&lt;&gt;"",N('Your debts'!$C$8)&gt;0))),"",IF('Your debts'!$D$20="Avalanche",'Avalanche workings'!$N$80,'Snowball workings'!$N$80)+IF('Your debts'!$D$20="Avalanche",'Avalanche workings'!$AH$80,'Snowball workings'!$AH$80))</f>
      </c>
      <c r="K78" s="30">
        <f>IF(OR(73&gt;$Z$1,NOT(OR('Your debts'!$B$8&lt;&gt;"",N('Your debts'!$C$8)&gt;0))),"",IF('Your debts'!$D$20="Avalanche",'Avalanche workings'!$AR$80,'Snowball workings'!$AR$80))</f>
      </c>
      <c r="L78" s="29">
        <f>IF(OR(73&gt;$Z$1,NOT(OR('Your debts'!$B$9&lt;&gt;"",N('Your debts'!$C$9)&gt;0))),"",IF('Your debts'!$D$20="Avalanche",'Avalanche workings'!$O$80,'Snowball workings'!$O$80)+IF('Your debts'!$D$20="Avalanche",'Avalanche workings'!$AI$80,'Snowball workings'!$AI$80))</f>
      </c>
      <c r="M78" s="30">
        <f>IF(OR(73&gt;$Z$1,NOT(OR('Your debts'!$B$9&lt;&gt;"",N('Your debts'!$C$9)&gt;0))),"",IF('Your debts'!$D$20="Avalanche",'Avalanche workings'!$AS$80,'Snowball workings'!$AS$80))</f>
      </c>
      <c r="N78" s="29">
        <f>IF(OR(73&gt;$Z$1,NOT(OR('Your debts'!$B$10&lt;&gt;"",N('Your debts'!$C$10)&gt;0))),"",IF('Your debts'!$D$20="Avalanche",'Avalanche workings'!$P$80,'Snowball workings'!$P$80)+IF('Your debts'!$D$20="Avalanche",'Avalanche workings'!$AJ$80,'Snowball workings'!$AJ$80))</f>
      </c>
      <c r="O78" s="30">
        <f>IF(OR(73&gt;$Z$1,NOT(OR('Your debts'!$B$10&lt;&gt;"",N('Your debts'!$C$10)&gt;0))),"",IF('Your debts'!$D$20="Avalanche",'Avalanche workings'!$AT$80,'Snowball workings'!$AT$80))</f>
      </c>
      <c r="P78" s="29">
        <f>IF(OR(73&gt;$Z$1,NOT(OR('Your debts'!$B$11&lt;&gt;"",N('Your debts'!$C$11)&gt;0))),"",IF('Your debts'!$D$20="Avalanche",'Avalanche workings'!$Q$80,'Snowball workings'!$Q$80)+IF('Your debts'!$D$20="Avalanche",'Avalanche workings'!$AK$80,'Snowball workings'!$AK$80))</f>
      </c>
      <c r="Q78" s="30">
        <f>IF(OR(73&gt;$Z$1,NOT(OR('Your debts'!$B$11&lt;&gt;"",N('Your debts'!$C$11)&gt;0))),"",IF('Your debts'!$D$20="Avalanche",'Avalanche workings'!$AU$80,'Snowball workings'!$AU$80))</f>
      </c>
      <c r="R78" s="29">
        <f>IF(OR(73&gt;$Z$1,NOT(OR('Your debts'!$B$12&lt;&gt;"",N('Your debts'!$C$12)&gt;0))),"",IF('Your debts'!$D$20="Avalanche",'Avalanche workings'!$R$80,'Snowball workings'!$R$80)+IF('Your debts'!$D$20="Avalanche",'Avalanche workings'!$AL$80,'Snowball workings'!$AL$80))</f>
      </c>
      <c r="S78" s="30">
        <f>IF(OR(73&gt;$Z$1,NOT(OR('Your debts'!$B$12&lt;&gt;"",N('Your debts'!$C$12)&gt;0))),"",IF('Your debts'!$D$20="Avalanche",'Avalanche workings'!$AV$80,'Snowball workings'!$AV$80))</f>
      </c>
      <c r="T78" s="29">
        <f>IF(OR(73&gt;$Z$1,NOT(OR('Your debts'!$B$13&lt;&gt;"",N('Your debts'!$C$13)&gt;0))),"",IF('Your debts'!$D$20="Avalanche",'Avalanche workings'!$S$80,'Snowball workings'!$S$80)+IF('Your debts'!$D$20="Avalanche",'Avalanche workings'!$AM$80,'Snowball workings'!$AM$80))</f>
      </c>
      <c r="U78" s="30">
        <f>IF(OR(73&gt;$Z$1,NOT(OR('Your debts'!$B$13&lt;&gt;"",N('Your debts'!$C$13)&gt;0))),"",IF('Your debts'!$D$20="Avalanche",'Avalanche workings'!$AW$80,'Snowball workings'!$AW$80))</f>
      </c>
      <c r="V78" s="29">
        <f>IF(OR(73&gt;$Z$1,NOT(OR('Your debts'!$B$14&lt;&gt;"",N('Your debts'!$C$14)&gt;0))),"",IF('Your debts'!$D$20="Avalanche",'Avalanche workings'!$T$80,'Snowball workings'!$T$80)+IF('Your debts'!$D$20="Avalanche",'Avalanche workings'!$AN$80,'Snowball workings'!$AN$80))</f>
      </c>
      <c r="W78" s="30">
        <f>IF(OR(73&gt;$Z$1,NOT(OR('Your debts'!$B$14&lt;&gt;"",N('Your debts'!$C$14)&gt;0))),"",IF('Your debts'!$D$20="Avalanche",'Avalanche workings'!$AX$80,'Snowball workings'!$AX$80))</f>
      </c>
      <c r="X78" s="29">
        <f>IF(OR(73&gt;$Z$1,NOT(OR('Your debts'!$B$15&lt;&gt;"",N('Your debts'!$C$15)&gt;0))),"",IF('Your debts'!$D$20="Avalanche",'Avalanche workings'!$U$80,'Snowball workings'!$U$80)+IF('Your debts'!$D$20="Avalanche",'Avalanche workings'!$AO$80,'Snowball workings'!$AO$80))</f>
      </c>
      <c r="Y78" s="30">
        <f>IF(OR(73&gt;$Z$1,NOT(OR('Your debts'!$B$15&lt;&gt;"",N('Your debts'!$C$15)&gt;0))),"",IF('Your debts'!$D$20="Avalanche",'Avalanche workings'!$AY$80,'Snowball workings'!$AY$80))</f>
      </c>
    </row>
    <row r="79" spans="1:25" x14ac:dyDescent="0.25">
      <c r="A79" s="2">
        <f>IF(74&gt;$Z$1,"",74)</f>
      </c>
      <c r="B79" s="28">
        <f>IF(74&gt;$Z$1,"",EDATE('Your debts'!$D$21,73))</f>
      </c>
      <c r="C79" s="29">
        <f>IF(74&gt;$Z$1,"",IF('Your debts'!$D$20="Avalanche",'Avalanche workings'!$BC$81,'Snowball workings'!$BC$81))</f>
      </c>
      <c r="D79" s="29">
        <f>IF(74&gt;$Z$1,"",IF('Your debts'!$D$20="Avalanche",'Avalanche workings'!$BA$81,'Snowball workings'!$BA$81))</f>
      </c>
      <c r="E79" s="29">
        <f>IF(74&gt;$Z$1,"",IF('Your debts'!$D$20="Avalanche",'Avalanche workings'!$BB$81,'Snowball workings'!$BB$81))</f>
      </c>
      <c r="F79" s="29">
        <f>IF(OR(74&gt;$Z$1,NOT(OR('Your debts'!$B$6&lt;&gt;"",N('Your debts'!$C$6)&gt;0))),"",IF('Your debts'!$D$20="Avalanche",'Avalanche workings'!$L$81,'Snowball workings'!$L$81)+IF('Your debts'!$D$20="Avalanche",'Avalanche workings'!$AF$81,'Snowball workings'!$AF$81))</f>
      </c>
      <c r="G79" s="30">
        <f>IF(OR(74&gt;$Z$1,NOT(OR('Your debts'!$B$6&lt;&gt;"",N('Your debts'!$C$6)&gt;0))),"",IF('Your debts'!$D$20="Avalanche",'Avalanche workings'!$AP$81,'Snowball workings'!$AP$81))</f>
      </c>
      <c r="H79" s="29">
        <f>IF(OR(74&gt;$Z$1,NOT(OR('Your debts'!$B$7&lt;&gt;"",N('Your debts'!$C$7)&gt;0))),"",IF('Your debts'!$D$20="Avalanche",'Avalanche workings'!$M$81,'Snowball workings'!$M$81)+IF('Your debts'!$D$20="Avalanche",'Avalanche workings'!$AG$81,'Snowball workings'!$AG$81))</f>
      </c>
      <c r="I79" s="30">
        <f>IF(OR(74&gt;$Z$1,NOT(OR('Your debts'!$B$7&lt;&gt;"",N('Your debts'!$C$7)&gt;0))),"",IF('Your debts'!$D$20="Avalanche",'Avalanche workings'!$AQ$81,'Snowball workings'!$AQ$81))</f>
      </c>
      <c r="J79" s="29">
        <f>IF(OR(74&gt;$Z$1,NOT(OR('Your debts'!$B$8&lt;&gt;"",N('Your debts'!$C$8)&gt;0))),"",IF('Your debts'!$D$20="Avalanche",'Avalanche workings'!$N$81,'Snowball workings'!$N$81)+IF('Your debts'!$D$20="Avalanche",'Avalanche workings'!$AH$81,'Snowball workings'!$AH$81))</f>
      </c>
      <c r="K79" s="30">
        <f>IF(OR(74&gt;$Z$1,NOT(OR('Your debts'!$B$8&lt;&gt;"",N('Your debts'!$C$8)&gt;0))),"",IF('Your debts'!$D$20="Avalanche",'Avalanche workings'!$AR$81,'Snowball workings'!$AR$81))</f>
      </c>
      <c r="L79" s="29">
        <f>IF(OR(74&gt;$Z$1,NOT(OR('Your debts'!$B$9&lt;&gt;"",N('Your debts'!$C$9)&gt;0))),"",IF('Your debts'!$D$20="Avalanche",'Avalanche workings'!$O$81,'Snowball workings'!$O$81)+IF('Your debts'!$D$20="Avalanche",'Avalanche workings'!$AI$81,'Snowball workings'!$AI$81))</f>
      </c>
      <c r="M79" s="30">
        <f>IF(OR(74&gt;$Z$1,NOT(OR('Your debts'!$B$9&lt;&gt;"",N('Your debts'!$C$9)&gt;0))),"",IF('Your debts'!$D$20="Avalanche",'Avalanche workings'!$AS$81,'Snowball workings'!$AS$81))</f>
      </c>
      <c r="N79" s="29">
        <f>IF(OR(74&gt;$Z$1,NOT(OR('Your debts'!$B$10&lt;&gt;"",N('Your debts'!$C$10)&gt;0))),"",IF('Your debts'!$D$20="Avalanche",'Avalanche workings'!$P$81,'Snowball workings'!$P$81)+IF('Your debts'!$D$20="Avalanche",'Avalanche workings'!$AJ$81,'Snowball workings'!$AJ$81))</f>
      </c>
      <c r="O79" s="30">
        <f>IF(OR(74&gt;$Z$1,NOT(OR('Your debts'!$B$10&lt;&gt;"",N('Your debts'!$C$10)&gt;0))),"",IF('Your debts'!$D$20="Avalanche",'Avalanche workings'!$AT$81,'Snowball workings'!$AT$81))</f>
      </c>
      <c r="P79" s="29">
        <f>IF(OR(74&gt;$Z$1,NOT(OR('Your debts'!$B$11&lt;&gt;"",N('Your debts'!$C$11)&gt;0))),"",IF('Your debts'!$D$20="Avalanche",'Avalanche workings'!$Q$81,'Snowball workings'!$Q$81)+IF('Your debts'!$D$20="Avalanche",'Avalanche workings'!$AK$81,'Snowball workings'!$AK$81))</f>
      </c>
      <c r="Q79" s="30">
        <f>IF(OR(74&gt;$Z$1,NOT(OR('Your debts'!$B$11&lt;&gt;"",N('Your debts'!$C$11)&gt;0))),"",IF('Your debts'!$D$20="Avalanche",'Avalanche workings'!$AU$81,'Snowball workings'!$AU$81))</f>
      </c>
      <c r="R79" s="29">
        <f>IF(OR(74&gt;$Z$1,NOT(OR('Your debts'!$B$12&lt;&gt;"",N('Your debts'!$C$12)&gt;0))),"",IF('Your debts'!$D$20="Avalanche",'Avalanche workings'!$R$81,'Snowball workings'!$R$81)+IF('Your debts'!$D$20="Avalanche",'Avalanche workings'!$AL$81,'Snowball workings'!$AL$81))</f>
      </c>
      <c r="S79" s="30">
        <f>IF(OR(74&gt;$Z$1,NOT(OR('Your debts'!$B$12&lt;&gt;"",N('Your debts'!$C$12)&gt;0))),"",IF('Your debts'!$D$20="Avalanche",'Avalanche workings'!$AV$81,'Snowball workings'!$AV$81))</f>
      </c>
      <c r="T79" s="29">
        <f>IF(OR(74&gt;$Z$1,NOT(OR('Your debts'!$B$13&lt;&gt;"",N('Your debts'!$C$13)&gt;0))),"",IF('Your debts'!$D$20="Avalanche",'Avalanche workings'!$S$81,'Snowball workings'!$S$81)+IF('Your debts'!$D$20="Avalanche",'Avalanche workings'!$AM$81,'Snowball workings'!$AM$81))</f>
      </c>
      <c r="U79" s="30">
        <f>IF(OR(74&gt;$Z$1,NOT(OR('Your debts'!$B$13&lt;&gt;"",N('Your debts'!$C$13)&gt;0))),"",IF('Your debts'!$D$20="Avalanche",'Avalanche workings'!$AW$81,'Snowball workings'!$AW$81))</f>
      </c>
      <c r="V79" s="29">
        <f>IF(OR(74&gt;$Z$1,NOT(OR('Your debts'!$B$14&lt;&gt;"",N('Your debts'!$C$14)&gt;0))),"",IF('Your debts'!$D$20="Avalanche",'Avalanche workings'!$T$81,'Snowball workings'!$T$81)+IF('Your debts'!$D$20="Avalanche",'Avalanche workings'!$AN$81,'Snowball workings'!$AN$81))</f>
      </c>
      <c r="W79" s="30">
        <f>IF(OR(74&gt;$Z$1,NOT(OR('Your debts'!$B$14&lt;&gt;"",N('Your debts'!$C$14)&gt;0))),"",IF('Your debts'!$D$20="Avalanche",'Avalanche workings'!$AX$81,'Snowball workings'!$AX$81))</f>
      </c>
      <c r="X79" s="29">
        <f>IF(OR(74&gt;$Z$1,NOT(OR('Your debts'!$B$15&lt;&gt;"",N('Your debts'!$C$15)&gt;0))),"",IF('Your debts'!$D$20="Avalanche",'Avalanche workings'!$U$81,'Snowball workings'!$U$81)+IF('Your debts'!$D$20="Avalanche",'Avalanche workings'!$AO$81,'Snowball workings'!$AO$81))</f>
      </c>
      <c r="Y79" s="30">
        <f>IF(OR(74&gt;$Z$1,NOT(OR('Your debts'!$B$15&lt;&gt;"",N('Your debts'!$C$15)&gt;0))),"",IF('Your debts'!$D$20="Avalanche",'Avalanche workings'!$AY$81,'Snowball workings'!$AY$81))</f>
      </c>
    </row>
    <row r="80" spans="1:25" x14ac:dyDescent="0.25">
      <c r="A80" s="2">
        <f>IF(75&gt;$Z$1,"",75)</f>
      </c>
      <c r="B80" s="28">
        <f>IF(75&gt;$Z$1,"",EDATE('Your debts'!$D$21,74))</f>
      </c>
      <c r="C80" s="29">
        <f>IF(75&gt;$Z$1,"",IF('Your debts'!$D$20="Avalanche",'Avalanche workings'!$BC$82,'Snowball workings'!$BC$82))</f>
      </c>
      <c r="D80" s="29">
        <f>IF(75&gt;$Z$1,"",IF('Your debts'!$D$20="Avalanche",'Avalanche workings'!$BA$82,'Snowball workings'!$BA$82))</f>
      </c>
      <c r="E80" s="29">
        <f>IF(75&gt;$Z$1,"",IF('Your debts'!$D$20="Avalanche",'Avalanche workings'!$BB$82,'Snowball workings'!$BB$82))</f>
      </c>
      <c r="F80" s="29">
        <f>IF(OR(75&gt;$Z$1,NOT(OR('Your debts'!$B$6&lt;&gt;"",N('Your debts'!$C$6)&gt;0))),"",IF('Your debts'!$D$20="Avalanche",'Avalanche workings'!$L$82,'Snowball workings'!$L$82)+IF('Your debts'!$D$20="Avalanche",'Avalanche workings'!$AF$82,'Snowball workings'!$AF$82))</f>
      </c>
      <c r="G80" s="30">
        <f>IF(OR(75&gt;$Z$1,NOT(OR('Your debts'!$B$6&lt;&gt;"",N('Your debts'!$C$6)&gt;0))),"",IF('Your debts'!$D$20="Avalanche",'Avalanche workings'!$AP$82,'Snowball workings'!$AP$82))</f>
      </c>
      <c r="H80" s="29">
        <f>IF(OR(75&gt;$Z$1,NOT(OR('Your debts'!$B$7&lt;&gt;"",N('Your debts'!$C$7)&gt;0))),"",IF('Your debts'!$D$20="Avalanche",'Avalanche workings'!$M$82,'Snowball workings'!$M$82)+IF('Your debts'!$D$20="Avalanche",'Avalanche workings'!$AG$82,'Snowball workings'!$AG$82))</f>
      </c>
      <c r="I80" s="30">
        <f>IF(OR(75&gt;$Z$1,NOT(OR('Your debts'!$B$7&lt;&gt;"",N('Your debts'!$C$7)&gt;0))),"",IF('Your debts'!$D$20="Avalanche",'Avalanche workings'!$AQ$82,'Snowball workings'!$AQ$82))</f>
      </c>
      <c r="J80" s="29">
        <f>IF(OR(75&gt;$Z$1,NOT(OR('Your debts'!$B$8&lt;&gt;"",N('Your debts'!$C$8)&gt;0))),"",IF('Your debts'!$D$20="Avalanche",'Avalanche workings'!$N$82,'Snowball workings'!$N$82)+IF('Your debts'!$D$20="Avalanche",'Avalanche workings'!$AH$82,'Snowball workings'!$AH$82))</f>
      </c>
      <c r="K80" s="30">
        <f>IF(OR(75&gt;$Z$1,NOT(OR('Your debts'!$B$8&lt;&gt;"",N('Your debts'!$C$8)&gt;0))),"",IF('Your debts'!$D$20="Avalanche",'Avalanche workings'!$AR$82,'Snowball workings'!$AR$82))</f>
      </c>
      <c r="L80" s="29">
        <f>IF(OR(75&gt;$Z$1,NOT(OR('Your debts'!$B$9&lt;&gt;"",N('Your debts'!$C$9)&gt;0))),"",IF('Your debts'!$D$20="Avalanche",'Avalanche workings'!$O$82,'Snowball workings'!$O$82)+IF('Your debts'!$D$20="Avalanche",'Avalanche workings'!$AI$82,'Snowball workings'!$AI$82))</f>
      </c>
      <c r="M80" s="30">
        <f>IF(OR(75&gt;$Z$1,NOT(OR('Your debts'!$B$9&lt;&gt;"",N('Your debts'!$C$9)&gt;0))),"",IF('Your debts'!$D$20="Avalanche",'Avalanche workings'!$AS$82,'Snowball workings'!$AS$82))</f>
      </c>
      <c r="N80" s="29">
        <f>IF(OR(75&gt;$Z$1,NOT(OR('Your debts'!$B$10&lt;&gt;"",N('Your debts'!$C$10)&gt;0))),"",IF('Your debts'!$D$20="Avalanche",'Avalanche workings'!$P$82,'Snowball workings'!$P$82)+IF('Your debts'!$D$20="Avalanche",'Avalanche workings'!$AJ$82,'Snowball workings'!$AJ$82))</f>
      </c>
      <c r="O80" s="30">
        <f>IF(OR(75&gt;$Z$1,NOT(OR('Your debts'!$B$10&lt;&gt;"",N('Your debts'!$C$10)&gt;0))),"",IF('Your debts'!$D$20="Avalanche",'Avalanche workings'!$AT$82,'Snowball workings'!$AT$82))</f>
      </c>
      <c r="P80" s="29">
        <f>IF(OR(75&gt;$Z$1,NOT(OR('Your debts'!$B$11&lt;&gt;"",N('Your debts'!$C$11)&gt;0))),"",IF('Your debts'!$D$20="Avalanche",'Avalanche workings'!$Q$82,'Snowball workings'!$Q$82)+IF('Your debts'!$D$20="Avalanche",'Avalanche workings'!$AK$82,'Snowball workings'!$AK$82))</f>
      </c>
      <c r="Q80" s="30">
        <f>IF(OR(75&gt;$Z$1,NOT(OR('Your debts'!$B$11&lt;&gt;"",N('Your debts'!$C$11)&gt;0))),"",IF('Your debts'!$D$20="Avalanche",'Avalanche workings'!$AU$82,'Snowball workings'!$AU$82))</f>
      </c>
      <c r="R80" s="29">
        <f>IF(OR(75&gt;$Z$1,NOT(OR('Your debts'!$B$12&lt;&gt;"",N('Your debts'!$C$12)&gt;0))),"",IF('Your debts'!$D$20="Avalanche",'Avalanche workings'!$R$82,'Snowball workings'!$R$82)+IF('Your debts'!$D$20="Avalanche",'Avalanche workings'!$AL$82,'Snowball workings'!$AL$82))</f>
      </c>
      <c r="S80" s="30">
        <f>IF(OR(75&gt;$Z$1,NOT(OR('Your debts'!$B$12&lt;&gt;"",N('Your debts'!$C$12)&gt;0))),"",IF('Your debts'!$D$20="Avalanche",'Avalanche workings'!$AV$82,'Snowball workings'!$AV$82))</f>
      </c>
      <c r="T80" s="29">
        <f>IF(OR(75&gt;$Z$1,NOT(OR('Your debts'!$B$13&lt;&gt;"",N('Your debts'!$C$13)&gt;0))),"",IF('Your debts'!$D$20="Avalanche",'Avalanche workings'!$S$82,'Snowball workings'!$S$82)+IF('Your debts'!$D$20="Avalanche",'Avalanche workings'!$AM$82,'Snowball workings'!$AM$82))</f>
      </c>
      <c r="U80" s="30">
        <f>IF(OR(75&gt;$Z$1,NOT(OR('Your debts'!$B$13&lt;&gt;"",N('Your debts'!$C$13)&gt;0))),"",IF('Your debts'!$D$20="Avalanche",'Avalanche workings'!$AW$82,'Snowball workings'!$AW$82))</f>
      </c>
      <c r="V80" s="29">
        <f>IF(OR(75&gt;$Z$1,NOT(OR('Your debts'!$B$14&lt;&gt;"",N('Your debts'!$C$14)&gt;0))),"",IF('Your debts'!$D$20="Avalanche",'Avalanche workings'!$T$82,'Snowball workings'!$T$82)+IF('Your debts'!$D$20="Avalanche",'Avalanche workings'!$AN$82,'Snowball workings'!$AN$82))</f>
      </c>
      <c r="W80" s="30">
        <f>IF(OR(75&gt;$Z$1,NOT(OR('Your debts'!$B$14&lt;&gt;"",N('Your debts'!$C$14)&gt;0))),"",IF('Your debts'!$D$20="Avalanche",'Avalanche workings'!$AX$82,'Snowball workings'!$AX$82))</f>
      </c>
      <c r="X80" s="29">
        <f>IF(OR(75&gt;$Z$1,NOT(OR('Your debts'!$B$15&lt;&gt;"",N('Your debts'!$C$15)&gt;0))),"",IF('Your debts'!$D$20="Avalanche",'Avalanche workings'!$U$82,'Snowball workings'!$U$82)+IF('Your debts'!$D$20="Avalanche",'Avalanche workings'!$AO$82,'Snowball workings'!$AO$82))</f>
      </c>
      <c r="Y80" s="30">
        <f>IF(OR(75&gt;$Z$1,NOT(OR('Your debts'!$B$15&lt;&gt;"",N('Your debts'!$C$15)&gt;0))),"",IF('Your debts'!$D$20="Avalanche",'Avalanche workings'!$AY$82,'Snowball workings'!$AY$82))</f>
      </c>
    </row>
    <row r="81" spans="1:25" x14ac:dyDescent="0.25">
      <c r="A81" s="2">
        <f>IF(76&gt;$Z$1,"",76)</f>
      </c>
      <c r="B81" s="28">
        <f>IF(76&gt;$Z$1,"",EDATE('Your debts'!$D$21,75))</f>
      </c>
      <c r="C81" s="29">
        <f>IF(76&gt;$Z$1,"",IF('Your debts'!$D$20="Avalanche",'Avalanche workings'!$BC$83,'Snowball workings'!$BC$83))</f>
      </c>
      <c r="D81" s="29">
        <f>IF(76&gt;$Z$1,"",IF('Your debts'!$D$20="Avalanche",'Avalanche workings'!$BA$83,'Snowball workings'!$BA$83))</f>
      </c>
      <c r="E81" s="29">
        <f>IF(76&gt;$Z$1,"",IF('Your debts'!$D$20="Avalanche",'Avalanche workings'!$BB$83,'Snowball workings'!$BB$83))</f>
      </c>
      <c r="F81" s="29">
        <f>IF(OR(76&gt;$Z$1,NOT(OR('Your debts'!$B$6&lt;&gt;"",N('Your debts'!$C$6)&gt;0))),"",IF('Your debts'!$D$20="Avalanche",'Avalanche workings'!$L$83,'Snowball workings'!$L$83)+IF('Your debts'!$D$20="Avalanche",'Avalanche workings'!$AF$83,'Snowball workings'!$AF$83))</f>
      </c>
      <c r="G81" s="30">
        <f>IF(OR(76&gt;$Z$1,NOT(OR('Your debts'!$B$6&lt;&gt;"",N('Your debts'!$C$6)&gt;0))),"",IF('Your debts'!$D$20="Avalanche",'Avalanche workings'!$AP$83,'Snowball workings'!$AP$83))</f>
      </c>
      <c r="H81" s="29">
        <f>IF(OR(76&gt;$Z$1,NOT(OR('Your debts'!$B$7&lt;&gt;"",N('Your debts'!$C$7)&gt;0))),"",IF('Your debts'!$D$20="Avalanche",'Avalanche workings'!$M$83,'Snowball workings'!$M$83)+IF('Your debts'!$D$20="Avalanche",'Avalanche workings'!$AG$83,'Snowball workings'!$AG$83))</f>
      </c>
      <c r="I81" s="30">
        <f>IF(OR(76&gt;$Z$1,NOT(OR('Your debts'!$B$7&lt;&gt;"",N('Your debts'!$C$7)&gt;0))),"",IF('Your debts'!$D$20="Avalanche",'Avalanche workings'!$AQ$83,'Snowball workings'!$AQ$83))</f>
      </c>
      <c r="J81" s="29">
        <f>IF(OR(76&gt;$Z$1,NOT(OR('Your debts'!$B$8&lt;&gt;"",N('Your debts'!$C$8)&gt;0))),"",IF('Your debts'!$D$20="Avalanche",'Avalanche workings'!$N$83,'Snowball workings'!$N$83)+IF('Your debts'!$D$20="Avalanche",'Avalanche workings'!$AH$83,'Snowball workings'!$AH$83))</f>
      </c>
      <c r="K81" s="30">
        <f>IF(OR(76&gt;$Z$1,NOT(OR('Your debts'!$B$8&lt;&gt;"",N('Your debts'!$C$8)&gt;0))),"",IF('Your debts'!$D$20="Avalanche",'Avalanche workings'!$AR$83,'Snowball workings'!$AR$83))</f>
      </c>
      <c r="L81" s="29">
        <f>IF(OR(76&gt;$Z$1,NOT(OR('Your debts'!$B$9&lt;&gt;"",N('Your debts'!$C$9)&gt;0))),"",IF('Your debts'!$D$20="Avalanche",'Avalanche workings'!$O$83,'Snowball workings'!$O$83)+IF('Your debts'!$D$20="Avalanche",'Avalanche workings'!$AI$83,'Snowball workings'!$AI$83))</f>
      </c>
      <c r="M81" s="30">
        <f>IF(OR(76&gt;$Z$1,NOT(OR('Your debts'!$B$9&lt;&gt;"",N('Your debts'!$C$9)&gt;0))),"",IF('Your debts'!$D$20="Avalanche",'Avalanche workings'!$AS$83,'Snowball workings'!$AS$83))</f>
      </c>
      <c r="N81" s="29">
        <f>IF(OR(76&gt;$Z$1,NOT(OR('Your debts'!$B$10&lt;&gt;"",N('Your debts'!$C$10)&gt;0))),"",IF('Your debts'!$D$20="Avalanche",'Avalanche workings'!$P$83,'Snowball workings'!$P$83)+IF('Your debts'!$D$20="Avalanche",'Avalanche workings'!$AJ$83,'Snowball workings'!$AJ$83))</f>
      </c>
      <c r="O81" s="30">
        <f>IF(OR(76&gt;$Z$1,NOT(OR('Your debts'!$B$10&lt;&gt;"",N('Your debts'!$C$10)&gt;0))),"",IF('Your debts'!$D$20="Avalanche",'Avalanche workings'!$AT$83,'Snowball workings'!$AT$83))</f>
      </c>
      <c r="P81" s="29">
        <f>IF(OR(76&gt;$Z$1,NOT(OR('Your debts'!$B$11&lt;&gt;"",N('Your debts'!$C$11)&gt;0))),"",IF('Your debts'!$D$20="Avalanche",'Avalanche workings'!$Q$83,'Snowball workings'!$Q$83)+IF('Your debts'!$D$20="Avalanche",'Avalanche workings'!$AK$83,'Snowball workings'!$AK$83))</f>
      </c>
      <c r="Q81" s="30">
        <f>IF(OR(76&gt;$Z$1,NOT(OR('Your debts'!$B$11&lt;&gt;"",N('Your debts'!$C$11)&gt;0))),"",IF('Your debts'!$D$20="Avalanche",'Avalanche workings'!$AU$83,'Snowball workings'!$AU$83))</f>
      </c>
      <c r="R81" s="29">
        <f>IF(OR(76&gt;$Z$1,NOT(OR('Your debts'!$B$12&lt;&gt;"",N('Your debts'!$C$12)&gt;0))),"",IF('Your debts'!$D$20="Avalanche",'Avalanche workings'!$R$83,'Snowball workings'!$R$83)+IF('Your debts'!$D$20="Avalanche",'Avalanche workings'!$AL$83,'Snowball workings'!$AL$83))</f>
      </c>
      <c r="S81" s="30">
        <f>IF(OR(76&gt;$Z$1,NOT(OR('Your debts'!$B$12&lt;&gt;"",N('Your debts'!$C$12)&gt;0))),"",IF('Your debts'!$D$20="Avalanche",'Avalanche workings'!$AV$83,'Snowball workings'!$AV$83))</f>
      </c>
      <c r="T81" s="29">
        <f>IF(OR(76&gt;$Z$1,NOT(OR('Your debts'!$B$13&lt;&gt;"",N('Your debts'!$C$13)&gt;0))),"",IF('Your debts'!$D$20="Avalanche",'Avalanche workings'!$S$83,'Snowball workings'!$S$83)+IF('Your debts'!$D$20="Avalanche",'Avalanche workings'!$AM$83,'Snowball workings'!$AM$83))</f>
      </c>
      <c r="U81" s="30">
        <f>IF(OR(76&gt;$Z$1,NOT(OR('Your debts'!$B$13&lt;&gt;"",N('Your debts'!$C$13)&gt;0))),"",IF('Your debts'!$D$20="Avalanche",'Avalanche workings'!$AW$83,'Snowball workings'!$AW$83))</f>
      </c>
      <c r="V81" s="29">
        <f>IF(OR(76&gt;$Z$1,NOT(OR('Your debts'!$B$14&lt;&gt;"",N('Your debts'!$C$14)&gt;0))),"",IF('Your debts'!$D$20="Avalanche",'Avalanche workings'!$T$83,'Snowball workings'!$T$83)+IF('Your debts'!$D$20="Avalanche",'Avalanche workings'!$AN$83,'Snowball workings'!$AN$83))</f>
      </c>
      <c r="W81" s="30">
        <f>IF(OR(76&gt;$Z$1,NOT(OR('Your debts'!$B$14&lt;&gt;"",N('Your debts'!$C$14)&gt;0))),"",IF('Your debts'!$D$20="Avalanche",'Avalanche workings'!$AX$83,'Snowball workings'!$AX$83))</f>
      </c>
      <c r="X81" s="29">
        <f>IF(OR(76&gt;$Z$1,NOT(OR('Your debts'!$B$15&lt;&gt;"",N('Your debts'!$C$15)&gt;0))),"",IF('Your debts'!$D$20="Avalanche",'Avalanche workings'!$U$83,'Snowball workings'!$U$83)+IF('Your debts'!$D$20="Avalanche",'Avalanche workings'!$AO$83,'Snowball workings'!$AO$83))</f>
      </c>
      <c r="Y81" s="30">
        <f>IF(OR(76&gt;$Z$1,NOT(OR('Your debts'!$B$15&lt;&gt;"",N('Your debts'!$C$15)&gt;0))),"",IF('Your debts'!$D$20="Avalanche",'Avalanche workings'!$AY$83,'Snowball workings'!$AY$83))</f>
      </c>
    </row>
    <row r="82" spans="1:25" x14ac:dyDescent="0.25">
      <c r="A82" s="2">
        <f>IF(77&gt;$Z$1,"",77)</f>
      </c>
      <c r="B82" s="28">
        <f>IF(77&gt;$Z$1,"",EDATE('Your debts'!$D$21,76))</f>
      </c>
      <c r="C82" s="29">
        <f>IF(77&gt;$Z$1,"",IF('Your debts'!$D$20="Avalanche",'Avalanche workings'!$BC$84,'Snowball workings'!$BC$84))</f>
      </c>
      <c r="D82" s="29">
        <f>IF(77&gt;$Z$1,"",IF('Your debts'!$D$20="Avalanche",'Avalanche workings'!$BA$84,'Snowball workings'!$BA$84))</f>
      </c>
      <c r="E82" s="29">
        <f>IF(77&gt;$Z$1,"",IF('Your debts'!$D$20="Avalanche",'Avalanche workings'!$BB$84,'Snowball workings'!$BB$84))</f>
      </c>
      <c r="F82" s="29">
        <f>IF(OR(77&gt;$Z$1,NOT(OR('Your debts'!$B$6&lt;&gt;"",N('Your debts'!$C$6)&gt;0))),"",IF('Your debts'!$D$20="Avalanche",'Avalanche workings'!$L$84,'Snowball workings'!$L$84)+IF('Your debts'!$D$20="Avalanche",'Avalanche workings'!$AF$84,'Snowball workings'!$AF$84))</f>
      </c>
      <c r="G82" s="30">
        <f>IF(OR(77&gt;$Z$1,NOT(OR('Your debts'!$B$6&lt;&gt;"",N('Your debts'!$C$6)&gt;0))),"",IF('Your debts'!$D$20="Avalanche",'Avalanche workings'!$AP$84,'Snowball workings'!$AP$84))</f>
      </c>
      <c r="H82" s="29">
        <f>IF(OR(77&gt;$Z$1,NOT(OR('Your debts'!$B$7&lt;&gt;"",N('Your debts'!$C$7)&gt;0))),"",IF('Your debts'!$D$20="Avalanche",'Avalanche workings'!$M$84,'Snowball workings'!$M$84)+IF('Your debts'!$D$20="Avalanche",'Avalanche workings'!$AG$84,'Snowball workings'!$AG$84))</f>
      </c>
      <c r="I82" s="30">
        <f>IF(OR(77&gt;$Z$1,NOT(OR('Your debts'!$B$7&lt;&gt;"",N('Your debts'!$C$7)&gt;0))),"",IF('Your debts'!$D$20="Avalanche",'Avalanche workings'!$AQ$84,'Snowball workings'!$AQ$84))</f>
      </c>
      <c r="J82" s="29">
        <f>IF(OR(77&gt;$Z$1,NOT(OR('Your debts'!$B$8&lt;&gt;"",N('Your debts'!$C$8)&gt;0))),"",IF('Your debts'!$D$20="Avalanche",'Avalanche workings'!$N$84,'Snowball workings'!$N$84)+IF('Your debts'!$D$20="Avalanche",'Avalanche workings'!$AH$84,'Snowball workings'!$AH$84))</f>
      </c>
      <c r="K82" s="30">
        <f>IF(OR(77&gt;$Z$1,NOT(OR('Your debts'!$B$8&lt;&gt;"",N('Your debts'!$C$8)&gt;0))),"",IF('Your debts'!$D$20="Avalanche",'Avalanche workings'!$AR$84,'Snowball workings'!$AR$84))</f>
      </c>
      <c r="L82" s="29">
        <f>IF(OR(77&gt;$Z$1,NOT(OR('Your debts'!$B$9&lt;&gt;"",N('Your debts'!$C$9)&gt;0))),"",IF('Your debts'!$D$20="Avalanche",'Avalanche workings'!$O$84,'Snowball workings'!$O$84)+IF('Your debts'!$D$20="Avalanche",'Avalanche workings'!$AI$84,'Snowball workings'!$AI$84))</f>
      </c>
      <c r="M82" s="30">
        <f>IF(OR(77&gt;$Z$1,NOT(OR('Your debts'!$B$9&lt;&gt;"",N('Your debts'!$C$9)&gt;0))),"",IF('Your debts'!$D$20="Avalanche",'Avalanche workings'!$AS$84,'Snowball workings'!$AS$84))</f>
      </c>
      <c r="N82" s="29">
        <f>IF(OR(77&gt;$Z$1,NOT(OR('Your debts'!$B$10&lt;&gt;"",N('Your debts'!$C$10)&gt;0))),"",IF('Your debts'!$D$20="Avalanche",'Avalanche workings'!$P$84,'Snowball workings'!$P$84)+IF('Your debts'!$D$20="Avalanche",'Avalanche workings'!$AJ$84,'Snowball workings'!$AJ$84))</f>
      </c>
      <c r="O82" s="30">
        <f>IF(OR(77&gt;$Z$1,NOT(OR('Your debts'!$B$10&lt;&gt;"",N('Your debts'!$C$10)&gt;0))),"",IF('Your debts'!$D$20="Avalanche",'Avalanche workings'!$AT$84,'Snowball workings'!$AT$84))</f>
      </c>
      <c r="P82" s="29">
        <f>IF(OR(77&gt;$Z$1,NOT(OR('Your debts'!$B$11&lt;&gt;"",N('Your debts'!$C$11)&gt;0))),"",IF('Your debts'!$D$20="Avalanche",'Avalanche workings'!$Q$84,'Snowball workings'!$Q$84)+IF('Your debts'!$D$20="Avalanche",'Avalanche workings'!$AK$84,'Snowball workings'!$AK$84))</f>
      </c>
      <c r="Q82" s="30">
        <f>IF(OR(77&gt;$Z$1,NOT(OR('Your debts'!$B$11&lt;&gt;"",N('Your debts'!$C$11)&gt;0))),"",IF('Your debts'!$D$20="Avalanche",'Avalanche workings'!$AU$84,'Snowball workings'!$AU$84))</f>
      </c>
      <c r="R82" s="29">
        <f>IF(OR(77&gt;$Z$1,NOT(OR('Your debts'!$B$12&lt;&gt;"",N('Your debts'!$C$12)&gt;0))),"",IF('Your debts'!$D$20="Avalanche",'Avalanche workings'!$R$84,'Snowball workings'!$R$84)+IF('Your debts'!$D$20="Avalanche",'Avalanche workings'!$AL$84,'Snowball workings'!$AL$84))</f>
      </c>
      <c r="S82" s="30">
        <f>IF(OR(77&gt;$Z$1,NOT(OR('Your debts'!$B$12&lt;&gt;"",N('Your debts'!$C$12)&gt;0))),"",IF('Your debts'!$D$20="Avalanche",'Avalanche workings'!$AV$84,'Snowball workings'!$AV$84))</f>
      </c>
      <c r="T82" s="29">
        <f>IF(OR(77&gt;$Z$1,NOT(OR('Your debts'!$B$13&lt;&gt;"",N('Your debts'!$C$13)&gt;0))),"",IF('Your debts'!$D$20="Avalanche",'Avalanche workings'!$S$84,'Snowball workings'!$S$84)+IF('Your debts'!$D$20="Avalanche",'Avalanche workings'!$AM$84,'Snowball workings'!$AM$84))</f>
      </c>
      <c r="U82" s="30">
        <f>IF(OR(77&gt;$Z$1,NOT(OR('Your debts'!$B$13&lt;&gt;"",N('Your debts'!$C$13)&gt;0))),"",IF('Your debts'!$D$20="Avalanche",'Avalanche workings'!$AW$84,'Snowball workings'!$AW$84))</f>
      </c>
      <c r="V82" s="29">
        <f>IF(OR(77&gt;$Z$1,NOT(OR('Your debts'!$B$14&lt;&gt;"",N('Your debts'!$C$14)&gt;0))),"",IF('Your debts'!$D$20="Avalanche",'Avalanche workings'!$T$84,'Snowball workings'!$T$84)+IF('Your debts'!$D$20="Avalanche",'Avalanche workings'!$AN$84,'Snowball workings'!$AN$84))</f>
      </c>
      <c r="W82" s="30">
        <f>IF(OR(77&gt;$Z$1,NOT(OR('Your debts'!$B$14&lt;&gt;"",N('Your debts'!$C$14)&gt;0))),"",IF('Your debts'!$D$20="Avalanche",'Avalanche workings'!$AX$84,'Snowball workings'!$AX$84))</f>
      </c>
      <c r="X82" s="29">
        <f>IF(OR(77&gt;$Z$1,NOT(OR('Your debts'!$B$15&lt;&gt;"",N('Your debts'!$C$15)&gt;0))),"",IF('Your debts'!$D$20="Avalanche",'Avalanche workings'!$U$84,'Snowball workings'!$U$84)+IF('Your debts'!$D$20="Avalanche",'Avalanche workings'!$AO$84,'Snowball workings'!$AO$84))</f>
      </c>
      <c r="Y82" s="30">
        <f>IF(OR(77&gt;$Z$1,NOT(OR('Your debts'!$B$15&lt;&gt;"",N('Your debts'!$C$15)&gt;0))),"",IF('Your debts'!$D$20="Avalanche",'Avalanche workings'!$AY$84,'Snowball workings'!$AY$84))</f>
      </c>
    </row>
    <row r="83" spans="1:25" x14ac:dyDescent="0.25">
      <c r="A83" s="2">
        <f>IF(78&gt;$Z$1,"",78)</f>
      </c>
      <c r="B83" s="28">
        <f>IF(78&gt;$Z$1,"",EDATE('Your debts'!$D$21,77))</f>
      </c>
      <c r="C83" s="29">
        <f>IF(78&gt;$Z$1,"",IF('Your debts'!$D$20="Avalanche",'Avalanche workings'!$BC$85,'Snowball workings'!$BC$85))</f>
      </c>
      <c r="D83" s="29">
        <f>IF(78&gt;$Z$1,"",IF('Your debts'!$D$20="Avalanche",'Avalanche workings'!$BA$85,'Snowball workings'!$BA$85))</f>
      </c>
      <c r="E83" s="29">
        <f>IF(78&gt;$Z$1,"",IF('Your debts'!$D$20="Avalanche",'Avalanche workings'!$BB$85,'Snowball workings'!$BB$85))</f>
      </c>
      <c r="F83" s="29">
        <f>IF(OR(78&gt;$Z$1,NOT(OR('Your debts'!$B$6&lt;&gt;"",N('Your debts'!$C$6)&gt;0))),"",IF('Your debts'!$D$20="Avalanche",'Avalanche workings'!$L$85,'Snowball workings'!$L$85)+IF('Your debts'!$D$20="Avalanche",'Avalanche workings'!$AF$85,'Snowball workings'!$AF$85))</f>
      </c>
      <c r="G83" s="30">
        <f>IF(OR(78&gt;$Z$1,NOT(OR('Your debts'!$B$6&lt;&gt;"",N('Your debts'!$C$6)&gt;0))),"",IF('Your debts'!$D$20="Avalanche",'Avalanche workings'!$AP$85,'Snowball workings'!$AP$85))</f>
      </c>
      <c r="H83" s="29">
        <f>IF(OR(78&gt;$Z$1,NOT(OR('Your debts'!$B$7&lt;&gt;"",N('Your debts'!$C$7)&gt;0))),"",IF('Your debts'!$D$20="Avalanche",'Avalanche workings'!$M$85,'Snowball workings'!$M$85)+IF('Your debts'!$D$20="Avalanche",'Avalanche workings'!$AG$85,'Snowball workings'!$AG$85))</f>
      </c>
      <c r="I83" s="30">
        <f>IF(OR(78&gt;$Z$1,NOT(OR('Your debts'!$B$7&lt;&gt;"",N('Your debts'!$C$7)&gt;0))),"",IF('Your debts'!$D$20="Avalanche",'Avalanche workings'!$AQ$85,'Snowball workings'!$AQ$85))</f>
      </c>
      <c r="J83" s="29">
        <f>IF(OR(78&gt;$Z$1,NOT(OR('Your debts'!$B$8&lt;&gt;"",N('Your debts'!$C$8)&gt;0))),"",IF('Your debts'!$D$20="Avalanche",'Avalanche workings'!$N$85,'Snowball workings'!$N$85)+IF('Your debts'!$D$20="Avalanche",'Avalanche workings'!$AH$85,'Snowball workings'!$AH$85))</f>
      </c>
      <c r="K83" s="30">
        <f>IF(OR(78&gt;$Z$1,NOT(OR('Your debts'!$B$8&lt;&gt;"",N('Your debts'!$C$8)&gt;0))),"",IF('Your debts'!$D$20="Avalanche",'Avalanche workings'!$AR$85,'Snowball workings'!$AR$85))</f>
      </c>
      <c r="L83" s="29">
        <f>IF(OR(78&gt;$Z$1,NOT(OR('Your debts'!$B$9&lt;&gt;"",N('Your debts'!$C$9)&gt;0))),"",IF('Your debts'!$D$20="Avalanche",'Avalanche workings'!$O$85,'Snowball workings'!$O$85)+IF('Your debts'!$D$20="Avalanche",'Avalanche workings'!$AI$85,'Snowball workings'!$AI$85))</f>
      </c>
      <c r="M83" s="30">
        <f>IF(OR(78&gt;$Z$1,NOT(OR('Your debts'!$B$9&lt;&gt;"",N('Your debts'!$C$9)&gt;0))),"",IF('Your debts'!$D$20="Avalanche",'Avalanche workings'!$AS$85,'Snowball workings'!$AS$85))</f>
      </c>
      <c r="N83" s="29">
        <f>IF(OR(78&gt;$Z$1,NOT(OR('Your debts'!$B$10&lt;&gt;"",N('Your debts'!$C$10)&gt;0))),"",IF('Your debts'!$D$20="Avalanche",'Avalanche workings'!$P$85,'Snowball workings'!$P$85)+IF('Your debts'!$D$20="Avalanche",'Avalanche workings'!$AJ$85,'Snowball workings'!$AJ$85))</f>
      </c>
      <c r="O83" s="30">
        <f>IF(OR(78&gt;$Z$1,NOT(OR('Your debts'!$B$10&lt;&gt;"",N('Your debts'!$C$10)&gt;0))),"",IF('Your debts'!$D$20="Avalanche",'Avalanche workings'!$AT$85,'Snowball workings'!$AT$85))</f>
      </c>
      <c r="P83" s="29">
        <f>IF(OR(78&gt;$Z$1,NOT(OR('Your debts'!$B$11&lt;&gt;"",N('Your debts'!$C$11)&gt;0))),"",IF('Your debts'!$D$20="Avalanche",'Avalanche workings'!$Q$85,'Snowball workings'!$Q$85)+IF('Your debts'!$D$20="Avalanche",'Avalanche workings'!$AK$85,'Snowball workings'!$AK$85))</f>
      </c>
      <c r="Q83" s="30">
        <f>IF(OR(78&gt;$Z$1,NOT(OR('Your debts'!$B$11&lt;&gt;"",N('Your debts'!$C$11)&gt;0))),"",IF('Your debts'!$D$20="Avalanche",'Avalanche workings'!$AU$85,'Snowball workings'!$AU$85))</f>
      </c>
      <c r="R83" s="29">
        <f>IF(OR(78&gt;$Z$1,NOT(OR('Your debts'!$B$12&lt;&gt;"",N('Your debts'!$C$12)&gt;0))),"",IF('Your debts'!$D$20="Avalanche",'Avalanche workings'!$R$85,'Snowball workings'!$R$85)+IF('Your debts'!$D$20="Avalanche",'Avalanche workings'!$AL$85,'Snowball workings'!$AL$85))</f>
      </c>
      <c r="S83" s="30">
        <f>IF(OR(78&gt;$Z$1,NOT(OR('Your debts'!$B$12&lt;&gt;"",N('Your debts'!$C$12)&gt;0))),"",IF('Your debts'!$D$20="Avalanche",'Avalanche workings'!$AV$85,'Snowball workings'!$AV$85))</f>
      </c>
      <c r="T83" s="29">
        <f>IF(OR(78&gt;$Z$1,NOT(OR('Your debts'!$B$13&lt;&gt;"",N('Your debts'!$C$13)&gt;0))),"",IF('Your debts'!$D$20="Avalanche",'Avalanche workings'!$S$85,'Snowball workings'!$S$85)+IF('Your debts'!$D$20="Avalanche",'Avalanche workings'!$AM$85,'Snowball workings'!$AM$85))</f>
      </c>
      <c r="U83" s="30">
        <f>IF(OR(78&gt;$Z$1,NOT(OR('Your debts'!$B$13&lt;&gt;"",N('Your debts'!$C$13)&gt;0))),"",IF('Your debts'!$D$20="Avalanche",'Avalanche workings'!$AW$85,'Snowball workings'!$AW$85))</f>
      </c>
      <c r="V83" s="29">
        <f>IF(OR(78&gt;$Z$1,NOT(OR('Your debts'!$B$14&lt;&gt;"",N('Your debts'!$C$14)&gt;0))),"",IF('Your debts'!$D$20="Avalanche",'Avalanche workings'!$T$85,'Snowball workings'!$T$85)+IF('Your debts'!$D$20="Avalanche",'Avalanche workings'!$AN$85,'Snowball workings'!$AN$85))</f>
      </c>
      <c r="W83" s="30">
        <f>IF(OR(78&gt;$Z$1,NOT(OR('Your debts'!$B$14&lt;&gt;"",N('Your debts'!$C$14)&gt;0))),"",IF('Your debts'!$D$20="Avalanche",'Avalanche workings'!$AX$85,'Snowball workings'!$AX$85))</f>
      </c>
      <c r="X83" s="29">
        <f>IF(OR(78&gt;$Z$1,NOT(OR('Your debts'!$B$15&lt;&gt;"",N('Your debts'!$C$15)&gt;0))),"",IF('Your debts'!$D$20="Avalanche",'Avalanche workings'!$U$85,'Snowball workings'!$U$85)+IF('Your debts'!$D$20="Avalanche",'Avalanche workings'!$AO$85,'Snowball workings'!$AO$85))</f>
      </c>
      <c r="Y83" s="30">
        <f>IF(OR(78&gt;$Z$1,NOT(OR('Your debts'!$B$15&lt;&gt;"",N('Your debts'!$C$15)&gt;0))),"",IF('Your debts'!$D$20="Avalanche",'Avalanche workings'!$AY$85,'Snowball workings'!$AY$85))</f>
      </c>
    </row>
    <row r="84" spans="1:25" x14ac:dyDescent="0.25">
      <c r="A84" s="2">
        <f>IF(79&gt;$Z$1,"",79)</f>
      </c>
      <c r="B84" s="28">
        <f>IF(79&gt;$Z$1,"",EDATE('Your debts'!$D$21,78))</f>
      </c>
      <c r="C84" s="29">
        <f>IF(79&gt;$Z$1,"",IF('Your debts'!$D$20="Avalanche",'Avalanche workings'!$BC$86,'Snowball workings'!$BC$86))</f>
      </c>
      <c r="D84" s="29">
        <f>IF(79&gt;$Z$1,"",IF('Your debts'!$D$20="Avalanche",'Avalanche workings'!$BA$86,'Snowball workings'!$BA$86))</f>
      </c>
      <c r="E84" s="29">
        <f>IF(79&gt;$Z$1,"",IF('Your debts'!$D$20="Avalanche",'Avalanche workings'!$BB$86,'Snowball workings'!$BB$86))</f>
      </c>
      <c r="F84" s="29">
        <f>IF(OR(79&gt;$Z$1,NOT(OR('Your debts'!$B$6&lt;&gt;"",N('Your debts'!$C$6)&gt;0))),"",IF('Your debts'!$D$20="Avalanche",'Avalanche workings'!$L$86,'Snowball workings'!$L$86)+IF('Your debts'!$D$20="Avalanche",'Avalanche workings'!$AF$86,'Snowball workings'!$AF$86))</f>
      </c>
      <c r="G84" s="30">
        <f>IF(OR(79&gt;$Z$1,NOT(OR('Your debts'!$B$6&lt;&gt;"",N('Your debts'!$C$6)&gt;0))),"",IF('Your debts'!$D$20="Avalanche",'Avalanche workings'!$AP$86,'Snowball workings'!$AP$86))</f>
      </c>
      <c r="H84" s="29">
        <f>IF(OR(79&gt;$Z$1,NOT(OR('Your debts'!$B$7&lt;&gt;"",N('Your debts'!$C$7)&gt;0))),"",IF('Your debts'!$D$20="Avalanche",'Avalanche workings'!$M$86,'Snowball workings'!$M$86)+IF('Your debts'!$D$20="Avalanche",'Avalanche workings'!$AG$86,'Snowball workings'!$AG$86))</f>
      </c>
      <c r="I84" s="30">
        <f>IF(OR(79&gt;$Z$1,NOT(OR('Your debts'!$B$7&lt;&gt;"",N('Your debts'!$C$7)&gt;0))),"",IF('Your debts'!$D$20="Avalanche",'Avalanche workings'!$AQ$86,'Snowball workings'!$AQ$86))</f>
      </c>
      <c r="J84" s="29">
        <f>IF(OR(79&gt;$Z$1,NOT(OR('Your debts'!$B$8&lt;&gt;"",N('Your debts'!$C$8)&gt;0))),"",IF('Your debts'!$D$20="Avalanche",'Avalanche workings'!$N$86,'Snowball workings'!$N$86)+IF('Your debts'!$D$20="Avalanche",'Avalanche workings'!$AH$86,'Snowball workings'!$AH$86))</f>
      </c>
      <c r="K84" s="30">
        <f>IF(OR(79&gt;$Z$1,NOT(OR('Your debts'!$B$8&lt;&gt;"",N('Your debts'!$C$8)&gt;0))),"",IF('Your debts'!$D$20="Avalanche",'Avalanche workings'!$AR$86,'Snowball workings'!$AR$86))</f>
      </c>
      <c r="L84" s="29">
        <f>IF(OR(79&gt;$Z$1,NOT(OR('Your debts'!$B$9&lt;&gt;"",N('Your debts'!$C$9)&gt;0))),"",IF('Your debts'!$D$20="Avalanche",'Avalanche workings'!$O$86,'Snowball workings'!$O$86)+IF('Your debts'!$D$20="Avalanche",'Avalanche workings'!$AI$86,'Snowball workings'!$AI$86))</f>
      </c>
      <c r="M84" s="30">
        <f>IF(OR(79&gt;$Z$1,NOT(OR('Your debts'!$B$9&lt;&gt;"",N('Your debts'!$C$9)&gt;0))),"",IF('Your debts'!$D$20="Avalanche",'Avalanche workings'!$AS$86,'Snowball workings'!$AS$86))</f>
      </c>
      <c r="N84" s="29">
        <f>IF(OR(79&gt;$Z$1,NOT(OR('Your debts'!$B$10&lt;&gt;"",N('Your debts'!$C$10)&gt;0))),"",IF('Your debts'!$D$20="Avalanche",'Avalanche workings'!$P$86,'Snowball workings'!$P$86)+IF('Your debts'!$D$20="Avalanche",'Avalanche workings'!$AJ$86,'Snowball workings'!$AJ$86))</f>
      </c>
      <c r="O84" s="30">
        <f>IF(OR(79&gt;$Z$1,NOT(OR('Your debts'!$B$10&lt;&gt;"",N('Your debts'!$C$10)&gt;0))),"",IF('Your debts'!$D$20="Avalanche",'Avalanche workings'!$AT$86,'Snowball workings'!$AT$86))</f>
      </c>
      <c r="P84" s="29">
        <f>IF(OR(79&gt;$Z$1,NOT(OR('Your debts'!$B$11&lt;&gt;"",N('Your debts'!$C$11)&gt;0))),"",IF('Your debts'!$D$20="Avalanche",'Avalanche workings'!$Q$86,'Snowball workings'!$Q$86)+IF('Your debts'!$D$20="Avalanche",'Avalanche workings'!$AK$86,'Snowball workings'!$AK$86))</f>
      </c>
      <c r="Q84" s="30">
        <f>IF(OR(79&gt;$Z$1,NOT(OR('Your debts'!$B$11&lt;&gt;"",N('Your debts'!$C$11)&gt;0))),"",IF('Your debts'!$D$20="Avalanche",'Avalanche workings'!$AU$86,'Snowball workings'!$AU$86))</f>
      </c>
      <c r="R84" s="29">
        <f>IF(OR(79&gt;$Z$1,NOT(OR('Your debts'!$B$12&lt;&gt;"",N('Your debts'!$C$12)&gt;0))),"",IF('Your debts'!$D$20="Avalanche",'Avalanche workings'!$R$86,'Snowball workings'!$R$86)+IF('Your debts'!$D$20="Avalanche",'Avalanche workings'!$AL$86,'Snowball workings'!$AL$86))</f>
      </c>
      <c r="S84" s="30">
        <f>IF(OR(79&gt;$Z$1,NOT(OR('Your debts'!$B$12&lt;&gt;"",N('Your debts'!$C$12)&gt;0))),"",IF('Your debts'!$D$20="Avalanche",'Avalanche workings'!$AV$86,'Snowball workings'!$AV$86))</f>
      </c>
      <c r="T84" s="29">
        <f>IF(OR(79&gt;$Z$1,NOT(OR('Your debts'!$B$13&lt;&gt;"",N('Your debts'!$C$13)&gt;0))),"",IF('Your debts'!$D$20="Avalanche",'Avalanche workings'!$S$86,'Snowball workings'!$S$86)+IF('Your debts'!$D$20="Avalanche",'Avalanche workings'!$AM$86,'Snowball workings'!$AM$86))</f>
      </c>
      <c r="U84" s="30">
        <f>IF(OR(79&gt;$Z$1,NOT(OR('Your debts'!$B$13&lt;&gt;"",N('Your debts'!$C$13)&gt;0))),"",IF('Your debts'!$D$20="Avalanche",'Avalanche workings'!$AW$86,'Snowball workings'!$AW$86))</f>
      </c>
      <c r="V84" s="29">
        <f>IF(OR(79&gt;$Z$1,NOT(OR('Your debts'!$B$14&lt;&gt;"",N('Your debts'!$C$14)&gt;0))),"",IF('Your debts'!$D$20="Avalanche",'Avalanche workings'!$T$86,'Snowball workings'!$T$86)+IF('Your debts'!$D$20="Avalanche",'Avalanche workings'!$AN$86,'Snowball workings'!$AN$86))</f>
      </c>
      <c r="W84" s="30">
        <f>IF(OR(79&gt;$Z$1,NOT(OR('Your debts'!$B$14&lt;&gt;"",N('Your debts'!$C$14)&gt;0))),"",IF('Your debts'!$D$20="Avalanche",'Avalanche workings'!$AX$86,'Snowball workings'!$AX$86))</f>
      </c>
      <c r="X84" s="29">
        <f>IF(OR(79&gt;$Z$1,NOT(OR('Your debts'!$B$15&lt;&gt;"",N('Your debts'!$C$15)&gt;0))),"",IF('Your debts'!$D$20="Avalanche",'Avalanche workings'!$U$86,'Snowball workings'!$U$86)+IF('Your debts'!$D$20="Avalanche",'Avalanche workings'!$AO$86,'Snowball workings'!$AO$86))</f>
      </c>
      <c r="Y84" s="30">
        <f>IF(OR(79&gt;$Z$1,NOT(OR('Your debts'!$B$15&lt;&gt;"",N('Your debts'!$C$15)&gt;0))),"",IF('Your debts'!$D$20="Avalanche",'Avalanche workings'!$AY$86,'Snowball workings'!$AY$86))</f>
      </c>
    </row>
    <row r="85" spans="1:25" x14ac:dyDescent="0.25">
      <c r="A85" s="2">
        <f>IF(80&gt;$Z$1,"",80)</f>
      </c>
      <c r="B85" s="28">
        <f>IF(80&gt;$Z$1,"",EDATE('Your debts'!$D$21,79))</f>
      </c>
      <c r="C85" s="29">
        <f>IF(80&gt;$Z$1,"",IF('Your debts'!$D$20="Avalanche",'Avalanche workings'!$BC$87,'Snowball workings'!$BC$87))</f>
      </c>
      <c r="D85" s="29">
        <f>IF(80&gt;$Z$1,"",IF('Your debts'!$D$20="Avalanche",'Avalanche workings'!$BA$87,'Snowball workings'!$BA$87))</f>
      </c>
      <c r="E85" s="29">
        <f>IF(80&gt;$Z$1,"",IF('Your debts'!$D$20="Avalanche",'Avalanche workings'!$BB$87,'Snowball workings'!$BB$87))</f>
      </c>
      <c r="F85" s="29">
        <f>IF(OR(80&gt;$Z$1,NOT(OR('Your debts'!$B$6&lt;&gt;"",N('Your debts'!$C$6)&gt;0))),"",IF('Your debts'!$D$20="Avalanche",'Avalanche workings'!$L$87,'Snowball workings'!$L$87)+IF('Your debts'!$D$20="Avalanche",'Avalanche workings'!$AF$87,'Snowball workings'!$AF$87))</f>
      </c>
      <c r="G85" s="30">
        <f>IF(OR(80&gt;$Z$1,NOT(OR('Your debts'!$B$6&lt;&gt;"",N('Your debts'!$C$6)&gt;0))),"",IF('Your debts'!$D$20="Avalanche",'Avalanche workings'!$AP$87,'Snowball workings'!$AP$87))</f>
      </c>
      <c r="H85" s="29">
        <f>IF(OR(80&gt;$Z$1,NOT(OR('Your debts'!$B$7&lt;&gt;"",N('Your debts'!$C$7)&gt;0))),"",IF('Your debts'!$D$20="Avalanche",'Avalanche workings'!$M$87,'Snowball workings'!$M$87)+IF('Your debts'!$D$20="Avalanche",'Avalanche workings'!$AG$87,'Snowball workings'!$AG$87))</f>
      </c>
      <c r="I85" s="30">
        <f>IF(OR(80&gt;$Z$1,NOT(OR('Your debts'!$B$7&lt;&gt;"",N('Your debts'!$C$7)&gt;0))),"",IF('Your debts'!$D$20="Avalanche",'Avalanche workings'!$AQ$87,'Snowball workings'!$AQ$87))</f>
      </c>
      <c r="J85" s="29">
        <f>IF(OR(80&gt;$Z$1,NOT(OR('Your debts'!$B$8&lt;&gt;"",N('Your debts'!$C$8)&gt;0))),"",IF('Your debts'!$D$20="Avalanche",'Avalanche workings'!$N$87,'Snowball workings'!$N$87)+IF('Your debts'!$D$20="Avalanche",'Avalanche workings'!$AH$87,'Snowball workings'!$AH$87))</f>
      </c>
      <c r="K85" s="30">
        <f>IF(OR(80&gt;$Z$1,NOT(OR('Your debts'!$B$8&lt;&gt;"",N('Your debts'!$C$8)&gt;0))),"",IF('Your debts'!$D$20="Avalanche",'Avalanche workings'!$AR$87,'Snowball workings'!$AR$87))</f>
      </c>
      <c r="L85" s="29">
        <f>IF(OR(80&gt;$Z$1,NOT(OR('Your debts'!$B$9&lt;&gt;"",N('Your debts'!$C$9)&gt;0))),"",IF('Your debts'!$D$20="Avalanche",'Avalanche workings'!$O$87,'Snowball workings'!$O$87)+IF('Your debts'!$D$20="Avalanche",'Avalanche workings'!$AI$87,'Snowball workings'!$AI$87))</f>
      </c>
      <c r="M85" s="30">
        <f>IF(OR(80&gt;$Z$1,NOT(OR('Your debts'!$B$9&lt;&gt;"",N('Your debts'!$C$9)&gt;0))),"",IF('Your debts'!$D$20="Avalanche",'Avalanche workings'!$AS$87,'Snowball workings'!$AS$87))</f>
      </c>
      <c r="N85" s="29">
        <f>IF(OR(80&gt;$Z$1,NOT(OR('Your debts'!$B$10&lt;&gt;"",N('Your debts'!$C$10)&gt;0))),"",IF('Your debts'!$D$20="Avalanche",'Avalanche workings'!$P$87,'Snowball workings'!$P$87)+IF('Your debts'!$D$20="Avalanche",'Avalanche workings'!$AJ$87,'Snowball workings'!$AJ$87))</f>
      </c>
      <c r="O85" s="30">
        <f>IF(OR(80&gt;$Z$1,NOT(OR('Your debts'!$B$10&lt;&gt;"",N('Your debts'!$C$10)&gt;0))),"",IF('Your debts'!$D$20="Avalanche",'Avalanche workings'!$AT$87,'Snowball workings'!$AT$87))</f>
      </c>
      <c r="P85" s="29">
        <f>IF(OR(80&gt;$Z$1,NOT(OR('Your debts'!$B$11&lt;&gt;"",N('Your debts'!$C$11)&gt;0))),"",IF('Your debts'!$D$20="Avalanche",'Avalanche workings'!$Q$87,'Snowball workings'!$Q$87)+IF('Your debts'!$D$20="Avalanche",'Avalanche workings'!$AK$87,'Snowball workings'!$AK$87))</f>
      </c>
      <c r="Q85" s="30">
        <f>IF(OR(80&gt;$Z$1,NOT(OR('Your debts'!$B$11&lt;&gt;"",N('Your debts'!$C$11)&gt;0))),"",IF('Your debts'!$D$20="Avalanche",'Avalanche workings'!$AU$87,'Snowball workings'!$AU$87))</f>
      </c>
      <c r="R85" s="29">
        <f>IF(OR(80&gt;$Z$1,NOT(OR('Your debts'!$B$12&lt;&gt;"",N('Your debts'!$C$12)&gt;0))),"",IF('Your debts'!$D$20="Avalanche",'Avalanche workings'!$R$87,'Snowball workings'!$R$87)+IF('Your debts'!$D$20="Avalanche",'Avalanche workings'!$AL$87,'Snowball workings'!$AL$87))</f>
      </c>
      <c r="S85" s="30">
        <f>IF(OR(80&gt;$Z$1,NOT(OR('Your debts'!$B$12&lt;&gt;"",N('Your debts'!$C$12)&gt;0))),"",IF('Your debts'!$D$20="Avalanche",'Avalanche workings'!$AV$87,'Snowball workings'!$AV$87))</f>
      </c>
      <c r="T85" s="29">
        <f>IF(OR(80&gt;$Z$1,NOT(OR('Your debts'!$B$13&lt;&gt;"",N('Your debts'!$C$13)&gt;0))),"",IF('Your debts'!$D$20="Avalanche",'Avalanche workings'!$S$87,'Snowball workings'!$S$87)+IF('Your debts'!$D$20="Avalanche",'Avalanche workings'!$AM$87,'Snowball workings'!$AM$87))</f>
      </c>
      <c r="U85" s="30">
        <f>IF(OR(80&gt;$Z$1,NOT(OR('Your debts'!$B$13&lt;&gt;"",N('Your debts'!$C$13)&gt;0))),"",IF('Your debts'!$D$20="Avalanche",'Avalanche workings'!$AW$87,'Snowball workings'!$AW$87))</f>
      </c>
      <c r="V85" s="29">
        <f>IF(OR(80&gt;$Z$1,NOT(OR('Your debts'!$B$14&lt;&gt;"",N('Your debts'!$C$14)&gt;0))),"",IF('Your debts'!$D$20="Avalanche",'Avalanche workings'!$T$87,'Snowball workings'!$T$87)+IF('Your debts'!$D$20="Avalanche",'Avalanche workings'!$AN$87,'Snowball workings'!$AN$87))</f>
      </c>
      <c r="W85" s="30">
        <f>IF(OR(80&gt;$Z$1,NOT(OR('Your debts'!$B$14&lt;&gt;"",N('Your debts'!$C$14)&gt;0))),"",IF('Your debts'!$D$20="Avalanche",'Avalanche workings'!$AX$87,'Snowball workings'!$AX$87))</f>
      </c>
      <c r="X85" s="29">
        <f>IF(OR(80&gt;$Z$1,NOT(OR('Your debts'!$B$15&lt;&gt;"",N('Your debts'!$C$15)&gt;0))),"",IF('Your debts'!$D$20="Avalanche",'Avalanche workings'!$U$87,'Snowball workings'!$U$87)+IF('Your debts'!$D$20="Avalanche",'Avalanche workings'!$AO$87,'Snowball workings'!$AO$87))</f>
      </c>
      <c r="Y85" s="30">
        <f>IF(OR(80&gt;$Z$1,NOT(OR('Your debts'!$B$15&lt;&gt;"",N('Your debts'!$C$15)&gt;0))),"",IF('Your debts'!$D$20="Avalanche",'Avalanche workings'!$AY$87,'Snowball workings'!$AY$87))</f>
      </c>
    </row>
    <row r="86" spans="1:25" x14ac:dyDescent="0.25">
      <c r="A86" s="2">
        <f>IF(81&gt;$Z$1,"",81)</f>
      </c>
      <c r="B86" s="28">
        <f>IF(81&gt;$Z$1,"",EDATE('Your debts'!$D$21,80))</f>
      </c>
      <c r="C86" s="29">
        <f>IF(81&gt;$Z$1,"",IF('Your debts'!$D$20="Avalanche",'Avalanche workings'!$BC$88,'Snowball workings'!$BC$88))</f>
      </c>
      <c r="D86" s="29">
        <f>IF(81&gt;$Z$1,"",IF('Your debts'!$D$20="Avalanche",'Avalanche workings'!$BA$88,'Snowball workings'!$BA$88))</f>
      </c>
      <c r="E86" s="29">
        <f>IF(81&gt;$Z$1,"",IF('Your debts'!$D$20="Avalanche",'Avalanche workings'!$BB$88,'Snowball workings'!$BB$88))</f>
      </c>
      <c r="F86" s="29">
        <f>IF(OR(81&gt;$Z$1,NOT(OR('Your debts'!$B$6&lt;&gt;"",N('Your debts'!$C$6)&gt;0))),"",IF('Your debts'!$D$20="Avalanche",'Avalanche workings'!$L$88,'Snowball workings'!$L$88)+IF('Your debts'!$D$20="Avalanche",'Avalanche workings'!$AF$88,'Snowball workings'!$AF$88))</f>
      </c>
      <c r="G86" s="30">
        <f>IF(OR(81&gt;$Z$1,NOT(OR('Your debts'!$B$6&lt;&gt;"",N('Your debts'!$C$6)&gt;0))),"",IF('Your debts'!$D$20="Avalanche",'Avalanche workings'!$AP$88,'Snowball workings'!$AP$88))</f>
      </c>
      <c r="H86" s="29">
        <f>IF(OR(81&gt;$Z$1,NOT(OR('Your debts'!$B$7&lt;&gt;"",N('Your debts'!$C$7)&gt;0))),"",IF('Your debts'!$D$20="Avalanche",'Avalanche workings'!$M$88,'Snowball workings'!$M$88)+IF('Your debts'!$D$20="Avalanche",'Avalanche workings'!$AG$88,'Snowball workings'!$AG$88))</f>
      </c>
      <c r="I86" s="30">
        <f>IF(OR(81&gt;$Z$1,NOT(OR('Your debts'!$B$7&lt;&gt;"",N('Your debts'!$C$7)&gt;0))),"",IF('Your debts'!$D$20="Avalanche",'Avalanche workings'!$AQ$88,'Snowball workings'!$AQ$88))</f>
      </c>
      <c r="J86" s="29">
        <f>IF(OR(81&gt;$Z$1,NOT(OR('Your debts'!$B$8&lt;&gt;"",N('Your debts'!$C$8)&gt;0))),"",IF('Your debts'!$D$20="Avalanche",'Avalanche workings'!$N$88,'Snowball workings'!$N$88)+IF('Your debts'!$D$20="Avalanche",'Avalanche workings'!$AH$88,'Snowball workings'!$AH$88))</f>
      </c>
      <c r="K86" s="30">
        <f>IF(OR(81&gt;$Z$1,NOT(OR('Your debts'!$B$8&lt;&gt;"",N('Your debts'!$C$8)&gt;0))),"",IF('Your debts'!$D$20="Avalanche",'Avalanche workings'!$AR$88,'Snowball workings'!$AR$88))</f>
      </c>
      <c r="L86" s="29">
        <f>IF(OR(81&gt;$Z$1,NOT(OR('Your debts'!$B$9&lt;&gt;"",N('Your debts'!$C$9)&gt;0))),"",IF('Your debts'!$D$20="Avalanche",'Avalanche workings'!$O$88,'Snowball workings'!$O$88)+IF('Your debts'!$D$20="Avalanche",'Avalanche workings'!$AI$88,'Snowball workings'!$AI$88))</f>
      </c>
      <c r="M86" s="30">
        <f>IF(OR(81&gt;$Z$1,NOT(OR('Your debts'!$B$9&lt;&gt;"",N('Your debts'!$C$9)&gt;0))),"",IF('Your debts'!$D$20="Avalanche",'Avalanche workings'!$AS$88,'Snowball workings'!$AS$88))</f>
      </c>
      <c r="N86" s="29">
        <f>IF(OR(81&gt;$Z$1,NOT(OR('Your debts'!$B$10&lt;&gt;"",N('Your debts'!$C$10)&gt;0))),"",IF('Your debts'!$D$20="Avalanche",'Avalanche workings'!$P$88,'Snowball workings'!$P$88)+IF('Your debts'!$D$20="Avalanche",'Avalanche workings'!$AJ$88,'Snowball workings'!$AJ$88))</f>
      </c>
      <c r="O86" s="30">
        <f>IF(OR(81&gt;$Z$1,NOT(OR('Your debts'!$B$10&lt;&gt;"",N('Your debts'!$C$10)&gt;0))),"",IF('Your debts'!$D$20="Avalanche",'Avalanche workings'!$AT$88,'Snowball workings'!$AT$88))</f>
      </c>
      <c r="P86" s="29">
        <f>IF(OR(81&gt;$Z$1,NOT(OR('Your debts'!$B$11&lt;&gt;"",N('Your debts'!$C$11)&gt;0))),"",IF('Your debts'!$D$20="Avalanche",'Avalanche workings'!$Q$88,'Snowball workings'!$Q$88)+IF('Your debts'!$D$20="Avalanche",'Avalanche workings'!$AK$88,'Snowball workings'!$AK$88))</f>
      </c>
      <c r="Q86" s="30">
        <f>IF(OR(81&gt;$Z$1,NOT(OR('Your debts'!$B$11&lt;&gt;"",N('Your debts'!$C$11)&gt;0))),"",IF('Your debts'!$D$20="Avalanche",'Avalanche workings'!$AU$88,'Snowball workings'!$AU$88))</f>
      </c>
      <c r="R86" s="29">
        <f>IF(OR(81&gt;$Z$1,NOT(OR('Your debts'!$B$12&lt;&gt;"",N('Your debts'!$C$12)&gt;0))),"",IF('Your debts'!$D$20="Avalanche",'Avalanche workings'!$R$88,'Snowball workings'!$R$88)+IF('Your debts'!$D$20="Avalanche",'Avalanche workings'!$AL$88,'Snowball workings'!$AL$88))</f>
      </c>
      <c r="S86" s="30">
        <f>IF(OR(81&gt;$Z$1,NOT(OR('Your debts'!$B$12&lt;&gt;"",N('Your debts'!$C$12)&gt;0))),"",IF('Your debts'!$D$20="Avalanche",'Avalanche workings'!$AV$88,'Snowball workings'!$AV$88))</f>
      </c>
      <c r="T86" s="29">
        <f>IF(OR(81&gt;$Z$1,NOT(OR('Your debts'!$B$13&lt;&gt;"",N('Your debts'!$C$13)&gt;0))),"",IF('Your debts'!$D$20="Avalanche",'Avalanche workings'!$S$88,'Snowball workings'!$S$88)+IF('Your debts'!$D$20="Avalanche",'Avalanche workings'!$AM$88,'Snowball workings'!$AM$88))</f>
      </c>
      <c r="U86" s="30">
        <f>IF(OR(81&gt;$Z$1,NOT(OR('Your debts'!$B$13&lt;&gt;"",N('Your debts'!$C$13)&gt;0))),"",IF('Your debts'!$D$20="Avalanche",'Avalanche workings'!$AW$88,'Snowball workings'!$AW$88))</f>
      </c>
      <c r="V86" s="29">
        <f>IF(OR(81&gt;$Z$1,NOT(OR('Your debts'!$B$14&lt;&gt;"",N('Your debts'!$C$14)&gt;0))),"",IF('Your debts'!$D$20="Avalanche",'Avalanche workings'!$T$88,'Snowball workings'!$T$88)+IF('Your debts'!$D$20="Avalanche",'Avalanche workings'!$AN$88,'Snowball workings'!$AN$88))</f>
      </c>
      <c r="W86" s="30">
        <f>IF(OR(81&gt;$Z$1,NOT(OR('Your debts'!$B$14&lt;&gt;"",N('Your debts'!$C$14)&gt;0))),"",IF('Your debts'!$D$20="Avalanche",'Avalanche workings'!$AX$88,'Snowball workings'!$AX$88))</f>
      </c>
      <c r="X86" s="29">
        <f>IF(OR(81&gt;$Z$1,NOT(OR('Your debts'!$B$15&lt;&gt;"",N('Your debts'!$C$15)&gt;0))),"",IF('Your debts'!$D$20="Avalanche",'Avalanche workings'!$U$88,'Snowball workings'!$U$88)+IF('Your debts'!$D$20="Avalanche",'Avalanche workings'!$AO$88,'Snowball workings'!$AO$88))</f>
      </c>
      <c r="Y86" s="30">
        <f>IF(OR(81&gt;$Z$1,NOT(OR('Your debts'!$B$15&lt;&gt;"",N('Your debts'!$C$15)&gt;0))),"",IF('Your debts'!$D$20="Avalanche",'Avalanche workings'!$AY$88,'Snowball workings'!$AY$88))</f>
      </c>
    </row>
    <row r="87" spans="1:25" x14ac:dyDescent="0.25">
      <c r="A87" s="2">
        <f>IF(82&gt;$Z$1,"",82)</f>
      </c>
      <c r="B87" s="28">
        <f>IF(82&gt;$Z$1,"",EDATE('Your debts'!$D$21,81))</f>
      </c>
      <c r="C87" s="29">
        <f>IF(82&gt;$Z$1,"",IF('Your debts'!$D$20="Avalanche",'Avalanche workings'!$BC$89,'Snowball workings'!$BC$89))</f>
      </c>
      <c r="D87" s="29">
        <f>IF(82&gt;$Z$1,"",IF('Your debts'!$D$20="Avalanche",'Avalanche workings'!$BA$89,'Snowball workings'!$BA$89))</f>
      </c>
      <c r="E87" s="29">
        <f>IF(82&gt;$Z$1,"",IF('Your debts'!$D$20="Avalanche",'Avalanche workings'!$BB$89,'Snowball workings'!$BB$89))</f>
      </c>
      <c r="F87" s="29">
        <f>IF(OR(82&gt;$Z$1,NOT(OR('Your debts'!$B$6&lt;&gt;"",N('Your debts'!$C$6)&gt;0))),"",IF('Your debts'!$D$20="Avalanche",'Avalanche workings'!$L$89,'Snowball workings'!$L$89)+IF('Your debts'!$D$20="Avalanche",'Avalanche workings'!$AF$89,'Snowball workings'!$AF$89))</f>
      </c>
      <c r="G87" s="30">
        <f>IF(OR(82&gt;$Z$1,NOT(OR('Your debts'!$B$6&lt;&gt;"",N('Your debts'!$C$6)&gt;0))),"",IF('Your debts'!$D$20="Avalanche",'Avalanche workings'!$AP$89,'Snowball workings'!$AP$89))</f>
      </c>
      <c r="H87" s="29">
        <f>IF(OR(82&gt;$Z$1,NOT(OR('Your debts'!$B$7&lt;&gt;"",N('Your debts'!$C$7)&gt;0))),"",IF('Your debts'!$D$20="Avalanche",'Avalanche workings'!$M$89,'Snowball workings'!$M$89)+IF('Your debts'!$D$20="Avalanche",'Avalanche workings'!$AG$89,'Snowball workings'!$AG$89))</f>
      </c>
      <c r="I87" s="30">
        <f>IF(OR(82&gt;$Z$1,NOT(OR('Your debts'!$B$7&lt;&gt;"",N('Your debts'!$C$7)&gt;0))),"",IF('Your debts'!$D$20="Avalanche",'Avalanche workings'!$AQ$89,'Snowball workings'!$AQ$89))</f>
      </c>
      <c r="J87" s="29">
        <f>IF(OR(82&gt;$Z$1,NOT(OR('Your debts'!$B$8&lt;&gt;"",N('Your debts'!$C$8)&gt;0))),"",IF('Your debts'!$D$20="Avalanche",'Avalanche workings'!$N$89,'Snowball workings'!$N$89)+IF('Your debts'!$D$20="Avalanche",'Avalanche workings'!$AH$89,'Snowball workings'!$AH$89))</f>
      </c>
      <c r="K87" s="30">
        <f>IF(OR(82&gt;$Z$1,NOT(OR('Your debts'!$B$8&lt;&gt;"",N('Your debts'!$C$8)&gt;0))),"",IF('Your debts'!$D$20="Avalanche",'Avalanche workings'!$AR$89,'Snowball workings'!$AR$89))</f>
      </c>
      <c r="L87" s="29">
        <f>IF(OR(82&gt;$Z$1,NOT(OR('Your debts'!$B$9&lt;&gt;"",N('Your debts'!$C$9)&gt;0))),"",IF('Your debts'!$D$20="Avalanche",'Avalanche workings'!$O$89,'Snowball workings'!$O$89)+IF('Your debts'!$D$20="Avalanche",'Avalanche workings'!$AI$89,'Snowball workings'!$AI$89))</f>
      </c>
      <c r="M87" s="30">
        <f>IF(OR(82&gt;$Z$1,NOT(OR('Your debts'!$B$9&lt;&gt;"",N('Your debts'!$C$9)&gt;0))),"",IF('Your debts'!$D$20="Avalanche",'Avalanche workings'!$AS$89,'Snowball workings'!$AS$89))</f>
      </c>
      <c r="N87" s="29">
        <f>IF(OR(82&gt;$Z$1,NOT(OR('Your debts'!$B$10&lt;&gt;"",N('Your debts'!$C$10)&gt;0))),"",IF('Your debts'!$D$20="Avalanche",'Avalanche workings'!$P$89,'Snowball workings'!$P$89)+IF('Your debts'!$D$20="Avalanche",'Avalanche workings'!$AJ$89,'Snowball workings'!$AJ$89))</f>
      </c>
      <c r="O87" s="30">
        <f>IF(OR(82&gt;$Z$1,NOT(OR('Your debts'!$B$10&lt;&gt;"",N('Your debts'!$C$10)&gt;0))),"",IF('Your debts'!$D$20="Avalanche",'Avalanche workings'!$AT$89,'Snowball workings'!$AT$89))</f>
      </c>
      <c r="P87" s="29">
        <f>IF(OR(82&gt;$Z$1,NOT(OR('Your debts'!$B$11&lt;&gt;"",N('Your debts'!$C$11)&gt;0))),"",IF('Your debts'!$D$20="Avalanche",'Avalanche workings'!$Q$89,'Snowball workings'!$Q$89)+IF('Your debts'!$D$20="Avalanche",'Avalanche workings'!$AK$89,'Snowball workings'!$AK$89))</f>
      </c>
      <c r="Q87" s="30">
        <f>IF(OR(82&gt;$Z$1,NOT(OR('Your debts'!$B$11&lt;&gt;"",N('Your debts'!$C$11)&gt;0))),"",IF('Your debts'!$D$20="Avalanche",'Avalanche workings'!$AU$89,'Snowball workings'!$AU$89))</f>
      </c>
      <c r="R87" s="29">
        <f>IF(OR(82&gt;$Z$1,NOT(OR('Your debts'!$B$12&lt;&gt;"",N('Your debts'!$C$12)&gt;0))),"",IF('Your debts'!$D$20="Avalanche",'Avalanche workings'!$R$89,'Snowball workings'!$R$89)+IF('Your debts'!$D$20="Avalanche",'Avalanche workings'!$AL$89,'Snowball workings'!$AL$89))</f>
      </c>
      <c r="S87" s="30">
        <f>IF(OR(82&gt;$Z$1,NOT(OR('Your debts'!$B$12&lt;&gt;"",N('Your debts'!$C$12)&gt;0))),"",IF('Your debts'!$D$20="Avalanche",'Avalanche workings'!$AV$89,'Snowball workings'!$AV$89))</f>
      </c>
      <c r="T87" s="29">
        <f>IF(OR(82&gt;$Z$1,NOT(OR('Your debts'!$B$13&lt;&gt;"",N('Your debts'!$C$13)&gt;0))),"",IF('Your debts'!$D$20="Avalanche",'Avalanche workings'!$S$89,'Snowball workings'!$S$89)+IF('Your debts'!$D$20="Avalanche",'Avalanche workings'!$AM$89,'Snowball workings'!$AM$89))</f>
      </c>
      <c r="U87" s="30">
        <f>IF(OR(82&gt;$Z$1,NOT(OR('Your debts'!$B$13&lt;&gt;"",N('Your debts'!$C$13)&gt;0))),"",IF('Your debts'!$D$20="Avalanche",'Avalanche workings'!$AW$89,'Snowball workings'!$AW$89))</f>
      </c>
      <c r="V87" s="29">
        <f>IF(OR(82&gt;$Z$1,NOT(OR('Your debts'!$B$14&lt;&gt;"",N('Your debts'!$C$14)&gt;0))),"",IF('Your debts'!$D$20="Avalanche",'Avalanche workings'!$T$89,'Snowball workings'!$T$89)+IF('Your debts'!$D$20="Avalanche",'Avalanche workings'!$AN$89,'Snowball workings'!$AN$89))</f>
      </c>
      <c r="W87" s="30">
        <f>IF(OR(82&gt;$Z$1,NOT(OR('Your debts'!$B$14&lt;&gt;"",N('Your debts'!$C$14)&gt;0))),"",IF('Your debts'!$D$20="Avalanche",'Avalanche workings'!$AX$89,'Snowball workings'!$AX$89))</f>
      </c>
      <c r="X87" s="29">
        <f>IF(OR(82&gt;$Z$1,NOT(OR('Your debts'!$B$15&lt;&gt;"",N('Your debts'!$C$15)&gt;0))),"",IF('Your debts'!$D$20="Avalanche",'Avalanche workings'!$U$89,'Snowball workings'!$U$89)+IF('Your debts'!$D$20="Avalanche",'Avalanche workings'!$AO$89,'Snowball workings'!$AO$89))</f>
      </c>
      <c r="Y87" s="30">
        <f>IF(OR(82&gt;$Z$1,NOT(OR('Your debts'!$B$15&lt;&gt;"",N('Your debts'!$C$15)&gt;0))),"",IF('Your debts'!$D$20="Avalanche",'Avalanche workings'!$AY$89,'Snowball workings'!$AY$89))</f>
      </c>
    </row>
    <row r="88" spans="1:25" x14ac:dyDescent="0.25">
      <c r="A88" s="2">
        <f>IF(83&gt;$Z$1,"",83)</f>
      </c>
      <c r="B88" s="28">
        <f>IF(83&gt;$Z$1,"",EDATE('Your debts'!$D$21,82))</f>
      </c>
      <c r="C88" s="29">
        <f>IF(83&gt;$Z$1,"",IF('Your debts'!$D$20="Avalanche",'Avalanche workings'!$BC$90,'Snowball workings'!$BC$90))</f>
      </c>
      <c r="D88" s="29">
        <f>IF(83&gt;$Z$1,"",IF('Your debts'!$D$20="Avalanche",'Avalanche workings'!$BA$90,'Snowball workings'!$BA$90))</f>
      </c>
      <c r="E88" s="29">
        <f>IF(83&gt;$Z$1,"",IF('Your debts'!$D$20="Avalanche",'Avalanche workings'!$BB$90,'Snowball workings'!$BB$90))</f>
      </c>
      <c r="F88" s="29">
        <f>IF(OR(83&gt;$Z$1,NOT(OR('Your debts'!$B$6&lt;&gt;"",N('Your debts'!$C$6)&gt;0))),"",IF('Your debts'!$D$20="Avalanche",'Avalanche workings'!$L$90,'Snowball workings'!$L$90)+IF('Your debts'!$D$20="Avalanche",'Avalanche workings'!$AF$90,'Snowball workings'!$AF$90))</f>
      </c>
      <c r="G88" s="30">
        <f>IF(OR(83&gt;$Z$1,NOT(OR('Your debts'!$B$6&lt;&gt;"",N('Your debts'!$C$6)&gt;0))),"",IF('Your debts'!$D$20="Avalanche",'Avalanche workings'!$AP$90,'Snowball workings'!$AP$90))</f>
      </c>
      <c r="H88" s="29">
        <f>IF(OR(83&gt;$Z$1,NOT(OR('Your debts'!$B$7&lt;&gt;"",N('Your debts'!$C$7)&gt;0))),"",IF('Your debts'!$D$20="Avalanche",'Avalanche workings'!$M$90,'Snowball workings'!$M$90)+IF('Your debts'!$D$20="Avalanche",'Avalanche workings'!$AG$90,'Snowball workings'!$AG$90))</f>
      </c>
      <c r="I88" s="30">
        <f>IF(OR(83&gt;$Z$1,NOT(OR('Your debts'!$B$7&lt;&gt;"",N('Your debts'!$C$7)&gt;0))),"",IF('Your debts'!$D$20="Avalanche",'Avalanche workings'!$AQ$90,'Snowball workings'!$AQ$90))</f>
      </c>
      <c r="J88" s="29">
        <f>IF(OR(83&gt;$Z$1,NOT(OR('Your debts'!$B$8&lt;&gt;"",N('Your debts'!$C$8)&gt;0))),"",IF('Your debts'!$D$20="Avalanche",'Avalanche workings'!$N$90,'Snowball workings'!$N$90)+IF('Your debts'!$D$20="Avalanche",'Avalanche workings'!$AH$90,'Snowball workings'!$AH$90))</f>
      </c>
      <c r="K88" s="30">
        <f>IF(OR(83&gt;$Z$1,NOT(OR('Your debts'!$B$8&lt;&gt;"",N('Your debts'!$C$8)&gt;0))),"",IF('Your debts'!$D$20="Avalanche",'Avalanche workings'!$AR$90,'Snowball workings'!$AR$90))</f>
      </c>
      <c r="L88" s="29">
        <f>IF(OR(83&gt;$Z$1,NOT(OR('Your debts'!$B$9&lt;&gt;"",N('Your debts'!$C$9)&gt;0))),"",IF('Your debts'!$D$20="Avalanche",'Avalanche workings'!$O$90,'Snowball workings'!$O$90)+IF('Your debts'!$D$20="Avalanche",'Avalanche workings'!$AI$90,'Snowball workings'!$AI$90))</f>
      </c>
      <c r="M88" s="30">
        <f>IF(OR(83&gt;$Z$1,NOT(OR('Your debts'!$B$9&lt;&gt;"",N('Your debts'!$C$9)&gt;0))),"",IF('Your debts'!$D$20="Avalanche",'Avalanche workings'!$AS$90,'Snowball workings'!$AS$90))</f>
      </c>
      <c r="N88" s="29">
        <f>IF(OR(83&gt;$Z$1,NOT(OR('Your debts'!$B$10&lt;&gt;"",N('Your debts'!$C$10)&gt;0))),"",IF('Your debts'!$D$20="Avalanche",'Avalanche workings'!$P$90,'Snowball workings'!$P$90)+IF('Your debts'!$D$20="Avalanche",'Avalanche workings'!$AJ$90,'Snowball workings'!$AJ$90))</f>
      </c>
      <c r="O88" s="30">
        <f>IF(OR(83&gt;$Z$1,NOT(OR('Your debts'!$B$10&lt;&gt;"",N('Your debts'!$C$10)&gt;0))),"",IF('Your debts'!$D$20="Avalanche",'Avalanche workings'!$AT$90,'Snowball workings'!$AT$90))</f>
      </c>
      <c r="P88" s="29">
        <f>IF(OR(83&gt;$Z$1,NOT(OR('Your debts'!$B$11&lt;&gt;"",N('Your debts'!$C$11)&gt;0))),"",IF('Your debts'!$D$20="Avalanche",'Avalanche workings'!$Q$90,'Snowball workings'!$Q$90)+IF('Your debts'!$D$20="Avalanche",'Avalanche workings'!$AK$90,'Snowball workings'!$AK$90))</f>
      </c>
      <c r="Q88" s="30">
        <f>IF(OR(83&gt;$Z$1,NOT(OR('Your debts'!$B$11&lt;&gt;"",N('Your debts'!$C$11)&gt;0))),"",IF('Your debts'!$D$20="Avalanche",'Avalanche workings'!$AU$90,'Snowball workings'!$AU$90))</f>
      </c>
      <c r="R88" s="29">
        <f>IF(OR(83&gt;$Z$1,NOT(OR('Your debts'!$B$12&lt;&gt;"",N('Your debts'!$C$12)&gt;0))),"",IF('Your debts'!$D$20="Avalanche",'Avalanche workings'!$R$90,'Snowball workings'!$R$90)+IF('Your debts'!$D$20="Avalanche",'Avalanche workings'!$AL$90,'Snowball workings'!$AL$90))</f>
      </c>
      <c r="S88" s="30">
        <f>IF(OR(83&gt;$Z$1,NOT(OR('Your debts'!$B$12&lt;&gt;"",N('Your debts'!$C$12)&gt;0))),"",IF('Your debts'!$D$20="Avalanche",'Avalanche workings'!$AV$90,'Snowball workings'!$AV$90))</f>
      </c>
      <c r="T88" s="29">
        <f>IF(OR(83&gt;$Z$1,NOT(OR('Your debts'!$B$13&lt;&gt;"",N('Your debts'!$C$13)&gt;0))),"",IF('Your debts'!$D$20="Avalanche",'Avalanche workings'!$S$90,'Snowball workings'!$S$90)+IF('Your debts'!$D$20="Avalanche",'Avalanche workings'!$AM$90,'Snowball workings'!$AM$90))</f>
      </c>
      <c r="U88" s="30">
        <f>IF(OR(83&gt;$Z$1,NOT(OR('Your debts'!$B$13&lt;&gt;"",N('Your debts'!$C$13)&gt;0))),"",IF('Your debts'!$D$20="Avalanche",'Avalanche workings'!$AW$90,'Snowball workings'!$AW$90))</f>
      </c>
      <c r="V88" s="29">
        <f>IF(OR(83&gt;$Z$1,NOT(OR('Your debts'!$B$14&lt;&gt;"",N('Your debts'!$C$14)&gt;0))),"",IF('Your debts'!$D$20="Avalanche",'Avalanche workings'!$T$90,'Snowball workings'!$T$90)+IF('Your debts'!$D$20="Avalanche",'Avalanche workings'!$AN$90,'Snowball workings'!$AN$90))</f>
      </c>
      <c r="W88" s="30">
        <f>IF(OR(83&gt;$Z$1,NOT(OR('Your debts'!$B$14&lt;&gt;"",N('Your debts'!$C$14)&gt;0))),"",IF('Your debts'!$D$20="Avalanche",'Avalanche workings'!$AX$90,'Snowball workings'!$AX$90))</f>
      </c>
      <c r="X88" s="29">
        <f>IF(OR(83&gt;$Z$1,NOT(OR('Your debts'!$B$15&lt;&gt;"",N('Your debts'!$C$15)&gt;0))),"",IF('Your debts'!$D$20="Avalanche",'Avalanche workings'!$U$90,'Snowball workings'!$U$90)+IF('Your debts'!$D$20="Avalanche",'Avalanche workings'!$AO$90,'Snowball workings'!$AO$90))</f>
      </c>
      <c r="Y88" s="30">
        <f>IF(OR(83&gt;$Z$1,NOT(OR('Your debts'!$B$15&lt;&gt;"",N('Your debts'!$C$15)&gt;0))),"",IF('Your debts'!$D$20="Avalanche",'Avalanche workings'!$AY$90,'Snowball workings'!$AY$90))</f>
      </c>
    </row>
    <row r="89" spans="1:25" x14ac:dyDescent="0.25">
      <c r="A89" s="2">
        <f>IF(84&gt;$Z$1,"",84)</f>
      </c>
      <c r="B89" s="28">
        <f>IF(84&gt;$Z$1,"",EDATE('Your debts'!$D$21,83))</f>
      </c>
      <c r="C89" s="29">
        <f>IF(84&gt;$Z$1,"",IF('Your debts'!$D$20="Avalanche",'Avalanche workings'!$BC$91,'Snowball workings'!$BC$91))</f>
      </c>
      <c r="D89" s="29">
        <f>IF(84&gt;$Z$1,"",IF('Your debts'!$D$20="Avalanche",'Avalanche workings'!$BA$91,'Snowball workings'!$BA$91))</f>
      </c>
      <c r="E89" s="29">
        <f>IF(84&gt;$Z$1,"",IF('Your debts'!$D$20="Avalanche",'Avalanche workings'!$BB$91,'Snowball workings'!$BB$91))</f>
      </c>
      <c r="F89" s="29">
        <f>IF(OR(84&gt;$Z$1,NOT(OR('Your debts'!$B$6&lt;&gt;"",N('Your debts'!$C$6)&gt;0))),"",IF('Your debts'!$D$20="Avalanche",'Avalanche workings'!$L$91,'Snowball workings'!$L$91)+IF('Your debts'!$D$20="Avalanche",'Avalanche workings'!$AF$91,'Snowball workings'!$AF$91))</f>
      </c>
      <c r="G89" s="30">
        <f>IF(OR(84&gt;$Z$1,NOT(OR('Your debts'!$B$6&lt;&gt;"",N('Your debts'!$C$6)&gt;0))),"",IF('Your debts'!$D$20="Avalanche",'Avalanche workings'!$AP$91,'Snowball workings'!$AP$91))</f>
      </c>
      <c r="H89" s="29">
        <f>IF(OR(84&gt;$Z$1,NOT(OR('Your debts'!$B$7&lt;&gt;"",N('Your debts'!$C$7)&gt;0))),"",IF('Your debts'!$D$20="Avalanche",'Avalanche workings'!$M$91,'Snowball workings'!$M$91)+IF('Your debts'!$D$20="Avalanche",'Avalanche workings'!$AG$91,'Snowball workings'!$AG$91))</f>
      </c>
      <c r="I89" s="30">
        <f>IF(OR(84&gt;$Z$1,NOT(OR('Your debts'!$B$7&lt;&gt;"",N('Your debts'!$C$7)&gt;0))),"",IF('Your debts'!$D$20="Avalanche",'Avalanche workings'!$AQ$91,'Snowball workings'!$AQ$91))</f>
      </c>
      <c r="J89" s="29">
        <f>IF(OR(84&gt;$Z$1,NOT(OR('Your debts'!$B$8&lt;&gt;"",N('Your debts'!$C$8)&gt;0))),"",IF('Your debts'!$D$20="Avalanche",'Avalanche workings'!$N$91,'Snowball workings'!$N$91)+IF('Your debts'!$D$20="Avalanche",'Avalanche workings'!$AH$91,'Snowball workings'!$AH$91))</f>
      </c>
      <c r="K89" s="30">
        <f>IF(OR(84&gt;$Z$1,NOT(OR('Your debts'!$B$8&lt;&gt;"",N('Your debts'!$C$8)&gt;0))),"",IF('Your debts'!$D$20="Avalanche",'Avalanche workings'!$AR$91,'Snowball workings'!$AR$91))</f>
      </c>
      <c r="L89" s="29">
        <f>IF(OR(84&gt;$Z$1,NOT(OR('Your debts'!$B$9&lt;&gt;"",N('Your debts'!$C$9)&gt;0))),"",IF('Your debts'!$D$20="Avalanche",'Avalanche workings'!$O$91,'Snowball workings'!$O$91)+IF('Your debts'!$D$20="Avalanche",'Avalanche workings'!$AI$91,'Snowball workings'!$AI$91))</f>
      </c>
      <c r="M89" s="30">
        <f>IF(OR(84&gt;$Z$1,NOT(OR('Your debts'!$B$9&lt;&gt;"",N('Your debts'!$C$9)&gt;0))),"",IF('Your debts'!$D$20="Avalanche",'Avalanche workings'!$AS$91,'Snowball workings'!$AS$91))</f>
      </c>
      <c r="N89" s="29">
        <f>IF(OR(84&gt;$Z$1,NOT(OR('Your debts'!$B$10&lt;&gt;"",N('Your debts'!$C$10)&gt;0))),"",IF('Your debts'!$D$20="Avalanche",'Avalanche workings'!$P$91,'Snowball workings'!$P$91)+IF('Your debts'!$D$20="Avalanche",'Avalanche workings'!$AJ$91,'Snowball workings'!$AJ$91))</f>
      </c>
      <c r="O89" s="30">
        <f>IF(OR(84&gt;$Z$1,NOT(OR('Your debts'!$B$10&lt;&gt;"",N('Your debts'!$C$10)&gt;0))),"",IF('Your debts'!$D$20="Avalanche",'Avalanche workings'!$AT$91,'Snowball workings'!$AT$91))</f>
      </c>
      <c r="P89" s="29">
        <f>IF(OR(84&gt;$Z$1,NOT(OR('Your debts'!$B$11&lt;&gt;"",N('Your debts'!$C$11)&gt;0))),"",IF('Your debts'!$D$20="Avalanche",'Avalanche workings'!$Q$91,'Snowball workings'!$Q$91)+IF('Your debts'!$D$20="Avalanche",'Avalanche workings'!$AK$91,'Snowball workings'!$AK$91))</f>
      </c>
      <c r="Q89" s="30">
        <f>IF(OR(84&gt;$Z$1,NOT(OR('Your debts'!$B$11&lt;&gt;"",N('Your debts'!$C$11)&gt;0))),"",IF('Your debts'!$D$20="Avalanche",'Avalanche workings'!$AU$91,'Snowball workings'!$AU$91))</f>
      </c>
      <c r="R89" s="29">
        <f>IF(OR(84&gt;$Z$1,NOT(OR('Your debts'!$B$12&lt;&gt;"",N('Your debts'!$C$12)&gt;0))),"",IF('Your debts'!$D$20="Avalanche",'Avalanche workings'!$R$91,'Snowball workings'!$R$91)+IF('Your debts'!$D$20="Avalanche",'Avalanche workings'!$AL$91,'Snowball workings'!$AL$91))</f>
      </c>
      <c r="S89" s="30">
        <f>IF(OR(84&gt;$Z$1,NOT(OR('Your debts'!$B$12&lt;&gt;"",N('Your debts'!$C$12)&gt;0))),"",IF('Your debts'!$D$20="Avalanche",'Avalanche workings'!$AV$91,'Snowball workings'!$AV$91))</f>
      </c>
      <c r="T89" s="29">
        <f>IF(OR(84&gt;$Z$1,NOT(OR('Your debts'!$B$13&lt;&gt;"",N('Your debts'!$C$13)&gt;0))),"",IF('Your debts'!$D$20="Avalanche",'Avalanche workings'!$S$91,'Snowball workings'!$S$91)+IF('Your debts'!$D$20="Avalanche",'Avalanche workings'!$AM$91,'Snowball workings'!$AM$91))</f>
      </c>
      <c r="U89" s="30">
        <f>IF(OR(84&gt;$Z$1,NOT(OR('Your debts'!$B$13&lt;&gt;"",N('Your debts'!$C$13)&gt;0))),"",IF('Your debts'!$D$20="Avalanche",'Avalanche workings'!$AW$91,'Snowball workings'!$AW$91))</f>
      </c>
      <c r="V89" s="29">
        <f>IF(OR(84&gt;$Z$1,NOT(OR('Your debts'!$B$14&lt;&gt;"",N('Your debts'!$C$14)&gt;0))),"",IF('Your debts'!$D$20="Avalanche",'Avalanche workings'!$T$91,'Snowball workings'!$T$91)+IF('Your debts'!$D$20="Avalanche",'Avalanche workings'!$AN$91,'Snowball workings'!$AN$91))</f>
      </c>
      <c r="W89" s="30">
        <f>IF(OR(84&gt;$Z$1,NOT(OR('Your debts'!$B$14&lt;&gt;"",N('Your debts'!$C$14)&gt;0))),"",IF('Your debts'!$D$20="Avalanche",'Avalanche workings'!$AX$91,'Snowball workings'!$AX$91))</f>
      </c>
      <c r="X89" s="29">
        <f>IF(OR(84&gt;$Z$1,NOT(OR('Your debts'!$B$15&lt;&gt;"",N('Your debts'!$C$15)&gt;0))),"",IF('Your debts'!$D$20="Avalanche",'Avalanche workings'!$U$91,'Snowball workings'!$U$91)+IF('Your debts'!$D$20="Avalanche",'Avalanche workings'!$AO$91,'Snowball workings'!$AO$91))</f>
      </c>
      <c r="Y89" s="30">
        <f>IF(OR(84&gt;$Z$1,NOT(OR('Your debts'!$B$15&lt;&gt;"",N('Your debts'!$C$15)&gt;0))),"",IF('Your debts'!$D$20="Avalanche",'Avalanche workings'!$AY$91,'Snowball workings'!$AY$91))</f>
      </c>
    </row>
    <row r="90" spans="1:25" x14ac:dyDescent="0.25">
      <c r="A90" s="2">
        <f>IF(85&gt;$Z$1,"",85)</f>
      </c>
      <c r="B90" s="28">
        <f>IF(85&gt;$Z$1,"",EDATE('Your debts'!$D$21,84))</f>
      </c>
      <c r="C90" s="29">
        <f>IF(85&gt;$Z$1,"",IF('Your debts'!$D$20="Avalanche",'Avalanche workings'!$BC$92,'Snowball workings'!$BC$92))</f>
      </c>
      <c r="D90" s="29">
        <f>IF(85&gt;$Z$1,"",IF('Your debts'!$D$20="Avalanche",'Avalanche workings'!$BA$92,'Snowball workings'!$BA$92))</f>
      </c>
      <c r="E90" s="29">
        <f>IF(85&gt;$Z$1,"",IF('Your debts'!$D$20="Avalanche",'Avalanche workings'!$BB$92,'Snowball workings'!$BB$92))</f>
      </c>
      <c r="F90" s="29">
        <f>IF(OR(85&gt;$Z$1,NOT(OR('Your debts'!$B$6&lt;&gt;"",N('Your debts'!$C$6)&gt;0))),"",IF('Your debts'!$D$20="Avalanche",'Avalanche workings'!$L$92,'Snowball workings'!$L$92)+IF('Your debts'!$D$20="Avalanche",'Avalanche workings'!$AF$92,'Snowball workings'!$AF$92))</f>
      </c>
      <c r="G90" s="30">
        <f>IF(OR(85&gt;$Z$1,NOT(OR('Your debts'!$B$6&lt;&gt;"",N('Your debts'!$C$6)&gt;0))),"",IF('Your debts'!$D$20="Avalanche",'Avalanche workings'!$AP$92,'Snowball workings'!$AP$92))</f>
      </c>
      <c r="H90" s="29">
        <f>IF(OR(85&gt;$Z$1,NOT(OR('Your debts'!$B$7&lt;&gt;"",N('Your debts'!$C$7)&gt;0))),"",IF('Your debts'!$D$20="Avalanche",'Avalanche workings'!$M$92,'Snowball workings'!$M$92)+IF('Your debts'!$D$20="Avalanche",'Avalanche workings'!$AG$92,'Snowball workings'!$AG$92))</f>
      </c>
      <c r="I90" s="30">
        <f>IF(OR(85&gt;$Z$1,NOT(OR('Your debts'!$B$7&lt;&gt;"",N('Your debts'!$C$7)&gt;0))),"",IF('Your debts'!$D$20="Avalanche",'Avalanche workings'!$AQ$92,'Snowball workings'!$AQ$92))</f>
      </c>
      <c r="J90" s="29">
        <f>IF(OR(85&gt;$Z$1,NOT(OR('Your debts'!$B$8&lt;&gt;"",N('Your debts'!$C$8)&gt;0))),"",IF('Your debts'!$D$20="Avalanche",'Avalanche workings'!$N$92,'Snowball workings'!$N$92)+IF('Your debts'!$D$20="Avalanche",'Avalanche workings'!$AH$92,'Snowball workings'!$AH$92))</f>
      </c>
      <c r="K90" s="30">
        <f>IF(OR(85&gt;$Z$1,NOT(OR('Your debts'!$B$8&lt;&gt;"",N('Your debts'!$C$8)&gt;0))),"",IF('Your debts'!$D$20="Avalanche",'Avalanche workings'!$AR$92,'Snowball workings'!$AR$92))</f>
      </c>
      <c r="L90" s="29">
        <f>IF(OR(85&gt;$Z$1,NOT(OR('Your debts'!$B$9&lt;&gt;"",N('Your debts'!$C$9)&gt;0))),"",IF('Your debts'!$D$20="Avalanche",'Avalanche workings'!$O$92,'Snowball workings'!$O$92)+IF('Your debts'!$D$20="Avalanche",'Avalanche workings'!$AI$92,'Snowball workings'!$AI$92))</f>
      </c>
      <c r="M90" s="30">
        <f>IF(OR(85&gt;$Z$1,NOT(OR('Your debts'!$B$9&lt;&gt;"",N('Your debts'!$C$9)&gt;0))),"",IF('Your debts'!$D$20="Avalanche",'Avalanche workings'!$AS$92,'Snowball workings'!$AS$92))</f>
      </c>
      <c r="N90" s="29">
        <f>IF(OR(85&gt;$Z$1,NOT(OR('Your debts'!$B$10&lt;&gt;"",N('Your debts'!$C$10)&gt;0))),"",IF('Your debts'!$D$20="Avalanche",'Avalanche workings'!$P$92,'Snowball workings'!$P$92)+IF('Your debts'!$D$20="Avalanche",'Avalanche workings'!$AJ$92,'Snowball workings'!$AJ$92))</f>
      </c>
      <c r="O90" s="30">
        <f>IF(OR(85&gt;$Z$1,NOT(OR('Your debts'!$B$10&lt;&gt;"",N('Your debts'!$C$10)&gt;0))),"",IF('Your debts'!$D$20="Avalanche",'Avalanche workings'!$AT$92,'Snowball workings'!$AT$92))</f>
      </c>
      <c r="P90" s="29">
        <f>IF(OR(85&gt;$Z$1,NOT(OR('Your debts'!$B$11&lt;&gt;"",N('Your debts'!$C$11)&gt;0))),"",IF('Your debts'!$D$20="Avalanche",'Avalanche workings'!$Q$92,'Snowball workings'!$Q$92)+IF('Your debts'!$D$20="Avalanche",'Avalanche workings'!$AK$92,'Snowball workings'!$AK$92))</f>
      </c>
      <c r="Q90" s="30">
        <f>IF(OR(85&gt;$Z$1,NOT(OR('Your debts'!$B$11&lt;&gt;"",N('Your debts'!$C$11)&gt;0))),"",IF('Your debts'!$D$20="Avalanche",'Avalanche workings'!$AU$92,'Snowball workings'!$AU$92))</f>
      </c>
      <c r="R90" s="29">
        <f>IF(OR(85&gt;$Z$1,NOT(OR('Your debts'!$B$12&lt;&gt;"",N('Your debts'!$C$12)&gt;0))),"",IF('Your debts'!$D$20="Avalanche",'Avalanche workings'!$R$92,'Snowball workings'!$R$92)+IF('Your debts'!$D$20="Avalanche",'Avalanche workings'!$AL$92,'Snowball workings'!$AL$92))</f>
      </c>
      <c r="S90" s="30">
        <f>IF(OR(85&gt;$Z$1,NOT(OR('Your debts'!$B$12&lt;&gt;"",N('Your debts'!$C$12)&gt;0))),"",IF('Your debts'!$D$20="Avalanche",'Avalanche workings'!$AV$92,'Snowball workings'!$AV$92))</f>
      </c>
      <c r="T90" s="29">
        <f>IF(OR(85&gt;$Z$1,NOT(OR('Your debts'!$B$13&lt;&gt;"",N('Your debts'!$C$13)&gt;0))),"",IF('Your debts'!$D$20="Avalanche",'Avalanche workings'!$S$92,'Snowball workings'!$S$92)+IF('Your debts'!$D$20="Avalanche",'Avalanche workings'!$AM$92,'Snowball workings'!$AM$92))</f>
      </c>
      <c r="U90" s="30">
        <f>IF(OR(85&gt;$Z$1,NOT(OR('Your debts'!$B$13&lt;&gt;"",N('Your debts'!$C$13)&gt;0))),"",IF('Your debts'!$D$20="Avalanche",'Avalanche workings'!$AW$92,'Snowball workings'!$AW$92))</f>
      </c>
      <c r="V90" s="29">
        <f>IF(OR(85&gt;$Z$1,NOT(OR('Your debts'!$B$14&lt;&gt;"",N('Your debts'!$C$14)&gt;0))),"",IF('Your debts'!$D$20="Avalanche",'Avalanche workings'!$T$92,'Snowball workings'!$T$92)+IF('Your debts'!$D$20="Avalanche",'Avalanche workings'!$AN$92,'Snowball workings'!$AN$92))</f>
      </c>
      <c r="W90" s="30">
        <f>IF(OR(85&gt;$Z$1,NOT(OR('Your debts'!$B$14&lt;&gt;"",N('Your debts'!$C$14)&gt;0))),"",IF('Your debts'!$D$20="Avalanche",'Avalanche workings'!$AX$92,'Snowball workings'!$AX$92))</f>
      </c>
      <c r="X90" s="29">
        <f>IF(OR(85&gt;$Z$1,NOT(OR('Your debts'!$B$15&lt;&gt;"",N('Your debts'!$C$15)&gt;0))),"",IF('Your debts'!$D$20="Avalanche",'Avalanche workings'!$U$92,'Snowball workings'!$U$92)+IF('Your debts'!$D$20="Avalanche",'Avalanche workings'!$AO$92,'Snowball workings'!$AO$92))</f>
      </c>
      <c r="Y90" s="30">
        <f>IF(OR(85&gt;$Z$1,NOT(OR('Your debts'!$B$15&lt;&gt;"",N('Your debts'!$C$15)&gt;0))),"",IF('Your debts'!$D$20="Avalanche",'Avalanche workings'!$AY$92,'Snowball workings'!$AY$92))</f>
      </c>
    </row>
    <row r="91" spans="1:25" x14ac:dyDescent="0.25">
      <c r="A91" s="2">
        <f>IF(86&gt;$Z$1,"",86)</f>
      </c>
      <c r="B91" s="28">
        <f>IF(86&gt;$Z$1,"",EDATE('Your debts'!$D$21,85))</f>
      </c>
      <c r="C91" s="29">
        <f>IF(86&gt;$Z$1,"",IF('Your debts'!$D$20="Avalanche",'Avalanche workings'!$BC$93,'Snowball workings'!$BC$93))</f>
      </c>
      <c r="D91" s="29">
        <f>IF(86&gt;$Z$1,"",IF('Your debts'!$D$20="Avalanche",'Avalanche workings'!$BA$93,'Snowball workings'!$BA$93))</f>
      </c>
      <c r="E91" s="29">
        <f>IF(86&gt;$Z$1,"",IF('Your debts'!$D$20="Avalanche",'Avalanche workings'!$BB$93,'Snowball workings'!$BB$93))</f>
      </c>
      <c r="F91" s="29">
        <f>IF(OR(86&gt;$Z$1,NOT(OR('Your debts'!$B$6&lt;&gt;"",N('Your debts'!$C$6)&gt;0))),"",IF('Your debts'!$D$20="Avalanche",'Avalanche workings'!$L$93,'Snowball workings'!$L$93)+IF('Your debts'!$D$20="Avalanche",'Avalanche workings'!$AF$93,'Snowball workings'!$AF$93))</f>
      </c>
      <c r="G91" s="30">
        <f>IF(OR(86&gt;$Z$1,NOT(OR('Your debts'!$B$6&lt;&gt;"",N('Your debts'!$C$6)&gt;0))),"",IF('Your debts'!$D$20="Avalanche",'Avalanche workings'!$AP$93,'Snowball workings'!$AP$93))</f>
      </c>
      <c r="H91" s="29">
        <f>IF(OR(86&gt;$Z$1,NOT(OR('Your debts'!$B$7&lt;&gt;"",N('Your debts'!$C$7)&gt;0))),"",IF('Your debts'!$D$20="Avalanche",'Avalanche workings'!$M$93,'Snowball workings'!$M$93)+IF('Your debts'!$D$20="Avalanche",'Avalanche workings'!$AG$93,'Snowball workings'!$AG$93))</f>
      </c>
      <c r="I91" s="30">
        <f>IF(OR(86&gt;$Z$1,NOT(OR('Your debts'!$B$7&lt;&gt;"",N('Your debts'!$C$7)&gt;0))),"",IF('Your debts'!$D$20="Avalanche",'Avalanche workings'!$AQ$93,'Snowball workings'!$AQ$93))</f>
      </c>
      <c r="J91" s="29">
        <f>IF(OR(86&gt;$Z$1,NOT(OR('Your debts'!$B$8&lt;&gt;"",N('Your debts'!$C$8)&gt;0))),"",IF('Your debts'!$D$20="Avalanche",'Avalanche workings'!$N$93,'Snowball workings'!$N$93)+IF('Your debts'!$D$20="Avalanche",'Avalanche workings'!$AH$93,'Snowball workings'!$AH$93))</f>
      </c>
      <c r="K91" s="30">
        <f>IF(OR(86&gt;$Z$1,NOT(OR('Your debts'!$B$8&lt;&gt;"",N('Your debts'!$C$8)&gt;0))),"",IF('Your debts'!$D$20="Avalanche",'Avalanche workings'!$AR$93,'Snowball workings'!$AR$93))</f>
      </c>
      <c r="L91" s="29">
        <f>IF(OR(86&gt;$Z$1,NOT(OR('Your debts'!$B$9&lt;&gt;"",N('Your debts'!$C$9)&gt;0))),"",IF('Your debts'!$D$20="Avalanche",'Avalanche workings'!$O$93,'Snowball workings'!$O$93)+IF('Your debts'!$D$20="Avalanche",'Avalanche workings'!$AI$93,'Snowball workings'!$AI$93))</f>
      </c>
      <c r="M91" s="30">
        <f>IF(OR(86&gt;$Z$1,NOT(OR('Your debts'!$B$9&lt;&gt;"",N('Your debts'!$C$9)&gt;0))),"",IF('Your debts'!$D$20="Avalanche",'Avalanche workings'!$AS$93,'Snowball workings'!$AS$93))</f>
      </c>
      <c r="N91" s="29">
        <f>IF(OR(86&gt;$Z$1,NOT(OR('Your debts'!$B$10&lt;&gt;"",N('Your debts'!$C$10)&gt;0))),"",IF('Your debts'!$D$20="Avalanche",'Avalanche workings'!$P$93,'Snowball workings'!$P$93)+IF('Your debts'!$D$20="Avalanche",'Avalanche workings'!$AJ$93,'Snowball workings'!$AJ$93))</f>
      </c>
      <c r="O91" s="30">
        <f>IF(OR(86&gt;$Z$1,NOT(OR('Your debts'!$B$10&lt;&gt;"",N('Your debts'!$C$10)&gt;0))),"",IF('Your debts'!$D$20="Avalanche",'Avalanche workings'!$AT$93,'Snowball workings'!$AT$93))</f>
      </c>
      <c r="P91" s="29">
        <f>IF(OR(86&gt;$Z$1,NOT(OR('Your debts'!$B$11&lt;&gt;"",N('Your debts'!$C$11)&gt;0))),"",IF('Your debts'!$D$20="Avalanche",'Avalanche workings'!$Q$93,'Snowball workings'!$Q$93)+IF('Your debts'!$D$20="Avalanche",'Avalanche workings'!$AK$93,'Snowball workings'!$AK$93))</f>
      </c>
      <c r="Q91" s="30">
        <f>IF(OR(86&gt;$Z$1,NOT(OR('Your debts'!$B$11&lt;&gt;"",N('Your debts'!$C$11)&gt;0))),"",IF('Your debts'!$D$20="Avalanche",'Avalanche workings'!$AU$93,'Snowball workings'!$AU$93))</f>
      </c>
      <c r="R91" s="29">
        <f>IF(OR(86&gt;$Z$1,NOT(OR('Your debts'!$B$12&lt;&gt;"",N('Your debts'!$C$12)&gt;0))),"",IF('Your debts'!$D$20="Avalanche",'Avalanche workings'!$R$93,'Snowball workings'!$R$93)+IF('Your debts'!$D$20="Avalanche",'Avalanche workings'!$AL$93,'Snowball workings'!$AL$93))</f>
      </c>
      <c r="S91" s="30">
        <f>IF(OR(86&gt;$Z$1,NOT(OR('Your debts'!$B$12&lt;&gt;"",N('Your debts'!$C$12)&gt;0))),"",IF('Your debts'!$D$20="Avalanche",'Avalanche workings'!$AV$93,'Snowball workings'!$AV$93))</f>
      </c>
      <c r="T91" s="29">
        <f>IF(OR(86&gt;$Z$1,NOT(OR('Your debts'!$B$13&lt;&gt;"",N('Your debts'!$C$13)&gt;0))),"",IF('Your debts'!$D$20="Avalanche",'Avalanche workings'!$S$93,'Snowball workings'!$S$93)+IF('Your debts'!$D$20="Avalanche",'Avalanche workings'!$AM$93,'Snowball workings'!$AM$93))</f>
      </c>
      <c r="U91" s="30">
        <f>IF(OR(86&gt;$Z$1,NOT(OR('Your debts'!$B$13&lt;&gt;"",N('Your debts'!$C$13)&gt;0))),"",IF('Your debts'!$D$20="Avalanche",'Avalanche workings'!$AW$93,'Snowball workings'!$AW$93))</f>
      </c>
      <c r="V91" s="29">
        <f>IF(OR(86&gt;$Z$1,NOT(OR('Your debts'!$B$14&lt;&gt;"",N('Your debts'!$C$14)&gt;0))),"",IF('Your debts'!$D$20="Avalanche",'Avalanche workings'!$T$93,'Snowball workings'!$T$93)+IF('Your debts'!$D$20="Avalanche",'Avalanche workings'!$AN$93,'Snowball workings'!$AN$93))</f>
      </c>
      <c r="W91" s="30">
        <f>IF(OR(86&gt;$Z$1,NOT(OR('Your debts'!$B$14&lt;&gt;"",N('Your debts'!$C$14)&gt;0))),"",IF('Your debts'!$D$20="Avalanche",'Avalanche workings'!$AX$93,'Snowball workings'!$AX$93))</f>
      </c>
      <c r="X91" s="29">
        <f>IF(OR(86&gt;$Z$1,NOT(OR('Your debts'!$B$15&lt;&gt;"",N('Your debts'!$C$15)&gt;0))),"",IF('Your debts'!$D$20="Avalanche",'Avalanche workings'!$U$93,'Snowball workings'!$U$93)+IF('Your debts'!$D$20="Avalanche",'Avalanche workings'!$AO$93,'Snowball workings'!$AO$93))</f>
      </c>
      <c r="Y91" s="30">
        <f>IF(OR(86&gt;$Z$1,NOT(OR('Your debts'!$B$15&lt;&gt;"",N('Your debts'!$C$15)&gt;0))),"",IF('Your debts'!$D$20="Avalanche",'Avalanche workings'!$AY$93,'Snowball workings'!$AY$93))</f>
      </c>
    </row>
    <row r="92" spans="1:25" x14ac:dyDescent="0.25">
      <c r="A92" s="2">
        <f>IF(87&gt;$Z$1,"",87)</f>
      </c>
      <c r="B92" s="28">
        <f>IF(87&gt;$Z$1,"",EDATE('Your debts'!$D$21,86))</f>
      </c>
      <c r="C92" s="29">
        <f>IF(87&gt;$Z$1,"",IF('Your debts'!$D$20="Avalanche",'Avalanche workings'!$BC$94,'Snowball workings'!$BC$94))</f>
      </c>
      <c r="D92" s="29">
        <f>IF(87&gt;$Z$1,"",IF('Your debts'!$D$20="Avalanche",'Avalanche workings'!$BA$94,'Snowball workings'!$BA$94))</f>
      </c>
      <c r="E92" s="29">
        <f>IF(87&gt;$Z$1,"",IF('Your debts'!$D$20="Avalanche",'Avalanche workings'!$BB$94,'Snowball workings'!$BB$94))</f>
      </c>
      <c r="F92" s="29">
        <f>IF(OR(87&gt;$Z$1,NOT(OR('Your debts'!$B$6&lt;&gt;"",N('Your debts'!$C$6)&gt;0))),"",IF('Your debts'!$D$20="Avalanche",'Avalanche workings'!$L$94,'Snowball workings'!$L$94)+IF('Your debts'!$D$20="Avalanche",'Avalanche workings'!$AF$94,'Snowball workings'!$AF$94))</f>
      </c>
      <c r="G92" s="30">
        <f>IF(OR(87&gt;$Z$1,NOT(OR('Your debts'!$B$6&lt;&gt;"",N('Your debts'!$C$6)&gt;0))),"",IF('Your debts'!$D$20="Avalanche",'Avalanche workings'!$AP$94,'Snowball workings'!$AP$94))</f>
      </c>
      <c r="H92" s="29">
        <f>IF(OR(87&gt;$Z$1,NOT(OR('Your debts'!$B$7&lt;&gt;"",N('Your debts'!$C$7)&gt;0))),"",IF('Your debts'!$D$20="Avalanche",'Avalanche workings'!$M$94,'Snowball workings'!$M$94)+IF('Your debts'!$D$20="Avalanche",'Avalanche workings'!$AG$94,'Snowball workings'!$AG$94))</f>
      </c>
      <c r="I92" s="30">
        <f>IF(OR(87&gt;$Z$1,NOT(OR('Your debts'!$B$7&lt;&gt;"",N('Your debts'!$C$7)&gt;0))),"",IF('Your debts'!$D$20="Avalanche",'Avalanche workings'!$AQ$94,'Snowball workings'!$AQ$94))</f>
      </c>
      <c r="J92" s="29">
        <f>IF(OR(87&gt;$Z$1,NOT(OR('Your debts'!$B$8&lt;&gt;"",N('Your debts'!$C$8)&gt;0))),"",IF('Your debts'!$D$20="Avalanche",'Avalanche workings'!$N$94,'Snowball workings'!$N$94)+IF('Your debts'!$D$20="Avalanche",'Avalanche workings'!$AH$94,'Snowball workings'!$AH$94))</f>
      </c>
      <c r="K92" s="30">
        <f>IF(OR(87&gt;$Z$1,NOT(OR('Your debts'!$B$8&lt;&gt;"",N('Your debts'!$C$8)&gt;0))),"",IF('Your debts'!$D$20="Avalanche",'Avalanche workings'!$AR$94,'Snowball workings'!$AR$94))</f>
      </c>
      <c r="L92" s="29">
        <f>IF(OR(87&gt;$Z$1,NOT(OR('Your debts'!$B$9&lt;&gt;"",N('Your debts'!$C$9)&gt;0))),"",IF('Your debts'!$D$20="Avalanche",'Avalanche workings'!$O$94,'Snowball workings'!$O$94)+IF('Your debts'!$D$20="Avalanche",'Avalanche workings'!$AI$94,'Snowball workings'!$AI$94))</f>
      </c>
      <c r="M92" s="30">
        <f>IF(OR(87&gt;$Z$1,NOT(OR('Your debts'!$B$9&lt;&gt;"",N('Your debts'!$C$9)&gt;0))),"",IF('Your debts'!$D$20="Avalanche",'Avalanche workings'!$AS$94,'Snowball workings'!$AS$94))</f>
      </c>
      <c r="N92" s="29">
        <f>IF(OR(87&gt;$Z$1,NOT(OR('Your debts'!$B$10&lt;&gt;"",N('Your debts'!$C$10)&gt;0))),"",IF('Your debts'!$D$20="Avalanche",'Avalanche workings'!$P$94,'Snowball workings'!$P$94)+IF('Your debts'!$D$20="Avalanche",'Avalanche workings'!$AJ$94,'Snowball workings'!$AJ$94))</f>
      </c>
      <c r="O92" s="30">
        <f>IF(OR(87&gt;$Z$1,NOT(OR('Your debts'!$B$10&lt;&gt;"",N('Your debts'!$C$10)&gt;0))),"",IF('Your debts'!$D$20="Avalanche",'Avalanche workings'!$AT$94,'Snowball workings'!$AT$94))</f>
      </c>
      <c r="P92" s="29">
        <f>IF(OR(87&gt;$Z$1,NOT(OR('Your debts'!$B$11&lt;&gt;"",N('Your debts'!$C$11)&gt;0))),"",IF('Your debts'!$D$20="Avalanche",'Avalanche workings'!$Q$94,'Snowball workings'!$Q$94)+IF('Your debts'!$D$20="Avalanche",'Avalanche workings'!$AK$94,'Snowball workings'!$AK$94))</f>
      </c>
      <c r="Q92" s="30">
        <f>IF(OR(87&gt;$Z$1,NOT(OR('Your debts'!$B$11&lt;&gt;"",N('Your debts'!$C$11)&gt;0))),"",IF('Your debts'!$D$20="Avalanche",'Avalanche workings'!$AU$94,'Snowball workings'!$AU$94))</f>
      </c>
      <c r="R92" s="29">
        <f>IF(OR(87&gt;$Z$1,NOT(OR('Your debts'!$B$12&lt;&gt;"",N('Your debts'!$C$12)&gt;0))),"",IF('Your debts'!$D$20="Avalanche",'Avalanche workings'!$R$94,'Snowball workings'!$R$94)+IF('Your debts'!$D$20="Avalanche",'Avalanche workings'!$AL$94,'Snowball workings'!$AL$94))</f>
      </c>
      <c r="S92" s="30">
        <f>IF(OR(87&gt;$Z$1,NOT(OR('Your debts'!$B$12&lt;&gt;"",N('Your debts'!$C$12)&gt;0))),"",IF('Your debts'!$D$20="Avalanche",'Avalanche workings'!$AV$94,'Snowball workings'!$AV$94))</f>
      </c>
      <c r="T92" s="29">
        <f>IF(OR(87&gt;$Z$1,NOT(OR('Your debts'!$B$13&lt;&gt;"",N('Your debts'!$C$13)&gt;0))),"",IF('Your debts'!$D$20="Avalanche",'Avalanche workings'!$S$94,'Snowball workings'!$S$94)+IF('Your debts'!$D$20="Avalanche",'Avalanche workings'!$AM$94,'Snowball workings'!$AM$94))</f>
      </c>
      <c r="U92" s="30">
        <f>IF(OR(87&gt;$Z$1,NOT(OR('Your debts'!$B$13&lt;&gt;"",N('Your debts'!$C$13)&gt;0))),"",IF('Your debts'!$D$20="Avalanche",'Avalanche workings'!$AW$94,'Snowball workings'!$AW$94))</f>
      </c>
      <c r="V92" s="29">
        <f>IF(OR(87&gt;$Z$1,NOT(OR('Your debts'!$B$14&lt;&gt;"",N('Your debts'!$C$14)&gt;0))),"",IF('Your debts'!$D$20="Avalanche",'Avalanche workings'!$T$94,'Snowball workings'!$T$94)+IF('Your debts'!$D$20="Avalanche",'Avalanche workings'!$AN$94,'Snowball workings'!$AN$94))</f>
      </c>
      <c r="W92" s="30">
        <f>IF(OR(87&gt;$Z$1,NOT(OR('Your debts'!$B$14&lt;&gt;"",N('Your debts'!$C$14)&gt;0))),"",IF('Your debts'!$D$20="Avalanche",'Avalanche workings'!$AX$94,'Snowball workings'!$AX$94))</f>
      </c>
      <c r="X92" s="29">
        <f>IF(OR(87&gt;$Z$1,NOT(OR('Your debts'!$B$15&lt;&gt;"",N('Your debts'!$C$15)&gt;0))),"",IF('Your debts'!$D$20="Avalanche",'Avalanche workings'!$U$94,'Snowball workings'!$U$94)+IF('Your debts'!$D$20="Avalanche",'Avalanche workings'!$AO$94,'Snowball workings'!$AO$94))</f>
      </c>
      <c r="Y92" s="30">
        <f>IF(OR(87&gt;$Z$1,NOT(OR('Your debts'!$B$15&lt;&gt;"",N('Your debts'!$C$15)&gt;0))),"",IF('Your debts'!$D$20="Avalanche",'Avalanche workings'!$AY$94,'Snowball workings'!$AY$94))</f>
      </c>
    </row>
    <row r="93" spans="1:25" x14ac:dyDescent="0.25">
      <c r="A93" s="2">
        <f>IF(88&gt;$Z$1,"",88)</f>
      </c>
      <c r="B93" s="28">
        <f>IF(88&gt;$Z$1,"",EDATE('Your debts'!$D$21,87))</f>
      </c>
      <c r="C93" s="29">
        <f>IF(88&gt;$Z$1,"",IF('Your debts'!$D$20="Avalanche",'Avalanche workings'!$BC$95,'Snowball workings'!$BC$95))</f>
      </c>
      <c r="D93" s="29">
        <f>IF(88&gt;$Z$1,"",IF('Your debts'!$D$20="Avalanche",'Avalanche workings'!$BA$95,'Snowball workings'!$BA$95))</f>
      </c>
      <c r="E93" s="29">
        <f>IF(88&gt;$Z$1,"",IF('Your debts'!$D$20="Avalanche",'Avalanche workings'!$BB$95,'Snowball workings'!$BB$95))</f>
      </c>
      <c r="F93" s="29">
        <f>IF(OR(88&gt;$Z$1,NOT(OR('Your debts'!$B$6&lt;&gt;"",N('Your debts'!$C$6)&gt;0))),"",IF('Your debts'!$D$20="Avalanche",'Avalanche workings'!$L$95,'Snowball workings'!$L$95)+IF('Your debts'!$D$20="Avalanche",'Avalanche workings'!$AF$95,'Snowball workings'!$AF$95))</f>
      </c>
      <c r="G93" s="30">
        <f>IF(OR(88&gt;$Z$1,NOT(OR('Your debts'!$B$6&lt;&gt;"",N('Your debts'!$C$6)&gt;0))),"",IF('Your debts'!$D$20="Avalanche",'Avalanche workings'!$AP$95,'Snowball workings'!$AP$95))</f>
      </c>
      <c r="H93" s="29">
        <f>IF(OR(88&gt;$Z$1,NOT(OR('Your debts'!$B$7&lt;&gt;"",N('Your debts'!$C$7)&gt;0))),"",IF('Your debts'!$D$20="Avalanche",'Avalanche workings'!$M$95,'Snowball workings'!$M$95)+IF('Your debts'!$D$20="Avalanche",'Avalanche workings'!$AG$95,'Snowball workings'!$AG$95))</f>
      </c>
      <c r="I93" s="30">
        <f>IF(OR(88&gt;$Z$1,NOT(OR('Your debts'!$B$7&lt;&gt;"",N('Your debts'!$C$7)&gt;0))),"",IF('Your debts'!$D$20="Avalanche",'Avalanche workings'!$AQ$95,'Snowball workings'!$AQ$95))</f>
      </c>
      <c r="J93" s="29">
        <f>IF(OR(88&gt;$Z$1,NOT(OR('Your debts'!$B$8&lt;&gt;"",N('Your debts'!$C$8)&gt;0))),"",IF('Your debts'!$D$20="Avalanche",'Avalanche workings'!$N$95,'Snowball workings'!$N$95)+IF('Your debts'!$D$20="Avalanche",'Avalanche workings'!$AH$95,'Snowball workings'!$AH$95))</f>
      </c>
      <c r="K93" s="30">
        <f>IF(OR(88&gt;$Z$1,NOT(OR('Your debts'!$B$8&lt;&gt;"",N('Your debts'!$C$8)&gt;0))),"",IF('Your debts'!$D$20="Avalanche",'Avalanche workings'!$AR$95,'Snowball workings'!$AR$95))</f>
      </c>
      <c r="L93" s="29">
        <f>IF(OR(88&gt;$Z$1,NOT(OR('Your debts'!$B$9&lt;&gt;"",N('Your debts'!$C$9)&gt;0))),"",IF('Your debts'!$D$20="Avalanche",'Avalanche workings'!$O$95,'Snowball workings'!$O$95)+IF('Your debts'!$D$20="Avalanche",'Avalanche workings'!$AI$95,'Snowball workings'!$AI$95))</f>
      </c>
      <c r="M93" s="30">
        <f>IF(OR(88&gt;$Z$1,NOT(OR('Your debts'!$B$9&lt;&gt;"",N('Your debts'!$C$9)&gt;0))),"",IF('Your debts'!$D$20="Avalanche",'Avalanche workings'!$AS$95,'Snowball workings'!$AS$95))</f>
      </c>
      <c r="N93" s="29">
        <f>IF(OR(88&gt;$Z$1,NOT(OR('Your debts'!$B$10&lt;&gt;"",N('Your debts'!$C$10)&gt;0))),"",IF('Your debts'!$D$20="Avalanche",'Avalanche workings'!$P$95,'Snowball workings'!$P$95)+IF('Your debts'!$D$20="Avalanche",'Avalanche workings'!$AJ$95,'Snowball workings'!$AJ$95))</f>
      </c>
      <c r="O93" s="30">
        <f>IF(OR(88&gt;$Z$1,NOT(OR('Your debts'!$B$10&lt;&gt;"",N('Your debts'!$C$10)&gt;0))),"",IF('Your debts'!$D$20="Avalanche",'Avalanche workings'!$AT$95,'Snowball workings'!$AT$95))</f>
      </c>
      <c r="P93" s="29">
        <f>IF(OR(88&gt;$Z$1,NOT(OR('Your debts'!$B$11&lt;&gt;"",N('Your debts'!$C$11)&gt;0))),"",IF('Your debts'!$D$20="Avalanche",'Avalanche workings'!$Q$95,'Snowball workings'!$Q$95)+IF('Your debts'!$D$20="Avalanche",'Avalanche workings'!$AK$95,'Snowball workings'!$AK$95))</f>
      </c>
      <c r="Q93" s="30">
        <f>IF(OR(88&gt;$Z$1,NOT(OR('Your debts'!$B$11&lt;&gt;"",N('Your debts'!$C$11)&gt;0))),"",IF('Your debts'!$D$20="Avalanche",'Avalanche workings'!$AU$95,'Snowball workings'!$AU$95))</f>
      </c>
      <c r="R93" s="29">
        <f>IF(OR(88&gt;$Z$1,NOT(OR('Your debts'!$B$12&lt;&gt;"",N('Your debts'!$C$12)&gt;0))),"",IF('Your debts'!$D$20="Avalanche",'Avalanche workings'!$R$95,'Snowball workings'!$R$95)+IF('Your debts'!$D$20="Avalanche",'Avalanche workings'!$AL$95,'Snowball workings'!$AL$95))</f>
      </c>
      <c r="S93" s="30">
        <f>IF(OR(88&gt;$Z$1,NOT(OR('Your debts'!$B$12&lt;&gt;"",N('Your debts'!$C$12)&gt;0))),"",IF('Your debts'!$D$20="Avalanche",'Avalanche workings'!$AV$95,'Snowball workings'!$AV$95))</f>
      </c>
      <c r="T93" s="29">
        <f>IF(OR(88&gt;$Z$1,NOT(OR('Your debts'!$B$13&lt;&gt;"",N('Your debts'!$C$13)&gt;0))),"",IF('Your debts'!$D$20="Avalanche",'Avalanche workings'!$S$95,'Snowball workings'!$S$95)+IF('Your debts'!$D$20="Avalanche",'Avalanche workings'!$AM$95,'Snowball workings'!$AM$95))</f>
      </c>
      <c r="U93" s="30">
        <f>IF(OR(88&gt;$Z$1,NOT(OR('Your debts'!$B$13&lt;&gt;"",N('Your debts'!$C$13)&gt;0))),"",IF('Your debts'!$D$20="Avalanche",'Avalanche workings'!$AW$95,'Snowball workings'!$AW$95))</f>
      </c>
      <c r="V93" s="29">
        <f>IF(OR(88&gt;$Z$1,NOT(OR('Your debts'!$B$14&lt;&gt;"",N('Your debts'!$C$14)&gt;0))),"",IF('Your debts'!$D$20="Avalanche",'Avalanche workings'!$T$95,'Snowball workings'!$T$95)+IF('Your debts'!$D$20="Avalanche",'Avalanche workings'!$AN$95,'Snowball workings'!$AN$95))</f>
      </c>
      <c r="W93" s="30">
        <f>IF(OR(88&gt;$Z$1,NOT(OR('Your debts'!$B$14&lt;&gt;"",N('Your debts'!$C$14)&gt;0))),"",IF('Your debts'!$D$20="Avalanche",'Avalanche workings'!$AX$95,'Snowball workings'!$AX$95))</f>
      </c>
      <c r="X93" s="29">
        <f>IF(OR(88&gt;$Z$1,NOT(OR('Your debts'!$B$15&lt;&gt;"",N('Your debts'!$C$15)&gt;0))),"",IF('Your debts'!$D$20="Avalanche",'Avalanche workings'!$U$95,'Snowball workings'!$U$95)+IF('Your debts'!$D$20="Avalanche",'Avalanche workings'!$AO$95,'Snowball workings'!$AO$95))</f>
      </c>
      <c r="Y93" s="30">
        <f>IF(OR(88&gt;$Z$1,NOT(OR('Your debts'!$B$15&lt;&gt;"",N('Your debts'!$C$15)&gt;0))),"",IF('Your debts'!$D$20="Avalanche",'Avalanche workings'!$AY$95,'Snowball workings'!$AY$95))</f>
      </c>
    </row>
    <row r="94" spans="1:25" x14ac:dyDescent="0.25">
      <c r="A94" s="2">
        <f>IF(89&gt;$Z$1,"",89)</f>
      </c>
      <c r="B94" s="28">
        <f>IF(89&gt;$Z$1,"",EDATE('Your debts'!$D$21,88))</f>
      </c>
      <c r="C94" s="29">
        <f>IF(89&gt;$Z$1,"",IF('Your debts'!$D$20="Avalanche",'Avalanche workings'!$BC$96,'Snowball workings'!$BC$96))</f>
      </c>
      <c r="D94" s="29">
        <f>IF(89&gt;$Z$1,"",IF('Your debts'!$D$20="Avalanche",'Avalanche workings'!$BA$96,'Snowball workings'!$BA$96))</f>
      </c>
      <c r="E94" s="29">
        <f>IF(89&gt;$Z$1,"",IF('Your debts'!$D$20="Avalanche",'Avalanche workings'!$BB$96,'Snowball workings'!$BB$96))</f>
      </c>
      <c r="F94" s="29">
        <f>IF(OR(89&gt;$Z$1,NOT(OR('Your debts'!$B$6&lt;&gt;"",N('Your debts'!$C$6)&gt;0))),"",IF('Your debts'!$D$20="Avalanche",'Avalanche workings'!$L$96,'Snowball workings'!$L$96)+IF('Your debts'!$D$20="Avalanche",'Avalanche workings'!$AF$96,'Snowball workings'!$AF$96))</f>
      </c>
      <c r="G94" s="30">
        <f>IF(OR(89&gt;$Z$1,NOT(OR('Your debts'!$B$6&lt;&gt;"",N('Your debts'!$C$6)&gt;0))),"",IF('Your debts'!$D$20="Avalanche",'Avalanche workings'!$AP$96,'Snowball workings'!$AP$96))</f>
      </c>
      <c r="H94" s="29">
        <f>IF(OR(89&gt;$Z$1,NOT(OR('Your debts'!$B$7&lt;&gt;"",N('Your debts'!$C$7)&gt;0))),"",IF('Your debts'!$D$20="Avalanche",'Avalanche workings'!$M$96,'Snowball workings'!$M$96)+IF('Your debts'!$D$20="Avalanche",'Avalanche workings'!$AG$96,'Snowball workings'!$AG$96))</f>
      </c>
      <c r="I94" s="30">
        <f>IF(OR(89&gt;$Z$1,NOT(OR('Your debts'!$B$7&lt;&gt;"",N('Your debts'!$C$7)&gt;0))),"",IF('Your debts'!$D$20="Avalanche",'Avalanche workings'!$AQ$96,'Snowball workings'!$AQ$96))</f>
      </c>
      <c r="J94" s="29">
        <f>IF(OR(89&gt;$Z$1,NOT(OR('Your debts'!$B$8&lt;&gt;"",N('Your debts'!$C$8)&gt;0))),"",IF('Your debts'!$D$20="Avalanche",'Avalanche workings'!$N$96,'Snowball workings'!$N$96)+IF('Your debts'!$D$20="Avalanche",'Avalanche workings'!$AH$96,'Snowball workings'!$AH$96))</f>
      </c>
      <c r="K94" s="30">
        <f>IF(OR(89&gt;$Z$1,NOT(OR('Your debts'!$B$8&lt;&gt;"",N('Your debts'!$C$8)&gt;0))),"",IF('Your debts'!$D$20="Avalanche",'Avalanche workings'!$AR$96,'Snowball workings'!$AR$96))</f>
      </c>
      <c r="L94" s="29">
        <f>IF(OR(89&gt;$Z$1,NOT(OR('Your debts'!$B$9&lt;&gt;"",N('Your debts'!$C$9)&gt;0))),"",IF('Your debts'!$D$20="Avalanche",'Avalanche workings'!$O$96,'Snowball workings'!$O$96)+IF('Your debts'!$D$20="Avalanche",'Avalanche workings'!$AI$96,'Snowball workings'!$AI$96))</f>
      </c>
      <c r="M94" s="30">
        <f>IF(OR(89&gt;$Z$1,NOT(OR('Your debts'!$B$9&lt;&gt;"",N('Your debts'!$C$9)&gt;0))),"",IF('Your debts'!$D$20="Avalanche",'Avalanche workings'!$AS$96,'Snowball workings'!$AS$96))</f>
      </c>
      <c r="N94" s="29">
        <f>IF(OR(89&gt;$Z$1,NOT(OR('Your debts'!$B$10&lt;&gt;"",N('Your debts'!$C$10)&gt;0))),"",IF('Your debts'!$D$20="Avalanche",'Avalanche workings'!$P$96,'Snowball workings'!$P$96)+IF('Your debts'!$D$20="Avalanche",'Avalanche workings'!$AJ$96,'Snowball workings'!$AJ$96))</f>
      </c>
      <c r="O94" s="30">
        <f>IF(OR(89&gt;$Z$1,NOT(OR('Your debts'!$B$10&lt;&gt;"",N('Your debts'!$C$10)&gt;0))),"",IF('Your debts'!$D$20="Avalanche",'Avalanche workings'!$AT$96,'Snowball workings'!$AT$96))</f>
      </c>
      <c r="P94" s="29">
        <f>IF(OR(89&gt;$Z$1,NOT(OR('Your debts'!$B$11&lt;&gt;"",N('Your debts'!$C$11)&gt;0))),"",IF('Your debts'!$D$20="Avalanche",'Avalanche workings'!$Q$96,'Snowball workings'!$Q$96)+IF('Your debts'!$D$20="Avalanche",'Avalanche workings'!$AK$96,'Snowball workings'!$AK$96))</f>
      </c>
      <c r="Q94" s="30">
        <f>IF(OR(89&gt;$Z$1,NOT(OR('Your debts'!$B$11&lt;&gt;"",N('Your debts'!$C$11)&gt;0))),"",IF('Your debts'!$D$20="Avalanche",'Avalanche workings'!$AU$96,'Snowball workings'!$AU$96))</f>
      </c>
      <c r="R94" s="29">
        <f>IF(OR(89&gt;$Z$1,NOT(OR('Your debts'!$B$12&lt;&gt;"",N('Your debts'!$C$12)&gt;0))),"",IF('Your debts'!$D$20="Avalanche",'Avalanche workings'!$R$96,'Snowball workings'!$R$96)+IF('Your debts'!$D$20="Avalanche",'Avalanche workings'!$AL$96,'Snowball workings'!$AL$96))</f>
      </c>
      <c r="S94" s="30">
        <f>IF(OR(89&gt;$Z$1,NOT(OR('Your debts'!$B$12&lt;&gt;"",N('Your debts'!$C$12)&gt;0))),"",IF('Your debts'!$D$20="Avalanche",'Avalanche workings'!$AV$96,'Snowball workings'!$AV$96))</f>
      </c>
      <c r="T94" s="29">
        <f>IF(OR(89&gt;$Z$1,NOT(OR('Your debts'!$B$13&lt;&gt;"",N('Your debts'!$C$13)&gt;0))),"",IF('Your debts'!$D$20="Avalanche",'Avalanche workings'!$S$96,'Snowball workings'!$S$96)+IF('Your debts'!$D$20="Avalanche",'Avalanche workings'!$AM$96,'Snowball workings'!$AM$96))</f>
      </c>
      <c r="U94" s="30">
        <f>IF(OR(89&gt;$Z$1,NOT(OR('Your debts'!$B$13&lt;&gt;"",N('Your debts'!$C$13)&gt;0))),"",IF('Your debts'!$D$20="Avalanche",'Avalanche workings'!$AW$96,'Snowball workings'!$AW$96))</f>
      </c>
      <c r="V94" s="29">
        <f>IF(OR(89&gt;$Z$1,NOT(OR('Your debts'!$B$14&lt;&gt;"",N('Your debts'!$C$14)&gt;0))),"",IF('Your debts'!$D$20="Avalanche",'Avalanche workings'!$T$96,'Snowball workings'!$T$96)+IF('Your debts'!$D$20="Avalanche",'Avalanche workings'!$AN$96,'Snowball workings'!$AN$96))</f>
      </c>
      <c r="W94" s="30">
        <f>IF(OR(89&gt;$Z$1,NOT(OR('Your debts'!$B$14&lt;&gt;"",N('Your debts'!$C$14)&gt;0))),"",IF('Your debts'!$D$20="Avalanche",'Avalanche workings'!$AX$96,'Snowball workings'!$AX$96))</f>
      </c>
      <c r="X94" s="29">
        <f>IF(OR(89&gt;$Z$1,NOT(OR('Your debts'!$B$15&lt;&gt;"",N('Your debts'!$C$15)&gt;0))),"",IF('Your debts'!$D$20="Avalanche",'Avalanche workings'!$U$96,'Snowball workings'!$U$96)+IF('Your debts'!$D$20="Avalanche",'Avalanche workings'!$AO$96,'Snowball workings'!$AO$96))</f>
      </c>
      <c r="Y94" s="30">
        <f>IF(OR(89&gt;$Z$1,NOT(OR('Your debts'!$B$15&lt;&gt;"",N('Your debts'!$C$15)&gt;0))),"",IF('Your debts'!$D$20="Avalanche",'Avalanche workings'!$AY$96,'Snowball workings'!$AY$96))</f>
      </c>
    </row>
    <row r="95" spans="1:25" x14ac:dyDescent="0.25">
      <c r="A95" s="2">
        <f>IF(90&gt;$Z$1,"",90)</f>
      </c>
      <c r="B95" s="28">
        <f>IF(90&gt;$Z$1,"",EDATE('Your debts'!$D$21,89))</f>
      </c>
      <c r="C95" s="29">
        <f>IF(90&gt;$Z$1,"",IF('Your debts'!$D$20="Avalanche",'Avalanche workings'!$BC$97,'Snowball workings'!$BC$97))</f>
      </c>
      <c r="D95" s="29">
        <f>IF(90&gt;$Z$1,"",IF('Your debts'!$D$20="Avalanche",'Avalanche workings'!$BA$97,'Snowball workings'!$BA$97))</f>
      </c>
      <c r="E95" s="29">
        <f>IF(90&gt;$Z$1,"",IF('Your debts'!$D$20="Avalanche",'Avalanche workings'!$BB$97,'Snowball workings'!$BB$97))</f>
      </c>
      <c r="F95" s="29">
        <f>IF(OR(90&gt;$Z$1,NOT(OR('Your debts'!$B$6&lt;&gt;"",N('Your debts'!$C$6)&gt;0))),"",IF('Your debts'!$D$20="Avalanche",'Avalanche workings'!$L$97,'Snowball workings'!$L$97)+IF('Your debts'!$D$20="Avalanche",'Avalanche workings'!$AF$97,'Snowball workings'!$AF$97))</f>
      </c>
      <c r="G95" s="30">
        <f>IF(OR(90&gt;$Z$1,NOT(OR('Your debts'!$B$6&lt;&gt;"",N('Your debts'!$C$6)&gt;0))),"",IF('Your debts'!$D$20="Avalanche",'Avalanche workings'!$AP$97,'Snowball workings'!$AP$97))</f>
      </c>
      <c r="H95" s="29">
        <f>IF(OR(90&gt;$Z$1,NOT(OR('Your debts'!$B$7&lt;&gt;"",N('Your debts'!$C$7)&gt;0))),"",IF('Your debts'!$D$20="Avalanche",'Avalanche workings'!$M$97,'Snowball workings'!$M$97)+IF('Your debts'!$D$20="Avalanche",'Avalanche workings'!$AG$97,'Snowball workings'!$AG$97))</f>
      </c>
      <c r="I95" s="30">
        <f>IF(OR(90&gt;$Z$1,NOT(OR('Your debts'!$B$7&lt;&gt;"",N('Your debts'!$C$7)&gt;0))),"",IF('Your debts'!$D$20="Avalanche",'Avalanche workings'!$AQ$97,'Snowball workings'!$AQ$97))</f>
      </c>
      <c r="J95" s="29">
        <f>IF(OR(90&gt;$Z$1,NOT(OR('Your debts'!$B$8&lt;&gt;"",N('Your debts'!$C$8)&gt;0))),"",IF('Your debts'!$D$20="Avalanche",'Avalanche workings'!$N$97,'Snowball workings'!$N$97)+IF('Your debts'!$D$20="Avalanche",'Avalanche workings'!$AH$97,'Snowball workings'!$AH$97))</f>
      </c>
      <c r="K95" s="30">
        <f>IF(OR(90&gt;$Z$1,NOT(OR('Your debts'!$B$8&lt;&gt;"",N('Your debts'!$C$8)&gt;0))),"",IF('Your debts'!$D$20="Avalanche",'Avalanche workings'!$AR$97,'Snowball workings'!$AR$97))</f>
      </c>
      <c r="L95" s="29">
        <f>IF(OR(90&gt;$Z$1,NOT(OR('Your debts'!$B$9&lt;&gt;"",N('Your debts'!$C$9)&gt;0))),"",IF('Your debts'!$D$20="Avalanche",'Avalanche workings'!$O$97,'Snowball workings'!$O$97)+IF('Your debts'!$D$20="Avalanche",'Avalanche workings'!$AI$97,'Snowball workings'!$AI$97))</f>
      </c>
      <c r="M95" s="30">
        <f>IF(OR(90&gt;$Z$1,NOT(OR('Your debts'!$B$9&lt;&gt;"",N('Your debts'!$C$9)&gt;0))),"",IF('Your debts'!$D$20="Avalanche",'Avalanche workings'!$AS$97,'Snowball workings'!$AS$97))</f>
      </c>
      <c r="N95" s="29">
        <f>IF(OR(90&gt;$Z$1,NOT(OR('Your debts'!$B$10&lt;&gt;"",N('Your debts'!$C$10)&gt;0))),"",IF('Your debts'!$D$20="Avalanche",'Avalanche workings'!$P$97,'Snowball workings'!$P$97)+IF('Your debts'!$D$20="Avalanche",'Avalanche workings'!$AJ$97,'Snowball workings'!$AJ$97))</f>
      </c>
      <c r="O95" s="30">
        <f>IF(OR(90&gt;$Z$1,NOT(OR('Your debts'!$B$10&lt;&gt;"",N('Your debts'!$C$10)&gt;0))),"",IF('Your debts'!$D$20="Avalanche",'Avalanche workings'!$AT$97,'Snowball workings'!$AT$97))</f>
      </c>
      <c r="P95" s="29">
        <f>IF(OR(90&gt;$Z$1,NOT(OR('Your debts'!$B$11&lt;&gt;"",N('Your debts'!$C$11)&gt;0))),"",IF('Your debts'!$D$20="Avalanche",'Avalanche workings'!$Q$97,'Snowball workings'!$Q$97)+IF('Your debts'!$D$20="Avalanche",'Avalanche workings'!$AK$97,'Snowball workings'!$AK$97))</f>
      </c>
      <c r="Q95" s="30">
        <f>IF(OR(90&gt;$Z$1,NOT(OR('Your debts'!$B$11&lt;&gt;"",N('Your debts'!$C$11)&gt;0))),"",IF('Your debts'!$D$20="Avalanche",'Avalanche workings'!$AU$97,'Snowball workings'!$AU$97))</f>
      </c>
      <c r="R95" s="29">
        <f>IF(OR(90&gt;$Z$1,NOT(OR('Your debts'!$B$12&lt;&gt;"",N('Your debts'!$C$12)&gt;0))),"",IF('Your debts'!$D$20="Avalanche",'Avalanche workings'!$R$97,'Snowball workings'!$R$97)+IF('Your debts'!$D$20="Avalanche",'Avalanche workings'!$AL$97,'Snowball workings'!$AL$97))</f>
      </c>
      <c r="S95" s="30">
        <f>IF(OR(90&gt;$Z$1,NOT(OR('Your debts'!$B$12&lt;&gt;"",N('Your debts'!$C$12)&gt;0))),"",IF('Your debts'!$D$20="Avalanche",'Avalanche workings'!$AV$97,'Snowball workings'!$AV$97))</f>
      </c>
      <c r="T95" s="29">
        <f>IF(OR(90&gt;$Z$1,NOT(OR('Your debts'!$B$13&lt;&gt;"",N('Your debts'!$C$13)&gt;0))),"",IF('Your debts'!$D$20="Avalanche",'Avalanche workings'!$S$97,'Snowball workings'!$S$97)+IF('Your debts'!$D$20="Avalanche",'Avalanche workings'!$AM$97,'Snowball workings'!$AM$97))</f>
      </c>
      <c r="U95" s="30">
        <f>IF(OR(90&gt;$Z$1,NOT(OR('Your debts'!$B$13&lt;&gt;"",N('Your debts'!$C$13)&gt;0))),"",IF('Your debts'!$D$20="Avalanche",'Avalanche workings'!$AW$97,'Snowball workings'!$AW$97))</f>
      </c>
      <c r="V95" s="29">
        <f>IF(OR(90&gt;$Z$1,NOT(OR('Your debts'!$B$14&lt;&gt;"",N('Your debts'!$C$14)&gt;0))),"",IF('Your debts'!$D$20="Avalanche",'Avalanche workings'!$T$97,'Snowball workings'!$T$97)+IF('Your debts'!$D$20="Avalanche",'Avalanche workings'!$AN$97,'Snowball workings'!$AN$97))</f>
      </c>
      <c r="W95" s="30">
        <f>IF(OR(90&gt;$Z$1,NOT(OR('Your debts'!$B$14&lt;&gt;"",N('Your debts'!$C$14)&gt;0))),"",IF('Your debts'!$D$20="Avalanche",'Avalanche workings'!$AX$97,'Snowball workings'!$AX$97))</f>
      </c>
      <c r="X95" s="29">
        <f>IF(OR(90&gt;$Z$1,NOT(OR('Your debts'!$B$15&lt;&gt;"",N('Your debts'!$C$15)&gt;0))),"",IF('Your debts'!$D$20="Avalanche",'Avalanche workings'!$U$97,'Snowball workings'!$U$97)+IF('Your debts'!$D$20="Avalanche",'Avalanche workings'!$AO$97,'Snowball workings'!$AO$97))</f>
      </c>
      <c r="Y95" s="30">
        <f>IF(OR(90&gt;$Z$1,NOT(OR('Your debts'!$B$15&lt;&gt;"",N('Your debts'!$C$15)&gt;0))),"",IF('Your debts'!$D$20="Avalanche",'Avalanche workings'!$AY$97,'Snowball workings'!$AY$97))</f>
      </c>
    </row>
    <row r="96" spans="1:25" x14ac:dyDescent="0.25">
      <c r="A96" s="2">
        <f>IF(91&gt;$Z$1,"",91)</f>
      </c>
      <c r="B96" s="28">
        <f>IF(91&gt;$Z$1,"",EDATE('Your debts'!$D$21,90))</f>
      </c>
      <c r="C96" s="29">
        <f>IF(91&gt;$Z$1,"",IF('Your debts'!$D$20="Avalanche",'Avalanche workings'!$BC$98,'Snowball workings'!$BC$98))</f>
      </c>
      <c r="D96" s="29">
        <f>IF(91&gt;$Z$1,"",IF('Your debts'!$D$20="Avalanche",'Avalanche workings'!$BA$98,'Snowball workings'!$BA$98))</f>
      </c>
      <c r="E96" s="29">
        <f>IF(91&gt;$Z$1,"",IF('Your debts'!$D$20="Avalanche",'Avalanche workings'!$BB$98,'Snowball workings'!$BB$98))</f>
      </c>
      <c r="F96" s="29">
        <f>IF(OR(91&gt;$Z$1,NOT(OR('Your debts'!$B$6&lt;&gt;"",N('Your debts'!$C$6)&gt;0))),"",IF('Your debts'!$D$20="Avalanche",'Avalanche workings'!$L$98,'Snowball workings'!$L$98)+IF('Your debts'!$D$20="Avalanche",'Avalanche workings'!$AF$98,'Snowball workings'!$AF$98))</f>
      </c>
      <c r="G96" s="30">
        <f>IF(OR(91&gt;$Z$1,NOT(OR('Your debts'!$B$6&lt;&gt;"",N('Your debts'!$C$6)&gt;0))),"",IF('Your debts'!$D$20="Avalanche",'Avalanche workings'!$AP$98,'Snowball workings'!$AP$98))</f>
      </c>
      <c r="H96" s="29">
        <f>IF(OR(91&gt;$Z$1,NOT(OR('Your debts'!$B$7&lt;&gt;"",N('Your debts'!$C$7)&gt;0))),"",IF('Your debts'!$D$20="Avalanche",'Avalanche workings'!$M$98,'Snowball workings'!$M$98)+IF('Your debts'!$D$20="Avalanche",'Avalanche workings'!$AG$98,'Snowball workings'!$AG$98))</f>
      </c>
      <c r="I96" s="30">
        <f>IF(OR(91&gt;$Z$1,NOT(OR('Your debts'!$B$7&lt;&gt;"",N('Your debts'!$C$7)&gt;0))),"",IF('Your debts'!$D$20="Avalanche",'Avalanche workings'!$AQ$98,'Snowball workings'!$AQ$98))</f>
      </c>
      <c r="J96" s="29">
        <f>IF(OR(91&gt;$Z$1,NOT(OR('Your debts'!$B$8&lt;&gt;"",N('Your debts'!$C$8)&gt;0))),"",IF('Your debts'!$D$20="Avalanche",'Avalanche workings'!$N$98,'Snowball workings'!$N$98)+IF('Your debts'!$D$20="Avalanche",'Avalanche workings'!$AH$98,'Snowball workings'!$AH$98))</f>
      </c>
      <c r="K96" s="30">
        <f>IF(OR(91&gt;$Z$1,NOT(OR('Your debts'!$B$8&lt;&gt;"",N('Your debts'!$C$8)&gt;0))),"",IF('Your debts'!$D$20="Avalanche",'Avalanche workings'!$AR$98,'Snowball workings'!$AR$98))</f>
      </c>
      <c r="L96" s="29">
        <f>IF(OR(91&gt;$Z$1,NOT(OR('Your debts'!$B$9&lt;&gt;"",N('Your debts'!$C$9)&gt;0))),"",IF('Your debts'!$D$20="Avalanche",'Avalanche workings'!$O$98,'Snowball workings'!$O$98)+IF('Your debts'!$D$20="Avalanche",'Avalanche workings'!$AI$98,'Snowball workings'!$AI$98))</f>
      </c>
      <c r="M96" s="30">
        <f>IF(OR(91&gt;$Z$1,NOT(OR('Your debts'!$B$9&lt;&gt;"",N('Your debts'!$C$9)&gt;0))),"",IF('Your debts'!$D$20="Avalanche",'Avalanche workings'!$AS$98,'Snowball workings'!$AS$98))</f>
      </c>
      <c r="N96" s="29">
        <f>IF(OR(91&gt;$Z$1,NOT(OR('Your debts'!$B$10&lt;&gt;"",N('Your debts'!$C$10)&gt;0))),"",IF('Your debts'!$D$20="Avalanche",'Avalanche workings'!$P$98,'Snowball workings'!$P$98)+IF('Your debts'!$D$20="Avalanche",'Avalanche workings'!$AJ$98,'Snowball workings'!$AJ$98))</f>
      </c>
      <c r="O96" s="30">
        <f>IF(OR(91&gt;$Z$1,NOT(OR('Your debts'!$B$10&lt;&gt;"",N('Your debts'!$C$10)&gt;0))),"",IF('Your debts'!$D$20="Avalanche",'Avalanche workings'!$AT$98,'Snowball workings'!$AT$98))</f>
      </c>
      <c r="P96" s="29">
        <f>IF(OR(91&gt;$Z$1,NOT(OR('Your debts'!$B$11&lt;&gt;"",N('Your debts'!$C$11)&gt;0))),"",IF('Your debts'!$D$20="Avalanche",'Avalanche workings'!$Q$98,'Snowball workings'!$Q$98)+IF('Your debts'!$D$20="Avalanche",'Avalanche workings'!$AK$98,'Snowball workings'!$AK$98))</f>
      </c>
      <c r="Q96" s="30">
        <f>IF(OR(91&gt;$Z$1,NOT(OR('Your debts'!$B$11&lt;&gt;"",N('Your debts'!$C$11)&gt;0))),"",IF('Your debts'!$D$20="Avalanche",'Avalanche workings'!$AU$98,'Snowball workings'!$AU$98))</f>
      </c>
      <c r="R96" s="29">
        <f>IF(OR(91&gt;$Z$1,NOT(OR('Your debts'!$B$12&lt;&gt;"",N('Your debts'!$C$12)&gt;0))),"",IF('Your debts'!$D$20="Avalanche",'Avalanche workings'!$R$98,'Snowball workings'!$R$98)+IF('Your debts'!$D$20="Avalanche",'Avalanche workings'!$AL$98,'Snowball workings'!$AL$98))</f>
      </c>
      <c r="S96" s="30">
        <f>IF(OR(91&gt;$Z$1,NOT(OR('Your debts'!$B$12&lt;&gt;"",N('Your debts'!$C$12)&gt;0))),"",IF('Your debts'!$D$20="Avalanche",'Avalanche workings'!$AV$98,'Snowball workings'!$AV$98))</f>
      </c>
      <c r="T96" s="29">
        <f>IF(OR(91&gt;$Z$1,NOT(OR('Your debts'!$B$13&lt;&gt;"",N('Your debts'!$C$13)&gt;0))),"",IF('Your debts'!$D$20="Avalanche",'Avalanche workings'!$S$98,'Snowball workings'!$S$98)+IF('Your debts'!$D$20="Avalanche",'Avalanche workings'!$AM$98,'Snowball workings'!$AM$98))</f>
      </c>
      <c r="U96" s="30">
        <f>IF(OR(91&gt;$Z$1,NOT(OR('Your debts'!$B$13&lt;&gt;"",N('Your debts'!$C$13)&gt;0))),"",IF('Your debts'!$D$20="Avalanche",'Avalanche workings'!$AW$98,'Snowball workings'!$AW$98))</f>
      </c>
      <c r="V96" s="29">
        <f>IF(OR(91&gt;$Z$1,NOT(OR('Your debts'!$B$14&lt;&gt;"",N('Your debts'!$C$14)&gt;0))),"",IF('Your debts'!$D$20="Avalanche",'Avalanche workings'!$T$98,'Snowball workings'!$T$98)+IF('Your debts'!$D$20="Avalanche",'Avalanche workings'!$AN$98,'Snowball workings'!$AN$98))</f>
      </c>
      <c r="W96" s="30">
        <f>IF(OR(91&gt;$Z$1,NOT(OR('Your debts'!$B$14&lt;&gt;"",N('Your debts'!$C$14)&gt;0))),"",IF('Your debts'!$D$20="Avalanche",'Avalanche workings'!$AX$98,'Snowball workings'!$AX$98))</f>
      </c>
      <c r="X96" s="29">
        <f>IF(OR(91&gt;$Z$1,NOT(OR('Your debts'!$B$15&lt;&gt;"",N('Your debts'!$C$15)&gt;0))),"",IF('Your debts'!$D$20="Avalanche",'Avalanche workings'!$U$98,'Snowball workings'!$U$98)+IF('Your debts'!$D$20="Avalanche",'Avalanche workings'!$AO$98,'Snowball workings'!$AO$98))</f>
      </c>
      <c r="Y96" s="30">
        <f>IF(OR(91&gt;$Z$1,NOT(OR('Your debts'!$B$15&lt;&gt;"",N('Your debts'!$C$15)&gt;0))),"",IF('Your debts'!$D$20="Avalanche",'Avalanche workings'!$AY$98,'Snowball workings'!$AY$98))</f>
      </c>
    </row>
    <row r="97" spans="1:25" x14ac:dyDescent="0.25">
      <c r="A97" s="2">
        <f>IF(92&gt;$Z$1,"",92)</f>
      </c>
      <c r="B97" s="28">
        <f>IF(92&gt;$Z$1,"",EDATE('Your debts'!$D$21,91))</f>
      </c>
      <c r="C97" s="29">
        <f>IF(92&gt;$Z$1,"",IF('Your debts'!$D$20="Avalanche",'Avalanche workings'!$BC$99,'Snowball workings'!$BC$99))</f>
      </c>
      <c r="D97" s="29">
        <f>IF(92&gt;$Z$1,"",IF('Your debts'!$D$20="Avalanche",'Avalanche workings'!$BA$99,'Snowball workings'!$BA$99))</f>
      </c>
      <c r="E97" s="29">
        <f>IF(92&gt;$Z$1,"",IF('Your debts'!$D$20="Avalanche",'Avalanche workings'!$BB$99,'Snowball workings'!$BB$99))</f>
      </c>
      <c r="F97" s="29">
        <f>IF(OR(92&gt;$Z$1,NOT(OR('Your debts'!$B$6&lt;&gt;"",N('Your debts'!$C$6)&gt;0))),"",IF('Your debts'!$D$20="Avalanche",'Avalanche workings'!$L$99,'Snowball workings'!$L$99)+IF('Your debts'!$D$20="Avalanche",'Avalanche workings'!$AF$99,'Snowball workings'!$AF$99))</f>
      </c>
      <c r="G97" s="30">
        <f>IF(OR(92&gt;$Z$1,NOT(OR('Your debts'!$B$6&lt;&gt;"",N('Your debts'!$C$6)&gt;0))),"",IF('Your debts'!$D$20="Avalanche",'Avalanche workings'!$AP$99,'Snowball workings'!$AP$99))</f>
      </c>
      <c r="H97" s="29">
        <f>IF(OR(92&gt;$Z$1,NOT(OR('Your debts'!$B$7&lt;&gt;"",N('Your debts'!$C$7)&gt;0))),"",IF('Your debts'!$D$20="Avalanche",'Avalanche workings'!$M$99,'Snowball workings'!$M$99)+IF('Your debts'!$D$20="Avalanche",'Avalanche workings'!$AG$99,'Snowball workings'!$AG$99))</f>
      </c>
      <c r="I97" s="30">
        <f>IF(OR(92&gt;$Z$1,NOT(OR('Your debts'!$B$7&lt;&gt;"",N('Your debts'!$C$7)&gt;0))),"",IF('Your debts'!$D$20="Avalanche",'Avalanche workings'!$AQ$99,'Snowball workings'!$AQ$99))</f>
      </c>
      <c r="J97" s="29">
        <f>IF(OR(92&gt;$Z$1,NOT(OR('Your debts'!$B$8&lt;&gt;"",N('Your debts'!$C$8)&gt;0))),"",IF('Your debts'!$D$20="Avalanche",'Avalanche workings'!$N$99,'Snowball workings'!$N$99)+IF('Your debts'!$D$20="Avalanche",'Avalanche workings'!$AH$99,'Snowball workings'!$AH$99))</f>
      </c>
      <c r="K97" s="30">
        <f>IF(OR(92&gt;$Z$1,NOT(OR('Your debts'!$B$8&lt;&gt;"",N('Your debts'!$C$8)&gt;0))),"",IF('Your debts'!$D$20="Avalanche",'Avalanche workings'!$AR$99,'Snowball workings'!$AR$99))</f>
      </c>
      <c r="L97" s="29">
        <f>IF(OR(92&gt;$Z$1,NOT(OR('Your debts'!$B$9&lt;&gt;"",N('Your debts'!$C$9)&gt;0))),"",IF('Your debts'!$D$20="Avalanche",'Avalanche workings'!$O$99,'Snowball workings'!$O$99)+IF('Your debts'!$D$20="Avalanche",'Avalanche workings'!$AI$99,'Snowball workings'!$AI$99))</f>
      </c>
      <c r="M97" s="30">
        <f>IF(OR(92&gt;$Z$1,NOT(OR('Your debts'!$B$9&lt;&gt;"",N('Your debts'!$C$9)&gt;0))),"",IF('Your debts'!$D$20="Avalanche",'Avalanche workings'!$AS$99,'Snowball workings'!$AS$99))</f>
      </c>
      <c r="N97" s="29">
        <f>IF(OR(92&gt;$Z$1,NOT(OR('Your debts'!$B$10&lt;&gt;"",N('Your debts'!$C$10)&gt;0))),"",IF('Your debts'!$D$20="Avalanche",'Avalanche workings'!$P$99,'Snowball workings'!$P$99)+IF('Your debts'!$D$20="Avalanche",'Avalanche workings'!$AJ$99,'Snowball workings'!$AJ$99))</f>
      </c>
      <c r="O97" s="30">
        <f>IF(OR(92&gt;$Z$1,NOT(OR('Your debts'!$B$10&lt;&gt;"",N('Your debts'!$C$10)&gt;0))),"",IF('Your debts'!$D$20="Avalanche",'Avalanche workings'!$AT$99,'Snowball workings'!$AT$99))</f>
      </c>
      <c r="P97" s="29">
        <f>IF(OR(92&gt;$Z$1,NOT(OR('Your debts'!$B$11&lt;&gt;"",N('Your debts'!$C$11)&gt;0))),"",IF('Your debts'!$D$20="Avalanche",'Avalanche workings'!$Q$99,'Snowball workings'!$Q$99)+IF('Your debts'!$D$20="Avalanche",'Avalanche workings'!$AK$99,'Snowball workings'!$AK$99))</f>
      </c>
      <c r="Q97" s="30">
        <f>IF(OR(92&gt;$Z$1,NOT(OR('Your debts'!$B$11&lt;&gt;"",N('Your debts'!$C$11)&gt;0))),"",IF('Your debts'!$D$20="Avalanche",'Avalanche workings'!$AU$99,'Snowball workings'!$AU$99))</f>
      </c>
      <c r="R97" s="29">
        <f>IF(OR(92&gt;$Z$1,NOT(OR('Your debts'!$B$12&lt;&gt;"",N('Your debts'!$C$12)&gt;0))),"",IF('Your debts'!$D$20="Avalanche",'Avalanche workings'!$R$99,'Snowball workings'!$R$99)+IF('Your debts'!$D$20="Avalanche",'Avalanche workings'!$AL$99,'Snowball workings'!$AL$99))</f>
      </c>
      <c r="S97" s="30">
        <f>IF(OR(92&gt;$Z$1,NOT(OR('Your debts'!$B$12&lt;&gt;"",N('Your debts'!$C$12)&gt;0))),"",IF('Your debts'!$D$20="Avalanche",'Avalanche workings'!$AV$99,'Snowball workings'!$AV$99))</f>
      </c>
      <c r="T97" s="29">
        <f>IF(OR(92&gt;$Z$1,NOT(OR('Your debts'!$B$13&lt;&gt;"",N('Your debts'!$C$13)&gt;0))),"",IF('Your debts'!$D$20="Avalanche",'Avalanche workings'!$S$99,'Snowball workings'!$S$99)+IF('Your debts'!$D$20="Avalanche",'Avalanche workings'!$AM$99,'Snowball workings'!$AM$99))</f>
      </c>
      <c r="U97" s="30">
        <f>IF(OR(92&gt;$Z$1,NOT(OR('Your debts'!$B$13&lt;&gt;"",N('Your debts'!$C$13)&gt;0))),"",IF('Your debts'!$D$20="Avalanche",'Avalanche workings'!$AW$99,'Snowball workings'!$AW$99))</f>
      </c>
      <c r="V97" s="29">
        <f>IF(OR(92&gt;$Z$1,NOT(OR('Your debts'!$B$14&lt;&gt;"",N('Your debts'!$C$14)&gt;0))),"",IF('Your debts'!$D$20="Avalanche",'Avalanche workings'!$T$99,'Snowball workings'!$T$99)+IF('Your debts'!$D$20="Avalanche",'Avalanche workings'!$AN$99,'Snowball workings'!$AN$99))</f>
      </c>
      <c r="W97" s="30">
        <f>IF(OR(92&gt;$Z$1,NOT(OR('Your debts'!$B$14&lt;&gt;"",N('Your debts'!$C$14)&gt;0))),"",IF('Your debts'!$D$20="Avalanche",'Avalanche workings'!$AX$99,'Snowball workings'!$AX$99))</f>
      </c>
      <c r="X97" s="29">
        <f>IF(OR(92&gt;$Z$1,NOT(OR('Your debts'!$B$15&lt;&gt;"",N('Your debts'!$C$15)&gt;0))),"",IF('Your debts'!$D$20="Avalanche",'Avalanche workings'!$U$99,'Snowball workings'!$U$99)+IF('Your debts'!$D$20="Avalanche",'Avalanche workings'!$AO$99,'Snowball workings'!$AO$99))</f>
      </c>
      <c r="Y97" s="30">
        <f>IF(OR(92&gt;$Z$1,NOT(OR('Your debts'!$B$15&lt;&gt;"",N('Your debts'!$C$15)&gt;0))),"",IF('Your debts'!$D$20="Avalanche",'Avalanche workings'!$AY$99,'Snowball workings'!$AY$99))</f>
      </c>
    </row>
    <row r="98" spans="1:25" x14ac:dyDescent="0.25">
      <c r="A98" s="2">
        <f>IF(93&gt;$Z$1,"",93)</f>
      </c>
      <c r="B98" s="28">
        <f>IF(93&gt;$Z$1,"",EDATE('Your debts'!$D$21,92))</f>
      </c>
      <c r="C98" s="29">
        <f>IF(93&gt;$Z$1,"",IF('Your debts'!$D$20="Avalanche",'Avalanche workings'!$BC$100,'Snowball workings'!$BC$100))</f>
      </c>
      <c r="D98" s="29">
        <f>IF(93&gt;$Z$1,"",IF('Your debts'!$D$20="Avalanche",'Avalanche workings'!$BA$100,'Snowball workings'!$BA$100))</f>
      </c>
      <c r="E98" s="29">
        <f>IF(93&gt;$Z$1,"",IF('Your debts'!$D$20="Avalanche",'Avalanche workings'!$BB$100,'Snowball workings'!$BB$100))</f>
      </c>
      <c r="F98" s="29">
        <f>IF(OR(93&gt;$Z$1,NOT(OR('Your debts'!$B$6&lt;&gt;"",N('Your debts'!$C$6)&gt;0))),"",IF('Your debts'!$D$20="Avalanche",'Avalanche workings'!$L$100,'Snowball workings'!$L$100)+IF('Your debts'!$D$20="Avalanche",'Avalanche workings'!$AF$100,'Snowball workings'!$AF$100))</f>
      </c>
      <c r="G98" s="30">
        <f>IF(OR(93&gt;$Z$1,NOT(OR('Your debts'!$B$6&lt;&gt;"",N('Your debts'!$C$6)&gt;0))),"",IF('Your debts'!$D$20="Avalanche",'Avalanche workings'!$AP$100,'Snowball workings'!$AP$100))</f>
      </c>
      <c r="H98" s="29">
        <f>IF(OR(93&gt;$Z$1,NOT(OR('Your debts'!$B$7&lt;&gt;"",N('Your debts'!$C$7)&gt;0))),"",IF('Your debts'!$D$20="Avalanche",'Avalanche workings'!$M$100,'Snowball workings'!$M$100)+IF('Your debts'!$D$20="Avalanche",'Avalanche workings'!$AG$100,'Snowball workings'!$AG$100))</f>
      </c>
      <c r="I98" s="30">
        <f>IF(OR(93&gt;$Z$1,NOT(OR('Your debts'!$B$7&lt;&gt;"",N('Your debts'!$C$7)&gt;0))),"",IF('Your debts'!$D$20="Avalanche",'Avalanche workings'!$AQ$100,'Snowball workings'!$AQ$100))</f>
      </c>
      <c r="J98" s="29">
        <f>IF(OR(93&gt;$Z$1,NOT(OR('Your debts'!$B$8&lt;&gt;"",N('Your debts'!$C$8)&gt;0))),"",IF('Your debts'!$D$20="Avalanche",'Avalanche workings'!$N$100,'Snowball workings'!$N$100)+IF('Your debts'!$D$20="Avalanche",'Avalanche workings'!$AH$100,'Snowball workings'!$AH$100))</f>
      </c>
      <c r="K98" s="30">
        <f>IF(OR(93&gt;$Z$1,NOT(OR('Your debts'!$B$8&lt;&gt;"",N('Your debts'!$C$8)&gt;0))),"",IF('Your debts'!$D$20="Avalanche",'Avalanche workings'!$AR$100,'Snowball workings'!$AR$100))</f>
      </c>
      <c r="L98" s="29">
        <f>IF(OR(93&gt;$Z$1,NOT(OR('Your debts'!$B$9&lt;&gt;"",N('Your debts'!$C$9)&gt;0))),"",IF('Your debts'!$D$20="Avalanche",'Avalanche workings'!$O$100,'Snowball workings'!$O$100)+IF('Your debts'!$D$20="Avalanche",'Avalanche workings'!$AI$100,'Snowball workings'!$AI$100))</f>
      </c>
      <c r="M98" s="30">
        <f>IF(OR(93&gt;$Z$1,NOT(OR('Your debts'!$B$9&lt;&gt;"",N('Your debts'!$C$9)&gt;0))),"",IF('Your debts'!$D$20="Avalanche",'Avalanche workings'!$AS$100,'Snowball workings'!$AS$100))</f>
      </c>
      <c r="N98" s="29">
        <f>IF(OR(93&gt;$Z$1,NOT(OR('Your debts'!$B$10&lt;&gt;"",N('Your debts'!$C$10)&gt;0))),"",IF('Your debts'!$D$20="Avalanche",'Avalanche workings'!$P$100,'Snowball workings'!$P$100)+IF('Your debts'!$D$20="Avalanche",'Avalanche workings'!$AJ$100,'Snowball workings'!$AJ$100))</f>
      </c>
      <c r="O98" s="30">
        <f>IF(OR(93&gt;$Z$1,NOT(OR('Your debts'!$B$10&lt;&gt;"",N('Your debts'!$C$10)&gt;0))),"",IF('Your debts'!$D$20="Avalanche",'Avalanche workings'!$AT$100,'Snowball workings'!$AT$100))</f>
      </c>
      <c r="P98" s="29">
        <f>IF(OR(93&gt;$Z$1,NOT(OR('Your debts'!$B$11&lt;&gt;"",N('Your debts'!$C$11)&gt;0))),"",IF('Your debts'!$D$20="Avalanche",'Avalanche workings'!$Q$100,'Snowball workings'!$Q$100)+IF('Your debts'!$D$20="Avalanche",'Avalanche workings'!$AK$100,'Snowball workings'!$AK$100))</f>
      </c>
      <c r="Q98" s="30">
        <f>IF(OR(93&gt;$Z$1,NOT(OR('Your debts'!$B$11&lt;&gt;"",N('Your debts'!$C$11)&gt;0))),"",IF('Your debts'!$D$20="Avalanche",'Avalanche workings'!$AU$100,'Snowball workings'!$AU$100))</f>
      </c>
      <c r="R98" s="29">
        <f>IF(OR(93&gt;$Z$1,NOT(OR('Your debts'!$B$12&lt;&gt;"",N('Your debts'!$C$12)&gt;0))),"",IF('Your debts'!$D$20="Avalanche",'Avalanche workings'!$R$100,'Snowball workings'!$R$100)+IF('Your debts'!$D$20="Avalanche",'Avalanche workings'!$AL$100,'Snowball workings'!$AL$100))</f>
      </c>
      <c r="S98" s="30">
        <f>IF(OR(93&gt;$Z$1,NOT(OR('Your debts'!$B$12&lt;&gt;"",N('Your debts'!$C$12)&gt;0))),"",IF('Your debts'!$D$20="Avalanche",'Avalanche workings'!$AV$100,'Snowball workings'!$AV$100))</f>
      </c>
      <c r="T98" s="29">
        <f>IF(OR(93&gt;$Z$1,NOT(OR('Your debts'!$B$13&lt;&gt;"",N('Your debts'!$C$13)&gt;0))),"",IF('Your debts'!$D$20="Avalanche",'Avalanche workings'!$S$100,'Snowball workings'!$S$100)+IF('Your debts'!$D$20="Avalanche",'Avalanche workings'!$AM$100,'Snowball workings'!$AM$100))</f>
      </c>
      <c r="U98" s="30">
        <f>IF(OR(93&gt;$Z$1,NOT(OR('Your debts'!$B$13&lt;&gt;"",N('Your debts'!$C$13)&gt;0))),"",IF('Your debts'!$D$20="Avalanche",'Avalanche workings'!$AW$100,'Snowball workings'!$AW$100))</f>
      </c>
      <c r="V98" s="29">
        <f>IF(OR(93&gt;$Z$1,NOT(OR('Your debts'!$B$14&lt;&gt;"",N('Your debts'!$C$14)&gt;0))),"",IF('Your debts'!$D$20="Avalanche",'Avalanche workings'!$T$100,'Snowball workings'!$T$100)+IF('Your debts'!$D$20="Avalanche",'Avalanche workings'!$AN$100,'Snowball workings'!$AN$100))</f>
      </c>
      <c r="W98" s="30">
        <f>IF(OR(93&gt;$Z$1,NOT(OR('Your debts'!$B$14&lt;&gt;"",N('Your debts'!$C$14)&gt;0))),"",IF('Your debts'!$D$20="Avalanche",'Avalanche workings'!$AX$100,'Snowball workings'!$AX$100))</f>
      </c>
      <c r="X98" s="29">
        <f>IF(OR(93&gt;$Z$1,NOT(OR('Your debts'!$B$15&lt;&gt;"",N('Your debts'!$C$15)&gt;0))),"",IF('Your debts'!$D$20="Avalanche",'Avalanche workings'!$U$100,'Snowball workings'!$U$100)+IF('Your debts'!$D$20="Avalanche",'Avalanche workings'!$AO$100,'Snowball workings'!$AO$100))</f>
      </c>
      <c r="Y98" s="30">
        <f>IF(OR(93&gt;$Z$1,NOT(OR('Your debts'!$B$15&lt;&gt;"",N('Your debts'!$C$15)&gt;0))),"",IF('Your debts'!$D$20="Avalanche",'Avalanche workings'!$AY$100,'Snowball workings'!$AY$100))</f>
      </c>
    </row>
    <row r="99" spans="1:25" x14ac:dyDescent="0.25">
      <c r="A99" s="2">
        <f>IF(94&gt;$Z$1,"",94)</f>
      </c>
      <c r="B99" s="28">
        <f>IF(94&gt;$Z$1,"",EDATE('Your debts'!$D$21,93))</f>
      </c>
      <c r="C99" s="29">
        <f>IF(94&gt;$Z$1,"",IF('Your debts'!$D$20="Avalanche",'Avalanche workings'!$BC$101,'Snowball workings'!$BC$101))</f>
      </c>
      <c r="D99" s="29">
        <f>IF(94&gt;$Z$1,"",IF('Your debts'!$D$20="Avalanche",'Avalanche workings'!$BA$101,'Snowball workings'!$BA$101))</f>
      </c>
      <c r="E99" s="29">
        <f>IF(94&gt;$Z$1,"",IF('Your debts'!$D$20="Avalanche",'Avalanche workings'!$BB$101,'Snowball workings'!$BB$101))</f>
      </c>
      <c r="F99" s="29">
        <f>IF(OR(94&gt;$Z$1,NOT(OR('Your debts'!$B$6&lt;&gt;"",N('Your debts'!$C$6)&gt;0))),"",IF('Your debts'!$D$20="Avalanche",'Avalanche workings'!$L$101,'Snowball workings'!$L$101)+IF('Your debts'!$D$20="Avalanche",'Avalanche workings'!$AF$101,'Snowball workings'!$AF$101))</f>
      </c>
      <c r="G99" s="30">
        <f>IF(OR(94&gt;$Z$1,NOT(OR('Your debts'!$B$6&lt;&gt;"",N('Your debts'!$C$6)&gt;0))),"",IF('Your debts'!$D$20="Avalanche",'Avalanche workings'!$AP$101,'Snowball workings'!$AP$101))</f>
      </c>
      <c r="H99" s="29">
        <f>IF(OR(94&gt;$Z$1,NOT(OR('Your debts'!$B$7&lt;&gt;"",N('Your debts'!$C$7)&gt;0))),"",IF('Your debts'!$D$20="Avalanche",'Avalanche workings'!$M$101,'Snowball workings'!$M$101)+IF('Your debts'!$D$20="Avalanche",'Avalanche workings'!$AG$101,'Snowball workings'!$AG$101))</f>
      </c>
      <c r="I99" s="30">
        <f>IF(OR(94&gt;$Z$1,NOT(OR('Your debts'!$B$7&lt;&gt;"",N('Your debts'!$C$7)&gt;0))),"",IF('Your debts'!$D$20="Avalanche",'Avalanche workings'!$AQ$101,'Snowball workings'!$AQ$101))</f>
      </c>
      <c r="J99" s="29">
        <f>IF(OR(94&gt;$Z$1,NOT(OR('Your debts'!$B$8&lt;&gt;"",N('Your debts'!$C$8)&gt;0))),"",IF('Your debts'!$D$20="Avalanche",'Avalanche workings'!$N$101,'Snowball workings'!$N$101)+IF('Your debts'!$D$20="Avalanche",'Avalanche workings'!$AH$101,'Snowball workings'!$AH$101))</f>
      </c>
      <c r="K99" s="30">
        <f>IF(OR(94&gt;$Z$1,NOT(OR('Your debts'!$B$8&lt;&gt;"",N('Your debts'!$C$8)&gt;0))),"",IF('Your debts'!$D$20="Avalanche",'Avalanche workings'!$AR$101,'Snowball workings'!$AR$101))</f>
      </c>
      <c r="L99" s="29">
        <f>IF(OR(94&gt;$Z$1,NOT(OR('Your debts'!$B$9&lt;&gt;"",N('Your debts'!$C$9)&gt;0))),"",IF('Your debts'!$D$20="Avalanche",'Avalanche workings'!$O$101,'Snowball workings'!$O$101)+IF('Your debts'!$D$20="Avalanche",'Avalanche workings'!$AI$101,'Snowball workings'!$AI$101))</f>
      </c>
      <c r="M99" s="30">
        <f>IF(OR(94&gt;$Z$1,NOT(OR('Your debts'!$B$9&lt;&gt;"",N('Your debts'!$C$9)&gt;0))),"",IF('Your debts'!$D$20="Avalanche",'Avalanche workings'!$AS$101,'Snowball workings'!$AS$101))</f>
      </c>
      <c r="N99" s="29">
        <f>IF(OR(94&gt;$Z$1,NOT(OR('Your debts'!$B$10&lt;&gt;"",N('Your debts'!$C$10)&gt;0))),"",IF('Your debts'!$D$20="Avalanche",'Avalanche workings'!$P$101,'Snowball workings'!$P$101)+IF('Your debts'!$D$20="Avalanche",'Avalanche workings'!$AJ$101,'Snowball workings'!$AJ$101))</f>
      </c>
      <c r="O99" s="30">
        <f>IF(OR(94&gt;$Z$1,NOT(OR('Your debts'!$B$10&lt;&gt;"",N('Your debts'!$C$10)&gt;0))),"",IF('Your debts'!$D$20="Avalanche",'Avalanche workings'!$AT$101,'Snowball workings'!$AT$101))</f>
      </c>
      <c r="P99" s="29">
        <f>IF(OR(94&gt;$Z$1,NOT(OR('Your debts'!$B$11&lt;&gt;"",N('Your debts'!$C$11)&gt;0))),"",IF('Your debts'!$D$20="Avalanche",'Avalanche workings'!$Q$101,'Snowball workings'!$Q$101)+IF('Your debts'!$D$20="Avalanche",'Avalanche workings'!$AK$101,'Snowball workings'!$AK$101))</f>
      </c>
      <c r="Q99" s="30">
        <f>IF(OR(94&gt;$Z$1,NOT(OR('Your debts'!$B$11&lt;&gt;"",N('Your debts'!$C$11)&gt;0))),"",IF('Your debts'!$D$20="Avalanche",'Avalanche workings'!$AU$101,'Snowball workings'!$AU$101))</f>
      </c>
      <c r="R99" s="29">
        <f>IF(OR(94&gt;$Z$1,NOT(OR('Your debts'!$B$12&lt;&gt;"",N('Your debts'!$C$12)&gt;0))),"",IF('Your debts'!$D$20="Avalanche",'Avalanche workings'!$R$101,'Snowball workings'!$R$101)+IF('Your debts'!$D$20="Avalanche",'Avalanche workings'!$AL$101,'Snowball workings'!$AL$101))</f>
      </c>
      <c r="S99" s="30">
        <f>IF(OR(94&gt;$Z$1,NOT(OR('Your debts'!$B$12&lt;&gt;"",N('Your debts'!$C$12)&gt;0))),"",IF('Your debts'!$D$20="Avalanche",'Avalanche workings'!$AV$101,'Snowball workings'!$AV$101))</f>
      </c>
      <c r="T99" s="29">
        <f>IF(OR(94&gt;$Z$1,NOT(OR('Your debts'!$B$13&lt;&gt;"",N('Your debts'!$C$13)&gt;0))),"",IF('Your debts'!$D$20="Avalanche",'Avalanche workings'!$S$101,'Snowball workings'!$S$101)+IF('Your debts'!$D$20="Avalanche",'Avalanche workings'!$AM$101,'Snowball workings'!$AM$101))</f>
      </c>
      <c r="U99" s="30">
        <f>IF(OR(94&gt;$Z$1,NOT(OR('Your debts'!$B$13&lt;&gt;"",N('Your debts'!$C$13)&gt;0))),"",IF('Your debts'!$D$20="Avalanche",'Avalanche workings'!$AW$101,'Snowball workings'!$AW$101))</f>
      </c>
      <c r="V99" s="29">
        <f>IF(OR(94&gt;$Z$1,NOT(OR('Your debts'!$B$14&lt;&gt;"",N('Your debts'!$C$14)&gt;0))),"",IF('Your debts'!$D$20="Avalanche",'Avalanche workings'!$T$101,'Snowball workings'!$T$101)+IF('Your debts'!$D$20="Avalanche",'Avalanche workings'!$AN$101,'Snowball workings'!$AN$101))</f>
      </c>
      <c r="W99" s="30">
        <f>IF(OR(94&gt;$Z$1,NOT(OR('Your debts'!$B$14&lt;&gt;"",N('Your debts'!$C$14)&gt;0))),"",IF('Your debts'!$D$20="Avalanche",'Avalanche workings'!$AX$101,'Snowball workings'!$AX$101))</f>
      </c>
      <c r="X99" s="29">
        <f>IF(OR(94&gt;$Z$1,NOT(OR('Your debts'!$B$15&lt;&gt;"",N('Your debts'!$C$15)&gt;0))),"",IF('Your debts'!$D$20="Avalanche",'Avalanche workings'!$U$101,'Snowball workings'!$U$101)+IF('Your debts'!$D$20="Avalanche",'Avalanche workings'!$AO$101,'Snowball workings'!$AO$101))</f>
      </c>
      <c r="Y99" s="30">
        <f>IF(OR(94&gt;$Z$1,NOT(OR('Your debts'!$B$15&lt;&gt;"",N('Your debts'!$C$15)&gt;0))),"",IF('Your debts'!$D$20="Avalanche",'Avalanche workings'!$AY$101,'Snowball workings'!$AY$101))</f>
      </c>
    </row>
    <row r="100" spans="1:25" x14ac:dyDescent="0.25">
      <c r="A100" s="2">
        <f>IF(95&gt;$Z$1,"",95)</f>
      </c>
      <c r="B100" s="28">
        <f>IF(95&gt;$Z$1,"",EDATE('Your debts'!$D$21,94))</f>
      </c>
      <c r="C100" s="29">
        <f>IF(95&gt;$Z$1,"",IF('Your debts'!$D$20="Avalanche",'Avalanche workings'!$BC$102,'Snowball workings'!$BC$102))</f>
      </c>
      <c r="D100" s="29">
        <f>IF(95&gt;$Z$1,"",IF('Your debts'!$D$20="Avalanche",'Avalanche workings'!$BA$102,'Snowball workings'!$BA$102))</f>
      </c>
      <c r="E100" s="29">
        <f>IF(95&gt;$Z$1,"",IF('Your debts'!$D$20="Avalanche",'Avalanche workings'!$BB$102,'Snowball workings'!$BB$102))</f>
      </c>
      <c r="F100" s="29">
        <f>IF(OR(95&gt;$Z$1,NOT(OR('Your debts'!$B$6&lt;&gt;"",N('Your debts'!$C$6)&gt;0))),"",IF('Your debts'!$D$20="Avalanche",'Avalanche workings'!$L$102,'Snowball workings'!$L$102)+IF('Your debts'!$D$20="Avalanche",'Avalanche workings'!$AF$102,'Snowball workings'!$AF$102))</f>
      </c>
      <c r="G100" s="30">
        <f>IF(OR(95&gt;$Z$1,NOT(OR('Your debts'!$B$6&lt;&gt;"",N('Your debts'!$C$6)&gt;0))),"",IF('Your debts'!$D$20="Avalanche",'Avalanche workings'!$AP$102,'Snowball workings'!$AP$102))</f>
      </c>
      <c r="H100" s="29">
        <f>IF(OR(95&gt;$Z$1,NOT(OR('Your debts'!$B$7&lt;&gt;"",N('Your debts'!$C$7)&gt;0))),"",IF('Your debts'!$D$20="Avalanche",'Avalanche workings'!$M$102,'Snowball workings'!$M$102)+IF('Your debts'!$D$20="Avalanche",'Avalanche workings'!$AG$102,'Snowball workings'!$AG$102))</f>
      </c>
      <c r="I100" s="30">
        <f>IF(OR(95&gt;$Z$1,NOT(OR('Your debts'!$B$7&lt;&gt;"",N('Your debts'!$C$7)&gt;0))),"",IF('Your debts'!$D$20="Avalanche",'Avalanche workings'!$AQ$102,'Snowball workings'!$AQ$102))</f>
      </c>
      <c r="J100" s="29">
        <f>IF(OR(95&gt;$Z$1,NOT(OR('Your debts'!$B$8&lt;&gt;"",N('Your debts'!$C$8)&gt;0))),"",IF('Your debts'!$D$20="Avalanche",'Avalanche workings'!$N$102,'Snowball workings'!$N$102)+IF('Your debts'!$D$20="Avalanche",'Avalanche workings'!$AH$102,'Snowball workings'!$AH$102))</f>
      </c>
      <c r="K100" s="30">
        <f>IF(OR(95&gt;$Z$1,NOT(OR('Your debts'!$B$8&lt;&gt;"",N('Your debts'!$C$8)&gt;0))),"",IF('Your debts'!$D$20="Avalanche",'Avalanche workings'!$AR$102,'Snowball workings'!$AR$102))</f>
      </c>
      <c r="L100" s="29">
        <f>IF(OR(95&gt;$Z$1,NOT(OR('Your debts'!$B$9&lt;&gt;"",N('Your debts'!$C$9)&gt;0))),"",IF('Your debts'!$D$20="Avalanche",'Avalanche workings'!$O$102,'Snowball workings'!$O$102)+IF('Your debts'!$D$20="Avalanche",'Avalanche workings'!$AI$102,'Snowball workings'!$AI$102))</f>
      </c>
      <c r="M100" s="30">
        <f>IF(OR(95&gt;$Z$1,NOT(OR('Your debts'!$B$9&lt;&gt;"",N('Your debts'!$C$9)&gt;0))),"",IF('Your debts'!$D$20="Avalanche",'Avalanche workings'!$AS$102,'Snowball workings'!$AS$102))</f>
      </c>
      <c r="N100" s="29">
        <f>IF(OR(95&gt;$Z$1,NOT(OR('Your debts'!$B$10&lt;&gt;"",N('Your debts'!$C$10)&gt;0))),"",IF('Your debts'!$D$20="Avalanche",'Avalanche workings'!$P$102,'Snowball workings'!$P$102)+IF('Your debts'!$D$20="Avalanche",'Avalanche workings'!$AJ$102,'Snowball workings'!$AJ$102))</f>
      </c>
      <c r="O100" s="30">
        <f>IF(OR(95&gt;$Z$1,NOT(OR('Your debts'!$B$10&lt;&gt;"",N('Your debts'!$C$10)&gt;0))),"",IF('Your debts'!$D$20="Avalanche",'Avalanche workings'!$AT$102,'Snowball workings'!$AT$102))</f>
      </c>
      <c r="P100" s="29">
        <f>IF(OR(95&gt;$Z$1,NOT(OR('Your debts'!$B$11&lt;&gt;"",N('Your debts'!$C$11)&gt;0))),"",IF('Your debts'!$D$20="Avalanche",'Avalanche workings'!$Q$102,'Snowball workings'!$Q$102)+IF('Your debts'!$D$20="Avalanche",'Avalanche workings'!$AK$102,'Snowball workings'!$AK$102))</f>
      </c>
      <c r="Q100" s="30">
        <f>IF(OR(95&gt;$Z$1,NOT(OR('Your debts'!$B$11&lt;&gt;"",N('Your debts'!$C$11)&gt;0))),"",IF('Your debts'!$D$20="Avalanche",'Avalanche workings'!$AU$102,'Snowball workings'!$AU$102))</f>
      </c>
      <c r="R100" s="29">
        <f>IF(OR(95&gt;$Z$1,NOT(OR('Your debts'!$B$12&lt;&gt;"",N('Your debts'!$C$12)&gt;0))),"",IF('Your debts'!$D$20="Avalanche",'Avalanche workings'!$R$102,'Snowball workings'!$R$102)+IF('Your debts'!$D$20="Avalanche",'Avalanche workings'!$AL$102,'Snowball workings'!$AL$102))</f>
      </c>
      <c r="S100" s="30">
        <f>IF(OR(95&gt;$Z$1,NOT(OR('Your debts'!$B$12&lt;&gt;"",N('Your debts'!$C$12)&gt;0))),"",IF('Your debts'!$D$20="Avalanche",'Avalanche workings'!$AV$102,'Snowball workings'!$AV$102))</f>
      </c>
      <c r="T100" s="29">
        <f>IF(OR(95&gt;$Z$1,NOT(OR('Your debts'!$B$13&lt;&gt;"",N('Your debts'!$C$13)&gt;0))),"",IF('Your debts'!$D$20="Avalanche",'Avalanche workings'!$S$102,'Snowball workings'!$S$102)+IF('Your debts'!$D$20="Avalanche",'Avalanche workings'!$AM$102,'Snowball workings'!$AM$102))</f>
      </c>
      <c r="U100" s="30">
        <f>IF(OR(95&gt;$Z$1,NOT(OR('Your debts'!$B$13&lt;&gt;"",N('Your debts'!$C$13)&gt;0))),"",IF('Your debts'!$D$20="Avalanche",'Avalanche workings'!$AW$102,'Snowball workings'!$AW$102))</f>
      </c>
      <c r="V100" s="29">
        <f>IF(OR(95&gt;$Z$1,NOT(OR('Your debts'!$B$14&lt;&gt;"",N('Your debts'!$C$14)&gt;0))),"",IF('Your debts'!$D$20="Avalanche",'Avalanche workings'!$T$102,'Snowball workings'!$T$102)+IF('Your debts'!$D$20="Avalanche",'Avalanche workings'!$AN$102,'Snowball workings'!$AN$102))</f>
      </c>
      <c r="W100" s="30">
        <f>IF(OR(95&gt;$Z$1,NOT(OR('Your debts'!$B$14&lt;&gt;"",N('Your debts'!$C$14)&gt;0))),"",IF('Your debts'!$D$20="Avalanche",'Avalanche workings'!$AX$102,'Snowball workings'!$AX$102))</f>
      </c>
      <c r="X100" s="29">
        <f>IF(OR(95&gt;$Z$1,NOT(OR('Your debts'!$B$15&lt;&gt;"",N('Your debts'!$C$15)&gt;0))),"",IF('Your debts'!$D$20="Avalanche",'Avalanche workings'!$U$102,'Snowball workings'!$U$102)+IF('Your debts'!$D$20="Avalanche",'Avalanche workings'!$AO$102,'Snowball workings'!$AO$102))</f>
      </c>
      <c r="Y100" s="30">
        <f>IF(OR(95&gt;$Z$1,NOT(OR('Your debts'!$B$15&lt;&gt;"",N('Your debts'!$C$15)&gt;0))),"",IF('Your debts'!$D$20="Avalanche",'Avalanche workings'!$AY$102,'Snowball workings'!$AY$102))</f>
      </c>
    </row>
    <row r="101" spans="1:25" x14ac:dyDescent="0.25">
      <c r="A101" s="2">
        <f>IF(96&gt;$Z$1,"",96)</f>
      </c>
      <c r="B101" s="28">
        <f>IF(96&gt;$Z$1,"",EDATE('Your debts'!$D$21,95))</f>
      </c>
      <c r="C101" s="29">
        <f>IF(96&gt;$Z$1,"",IF('Your debts'!$D$20="Avalanche",'Avalanche workings'!$BC$103,'Snowball workings'!$BC$103))</f>
      </c>
      <c r="D101" s="29">
        <f>IF(96&gt;$Z$1,"",IF('Your debts'!$D$20="Avalanche",'Avalanche workings'!$BA$103,'Snowball workings'!$BA$103))</f>
      </c>
      <c r="E101" s="29">
        <f>IF(96&gt;$Z$1,"",IF('Your debts'!$D$20="Avalanche",'Avalanche workings'!$BB$103,'Snowball workings'!$BB$103))</f>
      </c>
      <c r="F101" s="29">
        <f>IF(OR(96&gt;$Z$1,NOT(OR('Your debts'!$B$6&lt;&gt;"",N('Your debts'!$C$6)&gt;0))),"",IF('Your debts'!$D$20="Avalanche",'Avalanche workings'!$L$103,'Snowball workings'!$L$103)+IF('Your debts'!$D$20="Avalanche",'Avalanche workings'!$AF$103,'Snowball workings'!$AF$103))</f>
      </c>
      <c r="G101" s="30">
        <f>IF(OR(96&gt;$Z$1,NOT(OR('Your debts'!$B$6&lt;&gt;"",N('Your debts'!$C$6)&gt;0))),"",IF('Your debts'!$D$20="Avalanche",'Avalanche workings'!$AP$103,'Snowball workings'!$AP$103))</f>
      </c>
      <c r="H101" s="29">
        <f>IF(OR(96&gt;$Z$1,NOT(OR('Your debts'!$B$7&lt;&gt;"",N('Your debts'!$C$7)&gt;0))),"",IF('Your debts'!$D$20="Avalanche",'Avalanche workings'!$M$103,'Snowball workings'!$M$103)+IF('Your debts'!$D$20="Avalanche",'Avalanche workings'!$AG$103,'Snowball workings'!$AG$103))</f>
      </c>
      <c r="I101" s="30">
        <f>IF(OR(96&gt;$Z$1,NOT(OR('Your debts'!$B$7&lt;&gt;"",N('Your debts'!$C$7)&gt;0))),"",IF('Your debts'!$D$20="Avalanche",'Avalanche workings'!$AQ$103,'Snowball workings'!$AQ$103))</f>
      </c>
      <c r="J101" s="29">
        <f>IF(OR(96&gt;$Z$1,NOT(OR('Your debts'!$B$8&lt;&gt;"",N('Your debts'!$C$8)&gt;0))),"",IF('Your debts'!$D$20="Avalanche",'Avalanche workings'!$N$103,'Snowball workings'!$N$103)+IF('Your debts'!$D$20="Avalanche",'Avalanche workings'!$AH$103,'Snowball workings'!$AH$103))</f>
      </c>
      <c r="K101" s="30">
        <f>IF(OR(96&gt;$Z$1,NOT(OR('Your debts'!$B$8&lt;&gt;"",N('Your debts'!$C$8)&gt;0))),"",IF('Your debts'!$D$20="Avalanche",'Avalanche workings'!$AR$103,'Snowball workings'!$AR$103))</f>
      </c>
      <c r="L101" s="29">
        <f>IF(OR(96&gt;$Z$1,NOT(OR('Your debts'!$B$9&lt;&gt;"",N('Your debts'!$C$9)&gt;0))),"",IF('Your debts'!$D$20="Avalanche",'Avalanche workings'!$O$103,'Snowball workings'!$O$103)+IF('Your debts'!$D$20="Avalanche",'Avalanche workings'!$AI$103,'Snowball workings'!$AI$103))</f>
      </c>
      <c r="M101" s="30">
        <f>IF(OR(96&gt;$Z$1,NOT(OR('Your debts'!$B$9&lt;&gt;"",N('Your debts'!$C$9)&gt;0))),"",IF('Your debts'!$D$20="Avalanche",'Avalanche workings'!$AS$103,'Snowball workings'!$AS$103))</f>
      </c>
      <c r="N101" s="29">
        <f>IF(OR(96&gt;$Z$1,NOT(OR('Your debts'!$B$10&lt;&gt;"",N('Your debts'!$C$10)&gt;0))),"",IF('Your debts'!$D$20="Avalanche",'Avalanche workings'!$P$103,'Snowball workings'!$P$103)+IF('Your debts'!$D$20="Avalanche",'Avalanche workings'!$AJ$103,'Snowball workings'!$AJ$103))</f>
      </c>
      <c r="O101" s="30">
        <f>IF(OR(96&gt;$Z$1,NOT(OR('Your debts'!$B$10&lt;&gt;"",N('Your debts'!$C$10)&gt;0))),"",IF('Your debts'!$D$20="Avalanche",'Avalanche workings'!$AT$103,'Snowball workings'!$AT$103))</f>
      </c>
      <c r="P101" s="29">
        <f>IF(OR(96&gt;$Z$1,NOT(OR('Your debts'!$B$11&lt;&gt;"",N('Your debts'!$C$11)&gt;0))),"",IF('Your debts'!$D$20="Avalanche",'Avalanche workings'!$Q$103,'Snowball workings'!$Q$103)+IF('Your debts'!$D$20="Avalanche",'Avalanche workings'!$AK$103,'Snowball workings'!$AK$103))</f>
      </c>
      <c r="Q101" s="30">
        <f>IF(OR(96&gt;$Z$1,NOT(OR('Your debts'!$B$11&lt;&gt;"",N('Your debts'!$C$11)&gt;0))),"",IF('Your debts'!$D$20="Avalanche",'Avalanche workings'!$AU$103,'Snowball workings'!$AU$103))</f>
      </c>
      <c r="R101" s="29">
        <f>IF(OR(96&gt;$Z$1,NOT(OR('Your debts'!$B$12&lt;&gt;"",N('Your debts'!$C$12)&gt;0))),"",IF('Your debts'!$D$20="Avalanche",'Avalanche workings'!$R$103,'Snowball workings'!$R$103)+IF('Your debts'!$D$20="Avalanche",'Avalanche workings'!$AL$103,'Snowball workings'!$AL$103))</f>
      </c>
      <c r="S101" s="30">
        <f>IF(OR(96&gt;$Z$1,NOT(OR('Your debts'!$B$12&lt;&gt;"",N('Your debts'!$C$12)&gt;0))),"",IF('Your debts'!$D$20="Avalanche",'Avalanche workings'!$AV$103,'Snowball workings'!$AV$103))</f>
      </c>
      <c r="T101" s="29">
        <f>IF(OR(96&gt;$Z$1,NOT(OR('Your debts'!$B$13&lt;&gt;"",N('Your debts'!$C$13)&gt;0))),"",IF('Your debts'!$D$20="Avalanche",'Avalanche workings'!$S$103,'Snowball workings'!$S$103)+IF('Your debts'!$D$20="Avalanche",'Avalanche workings'!$AM$103,'Snowball workings'!$AM$103))</f>
      </c>
      <c r="U101" s="30">
        <f>IF(OR(96&gt;$Z$1,NOT(OR('Your debts'!$B$13&lt;&gt;"",N('Your debts'!$C$13)&gt;0))),"",IF('Your debts'!$D$20="Avalanche",'Avalanche workings'!$AW$103,'Snowball workings'!$AW$103))</f>
      </c>
      <c r="V101" s="29">
        <f>IF(OR(96&gt;$Z$1,NOT(OR('Your debts'!$B$14&lt;&gt;"",N('Your debts'!$C$14)&gt;0))),"",IF('Your debts'!$D$20="Avalanche",'Avalanche workings'!$T$103,'Snowball workings'!$T$103)+IF('Your debts'!$D$20="Avalanche",'Avalanche workings'!$AN$103,'Snowball workings'!$AN$103))</f>
      </c>
      <c r="W101" s="30">
        <f>IF(OR(96&gt;$Z$1,NOT(OR('Your debts'!$B$14&lt;&gt;"",N('Your debts'!$C$14)&gt;0))),"",IF('Your debts'!$D$20="Avalanche",'Avalanche workings'!$AX$103,'Snowball workings'!$AX$103))</f>
      </c>
      <c r="X101" s="29">
        <f>IF(OR(96&gt;$Z$1,NOT(OR('Your debts'!$B$15&lt;&gt;"",N('Your debts'!$C$15)&gt;0))),"",IF('Your debts'!$D$20="Avalanche",'Avalanche workings'!$U$103,'Snowball workings'!$U$103)+IF('Your debts'!$D$20="Avalanche",'Avalanche workings'!$AO$103,'Snowball workings'!$AO$103))</f>
      </c>
      <c r="Y101" s="30">
        <f>IF(OR(96&gt;$Z$1,NOT(OR('Your debts'!$B$15&lt;&gt;"",N('Your debts'!$C$15)&gt;0))),"",IF('Your debts'!$D$20="Avalanche",'Avalanche workings'!$AY$103,'Snowball workings'!$AY$103))</f>
      </c>
    </row>
    <row r="102" spans="1:25" x14ac:dyDescent="0.25">
      <c r="A102" s="2">
        <f>IF(97&gt;$Z$1,"",97)</f>
      </c>
      <c r="B102" s="28">
        <f>IF(97&gt;$Z$1,"",EDATE('Your debts'!$D$21,96))</f>
      </c>
      <c r="C102" s="29">
        <f>IF(97&gt;$Z$1,"",IF('Your debts'!$D$20="Avalanche",'Avalanche workings'!$BC$104,'Snowball workings'!$BC$104))</f>
      </c>
      <c r="D102" s="29">
        <f>IF(97&gt;$Z$1,"",IF('Your debts'!$D$20="Avalanche",'Avalanche workings'!$BA$104,'Snowball workings'!$BA$104))</f>
      </c>
      <c r="E102" s="29">
        <f>IF(97&gt;$Z$1,"",IF('Your debts'!$D$20="Avalanche",'Avalanche workings'!$BB$104,'Snowball workings'!$BB$104))</f>
      </c>
      <c r="F102" s="29">
        <f>IF(OR(97&gt;$Z$1,NOT(OR('Your debts'!$B$6&lt;&gt;"",N('Your debts'!$C$6)&gt;0))),"",IF('Your debts'!$D$20="Avalanche",'Avalanche workings'!$L$104,'Snowball workings'!$L$104)+IF('Your debts'!$D$20="Avalanche",'Avalanche workings'!$AF$104,'Snowball workings'!$AF$104))</f>
      </c>
      <c r="G102" s="30">
        <f>IF(OR(97&gt;$Z$1,NOT(OR('Your debts'!$B$6&lt;&gt;"",N('Your debts'!$C$6)&gt;0))),"",IF('Your debts'!$D$20="Avalanche",'Avalanche workings'!$AP$104,'Snowball workings'!$AP$104))</f>
      </c>
      <c r="H102" s="29">
        <f>IF(OR(97&gt;$Z$1,NOT(OR('Your debts'!$B$7&lt;&gt;"",N('Your debts'!$C$7)&gt;0))),"",IF('Your debts'!$D$20="Avalanche",'Avalanche workings'!$M$104,'Snowball workings'!$M$104)+IF('Your debts'!$D$20="Avalanche",'Avalanche workings'!$AG$104,'Snowball workings'!$AG$104))</f>
      </c>
      <c r="I102" s="30">
        <f>IF(OR(97&gt;$Z$1,NOT(OR('Your debts'!$B$7&lt;&gt;"",N('Your debts'!$C$7)&gt;0))),"",IF('Your debts'!$D$20="Avalanche",'Avalanche workings'!$AQ$104,'Snowball workings'!$AQ$104))</f>
      </c>
      <c r="J102" s="29">
        <f>IF(OR(97&gt;$Z$1,NOT(OR('Your debts'!$B$8&lt;&gt;"",N('Your debts'!$C$8)&gt;0))),"",IF('Your debts'!$D$20="Avalanche",'Avalanche workings'!$N$104,'Snowball workings'!$N$104)+IF('Your debts'!$D$20="Avalanche",'Avalanche workings'!$AH$104,'Snowball workings'!$AH$104))</f>
      </c>
      <c r="K102" s="30">
        <f>IF(OR(97&gt;$Z$1,NOT(OR('Your debts'!$B$8&lt;&gt;"",N('Your debts'!$C$8)&gt;0))),"",IF('Your debts'!$D$20="Avalanche",'Avalanche workings'!$AR$104,'Snowball workings'!$AR$104))</f>
      </c>
      <c r="L102" s="29">
        <f>IF(OR(97&gt;$Z$1,NOT(OR('Your debts'!$B$9&lt;&gt;"",N('Your debts'!$C$9)&gt;0))),"",IF('Your debts'!$D$20="Avalanche",'Avalanche workings'!$O$104,'Snowball workings'!$O$104)+IF('Your debts'!$D$20="Avalanche",'Avalanche workings'!$AI$104,'Snowball workings'!$AI$104))</f>
      </c>
      <c r="M102" s="30">
        <f>IF(OR(97&gt;$Z$1,NOT(OR('Your debts'!$B$9&lt;&gt;"",N('Your debts'!$C$9)&gt;0))),"",IF('Your debts'!$D$20="Avalanche",'Avalanche workings'!$AS$104,'Snowball workings'!$AS$104))</f>
      </c>
      <c r="N102" s="29">
        <f>IF(OR(97&gt;$Z$1,NOT(OR('Your debts'!$B$10&lt;&gt;"",N('Your debts'!$C$10)&gt;0))),"",IF('Your debts'!$D$20="Avalanche",'Avalanche workings'!$P$104,'Snowball workings'!$P$104)+IF('Your debts'!$D$20="Avalanche",'Avalanche workings'!$AJ$104,'Snowball workings'!$AJ$104))</f>
      </c>
      <c r="O102" s="30">
        <f>IF(OR(97&gt;$Z$1,NOT(OR('Your debts'!$B$10&lt;&gt;"",N('Your debts'!$C$10)&gt;0))),"",IF('Your debts'!$D$20="Avalanche",'Avalanche workings'!$AT$104,'Snowball workings'!$AT$104))</f>
      </c>
      <c r="P102" s="29">
        <f>IF(OR(97&gt;$Z$1,NOT(OR('Your debts'!$B$11&lt;&gt;"",N('Your debts'!$C$11)&gt;0))),"",IF('Your debts'!$D$20="Avalanche",'Avalanche workings'!$Q$104,'Snowball workings'!$Q$104)+IF('Your debts'!$D$20="Avalanche",'Avalanche workings'!$AK$104,'Snowball workings'!$AK$104))</f>
      </c>
      <c r="Q102" s="30">
        <f>IF(OR(97&gt;$Z$1,NOT(OR('Your debts'!$B$11&lt;&gt;"",N('Your debts'!$C$11)&gt;0))),"",IF('Your debts'!$D$20="Avalanche",'Avalanche workings'!$AU$104,'Snowball workings'!$AU$104))</f>
      </c>
      <c r="R102" s="29">
        <f>IF(OR(97&gt;$Z$1,NOT(OR('Your debts'!$B$12&lt;&gt;"",N('Your debts'!$C$12)&gt;0))),"",IF('Your debts'!$D$20="Avalanche",'Avalanche workings'!$R$104,'Snowball workings'!$R$104)+IF('Your debts'!$D$20="Avalanche",'Avalanche workings'!$AL$104,'Snowball workings'!$AL$104))</f>
      </c>
      <c r="S102" s="30">
        <f>IF(OR(97&gt;$Z$1,NOT(OR('Your debts'!$B$12&lt;&gt;"",N('Your debts'!$C$12)&gt;0))),"",IF('Your debts'!$D$20="Avalanche",'Avalanche workings'!$AV$104,'Snowball workings'!$AV$104))</f>
      </c>
      <c r="T102" s="29">
        <f>IF(OR(97&gt;$Z$1,NOT(OR('Your debts'!$B$13&lt;&gt;"",N('Your debts'!$C$13)&gt;0))),"",IF('Your debts'!$D$20="Avalanche",'Avalanche workings'!$S$104,'Snowball workings'!$S$104)+IF('Your debts'!$D$20="Avalanche",'Avalanche workings'!$AM$104,'Snowball workings'!$AM$104))</f>
      </c>
      <c r="U102" s="30">
        <f>IF(OR(97&gt;$Z$1,NOT(OR('Your debts'!$B$13&lt;&gt;"",N('Your debts'!$C$13)&gt;0))),"",IF('Your debts'!$D$20="Avalanche",'Avalanche workings'!$AW$104,'Snowball workings'!$AW$104))</f>
      </c>
      <c r="V102" s="29">
        <f>IF(OR(97&gt;$Z$1,NOT(OR('Your debts'!$B$14&lt;&gt;"",N('Your debts'!$C$14)&gt;0))),"",IF('Your debts'!$D$20="Avalanche",'Avalanche workings'!$T$104,'Snowball workings'!$T$104)+IF('Your debts'!$D$20="Avalanche",'Avalanche workings'!$AN$104,'Snowball workings'!$AN$104))</f>
      </c>
      <c r="W102" s="30">
        <f>IF(OR(97&gt;$Z$1,NOT(OR('Your debts'!$B$14&lt;&gt;"",N('Your debts'!$C$14)&gt;0))),"",IF('Your debts'!$D$20="Avalanche",'Avalanche workings'!$AX$104,'Snowball workings'!$AX$104))</f>
      </c>
      <c r="X102" s="29">
        <f>IF(OR(97&gt;$Z$1,NOT(OR('Your debts'!$B$15&lt;&gt;"",N('Your debts'!$C$15)&gt;0))),"",IF('Your debts'!$D$20="Avalanche",'Avalanche workings'!$U$104,'Snowball workings'!$U$104)+IF('Your debts'!$D$20="Avalanche",'Avalanche workings'!$AO$104,'Snowball workings'!$AO$104))</f>
      </c>
      <c r="Y102" s="30">
        <f>IF(OR(97&gt;$Z$1,NOT(OR('Your debts'!$B$15&lt;&gt;"",N('Your debts'!$C$15)&gt;0))),"",IF('Your debts'!$D$20="Avalanche",'Avalanche workings'!$AY$104,'Snowball workings'!$AY$104))</f>
      </c>
    </row>
    <row r="103" spans="1:25" x14ac:dyDescent="0.25">
      <c r="A103" s="2">
        <f>IF(98&gt;$Z$1,"",98)</f>
      </c>
      <c r="B103" s="28">
        <f>IF(98&gt;$Z$1,"",EDATE('Your debts'!$D$21,97))</f>
      </c>
      <c r="C103" s="29">
        <f>IF(98&gt;$Z$1,"",IF('Your debts'!$D$20="Avalanche",'Avalanche workings'!$BC$105,'Snowball workings'!$BC$105))</f>
      </c>
      <c r="D103" s="29">
        <f>IF(98&gt;$Z$1,"",IF('Your debts'!$D$20="Avalanche",'Avalanche workings'!$BA$105,'Snowball workings'!$BA$105))</f>
      </c>
      <c r="E103" s="29">
        <f>IF(98&gt;$Z$1,"",IF('Your debts'!$D$20="Avalanche",'Avalanche workings'!$BB$105,'Snowball workings'!$BB$105))</f>
      </c>
      <c r="F103" s="29">
        <f>IF(OR(98&gt;$Z$1,NOT(OR('Your debts'!$B$6&lt;&gt;"",N('Your debts'!$C$6)&gt;0))),"",IF('Your debts'!$D$20="Avalanche",'Avalanche workings'!$L$105,'Snowball workings'!$L$105)+IF('Your debts'!$D$20="Avalanche",'Avalanche workings'!$AF$105,'Snowball workings'!$AF$105))</f>
      </c>
      <c r="G103" s="30">
        <f>IF(OR(98&gt;$Z$1,NOT(OR('Your debts'!$B$6&lt;&gt;"",N('Your debts'!$C$6)&gt;0))),"",IF('Your debts'!$D$20="Avalanche",'Avalanche workings'!$AP$105,'Snowball workings'!$AP$105))</f>
      </c>
      <c r="H103" s="29">
        <f>IF(OR(98&gt;$Z$1,NOT(OR('Your debts'!$B$7&lt;&gt;"",N('Your debts'!$C$7)&gt;0))),"",IF('Your debts'!$D$20="Avalanche",'Avalanche workings'!$M$105,'Snowball workings'!$M$105)+IF('Your debts'!$D$20="Avalanche",'Avalanche workings'!$AG$105,'Snowball workings'!$AG$105))</f>
      </c>
      <c r="I103" s="30">
        <f>IF(OR(98&gt;$Z$1,NOT(OR('Your debts'!$B$7&lt;&gt;"",N('Your debts'!$C$7)&gt;0))),"",IF('Your debts'!$D$20="Avalanche",'Avalanche workings'!$AQ$105,'Snowball workings'!$AQ$105))</f>
      </c>
      <c r="J103" s="29">
        <f>IF(OR(98&gt;$Z$1,NOT(OR('Your debts'!$B$8&lt;&gt;"",N('Your debts'!$C$8)&gt;0))),"",IF('Your debts'!$D$20="Avalanche",'Avalanche workings'!$N$105,'Snowball workings'!$N$105)+IF('Your debts'!$D$20="Avalanche",'Avalanche workings'!$AH$105,'Snowball workings'!$AH$105))</f>
      </c>
      <c r="K103" s="30">
        <f>IF(OR(98&gt;$Z$1,NOT(OR('Your debts'!$B$8&lt;&gt;"",N('Your debts'!$C$8)&gt;0))),"",IF('Your debts'!$D$20="Avalanche",'Avalanche workings'!$AR$105,'Snowball workings'!$AR$105))</f>
      </c>
      <c r="L103" s="29">
        <f>IF(OR(98&gt;$Z$1,NOT(OR('Your debts'!$B$9&lt;&gt;"",N('Your debts'!$C$9)&gt;0))),"",IF('Your debts'!$D$20="Avalanche",'Avalanche workings'!$O$105,'Snowball workings'!$O$105)+IF('Your debts'!$D$20="Avalanche",'Avalanche workings'!$AI$105,'Snowball workings'!$AI$105))</f>
      </c>
      <c r="M103" s="30">
        <f>IF(OR(98&gt;$Z$1,NOT(OR('Your debts'!$B$9&lt;&gt;"",N('Your debts'!$C$9)&gt;0))),"",IF('Your debts'!$D$20="Avalanche",'Avalanche workings'!$AS$105,'Snowball workings'!$AS$105))</f>
      </c>
      <c r="N103" s="29">
        <f>IF(OR(98&gt;$Z$1,NOT(OR('Your debts'!$B$10&lt;&gt;"",N('Your debts'!$C$10)&gt;0))),"",IF('Your debts'!$D$20="Avalanche",'Avalanche workings'!$P$105,'Snowball workings'!$P$105)+IF('Your debts'!$D$20="Avalanche",'Avalanche workings'!$AJ$105,'Snowball workings'!$AJ$105))</f>
      </c>
      <c r="O103" s="30">
        <f>IF(OR(98&gt;$Z$1,NOT(OR('Your debts'!$B$10&lt;&gt;"",N('Your debts'!$C$10)&gt;0))),"",IF('Your debts'!$D$20="Avalanche",'Avalanche workings'!$AT$105,'Snowball workings'!$AT$105))</f>
      </c>
      <c r="P103" s="29">
        <f>IF(OR(98&gt;$Z$1,NOT(OR('Your debts'!$B$11&lt;&gt;"",N('Your debts'!$C$11)&gt;0))),"",IF('Your debts'!$D$20="Avalanche",'Avalanche workings'!$Q$105,'Snowball workings'!$Q$105)+IF('Your debts'!$D$20="Avalanche",'Avalanche workings'!$AK$105,'Snowball workings'!$AK$105))</f>
      </c>
      <c r="Q103" s="30">
        <f>IF(OR(98&gt;$Z$1,NOT(OR('Your debts'!$B$11&lt;&gt;"",N('Your debts'!$C$11)&gt;0))),"",IF('Your debts'!$D$20="Avalanche",'Avalanche workings'!$AU$105,'Snowball workings'!$AU$105))</f>
      </c>
      <c r="R103" s="29">
        <f>IF(OR(98&gt;$Z$1,NOT(OR('Your debts'!$B$12&lt;&gt;"",N('Your debts'!$C$12)&gt;0))),"",IF('Your debts'!$D$20="Avalanche",'Avalanche workings'!$R$105,'Snowball workings'!$R$105)+IF('Your debts'!$D$20="Avalanche",'Avalanche workings'!$AL$105,'Snowball workings'!$AL$105))</f>
      </c>
      <c r="S103" s="30">
        <f>IF(OR(98&gt;$Z$1,NOT(OR('Your debts'!$B$12&lt;&gt;"",N('Your debts'!$C$12)&gt;0))),"",IF('Your debts'!$D$20="Avalanche",'Avalanche workings'!$AV$105,'Snowball workings'!$AV$105))</f>
      </c>
      <c r="T103" s="29">
        <f>IF(OR(98&gt;$Z$1,NOT(OR('Your debts'!$B$13&lt;&gt;"",N('Your debts'!$C$13)&gt;0))),"",IF('Your debts'!$D$20="Avalanche",'Avalanche workings'!$S$105,'Snowball workings'!$S$105)+IF('Your debts'!$D$20="Avalanche",'Avalanche workings'!$AM$105,'Snowball workings'!$AM$105))</f>
      </c>
      <c r="U103" s="30">
        <f>IF(OR(98&gt;$Z$1,NOT(OR('Your debts'!$B$13&lt;&gt;"",N('Your debts'!$C$13)&gt;0))),"",IF('Your debts'!$D$20="Avalanche",'Avalanche workings'!$AW$105,'Snowball workings'!$AW$105))</f>
      </c>
      <c r="V103" s="29">
        <f>IF(OR(98&gt;$Z$1,NOT(OR('Your debts'!$B$14&lt;&gt;"",N('Your debts'!$C$14)&gt;0))),"",IF('Your debts'!$D$20="Avalanche",'Avalanche workings'!$T$105,'Snowball workings'!$T$105)+IF('Your debts'!$D$20="Avalanche",'Avalanche workings'!$AN$105,'Snowball workings'!$AN$105))</f>
      </c>
      <c r="W103" s="30">
        <f>IF(OR(98&gt;$Z$1,NOT(OR('Your debts'!$B$14&lt;&gt;"",N('Your debts'!$C$14)&gt;0))),"",IF('Your debts'!$D$20="Avalanche",'Avalanche workings'!$AX$105,'Snowball workings'!$AX$105))</f>
      </c>
      <c r="X103" s="29">
        <f>IF(OR(98&gt;$Z$1,NOT(OR('Your debts'!$B$15&lt;&gt;"",N('Your debts'!$C$15)&gt;0))),"",IF('Your debts'!$D$20="Avalanche",'Avalanche workings'!$U$105,'Snowball workings'!$U$105)+IF('Your debts'!$D$20="Avalanche",'Avalanche workings'!$AO$105,'Snowball workings'!$AO$105))</f>
      </c>
      <c r="Y103" s="30">
        <f>IF(OR(98&gt;$Z$1,NOT(OR('Your debts'!$B$15&lt;&gt;"",N('Your debts'!$C$15)&gt;0))),"",IF('Your debts'!$D$20="Avalanche",'Avalanche workings'!$AY$105,'Snowball workings'!$AY$105))</f>
      </c>
    </row>
    <row r="104" spans="1:25" x14ac:dyDescent="0.25">
      <c r="A104" s="2">
        <f>IF(99&gt;$Z$1,"",99)</f>
      </c>
      <c r="B104" s="28">
        <f>IF(99&gt;$Z$1,"",EDATE('Your debts'!$D$21,98))</f>
      </c>
      <c r="C104" s="29">
        <f>IF(99&gt;$Z$1,"",IF('Your debts'!$D$20="Avalanche",'Avalanche workings'!$BC$106,'Snowball workings'!$BC$106))</f>
      </c>
      <c r="D104" s="29">
        <f>IF(99&gt;$Z$1,"",IF('Your debts'!$D$20="Avalanche",'Avalanche workings'!$BA$106,'Snowball workings'!$BA$106))</f>
      </c>
      <c r="E104" s="29">
        <f>IF(99&gt;$Z$1,"",IF('Your debts'!$D$20="Avalanche",'Avalanche workings'!$BB$106,'Snowball workings'!$BB$106))</f>
      </c>
      <c r="F104" s="29">
        <f>IF(OR(99&gt;$Z$1,NOT(OR('Your debts'!$B$6&lt;&gt;"",N('Your debts'!$C$6)&gt;0))),"",IF('Your debts'!$D$20="Avalanche",'Avalanche workings'!$L$106,'Snowball workings'!$L$106)+IF('Your debts'!$D$20="Avalanche",'Avalanche workings'!$AF$106,'Snowball workings'!$AF$106))</f>
      </c>
      <c r="G104" s="30">
        <f>IF(OR(99&gt;$Z$1,NOT(OR('Your debts'!$B$6&lt;&gt;"",N('Your debts'!$C$6)&gt;0))),"",IF('Your debts'!$D$20="Avalanche",'Avalanche workings'!$AP$106,'Snowball workings'!$AP$106))</f>
      </c>
      <c r="H104" s="29">
        <f>IF(OR(99&gt;$Z$1,NOT(OR('Your debts'!$B$7&lt;&gt;"",N('Your debts'!$C$7)&gt;0))),"",IF('Your debts'!$D$20="Avalanche",'Avalanche workings'!$M$106,'Snowball workings'!$M$106)+IF('Your debts'!$D$20="Avalanche",'Avalanche workings'!$AG$106,'Snowball workings'!$AG$106))</f>
      </c>
      <c r="I104" s="30">
        <f>IF(OR(99&gt;$Z$1,NOT(OR('Your debts'!$B$7&lt;&gt;"",N('Your debts'!$C$7)&gt;0))),"",IF('Your debts'!$D$20="Avalanche",'Avalanche workings'!$AQ$106,'Snowball workings'!$AQ$106))</f>
      </c>
      <c r="J104" s="29">
        <f>IF(OR(99&gt;$Z$1,NOT(OR('Your debts'!$B$8&lt;&gt;"",N('Your debts'!$C$8)&gt;0))),"",IF('Your debts'!$D$20="Avalanche",'Avalanche workings'!$N$106,'Snowball workings'!$N$106)+IF('Your debts'!$D$20="Avalanche",'Avalanche workings'!$AH$106,'Snowball workings'!$AH$106))</f>
      </c>
      <c r="K104" s="30">
        <f>IF(OR(99&gt;$Z$1,NOT(OR('Your debts'!$B$8&lt;&gt;"",N('Your debts'!$C$8)&gt;0))),"",IF('Your debts'!$D$20="Avalanche",'Avalanche workings'!$AR$106,'Snowball workings'!$AR$106))</f>
      </c>
      <c r="L104" s="29">
        <f>IF(OR(99&gt;$Z$1,NOT(OR('Your debts'!$B$9&lt;&gt;"",N('Your debts'!$C$9)&gt;0))),"",IF('Your debts'!$D$20="Avalanche",'Avalanche workings'!$O$106,'Snowball workings'!$O$106)+IF('Your debts'!$D$20="Avalanche",'Avalanche workings'!$AI$106,'Snowball workings'!$AI$106))</f>
      </c>
      <c r="M104" s="30">
        <f>IF(OR(99&gt;$Z$1,NOT(OR('Your debts'!$B$9&lt;&gt;"",N('Your debts'!$C$9)&gt;0))),"",IF('Your debts'!$D$20="Avalanche",'Avalanche workings'!$AS$106,'Snowball workings'!$AS$106))</f>
      </c>
      <c r="N104" s="29">
        <f>IF(OR(99&gt;$Z$1,NOT(OR('Your debts'!$B$10&lt;&gt;"",N('Your debts'!$C$10)&gt;0))),"",IF('Your debts'!$D$20="Avalanche",'Avalanche workings'!$P$106,'Snowball workings'!$P$106)+IF('Your debts'!$D$20="Avalanche",'Avalanche workings'!$AJ$106,'Snowball workings'!$AJ$106))</f>
      </c>
      <c r="O104" s="30">
        <f>IF(OR(99&gt;$Z$1,NOT(OR('Your debts'!$B$10&lt;&gt;"",N('Your debts'!$C$10)&gt;0))),"",IF('Your debts'!$D$20="Avalanche",'Avalanche workings'!$AT$106,'Snowball workings'!$AT$106))</f>
      </c>
      <c r="P104" s="29">
        <f>IF(OR(99&gt;$Z$1,NOT(OR('Your debts'!$B$11&lt;&gt;"",N('Your debts'!$C$11)&gt;0))),"",IF('Your debts'!$D$20="Avalanche",'Avalanche workings'!$Q$106,'Snowball workings'!$Q$106)+IF('Your debts'!$D$20="Avalanche",'Avalanche workings'!$AK$106,'Snowball workings'!$AK$106))</f>
      </c>
      <c r="Q104" s="30">
        <f>IF(OR(99&gt;$Z$1,NOT(OR('Your debts'!$B$11&lt;&gt;"",N('Your debts'!$C$11)&gt;0))),"",IF('Your debts'!$D$20="Avalanche",'Avalanche workings'!$AU$106,'Snowball workings'!$AU$106))</f>
      </c>
      <c r="R104" s="29">
        <f>IF(OR(99&gt;$Z$1,NOT(OR('Your debts'!$B$12&lt;&gt;"",N('Your debts'!$C$12)&gt;0))),"",IF('Your debts'!$D$20="Avalanche",'Avalanche workings'!$R$106,'Snowball workings'!$R$106)+IF('Your debts'!$D$20="Avalanche",'Avalanche workings'!$AL$106,'Snowball workings'!$AL$106))</f>
      </c>
      <c r="S104" s="30">
        <f>IF(OR(99&gt;$Z$1,NOT(OR('Your debts'!$B$12&lt;&gt;"",N('Your debts'!$C$12)&gt;0))),"",IF('Your debts'!$D$20="Avalanche",'Avalanche workings'!$AV$106,'Snowball workings'!$AV$106))</f>
      </c>
      <c r="T104" s="29">
        <f>IF(OR(99&gt;$Z$1,NOT(OR('Your debts'!$B$13&lt;&gt;"",N('Your debts'!$C$13)&gt;0))),"",IF('Your debts'!$D$20="Avalanche",'Avalanche workings'!$S$106,'Snowball workings'!$S$106)+IF('Your debts'!$D$20="Avalanche",'Avalanche workings'!$AM$106,'Snowball workings'!$AM$106))</f>
      </c>
      <c r="U104" s="30">
        <f>IF(OR(99&gt;$Z$1,NOT(OR('Your debts'!$B$13&lt;&gt;"",N('Your debts'!$C$13)&gt;0))),"",IF('Your debts'!$D$20="Avalanche",'Avalanche workings'!$AW$106,'Snowball workings'!$AW$106))</f>
      </c>
      <c r="V104" s="29">
        <f>IF(OR(99&gt;$Z$1,NOT(OR('Your debts'!$B$14&lt;&gt;"",N('Your debts'!$C$14)&gt;0))),"",IF('Your debts'!$D$20="Avalanche",'Avalanche workings'!$T$106,'Snowball workings'!$T$106)+IF('Your debts'!$D$20="Avalanche",'Avalanche workings'!$AN$106,'Snowball workings'!$AN$106))</f>
      </c>
      <c r="W104" s="30">
        <f>IF(OR(99&gt;$Z$1,NOT(OR('Your debts'!$B$14&lt;&gt;"",N('Your debts'!$C$14)&gt;0))),"",IF('Your debts'!$D$20="Avalanche",'Avalanche workings'!$AX$106,'Snowball workings'!$AX$106))</f>
      </c>
      <c r="X104" s="29">
        <f>IF(OR(99&gt;$Z$1,NOT(OR('Your debts'!$B$15&lt;&gt;"",N('Your debts'!$C$15)&gt;0))),"",IF('Your debts'!$D$20="Avalanche",'Avalanche workings'!$U$106,'Snowball workings'!$U$106)+IF('Your debts'!$D$20="Avalanche",'Avalanche workings'!$AO$106,'Snowball workings'!$AO$106))</f>
      </c>
      <c r="Y104" s="30">
        <f>IF(OR(99&gt;$Z$1,NOT(OR('Your debts'!$B$15&lt;&gt;"",N('Your debts'!$C$15)&gt;0))),"",IF('Your debts'!$D$20="Avalanche",'Avalanche workings'!$AY$106,'Snowball workings'!$AY$106))</f>
      </c>
    </row>
    <row r="105" spans="1:25" x14ac:dyDescent="0.25">
      <c r="A105" s="2">
        <f>IF(100&gt;$Z$1,"",100)</f>
      </c>
      <c r="B105" s="28">
        <f>IF(100&gt;$Z$1,"",EDATE('Your debts'!$D$21,99))</f>
      </c>
      <c r="C105" s="29">
        <f>IF(100&gt;$Z$1,"",IF('Your debts'!$D$20="Avalanche",'Avalanche workings'!$BC$107,'Snowball workings'!$BC$107))</f>
      </c>
      <c r="D105" s="29">
        <f>IF(100&gt;$Z$1,"",IF('Your debts'!$D$20="Avalanche",'Avalanche workings'!$BA$107,'Snowball workings'!$BA$107))</f>
      </c>
      <c r="E105" s="29">
        <f>IF(100&gt;$Z$1,"",IF('Your debts'!$D$20="Avalanche",'Avalanche workings'!$BB$107,'Snowball workings'!$BB$107))</f>
      </c>
      <c r="F105" s="29">
        <f>IF(OR(100&gt;$Z$1,NOT(OR('Your debts'!$B$6&lt;&gt;"",N('Your debts'!$C$6)&gt;0))),"",IF('Your debts'!$D$20="Avalanche",'Avalanche workings'!$L$107,'Snowball workings'!$L$107)+IF('Your debts'!$D$20="Avalanche",'Avalanche workings'!$AF$107,'Snowball workings'!$AF$107))</f>
      </c>
      <c r="G105" s="30">
        <f>IF(OR(100&gt;$Z$1,NOT(OR('Your debts'!$B$6&lt;&gt;"",N('Your debts'!$C$6)&gt;0))),"",IF('Your debts'!$D$20="Avalanche",'Avalanche workings'!$AP$107,'Snowball workings'!$AP$107))</f>
      </c>
      <c r="H105" s="29">
        <f>IF(OR(100&gt;$Z$1,NOT(OR('Your debts'!$B$7&lt;&gt;"",N('Your debts'!$C$7)&gt;0))),"",IF('Your debts'!$D$20="Avalanche",'Avalanche workings'!$M$107,'Snowball workings'!$M$107)+IF('Your debts'!$D$20="Avalanche",'Avalanche workings'!$AG$107,'Snowball workings'!$AG$107))</f>
      </c>
      <c r="I105" s="30">
        <f>IF(OR(100&gt;$Z$1,NOT(OR('Your debts'!$B$7&lt;&gt;"",N('Your debts'!$C$7)&gt;0))),"",IF('Your debts'!$D$20="Avalanche",'Avalanche workings'!$AQ$107,'Snowball workings'!$AQ$107))</f>
      </c>
      <c r="J105" s="29">
        <f>IF(OR(100&gt;$Z$1,NOT(OR('Your debts'!$B$8&lt;&gt;"",N('Your debts'!$C$8)&gt;0))),"",IF('Your debts'!$D$20="Avalanche",'Avalanche workings'!$N$107,'Snowball workings'!$N$107)+IF('Your debts'!$D$20="Avalanche",'Avalanche workings'!$AH$107,'Snowball workings'!$AH$107))</f>
      </c>
      <c r="K105" s="30">
        <f>IF(OR(100&gt;$Z$1,NOT(OR('Your debts'!$B$8&lt;&gt;"",N('Your debts'!$C$8)&gt;0))),"",IF('Your debts'!$D$20="Avalanche",'Avalanche workings'!$AR$107,'Snowball workings'!$AR$107))</f>
      </c>
      <c r="L105" s="29">
        <f>IF(OR(100&gt;$Z$1,NOT(OR('Your debts'!$B$9&lt;&gt;"",N('Your debts'!$C$9)&gt;0))),"",IF('Your debts'!$D$20="Avalanche",'Avalanche workings'!$O$107,'Snowball workings'!$O$107)+IF('Your debts'!$D$20="Avalanche",'Avalanche workings'!$AI$107,'Snowball workings'!$AI$107))</f>
      </c>
      <c r="M105" s="30">
        <f>IF(OR(100&gt;$Z$1,NOT(OR('Your debts'!$B$9&lt;&gt;"",N('Your debts'!$C$9)&gt;0))),"",IF('Your debts'!$D$20="Avalanche",'Avalanche workings'!$AS$107,'Snowball workings'!$AS$107))</f>
      </c>
      <c r="N105" s="29">
        <f>IF(OR(100&gt;$Z$1,NOT(OR('Your debts'!$B$10&lt;&gt;"",N('Your debts'!$C$10)&gt;0))),"",IF('Your debts'!$D$20="Avalanche",'Avalanche workings'!$P$107,'Snowball workings'!$P$107)+IF('Your debts'!$D$20="Avalanche",'Avalanche workings'!$AJ$107,'Snowball workings'!$AJ$107))</f>
      </c>
      <c r="O105" s="30">
        <f>IF(OR(100&gt;$Z$1,NOT(OR('Your debts'!$B$10&lt;&gt;"",N('Your debts'!$C$10)&gt;0))),"",IF('Your debts'!$D$20="Avalanche",'Avalanche workings'!$AT$107,'Snowball workings'!$AT$107))</f>
      </c>
      <c r="P105" s="29">
        <f>IF(OR(100&gt;$Z$1,NOT(OR('Your debts'!$B$11&lt;&gt;"",N('Your debts'!$C$11)&gt;0))),"",IF('Your debts'!$D$20="Avalanche",'Avalanche workings'!$Q$107,'Snowball workings'!$Q$107)+IF('Your debts'!$D$20="Avalanche",'Avalanche workings'!$AK$107,'Snowball workings'!$AK$107))</f>
      </c>
      <c r="Q105" s="30">
        <f>IF(OR(100&gt;$Z$1,NOT(OR('Your debts'!$B$11&lt;&gt;"",N('Your debts'!$C$11)&gt;0))),"",IF('Your debts'!$D$20="Avalanche",'Avalanche workings'!$AU$107,'Snowball workings'!$AU$107))</f>
      </c>
      <c r="R105" s="29">
        <f>IF(OR(100&gt;$Z$1,NOT(OR('Your debts'!$B$12&lt;&gt;"",N('Your debts'!$C$12)&gt;0))),"",IF('Your debts'!$D$20="Avalanche",'Avalanche workings'!$R$107,'Snowball workings'!$R$107)+IF('Your debts'!$D$20="Avalanche",'Avalanche workings'!$AL$107,'Snowball workings'!$AL$107))</f>
      </c>
      <c r="S105" s="30">
        <f>IF(OR(100&gt;$Z$1,NOT(OR('Your debts'!$B$12&lt;&gt;"",N('Your debts'!$C$12)&gt;0))),"",IF('Your debts'!$D$20="Avalanche",'Avalanche workings'!$AV$107,'Snowball workings'!$AV$107))</f>
      </c>
      <c r="T105" s="29">
        <f>IF(OR(100&gt;$Z$1,NOT(OR('Your debts'!$B$13&lt;&gt;"",N('Your debts'!$C$13)&gt;0))),"",IF('Your debts'!$D$20="Avalanche",'Avalanche workings'!$S$107,'Snowball workings'!$S$107)+IF('Your debts'!$D$20="Avalanche",'Avalanche workings'!$AM$107,'Snowball workings'!$AM$107))</f>
      </c>
      <c r="U105" s="30">
        <f>IF(OR(100&gt;$Z$1,NOT(OR('Your debts'!$B$13&lt;&gt;"",N('Your debts'!$C$13)&gt;0))),"",IF('Your debts'!$D$20="Avalanche",'Avalanche workings'!$AW$107,'Snowball workings'!$AW$107))</f>
      </c>
      <c r="V105" s="29">
        <f>IF(OR(100&gt;$Z$1,NOT(OR('Your debts'!$B$14&lt;&gt;"",N('Your debts'!$C$14)&gt;0))),"",IF('Your debts'!$D$20="Avalanche",'Avalanche workings'!$T$107,'Snowball workings'!$T$107)+IF('Your debts'!$D$20="Avalanche",'Avalanche workings'!$AN$107,'Snowball workings'!$AN$107))</f>
      </c>
      <c r="W105" s="30">
        <f>IF(OR(100&gt;$Z$1,NOT(OR('Your debts'!$B$14&lt;&gt;"",N('Your debts'!$C$14)&gt;0))),"",IF('Your debts'!$D$20="Avalanche",'Avalanche workings'!$AX$107,'Snowball workings'!$AX$107))</f>
      </c>
      <c r="X105" s="29">
        <f>IF(OR(100&gt;$Z$1,NOT(OR('Your debts'!$B$15&lt;&gt;"",N('Your debts'!$C$15)&gt;0))),"",IF('Your debts'!$D$20="Avalanche",'Avalanche workings'!$U$107,'Snowball workings'!$U$107)+IF('Your debts'!$D$20="Avalanche",'Avalanche workings'!$AO$107,'Snowball workings'!$AO$107))</f>
      </c>
      <c r="Y105" s="30">
        <f>IF(OR(100&gt;$Z$1,NOT(OR('Your debts'!$B$15&lt;&gt;"",N('Your debts'!$C$15)&gt;0))),"",IF('Your debts'!$D$20="Avalanche",'Avalanche workings'!$AY$107,'Snowball workings'!$AY$107))</f>
      </c>
    </row>
    <row r="106" spans="1:25" x14ac:dyDescent="0.25">
      <c r="A106" s="2">
        <f>IF(101&gt;$Z$1,"",101)</f>
      </c>
      <c r="B106" s="28">
        <f>IF(101&gt;$Z$1,"",EDATE('Your debts'!$D$21,100))</f>
      </c>
      <c r="C106" s="29">
        <f>IF(101&gt;$Z$1,"",IF('Your debts'!$D$20="Avalanche",'Avalanche workings'!$BC$108,'Snowball workings'!$BC$108))</f>
      </c>
      <c r="D106" s="29">
        <f>IF(101&gt;$Z$1,"",IF('Your debts'!$D$20="Avalanche",'Avalanche workings'!$BA$108,'Snowball workings'!$BA$108))</f>
      </c>
      <c r="E106" s="29">
        <f>IF(101&gt;$Z$1,"",IF('Your debts'!$D$20="Avalanche",'Avalanche workings'!$BB$108,'Snowball workings'!$BB$108))</f>
      </c>
      <c r="F106" s="29">
        <f>IF(OR(101&gt;$Z$1,NOT(OR('Your debts'!$B$6&lt;&gt;"",N('Your debts'!$C$6)&gt;0))),"",IF('Your debts'!$D$20="Avalanche",'Avalanche workings'!$L$108,'Snowball workings'!$L$108)+IF('Your debts'!$D$20="Avalanche",'Avalanche workings'!$AF$108,'Snowball workings'!$AF$108))</f>
      </c>
      <c r="G106" s="30">
        <f>IF(OR(101&gt;$Z$1,NOT(OR('Your debts'!$B$6&lt;&gt;"",N('Your debts'!$C$6)&gt;0))),"",IF('Your debts'!$D$20="Avalanche",'Avalanche workings'!$AP$108,'Snowball workings'!$AP$108))</f>
      </c>
      <c r="H106" s="29">
        <f>IF(OR(101&gt;$Z$1,NOT(OR('Your debts'!$B$7&lt;&gt;"",N('Your debts'!$C$7)&gt;0))),"",IF('Your debts'!$D$20="Avalanche",'Avalanche workings'!$M$108,'Snowball workings'!$M$108)+IF('Your debts'!$D$20="Avalanche",'Avalanche workings'!$AG$108,'Snowball workings'!$AG$108))</f>
      </c>
      <c r="I106" s="30">
        <f>IF(OR(101&gt;$Z$1,NOT(OR('Your debts'!$B$7&lt;&gt;"",N('Your debts'!$C$7)&gt;0))),"",IF('Your debts'!$D$20="Avalanche",'Avalanche workings'!$AQ$108,'Snowball workings'!$AQ$108))</f>
      </c>
      <c r="J106" s="29">
        <f>IF(OR(101&gt;$Z$1,NOT(OR('Your debts'!$B$8&lt;&gt;"",N('Your debts'!$C$8)&gt;0))),"",IF('Your debts'!$D$20="Avalanche",'Avalanche workings'!$N$108,'Snowball workings'!$N$108)+IF('Your debts'!$D$20="Avalanche",'Avalanche workings'!$AH$108,'Snowball workings'!$AH$108))</f>
      </c>
      <c r="K106" s="30">
        <f>IF(OR(101&gt;$Z$1,NOT(OR('Your debts'!$B$8&lt;&gt;"",N('Your debts'!$C$8)&gt;0))),"",IF('Your debts'!$D$20="Avalanche",'Avalanche workings'!$AR$108,'Snowball workings'!$AR$108))</f>
      </c>
      <c r="L106" s="29">
        <f>IF(OR(101&gt;$Z$1,NOT(OR('Your debts'!$B$9&lt;&gt;"",N('Your debts'!$C$9)&gt;0))),"",IF('Your debts'!$D$20="Avalanche",'Avalanche workings'!$O$108,'Snowball workings'!$O$108)+IF('Your debts'!$D$20="Avalanche",'Avalanche workings'!$AI$108,'Snowball workings'!$AI$108))</f>
      </c>
      <c r="M106" s="30">
        <f>IF(OR(101&gt;$Z$1,NOT(OR('Your debts'!$B$9&lt;&gt;"",N('Your debts'!$C$9)&gt;0))),"",IF('Your debts'!$D$20="Avalanche",'Avalanche workings'!$AS$108,'Snowball workings'!$AS$108))</f>
      </c>
      <c r="N106" s="29">
        <f>IF(OR(101&gt;$Z$1,NOT(OR('Your debts'!$B$10&lt;&gt;"",N('Your debts'!$C$10)&gt;0))),"",IF('Your debts'!$D$20="Avalanche",'Avalanche workings'!$P$108,'Snowball workings'!$P$108)+IF('Your debts'!$D$20="Avalanche",'Avalanche workings'!$AJ$108,'Snowball workings'!$AJ$108))</f>
      </c>
      <c r="O106" s="30">
        <f>IF(OR(101&gt;$Z$1,NOT(OR('Your debts'!$B$10&lt;&gt;"",N('Your debts'!$C$10)&gt;0))),"",IF('Your debts'!$D$20="Avalanche",'Avalanche workings'!$AT$108,'Snowball workings'!$AT$108))</f>
      </c>
      <c r="P106" s="29">
        <f>IF(OR(101&gt;$Z$1,NOT(OR('Your debts'!$B$11&lt;&gt;"",N('Your debts'!$C$11)&gt;0))),"",IF('Your debts'!$D$20="Avalanche",'Avalanche workings'!$Q$108,'Snowball workings'!$Q$108)+IF('Your debts'!$D$20="Avalanche",'Avalanche workings'!$AK$108,'Snowball workings'!$AK$108))</f>
      </c>
      <c r="Q106" s="30">
        <f>IF(OR(101&gt;$Z$1,NOT(OR('Your debts'!$B$11&lt;&gt;"",N('Your debts'!$C$11)&gt;0))),"",IF('Your debts'!$D$20="Avalanche",'Avalanche workings'!$AU$108,'Snowball workings'!$AU$108))</f>
      </c>
      <c r="R106" s="29">
        <f>IF(OR(101&gt;$Z$1,NOT(OR('Your debts'!$B$12&lt;&gt;"",N('Your debts'!$C$12)&gt;0))),"",IF('Your debts'!$D$20="Avalanche",'Avalanche workings'!$R$108,'Snowball workings'!$R$108)+IF('Your debts'!$D$20="Avalanche",'Avalanche workings'!$AL$108,'Snowball workings'!$AL$108))</f>
      </c>
      <c r="S106" s="30">
        <f>IF(OR(101&gt;$Z$1,NOT(OR('Your debts'!$B$12&lt;&gt;"",N('Your debts'!$C$12)&gt;0))),"",IF('Your debts'!$D$20="Avalanche",'Avalanche workings'!$AV$108,'Snowball workings'!$AV$108))</f>
      </c>
      <c r="T106" s="29">
        <f>IF(OR(101&gt;$Z$1,NOT(OR('Your debts'!$B$13&lt;&gt;"",N('Your debts'!$C$13)&gt;0))),"",IF('Your debts'!$D$20="Avalanche",'Avalanche workings'!$S$108,'Snowball workings'!$S$108)+IF('Your debts'!$D$20="Avalanche",'Avalanche workings'!$AM$108,'Snowball workings'!$AM$108))</f>
      </c>
      <c r="U106" s="30">
        <f>IF(OR(101&gt;$Z$1,NOT(OR('Your debts'!$B$13&lt;&gt;"",N('Your debts'!$C$13)&gt;0))),"",IF('Your debts'!$D$20="Avalanche",'Avalanche workings'!$AW$108,'Snowball workings'!$AW$108))</f>
      </c>
      <c r="V106" s="29">
        <f>IF(OR(101&gt;$Z$1,NOT(OR('Your debts'!$B$14&lt;&gt;"",N('Your debts'!$C$14)&gt;0))),"",IF('Your debts'!$D$20="Avalanche",'Avalanche workings'!$T$108,'Snowball workings'!$T$108)+IF('Your debts'!$D$20="Avalanche",'Avalanche workings'!$AN$108,'Snowball workings'!$AN$108))</f>
      </c>
      <c r="W106" s="30">
        <f>IF(OR(101&gt;$Z$1,NOT(OR('Your debts'!$B$14&lt;&gt;"",N('Your debts'!$C$14)&gt;0))),"",IF('Your debts'!$D$20="Avalanche",'Avalanche workings'!$AX$108,'Snowball workings'!$AX$108))</f>
      </c>
      <c r="X106" s="29">
        <f>IF(OR(101&gt;$Z$1,NOT(OR('Your debts'!$B$15&lt;&gt;"",N('Your debts'!$C$15)&gt;0))),"",IF('Your debts'!$D$20="Avalanche",'Avalanche workings'!$U$108,'Snowball workings'!$U$108)+IF('Your debts'!$D$20="Avalanche",'Avalanche workings'!$AO$108,'Snowball workings'!$AO$108))</f>
      </c>
      <c r="Y106" s="30">
        <f>IF(OR(101&gt;$Z$1,NOT(OR('Your debts'!$B$15&lt;&gt;"",N('Your debts'!$C$15)&gt;0))),"",IF('Your debts'!$D$20="Avalanche",'Avalanche workings'!$AY$108,'Snowball workings'!$AY$108))</f>
      </c>
    </row>
    <row r="107" spans="1:25" x14ac:dyDescent="0.25">
      <c r="A107" s="2">
        <f>IF(102&gt;$Z$1,"",102)</f>
      </c>
      <c r="B107" s="28">
        <f>IF(102&gt;$Z$1,"",EDATE('Your debts'!$D$21,101))</f>
      </c>
      <c r="C107" s="29">
        <f>IF(102&gt;$Z$1,"",IF('Your debts'!$D$20="Avalanche",'Avalanche workings'!$BC$109,'Snowball workings'!$BC$109))</f>
      </c>
      <c r="D107" s="29">
        <f>IF(102&gt;$Z$1,"",IF('Your debts'!$D$20="Avalanche",'Avalanche workings'!$BA$109,'Snowball workings'!$BA$109))</f>
      </c>
      <c r="E107" s="29">
        <f>IF(102&gt;$Z$1,"",IF('Your debts'!$D$20="Avalanche",'Avalanche workings'!$BB$109,'Snowball workings'!$BB$109))</f>
      </c>
      <c r="F107" s="29">
        <f>IF(OR(102&gt;$Z$1,NOT(OR('Your debts'!$B$6&lt;&gt;"",N('Your debts'!$C$6)&gt;0))),"",IF('Your debts'!$D$20="Avalanche",'Avalanche workings'!$L$109,'Snowball workings'!$L$109)+IF('Your debts'!$D$20="Avalanche",'Avalanche workings'!$AF$109,'Snowball workings'!$AF$109))</f>
      </c>
      <c r="G107" s="30">
        <f>IF(OR(102&gt;$Z$1,NOT(OR('Your debts'!$B$6&lt;&gt;"",N('Your debts'!$C$6)&gt;0))),"",IF('Your debts'!$D$20="Avalanche",'Avalanche workings'!$AP$109,'Snowball workings'!$AP$109))</f>
      </c>
      <c r="H107" s="29">
        <f>IF(OR(102&gt;$Z$1,NOT(OR('Your debts'!$B$7&lt;&gt;"",N('Your debts'!$C$7)&gt;0))),"",IF('Your debts'!$D$20="Avalanche",'Avalanche workings'!$M$109,'Snowball workings'!$M$109)+IF('Your debts'!$D$20="Avalanche",'Avalanche workings'!$AG$109,'Snowball workings'!$AG$109))</f>
      </c>
      <c r="I107" s="30">
        <f>IF(OR(102&gt;$Z$1,NOT(OR('Your debts'!$B$7&lt;&gt;"",N('Your debts'!$C$7)&gt;0))),"",IF('Your debts'!$D$20="Avalanche",'Avalanche workings'!$AQ$109,'Snowball workings'!$AQ$109))</f>
      </c>
      <c r="J107" s="29">
        <f>IF(OR(102&gt;$Z$1,NOT(OR('Your debts'!$B$8&lt;&gt;"",N('Your debts'!$C$8)&gt;0))),"",IF('Your debts'!$D$20="Avalanche",'Avalanche workings'!$N$109,'Snowball workings'!$N$109)+IF('Your debts'!$D$20="Avalanche",'Avalanche workings'!$AH$109,'Snowball workings'!$AH$109))</f>
      </c>
      <c r="K107" s="30">
        <f>IF(OR(102&gt;$Z$1,NOT(OR('Your debts'!$B$8&lt;&gt;"",N('Your debts'!$C$8)&gt;0))),"",IF('Your debts'!$D$20="Avalanche",'Avalanche workings'!$AR$109,'Snowball workings'!$AR$109))</f>
      </c>
      <c r="L107" s="29">
        <f>IF(OR(102&gt;$Z$1,NOT(OR('Your debts'!$B$9&lt;&gt;"",N('Your debts'!$C$9)&gt;0))),"",IF('Your debts'!$D$20="Avalanche",'Avalanche workings'!$O$109,'Snowball workings'!$O$109)+IF('Your debts'!$D$20="Avalanche",'Avalanche workings'!$AI$109,'Snowball workings'!$AI$109))</f>
      </c>
      <c r="M107" s="30">
        <f>IF(OR(102&gt;$Z$1,NOT(OR('Your debts'!$B$9&lt;&gt;"",N('Your debts'!$C$9)&gt;0))),"",IF('Your debts'!$D$20="Avalanche",'Avalanche workings'!$AS$109,'Snowball workings'!$AS$109))</f>
      </c>
      <c r="N107" s="29">
        <f>IF(OR(102&gt;$Z$1,NOT(OR('Your debts'!$B$10&lt;&gt;"",N('Your debts'!$C$10)&gt;0))),"",IF('Your debts'!$D$20="Avalanche",'Avalanche workings'!$P$109,'Snowball workings'!$P$109)+IF('Your debts'!$D$20="Avalanche",'Avalanche workings'!$AJ$109,'Snowball workings'!$AJ$109))</f>
      </c>
      <c r="O107" s="30">
        <f>IF(OR(102&gt;$Z$1,NOT(OR('Your debts'!$B$10&lt;&gt;"",N('Your debts'!$C$10)&gt;0))),"",IF('Your debts'!$D$20="Avalanche",'Avalanche workings'!$AT$109,'Snowball workings'!$AT$109))</f>
      </c>
      <c r="P107" s="29">
        <f>IF(OR(102&gt;$Z$1,NOT(OR('Your debts'!$B$11&lt;&gt;"",N('Your debts'!$C$11)&gt;0))),"",IF('Your debts'!$D$20="Avalanche",'Avalanche workings'!$Q$109,'Snowball workings'!$Q$109)+IF('Your debts'!$D$20="Avalanche",'Avalanche workings'!$AK$109,'Snowball workings'!$AK$109))</f>
      </c>
      <c r="Q107" s="30">
        <f>IF(OR(102&gt;$Z$1,NOT(OR('Your debts'!$B$11&lt;&gt;"",N('Your debts'!$C$11)&gt;0))),"",IF('Your debts'!$D$20="Avalanche",'Avalanche workings'!$AU$109,'Snowball workings'!$AU$109))</f>
      </c>
      <c r="R107" s="29">
        <f>IF(OR(102&gt;$Z$1,NOT(OR('Your debts'!$B$12&lt;&gt;"",N('Your debts'!$C$12)&gt;0))),"",IF('Your debts'!$D$20="Avalanche",'Avalanche workings'!$R$109,'Snowball workings'!$R$109)+IF('Your debts'!$D$20="Avalanche",'Avalanche workings'!$AL$109,'Snowball workings'!$AL$109))</f>
      </c>
      <c r="S107" s="30">
        <f>IF(OR(102&gt;$Z$1,NOT(OR('Your debts'!$B$12&lt;&gt;"",N('Your debts'!$C$12)&gt;0))),"",IF('Your debts'!$D$20="Avalanche",'Avalanche workings'!$AV$109,'Snowball workings'!$AV$109))</f>
      </c>
      <c r="T107" s="29">
        <f>IF(OR(102&gt;$Z$1,NOT(OR('Your debts'!$B$13&lt;&gt;"",N('Your debts'!$C$13)&gt;0))),"",IF('Your debts'!$D$20="Avalanche",'Avalanche workings'!$S$109,'Snowball workings'!$S$109)+IF('Your debts'!$D$20="Avalanche",'Avalanche workings'!$AM$109,'Snowball workings'!$AM$109))</f>
      </c>
      <c r="U107" s="30">
        <f>IF(OR(102&gt;$Z$1,NOT(OR('Your debts'!$B$13&lt;&gt;"",N('Your debts'!$C$13)&gt;0))),"",IF('Your debts'!$D$20="Avalanche",'Avalanche workings'!$AW$109,'Snowball workings'!$AW$109))</f>
      </c>
      <c r="V107" s="29">
        <f>IF(OR(102&gt;$Z$1,NOT(OR('Your debts'!$B$14&lt;&gt;"",N('Your debts'!$C$14)&gt;0))),"",IF('Your debts'!$D$20="Avalanche",'Avalanche workings'!$T$109,'Snowball workings'!$T$109)+IF('Your debts'!$D$20="Avalanche",'Avalanche workings'!$AN$109,'Snowball workings'!$AN$109))</f>
      </c>
      <c r="W107" s="30">
        <f>IF(OR(102&gt;$Z$1,NOT(OR('Your debts'!$B$14&lt;&gt;"",N('Your debts'!$C$14)&gt;0))),"",IF('Your debts'!$D$20="Avalanche",'Avalanche workings'!$AX$109,'Snowball workings'!$AX$109))</f>
      </c>
      <c r="X107" s="29">
        <f>IF(OR(102&gt;$Z$1,NOT(OR('Your debts'!$B$15&lt;&gt;"",N('Your debts'!$C$15)&gt;0))),"",IF('Your debts'!$D$20="Avalanche",'Avalanche workings'!$U$109,'Snowball workings'!$U$109)+IF('Your debts'!$D$20="Avalanche",'Avalanche workings'!$AO$109,'Snowball workings'!$AO$109))</f>
      </c>
      <c r="Y107" s="30">
        <f>IF(OR(102&gt;$Z$1,NOT(OR('Your debts'!$B$15&lt;&gt;"",N('Your debts'!$C$15)&gt;0))),"",IF('Your debts'!$D$20="Avalanche",'Avalanche workings'!$AY$109,'Snowball workings'!$AY$109))</f>
      </c>
    </row>
    <row r="108" spans="1:25" x14ac:dyDescent="0.25">
      <c r="A108" s="2">
        <f>IF(103&gt;$Z$1,"",103)</f>
      </c>
      <c r="B108" s="28">
        <f>IF(103&gt;$Z$1,"",EDATE('Your debts'!$D$21,102))</f>
      </c>
      <c r="C108" s="29">
        <f>IF(103&gt;$Z$1,"",IF('Your debts'!$D$20="Avalanche",'Avalanche workings'!$BC$110,'Snowball workings'!$BC$110))</f>
      </c>
      <c r="D108" s="29">
        <f>IF(103&gt;$Z$1,"",IF('Your debts'!$D$20="Avalanche",'Avalanche workings'!$BA$110,'Snowball workings'!$BA$110))</f>
      </c>
      <c r="E108" s="29">
        <f>IF(103&gt;$Z$1,"",IF('Your debts'!$D$20="Avalanche",'Avalanche workings'!$BB$110,'Snowball workings'!$BB$110))</f>
      </c>
      <c r="F108" s="29">
        <f>IF(OR(103&gt;$Z$1,NOT(OR('Your debts'!$B$6&lt;&gt;"",N('Your debts'!$C$6)&gt;0))),"",IF('Your debts'!$D$20="Avalanche",'Avalanche workings'!$L$110,'Snowball workings'!$L$110)+IF('Your debts'!$D$20="Avalanche",'Avalanche workings'!$AF$110,'Snowball workings'!$AF$110))</f>
      </c>
      <c r="G108" s="30">
        <f>IF(OR(103&gt;$Z$1,NOT(OR('Your debts'!$B$6&lt;&gt;"",N('Your debts'!$C$6)&gt;0))),"",IF('Your debts'!$D$20="Avalanche",'Avalanche workings'!$AP$110,'Snowball workings'!$AP$110))</f>
      </c>
      <c r="H108" s="29">
        <f>IF(OR(103&gt;$Z$1,NOT(OR('Your debts'!$B$7&lt;&gt;"",N('Your debts'!$C$7)&gt;0))),"",IF('Your debts'!$D$20="Avalanche",'Avalanche workings'!$M$110,'Snowball workings'!$M$110)+IF('Your debts'!$D$20="Avalanche",'Avalanche workings'!$AG$110,'Snowball workings'!$AG$110))</f>
      </c>
      <c r="I108" s="30">
        <f>IF(OR(103&gt;$Z$1,NOT(OR('Your debts'!$B$7&lt;&gt;"",N('Your debts'!$C$7)&gt;0))),"",IF('Your debts'!$D$20="Avalanche",'Avalanche workings'!$AQ$110,'Snowball workings'!$AQ$110))</f>
      </c>
      <c r="J108" s="29">
        <f>IF(OR(103&gt;$Z$1,NOT(OR('Your debts'!$B$8&lt;&gt;"",N('Your debts'!$C$8)&gt;0))),"",IF('Your debts'!$D$20="Avalanche",'Avalanche workings'!$N$110,'Snowball workings'!$N$110)+IF('Your debts'!$D$20="Avalanche",'Avalanche workings'!$AH$110,'Snowball workings'!$AH$110))</f>
      </c>
      <c r="K108" s="30">
        <f>IF(OR(103&gt;$Z$1,NOT(OR('Your debts'!$B$8&lt;&gt;"",N('Your debts'!$C$8)&gt;0))),"",IF('Your debts'!$D$20="Avalanche",'Avalanche workings'!$AR$110,'Snowball workings'!$AR$110))</f>
      </c>
      <c r="L108" s="29">
        <f>IF(OR(103&gt;$Z$1,NOT(OR('Your debts'!$B$9&lt;&gt;"",N('Your debts'!$C$9)&gt;0))),"",IF('Your debts'!$D$20="Avalanche",'Avalanche workings'!$O$110,'Snowball workings'!$O$110)+IF('Your debts'!$D$20="Avalanche",'Avalanche workings'!$AI$110,'Snowball workings'!$AI$110))</f>
      </c>
      <c r="M108" s="30">
        <f>IF(OR(103&gt;$Z$1,NOT(OR('Your debts'!$B$9&lt;&gt;"",N('Your debts'!$C$9)&gt;0))),"",IF('Your debts'!$D$20="Avalanche",'Avalanche workings'!$AS$110,'Snowball workings'!$AS$110))</f>
      </c>
      <c r="N108" s="29">
        <f>IF(OR(103&gt;$Z$1,NOT(OR('Your debts'!$B$10&lt;&gt;"",N('Your debts'!$C$10)&gt;0))),"",IF('Your debts'!$D$20="Avalanche",'Avalanche workings'!$P$110,'Snowball workings'!$P$110)+IF('Your debts'!$D$20="Avalanche",'Avalanche workings'!$AJ$110,'Snowball workings'!$AJ$110))</f>
      </c>
      <c r="O108" s="30">
        <f>IF(OR(103&gt;$Z$1,NOT(OR('Your debts'!$B$10&lt;&gt;"",N('Your debts'!$C$10)&gt;0))),"",IF('Your debts'!$D$20="Avalanche",'Avalanche workings'!$AT$110,'Snowball workings'!$AT$110))</f>
      </c>
      <c r="P108" s="29">
        <f>IF(OR(103&gt;$Z$1,NOT(OR('Your debts'!$B$11&lt;&gt;"",N('Your debts'!$C$11)&gt;0))),"",IF('Your debts'!$D$20="Avalanche",'Avalanche workings'!$Q$110,'Snowball workings'!$Q$110)+IF('Your debts'!$D$20="Avalanche",'Avalanche workings'!$AK$110,'Snowball workings'!$AK$110))</f>
      </c>
      <c r="Q108" s="30">
        <f>IF(OR(103&gt;$Z$1,NOT(OR('Your debts'!$B$11&lt;&gt;"",N('Your debts'!$C$11)&gt;0))),"",IF('Your debts'!$D$20="Avalanche",'Avalanche workings'!$AU$110,'Snowball workings'!$AU$110))</f>
      </c>
      <c r="R108" s="29">
        <f>IF(OR(103&gt;$Z$1,NOT(OR('Your debts'!$B$12&lt;&gt;"",N('Your debts'!$C$12)&gt;0))),"",IF('Your debts'!$D$20="Avalanche",'Avalanche workings'!$R$110,'Snowball workings'!$R$110)+IF('Your debts'!$D$20="Avalanche",'Avalanche workings'!$AL$110,'Snowball workings'!$AL$110))</f>
      </c>
      <c r="S108" s="30">
        <f>IF(OR(103&gt;$Z$1,NOT(OR('Your debts'!$B$12&lt;&gt;"",N('Your debts'!$C$12)&gt;0))),"",IF('Your debts'!$D$20="Avalanche",'Avalanche workings'!$AV$110,'Snowball workings'!$AV$110))</f>
      </c>
      <c r="T108" s="29">
        <f>IF(OR(103&gt;$Z$1,NOT(OR('Your debts'!$B$13&lt;&gt;"",N('Your debts'!$C$13)&gt;0))),"",IF('Your debts'!$D$20="Avalanche",'Avalanche workings'!$S$110,'Snowball workings'!$S$110)+IF('Your debts'!$D$20="Avalanche",'Avalanche workings'!$AM$110,'Snowball workings'!$AM$110))</f>
      </c>
      <c r="U108" s="30">
        <f>IF(OR(103&gt;$Z$1,NOT(OR('Your debts'!$B$13&lt;&gt;"",N('Your debts'!$C$13)&gt;0))),"",IF('Your debts'!$D$20="Avalanche",'Avalanche workings'!$AW$110,'Snowball workings'!$AW$110))</f>
      </c>
      <c r="V108" s="29">
        <f>IF(OR(103&gt;$Z$1,NOT(OR('Your debts'!$B$14&lt;&gt;"",N('Your debts'!$C$14)&gt;0))),"",IF('Your debts'!$D$20="Avalanche",'Avalanche workings'!$T$110,'Snowball workings'!$T$110)+IF('Your debts'!$D$20="Avalanche",'Avalanche workings'!$AN$110,'Snowball workings'!$AN$110))</f>
      </c>
      <c r="W108" s="30">
        <f>IF(OR(103&gt;$Z$1,NOT(OR('Your debts'!$B$14&lt;&gt;"",N('Your debts'!$C$14)&gt;0))),"",IF('Your debts'!$D$20="Avalanche",'Avalanche workings'!$AX$110,'Snowball workings'!$AX$110))</f>
      </c>
      <c r="X108" s="29">
        <f>IF(OR(103&gt;$Z$1,NOT(OR('Your debts'!$B$15&lt;&gt;"",N('Your debts'!$C$15)&gt;0))),"",IF('Your debts'!$D$20="Avalanche",'Avalanche workings'!$U$110,'Snowball workings'!$U$110)+IF('Your debts'!$D$20="Avalanche",'Avalanche workings'!$AO$110,'Snowball workings'!$AO$110))</f>
      </c>
      <c r="Y108" s="30">
        <f>IF(OR(103&gt;$Z$1,NOT(OR('Your debts'!$B$15&lt;&gt;"",N('Your debts'!$C$15)&gt;0))),"",IF('Your debts'!$D$20="Avalanche",'Avalanche workings'!$AY$110,'Snowball workings'!$AY$110))</f>
      </c>
    </row>
    <row r="109" spans="1:25" x14ac:dyDescent="0.25">
      <c r="A109" s="2">
        <f>IF(104&gt;$Z$1,"",104)</f>
      </c>
      <c r="B109" s="28">
        <f>IF(104&gt;$Z$1,"",EDATE('Your debts'!$D$21,103))</f>
      </c>
      <c r="C109" s="29">
        <f>IF(104&gt;$Z$1,"",IF('Your debts'!$D$20="Avalanche",'Avalanche workings'!$BC$111,'Snowball workings'!$BC$111))</f>
      </c>
      <c r="D109" s="29">
        <f>IF(104&gt;$Z$1,"",IF('Your debts'!$D$20="Avalanche",'Avalanche workings'!$BA$111,'Snowball workings'!$BA$111))</f>
      </c>
      <c r="E109" s="29">
        <f>IF(104&gt;$Z$1,"",IF('Your debts'!$D$20="Avalanche",'Avalanche workings'!$BB$111,'Snowball workings'!$BB$111))</f>
      </c>
      <c r="F109" s="29">
        <f>IF(OR(104&gt;$Z$1,NOT(OR('Your debts'!$B$6&lt;&gt;"",N('Your debts'!$C$6)&gt;0))),"",IF('Your debts'!$D$20="Avalanche",'Avalanche workings'!$L$111,'Snowball workings'!$L$111)+IF('Your debts'!$D$20="Avalanche",'Avalanche workings'!$AF$111,'Snowball workings'!$AF$111))</f>
      </c>
      <c r="G109" s="30">
        <f>IF(OR(104&gt;$Z$1,NOT(OR('Your debts'!$B$6&lt;&gt;"",N('Your debts'!$C$6)&gt;0))),"",IF('Your debts'!$D$20="Avalanche",'Avalanche workings'!$AP$111,'Snowball workings'!$AP$111))</f>
      </c>
      <c r="H109" s="29">
        <f>IF(OR(104&gt;$Z$1,NOT(OR('Your debts'!$B$7&lt;&gt;"",N('Your debts'!$C$7)&gt;0))),"",IF('Your debts'!$D$20="Avalanche",'Avalanche workings'!$M$111,'Snowball workings'!$M$111)+IF('Your debts'!$D$20="Avalanche",'Avalanche workings'!$AG$111,'Snowball workings'!$AG$111))</f>
      </c>
      <c r="I109" s="30">
        <f>IF(OR(104&gt;$Z$1,NOT(OR('Your debts'!$B$7&lt;&gt;"",N('Your debts'!$C$7)&gt;0))),"",IF('Your debts'!$D$20="Avalanche",'Avalanche workings'!$AQ$111,'Snowball workings'!$AQ$111))</f>
      </c>
      <c r="J109" s="29">
        <f>IF(OR(104&gt;$Z$1,NOT(OR('Your debts'!$B$8&lt;&gt;"",N('Your debts'!$C$8)&gt;0))),"",IF('Your debts'!$D$20="Avalanche",'Avalanche workings'!$N$111,'Snowball workings'!$N$111)+IF('Your debts'!$D$20="Avalanche",'Avalanche workings'!$AH$111,'Snowball workings'!$AH$111))</f>
      </c>
      <c r="K109" s="30">
        <f>IF(OR(104&gt;$Z$1,NOT(OR('Your debts'!$B$8&lt;&gt;"",N('Your debts'!$C$8)&gt;0))),"",IF('Your debts'!$D$20="Avalanche",'Avalanche workings'!$AR$111,'Snowball workings'!$AR$111))</f>
      </c>
      <c r="L109" s="29">
        <f>IF(OR(104&gt;$Z$1,NOT(OR('Your debts'!$B$9&lt;&gt;"",N('Your debts'!$C$9)&gt;0))),"",IF('Your debts'!$D$20="Avalanche",'Avalanche workings'!$O$111,'Snowball workings'!$O$111)+IF('Your debts'!$D$20="Avalanche",'Avalanche workings'!$AI$111,'Snowball workings'!$AI$111))</f>
      </c>
      <c r="M109" s="30">
        <f>IF(OR(104&gt;$Z$1,NOT(OR('Your debts'!$B$9&lt;&gt;"",N('Your debts'!$C$9)&gt;0))),"",IF('Your debts'!$D$20="Avalanche",'Avalanche workings'!$AS$111,'Snowball workings'!$AS$111))</f>
      </c>
      <c r="N109" s="29">
        <f>IF(OR(104&gt;$Z$1,NOT(OR('Your debts'!$B$10&lt;&gt;"",N('Your debts'!$C$10)&gt;0))),"",IF('Your debts'!$D$20="Avalanche",'Avalanche workings'!$P$111,'Snowball workings'!$P$111)+IF('Your debts'!$D$20="Avalanche",'Avalanche workings'!$AJ$111,'Snowball workings'!$AJ$111))</f>
      </c>
      <c r="O109" s="30">
        <f>IF(OR(104&gt;$Z$1,NOT(OR('Your debts'!$B$10&lt;&gt;"",N('Your debts'!$C$10)&gt;0))),"",IF('Your debts'!$D$20="Avalanche",'Avalanche workings'!$AT$111,'Snowball workings'!$AT$111))</f>
      </c>
      <c r="P109" s="29">
        <f>IF(OR(104&gt;$Z$1,NOT(OR('Your debts'!$B$11&lt;&gt;"",N('Your debts'!$C$11)&gt;0))),"",IF('Your debts'!$D$20="Avalanche",'Avalanche workings'!$Q$111,'Snowball workings'!$Q$111)+IF('Your debts'!$D$20="Avalanche",'Avalanche workings'!$AK$111,'Snowball workings'!$AK$111))</f>
      </c>
      <c r="Q109" s="30">
        <f>IF(OR(104&gt;$Z$1,NOT(OR('Your debts'!$B$11&lt;&gt;"",N('Your debts'!$C$11)&gt;0))),"",IF('Your debts'!$D$20="Avalanche",'Avalanche workings'!$AU$111,'Snowball workings'!$AU$111))</f>
      </c>
      <c r="R109" s="29">
        <f>IF(OR(104&gt;$Z$1,NOT(OR('Your debts'!$B$12&lt;&gt;"",N('Your debts'!$C$12)&gt;0))),"",IF('Your debts'!$D$20="Avalanche",'Avalanche workings'!$R$111,'Snowball workings'!$R$111)+IF('Your debts'!$D$20="Avalanche",'Avalanche workings'!$AL$111,'Snowball workings'!$AL$111))</f>
      </c>
      <c r="S109" s="30">
        <f>IF(OR(104&gt;$Z$1,NOT(OR('Your debts'!$B$12&lt;&gt;"",N('Your debts'!$C$12)&gt;0))),"",IF('Your debts'!$D$20="Avalanche",'Avalanche workings'!$AV$111,'Snowball workings'!$AV$111))</f>
      </c>
      <c r="T109" s="29">
        <f>IF(OR(104&gt;$Z$1,NOT(OR('Your debts'!$B$13&lt;&gt;"",N('Your debts'!$C$13)&gt;0))),"",IF('Your debts'!$D$20="Avalanche",'Avalanche workings'!$S$111,'Snowball workings'!$S$111)+IF('Your debts'!$D$20="Avalanche",'Avalanche workings'!$AM$111,'Snowball workings'!$AM$111))</f>
      </c>
      <c r="U109" s="30">
        <f>IF(OR(104&gt;$Z$1,NOT(OR('Your debts'!$B$13&lt;&gt;"",N('Your debts'!$C$13)&gt;0))),"",IF('Your debts'!$D$20="Avalanche",'Avalanche workings'!$AW$111,'Snowball workings'!$AW$111))</f>
      </c>
      <c r="V109" s="29">
        <f>IF(OR(104&gt;$Z$1,NOT(OR('Your debts'!$B$14&lt;&gt;"",N('Your debts'!$C$14)&gt;0))),"",IF('Your debts'!$D$20="Avalanche",'Avalanche workings'!$T$111,'Snowball workings'!$T$111)+IF('Your debts'!$D$20="Avalanche",'Avalanche workings'!$AN$111,'Snowball workings'!$AN$111))</f>
      </c>
      <c r="W109" s="30">
        <f>IF(OR(104&gt;$Z$1,NOT(OR('Your debts'!$B$14&lt;&gt;"",N('Your debts'!$C$14)&gt;0))),"",IF('Your debts'!$D$20="Avalanche",'Avalanche workings'!$AX$111,'Snowball workings'!$AX$111))</f>
      </c>
      <c r="X109" s="29">
        <f>IF(OR(104&gt;$Z$1,NOT(OR('Your debts'!$B$15&lt;&gt;"",N('Your debts'!$C$15)&gt;0))),"",IF('Your debts'!$D$20="Avalanche",'Avalanche workings'!$U$111,'Snowball workings'!$U$111)+IF('Your debts'!$D$20="Avalanche",'Avalanche workings'!$AO$111,'Snowball workings'!$AO$111))</f>
      </c>
      <c r="Y109" s="30">
        <f>IF(OR(104&gt;$Z$1,NOT(OR('Your debts'!$B$15&lt;&gt;"",N('Your debts'!$C$15)&gt;0))),"",IF('Your debts'!$D$20="Avalanche",'Avalanche workings'!$AY$111,'Snowball workings'!$AY$111))</f>
      </c>
    </row>
    <row r="110" spans="1:25" x14ac:dyDescent="0.25">
      <c r="A110" s="2">
        <f>IF(105&gt;$Z$1,"",105)</f>
      </c>
      <c r="B110" s="28">
        <f>IF(105&gt;$Z$1,"",EDATE('Your debts'!$D$21,104))</f>
      </c>
      <c r="C110" s="29">
        <f>IF(105&gt;$Z$1,"",IF('Your debts'!$D$20="Avalanche",'Avalanche workings'!$BC$112,'Snowball workings'!$BC$112))</f>
      </c>
      <c r="D110" s="29">
        <f>IF(105&gt;$Z$1,"",IF('Your debts'!$D$20="Avalanche",'Avalanche workings'!$BA$112,'Snowball workings'!$BA$112))</f>
      </c>
      <c r="E110" s="29">
        <f>IF(105&gt;$Z$1,"",IF('Your debts'!$D$20="Avalanche",'Avalanche workings'!$BB$112,'Snowball workings'!$BB$112))</f>
      </c>
      <c r="F110" s="29">
        <f>IF(OR(105&gt;$Z$1,NOT(OR('Your debts'!$B$6&lt;&gt;"",N('Your debts'!$C$6)&gt;0))),"",IF('Your debts'!$D$20="Avalanche",'Avalanche workings'!$L$112,'Snowball workings'!$L$112)+IF('Your debts'!$D$20="Avalanche",'Avalanche workings'!$AF$112,'Snowball workings'!$AF$112))</f>
      </c>
      <c r="G110" s="30">
        <f>IF(OR(105&gt;$Z$1,NOT(OR('Your debts'!$B$6&lt;&gt;"",N('Your debts'!$C$6)&gt;0))),"",IF('Your debts'!$D$20="Avalanche",'Avalanche workings'!$AP$112,'Snowball workings'!$AP$112))</f>
      </c>
      <c r="H110" s="29">
        <f>IF(OR(105&gt;$Z$1,NOT(OR('Your debts'!$B$7&lt;&gt;"",N('Your debts'!$C$7)&gt;0))),"",IF('Your debts'!$D$20="Avalanche",'Avalanche workings'!$M$112,'Snowball workings'!$M$112)+IF('Your debts'!$D$20="Avalanche",'Avalanche workings'!$AG$112,'Snowball workings'!$AG$112))</f>
      </c>
      <c r="I110" s="30">
        <f>IF(OR(105&gt;$Z$1,NOT(OR('Your debts'!$B$7&lt;&gt;"",N('Your debts'!$C$7)&gt;0))),"",IF('Your debts'!$D$20="Avalanche",'Avalanche workings'!$AQ$112,'Snowball workings'!$AQ$112))</f>
      </c>
      <c r="J110" s="29">
        <f>IF(OR(105&gt;$Z$1,NOT(OR('Your debts'!$B$8&lt;&gt;"",N('Your debts'!$C$8)&gt;0))),"",IF('Your debts'!$D$20="Avalanche",'Avalanche workings'!$N$112,'Snowball workings'!$N$112)+IF('Your debts'!$D$20="Avalanche",'Avalanche workings'!$AH$112,'Snowball workings'!$AH$112))</f>
      </c>
      <c r="K110" s="30">
        <f>IF(OR(105&gt;$Z$1,NOT(OR('Your debts'!$B$8&lt;&gt;"",N('Your debts'!$C$8)&gt;0))),"",IF('Your debts'!$D$20="Avalanche",'Avalanche workings'!$AR$112,'Snowball workings'!$AR$112))</f>
      </c>
      <c r="L110" s="29">
        <f>IF(OR(105&gt;$Z$1,NOT(OR('Your debts'!$B$9&lt;&gt;"",N('Your debts'!$C$9)&gt;0))),"",IF('Your debts'!$D$20="Avalanche",'Avalanche workings'!$O$112,'Snowball workings'!$O$112)+IF('Your debts'!$D$20="Avalanche",'Avalanche workings'!$AI$112,'Snowball workings'!$AI$112))</f>
      </c>
      <c r="M110" s="30">
        <f>IF(OR(105&gt;$Z$1,NOT(OR('Your debts'!$B$9&lt;&gt;"",N('Your debts'!$C$9)&gt;0))),"",IF('Your debts'!$D$20="Avalanche",'Avalanche workings'!$AS$112,'Snowball workings'!$AS$112))</f>
      </c>
      <c r="N110" s="29">
        <f>IF(OR(105&gt;$Z$1,NOT(OR('Your debts'!$B$10&lt;&gt;"",N('Your debts'!$C$10)&gt;0))),"",IF('Your debts'!$D$20="Avalanche",'Avalanche workings'!$P$112,'Snowball workings'!$P$112)+IF('Your debts'!$D$20="Avalanche",'Avalanche workings'!$AJ$112,'Snowball workings'!$AJ$112))</f>
      </c>
      <c r="O110" s="30">
        <f>IF(OR(105&gt;$Z$1,NOT(OR('Your debts'!$B$10&lt;&gt;"",N('Your debts'!$C$10)&gt;0))),"",IF('Your debts'!$D$20="Avalanche",'Avalanche workings'!$AT$112,'Snowball workings'!$AT$112))</f>
      </c>
      <c r="P110" s="29">
        <f>IF(OR(105&gt;$Z$1,NOT(OR('Your debts'!$B$11&lt;&gt;"",N('Your debts'!$C$11)&gt;0))),"",IF('Your debts'!$D$20="Avalanche",'Avalanche workings'!$Q$112,'Snowball workings'!$Q$112)+IF('Your debts'!$D$20="Avalanche",'Avalanche workings'!$AK$112,'Snowball workings'!$AK$112))</f>
      </c>
      <c r="Q110" s="30">
        <f>IF(OR(105&gt;$Z$1,NOT(OR('Your debts'!$B$11&lt;&gt;"",N('Your debts'!$C$11)&gt;0))),"",IF('Your debts'!$D$20="Avalanche",'Avalanche workings'!$AU$112,'Snowball workings'!$AU$112))</f>
      </c>
      <c r="R110" s="29">
        <f>IF(OR(105&gt;$Z$1,NOT(OR('Your debts'!$B$12&lt;&gt;"",N('Your debts'!$C$12)&gt;0))),"",IF('Your debts'!$D$20="Avalanche",'Avalanche workings'!$R$112,'Snowball workings'!$R$112)+IF('Your debts'!$D$20="Avalanche",'Avalanche workings'!$AL$112,'Snowball workings'!$AL$112))</f>
      </c>
      <c r="S110" s="30">
        <f>IF(OR(105&gt;$Z$1,NOT(OR('Your debts'!$B$12&lt;&gt;"",N('Your debts'!$C$12)&gt;0))),"",IF('Your debts'!$D$20="Avalanche",'Avalanche workings'!$AV$112,'Snowball workings'!$AV$112))</f>
      </c>
      <c r="T110" s="29">
        <f>IF(OR(105&gt;$Z$1,NOT(OR('Your debts'!$B$13&lt;&gt;"",N('Your debts'!$C$13)&gt;0))),"",IF('Your debts'!$D$20="Avalanche",'Avalanche workings'!$S$112,'Snowball workings'!$S$112)+IF('Your debts'!$D$20="Avalanche",'Avalanche workings'!$AM$112,'Snowball workings'!$AM$112))</f>
      </c>
      <c r="U110" s="30">
        <f>IF(OR(105&gt;$Z$1,NOT(OR('Your debts'!$B$13&lt;&gt;"",N('Your debts'!$C$13)&gt;0))),"",IF('Your debts'!$D$20="Avalanche",'Avalanche workings'!$AW$112,'Snowball workings'!$AW$112))</f>
      </c>
      <c r="V110" s="29">
        <f>IF(OR(105&gt;$Z$1,NOT(OR('Your debts'!$B$14&lt;&gt;"",N('Your debts'!$C$14)&gt;0))),"",IF('Your debts'!$D$20="Avalanche",'Avalanche workings'!$T$112,'Snowball workings'!$T$112)+IF('Your debts'!$D$20="Avalanche",'Avalanche workings'!$AN$112,'Snowball workings'!$AN$112))</f>
      </c>
      <c r="W110" s="30">
        <f>IF(OR(105&gt;$Z$1,NOT(OR('Your debts'!$B$14&lt;&gt;"",N('Your debts'!$C$14)&gt;0))),"",IF('Your debts'!$D$20="Avalanche",'Avalanche workings'!$AX$112,'Snowball workings'!$AX$112))</f>
      </c>
      <c r="X110" s="29">
        <f>IF(OR(105&gt;$Z$1,NOT(OR('Your debts'!$B$15&lt;&gt;"",N('Your debts'!$C$15)&gt;0))),"",IF('Your debts'!$D$20="Avalanche",'Avalanche workings'!$U$112,'Snowball workings'!$U$112)+IF('Your debts'!$D$20="Avalanche",'Avalanche workings'!$AO$112,'Snowball workings'!$AO$112))</f>
      </c>
      <c r="Y110" s="30">
        <f>IF(OR(105&gt;$Z$1,NOT(OR('Your debts'!$B$15&lt;&gt;"",N('Your debts'!$C$15)&gt;0))),"",IF('Your debts'!$D$20="Avalanche",'Avalanche workings'!$AY$112,'Snowball workings'!$AY$112))</f>
      </c>
    </row>
    <row r="111" spans="1:25" x14ac:dyDescent="0.25">
      <c r="A111" s="2">
        <f>IF(106&gt;$Z$1,"",106)</f>
      </c>
      <c r="B111" s="28">
        <f>IF(106&gt;$Z$1,"",EDATE('Your debts'!$D$21,105))</f>
      </c>
      <c r="C111" s="29">
        <f>IF(106&gt;$Z$1,"",IF('Your debts'!$D$20="Avalanche",'Avalanche workings'!$BC$113,'Snowball workings'!$BC$113))</f>
      </c>
      <c r="D111" s="29">
        <f>IF(106&gt;$Z$1,"",IF('Your debts'!$D$20="Avalanche",'Avalanche workings'!$BA$113,'Snowball workings'!$BA$113))</f>
      </c>
      <c r="E111" s="29">
        <f>IF(106&gt;$Z$1,"",IF('Your debts'!$D$20="Avalanche",'Avalanche workings'!$BB$113,'Snowball workings'!$BB$113))</f>
      </c>
      <c r="F111" s="29">
        <f>IF(OR(106&gt;$Z$1,NOT(OR('Your debts'!$B$6&lt;&gt;"",N('Your debts'!$C$6)&gt;0))),"",IF('Your debts'!$D$20="Avalanche",'Avalanche workings'!$L$113,'Snowball workings'!$L$113)+IF('Your debts'!$D$20="Avalanche",'Avalanche workings'!$AF$113,'Snowball workings'!$AF$113))</f>
      </c>
      <c r="G111" s="30">
        <f>IF(OR(106&gt;$Z$1,NOT(OR('Your debts'!$B$6&lt;&gt;"",N('Your debts'!$C$6)&gt;0))),"",IF('Your debts'!$D$20="Avalanche",'Avalanche workings'!$AP$113,'Snowball workings'!$AP$113))</f>
      </c>
      <c r="H111" s="29">
        <f>IF(OR(106&gt;$Z$1,NOT(OR('Your debts'!$B$7&lt;&gt;"",N('Your debts'!$C$7)&gt;0))),"",IF('Your debts'!$D$20="Avalanche",'Avalanche workings'!$M$113,'Snowball workings'!$M$113)+IF('Your debts'!$D$20="Avalanche",'Avalanche workings'!$AG$113,'Snowball workings'!$AG$113))</f>
      </c>
      <c r="I111" s="30">
        <f>IF(OR(106&gt;$Z$1,NOT(OR('Your debts'!$B$7&lt;&gt;"",N('Your debts'!$C$7)&gt;0))),"",IF('Your debts'!$D$20="Avalanche",'Avalanche workings'!$AQ$113,'Snowball workings'!$AQ$113))</f>
      </c>
      <c r="J111" s="29">
        <f>IF(OR(106&gt;$Z$1,NOT(OR('Your debts'!$B$8&lt;&gt;"",N('Your debts'!$C$8)&gt;0))),"",IF('Your debts'!$D$20="Avalanche",'Avalanche workings'!$N$113,'Snowball workings'!$N$113)+IF('Your debts'!$D$20="Avalanche",'Avalanche workings'!$AH$113,'Snowball workings'!$AH$113))</f>
      </c>
      <c r="K111" s="30">
        <f>IF(OR(106&gt;$Z$1,NOT(OR('Your debts'!$B$8&lt;&gt;"",N('Your debts'!$C$8)&gt;0))),"",IF('Your debts'!$D$20="Avalanche",'Avalanche workings'!$AR$113,'Snowball workings'!$AR$113))</f>
      </c>
      <c r="L111" s="29">
        <f>IF(OR(106&gt;$Z$1,NOT(OR('Your debts'!$B$9&lt;&gt;"",N('Your debts'!$C$9)&gt;0))),"",IF('Your debts'!$D$20="Avalanche",'Avalanche workings'!$O$113,'Snowball workings'!$O$113)+IF('Your debts'!$D$20="Avalanche",'Avalanche workings'!$AI$113,'Snowball workings'!$AI$113))</f>
      </c>
      <c r="M111" s="30">
        <f>IF(OR(106&gt;$Z$1,NOT(OR('Your debts'!$B$9&lt;&gt;"",N('Your debts'!$C$9)&gt;0))),"",IF('Your debts'!$D$20="Avalanche",'Avalanche workings'!$AS$113,'Snowball workings'!$AS$113))</f>
      </c>
      <c r="N111" s="29">
        <f>IF(OR(106&gt;$Z$1,NOT(OR('Your debts'!$B$10&lt;&gt;"",N('Your debts'!$C$10)&gt;0))),"",IF('Your debts'!$D$20="Avalanche",'Avalanche workings'!$P$113,'Snowball workings'!$P$113)+IF('Your debts'!$D$20="Avalanche",'Avalanche workings'!$AJ$113,'Snowball workings'!$AJ$113))</f>
      </c>
      <c r="O111" s="30">
        <f>IF(OR(106&gt;$Z$1,NOT(OR('Your debts'!$B$10&lt;&gt;"",N('Your debts'!$C$10)&gt;0))),"",IF('Your debts'!$D$20="Avalanche",'Avalanche workings'!$AT$113,'Snowball workings'!$AT$113))</f>
      </c>
      <c r="P111" s="29">
        <f>IF(OR(106&gt;$Z$1,NOT(OR('Your debts'!$B$11&lt;&gt;"",N('Your debts'!$C$11)&gt;0))),"",IF('Your debts'!$D$20="Avalanche",'Avalanche workings'!$Q$113,'Snowball workings'!$Q$113)+IF('Your debts'!$D$20="Avalanche",'Avalanche workings'!$AK$113,'Snowball workings'!$AK$113))</f>
      </c>
      <c r="Q111" s="30">
        <f>IF(OR(106&gt;$Z$1,NOT(OR('Your debts'!$B$11&lt;&gt;"",N('Your debts'!$C$11)&gt;0))),"",IF('Your debts'!$D$20="Avalanche",'Avalanche workings'!$AU$113,'Snowball workings'!$AU$113))</f>
      </c>
      <c r="R111" s="29">
        <f>IF(OR(106&gt;$Z$1,NOT(OR('Your debts'!$B$12&lt;&gt;"",N('Your debts'!$C$12)&gt;0))),"",IF('Your debts'!$D$20="Avalanche",'Avalanche workings'!$R$113,'Snowball workings'!$R$113)+IF('Your debts'!$D$20="Avalanche",'Avalanche workings'!$AL$113,'Snowball workings'!$AL$113))</f>
      </c>
      <c r="S111" s="30">
        <f>IF(OR(106&gt;$Z$1,NOT(OR('Your debts'!$B$12&lt;&gt;"",N('Your debts'!$C$12)&gt;0))),"",IF('Your debts'!$D$20="Avalanche",'Avalanche workings'!$AV$113,'Snowball workings'!$AV$113))</f>
      </c>
      <c r="T111" s="29">
        <f>IF(OR(106&gt;$Z$1,NOT(OR('Your debts'!$B$13&lt;&gt;"",N('Your debts'!$C$13)&gt;0))),"",IF('Your debts'!$D$20="Avalanche",'Avalanche workings'!$S$113,'Snowball workings'!$S$113)+IF('Your debts'!$D$20="Avalanche",'Avalanche workings'!$AM$113,'Snowball workings'!$AM$113))</f>
      </c>
      <c r="U111" s="30">
        <f>IF(OR(106&gt;$Z$1,NOT(OR('Your debts'!$B$13&lt;&gt;"",N('Your debts'!$C$13)&gt;0))),"",IF('Your debts'!$D$20="Avalanche",'Avalanche workings'!$AW$113,'Snowball workings'!$AW$113))</f>
      </c>
      <c r="V111" s="29">
        <f>IF(OR(106&gt;$Z$1,NOT(OR('Your debts'!$B$14&lt;&gt;"",N('Your debts'!$C$14)&gt;0))),"",IF('Your debts'!$D$20="Avalanche",'Avalanche workings'!$T$113,'Snowball workings'!$T$113)+IF('Your debts'!$D$20="Avalanche",'Avalanche workings'!$AN$113,'Snowball workings'!$AN$113))</f>
      </c>
      <c r="W111" s="30">
        <f>IF(OR(106&gt;$Z$1,NOT(OR('Your debts'!$B$14&lt;&gt;"",N('Your debts'!$C$14)&gt;0))),"",IF('Your debts'!$D$20="Avalanche",'Avalanche workings'!$AX$113,'Snowball workings'!$AX$113))</f>
      </c>
      <c r="X111" s="29">
        <f>IF(OR(106&gt;$Z$1,NOT(OR('Your debts'!$B$15&lt;&gt;"",N('Your debts'!$C$15)&gt;0))),"",IF('Your debts'!$D$20="Avalanche",'Avalanche workings'!$U$113,'Snowball workings'!$U$113)+IF('Your debts'!$D$20="Avalanche",'Avalanche workings'!$AO$113,'Snowball workings'!$AO$113))</f>
      </c>
      <c r="Y111" s="30">
        <f>IF(OR(106&gt;$Z$1,NOT(OR('Your debts'!$B$15&lt;&gt;"",N('Your debts'!$C$15)&gt;0))),"",IF('Your debts'!$D$20="Avalanche",'Avalanche workings'!$AY$113,'Snowball workings'!$AY$113))</f>
      </c>
    </row>
    <row r="112" spans="1:25" x14ac:dyDescent="0.25">
      <c r="A112" s="2">
        <f>IF(107&gt;$Z$1,"",107)</f>
      </c>
      <c r="B112" s="28">
        <f>IF(107&gt;$Z$1,"",EDATE('Your debts'!$D$21,106))</f>
      </c>
      <c r="C112" s="29">
        <f>IF(107&gt;$Z$1,"",IF('Your debts'!$D$20="Avalanche",'Avalanche workings'!$BC$114,'Snowball workings'!$BC$114))</f>
      </c>
      <c r="D112" s="29">
        <f>IF(107&gt;$Z$1,"",IF('Your debts'!$D$20="Avalanche",'Avalanche workings'!$BA$114,'Snowball workings'!$BA$114))</f>
      </c>
      <c r="E112" s="29">
        <f>IF(107&gt;$Z$1,"",IF('Your debts'!$D$20="Avalanche",'Avalanche workings'!$BB$114,'Snowball workings'!$BB$114))</f>
      </c>
      <c r="F112" s="29">
        <f>IF(OR(107&gt;$Z$1,NOT(OR('Your debts'!$B$6&lt;&gt;"",N('Your debts'!$C$6)&gt;0))),"",IF('Your debts'!$D$20="Avalanche",'Avalanche workings'!$L$114,'Snowball workings'!$L$114)+IF('Your debts'!$D$20="Avalanche",'Avalanche workings'!$AF$114,'Snowball workings'!$AF$114))</f>
      </c>
      <c r="G112" s="30">
        <f>IF(OR(107&gt;$Z$1,NOT(OR('Your debts'!$B$6&lt;&gt;"",N('Your debts'!$C$6)&gt;0))),"",IF('Your debts'!$D$20="Avalanche",'Avalanche workings'!$AP$114,'Snowball workings'!$AP$114))</f>
      </c>
      <c r="H112" s="29">
        <f>IF(OR(107&gt;$Z$1,NOT(OR('Your debts'!$B$7&lt;&gt;"",N('Your debts'!$C$7)&gt;0))),"",IF('Your debts'!$D$20="Avalanche",'Avalanche workings'!$M$114,'Snowball workings'!$M$114)+IF('Your debts'!$D$20="Avalanche",'Avalanche workings'!$AG$114,'Snowball workings'!$AG$114))</f>
      </c>
      <c r="I112" s="30">
        <f>IF(OR(107&gt;$Z$1,NOT(OR('Your debts'!$B$7&lt;&gt;"",N('Your debts'!$C$7)&gt;0))),"",IF('Your debts'!$D$20="Avalanche",'Avalanche workings'!$AQ$114,'Snowball workings'!$AQ$114))</f>
      </c>
      <c r="J112" s="29">
        <f>IF(OR(107&gt;$Z$1,NOT(OR('Your debts'!$B$8&lt;&gt;"",N('Your debts'!$C$8)&gt;0))),"",IF('Your debts'!$D$20="Avalanche",'Avalanche workings'!$N$114,'Snowball workings'!$N$114)+IF('Your debts'!$D$20="Avalanche",'Avalanche workings'!$AH$114,'Snowball workings'!$AH$114))</f>
      </c>
      <c r="K112" s="30">
        <f>IF(OR(107&gt;$Z$1,NOT(OR('Your debts'!$B$8&lt;&gt;"",N('Your debts'!$C$8)&gt;0))),"",IF('Your debts'!$D$20="Avalanche",'Avalanche workings'!$AR$114,'Snowball workings'!$AR$114))</f>
      </c>
      <c r="L112" s="29">
        <f>IF(OR(107&gt;$Z$1,NOT(OR('Your debts'!$B$9&lt;&gt;"",N('Your debts'!$C$9)&gt;0))),"",IF('Your debts'!$D$20="Avalanche",'Avalanche workings'!$O$114,'Snowball workings'!$O$114)+IF('Your debts'!$D$20="Avalanche",'Avalanche workings'!$AI$114,'Snowball workings'!$AI$114))</f>
      </c>
      <c r="M112" s="30">
        <f>IF(OR(107&gt;$Z$1,NOT(OR('Your debts'!$B$9&lt;&gt;"",N('Your debts'!$C$9)&gt;0))),"",IF('Your debts'!$D$20="Avalanche",'Avalanche workings'!$AS$114,'Snowball workings'!$AS$114))</f>
      </c>
      <c r="N112" s="29">
        <f>IF(OR(107&gt;$Z$1,NOT(OR('Your debts'!$B$10&lt;&gt;"",N('Your debts'!$C$10)&gt;0))),"",IF('Your debts'!$D$20="Avalanche",'Avalanche workings'!$P$114,'Snowball workings'!$P$114)+IF('Your debts'!$D$20="Avalanche",'Avalanche workings'!$AJ$114,'Snowball workings'!$AJ$114))</f>
      </c>
      <c r="O112" s="30">
        <f>IF(OR(107&gt;$Z$1,NOT(OR('Your debts'!$B$10&lt;&gt;"",N('Your debts'!$C$10)&gt;0))),"",IF('Your debts'!$D$20="Avalanche",'Avalanche workings'!$AT$114,'Snowball workings'!$AT$114))</f>
      </c>
      <c r="P112" s="29">
        <f>IF(OR(107&gt;$Z$1,NOT(OR('Your debts'!$B$11&lt;&gt;"",N('Your debts'!$C$11)&gt;0))),"",IF('Your debts'!$D$20="Avalanche",'Avalanche workings'!$Q$114,'Snowball workings'!$Q$114)+IF('Your debts'!$D$20="Avalanche",'Avalanche workings'!$AK$114,'Snowball workings'!$AK$114))</f>
      </c>
      <c r="Q112" s="30">
        <f>IF(OR(107&gt;$Z$1,NOT(OR('Your debts'!$B$11&lt;&gt;"",N('Your debts'!$C$11)&gt;0))),"",IF('Your debts'!$D$20="Avalanche",'Avalanche workings'!$AU$114,'Snowball workings'!$AU$114))</f>
      </c>
      <c r="R112" s="29">
        <f>IF(OR(107&gt;$Z$1,NOT(OR('Your debts'!$B$12&lt;&gt;"",N('Your debts'!$C$12)&gt;0))),"",IF('Your debts'!$D$20="Avalanche",'Avalanche workings'!$R$114,'Snowball workings'!$R$114)+IF('Your debts'!$D$20="Avalanche",'Avalanche workings'!$AL$114,'Snowball workings'!$AL$114))</f>
      </c>
      <c r="S112" s="30">
        <f>IF(OR(107&gt;$Z$1,NOT(OR('Your debts'!$B$12&lt;&gt;"",N('Your debts'!$C$12)&gt;0))),"",IF('Your debts'!$D$20="Avalanche",'Avalanche workings'!$AV$114,'Snowball workings'!$AV$114))</f>
      </c>
      <c r="T112" s="29">
        <f>IF(OR(107&gt;$Z$1,NOT(OR('Your debts'!$B$13&lt;&gt;"",N('Your debts'!$C$13)&gt;0))),"",IF('Your debts'!$D$20="Avalanche",'Avalanche workings'!$S$114,'Snowball workings'!$S$114)+IF('Your debts'!$D$20="Avalanche",'Avalanche workings'!$AM$114,'Snowball workings'!$AM$114))</f>
      </c>
      <c r="U112" s="30">
        <f>IF(OR(107&gt;$Z$1,NOT(OR('Your debts'!$B$13&lt;&gt;"",N('Your debts'!$C$13)&gt;0))),"",IF('Your debts'!$D$20="Avalanche",'Avalanche workings'!$AW$114,'Snowball workings'!$AW$114))</f>
      </c>
      <c r="V112" s="29">
        <f>IF(OR(107&gt;$Z$1,NOT(OR('Your debts'!$B$14&lt;&gt;"",N('Your debts'!$C$14)&gt;0))),"",IF('Your debts'!$D$20="Avalanche",'Avalanche workings'!$T$114,'Snowball workings'!$T$114)+IF('Your debts'!$D$20="Avalanche",'Avalanche workings'!$AN$114,'Snowball workings'!$AN$114))</f>
      </c>
      <c r="W112" s="30">
        <f>IF(OR(107&gt;$Z$1,NOT(OR('Your debts'!$B$14&lt;&gt;"",N('Your debts'!$C$14)&gt;0))),"",IF('Your debts'!$D$20="Avalanche",'Avalanche workings'!$AX$114,'Snowball workings'!$AX$114))</f>
      </c>
      <c r="X112" s="29">
        <f>IF(OR(107&gt;$Z$1,NOT(OR('Your debts'!$B$15&lt;&gt;"",N('Your debts'!$C$15)&gt;0))),"",IF('Your debts'!$D$20="Avalanche",'Avalanche workings'!$U$114,'Snowball workings'!$U$114)+IF('Your debts'!$D$20="Avalanche",'Avalanche workings'!$AO$114,'Snowball workings'!$AO$114))</f>
      </c>
      <c r="Y112" s="30">
        <f>IF(OR(107&gt;$Z$1,NOT(OR('Your debts'!$B$15&lt;&gt;"",N('Your debts'!$C$15)&gt;0))),"",IF('Your debts'!$D$20="Avalanche",'Avalanche workings'!$AY$114,'Snowball workings'!$AY$114))</f>
      </c>
    </row>
    <row r="113" spans="1:25" x14ac:dyDescent="0.25">
      <c r="A113" s="2">
        <f>IF(108&gt;$Z$1,"",108)</f>
      </c>
      <c r="B113" s="28">
        <f>IF(108&gt;$Z$1,"",EDATE('Your debts'!$D$21,107))</f>
      </c>
      <c r="C113" s="29">
        <f>IF(108&gt;$Z$1,"",IF('Your debts'!$D$20="Avalanche",'Avalanche workings'!$BC$115,'Snowball workings'!$BC$115))</f>
      </c>
      <c r="D113" s="29">
        <f>IF(108&gt;$Z$1,"",IF('Your debts'!$D$20="Avalanche",'Avalanche workings'!$BA$115,'Snowball workings'!$BA$115))</f>
      </c>
      <c r="E113" s="29">
        <f>IF(108&gt;$Z$1,"",IF('Your debts'!$D$20="Avalanche",'Avalanche workings'!$BB$115,'Snowball workings'!$BB$115))</f>
      </c>
      <c r="F113" s="29">
        <f>IF(OR(108&gt;$Z$1,NOT(OR('Your debts'!$B$6&lt;&gt;"",N('Your debts'!$C$6)&gt;0))),"",IF('Your debts'!$D$20="Avalanche",'Avalanche workings'!$L$115,'Snowball workings'!$L$115)+IF('Your debts'!$D$20="Avalanche",'Avalanche workings'!$AF$115,'Snowball workings'!$AF$115))</f>
      </c>
      <c r="G113" s="30">
        <f>IF(OR(108&gt;$Z$1,NOT(OR('Your debts'!$B$6&lt;&gt;"",N('Your debts'!$C$6)&gt;0))),"",IF('Your debts'!$D$20="Avalanche",'Avalanche workings'!$AP$115,'Snowball workings'!$AP$115))</f>
      </c>
      <c r="H113" s="29">
        <f>IF(OR(108&gt;$Z$1,NOT(OR('Your debts'!$B$7&lt;&gt;"",N('Your debts'!$C$7)&gt;0))),"",IF('Your debts'!$D$20="Avalanche",'Avalanche workings'!$M$115,'Snowball workings'!$M$115)+IF('Your debts'!$D$20="Avalanche",'Avalanche workings'!$AG$115,'Snowball workings'!$AG$115))</f>
      </c>
      <c r="I113" s="30">
        <f>IF(OR(108&gt;$Z$1,NOT(OR('Your debts'!$B$7&lt;&gt;"",N('Your debts'!$C$7)&gt;0))),"",IF('Your debts'!$D$20="Avalanche",'Avalanche workings'!$AQ$115,'Snowball workings'!$AQ$115))</f>
      </c>
      <c r="J113" s="29">
        <f>IF(OR(108&gt;$Z$1,NOT(OR('Your debts'!$B$8&lt;&gt;"",N('Your debts'!$C$8)&gt;0))),"",IF('Your debts'!$D$20="Avalanche",'Avalanche workings'!$N$115,'Snowball workings'!$N$115)+IF('Your debts'!$D$20="Avalanche",'Avalanche workings'!$AH$115,'Snowball workings'!$AH$115))</f>
      </c>
      <c r="K113" s="30">
        <f>IF(OR(108&gt;$Z$1,NOT(OR('Your debts'!$B$8&lt;&gt;"",N('Your debts'!$C$8)&gt;0))),"",IF('Your debts'!$D$20="Avalanche",'Avalanche workings'!$AR$115,'Snowball workings'!$AR$115))</f>
      </c>
      <c r="L113" s="29">
        <f>IF(OR(108&gt;$Z$1,NOT(OR('Your debts'!$B$9&lt;&gt;"",N('Your debts'!$C$9)&gt;0))),"",IF('Your debts'!$D$20="Avalanche",'Avalanche workings'!$O$115,'Snowball workings'!$O$115)+IF('Your debts'!$D$20="Avalanche",'Avalanche workings'!$AI$115,'Snowball workings'!$AI$115))</f>
      </c>
      <c r="M113" s="30">
        <f>IF(OR(108&gt;$Z$1,NOT(OR('Your debts'!$B$9&lt;&gt;"",N('Your debts'!$C$9)&gt;0))),"",IF('Your debts'!$D$20="Avalanche",'Avalanche workings'!$AS$115,'Snowball workings'!$AS$115))</f>
      </c>
      <c r="N113" s="29">
        <f>IF(OR(108&gt;$Z$1,NOT(OR('Your debts'!$B$10&lt;&gt;"",N('Your debts'!$C$10)&gt;0))),"",IF('Your debts'!$D$20="Avalanche",'Avalanche workings'!$P$115,'Snowball workings'!$P$115)+IF('Your debts'!$D$20="Avalanche",'Avalanche workings'!$AJ$115,'Snowball workings'!$AJ$115))</f>
      </c>
      <c r="O113" s="30">
        <f>IF(OR(108&gt;$Z$1,NOT(OR('Your debts'!$B$10&lt;&gt;"",N('Your debts'!$C$10)&gt;0))),"",IF('Your debts'!$D$20="Avalanche",'Avalanche workings'!$AT$115,'Snowball workings'!$AT$115))</f>
      </c>
      <c r="P113" s="29">
        <f>IF(OR(108&gt;$Z$1,NOT(OR('Your debts'!$B$11&lt;&gt;"",N('Your debts'!$C$11)&gt;0))),"",IF('Your debts'!$D$20="Avalanche",'Avalanche workings'!$Q$115,'Snowball workings'!$Q$115)+IF('Your debts'!$D$20="Avalanche",'Avalanche workings'!$AK$115,'Snowball workings'!$AK$115))</f>
      </c>
      <c r="Q113" s="30">
        <f>IF(OR(108&gt;$Z$1,NOT(OR('Your debts'!$B$11&lt;&gt;"",N('Your debts'!$C$11)&gt;0))),"",IF('Your debts'!$D$20="Avalanche",'Avalanche workings'!$AU$115,'Snowball workings'!$AU$115))</f>
      </c>
      <c r="R113" s="29">
        <f>IF(OR(108&gt;$Z$1,NOT(OR('Your debts'!$B$12&lt;&gt;"",N('Your debts'!$C$12)&gt;0))),"",IF('Your debts'!$D$20="Avalanche",'Avalanche workings'!$R$115,'Snowball workings'!$R$115)+IF('Your debts'!$D$20="Avalanche",'Avalanche workings'!$AL$115,'Snowball workings'!$AL$115))</f>
      </c>
      <c r="S113" s="30">
        <f>IF(OR(108&gt;$Z$1,NOT(OR('Your debts'!$B$12&lt;&gt;"",N('Your debts'!$C$12)&gt;0))),"",IF('Your debts'!$D$20="Avalanche",'Avalanche workings'!$AV$115,'Snowball workings'!$AV$115))</f>
      </c>
      <c r="T113" s="29">
        <f>IF(OR(108&gt;$Z$1,NOT(OR('Your debts'!$B$13&lt;&gt;"",N('Your debts'!$C$13)&gt;0))),"",IF('Your debts'!$D$20="Avalanche",'Avalanche workings'!$S$115,'Snowball workings'!$S$115)+IF('Your debts'!$D$20="Avalanche",'Avalanche workings'!$AM$115,'Snowball workings'!$AM$115))</f>
      </c>
      <c r="U113" s="30">
        <f>IF(OR(108&gt;$Z$1,NOT(OR('Your debts'!$B$13&lt;&gt;"",N('Your debts'!$C$13)&gt;0))),"",IF('Your debts'!$D$20="Avalanche",'Avalanche workings'!$AW$115,'Snowball workings'!$AW$115))</f>
      </c>
      <c r="V113" s="29">
        <f>IF(OR(108&gt;$Z$1,NOT(OR('Your debts'!$B$14&lt;&gt;"",N('Your debts'!$C$14)&gt;0))),"",IF('Your debts'!$D$20="Avalanche",'Avalanche workings'!$T$115,'Snowball workings'!$T$115)+IF('Your debts'!$D$20="Avalanche",'Avalanche workings'!$AN$115,'Snowball workings'!$AN$115))</f>
      </c>
      <c r="W113" s="30">
        <f>IF(OR(108&gt;$Z$1,NOT(OR('Your debts'!$B$14&lt;&gt;"",N('Your debts'!$C$14)&gt;0))),"",IF('Your debts'!$D$20="Avalanche",'Avalanche workings'!$AX$115,'Snowball workings'!$AX$115))</f>
      </c>
      <c r="X113" s="29">
        <f>IF(OR(108&gt;$Z$1,NOT(OR('Your debts'!$B$15&lt;&gt;"",N('Your debts'!$C$15)&gt;0))),"",IF('Your debts'!$D$20="Avalanche",'Avalanche workings'!$U$115,'Snowball workings'!$U$115)+IF('Your debts'!$D$20="Avalanche",'Avalanche workings'!$AO$115,'Snowball workings'!$AO$115))</f>
      </c>
      <c r="Y113" s="30">
        <f>IF(OR(108&gt;$Z$1,NOT(OR('Your debts'!$B$15&lt;&gt;"",N('Your debts'!$C$15)&gt;0))),"",IF('Your debts'!$D$20="Avalanche",'Avalanche workings'!$AY$115,'Snowball workings'!$AY$115))</f>
      </c>
    </row>
    <row r="114" spans="1:25" x14ac:dyDescent="0.25">
      <c r="A114" s="2">
        <f>IF(109&gt;$Z$1,"",109)</f>
      </c>
      <c r="B114" s="28">
        <f>IF(109&gt;$Z$1,"",EDATE('Your debts'!$D$21,108))</f>
      </c>
      <c r="C114" s="29">
        <f>IF(109&gt;$Z$1,"",IF('Your debts'!$D$20="Avalanche",'Avalanche workings'!$BC$116,'Snowball workings'!$BC$116))</f>
      </c>
      <c r="D114" s="29">
        <f>IF(109&gt;$Z$1,"",IF('Your debts'!$D$20="Avalanche",'Avalanche workings'!$BA$116,'Snowball workings'!$BA$116))</f>
      </c>
      <c r="E114" s="29">
        <f>IF(109&gt;$Z$1,"",IF('Your debts'!$D$20="Avalanche",'Avalanche workings'!$BB$116,'Snowball workings'!$BB$116))</f>
      </c>
      <c r="F114" s="29">
        <f>IF(OR(109&gt;$Z$1,NOT(OR('Your debts'!$B$6&lt;&gt;"",N('Your debts'!$C$6)&gt;0))),"",IF('Your debts'!$D$20="Avalanche",'Avalanche workings'!$L$116,'Snowball workings'!$L$116)+IF('Your debts'!$D$20="Avalanche",'Avalanche workings'!$AF$116,'Snowball workings'!$AF$116))</f>
      </c>
      <c r="G114" s="30">
        <f>IF(OR(109&gt;$Z$1,NOT(OR('Your debts'!$B$6&lt;&gt;"",N('Your debts'!$C$6)&gt;0))),"",IF('Your debts'!$D$20="Avalanche",'Avalanche workings'!$AP$116,'Snowball workings'!$AP$116))</f>
      </c>
      <c r="H114" s="29">
        <f>IF(OR(109&gt;$Z$1,NOT(OR('Your debts'!$B$7&lt;&gt;"",N('Your debts'!$C$7)&gt;0))),"",IF('Your debts'!$D$20="Avalanche",'Avalanche workings'!$M$116,'Snowball workings'!$M$116)+IF('Your debts'!$D$20="Avalanche",'Avalanche workings'!$AG$116,'Snowball workings'!$AG$116))</f>
      </c>
      <c r="I114" s="30">
        <f>IF(OR(109&gt;$Z$1,NOT(OR('Your debts'!$B$7&lt;&gt;"",N('Your debts'!$C$7)&gt;0))),"",IF('Your debts'!$D$20="Avalanche",'Avalanche workings'!$AQ$116,'Snowball workings'!$AQ$116))</f>
      </c>
      <c r="J114" s="29">
        <f>IF(OR(109&gt;$Z$1,NOT(OR('Your debts'!$B$8&lt;&gt;"",N('Your debts'!$C$8)&gt;0))),"",IF('Your debts'!$D$20="Avalanche",'Avalanche workings'!$N$116,'Snowball workings'!$N$116)+IF('Your debts'!$D$20="Avalanche",'Avalanche workings'!$AH$116,'Snowball workings'!$AH$116))</f>
      </c>
      <c r="K114" s="30">
        <f>IF(OR(109&gt;$Z$1,NOT(OR('Your debts'!$B$8&lt;&gt;"",N('Your debts'!$C$8)&gt;0))),"",IF('Your debts'!$D$20="Avalanche",'Avalanche workings'!$AR$116,'Snowball workings'!$AR$116))</f>
      </c>
      <c r="L114" s="29">
        <f>IF(OR(109&gt;$Z$1,NOT(OR('Your debts'!$B$9&lt;&gt;"",N('Your debts'!$C$9)&gt;0))),"",IF('Your debts'!$D$20="Avalanche",'Avalanche workings'!$O$116,'Snowball workings'!$O$116)+IF('Your debts'!$D$20="Avalanche",'Avalanche workings'!$AI$116,'Snowball workings'!$AI$116))</f>
      </c>
      <c r="M114" s="30">
        <f>IF(OR(109&gt;$Z$1,NOT(OR('Your debts'!$B$9&lt;&gt;"",N('Your debts'!$C$9)&gt;0))),"",IF('Your debts'!$D$20="Avalanche",'Avalanche workings'!$AS$116,'Snowball workings'!$AS$116))</f>
      </c>
      <c r="N114" s="29">
        <f>IF(OR(109&gt;$Z$1,NOT(OR('Your debts'!$B$10&lt;&gt;"",N('Your debts'!$C$10)&gt;0))),"",IF('Your debts'!$D$20="Avalanche",'Avalanche workings'!$P$116,'Snowball workings'!$P$116)+IF('Your debts'!$D$20="Avalanche",'Avalanche workings'!$AJ$116,'Snowball workings'!$AJ$116))</f>
      </c>
      <c r="O114" s="30">
        <f>IF(OR(109&gt;$Z$1,NOT(OR('Your debts'!$B$10&lt;&gt;"",N('Your debts'!$C$10)&gt;0))),"",IF('Your debts'!$D$20="Avalanche",'Avalanche workings'!$AT$116,'Snowball workings'!$AT$116))</f>
      </c>
      <c r="P114" s="29">
        <f>IF(OR(109&gt;$Z$1,NOT(OR('Your debts'!$B$11&lt;&gt;"",N('Your debts'!$C$11)&gt;0))),"",IF('Your debts'!$D$20="Avalanche",'Avalanche workings'!$Q$116,'Snowball workings'!$Q$116)+IF('Your debts'!$D$20="Avalanche",'Avalanche workings'!$AK$116,'Snowball workings'!$AK$116))</f>
      </c>
      <c r="Q114" s="30">
        <f>IF(OR(109&gt;$Z$1,NOT(OR('Your debts'!$B$11&lt;&gt;"",N('Your debts'!$C$11)&gt;0))),"",IF('Your debts'!$D$20="Avalanche",'Avalanche workings'!$AU$116,'Snowball workings'!$AU$116))</f>
      </c>
      <c r="R114" s="29">
        <f>IF(OR(109&gt;$Z$1,NOT(OR('Your debts'!$B$12&lt;&gt;"",N('Your debts'!$C$12)&gt;0))),"",IF('Your debts'!$D$20="Avalanche",'Avalanche workings'!$R$116,'Snowball workings'!$R$116)+IF('Your debts'!$D$20="Avalanche",'Avalanche workings'!$AL$116,'Snowball workings'!$AL$116))</f>
      </c>
      <c r="S114" s="30">
        <f>IF(OR(109&gt;$Z$1,NOT(OR('Your debts'!$B$12&lt;&gt;"",N('Your debts'!$C$12)&gt;0))),"",IF('Your debts'!$D$20="Avalanche",'Avalanche workings'!$AV$116,'Snowball workings'!$AV$116))</f>
      </c>
      <c r="T114" s="29">
        <f>IF(OR(109&gt;$Z$1,NOT(OR('Your debts'!$B$13&lt;&gt;"",N('Your debts'!$C$13)&gt;0))),"",IF('Your debts'!$D$20="Avalanche",'Avalanche workings'!$S$116,'Snowball workings'!$S$116)+IF('Your debts'!$D$20="Avalanche",'Avalanche workings'!$AM$116,'Snowball workings'!$AM$116))</f>
      </c>
      <c r="U114" s="30">
        <f>IF(OR(109&gt;$Z$1,NOT(OR('Your debts'!$B$13&lt;&gt;"",N('Your debts'!$C$13)&gt;0))),"",IF('Your debts'!$D$20="Avalanche",'Avalanche workings'!$AW$116,'Snowball workings'!$AW$116))</f>
      </c>
      <c r="V114" s="29">
        <f>IF(OR(109&gt;$Z$1,NOT(OR('Your debts'!$B$14&lt;&gt;"",N('Your debts'!$C$14)&gt;0))),"",IF('Your debts'!$D$20="Avalanche",'Avalanche workings'!$T$116,'Snowball workings'!$T$116)+IF('Your debts'!$D$20="Avalanche",'Avalanche workings'!$AN$116,'Snowball workings'!$AN$116))</f>
      </c>
      <c r="W114" s="30">
        <f>IF(OR(109&gt;$Z$1,NOT(OR('Your debts'!$B$14&lt;&gt;"",N('Your debts'!$C$14)&gt;0))),"",IF('Your debts'!$D$20="Avalanche",'Avalanche workings'!$AX$116,'Snowball workings'!$AX$116))</f>
      </c>
      <c r="X114" s="29">
        <f>IF(OR(109&gt;$Z$1,NOT(OR('Your debts'!$B$15&lt;&gt;"",N('Your debts'!$C$15)&gt;0))),"",IF('Your debts'!$D$20="Avalanche",'Avalanche workings'!$U$116,'Snowball workings'!$U$116)+IF('Your debts'!$D$20="Avalanche",'Avalanche workings'!$AO$116,'Snowball workings'!$AO$116))</f>
      </c>
      <c r="Y114" s="30">
        <f>IF(OR(109&gt;$Z$1,NOT(OR('Your debts'!$B$15&lt;&gt;"",N('Your debts'!$C$15)&gt;0))),"",IF('Your debts'!$D$20="Avalanche",'Avalanche workings'!$AY$116,'Snowball workings'!$AY$116))</f>
      </c>
    </row>
    <row r="115" spans="1:25" x14ac:dyDescent="0.25">
      <c r="A115" s="2">
        <f>IF(110&gt;$Z$1,"",110)</f>
      </c>
      <c r="B115" s="28">
        <f>IF(110&gt;$Z$1,"",EDATE('Your debts'!$D$21,109))</f>
      </c>
      <c r="C115" s="29">
        <f>IF(110&gt;$Z$1,"",IF('Your debts'!$D$20="Avalanche",'Avalanche workings'!$BC$117,'Snowball workings'!$BC$117))</f>
      </c>
      <c r="D115" s="29">
        <f>IF(110&gt;$Z$1,"",IF('Your debts'!$D$20="Avalanche",'Avalanche workings'!$BA$117,'Snowball workings'!$BA$117))</f>
      </c>
      <c r="E115" s="29">
        <f>IF(110&gt;$Z$1,"",IF('Your debts'!$D$20="Avalanche",'Avalanche workings'!$BB$117,'Snowball workings'!$BB$117))</f>
      </c>
      <c r="F115" s="29">
        <f>IF(OR(110&gt;$Z$1,NOT(OR('Your debts'!$B$6&lt;&gt;"",N('Your debts'!$C$6)&gt;0))),"",IF('Your debts'!$D$20="Avalanche",'Avalanche workings'!$L$117,'Snowball workings'!$L$117)+IF('Your debts'!$D$20="Avalanche",'Avalanche workings'!$AF$117,'Snowball workings'!$AF$117))</f>
      </c>
      <c r="G115" s="30">
        <f>IF(OR(110&gt;$Z$1,NOT(OR('Your debts'!$B$6&lt;&gt;"",N('Your debts'!$C$6)&gt;0))),"",IF('Your debts'!$D$20="Avalanche",'Avalanche workings'!$AP$117,'Snowball workings'!$AP$117))</f>
      </c>
      <c r="H115" s="29">
        <f>IF(OR(110&gt;$Z$1,NOT(OR('Your debts'!$B$7&lt;&gt;"",N('Your debts'!$C$7)&gt;0))),"",IF('Your debts'!$D$20="Avalanche",'Avalanche workings'!$M$117,'Snowball workings'!$M$117)+IF('Your debts'!$D$20="Avalanche",'Avalanche workings'!$AG$117,'Snowball workings'!$AG$117))</f>
      </c>
      <c r="I115" s="30">
        <f>IF(OR(110&gt;$Z$1,NOT(OR('Your debts'!$B$7&lt;&gt;"",N('Your debts'!$C$7)&gt;0))),"",IF('Your debts'!$D$20="Avalanche",'Avalanche workings'!$AQ$117,'Snowball workings'!$AQ$117))</f>
      </c>
      <c r="J115" s="29">
        <f>IF(OR(110&gt;$Z$1,NOT(OR('Your debts'!$B$8&lt;&gt;"",N('Your debts'!$C$8)&gt;0))),"",IF('Your debts'!$D$20="Avalanche",'Avalanche workings'!$N$117,'Snowball workings'!$N$117)+IF('Your debts'!$D$20="Avalanche",'Avalanche workings'!$AH$117,'Snowball workings'!$AH$117))</f>
      </c>
      <c r="K115" s="30">
        <f>IF(OR(110&gt;$Z$1,NOT(OR('Your debts'!$B$8&lt;&gt;"",N('Your debts'!$C$8)&gt;0))),"",IF('Your debts'!$D$20="Avalanche",'Avalanche workings'!$AR$117,'Snowball workings'!$AR$117))</f>
      </c>
      <c r="L115" s="29">
        <f>IF(OR(110&gt;$Z$1,NOT(OR('Your debts'!$B$9&lt;&gt;"",N('Your debts'!$C$9)&gt;0))),"",IF('Your debts'!$D$20="Avalanche",'Avalanche workings'!$O$117,'Snowball workings'!$O$117)+IF('Your debts'!$D$20="Avalanche",'Avalanche workings'!$AI$117,'Snowball workings'!$AI$117))</f>
      </c>
      <c r="M115" s="30">
        <f>IF(OR(110&gt;$Z$1,NOT(OR('Your debts'!$B$9&lt;&gt;"",N('Your debts'!$C$9)&gt;0))),"",IF('Your debts'!$D$20="Avalanche",'Avalanche workings'!$AS$117,'Snowball workings'!$AS$117))</f>
      </c>
      <c r="N115" s="29">
        <f>IF(OR(110&gt;$Z$1,NOT(OR('Your debts'!$B$10&lt;&gt;"",N('Your debts'!$C$10)&gt;0))),"",IF('Your debts'!$D$20="Avalanche",'Avalanche workings'!$P$117,'Snowball workings'!$P$117)+IF('Your debts'!$D$20="Avalanche",'Avalanche workings'!$AJ$117,'Snowball workings'!$AJ$117))</f>
      </c>
      <c r="O115" s="30">
        <f>IF(OR(110&gt;$Z$1,NOT(OR('Your debts'!$B$10&lt;&gt;"",N('Your debts'!$C$10)&gt;0))),"",IF('Your debts'!$D$20="Avalanche",'Avalanche workings'!$AT$117,'Snowball workings'!$AT$117))</f>
      </c>
      <c r="P115" s="29">
        <f>IF(OR(110&gt;$Z$1,NOT(OR('Your debts'!$B$11&lt;&gt;"",N('Your debts'!$C$11)&gt;0))),"",IF('Your debts'!$D$20="Avalanche",'Avalanche workings'!$Q$117,'Snowball workings'!$Q$117)+IF('Your debts'!$D$20="Avalanche",'Avalanche workings'!$AK$117,'Snowball workings'!$AK$117))</f>
      </c>
      <c r="Q115" s="30">
        <f>IF(OR(110&gt;$Z$1,NOT(OR('Your debts'!$B$11&lt;&gt;"",N('Your debts'!$C$11)&gt;0))),"",IF('Your debts'!$D$20="Avalanche",'Avalanche workings'!$AU$117,'Snowball workings'!$AU$117))</f>
      </c>
      <c r="R115" s="29">
        <f>IF(OR(110&gt;$Z$1,NOT(OR('Your debts'!$B$12&lt;&gt;"",N('Your debts'!$C$12)&gt;0))),"",IF('Your debts'!$D$20="Avalanche",'Avalanche workings'!$R$117,'Snowball workings'!$R$117)+IF('Your debts'!$D$20="Avalanche",'Avalanche workings'!$AL$117,'Snowball workings'!$AL$117))</f>
      </c>
      <c r="S115" s="30">
        <f>IF(OR(110&gt;$Z$1,NOT(OR('Your debts'!$B$12&lt;&gt;"",N('Your debts'!$C$12)&gt;0))),"",IF('Your debts'!$D$20="Avalanche",'Avalanche workings'!$AV$117,'Snowball workings'!$AV$117))</f>
      </c>
      <c r="T115" s="29">
        <f>IF(OR(110&gt;$Z$1,NOT(OR('Your debts'!$B$13&lt;&gt;"",N('Your debts'!$C$13)&gt;0))),"",IF('Your debts'!$D$20="Avalanche",'Avalanche workings'!$S$117,'Snowball workings'!$S$117)+IF('Your debts'!$D$20="Avalanche",'Avalanche workings'!$AM$117,'Snowball workings'!$AM$117))</f>
      </c>
      <c r="U115" s="30">
        <f>IF(OR(110&gt;$Z$1,NOT(OR('Your debts'!$B$13&lt;&gt;"",N('Your debts'!$C$13)&gt;0))),"",IF('Your debts'!$D$20="Avalanche",'Avalanche workings'!$AW$117,'Snowball workings'!$AW$117))</f>
      </c>
      <c r="V115" s="29">
        <f>IF(OR(110&gt;$Z$1,NOT(OR('Your debts'!$B$14&lt;&gt;"",N('Your debts'!$C$14)&gt;0))),"",IF('Your debts'!$D$20="Avalanche",'Avalanche workings'!$T$117,'Snowball workings'!$T$117)+IF('Your debts'!$D$20="Avalanche",'Avalanche workings'!$AN$117,'Snowball workings'!$AN$117))</f>
      </c>
      <c r="W115" s="30">
        <f>IF(OR(110&gt;$Z$1,NOT(OR('Your debts'!$B$14&lt;&gt;"",N('Your debts'!$C$14)&gt;0))),"",IF('Your debts'!$D$20="Avalanche",'Avalanche workings'!$AX$117,'Snowball workings'!$AX$117))</f>
      </c>
      <c r="X115" s="29">
        <f>IF(OR(110&gt;$Z$1,NOT(OR('Your debts'!$B$15&lt;&gt;"",N('Your debts'!$C$15)&gt;0))),"",IF('Your debts'!$D$20="Avalanche",'Avalanche workings'!$U$117,'Snowball workings'!$U$117)+IF('Your debts'!$D$20="Avalanche",'Avalanche workings'!$AO$117,'Snowball workings'!$AO$117))</f>
      </c>
      <c r="Y115" s="30">
        <f>IF(OR(110&gt;$Z$1,NOT(OR('Your debts'!$B$15&lt;&gt;"",N('Your debts'!$C$15)&gt;0))),"",IF('Your debts'!$D$20="Avalanche",'Avalanche workings'!$AY$117,'Snowball workings'!$AY$117))</f>
      </c>
    </row>
    <row r="116" spans="1:25" x14ac:dyDescent="0.25">
      <c r="A116" s="2">
        <f>IF(111&gt;$Z$1,"",111)</f>
      </c>
      <c r="B116" s="28">
        <f>IF(111&gt;$Z$1,"",EDATE('Your debts'!$D$21,110))</f>
      </c>
      <c r="C116" s="29">
        <f>IF(111&gt;$Z$1,"",IF('Your debts'!$D$20="Avalanche",'Avalanche workings'!$BC$118,'Snowball workings'!$BC$118))</f>
      </c>
      <c r="D116" s="29">
        <f>IF(111&gt;$Z$1,"",IF('Your debts'!$D$20="Avalanche",'Avalanche workings'!$BA$118,'Snowball workings'!$BA$118))</f>
      </c>
      <c r="E116" s="29">
        <f>IF(111&gt;$Z$1,"",IF('Your debts'!$D$20="Avalanche",'Avalanche workings'!$BB$118,'Snowball workings'!$BB$118))</f>
      </c>
      <c r="F116" s="29">
        <f>IF(OR(111&gt;$Z$1,NOT(OR('Your debts'!$B$6&lt;&gt;"",N('Your debts'!$C$6)&gt;0))),"",IF('Your debts'!$D$20="Avalanche",'Avalanche workings'!$L$118,'Snowball workings'!$L$118)+IF('Your debts'!$D$20="Avalanche",'Avalanche workings'!$AF$118,'Snowball workings'!$AF$118))</f>
      </c>
      <c r="G116" s="30">
        <f>IF(OR(111&gt;$Z$1,NOT(OR('Your debts'!$B$6&lt;&gt;"",N('Your debts'!$C$6)&gt;0))),"",IF('Your debts'!$D$20="Avalanche",'Avalanche workings'!$AP$118,'Snowball workings'!$AP$118))</f>
      </c>
      <c r="H116" s="29">
        <f>IF(OR(111&gt;$Z$1,NOT(OR('Your debts'!$B$7&lt;&gt;"",N('Your debts'!$C$7)&gt;0))),"",IF('Your debts'!$D$20="Avalanche",'Avalanche workings'!$M$118,'Snowball workings'!$M$118)+IF('Your debts'!$D$20="Avalanche",'Avalanche workings'!$AG$118,'Snowball workings'!$AG$118))</f>
      </c>
      <c r="I116" s="30">
        <f>IF(OR(111&gt;$Z$1,NOT(OR('Your debts'!$B$7&lt;&gt;"",N('Your debts'!$C$7)&gt;0))),"",IF('Your debts'!$D$20="Avalanche",'Avalanche workings'!$AQ$118,'Snowball workings'!$AQ$118))</f>
      </c>
      <c r="J116" s="29">
        <f>IF(OR(111&gt;$Z$1,NOT(OR('Your debts'!$B$8&lt;&gt;"",N('Your debts'!$C$8)&gt;0))),"",IF('Your debts'!$D$20="Avalanche",'Avalanche workings'!$N$118,'Snowball workings'!$N$118)+IF('Your debts'!$D$20="Avalanche",'Avalanche workings'!$AH$118,'Snowball workings'!$AH$118))</f>
      </c>
      <c r="K116" s="30">
        <f>IF(OR(111&gt;$Z$1,NOT(OR('Your debts'!$B$8&lt;&gt;"",N('Your debts'!$C$8)&gt;0))),"",IF('Your debts'!$D$20="Avalanche",'Avalanche workings'!$AR$118,'Snowball workings'!$AR$118))</f>
      </c>
      <c r="L116" s="29">
        <f>IF(OR(111&gt;$Z$1,NOT(OR('Your debts'!$B$9&lt;&gt;"",N('Your debts'!$C$9)&gt;0))),"",IF('Your debts'!$D$20="Avalanche",'Avalanche workings'!$O$118,'Snowball workings'!$O$118)+IF('Your debts'!$D$20="Avalanche",'Avalanche workings'!$AI$118,'Snowball workings'!$AI$118))</f>
      </c>
      <c r="M116" s="30">
        <f>IF(OR(111&gt;$Z$1,NOT(OR('Your debts'!$B$9&lt;&gt;"",N('Your debts'!$C$9)&gt;0))),"",IF('Your debts'!$D$20="Avalanche",'Avalanche workings'!$AS$118,'Snowball workings'!$AS$118))</f>
      </c>
      <c r="N116" s="29">
        <f>IF(OR(111&gt;$Z$1,NOT(OR('Your debts'!$B$10&lt;&gt;"",N('Your debts'!$C$10)&gt;0))),"",IF('Your debts'!$D$20="Avalanche",'Avalanche workings'!$P$118,'Snowball workings'!$P$118)+IF('Your debts'!$D$20="Avalanche",'Avalanche workings'!$AJ$118,'Snowball workings'!$AJ$118))</f>
      </c>
      <c r="O116" s="30">
        <f>IF(OR(111&gt;$Z$1,NOT(OR('Your debts'!$B$10&lt;&gt;"",N('Your debts'!$C$10)&gt;0))),"",IF('Your debts'!$D$20="Avalanche",'Avalanche workings'!$AT$118,'Snowball workings'!$AT$118))</f>
      </c>
      <c r="P116" s="29">
        <f>IF(OR(111&gt;$Z$1,NOT(OR('Your debts'!$B$11&lt;&gt;"",N('Your debts'!$C$11)&gt;0))),"",IF('Your debts'!$D$20="Avalanche",'Avalanche workings'!$Q$118,'Snowball workings'!$Q$118)+IF('Your debts'!$D$20="Avalanche",'Avalanche workings'!$AK$118,'Snowball workings'!$AK$118))</f>
      </c>
      <c r="Q116" s="30">
        <f>IF(OR(111&gt;$Z$1,NOT(OR('Your debts'!$B$11&lt;&gt;"",N('Your debts'!$C$11)&gt;0))),"",IF('Your debts'!$D$20="Avalanche",'Avalanche workings'!$AU$118,'Snowball workings'!$AU$118))</f>
      </c>
      <c r="R116" s="29">
        <f>IF(OR(111&gt;$Z$1,NOT(OR('Your debts'!$B$12&lt;&gt;"",N('Your debts'!$C$12)&gt;0))),"",IF('Your debts'!$D$20="Avalanche",'Avalanche workings'!$R$118,'Snowball workings'!$R$118)+IF('Your debts'!$D$20="Avalanche",'Avalanche workings'!$AL$118,'Snowball workings'!$AL$118))</f>
      </c>
      <c r="S116" s="30">
        <f>IF(OR(111&gt;$Z$1,NOT(OR('Your debts'!$B$12&lt;&gt;"",N('Your debts'!$C$12)&gt;0))),"",IF('Your debts'!$D$20="Avalanche",'Avalanche workings'!$AV$118,'Snowball workings'!$AV$118))</f>
      </c>
      <c r="T116" s="29">
        <f>IF(OR(111&gt;$Z$1,NOT(OR('Your debts'!$B$13&lt;&gt;"",N('Your debts'!$C$13)&gt;0))),"",IF('Your debts'!$D$20="Avalanche",'Avalanche workings'!$S$118,'Snowball workings'!$S$118)+IF('Your debts'!$D$20="Avalanche",'Avalanche workings'!$AM$118,'Snowball workings'!$AM$118))</f>
      </c>
      <c r="U116" s="30">
        <f>IF(OR(111&gt;$Z$1,NOT(OR('Your debts'!$B$13&lt;&gt;"",N('Your debts'!$C$13)&gt;0))),"",IF('Your debts'!$D$20="Avalanche",'Avalanche workings'!$AW$118,'Snowball workings'!$AW$118))</f>
      </c>
      <c r="V116" s="29">
        <f>IF(OR(111&gt;$Z$1,NOT(OR('Your debts'!$B$14&lt;&gt;"",N('Your debts'!$C$14)&gt;0))),"",IF('Your debts'!$D$20="Avalanche",'Avalanche workings'!$T$118,'Snowball workings'!$T$118)+IF('Your debts'!$D$20="Avalanche",'Avalanche workings'!$AN$118,'Snowball workings'!$AN$118))</f>
      </c>
      <c r="W116" s="30">
        <f>IF(OR(111&gt;$Z$1,NOT(OR('Your debts'!$B$14&lt;&gt;"",N('Your debts'!$C$14)&gt;0))),"",IF('Your debts'!$D$20="Avalanche",'Avalanche workings'!$AX$118,'Snowball workings'!$AX$118))</f>
      </c>
      <c r="X116" s="29">
        <f>IF(OR(111&gt;$Z$1,NOT(OR('Your debts'!$B$15&lt;&gt;"",N('Your debts'!$C$15)&gt;0))),"",IF('Your debts'!$D$20="Avalanche",'Avalanche workings'!$U$118,'Snowball workings'!$U$118)+IF('Your debts'!$D$20="Avalanche",'Avalanche workings'!$AO$118,'Snowball workings'!$AO$118))</f>
      </c>
      <c r="Y116" s="30">
        <f>IF(OR(111&gt;$Z$1,NOT(OR('Your debts'!$B$15&lt;&gt;"",N('Your debts'!$C$15)&gt;0))),"",IF('Your debts'!$D$20="Avalanche",'Avalanche workings'!$AY$118,'Snowball workings'!$AY$118))</f>
      </c>
    </row>
    <row r="117" spans="1:25" x14ac:dyDescent="0.25">
      <c r="A117" s="2">
        <f>IF(112&gt;$Z$1,"",112)</f>
      </c>
      <c r="B117" s="28">
        <f>IF(112&gt;$Z$1,"",EDATE('Your debts'!$D$21,111))</f>
      </c>
      <c r="C117" s="29">
        <f>IF(112&gt;$Z$1,"",IF('Your debts'!$D$20="Avalanche",'Avalanche workings'!$BC$119,'Snowball workings'!$BC$119))</f>
      </c>
      <c r="D117" s="29">
        <f>IF(112&gt;$Z$1,"",IF('Your debts'!$D$20="Avalanche",'Avalanche workings'!$BA$119,'Snowball workings'!$BA$119))</f>
      </c>
      <c r="E117" s="29">
        <f>IF(112&gt;$Z$1,"",IF('Your debts'!$D$20="Avalanche",'Avalanche workings'!$BB$119,'Snowball workings'!$BB$119))</f>
      </c>
      <c r="F117" s="29">
        <f>IF(OR(112&gt;$Z$1,NOT(OR('Your debts'!$B$6&lt;&gt;"",N('Your debts'!$C$6)&gt;0))),"",IF('Your debts'!$D$20="Avalanche",'Avalanche workings'!$L$119,'Snowball workings'!$L$119)+IF('Your debts'!$D$20="Avalanche",'Avalanche workings'!$AF$119,'Snowball workings'!$AF$119))</f>
      </c>
      <c r="G117" s="30">
        <f>IF(OR(112&gt;$Z$1,NOT(OR('Your debts'!$B$6&lt;&gt;"",N('Your debts'!$C$6)&gt;0))),"",IF('Your debts'!$D$20="Avalanche",'Avalanche workings'!$AP$119,'Snowball workings'!$AP$119))</f>
      </c>
      <c r="H117" s="29">
        <f>IF(OR(112&gt;$Z$1,NOT(OR('Your debts'!$B$7&lt;&gt;"",N('Your debts'!$C$7)&gt;0))),"",IF('Your debts'!$D$20="Avalanche",'Avalanche workings'!$M$119,'Snowball workings'!$M$119)+IF('Your debts'!$D$20="Avalanche",'Avalanche workings'!$AG$119,'Snowball workings'!$AG$119))</f>
      </c>
      <c r="I117" s="30">
        <f>IF(OR(112&gt;$Z$1,NOT(OR('Your debts'!$B$7&lt;&gt;"",N('Your debts'!$C$7)&gt;0))),"",IF('Your debts'!$D$20="Avalanche",'Avalanche workings'!$AQ$119,'Snowball workings'!$AQ$119))</f>
      </c>
      <c r="J117" s="29">
        <f>IF(OR(112&gt;$Z$1,NOT(OR('Your debts'!$B$8&lt;&gt;"",N('Your debts'!$C$8)&gt;0))),"",IF('Your debts'!$D$20="Avalanche",'Avalanche workings'!$N$119,'Snowball workings'!$N$119)+IF('Your debts'!$D$20="Avalanche",'Avalanche workings'!$AH$119,'Snowball workings'!$AH$119))</f>
      </c>
      <c r="K117" s="30">
        <f>IF(OR(112&gt;$Z$1,NOT(OR('Your debts'!$B$8&lt;&gt;"",N('Your debts'!$C$8)&gt;0))),"",IF('Your debts'!$D$20="Avalanche",'Avalanche workings'!$AR$119,'Snowball workings'!$AR$119))</f>
      </c>
      <c r="L117" s="29">
        <f>IF(OR(112&gt;$Z$1,NOT(OR('Your debts'!$B$9&lt;&gt;"",N('Your debts'!$C$9)&gt;0))),"",IF('Your debts'!$D$20="Avalanche",'Avalanche workings'!$O$119,'Snowball workings'!$O$119)+IF('Your debts'!$D$20="Avalanche",'Avalanche workings'!$AI$119,'Snowball workings'!$AI$119))</f>
      </c>
      <c r="M117" s="30">
        <f>IF(OR(112&gt;$Z$1,NOT(OR('Your debts'!$B$9&lt;&gt;"",N('Your debts'!$C$9)&gt;0))),"",IF('Your debts'!$D$20="Avalanche",'Avalanche workings'!$AS$119,'Snowball workings'!$AS$119))</f>
      </c>
      <c r="N117" s="29">
        <f>IF(OR(112&gt;$Z$1,NOT(OR('Your debts'!$B$10&lt;&gt;"",N('Your debts'!$C$10)&gt;0))),"",IF('Your debts'!$D$20="Avalanche",'Avalanche workings'!$P$119,'Snowball workings'!$P$119)+IF('Your debts'!$D$20="Avalanche",'Avalanche workings'!$AJ$119,'Snowball workings'!$AJ$119))</f>
      </c>
      <c r="O117" s="30">
        <f>IF(OR(112&gt;$Z$1,NOT(OR('Your debts'!$B$10&lt;&gt;"",N('Your debts'!$C$10)&gt;0))),"",IF('Your debts'!$D$20="Avalanche",'Avalanche workings'!$AT$119,'Snowball workings'!$AT$119))</f>
      </c>
      <c r="P117" s="29">
        <f>IF(OR(112&gt;$Z$1,NOT(OR('Your debts'!$B$11&lt;&gt;"",N('Your debts'!$C$11)&gt;0))),"",IF('Your debts'!$D$20="Avalanche",'Avalanche workings'!$Q$119,'Snowball workings'!$Q$119)+IF('Your debts'!$D$20="Avalanche",'Avalanche workings'!$AK$119,'Snowball workings'!$AK$119))</f>
      </c>
      <c r="Q117" s="30">
        <f>IF(OR(112&gt;$Z$1,NOT(OR('Your debts'!$B$11&lt;&gt;"",N('Your debts'!$C$11)&gt;0))),"",IF('Your debts'!$D$20="Avalanche",'Avalanche workings'!$AU$119,'Snowball workings'!$AU$119))</f>
      </c>
      <c r="R117" s="29">
        <f>IF(OR(112&gt;$Z$1,NOT(OR('Your debts'!$B$12&lt;&gt;"",N('Your debts'!$C$12)&gt;0))),"",IF('Your debts'!$D$20="Avalanche",'Avalanche workings'!$R$119,'Snowball workings'!$R$119)+IF('Your debts'!$D$20="Avalanche",'Avalanche workings'!$AL$119,'Snowball workings'!$AL$119))</f>
      </c>
      <c r="S117" s="30">
        <f>IF(OR(112&gt;$Z$1,NOT(OR('Your debts'!$B$12&lt;&gt;"",N('Your debts'!$C$12)&gt;0))),"",IF('Your debts'!$D$20="Avalanche",'Avalanche workings'!$AV$119,'Snowball workings'!$AV$119))</f>
      </c>
      <c r="T117" s="29">
        <f>IF(OR(112&gt;$Z$1,NOT(OR('Your debts'!$B$13&lt;&gt;"",N('Your debts'!$C$13)&gt;0))),"",IF('Your debts'!$D$20="Avalanche",'Avalanche workings'!$S$119,'Snowball workings'!$S$119)+IF('Your debts'!$D$20="Avalanche",'Avalanche workings'!$AM$119,'Snowball workings'!$AM$119))</f>
      </c>
      <c r="U117" s="30">
        <f>IF(OR(112&gt;$Z$1,NOT(OR('Your debts'!$B$13&lt;&gt;"",N('Your debts'!$C$13)&gt;0))),"",IF('Your debts'!$D$20="Avalanche",'Avalanche workings'!$AW$119,'Snowball workings'!$AW$119))</f>
      </c>
      <c r="V117" s="29">
        <f>IF(OR(112&gt;$Z$1,NOT(OR('Your debts'!$B$14&lt;&gt;"",N('Your debts'!$C$14)&gt;0))),"",IF('Your debts'!$D$20="Avalanche",'Avalanche workings'!$T$119,'Snowball workings'!$T$119)+IF('Your debts'!$D$20="Avalanche",'Avalanche workings'!$AN$119,'Snowball workings'!$AN$119))</f>
      </c>
      <c r="W117" s="30">
        <f>IF(OR(112&gt;$Z$1,NOT(OR('Your debts'!$B$14&lt;&gt;"",N('Your debts'!$C$14)&gt;0))),"",IF('Your debts'!$D$20="Avalanche",'Avalanche workings'!$AX$119,'Snowball workings'!$AX$119))</f>
      </c>
      <c r="X117" s="29">
        <f>IF(OR(112&gt;$Z$1,NOT(OR('Your debts'!$B$15&lt;&gt;"",N('Your debts'!$C$15)&gt;0))),"",IF('Your debts'!$D$20="Avalanche",'Avalanche workings'!$U$119,'Snowball workings'!$U$119)+IF('Your debts'!$D$20="Avalanche",'Avalanche workings'!$AO$119,'Snowball workings'!$AO$119))</f>
      </c>
      <c r="Y117" s="30">
        <f>IF(OR(112&gt;$Z$1,NOT(OR('Your debts'!$B$15&lt;&gt;"",N('Your debts'!$C$15)&gt;0))),"",IF('Your debts'!$D$20="Avalanche",'Avalanche workings'!$AY$119,'Snowball workings'!$AY$119))</f>
      </c>
    </row>
    <row r="118" spans="1:25" x14ac:dyDescent="0.25">
      <c r="A118" s="2">
        <f>IF(113&gt;$Z$1,"",113)</f>
      </c>
      <c r="B118" s="28">
        <f>IF(113&gt;$Z$1,"",EDATE('Your debts'!$D$21,112))</f>
      </c>
      <c r="C118" s="29">
        <f>IF(113&gt;$Z$1,"",IF('Your debts'!$D$20="Avalanche",'Avalanche workings'!$BC$120,'Snowball workings'!$BC$120))</f>
      </c>
      <c r="D118" s="29">
        <f>IF(113&gt;$Z$1,"",IF('Your debts'!$D$20="Avalanche",'Avalanche workings'!$BA$120,'Snowball workings'!$BA$120))</f>
      </c>
      <c r="E118" s="29">
        <f>IF(113&gt;$Z$1,"",IF('Your debts'!$D$20="Avalanche",'Avalanche workings'!$BB$120,'Snowball workings'!$BB$120))</f>
      </c>
      <c r="F118" s="29">
        <f>IF(OR(113&gt;$Z$1,NOT(OR('Your debts'!$B$6&lt;&gt;"",N('Your debts'!$C$6)&gt;0))),"",IF('Your debts'!$D$20="Avalanche",'Avalanche workings'!$L$120,'Snowball workings'!$L$120)+IF('Your debts'!$D$20="Avalanche",'Avalanche workings'!$AF$120,'Snowball workings'!$AF$120))</f>
      </c>
      <c r="G118" s="30">
        <f>IF(OR(113&gt;$Z$1,NOT(OR('Your debts'!$B$6&lt;&gt;"",N('Your debts'!$C$6)&gt;0))),"",IF('Your debts'!$D$20="Avalanche",'Avalanche workings'!$AP$120,'Snowball workings'!$AP$120))</f>
      </c>
      <c r="H118" s="29">
        <f>IF(OR(113&gt;$Z$1,NOT(OR('Your debts'!$B$7&lt;&gt;"",N('Your debts'!$C$7)&gt;0))),"",IF('Your debts'!$D$20="Avalanche",'Avalanche workings'!$M$120,'Snowball workings'!$M$120)+IF('Your debts'!$D$20="Avalanche",'Avalanche workings'!$AG$120,'Snowball workings'!$AG$120))</f>
      </c>
      <c r="I118" s="30">
        <f>IF(OR(113&gt;$Z$1,NOT(OR('Your debts'!$B$7&lt;&gt;"",N('Your debts'!$C$7)&gt;0))),"",IF('Your debts'!$D$20="Avalanche",'Avalanche workings'!$AQ$120,'Snowball workings'!$AQ$120))</f>
      </c>
      <c r="J118" s="29">
        <f>IF(OR(113&gt;$Z$1,NOT(OR('Your debts'!$B$8&lt;&gt;"",N('Your debts'!$C$8)&gt;0))),"",IF('Your debts'!$D$20="Avalanche",'Avalanche workings'!$N$120,'Snowball workings'!$N$120)+IF('Your debts'!$D$20="Avalanche",'Avalanche workings'!$AH$120,'Snowball workings'!$AH$120))</f>
      </c>
      <c r="K118" s="30">
        <f>IF(OR(113&gt;$Z$1,NOT(OR('Your debts'!$B$8&lt;&gt;"",N('Your debts'!$C$8)&gt;0))),"",IF('Your debts'!$D$20="Avalanche",'Avalanche workings'!$AR$120,'Snowball workings'!$AR$120))</f>
      </c>
      <c r="L118" s="29">
        <f>IF(OR(113&gt;$Z$1,NOT(OR('Your debts'!$B$9&lt;&gt;"",N('Your debts'!$C$9)&gt;0))),"",IF('Your debts'!$D$20="Avalanche",'Avalanche workings'!$O$120,'Snowball workings'!$O$120)+IF('Your debts'!$D$20="Avalanche",'Avalanche workings'!$AI$120,'Snowball workings'!$AI$120))</f>
      </c>
      <c r="M118" s="30">
        <f>IF(OR(113&gt;$Z$1,NOT(OR('Your debts'!$B$9&lt;&gt;"",N('Your debts'!$C$9)&gt;0))),"",IF('Your debts'!$D$20="Avalanche",'Avalanche workings'!$AS$120,'Snowball workings'!$AS$120))</f>
      </c>
      <c r="N118" s="29">
        <f>IF(OR(113&gt;$Z$1,NOT(OR('Your debts'!$B$10&lt;&gt;"",N('Your debts'!$C$10)&gt;0))),"",IF('Your debts'!$D$20="Avalanche",'Avalanche workings'!$P$120,'Snowball workings'!$P$120)+IF('Your debts'!$D$20="Avalanche",'Avalanche workings'!$AJ$120,'Snowball workings'!$AJ$120))</f>
      </c>
      <c r="O118" s="30">
        <f>IF(OR(113&gt;$Z$1,NOT(OR('Your debts'!$B$10&lt;&gt;"",N('Your debts'!$C$10)&gt;0))),"",IF('Your debts'!$D$20="Avalanche",'Avalanche workings'!$AT$120,'Snowball workings'!$AT$120))</f>
      </c>
      <c r="P118" s="29">
        <f>IF(OR(113&gt;$Z$1,NOT(OR('Your debts'!$B$11&lt;&gt;"",N('Your debts'!$C$11)&gt;0))),"",IF('Your debts'!$D$20="Avalanche",'Avalanche workings'!$Q$120,'Snowball workings'!$Q$120)+IF('Your debts'!$D$20="Avalanche",'Avalanche workings'!$AK$120,'Snowball workings'!$AK$120))</f>
      </c>
      <c r="Q118" s="30">
        <f>IF(OR(113&gt;$Z$1,NOT(OR('Your debts'!$B$11&lt;&gt;"",N('Your debts'!$C$11)&gt;0))),"",IF('Your debts'!$D$20="Avalanche",'Avalanche workings'!$AU$120,'Snowball workings'!$AU$120))</f>
      </c>
      <c r="R118" s="29">
        <f>IF(OR(113&gt;$Z$1,NOT(OR('Your debts'!$B$12&lt;&gt;"",N('Your debts'!$C$12)&gt;0))),"",IF('Your debts'!$D$20="Avalanche",'Avalanche workings'!$R$120,'Snowball workings'!$R$120)+IF('Your debts'!$D$20="Avalanche",'Avalanche workings'!$AL$120,'Snowball workings'!$AL$120))</f>
      </c>
      <c r="S118" s="30">
        <f>IF(OR(113&gt;$Z$1,NOT(OR('Your debts'!$B$12&lt;&gt;"",N('Your debts'!$C$12)&gt;0))),"",IF('Your debts'!$D$20="Avalanche",'Avalanche workings'!$AV$120,'Snowball workings'!$AV$120))</f>
      </c>
      <c r="T118" s="29">
        <f>IF(OR(113&gt;$Z$1,NOT(OR('Your debts'!$B$13&lt;&gt;"",N('Your debts'!$C$13)&gt;0))),"",IF('Your debts'!$D$20="Avalanche",'Avalanche workings'!$S$120,'Snowball workings'!$S$120)+IF('Your debts'!$D$20="Avalanche",'Avalanche workings'!$AM$120,'Snowball workings'!$AM$120))</f>
      </c>
      <c r="U118" s="30">
        <f>IF(OR(113&gt;$Z$1,NOT(OR('Your debts'!$B$13&lt;&gt;"",N('Your debts'!$C$13)&gt;0))),"",IF('Your debts'!$D$20="Avalanche",'Avalanche workings'!$AW$120,'Snowball workings'!$AW$120))</f>
      </c>
      <c r="V118" s="29">
        <f>IF(OR(113&gt;$Z$1,NOT(OR('Your debts'!$B$14&lt;&gt;"",N('Your debts'!$C$14)&gt;0))),"",IF('Your debts'!$D$20="Avalanche",'Avalanche workings'!$T$120,'Snowball workings'!$T$120)+IF('Your debts'!$D$20="Avalanche",'Avalanche workings'!$AN$120,'Snowball workings'!$AN$120))</f>
      </c>
      <c r="W118" s="30">
        <f>IF(OR(113&gt;$Z$1,NOT(OR('Your debts'!$B$14&lt;&gt;"",N('Your debts'!$C$14)&gt;0))),"",IF('Your debts'!$D$20="Avalanche",'Avalanche workings'!$AX$120,'Snowball workings'!$AX$120))</f>
      </c>
      <c r="X118" s="29">
        <f>IF(OR(113&gt;$Z$1,NOT(OR('Your debts'!$B$15&lt;&gt;"",N('Your debts'!$C$15)&gt;0))),"",IF('Your debts'!$D$20="Avalanche",'Avalanche workings'!$U$120,'Snowball workings'!$U$120)+IF('Your debts'!$D$20="Avalanche",'Avalanche workings'!$AO$120,'Snowball workings'!$AO$120))</f>
      </c>
      <c r="Y118" s="30">
        <f>IF(OR(113&gt;$Z$1,NOT(OR('Your debts'!$B$15&lt;&gt;"",N('Your debts'!$C$15)&gt;0))),"",IF('Your debts'!$D$20="Avalanche",'Avalanche workings'!$AY$120,'Snowball workings'!$AY$120))</f>
      </c>
    </row>
    <row r="119" spans="1:25" x14ac:dyDescent="0.25">
      <c r="A119" s="2">
        <f>IF(114&gt;$Z$1,"",114)</f>
      </c>
      <c r="B119" s="28">
        <f>IF(114&gt;$Z$1,"",EDATE('Your debts'!$D$21,113))</f>
      </c>
      <c r="C119" s="29">
        <f>IF(114&gt;$Z$1,"",IF('Your debts'!$D$20="Avalanche",'Avalanche workings'!$BC$121,'Snowball workings'!$BC$121))</f>
      </c>
      <c r="D119" s="29">
        <f>IF(114&gt;$Z$1,"",IF('Your debts'!$D$20="Avalanche",'Avalanche workings'!$BA$121,'Snowball workings'!$BA$121))</f>
      </c>
      <c r="E119" s="29">
        <f>IF(114&gt;$Z$1,"",IF('Your debts'!$D$20="Avalanche",'Avalanche workings'!$BB$121,'Snowball workings'!$BB$121))</f>
      </c>
      <c r="F119" s="29">
        <f>IF(OR(114&gt;$Z$1,NOT(OR('Your debts'!$B$6&lt;&gt;"",N('Your debts'!$C$6)&gt;0))),"",IF('Your debts'!$D$20="Avalanche",'Avalanche workings'!$L$121,'Snowball workings'!$L$121)+IF('Your debts'!$D$20="Avalanche",'Avalanche workings'!$AF$121,'Snowball workings'!$AF$121))</f>
      </c>
      <c r="G119" s="30">
        <f>IF(OR(114&gt;$Z$1,NOT(OR('Your debts'!$B$6&lt;&gt;"",N('Your debts'!$C$6)&gt;0))),"",IF('Your debts'!$D$20="Avalanche",'Avalanche workings'!$AP$121,'Snowball workings'!$AP$121))</f>
      </c>
      <c r="H119" s="29">
        <f>IF(OR(114&gt;$Z$1,NOT(OR('Your debts'!$B$7&lt;&gt;"",N('Your debts'!$C$7)&gt;0))),"",IF('Your debts'!$D$20="Avalanche",'Avalanche workings'!$M$121,'Snowball workings'!$M$121)+IF('Your debts'!$D$20="Avalanche",'Avalanche workings'!$AG$121,'Snowball workings'!$AG$121))</f>
      </c>
      <c r="I119" s="30">
        <f>IF(OR(114&gt;$Z$1,NOT(OR('Your debts'!$B$7&lt;&gt;"",N('Your debts'!$C$7)&gt;0))),"",IF('Your debts'!$D$20="Avalanche",'Avalanche workings'!$AQ$121,'Snowball workings'!$AQ$121))</f>
      </c>
      <c r="J119" s="29">
        <f>IF(OR(114&gt;$Z$1,NOT(OR('Your debts'!$B$8&lt;&gt;"",N('Your debts'!$C$8)&gt;0))),"",IF('Your debts'!$D$20="Avalanche",'Avalanche workings'!$N$121,'Snowball workings'!$N$121)+IF('Your debts'!$D$20="Avalanche",'Avalanche workings'!$AH$121,'Snowball workings'!$AH$121))</f>
      </c>
      <c r="K119" s="30">
        <f>IF(OR(114&gt;$Z$1,NOT(OR('Your debts'!$B$8&lt;&gt;"",N('Your debts'!$C$8)&gt;0))),"",IF('Your debts'!$D$20="Avalanche",'Avalanche workings'!$AR$121,'Snowball workings'!$AR$121))</f>
      </c>
      <c r="L119" s="29">
        <f>IF(OR(114&gt;$Z$1,NOT(OR('Your debts'!$B$9&lt;&gt;"",N('Your debts'!$C$9)&gt;0))),"",IF('Your debts'!$D$20="Avalanche",'Avalanche workings'!$O$121,'Snowball workings'!$O$121)+IF('Your debts'!$D$20="Avalanche",'Avalanche workings'!$AI$121,'Snowball workings'!$AI$121))</f>
      </c>
      <c r="M119" s="30">
        <f>IF(OR(114&gt;$Z$1,NOT(OR('Your debts'!$B$9&lt;&gt;"",N('Your debts'!$C$9)&gt;0))),"",IF('Your debts'!$D$20="Avalanche",'Avalanche workings'!$AS$121,'Snowball workings'!$AS$121))</f>
      </c>
      <c r="N119" s="29">
        <f>IF(OR(114&gt;$Z$1,NOT(OR('Your debts'!$B$10&lt;&gt;"",N('Your debts'!$C$10)&gt;0))),"",IF('Your debts'!$D$20="Avalanche",'Avalanche workings'!$P$121,'Snowball workings'!$P$121)+IF('Your debts'!$D$20="Avalanche",'Avalanche workings'!$AJ$121,'Snowball workings'!$AJ$121))</f>
      </c>
      <c r="O119" s="30">
        <f>IF(OR(114&gt;$Z$1,NOT(OR('Your debts'!$B$10&lt;&gt;"",N('Your debts'!$C$10)&gt;0))),"",IF('Your debts'!$D$20="Avalanche",'Avalanche workings'!$AT$121,'Snowball workings'!$AT$121))</f>
      </c>
      <c r="P119" s="29">
        <f>IF(OR(114&gt;$Z$1,NOT(OR('Your debts'!$B$11&lt;&gt;"",N('Your debts'!$C$11)&gt;0))),"",IF('Your debts'!$D$20="Avalanche",'Avalanche workings'!$Q$121,'Snowball workings'!$Q$121)+IF('Your debts'!$D$20="Avalanche",'Avalanche workings'!$AK$121,'Snowball workings'!$AK$121))</f>
      </c>
      <c r="Q119" s="30">
        <f>IF(OR(114&gt;$Z$1,NOT(OR('Your debts'!$B$11&lt;&gt;"",N('Your debts'!$C$11)&gt;0))),"",IF('Your debts'!$D$20="Avalanche",'Avalanche workings'!$AU$121,'Snowball workings'!$AU$121))</f>
      </c>
      <c r="R119" s="29">
        <f>IF(OR(114&gt;$Z$1,NOT(OR('Your debts'!$B$12&lt;&gt;"",N('Your debts'!$C$12)&gt;0))),"",IF('Your debts'!$D$20="Avalanche",'Avalanche workings'!$R$121,'Snowball workings'!$R$121)+IF('Your debts'!$D$20="Avalanche",'Avalanche workings'!$AL$121,'Snowball workings'!$AL$121))</f>
      </c>
      <c r="S119" s="30">
        <f>IF(OR(114&gt;$Z$1,NOT(OR('Your debts'!$B$12&lt;&gt;"",N('Your debts'!$C$12)&gt;0))),"",IF('Your debts'!$D$20="Avalanche",'Avalanche workings'!$AV$121,'Snowball workings'!$AV$121))</f>
      </c>
      <c r="T119" s="29">
        <f>IF(OR(114&gt;$Z$1,NOT(OR('Your debts'!$B$13&lt;&gt;"",N('Your debts'!$C$13)&gt;0))),"",IF('Your debts'!$D$20="Avalanche",'Avalanche workings'!$S$121,'Snowball workings'!$S$121)+IF('Your debts'!$D$20="Avalanche",'Avalanche workings'!$AM$121,'Snowball workings'!$AM$121))</f>
      </c>
      <c r="U119" s="30">
        <f>IF(OR(114&gt;$Z$1,NOT(OR('Your debts'!$B$13&lt;&gt;"",N('Your debts'!$C$13)&gt;0))),"",IF('Your debts'!$D$20="Avalanche",'Avalanche workings'!$AW$121,'Snowball workings'!$AW$121))</f>
      </c>
      <c r="V119" s="29">
        <f>IF(OR(114&gt;$Z$1,NOT(OR('Your debts'!$B$14&lt;&gt;"",N('Your debts'!$C$14)&gt;0))),"",IF('Your debts'!$D$20="Avalanche",'Avalanche workings'!$T$121,'Snowball workings'!$T$121)+IF('Your debts'!$D$20="Avalanche",'Avalanche workings'!$AN$121,'Snowball workings'!$AN$121))</f>
      </c>
      <c r="W119" s="30">
        <f>IF(OR(114&gt;$Z$1,NOT(OR('Your debts'!$B$14&lt;&gt;"",N('Your debts'!$C$14)&gt;0))),"",IF('Your debts'!$D$20="Avalanche",'Avalanche workings'!$AX$121,'Snowball workings'!$AX$121))</f>
      </c>
      <c r="X119" s="29">
        <f>IF(OR(114&gt;$Z$1,NOT(OR('Your debts'!$B$15&lt;&gt;"",N('Your debts'!$C$15)&gt;0))),"",IF('Your debts'!$D$20="Avalanche",'Avalanche workings'!$U$121,'Snowball workings'!$U$121)+IF('Your debts'!$D$20="Avalanche",'Avalanche workings'!$AO$121,'Snowball workings'!$AO$121))</f>
      </c>
      <c r="Y119" s="30">
        <f>IF(OR(114&gt;$Z$1,NOT(OR('Your debts'!$B$15&lt;&gt;"",N('Your debts'!$C$15)&gt;0))),"",IF('Your debts'!$D$20="Avalanche",'Avalanche workings'!$AY$121,'Snowball workings'!$AY$121))</f>
      </c>
    </row>
    <row r="120" spans="1:25" x14ac:dyDescent="0.25">
      <c r="A120" s="2">
        <f>IF(115&gt;$Z$1,"",115)</f>
      </c>
      <c r="B120" s="28">
        <f>IF(115&gt;$Z$1,"",EDATE('Your debts'!$D$21,114))</f>
      </c>
      <c r="C120" s="29">
        <f>IF(115&gt;$Z$1,"",IF('Your debts'!$D$20="Avalanche",'Avalanche workings'!$BC$122,'Snowball workings'!$BC$122))</f>
      </c>
      <c r="D120" s="29">
        <f>IF(115&gt;$Z$1,"",IF('Your debts'!$D$20="Avalanche",'Avalanche workings'!$BA$122,'Snowball workings'!$BA$122))</f>
      </c>
      <c r="E120" s="29">
        <f>IF(115&gt;$Z$1,"",IF('Your debts'!$D$20="Avalanche",'Avalanche workings'!$BB$122,'Snowball workings'!$BB$122))</f>
      </c>
      <c r="F120" s="29">
        <f>IF(OR(115&gt;$Z$1,NOT(OR('Your debts'!$B$6&lt;&gt;"",N('Your debts'!$C$6)&gt;0))),"",IF('Your debts'!$D$20="Avalanche",'Avalanche workings'!$L$122,'Snowball workings'!$L$122)+IF('Your debts'!$D$20="Avalanche",'Avalanche workings'!$AF$122,'Snowball workings'!$AF$122))</f>
      </c>
      <c r="G120" s="30">
        <f>IF(OR(115&gt;$Z$1,NOT(OR('Your debts'!$B$6&lt;&gt;"",N('Your debts'!$C$6)&gt;0))),"",IF('Your debts'!$D$20="Avalanche",'Avalanche workings'!$AP$122,'Snowball workings'!$AP$122))</f>
      </c>
      <c r="H120" s="29">
        <f>IF(OR(115&gt;$Z$1,NOT(OR('Your debts'!$B$7&lt;&gt;"",N('Your debts'!$C$7)&gt;0))),"",IF('Your debts'!$D$20="Avalanche",'Avalanche workings'!$M$122,'Snowball workings'!$M$122)+IF('Your debts'!$D$20="Avalanche",'Avalanche workings'!$AG$122,'Snowball workings'!$AG$122))</f>
      </c>
      <c r="I120" s="30">
        <f>IF(OR(115&gt;$Z$1,NOT(OR('Your debts'!$B$7&lt;&gt;"",N('Your debts'!$C$7)&gt;0))),"",IF('Your debts'!$D$20="Avalanche",'Avalanche workings'!$AQ$122,'Snowball workings'!$AQ$122))</f>
      </c>
      <c r="J120" s="29">
        <f>IF(OR(115&gt;$Z$1,NOT(OR('Your debts'!$B$8&lt;&gt;"",N('Your debts'!$C$8)&gt;0))),"",IF('Your debts'!$D$20="Avalanche",'Avalanche workings'!$N$122,'Snowball workings'!$N$122)+IF('Your debts'!$D$20="Avalanche",'Avalanche workings'!$AH$122,'Snowball workings'!$AH$122))</f>
      </c>
      <c r="K120" s="30">
        <f>IF(OR(115&gt;$Z$1,NOT(OR('Your debts'!$B$8&lt;&gt;"",N('Your debts'!$C$8)&gt;0))),"",IF('Your debts'!$D$20="Avalanche",'Avalanche workings'!$AR$122,'Snowball workings'!$AR$122))</f>
      </c>
      <c r="L120" s="29">
        <f>IF(OR(115&gt;$Z$1,NOT(OR('Your debts'!$B$9&lt;&gt;"",N('Your debts'!$C$9)&gt;0))),"",IF('Your debts'!$D$20="Avalanche",'Avalanche workings'!$O$122,'Snowball workings'!$O$122)+IF('Your debts'!$D$20="Avalanche",'Avalanche workings'!$AI$122,'Snowball workings'!$AI$122))</f>
      </c>
      <c r="M120" s="30">
        <f>IF(OR(115&gt;$Z$1,NOT(OR('Your debts'!$B$9&lt;&gt;"",N('Your debts'!$C$9)&gt;0))),"",IF('Your debts'!$D$20="Avalanche",'Avalanche workings'!$AS$122,'Snowball workings'!$AS$122))</f>
      </c>
      <c r="N120" s="29">
        <f>IF(OR(115&gt;$Z$1,NOT(OR('Your debts'!$B$10&lt;&gt;"",N('Your debts'!$C$10)&gt;0))),"",IF('Your debts'!$D$20="Avalanche",'Avalanche workings'!$P$122,'Snowball workings'!$P$122)+IF('Your debts'!$D$20="Avalanche",'Avalanche workings'!$AJ$122,'Snowball workings'!$AJ$122))</f>
      </c>
      <c r="O120" s="30">
        <f>IF(OR(115&gt;$Z$1,NOT(OR('Your debts'!$B$10&lt;&gt;"",N('Your debts'!$C$10)&gt;0))),"",IF('Your debts'!$D$20="Avalanche",'Avalanche workings'!$AT$122,'Snowball workings'!$AT$122))</f>
      </c>
      <c r="P120" s="29">
        <f>IF(OR(115&gt;$Z$1,NOT(OR('Your debts'!$B$11&lt;&gt;"",N('Your debts'!$C$11)&gt;0))),"",IF('Your debts'!$D$20="Avalanche",'Avalanche workings'!$Q$122,'Snowball workings'!$Q$122)+IF('Your debts'!$D$20="Avalanche",'Avalanche workings'!$AK$122,'Snowball workings'!$AK$122))</f>
      </c>
      <c r="Q120" s="30">
        <f>IF(OR(115&gt;$Z$1,NOT(OR('Your debts'!$B$11&lt;&gt;"",N('Your debts'!$C$11)&gt;0))),"",IF('Your debts'!$D$20="Avalanche",'Avalanche workings'!$AU$122,'Snowball workings'!$AU$122))</f>
      </c>
      <c r="R120" s="29">
        <f>IF(OR(115&gt;$Z$1,NOT(OR('Your debts'!$B$12&lt;&gt;"",N('Your debts'!$C$12)&gt;0))),"",IF('Your debts'!$D$20="Avalanche",'Avalanche workings'!$R$122,'Snowball workings'!$R$122)+IF('Your debts'!$D$20="Avalanche",'Avalanche workings'!$AL$122,'Snowball workings'!$AL$122))</f>
      </c>
      <c r="S120" s="30">
        <f>IF(OR(115&gt;$Z$1,NOT(OR('Your debts'!$B$12&lt;&gt;"",N('Your debts'!$C$12)&gt;0))),"",IF('Your debts'!$D$20="Avalanche",'Avalanche workings'!$AV$122,'Snowball workings'!$AV$122))</f>
      </c>
      <c r="T120" s="29">
        <f>IF(OR(115&gt;$Z$1,NOT(OR('Your debts'!$B$13&lt;&gt;"",N('Your debts'!$C$13)&gt;0))),"",IF('Your debts'!$D$20="Avalanche",'Avalanche workings'!$S$122,'Snowball workings'!$S$122)+IF('Your debts'!$D$20="Avalanche",'Avalanche workings'!$AM$122,'Snowball workings'!$AM$122))</f>
      </c>
      <c r="U120" s="30">
        <f>IF(OR(115&gt;$Z$1,NOT(OR('Your debts'!$B$13&lt;&gt;"",N('Your debts'!$C$13)&gt;0))),"",IF('Your debts'!$D$20="Avalanche",'Avalanche workings'!$AW$122,'Snowball workings'!$AW$122))</f>
      </c>
      <c r="V120" s="29">
        <f>IF(OR(115&gt;$Z$1,NOT(OR('Your debts'!$B$14&lt;&gt;"",N('Your debts'!$C$14)&gt;0))),"",IF('Your debts'!$D$20="Avalanche",'Avalanche workings'!$T$122,'Snowball workings'!$T$122)+IF('Your debts'!$D$20="Avalanche",'Avalanche workings'!$AN$122,'Snowball workings'!$AN$122))</f>
      </c>
      <c r="W120" s="30">
        <f>IF(OR(115&gt;$Z$1,NOT(OR('Your debts'!$B$14&lt;&gt;"",N('Your debts'!$C$14)&gt;0))),"",IF('Your debts'!$D$20="Avalanche",'Avalanche workings'!$AX$122,'Snowball workings'!$AX$122))</f>
      </c>
      <c r="X120" s="29">
        <f>IF(OR(115&gt;$Z$1,NOT(OR('Your debts'!$B$15&lt;&gt;"",N('Your debts'!$C$15)&gt;0))),"",IF('Your debts'!$D$20="Avalanche",'Avalanche workings'!$U$122,'Snowball workings'!$U$122)+IF('Your debts'!$D$20="Avalanche",'Avalanche workings'!$AO$122,'Snowball workings'!$AO$122))</f>
      </c>
      <c r="Y120" s="30">
        <f>IF(OR(115&gt;$Z$1,NOT(OR('Your debts'!$B$15&lt;&gt;"",N('Your debts'!$C$15)&gt;0))),"",IF('Your debts'!$D$20="Avalanche",'Avalanche workings'!$AY$122,'Snowball workings'!$AY$122))</f>
      </c>
    </row>
    <row r="121" spans="1:25" x14ac:dyDescent="0.25">
      <c r="A121" s="2">
        <f>IF(116&gt;$Z$1,"",116)</f>
      </c>
      <c r="B121" s="28">
        <f>IF(116&gt;$Z$1,"",EDATE('Your debts'!$D$21,115))</f>
      </c>
      <c r="C121" s="29">
        <f>IF(116&gt;$Z$1,"",IF('Your debts'!$D$20="Avalanche",'Avalanche workings'!$BC$123,'Snowball workings'!$BC$123))</f>
      </c>
      <c r="D121" s="29">
        <f>IF(116&gt;$Z$1,"",IF('Your debts'!$D$20="Avalanche",'Avalanche workings'!$BA$123,'Snowball workings'!$BA$123))</f>
      </c>
      <c r="E121" s="29">
        <f>IF(116&gt;$Z$1,"",IF('Your debts'!$D$20="Avalanche",'Avalanche workings'!$BB$123,'Snowball workings'!$BB$123))</f>
      </c>
      <c r="F121" s="29">
        <f>IF(OR(116&gt;$Z$1,NOT(OR('Your debts'!$B$6&lt;&gt;"",N('Your debts'!$C$6)&gt;0))),"",IF('Your debts'!$D$20="Avalanche",'Avalanche workings'!$L$123,'Snowball workings'!$L$123)+IF('Your debts'!$D$20="Avalanche",'Avalanche workings'!$AF$123,'Snowball workings'!$AF$123))</f>
      </c>
      <c r="G121" s="30">
        <f>IF(OR(116&gt;$Z$1,NOT(OR('Your debts'!$B$6&lt;&gt;"",N('Your debts'!$C$6)&gt;0))),"",IF('Your debts'!$D$20="Avalanche",'Avalanche workings'!$AP$123,'Snowball workings'!$AP$123))</f>
      </c>
      <c r="H121" s="29">
        <f>IF(OR(116&gt;$Z$1,NOT(OR('Your debts'!$B$7&lt;&gt;"",N('Your debts'!$C$7)&gt;0))),"",IF('Your debts'!$D$20="Avalanche",'Avalanche workings'!$M$123,'Snowball workings'!$M$123)+IF('Your debts'!$D$20="Avalanche",'Avalanche workings'!$AG$123,'Snowball workings'!$AG$123))</f>
      </c>
      <c r="I121" s="30">
        <f>IF(OR(116&gt;$Z$1,NOT(OR('Your debts'!$B$7&lt;&gt;"",N('Your debts'!$C$7)&gt;0))),"",IF('Your debts'!$D$20="Avalanche",'Avalanche workings'!$AQ$123,'Snowball workings'!$AQ$123))</f>
      </c>
      <c r="J121" s="29">
        <f>IF(OR(116&gt;$Z$1,NOT(OR('Your debts'!$B$8&lt;&gt;"",N('Your debts'!$C$8)&gt;0))),"",IF('Your debts'!$D$20="Avalanche",'Avalanche workings'!$N$123,'Snowball workings'!$N$123)+IF('Your debts'!$D$20="Avalanche",'Avalanche workings'!$AH$123,'Snowball workings'!$AH$123))</f>
      </c>
      <c r="K121" s="30">
        <f>IF(OR(116&gt;$Z$1,NOT(OR('Your debts'!$B$8&lt;&gt;"",N('Your debts'!$C$8)&gt;0))),"",IF('Your debts'!$D$20="Avalanche",'Avalanche workings'!$AR$123,'Snowball workings'!$AR$123))</f>
      </c>
      <c r="L121" s="29">
        <f>IF(OR(116&gt;$Z$1,NOT(OR('Your debts'!$B$9&lt;&gt;"",N('Your debts'!$C$9)&gt;0))),"",IF('Your debts'!$D$20="Avalanche",'Avalanche workings'!$O$123,'Snowball workings'!$O$123)+IF('Your debts'!$D$20="Avalanche",'Avalanche workings'!$AI$123,'Snowball workings'!$AI$123))</f>
      </c>
      <c r="M121" s="30">
        <f>IF(OR(116&gt;$Z$1,NOT(OR('Your debts'!$B$9&lt;&gt;"",N('Your debts'!$C$9)&gt;0))),"",IF('Your debts'!$D$20="Avalanche",'Avalanche workings'!$AS$123,'Snowball workings'!$AS$123))</f>
      </c>
      <c r="N121" s="29">
        <f>IF(OR(116&gt;$Z$1,NOT(OR('Your debts'!$B$10&lt;&gt;"",N('Your debts'!$C$10)&gt;0))),"",IF('Your debts'!$D$20="Avalanche",'Avalanche workings'!$P$123,'Snowball workings'!$P$123)+IF('Your debts'!$D$20="Avalanche",'Avalanche workings'!$AJ$123,'Snowball workings'!$AJ$123))</f>
      </c>
      <c r="O121" s="30">
        <f>IF(OR(116&gt;$Z$1,NOT(OR('Your debts'!$B$10&lt;&gt;"",N('Your debts'!$C$10)&gt;0))),"",IF('Your debts'!$D$20="Avalanche",'Avalanche workings'!$AT$123,'Snowball workings'!$AT$123))</f>
      </c>
      <c r="P121" s="29">
        <f>IF(OR(116&gt;$Z$1,NOT(OR('Your debts'!$B$11&lt;&gt;"",N('Your debts'!$C$11)&gt;0))),"",IF('Your debts'!$D$20="Avalanche",'Avalanche workings'!$Q$123,'Snowball workings'!$Q$123)+IF('Your debts'!$D$20="Avalanche",'Avalanche workings'!$AK$123,'Snowball workings'!$AK$123))</f>
      </c>
      <c r="Q121" s="30">
        <f>IF(OR(116&gt;$Z$1,NOT(OR('Your debts'!$B$11&lt;&gt;"",N('Your debts'!$C$11)&gt;0))),"",IF('Your debts'!$D$20="Avalanche",'Avalanche workings'!$AU$123,'Snowball workings'!$AU$123))</f>
      </c>
      <c r="R121" s="29">
        <f>IF(OR(116&gt;$Z$1,NOT(OR('Your debts'!$B$12&lt;&gt;"",N('Your debts'!$C$12)&gt;0))),"",IF('Your debts'!$D$20="Avalanche",'Avalanche workings'!$R$123,'Snowball workings'!$R$123)+IF('Your debts'!$D$20="Avalanche",'Avalanche workings'!$AL$123,'Snowball workings'!$AL$123))</f>
      </c>
      <c r="S121" s="30">
        <f>IF(OR(116&gt;$Z$1,NOT(OR('Your debts'!$B$12&lt;&gt;"",N('Your debts'!$C$12)&gt;0))),"",IF('Your debts'!$D$20="Avalanche",'Avalanche workings'!$AV$123,'Snowball workings'!$AV$123))</f>
      </c>
      <c r="T121" s="29">
        <f>IF(OR(116&gt;$Z$1,NOT(OR('Your debts'!$B$13&lt;&gt;"",N('Your debts'!$C$13)&gt;0))),"",IF('Your debts'!$D$20="Avalanche",'Avalanche workings'!$S$123,'Snowball workings'!$S$123)+IF('Your debts'!$D$20="Avalanche",'Avalanche workings'!$AM$123,'Snowball workings'!$AM$123))</f>
      </c>
      <c r="U121" s="30">
        <f>IF(OR(116&gt;$Z$1,NOT(OR('Your debts'!$B$13&lt;&gt;"",N('Your debts'!$C$13)&gt;0))),"",IF('Your debts'!$D$20="Avalanche",'Avalanche workings'!$AW$123,'Snowball workings'!$AW$123))</f>
      </c>
      <c r="V121" s="29">
        <f>IF(OR(116&gt;$Z$1,NOT(OR('Your debts'!$B$14&lt;&gt;"",N('Your debts'!$C$14)&gt;0))),"",IF('Your debts'!$D$20="Avalanche",'Avalanche workings'!$T$123,'Snowball workings'!$T$123)+IF('Your debts'!$D$20="Avalanche",'Avalanche workings'!$AN$123,'Snowball workings'!$AN$123))</f>
      </c>
      <c r="W121" s="30">
        <f>IF(OR(116&gt;$Z$1,NOT(OR('Your debts'!$B$14&lt;&gt;"",N('Your debts'!$C$14)&gt;0))),"",IF('Your debts'!$D$20="Avalanche",'Avalanche workings'!$AX$123,'Snowball workings'!$AX$123))</f>
      </c>
      <c r="X121" s="29">
        <f>IF(OR(116&gt;$Z$1,NOT(OR('Your debts'!$B$15&lt;&gt;"",N('Your debts'!$C$15)&gt;0))),"",IF('Your debts'!$D$20="Avalanche",'Avalanche workings'!$U$123,'Snowball workings'!$U$123)+IF('Your debts'!$D$20="Avalanche",'Avalanche workings'!$AO$123,'Snowball workings'!$AO$123))</f>
      </c>
      <c r="Y121" s="30">
        <f>IF(OR(116&gt;$Z$1,NOT(OR('Your debts'!$B$15&lt;&gt;"",N('Your debts'!$C$15)&gt;0))),"",IF('Your debts'!$D$20="Avalanche",'Avalanche workings'!$AY$123,'Snowball workings'!$AY$123))</f>
      </c>
    </row>
    <row r="122" spans="1:25" x14ac:dyDescent="0.25">
      <c r="A122" s="2">
        <f>IF(117&gt;$Z$1,"",117)</f>
      </c>
      <c r="B122" s="28">
        <f>IF(117&gt;$Z$1,"",EDATE('Your debts'!$D$21,116))</f>
      </c>
      <c r="C122" s="29">
        <f>IF(117&gt;$Z$1,"",IF('Your debts'!$D$20="Avalanche",'Avalanche workings'!$BC$124,'Snowball workings'!$BC$124))</f>
      </c>
      <c r="D122" s="29">
        <f>IF(117&gt;$Z$1,"",IF('Your debts'!$D$20="Avalanche",'Avalanche workings'!$BA$124,'Snowball workings'!$BA$124))</f>
      </c>
      <c r="E122" s="29">
        <f>IF(117&gt;$Z$1,"",IF('Your debts'!$D$20="Avalanche",'Avalanche workings'!$BB$124,'Snowball workings'!$BB$124))</f>
      </c>
      <c r="F122" s="29">
        <f>IF(OR(117&gt;$Z$1,NOT(OR('Your debts'!$B$6&lt;&gt;"",N('Your debts'!$C$6)&gt;0))),"",IF('Your debts'!$D$20="Avalanche",'Avalanche workings'!$L$124,'Snowball workings'!$L$124)+IF('Your debts'!$D$20="Avalanche",'Avalanche workings'!$AF$124,'Snowball workings'!$AF$124))</f>
      </c>
      <c r="G122" s="30">
        <f>IF(OR(117&gt;$Z$1,NOT(OR('Your debts'!$B$6&lt;&gt;"",N('Your debts'!$C$6)&gt;0))),"",IF('Your debts'!$D$20="Avalanche",'Avalanche workings'!$AP$124,'Snowball workings'!$AP$124))</f>
      </c>
      <c r="H122" s="29">
        <f>IF(OR(117&gt;$Z$1,NOT(OR('Your debts'!$B$7&lt;&gt;"",N('Your debts'!$C$7)&gt;0))),"",IF('Your debts'!$D$20="Avalanche",'Avalanche workings'!$M$124,'Snowball workings'!$M$124)+IF('Your debts'!$D$20="Avalanche",'Avalanche workings'!$AG$124,'Snowball workings'!$AG$124))</f>
      </c>
      <c r="I122" s="30">
        <f>IF(OR(117&gt;$Z$1,NOT(OR('Your debts'!$B$7&lt;&gt;"",N('Your debts'!$C$7)&gt;0))),"",IF('Your debts'!$D$20="Avalanche",'Avalanche workings'!$AQ$124,'Snowball workings'!$AQ$124))</f>
      </c>
      <c r="J122" s="29">
        <f>IF(OR(117&gt;$Z$1,NOT(OR('Your debts'!$B$8&lt;&gt;"",N('Your debts'!$C$8)&gt;0))),"",IF('Your debts'!$D$20="Avalanche",'Avalanche workings'!$N$124,'Snowball workings'!$N$124)+IF('Your debts'!$D$20="Avalanche",'Avalanche workings'!$AH$124,'Snowball workings'!$AH$124))</f>
      </c>
      <c r="K122" s="30">
        <f>IF(OR(117&gt;$Z$1,NOT(OR('Your debts'!$B$8&lt;&gt;"",N('Your debts'!$C$8)&gt;0))),"",IF('Your debts'!$D$20="Avalanche",'Avalanche workings'!$AR$124,'Snowball workings'!$AR$124))</f>
      </c>
      <c r="L122" s="29">
        <f>IF(OR(117&gt;$Z$1,NOT(OR('Your debts'!$B$9&lt;&gt;"",N('Your debts'!$C$9)&gt;0))),"",IF('Your debts'!$D$20="Avalanche",'Avalanche workings'!$O$124,'Snowball workings'!$O$124)+IF('Your debts'!$D$20="Avalanche",'Avalanche workings'!$AI$124,'Snowball workings'!$AI$124))</f>
      </c>
      <c r="M122" s="30">
        <f>IF(OR(117&gt;$Z$1,NOT(OR('Your debts'!$B$9&lt;&gt;"",N('Your debts'!$C$9)&gt;0))),"",IF('Your debts'!$D$20="Avalanche",'Avalanche workings'!$AS$124,'Snowball workings'!$AS$124))</f>
      </c>
      <c r="N122" s="29">
        <f>IF(OR(117&gt;$Z$1,NOT(OR('Your debts'!$B$10&lt;&gt;"",N('Your debts'!$C$10)&gt;0))),"",IF('Your debts'!$D$20="Avalanche",'Avalanche workings'!$P$124,'Snowball workings'!$P$124)+IF('Your debts'!$D$20="Avalanche",'Avalanche workings'!$AJ$124,'Snowball workings'!$AJ$124))</f>
      </c>
      <c r="O122" s="30">
        <f>IF(OR(117&gt;$Z$1,NOT(OR('Your debts'!$B$10&lt;&gt;"",N('Your debts'!$C$10)&gt;0))),"",IF('Your debts'!$D$20="Avalanche",'Avalanche workings'!$AT$124,'Snowball workings'!$AT$124))</f>
      </c>
      <c r="P122" s="29">
        <f>IF(OR(117&gt;$Z$1,NOT(OR('Your debts'!$B$11&lt;&gt;"",N('Your debts'!$C$11)&gt;0))),"",IF('Your debts'!$D$20="Avalanche",'Avalanche workings'!$Q$124,'Snowball workings'!$Q$124)+IF('Your debts'!$D$20="Avalanche",'Avalanche workings'!$AK$124,'Snowball workings'!$AK$124))</f>
      </c>
      <c r="Q122" s="30">
        <f>IF(OR(117&gt;$Z$1,NOT(OR('Your debts'!$B$11&lt;&gt;"",N('Your debts'!$C$11)&gt;0))),"",IF('Your debts'!$D$20="Avalanche",'Avalanche workings'!$AU$124,'Snowball workings'!$AU$124))</f>
      </c>
      <c r="R122" s="29">
        <f>IF(OR(117&gt;$Z$1,NOT(OR('Your debts'!$B$12&lt;&gt;"",N('Your debts'!$C$12)&gt;0))),"",IF('Your debts'!$D$20="Avalanche",'Avalanche workings'!$R$124,'Snowball workings'!$R$124)+IF('Your debts'!$D$20="Avalanche",'Avalanche workings'!$AL$124,'Snowball workings'!$AL$124))</f>
      </c>
      <c r="S122" s="30">
        <f>IF(OR(117&gt;$Z$1,NOT(OR('Your debts'!$B$12&lt;&gt;"",N('Your debts'!$C$12)&gt;0))),"",IF('Your debts'!$D$20="Avalanche",'Avalanche workings'!$AV$124,'Snowball workings'!$AV$124))</f>
      </c>
      <c r="T122" s="29">
        <f>IF(OR(117&gt;$Z$1,NOT(OR('Your debts'!$B$13&lt;&gt;"",N('Your debts'!$C$13)&gt;0))),"",IF('Your debts'!$D$20="Avalanche",'Avalanche workings'!$S$124,'Snowball workings'!$S$124)+IF('Your debts'!$D$20="Avalanche",'Avalanche workings'!$AM$124,'Snowball workings'!$AM$124))</f>
      </c>
      <c r="U122" s="30">
        <f>IF(OR(117&gt;$Z$1,NOT(OR('Your debts'!$B$13&lt;&gt;"",N('Your debts'!$C$13)&gt;0))),"",IF('Your debts'!$D$20="Avalanche",'Avalanche workings'!$AW$124,'Snowball workings'!$AW$124))</f>
      </c>
      <c r="V122" s="29">
        <f>IF(OR(117&gt;$Z$1,NOT(OR('Your debts'!$B$14&lt;&gt;"",N('Your debts'!$C$14)&gt;0))),"",IF('Your debts'!$D$20="Avalanche",'Avalanche workings'!$T$124,'Snowball workings'!$T$124)+IF('Your debts'!$D$20="Avalanche",'Avalanche workings'!$AN$124,'Snowball workings'!$AN$124))</f>
      </c>
      <c r="W122" s="30">
        <f>IF(OR(117&gt;$Z$1,NOT(OR('Your debts'!$B$14&lt;&gt;"",N('Your debts'!$C$14)&gt;0))),"",IF('Your debts'!$D$20="Avalanche",'Avalanche workings'!$AX$124,'Snowball workings'!$AX$124))</f>
      </c>
      <c r="X122" s="29">
        <f>IF(OR(117&gt;$Z$1,NOT(OR('Your debts'!$B$15&lt;&gt;"",N('Your debts'!$C$15)&gt;0))),"",IF('Your debts'!$D$20="Avalanche",'Avalanche workings'!$U$124,'Snowball workings'!$U$124)+IF('Your debts'!$D$20="Avalanche",'Avalanche workings'!$AO$124,'Snowball workings'!$AO$124))</f>
      </c>
      <c r="Y122" s="30">
        <f>IF(OR(117&gt;$Z$1,NOT(OR('Your debts'!$B$15&lt;&gt;"",N('Your debts'!$C$15)&gt;0))),"",IF('Your debts'!$D$20="Avalanche",'Avalanche workings'!$AY$124,'Snowball workings'!$AY$124))</f>
      </c>
    </row>
    <row r="123" spans="1:25" x14ac:dyDescent="0.25">
      <c r="A123" s="2">
        <f>IF(118&gt;$Z$1,"",118)</f>
      </c>
      <c r="B123" s="28">
        <f>IF(118&gt;$Z$1,"",EDATE('Your debts'!$D$21,117))</f>
      </c>
      <c r="C123" s="29">
        <f>IF(118&gt;$Z$1,"",IF('Your debts'!$D$20="Avalanche",'Avalanche workings'!$BC$125,'Snowball workings'!$BC$125))</f>
      </c>
      <c r="D123" s="29">
        <f>IF(118&gt;$Z$1,"",IF('Your debts'!$D$20="Avalanche",'Avalanche workings'!$BA$125,'Snowball workings'!$BA$125))</f>
      </c>
      <c r="E123" s="29">
        <f>IF(118&gt;$Z$1,"",IF('Your debts'!$D$20="Avalanche",'Avalanche workings'!$BB$125,'Snowball workings'!$BB$125))</f>
      </c>
      <c r="F123" s="29">
        <f>IF(OR(118&gt;$Z$1,NOT(OR('Your debts'!$B$6&lt;&gt;"",N('Your debts'!$C$6)&gt;0))),"",IF('Your debts'!$D$20="Avalanche",'Avalanche workings'!$L$125,'Snowball workings'!$L$125)+IF('Your debts'!$D$20="Avalanche",'Avalanche workings'!$AF$125,'Snowball workings'!$AF$125))</f>
      </c>
      <c r="G123" s="30">
        <f>IF(OR(118&gt;$Z$1,NOT(OR('Your debts'!$B$6&lt;&gt;"",N('Your debts'!$C$6)&gt;0))),"",IF('Your debts'!$D$20="Avalanche",'Avalanche workings'!$AP$125,'Snowball workings'!$AP$125))</f>
      </c>
      <c r="H123" s="29">
        <f>IF(OR(118&gt;$Z$1,NOT(OR('Your debts'!$B$7&lt;&gt;"",N('Your debts'!$C$7)&gt;0))),"",IF('Your debts'!$D$20="Avalanche",'Avalanche workings'!$M$125,'Snowball workings'!$M$125)+IF('Your debts'!$D$20="Avalanche",'Avalanche workings'!$AG$125,'Snowball workings'!$AG$125))</f>
      </c>
      <c r="I123" s="30">
        <f>IF(OR(118&gt;$Z$1,NOT(OR('Your debts'!$B$7&lt;&gt;"",N('Your debts'!$C$7)&gt;0))),"",IF('Your debts'!$D$20="Avalanche",'Avalanche workings'!$AQ$125,'Snowball workings'!$AQ$125))</f>
      </c>
      <c r="J123" s="29">
        <f>IF(OR(118&gt;$Z$1,NOT(OR('Your debts'!$B$8&lt;&gt;"",N('Your debts'!$C$8)&gt;0))),"",IF('Your debts'!$D$20="Avalanche",'Avalanche workings'!$N$125,'Snowball workings'!$N$125)+IF('Your debts'!$D$20="Avalanche",'Avalanche workings'!$AH$125,'Snowball workings'!$AH$125))</f>
      </c>
      <c r="K123" s="30">
        <f>IF(OR(118&gt;$Z$1,NOT(OR('Your debts'!$B$8&lt;&gt;"",N('Your debts'!$C$8)&gt;0))),"",IF('Your debts'!$D$20="Avalanche",'Avalanche workings'!$AR$125,'Snowball workings'!$AR$125))</f>
      </c>
      <c r="L123" s="29">
        <f>IF(OR(118&gt;$Z$1,NOT(OR('Your debts'!$B$9&lt;&gt;"",N('Your debts'!$C$9)&gt;0))),"",IF('Your debts'!$D$20="Avalanche",'Avalanche workings'!$O$125,'Snowball workings'!$O$125)+IF('Your debts'!$D$20="Avalanche",'Avalanche workings'!$AI$125,'Snowball workings'!$AI$125))</f>
      </c>
      <c r="M123" s="30">
        <f>IF(OR(118&gt;$Z$1,NOT(OR('Your debts'!$B$9&lt;&gt;"",N('Your debts'!$C$9)&gt;0))),"",IF('Your debts'!$D$20="Avalanche",'Avalanche workings'!$AS$125,'Snowball workings'!$AS$125))</f>
      </c>
      <c r="N123" s="29">
        <f>IF(OR(118&gt;$Z$1,NOT(OR('Your debts'!$B$10&lt;&gt;"",N('Your debts'!$C$10)&gt;0))),"",IF('Your debts'!$D$20="Avalanche",'Avalanche workings'!$P$125,'Snowball workings'!$P$125)+IF('Your debts'!$D$20="Avalanche",'Avalanche workings'!$AJ$125,'Snowball workings'!$AJ$125))</f>
      </c>
      <c r="O123" s="30">
        <f>IF(OR(118&gt;$Z$1,NOT(OR('Your debts'!$B$10&lt;&gt;"",N('Your debts'!$C$10)&gt;0))),"",IF('Your debts'!$D$20="Avalanche",'Avalanche workings'!$AT$125,'Snowball workings'!$AT$125))</f>
      </c>
      <c r="P123" s="29">
        <f>IF(OR(118&gt;$Z$1,NOT(OR('Your debts'!$B$11&lt;&gt;"",N('Your debts'!$C$11)&gt;0))),"",IF('Your debts'!$D$20="Avalanche",'Avalanche workings'!$Q$125,'Snowball workings'!$Q$125)+IF('Your debts'!$D$20="Avalanche",'Avalanche workings'!$AK$125,'Snowball workings'!$AK$125))</f>
      </c>
      <c r="Q123" s="30">
        <f>IF(OR(118&gt;$Z$1,NOT(OR('Your debts'!$B$11&lt;&gt;"",N('Your debts'!$C$11)&gt;0))),"",IF('Your debts'!$D$20="Avalanche",'Avalanche workings'!$AU$125,'Snowball workings'!$AU$125))</f>
      </c>
      <c r="R123" s="29">
        <f>IF(OR(118&gt;$Z$1,NOT(OR('Your debts'!$B$12&lt;&gt;"",N('Your debts'!$C$12)&gt;0))),"",IF('Your debts'!$D$20="Avalanche",'Avalanche workings'!$R$125,'Snowball workings'!$R$125)+IF('Your debts'!$D$20="Avalanche",'Avalanche workings'!$AL$125,'Snowball workings'!$AL$125))</f>
      </c>
      <c r="S123" s="30">
        <f>IF(OR(118&gt;$Z$1,NOT(OR('Your debts'!$B$12&lt;&gt;"",N('Your debts'!$C$12)&gt;0))),"",IF('Your debts'!$D$20="Avalanche",'Avalanche workings'!$AV$125,'Snowball workings'!$AV$125))</f>
      </c>
      <c r="T123" s="29">
        <f>IF(OR(118&gt;$Z$1,NOT(OR('Your debts'!$B$13&lt;&gt;"",N('Your debts'!$C$13)&gt;0))),"",IF('Your debts'!$D$20="Avalanche",'Avalanche workings'!$S$125,'Snowball workings'!$S$125)+IF('Your debts'!$D$20="Avalanche",'Avalanche workings'!$AM$125,'Snowball workings'!$AM$125))</f>
      </c>
      <c r="U123" s="30">
        <f>IF(OR(118&gt;$Z$1,NOT(OR('Your debts'!$B$13&lt;&gt;"",N('Your debts'!$C$13)&gt;0))),"",IF('Your debts'!$D$20="Avalanche",'Avalanche workings'!$AW$125,'Snowball workings'!$AW$125))</f>
      </c>
      <c r="V123" s="29">
        <f>IF(OR(118&gt;$Z$1,NOT(OR('Your debts'!$B$14&lt;&gt;"",N('Your debts'!$C$14)&gt;0))),"",IF('Your debts'!$D$20="Avalanche",'Avalanche workings'!$T$125,'Snowball workings'!$T$125)+IF('Your debts'!$D$20="Avalanche",'Avalanche workings'!$AN$125,'Snowball workings'!$AN$125))</f>
      </c>
      <c r="W123" s="30">
        <f>IF(OR(118&gt;$Z$1,NOT(OR('Your debts'!$B$14&lt;&gt;"",N('Your debts'!$C$14)&gt;0))),"",IF('Your debts'!$D$20="Avalanche",'Avalanche workings'!$AX$125,'Snowball workings'!$AX$125))</f>
      </c>
      <c r="X123" s="29">
        <f>IF(OR(118&gt;$Z$1,NOT(OR('Your debts'!$B$15&lt;&gt;"",N('Your debts'!$C$15)&gt;0))),"",IF('Your debts'!$D$20="Avalanche",'Avalanche workings'!$U$125,'Snowball workings'!$U$125)+IF('Your debts'!$D$20="Avalanche",'Avalanche workings'!$AO$125,'Snowball workings'!$AO$125))</f>
      </c>
      <c r="Y123" s="30">
        <f>IF(OR(118&gt;$Z$1,NOT(OR('Your debts'!$B$15&lt;&gt;"",N('Your debts'!$C$15)&gt;0))),"",IF('Your debts'!$D$20="Avalanche",'Avalanche workings'!$AY$125,'Snowball workings'!$AY$125))</f>
      </c>
    </row>
    <row r="124" spans="1:25" x14ac:dyDescent="0.25">
      <c r="A124" s="2">
        <f>IF(119&gt;$Z$1,"",119)</f>
      </c>
      <c r="B124" s="28">
        <f>IF(119&gt;$Z$1,"",EDATE('Your debts'!$D$21,118))</f>
      </c>
      <c r="C124" s="29">
        <f>IF(119&gt;$Z$1,"",IF('Your debts'!$D$20="Avalanche",'Avalanche workings'!$BC$126,'Snowball workings'!$BC$126))</f>
      </c>
      <c r="D124" s="29">
        <f>IF(119&gt;$Z$1,"",IF('Your debts'!$D$20="Avalanche",'Avalanche workings'!$BA$126,'Snowball workings'!$BA$126))</f>
      </c>
      <c r="E124" s="29">
        <f>IF(119&gt;$Z$1,"",IF('Your debts'!$D$20="Avalanche",'Avalanche workings'!$BB$126,'Snowball workings'!$BB$126))</f>
      </c>
      <c r="F124" s="29">
        <f>IF(OR(119&gt;$Z$1,NOT(OR('Your debts'!$B$6&lt;&gt;"",N('Your debts'!$C$6)&gt;0))),"",IF('Your debts'!$D$20="Avalanche",'Avalanche workings'!$L$126,'Snowball workings'!$L$126)+IF('Your debts'!$D$20="Avalanche",'Avalanche workings'!$AF$126,'Snowball workings'!$AF$126))</f>
      </c>
      <c r="G124" s="30">
        <f>IF(OR(119&gt;$Z$1,NOT(OR('Your debts'!$B$6&lt;&gt;"",N('Your debts'!$C$6)&gt;0))),"",IF('Your debts'!$D$20="Avalanche",'Avalanche workings'!$AP$126,'Snowball workings'!$AP$126))</f>
      </c>
      <c r="H124" s="29">
        <f>IF(OR(119&gt;$Z$1,NOT(OR('Your debts'!$B$7&lt;&gt;"",N('Your debts'!$C$7)&gt;0))),"",IF('Your debts'!$D$20="Avalanche",'Avalanche workings'!$M$126,'Snowball workings'!$M$126)+IF('Your debts'!$D$20="Avalanche",'Avalanche workings'!$AG$126,'Snowball workings'!$AG$126))</f>
      </c>
      <c r="I124" s="30">
        <f>IF(OR(119&gt;$Z$1,NOT(OR('Your debts'!$B$7&lt;&gt;"",N('Your debts'!$C$7)&gt;0))),"",IF('Your debts'!$D$20="Avalanche",'Avalanche workings'!$AQ$126,'Snowball workings'!$AQ$126))</f>
      </c>
      <c r="J124" s="29">
        <f>IF(OR(119&gt;$Z$1,NOT(OR('Your debts'!$B$8&lt;&gt;"",N('Your debts'!$C$8)&gt;0))),"",IF('Your debts'!$D$20="Avalanche",'Avalanche workings'!$N$126,'Snowball workings'!$N$126)+IF('Your debts'!$D$20="Avalanche",'Avalanche workings'!$AH$126,'Snowball workings'!$AH$126))</f>
      </c>
      <c r="K124" s="30">
        <f>IF(OR(119&gt;$Z$1,NOT(OR('Your debts'!$B$8&lt;&gt;"",N('Your debts'!$C$8)&gt;0))),"",IF('Your debts'!$D$20="Avalanche",'Avalanche workings'!$AR$126,'Snowball workings'!$AR$126))</f>
      </c>
      <c r="L124" s="29">
        <f>IF(OR(119&gt;$Z$1,NOT(OR('Your debts'!$B$9&lt;&gt;"",N('Your debts'!$C$9)&gt;0))),"",IF('Your debts'!$D$20="Avalanche",'Avalanche workings'!$O$126,'Snowball workings'!$O$126)+IF('Your debts'!$D$20="Avalanche",'Avalanche workings'!$AI$126,'Snowball workings'!$AI$126))</f>
      </c>
      <c r="M124" s="30">
        <f>IF(OR(119&gt;$Z$1,NOT(OR('Your debts'!$B$9&lt;&gt;"",N('Your debts'!$C$9)&gt;0))),"",IF('Your debts'!$D$20="Avalanche",'Avalanche workings'!$AS$126,'Snowball workings'!$AS$126))</f>
      </c>
      <c r="N124" s="29">
        <f>IF(OR(119&gt;$Z$1,NOT(OR('Your debts'!$B$10&lt;&gt;"",N('Your debts'!$C$10)&gt;0))),"",IF('Your debts'!$D$20="Avalanche",'Avalanche workings'!$P$126,'Snowball workings'!$P$126)+IF('Your debts'!$D$20="Avalanche",'Avalanche workings'!$AJ$126,'Snowball workings'!$AJ$126))</f>
      </c>
      <c r="O124" s="30">
        <f>IF(OR(119&gt;$Z$1,NOT(OR('Your debts'!$B$10&lt;&gt;"",N('Your debts'!$C$10)&gt;0))),"",IF('Your debts'!$D$20="Avalanche",'Avalanche workings'!$AT$126,'Snowball workings'!$AT$126))</f>
      </c>
      <c r="P124" s="29">
        <f>IF(OR(119&gt;$Z$1,NOT(OR('Your debts'!$B$11&lt;&gt;"",N('Your debts'!$C$11)&gt;0))),"",IF('Your debts'!$D$20="Avalanche",'Avalanche workings'!$Q$126,'Snowball workings'!$Q$126)+IF('Your debts'!$D$20="Avalanche",'Avalanche workings'!$AK$126,'Snowball workings'!$AK$126))</f>
      </c>
      <c r="Q124" s="30">
        <f>IF(OR(119&gt;$Z$1,NOT(OR('Your debts'!$B$11&lt;&gt;"",N('Your debts'!$C$11)&gt;0))),"",IF('Your debts'!$D$20="Avalanche",'Avalanche workings'!$AU$126,'Snowball workings'!$AU$126))</f>
      </c>
      <c r="R124" s="29">
        <f>IF(OR(119&gt;$Z$1,NOT(OR('Your debts'!$B$12&lt;&gt;"",N('Your debts'!$C$12)&gt;0))),"",IF('Your debts'!$D$20="Avalanche",'Avalanche workings'!$R$126,'Snowball workings'!$R$126)+IF('Your debts'!$D$20="Avalanche",'Avalanche workings'!$AL$126,'Snowball workings'!$AL$126))</f>
      </c>
      <c r="S124" s="30">
        <f>IF(OR(119&gt;$Z$1,NOT(OR('Your debts'!$B$12&lt;&gt;"",N('Your debts'!$C$12)&gt;0))),"",IF('Your debts'!$D$20="Avalanche",'Avalanche workings'!$AV$126,'Snowball workings'!$AV$126))</f>
      </c>
      <c r="T124" s="29">
        <f>IF(OR(119&gt;$Z$1,NOT(OR('Your debts'!$B$13&lt;&gt;"",N('Your debts'!$C$13)&gt;0))),"",IF('Your debts'!$D$20="Avalanche",'Avalanche workings'!$S$126,'Snowball workings'!$S$126)+IF('Your debts'!$D$20="Avalanche",'Avalanche workings'!$AM$126,'Snowball workings'!$AM$126))</f>
      </c>
      <c r="U124" s="30">
        <f>IF(OR(119&gt;$Z$1,NOT(OR('Your debts'!$B$13&lt;&gt;"",N('Your debts'!$C$13)&gt;0))),"",IF('Your debts'!$D$20="Avalanche",'Avalanche workings'!$AW$126,'Snowball workings'!$AW$126))</f>
      </c>
      <c r="V124" s="29">
        <f>IF(OR(119&gt;$Z$1,NOT(OR('Your debts'!$B$14&lt;&gt;"",N('Your debts'!$C$14)&gt;0))),"",IF('Your debts'!$D$20="Avalanche",'Avalanche workings'!$T$126,'Snowball workings'!$T$126)+IF('Your debts'!$D$20="Avalanche",'Avalanche workings'!$AN$126,'Snowball workings'!$AN$126))</f>
      </c>
      <c r="W124" s="30">
        <f>IF(OR(119&gt;$Z$1,NOT(OR('Your debts'!$B$14&lt;&gt;"",N('Your debts'!$C$14)&gt;0))),"",IF('Your debts'!$D$20="Avalanche",'Avalanche workings'!$AX$126,'Snowball workings'!$AX$126))</f>
      </c>
      <c r="X124" s="29">
        <f>IF(OR(119&gt;$Z$1,NOT(OR('Your debts'!$B$15&lt;&gt;"",N('Your debts'!$C$15)&gt;0))),"",IF('Your debts'!$D$20="Avalanche",'Avalanche workings'!$U$126,'Snowball workings'!$U$126)+IF('Your debts'!$D$20="Avalanche",'Avalanche workings'!$AO$126,'Snowball workings'!$AO$126))</f>
      </c>
      <c r="Y124" s="30">
        <f>IF(OR(119&gt;$Z$1,NOT(OR('Your debts'!$B$15&lt;&gt;"",N('Your debts'!$C$15)&gt;0))),"",IF('Your debts'!$D$20="Avalanche",'Avalanche workings'!$AY$126,'Snowball workings'!$AY$126))</f>
      </c>
    </row>
    <row r="125" spans="1:25" x14ac:dyDescent="0.25">
      <c r="A125" s="2">
        <f>IF(120&gt;$Z$1,"",120)</f>
      </c>
      <c r="B125" s="28">
        <f>IF(120&gt;$Z$1,"",EDATE('Your debts'!$D$21,119))</f>
      </c>
      <c r="C125" s="29">
        <f>IF(120&gt;$Z$1,"",IF('Your debts'!$D$20="Avalanche",'Avalanche workings'!$BC$127,'Snowball workings'!$BC$127))</f>
      </c>
      <c r="D125" s="29">
        <f>IF(120&gt;$Z$1,"",IF('Your debts'!$D$20="Avalanche",'Avalanche workings'!$BA$127,'Snowball workings'!$BA$127))</f>
      </c>
      <c r="E125" s="29">
        <f>IF(120&gt;$Z$1,"",IF('Your debts'!$D$20="Avalanche",'Avalanche workings'!$BB$127,'Snowball workings'!$BB$127))</f>
      </c>
      <c r="F125" s="29">
        <f>IF(OR(120&gt;$Z$1,NOT(OR('Your debts'!$B$6&lt;&gt;"",N('Your debts'!$C$6)&gt;0))),"",IF('Your debts'!$D$20="Avalanche",'Avalanche workings'!$L$127,'Snowball workings'!$L$127)+IF('Your debts'!$D$20="Avalanche",'Avalanche workings'!$AF$127,'Snowball workings'!$AF$127))</f>
      </c>
      <c r="G125" s="30">
        <f>IF(OR(120&gt;$Z$1,NOT(OR('Your debts'!$B$6&lt;&gt;"",N('Your debts'!$C$6)&gt;0))),"",IF('Your debts'!$D$20="Avalanche",'Avalanche workings'!$AP$127,'Snowball workings'!$AP$127))</f>
      </c>
      <c r="H125" s="29">
        <f>IF(OR(120&gt;$Z$1,NOT(OR('Your debts'!$B$7&lt;&gt;"",N('Your debts'!$C$7)&gt;0))),"",IF('Your debts'!$D$20="Avalanche",'Avalanche workings'!$M$127,'Snowball workings'!$M$127)+IF('Your debts'!$D$20="Avalanche",'Avalanche workings'!$AG$127,'Snowball workings'!$AG$127))</f>
      </c>
      <c r="I125" s="30">
        <f>IF(OR(120&gt;$Z$1,NOT(OR('Your debts'!$B$7&lt;&gt;"",N('Your debts'!$C$7)&gt;0))),"",IF('Your debts'!$D$20="Avalanche",'Avalanche workings'!$AQ$127,'Snowball workings'!$AQ$127))</f>
      </c>
      <c r="J125" s="29">
        <f>IF(OR(120&gt;$Z$1,NOT(OR('Your debts'!$B$8&lt;&gt;"",N('Your debts'!$C$8)&gt;0))),"",IF('Your debts'!$D$20="Avalanche",'Avalanche workings'!$N$127,'Snowball workings'!$N$127)+IF('Your debts'!$D$20="Avalanche",'Avalanche workings'!$AH$127,'Snowball workings'!$AH$127))</f>
      </c>
      <c r="K125" s="30">
        <f>IF(OR(120&gt;$Z$1,NOT(OR('Your debts'!$B$8&lt;&gt;"",N('Your debts'!$C$8)&gt;0))),"",IF('Your debts'!$D$20="Avalanche",'Avalanche workings'!$AR$127,'Snowball workings'!$AR$127))</f>
      </c>
      <c r="L125" s="29">
        <f>IF(OR(120&gt;$Z$1,NOT(OR('Your debts'!$B$9&lt;&gt;"",N('Your debts'!$C$9)&gt;0))),"",IF('Your debts'!$D$20="Avalanche",'Avalanche workings'!$O$127,'Snowball workings'!$O$127)+IF('Your debts'!$D$20="Avalanche",'Avalanche workings'!$AI$127,'Snowball workings'!$AI$127))</f>
      </c>
      <c r="M125" s="30">
        <f>IF(OR(120&gt;$Z$1,NOT(OR('Your debts'!$B$9&lt;&gt;"",N('Your debts'!$C$9)&gt;0))),"",IF('Your debts'!$D$20="Avalanche",'Avalanche workings'!$AS$127,'Snowball workings'!$AS$127))</f>
      </c>
      <c r="N125" s="29">
        <f>IF(OR(120&gt;$Z$1,NOT(OR('Your debts'!$B$10&lt;&gt;"",N('Your debts'!$C$10)&gt;0))),"",IF('Your debts'!$D$20="Avalanche",'Avalanche workings'!$P$127,'Snowball workings'!$P$127)+IF('Your debts'!$D$20="Avalanche",'Avalanche workings'!$AJ$127,'Snowball workings'!$AJ$127))</f>
      </c>
      <c r="O125" s="30">
        <f>IF(OR(120&gt;$Z$1,NOT(OR('Your debts'!$B$10&lt;&gt;"",N('Your debts'!$C$10)&gt;0))),"",IF('Your debts'!$D$20="Avalanche",'Avalanche workings'!$AT$127,'Snowball workings'!$AT$127))</f>
      </c>
      <c r="P125" s="29">
        <f>IF(OR(120&gt;$Z$1,NOT(OR('Your debts'!$B$11&lt;&gt;"",N('Your debts'!$C$11)&gt;0))),"",IF('Your debts'!$D$20="Avalanche",'Avalanche workings'!$Q$127,'Snowball workings'!$Q$127)+IF('Your debts'!$D$20="Avalanche",'Avalanche workings'!$AK$127,'Snowball workings'!$AK$127))</f>
      </c>
      <c r="Q125" s="30">
        <f>IF(OR(120&gt;$Z$1,NOT(OR('Your debts'!$B$11&lt;&gt;"",N('Your debts'!$C$11)&gt;0))),"",IF('Your debts'!$D$20="Avalanche",'Avalanche workings'!$AU$127,'Snowball workings'!$AU$127))</f>
      </c>
      <c r="R125" s="29">
        <f>IF(OR(120&gt;$Z$1,NOT(OR('Your debts'!$B$12&lt;&gt;"",N('Your debts'!$C$12)&gt;0))),"",IF('Your debts'!$D$20="Avalanche",'Avalanche workings'!$R$127,'Snowball workings'!$R$127)+IF('Your debts'!$D$20="Avalanche",'Avalanche workings'!$AL$127,'Snowball workings'!$AL$127))</f>
      </c>
      <c r="S125" s="30">
        <f>IF(OR(120&gt;$Z$1,NOT(OR('Your debts'!$B$12&lt;&gt;"",N('Your debts'!$C$12)&gt;0))),"",IF('Your debts'!$D$20="Avalanche",'Avalanche workings'!$AV$127,'Snowball workings'!$AV$127))</f>
      </c>
      <c r="T125" s="29">
        <f>IF(OR(120&gt;$Z$1,NOT(OR('Your debts'!$B$13&lt;&gt;"",N('Your debts'!$C$13)&gt;0))),"",IF('Your debts'!$D$20="Avalanche",'Avalanche workings'!$S$127,'Snowball workings'!$S$127)+IF('Your debts'!$D$20="Avalanche",'Avalanche workings'!$AM$127,'Snowball workings'!$AM$127))</f>
      </c>
      <c r="U125" s="30">
        <f>IF(OR(120&gt;$Z$1,NOT(OR('Your debts'!$B$13&lt;&gt;"",N('Your debts'!$C$13)&gt;0))),"",IF('Your debts'!$D$20="Avalanche",'Avalanche workings'!$AW$127,'Snowball workings'!$AW$127))</f>
      </c>
      <c r="V125" s="29">
        <f>IF(OR(120&gt;$Z$1,NOT(OR('Your debts'!$B$14&lt;&gt;"",N('Your debts'!$C$14)&gt;0))),"",IF('Your debts'!$D$20="Avalanche",'Avalanche workings'!$T$127,'Snowball workings'!$T$127)+IF('Your debts'!$D$20="Avalanche",'Avalanche workings'!$AN$127,'Snowball workings'!$AN$127))</f>
      </c>
      <c r="W125" s="30">
        <f>IF(OR(120&gt;$Z$1,NOT(OR('Your debts'!$B$14&lt;&gt;"",N('Your debts'!$C$14)&gt;0))),"",IF('Your debts'!$D$20="Avalanche",'Avalanche workings'!$AX$127,'Snowball workings'!$AX$127))</f>
      </c>
      <c r="X125" s="29">
        <f>IF(OR(120&gt;$Z$1,NOT(OR('Your debts'!$B$15&lt;&gt;"",N('Your debts'!$C$15)&gt;0))),"",IF('Your debts'!$D$20="Avalanche",'Avalanche workings'!$U$127,'Snowball workings'!$U$127)+IF('Your debts'!$D$20="Avalanche",'Avalanche workings'!$AO$127,'Snowball workings'!$AO$127))</f>
      </c>
      <c r="Y125" s="30">
        <f>IF(OR(120&gt;$Z$1,NOT(OR('Your debts'!$B$15&lt;&gt;"",N('Your debts'!$C$15)&gt;0))),"",IF('Your debts'!$D$20="Avalanche",'Avalanche workings'!$AY$127,'Snowball workings'!$AY$127))</f>
      </c>
    </row>
    <row r="126" spans="1:25" x14ac:dyDescent="0.25">
      <c r="A126" s="2">
        <f>IF(121&gt;$Z$1,"",121)</f>
      </c>
      <c r="B126" s="28">
        <f>IF(121&gt;$Z$1,"",EDATE('Your debts'!$D$21,120))</f>
      </c>
      <c r="C126" s="29">
        <f>IF(121&gt;$Z$1,"",IF('Your debts'!$D$20="Avalanche",'Avalanche workings'!$BC$128,'Snowball workings'!$BC$128))</f>
      </c>
      <c r="D126" s="29">
        <f>IF(121&gt;$Z$1,"",IF('Your debts'!$D$20="Avalanche",'Avalanche workings'!$BA$128,'Snowball workings'!$BA$128))</f>
      </c>
      <c r="E126" s="29">
        <f>IF(121&gt;$Z$1,"",IF('Your debts'!$D$20="Avalanche",'Avalanche workings'!$BB$128,'Snowball workings'!$BB$128))</f>
      </c>
      <c r="F126" s="29">
        <f>IF(OR(121&gt;$Z$1,NOT(OR('Your debts'!$B$6&lt;&gt;"",N('Your debts'!$C$6)&gt;0))),"",IF('Your debts'!$D$20="Avalanche",'Avalanche workings'!$L$128,'Snowball workings'!$L$128)+IF('Your debts'!$D$20="Avalanche",'Avalanche workings'!$AF$128,'Snowball workings'!$AF$128))</f>
      </c>
      <c r="G126" s="30">
        <f>IF(OR(121&gt;$Z$1,NOT(OR('Your debts'!$B$6&lt;&gt;"",N('Your debts'!$C$6)&gt;0))),"",IF('Your debts'!$D$20="Avalanche",'Avalanche workings'!$AP$128,'Snowball workings'!$AP$128))</f>
      </c>
      <c r="H126" s="29">
        <f>IF(OR(121&gt;$Z$1,NOT(OR('Your debts'!$B$7&lt;&gt;"",N('Your debts'!$C$7)&gt;0))),"",IF('Your debts'!$D$20="Avalanche",'Avalanche workings'!$M$128,'Snowball workings'!$M$128)+IF('Your debts'!$D$20="Avalanche",'Avalanche workings'!$AG$128,'Snowball workings'!$AG$128))</f>
      </c>
      <c r="I126" s="30">
        <f>IF(OR(121&gt;$Z$1,NOT(OR('Your debts'!$B$7&lt;&gt;"",N('Your debts'!$C$7)&gt;0))),"",IF('Your debts'!$D$20="Avalanche",'Avalanche workings'!$AQ$128,'Snowball workings'!$AQ$128))</f>
      </c>
      <c r="J126" s="29">
        <f>IF(OR(121&gt;$Z$1,NOT(OR('Your debts'!$B$8&lt;&gt;"",N('Your debts'!$C$8)&gt;0))),"",IF('Your debts'!$D$20="Avalanche",'Avalanche workings'!$N$128,'Snowball workings'!$N$128)+IF('Your debts'!$D$20="Avalanche",'Avalanche workings'!$AH$128,'Snowball workings'!$AH$128))</f>
      </c>
      <c r="K126" s="30">
        <f>IF(OR(121&gt;$Z$1,NOT(OR('Your debts'!$B$8&lt;&gt;"",N('Your debts'!$C$8)&gt;0))),"",IF('Your debts'!$D$20="Avalanche",'Avalanche workings'!$AR$128,'Snowball workings'!$AR$128))</f>
      </c>
      <c r="L126" s="29">
        <f>IF(OR(121&gt;$Z$1,NOT(OR('Your debts'!$B$9&lt;&gt;"",N('Your debts'!$C$9)&gt;0))),"",IF('Your debts'!$D$20="Avalanche",'Avalanche workings'!$O$128,'Snowball workings'!$O$128)+IF('Your debts'!$D$20="Avalanche",'Avalanche workings'!$AI$128,'Snowball workings'!$AI$128))</f>
      </c>
      <c r="M126" s="30">
        <f>IF(OR(121&gt;$Z$1,NOT(OR('Your debts'!$B$9&lt;&gt;"",N('Your debts'!$C$9)&gt;0))),"",IF('Your debts'!$D$20="Avalanche",'Avalanche workings'!$AS$128,'Snowball workings'!$AS$128))</f>
      </c>
      <c r="N126" s="29">
        <f>IF(OR(121&gt;$Z$1,NOT(OR('Your debts'!$B$10&lt;&gt;"",N('Your debts'!$C$10)&gt;0))),"",IF('Your debts'!$D$20="Avalanche",'Avalanche workings'!$P$128,'Snowball workings'!$P$128)+IF('Your debts'!$D$20="Avalanche",'Avalanche workings'!$AJ$128,'Snowball workings'!$AJ$128))</f>
      </c>
      <c r="O126" s="30">
        <f>IF(OR(121&gt;$Z$1,NOT(OR('Your debts'!$B$10&lt;&gt;"",N('Your debts'!$C$10)&gt;0))),"",IF('Your debts'!$D$20="Avalanche",'Avalanche workings'!$AT$128,'Snowball workings'!$AT$128))</f>
      </c>
      <c r="P126" s="29">
        <f>IF(OR(121&gt;$Z$1,NOT(OR('Your debts'!$B$11&lt;&gt;"",N('Your debts'!$C$11)&gt;0))),"",IF('Your debts'!$D$20="Avalanche",'Avalanche workings'!$Q$128,'Snowball workings'!$Q$128)+IF('Your debts'!$D$20="Avalanche",'Avalanche workings'!$AK$128,'Snowball workings'!$AK$128))</f>
      </c>
      <c r="Q126" s="30">
        <f>IF(OR(121&gt;$Z$1,NOT(OR('Your debts'!$B$11&lt;&gt;"",N('Your debts'!$C$11)&gt;0))),"",IF('Your debts'!$D$20="Avalanche",'Avalanche workings'!$AU$128,'Snowball workings'!$AU$128))</f>
      </c>
      <c r="R126" s="29">
        <f>IF(OR(121&gt;$Z$1,NOT(OR('Your debts'!$B$12&lt;&gt;"",N('Your debts'!$C$12)&gt;0))),"",IF('Your debts'!$D$20="Avalanche",'Avalanche workings'!$R$128,'Snowball workings'!$R$128)+IF('Your debts'!$D$20="Avalanche",'Avalanche workings'!$AL$128,'Snowball workings'!$AL$128))</f>
      </c>
      <c r="S126" s="30">
        <f>IF(OR(121&gt;$Z$1,NOT(OR('Your debts'!$B$12&lt;&gt;"",N('Your debts'!$C$12)&gt;0))),"",IF('Your debts'!$D$20="Avalanche",'Avalanche workings'!$AV$128,'Snowball workings'!$AV$128))</f>
      </c>
      <c r="T126" s="29">
        <f>IF(OR(121&gt;$Z$1,NOT(OR('Your debts'!$B$13&lt;&gt;"",N('Your debts'!$C$13)&gt;0))),"",IF('Your debts'!$D$20="Avalanche",'Avalanche workings'!$S$128,'Snowball workings'!$S$128)+IF('Your debts'!$D$20="Avalanche",'Avalanche workings'!$AM$128,'Snowball workings'!$AM$128))</f>
      </c>
      <c r="U126" s="30">
        <f>IF(OR(121&gt;$Z$1,NOT(OR('Your debts'!$B$13&lt;&gt;"",N('Your debts'!$C$13)&gt;0))),"",IF('Your debts'!$D$20="Avalanche",'Avalanche workings'!$AW$128,'Snowball workings'!$AW$128))</f>
      </c>
      <c r="V126" s="29">
        <f>IF(OR(121&gt;$Z$1,NOT(OR('Your debts'!$B$14&lt;&gt;"",N('Your debts'!$C$14)&gt;0))),"",IF('Your debts'!$D$20="Avalanche",'Avalanche workings'!$T$128,'Snowball workings'!$T$128)+IF('Your debts'!$D$20="Avalanche",'Avalanche workings'!$AN$128,'Snowball workings'!$AN$128))</f>
      </c>
      <c r="W126" s="30">
        <f>IF(OR(121&gt;$Z$1,NOT(OR('Your debts'!$B$14&lt;&gt;"",N('Your debts'!$C$14)&gt;0))),"",IF('Your debts'!$D$20="Avalanche",'Avalanche workings'!$AX$128,'Snowball workings'!$AX$128))</f>
      </c>
      <c r="X126" s="29">
        <f>IF(OR(121&gt;$Z$1,NOT(OR('Your debts'!$B$15&lt;&gt;"",N('Your debts'!$C$15)&gt;0))),"",IF('Your debts'!$D$20="Avalanche",'Avalanche workings'!$U$128,'Snowball workings'!$U$128)+IF('Your debts'!$D$20="Avalanche",'Avalanche workings'!$AO$128,'Snowball workings'!$AO$128))</f>
      </c>
      <c r="Y126" s="30">
        <f>IF(OR(121&gt;$Z$1,NOT(OR('Your debts'!$B$15&lt;&gt;"",N('Your debts'!$C$15)&gt;0))),"",IF('Your debts'!$D$20="Avalanche",'Avalanche workings'!$AY$128,'Snowball workings'!$AY$128))</f>
      </c>
    </row>
    <row r="127" spans="1:25" x14ac:dyDescent="0.25">
      <c r="A127" s="2">
        <f>IF(122&gt;$Z$1,"",122)</f>
      </c>
      <c r="B127" s="28">
        <f>IF(122&gt;$Z$1,"",EDATE('Your debts'!$D$21,121))</f>
      </c>
      <c r="C127" s="29">
        <f>IF(122&gt;$Z$1,"",IF('Your debts'!$D$20="Avalanche",'Avalanche workings'!$BC$129,'Snowball workings'!$BC$129))</f>
      </c>
      <c r="D127" s="29">
        <f>IF(122&gt;$Z$1,"",IF('Your debts'!$D$20="Avalanche",'Avalanche workings'!$BA$129,'Snowball workings'!$BA$129))</f>
      </c>
      <c r="E127" s="29">
        <f>IF(122&gt;$Z$1,"",IF('Your debts'!$D$20="Avalanche",'Avalanche workings'!$BB$129,'Snowball workings'!$BB$129))</f>
      </c>
      <c r="F127" s="29">
        <f>IF(OR(122&gt;$Z$1,NOT(OR('Your debts'!$B$6&lt;&gt;"",N('Your debts'!$C$6)&gt;0))),"",IF('Your debts'!$D$20="Avalanche",'Avalanche workings'!$L$129,'Snowball workings'!$L$129)+IF('Your debts'!$D$20="Avalanche",'Avalanche workings'!$AF$129,'Snowball workings'!$AF$129))</f>
      </c>
      <c r="G127" s="30">
        <f>IF(OR(122&gt;$Z$1,NOT(OR('Your debts'!$B$6&lt;&gt;"",N('Your debts'!$C$6)&gt;0))),"",IF('Your debts'!$D$20="Avalanche",'Avalanche workings'!$AP$129,'Snowball workings'!$AP$129))</f>
      </c>
      <c r="H127" s="29">
        <f>IF(OR(122&gt;$Z$1,NOT(OR('Your debts'!$B$7&lt;&gt;"",N('Your debts'!$C$7)&gt;0))),"",IF('Your debts'!$D$20="Avalanche",'Avalanche workings'!$M$129,'Snowball workings'!$M$129)+IF('Your debts'!$D$20="Avalanche",'Avalanche workings'!$AG$129,'Snowball workings'!$AG$129))</f>
      </c>
      <c r="I127" s="30">
        <f>IF(OR(122&gt;$Z$1,NOT(OR('Your debts'!$B$7&lt;&gt;"",N('Your debts'!$C$7)&gt;0))),"",IF('Your debts'!$D$20="Avalanche",'Avalanche workings'!$AQ$129,'Snowball workings'!$AQ$129))</f>
      </c>
      <c r="J127" s="29">
        <f>IF(OR(122&gt;$Z$1,NOT(OR('Your debts'!$B$8&lt;&gt;"",N('Your debts'!$C$8)&gt;0))),"",IF('Your debts'!$D$20="Avalanche",'Avalanche workings'!$N$129,'Snowball workings'!$N$129)+IF('Your debts'!$D$20="Avalanche",'Avalanche workings'!$AH$129,'Snowball workings'!$AH$129))</f>
      </c>
      <c r="K127" s="30">
        <f>IF(OR(122&gt;$Z$1,NOT(OR('Your debts'!$B$8&lt;&gt;"",N('Your debts'!$C$8)&gt;0))),"",IF('Your debts'!$D$20="Avalanche",'Avalanche workings'!$AR$129,'Snowball workings'!$AR$129))</f>
      </c>
      <c r="L127" s="29">
        <f>IF(OR(122&gt;$Z$1,NOT(OR('Your debts'!$B$9&lt;&gt;"",N('Your debts'!$C$9)&gt;0))),"",IF('Your debts'!$D$20="Avalanche",'Avalanche workings'!$O$129,'Snowball workings'!$O$129)+IF('Your debts'!$D$20="Avalanche",'Avalanche workings'!$AI$129,'Snowball workings'!$AI$129))</f>
      </c>
      <c r="M127" s="30">
        <f>IF(OR(122&gt;$Z$1,NOT(OR('Your debts'!$B$9&lt;&gt;"",N('Your debts'!$C$9)&gt;0))),"",IF('Your debts'!$D$20="Avalanche",'Avalanche workings'!$AS$129,'Snowball workings'!$AS$129))</f>
      </c>
      <c r="N127" s="29">
        <f>IF(OR(122&gt;$Z$1,NOT(OR('Your debts'!$B$10&lt;&gt;"",N('Your debts'!$C$10)&gt;0))),"",IF('Your debts'!$D$20="Avalanche",'Avalanche workings'!$P$129,'Snowball workings'!$P$129)+IF('Your debts'!$D$20="Avalanche",'Avalanche workings'!$AJ$129,'Snowball workings'!$AJ$129))</f>
      </c>
      <c r="O127" s="30">
        <f>IF(OR(122&gt;$Z$1,NOT(OR('Your debts'!$B$10&lt;&gt;"",N('Your debts'!$C$10)&gt;0))),"",IF('Your debts'!$D$20="Avalanche",'Avalanche workings'!$AT$129,'Snowball workings'!$AT$129))</f>
      </c>
      <c r="P127" s="29">
        <f>IF(OR(122&gt;$Z$1,NOT(OR('Your debts'!$B$11&lt;&gt;"",N('Your debts'!$C$11)&gt;0))),"",IF('Your debts'!$D$20="Avalanche",'Avalanche workings'!$Q$129,'Snowball workings'!$Q$129)+IF('Your debts'!$D$20="Avalanche",'Avalanche workings'!$AK$129,'Snowball workings'!$AK$129))</f>
      </c>
      <c r="Q127" s="30">
        <f>IF(OR(122&gt;$Z$1,NOT(OR('Your debts'!$B$11&lt;&gt;"",N('Your debts'!$C$11)&gt;0))),"",IF('Your debts'!$D$20="Avalanche",'Avalanche workings'!$AU$129,'Snowball workings'!$AU$129))</f>
      </c>
      <c r="R127" s="29">
        <f>IF(OR(122&gt;$Z$1,NOT(OR('Your debts'!$B$12&lt;&gt;"",N('Your debts'!$C$12)&gt;0))),"",IF('Your debts'!$D$20="Avalanche",'Avalanche workings'!$R$129,'Snowball workings'!$R$129)+IF('Your debts'!$D$20="Avalanche",'Avalanche workings'!$AL$129,'Snowball workings'!$AL$129))</f>
      </c>
      <c r="S127" s="30">
        <f>IF(OR(122&gt;$Z$1,NOT(OR('Your debts'!$B$12&lt;&gt;"",N('Your debts'!$C$12)&gt;0))),"",IF('Your debts'!$D$20="Avalanche",'Avalanche workings'!$AV$129,'Snowball workings'!$AV$129))</f>
      </c>
      <c r="T127" s="29">
        <f>IF(OR(122&gt;$Z$1,NOT(OR('Your debts'!$B$13&lt;&gt;"",N('Your debts'!$C$13)&gt;0))),"",IF('Your debts'!$D$20="Avalanche",'Avalanche workings'!$S$129,'Snowball workings'!$S$129)+IF('Your debts'!$D$20="Avalanche",'Avalanche workings'!$AM$129,'Snowball workings'!$AM$129))</f>
      </c>
      <c r="U127" s="30">
        <f>IF(OR(122&gt;$Z$1,NOT(OR('Your debts'!$B$13&lt;&gt;"",N('Your debts'!$C$13)&gt;0))),"",IF('Your debts'!$D$20="Avalanche",'Avalanche workings'!$AW$129,'Snowball workings'!$AW$129))</f>
      </c>
      <c r="V127" s="29">
        <f>IF(OR(122&gt;$Z$1,NOT(OR('Your debts'!$B$14&lt;&gt;"",N('Your debts'!$C$14)&gt;0))),"",IF('Your debts'!$D$20="Avalanche",'Avalanche workings'!$T$129,'Snowball workings'!$T$129)+IF('Your debts'!$D$20="Avalanche",'Avalanche workings'!$AN$129,'Snowball workings'!$AN$129))</f>
      </c>
      <c r="W127" s="30">
        <f>IF(OR(122&gt;$Z$1,NOT(OR('Your debts'!$B$14&lt;&gt;"",N('Your debts'!$C$14)&gt;0))),"",IF('Your debts'!$D$20="Avalanche",'Avalanche workings'!$AX$129,'Snowball workings'!$AX$129))</f>
      </c>
      <c r="X127" s="29">
        <f>IF(OR(122&gt;$Z$1,NOT(OR('Your debts'!$B$15&lt;&gt;"",N('Your debts'!$C$15)&gt;0))),"",IF('Your debts'!$D$20="Avalanche",'Avalanche workings'!$U$129,'Snowball workings'!$U$129)+IF('Your debts'!$D$20="Avalanche",'Avalanche workings'!$AO$129,'Snowball workings'!$AO$129))</f>
      </c>
      <c r="Y127" s="30">
        <f>IF(OR(122&gt;$Z$1,NOT(OR('Your debts'!$B$15&lt;&gt;"",N('Your debts'!$C$15)&gt;0))),"",IF('Your debts'!$D$20="Avalanche",'Avalanche workings'!$AY$129,'Snowball workings'!$AY$129))</f>
      </c>
    </row>
    <row r="128" spans="1:25" x14ac:dyDescent="0.25">
      <c r="A128" s="2">
        <f>IF(123&gt;$Z$1,"",123)</f>
      </c>
      <c r="B128" s="28">
        <f>IF(123&gt;$Z$1,"",EDATE('Your debts'!$D$21,122))</f>
      </c>
      <c r="C128" s="29">
        <f>IF(123&gt;$Z$1,"",IF('Your debts'!$D$20="Avalanche",'Avalanche workings'!$BC$130,'Snowball workings'!$BC$130))</f>
      </c>
      <c r="D128" s="29">
        <f>IF(123&gt;$Z$1,"",IF('Your debts'!$D$20="Avalanche",'Avalanche workings'!$BA$130,'Snowball workings'!$BA$130))</f>
      </c>
      <c r="E128" s="29">
        <f>IF(123&gt;$Z$1,"",IF('Your debts'!$D$20="Avalanche",'Avalanche workings'!$BB$130,'Snowball workings'!$BB$130))</f>
      </c>
      <c r="F128" s="29">
        <f>IF(OR(123&gt;$Z$1,NOT(OR('Your debts'!$B$6&lt;&gt;"",N('Your debts'!$C$6)&gt;0))),"",IF('Your debts'!$D$20="Avalanche",'Avalanche workings'!$L$130,'Snowball workings'!$L$130)+IF('Your debts'!$D$20="Avalanche",'Avalanche workings'!$AF$130,'Snowball workings'!$AF$130))</f>
      </c>
      <c r="G128" s="30">
        <f>IF(OR(123&gt;$Z$1,NOT(OR('Your debts'!$B$6&lt;&gt;"",N('Your debts'!$C$6)&gt;0))),"",IF('Your debts'!$D$20="Avalanche",'Avalanche workings'!$AP$130,'Snowball workings'!$AP$130))</f>
      </c>
      <c r="H128" s="29">
        <f>IF(OR(123&gt;$Z$1,NOT(OR('Your debts'!$B$7&lt;&gt;"",N('Your debts'!$C$7)&gt;0))),"",IF('Your debts'!$D$20="Avalanche",'Avalanche workings'!$M$130,'Snowball workings'!$M$130)+IF('Your debts'!$D$20="Avalanche",'Avalanche workings'!$AG$130,'Snowball workings'!$AG$130))</f>
      </c>
      <c r="I128" s="30">
        <f>IF(OR(123&gt;$Z$1,NOT(OR('Your debts'!$B$7&lt;&gt;"",N('Your debts'!$C$7)&gt;0))),"",IF('Your debts'!$D$20="Avalanche",'Avalanche workings'!$AQ$130,'Snowball workings'!$AQ$130))</f>
      </c>
      <c r="J128" s="29">
        <f>IF(OR(123&gt;$Z$1,NOT(OR('Your debts'!$B$8&lt;&gt;"",N('Your debts'!$C$8)&gt;0))),"",IF('Your debts'!$D$20="Avalanche",'Avalanche workings'!$N$130,'Snowball workings'!$N$130)+IF('Your debts'!$D$20="Avalanche",'Avalanche workings'!$AH$130,'Snowball workings'!$AH$130))</f>
      </c>
      <c r="K128" s="30">
        <f>IF(OR(123&gt;$Z$1,NOT(OR('Your debts'!$B$8&lt;&gt;"",N('Your debts'!$C$8)&gt;0))),"",IF('Your debts'!$D$20="Avalanche",'Avalanche workings'!$AR$130,'Snowball workings'!$AR$130))</f>
      </c>
      <c r="L128" s="29">
        <f>IF(OR(123&gt;$Z$1,NOT(OR('Your debts'!$B$9&lt;&gt;"",N('Your debts'!$C$9)&gt;0))),"",IF('Your debts'!$D$20="Avalanche",'Avalanche workings'!$O$130,'Snowball workings'!$O$130)+IF('Your debts'!$D$20="Avalanche",'Avalanche workings'!$AI$130,'Snowball workings'!$AI$130))</f>
      </c>
      <c r="M128" s="30">
        <f>IF(OR(123&gt;$Z$1,NOT(OR('Your debts'!$B$9&lt;&gt;"",N('Your debts'!$C$9)&gt;0))),"",IF('Your debts'!$D$20="Avalanche",'Avalanche workings'!$AS$130,'Snowball workings'!$AS$130))</f>
      </c>
      <c r="N128" s="29">
        <f>IF(OR(123&gt;$Z$1,NOT(OR('Your debts'!$B$10&lt;&gt;"",N('Your debts'!$C$10)&gt;0))),"",IF('Your debts'!$D$20="Avalanche",'Avalanche workings'!$P$130,'Snowball workings'!$P$130)+IF('Your debts'!$D$20="Avalanche",'Avalanche workings'!$AJ$130,'Snowball workings'!$AJ$130))</f>
      </c>
      <c r="O128" s="30">
        <f>IF(OR(123&gt;$Z$1,NOT(OR('Your debts'!$B$10&lt;&gt;"",N('Your debts'!$C$10)&gt;0))),"",IF('Your debts'!$D$20="Avalanche",'Avalanche workings'!$AT$130,'Snowball workings'!$AT$130))</f>
      </c>
      <c r="P128" s="29">
        <f>IF(OR(123&gt;$Z$1,NOT(OR('Your debts'!$B$11&lt;&gt;"",N('Your debts'!$C$11)&gt;0))),"",IF('Your debts'!$D$20="Avalanche",'Avalanche workings'!$Q$130,'Snowball workings'!$Q$130)+IF('Your debts'!$D$20="Avalanche",'Avalanche workings'!$AK$130,'Snowball workings'!$AK$130))</f>
      </c>
      <c r="Q128" s="30">
        <f>IF(OR(123&gt;$Z$1,NOT(OR('Your debts'!$B$11&lt;&gt;"",N('Your debts'!$C$11)&gt;0))),"",IF('Your debts'!$D$20="Avalanche",'Avalanche workings'!$AU$130,'Snowball workings'!$AU$130))</f>
      </c>
      <c r="R128" s="29">
        <f>IF(OR(123&gt;$Z$1,NOT(OR('Your debts'!$B$12&lt;&gt;"",N('Your debts'!$C$12)&gt;0))),"",IF('Your debts'!$D$20="Avalanche",'Avalanche workings'!$R$130,'Snowball workings'!$R$130)+IF('Your debts'!$D$20="Avalanche",'Avalanche workings'!$AL$130,'Snowball workings'!$AL$130))</f>
      </c>
      <c r="S128" s="30">
        <f>IF(OR(123&gt;$Z$1,NOT(OR('Your debts'!$B$12&lt;&gt;"",N('Your debts'!$C$12)&gt;0))),"",IF('Your debts'!$D$20="Avalanche",'Avalanche workings'!$AV$130,'Snowball workings'!$AV$130))</f>
      </c>
      <c r="T128" s="29">
        <f>IF(OR(123&gt;$Z$1,NOT(OR('Your debts'!$B$13&lt;&gt;"",N('Your debts'!$C$13)&gt;0))),"",IF('Your debts'!$D$20="Avalanche",'Avalanche workings'!$S$130,'Snowball workings'!$S$130)+IF('Your debts'!$D$20="Avalanche",'Avalanche workings'!$AM$130,'Snowball workings'!$AM$130))</f>
      </c>
      <c r="U128" s="30">
        <f>IF(OR(123&gt;$Z$1,NOT(OR('Your debts'!$B$13&lt;&gt;"",N('Your debts'!$C$13)&gt;0))),"",IF('Your debts'!$D$20="Avalanche",'Avalanche workings'!$AW$130,'Snowball workings'!$AW$130))</f>
      </c>
      <c r="V128" s="29">
        <f>IF(OR(123&gt;$Z$1,NOT(OR('Your debts'!$B$14&lt;&gt;"",N('Your debts'!$C$14)&gt;0))),"",IF('Your debts'!$D$20="Avalanche",'Avalanche workings'!$T$130,'Snowball workings'!$T$130)+IF('Your debts'!$D$20="Avalanche",'Avalanche workings'!$AN$130,'Snowball workings'!$AN$130))</f>
      </c>
      <c r="W128" s="30">
        <f>IF(OR(123&gt;$Z$1,NOT(OR('Your debts'!$B$14&lt;&gt;"",N('Your debts'!$C$14)&gt;0))),"",IF('Your debts'!$D$20="Avalanche",'Avalanche workings'!$AX$130,'Snowball workings'!$AX$130))</f>
      </c>
      <c r="X128" s="29">
        <f>IF(OR(123&gt;$Z$1,NOT(OR('Your debts'!$B$15&lt;&gt;"",N('Your debts'!$C$15)&gt;0))),"",IF('Your debts'!$D$20="Avalanche",'Avalanche workings'!$U$130,'Snowball workings'!$U$130)+IF('Your debts'!$D$20="Avalanche",'Avalanche workings'!$AO$130,'Snowball workings'!$AO$130))</f>
      </c>
      <c r="Y128" s="30">
        <f>IF(OR(123&gt;$Z$1,NOT(OR('Your debts'!$B$15&lt;&gt;"",N('Your debts'!$C$15)&gt;0))),"",IF('Your debts'!$D$20="Avalanche",'Avalanche workings'!$AY$130,'Snowball workings'!$AY$130))</f>
      </c>
    </row>
    <row r="129" spans="1:25" x14ac:dyDescent="0.25">
      <c r="A129" s="2">
        <f>IF(124&gt;$Z$1,"",124)</f>
      </c>
      <c r="B129" s="28">
        <f>IF(124&gt;$Z$1,"",EDATE('Your debts'!$D$21,123))</f>
      </c>
      <c r="C129" s="29">
        <f>IF(124&gt;$Z$1,"",IF('Your debts'!$D$20="Avalanche",'Avalanche workings'!$BC$131,'Snowball workings'!$BC$131))</f>
      </c>
      <c r="D129" s="29">
        <f>IF(124&gt;$Z$1,"",IF('Your debts'!$D$20="Avalanche",'Avalanche workings'!$BA$131,'Snowball workings'!$BA$131))</f>
      </c>
      <c r="E129" s="29">
        <f>IF(124&gt;$Z$1,"",IF('Your debts'!$D$20="Avalanche",'Avalanche workings'!$BB$131,'Snowball workings'!$BB$131))</f>
      </c>
      <c r="F129" s="29">
        <f>IF(OR(124&gt;$Z$1,NOT(OR('Your debts'!$B$6&lt;&gt;"",N('Your debts'!$C$6)&gt;0))),"",IF('Your debts'!$D$20="Avalanche",'Avalanche workings'!$L$131,'Snowball workings'!$L$131)+IF('Your debts'!$D$20="Avalanche",'Avalanche workings'!$AF$131,'Snowball workings'!$AF$131))</f>
      </c>
      <c r="G129" s="30">
        <f>IF(OR(124&gt;$Z$1,NOT(OR('Your debts'!$B$6&lt;&gt;"",N('Your debts'!$C$6)&gt;0))),"",IF('Your debts'!$D$20="Avalanche",'Avalanche workings'!$AP$131,'Snowball workings'!$AP$131))</f>
      </c>
      <c r="H129" s="29">
        <f>IF(OR(124&gt;$Z$1,NOT(OR('Your debts'!$B$7&lt;&gt;"",N('Your debts'!$C$7)&gt;0))),"",IF('Your debts'!$D$20="Avalanche",'Avalanche workings'!$M$131,'Snowball workings'!$M$131)+IF('Your debts'!$D$20="Avalanche",'Avalanche workings'!$AG$131,'Snowball workings'!$AG$131))</f>
      </c>
      <c r="I129" s="30">
        <f>IF(OR(124&gt;$Z$1,NOT(OR('Your debts'!$B$7&lt;&gt;"",N('Your debts'!$C$7)&gt;0))),"",IF('Your debts'!$D$20="Avalanche",'Avalanche workings'!$AQ$131,'Snowball workings'!$AQ$131))</f>
      </c>
      <c r="J129" s="29">
        <f>IF(OR(124&gt;$Z$1,NOT(OR('Your debts'!$B$8&lt;&gt;"",N('Your debts'!$C$8)&gt;0))),"",IF('Your debts'!$D$20="Avalanche",'Avalanche workings'!$N$131,'Snowball workings'!$N$131)+IF('Your debts'!$D$20="Avalanche",'Avalanche workings'!$AH$131,'Snowball workings'!$AH$131))</f>
      </c>
      <c r="K129" s="30">
        <f>IF(OR(124&gt;$Z$1,NOT(OR('Your debts'!$B$8&lt;&gt;"",N('Your debts'!$C$8)&gt;0))),"",IF('Your debts'!$D$20="Avalanche",'Avalanche workings'!$AR$131,'Snowball workings'!$AR$131))</f>
      </c>
      <c r="L129" s="29">
        <f>IF(OR(124&gt;$Z$1,NOT(OR('Your debts'!$B$9&lt;&gt;"",N('Your debts'!$C$9)&gt;0))),"",IF('Your debts'!$D$20="Avalanche",'Avalanche workings'!$O$131,'Snowball workings'!$O$131)+IF('Your debts'!$D$20="Avalanche",'Avalanche workings'!$AI$131,'Snowball workings'!$AI$131))</f>
      </c>
      <c r="M129" s="30">
        <f>IF(OR(124&gt;$Z$1,NOT(OR('Your debts'!$B$9&lt;&gt;"",N('Your debts'!$C$9)&gt;0))),"",IF('Your debts'!$D$20="Avalanche",'Avalanche workings'!$AS$131,'Snowball workings'!$AS$131))</f>
      </c>
      <c r="N129" s="29">
        <f>IF(OR(124&gt;$Z$1,NOT(OR('Your debts'!$B$10&lt;&gt;"",N('Your debts'!$C$10)&gt;0))),"",IF('Your debts'!$D$20="Avalanche",'Avalanche workings'!$P$131,'Snowball workings'!$P$131)+IF('Your debts'!$D$20="Avalanche",'Avalanche workings'!$AJ$131,'Snowball workings'!$AJ$131))</f>
      </c>
      <c r="O129" s="30">
        <f>IF(OR(124&gt;$Z$1,NOT(OR('Your debts'!$B$10&lt;&gt;"",N('Your debts'!$C$10)&gt;0))),"",IF('Your debts'!$D$20="Avalanche",'Avalanche workings'!$AT$131,'Snowball workings'!$AT$131))</f>
      </c>
      <c r="P129" s="29">
        <f>IF(OR(124&gt;$Z$1,NOT(OR('Your debts'!$B$11&lt;&gt;"",N('Your debts'!$C$11)&gt;0))),"",IF('Your debts'!$D$20="Avalanche",'Avalanche workings'!$Q$131,'Snowball workings'!$Q$131)+IF('Your debts'!$D$20="Avalanche",'Avalanche workings'!$AK$131,'Snowball workings'!$AK$131))</f>
      </c>
      <c r="Q129" s="30">
        <f>IF(OR(124&gt;$Z$1,NOT(OR('Your debts'!$B$11&lt;&gt;"",N('Your debts'!$C$11)&gt;0))),"",IF('Your debts'!$D$20="Avalanche",'Avalanche workings'!$AU$131,'Snowball workings'!$AU$131))</f>
      </c>
      <c r="R129" s="29">
        <f>IF(OR(124&gt;$Z$1,NOT(OR('Your debts'!$B$12&lt;&gt;"",N('Your debts'!$C$12)&gt;0))),"",IF('Your debts'!$D$20="Avalanche",'Avalanche workings'!$R$131,'Snowball workings'!$R$131)+IF('Your debts'!$D$20="Avalanche",'Avalanche workings'!$AL$131,'Snowball workings'!$AL$131))</f>
      </c>
      <c r="S129" s="30">
        <f>IF(OR(124&gt;$Z$1,NOT(OR('Your debts'!$B$12&lt;&gt;"",N('Your debts'!$C$12)&gt;0))),"",IF('Your debts'!$D$20="Avalanche",'Avalanche workings'!$AV$131,'Snowball workings'!$AV$131))</f>
      </c>
      <c r="T129" s="29">
        <f>IF(OR(124&gt;$Z$1,NOT(OR('Your debts'!$B$13&lt;&gt;"",N('Your debts'!$C$13)&gt;0))),"",IF('Your debts'!$D$20="Avalanche",'Avalanche workings'!$S$131,'Snowball workings'!$S$131)+IF('Your debts'!$D$20="Avalanche",'Avalanche workings'!$AM$131,'Snowball workings'!$AM$131))</f>
      </c>
      <c r="U129" s="30">
        <f>IF(OR(124&gt;$Z$1,NOT(OR('Your debts'!$B$13&lt;&gt;"",N('Your debts'!$C$13)&gt;0))),"",IF('Your debts'!$D$20="Avalanche",'Avalanche workings'!$AW$131,'Snowball workings'!$AW$131))</f>
      </c>
      <c r="V129" s="29">
        <f>IF(OR(124&gt;$Z$1,NOT(OR('Your debts'!$B$14&lt;&gt;"",N('Your debts'!$C$14)&gt;0))),"",IF('Your debts'!$D$20="Avalanche",'Avalanche workings'!$T$131,'Snowball workings'!$T$131)+IF('Your debts'!$D$20="Avalanche",'Avalanche workings'!$AN$131,'Snowball workings'!$AN$131))</f>
      </c>
      <c r="W129" s="30">
        <f>IF(OR(124&gt;$Z$1,NOT(OR('Your debts'!$B$14&lt;&gt;"",N('Your debts'!$C$14)&gt;0))),"",IF('Your debts'!$D$20="Avalanche",'Avalanche workings'!$AX$131,'Snowball workings'!$AX$131))</f>
      </c>
      <c r="X129" s="29">
        <f>IF(OR(124&gt;$Z$1,NOT(OR('Your debts'!$B$15&lt;&gt;"",N('Your debts'!$C$15)&gt;0))),"",IF('Your debts'!$D$20="Avalanche",'Avalanche workings'!$U$131,'Snowball workings'!$U$131)+IF('Your debts'!$D$20="Avalanche",'Avalanche workings'!$AO$131,'Snowball workings'!$AO$131))</f>
      </c>
      <c r="Y129" s="30">
        <f>IF(OR(124&gt;$Z$1,NOT(OR('Your debts'!$B$15&lt;&gt;"",N('Your debts'!$C$15)&gt;0))),"",IF('Your debts'!$D$20="Avalanche",'Avalanche workings'!$AY$131,'Snowball workings'!$AY$131))</f>
      </c>
    </row>
    <row r="130" spans="1:25" x14ac:dyDescent="0.25">
      <c r="A130" s="2">
        <f>IF(125&gt;$Z$1,"",125)</f>
      </c>
      <c r="B130" s="28">
        <f>IF(125&gt;$Z$1,"",EDATE('Your debts'!$D$21,124))</f>
      </c>
      <c r="C130" s="29">
        <f>IF(125&gt;$Z$1,"",IF('Your debts'!$D$20="Avalanche",'Avalanche workings'!$BC$132,'Snowball workings'!$BC$132))</f>
      </c>
      <c r="D130" s="29">
        <f>IF(125&gt;$Z$1,"",IF('Your debts'!$D$20="Avalanche",'Avalanche workings'!$BA$132,'Snowball workings'!$BA$132))</f>
      </c>
      <c r="E130" s="29">
        <f>IF(125&gt;$Z$1,"",IF('Your debts'!$D$20="Avalanche",'Avalanche workings'!$BB$132,'Snowball workings'!$BB$132))</f>
      </c>
      <c r="F130" s="29">
        <f>IF(OR(125&gt;$Z$1,NOT(OR('Your debts'!$B$6&lt;&gt;"",N('Your debts'!$C$6)&gt;0))),"",IF('Your debts'!$D$20="Avalanche",'Avalanche workings'!$L$132,'Snowball workings'!$L$132)+IF('Your debts'!$D$20="Avalanche",'Avalanche workings'!$AF$132,'Snowball workings'!$AF$132))</f>
      </c>
      <c r="G130" s="30">
        <f>IF(OR(125&gt;$Z$1,NOT(OR('Your debts'!$B$6&lt;&gt;"",N('Your debts'!$C$6)&gt;0))),"",IF('Your debts'!$D$20="Avalanche",'Avalanche workings'!$AP$132,'Snowball workings'!$AP$132))</f>
      </c>
      <c r="H130" s="29">
        <f>IF(OR(125&gt;$Z$1,NOT(OR('Your debts'!$B$7&lt;&gt;"",N('Your debts'!$C$7)&gt;0))),"",IF('Your debts'!$D$20="Avalanche",'Avalanche workings'!$M$132,'Snowball workings'!$M$132)+IF('Your debts'!$D$20="Avalanche",'Avalanche workings'!$AG$132,'Snowball workings'!$AG$132))</f>
      </c>
      <c r="I130" s="30">
        <f>IF(OR(125&gt;$Z$1,NOT(OR('Your debts'!$B$7&lt;&gt;"",N('Your debts'!$C$7)&gt;0))),"",IF('Your debts'!$D$20="Avalanche",'Avalanche workings'!$AQ$132,'Snowball workings'!$AQ$132))</f>
      </c>
      <c r="J130" s="29">
        <f>IF(OR(125&gt;$Z$1,NOT(OR('Your debts'!$B$8&lt;&gt;"",N('Your debts'!$C$8)&gt;0))),"",IF('Your debts'!$D$20="Avalanche",'Avalanche workings'!$N$132,'Snowball workings'!$N$132)+IF('Your debts'!$D$20="Avalanche",'Avalanche workings'!$AH$132,'Snowball workings'!$AH$132))</f>
      </c>
      <c r="K130" s="30">
        <f>IF(OR(125&gt;$Z$1,NOT(OR('Your debts'!$B$8&lt;&gt;"",N('Your debts'!$C$8)&gt;0))),"",IF('Your debts'!$D$20="Avalanche",'Avalanche workings'!$AR$132,'Snowball workings'!$AR$132))</f>
      </c>
      <c r="L130" s="29">
        <f>IF(OR(125&gt;$Z$1,NOT(OR('Your debts'!$B$9&lt;&gt;"",N('Your debts'!$C$9)&gt;0))),"",IF('Your debts'!$D$20="Avalanche",'Avalanche workings'!$O$132,'Snowball workings'!$O$132)+IF('Your debts'!$D$20="Avalanche",'Avalanche workings'!$AI$132,'Snowball workings'!$AI$132))</f>
      </c>
      <c r="M130" s="30">
        <f>IF(OR(125&gt;$Z$1,NOT(OR('Your debts'!$B$9&lt;&gt;"",N('Your debts'!$C$9)&gt;0))),"",IF('Your debts'!$D$20="Avalanche",'Avalanche workings'!$AS$132,'Snowball workings'!$AS$132))</f>
      </c>
      <c r="N130" s="29">
        <f>IF(OR(125&gt;$Z$1,NOT(OR('Your debts'!$B$10&lt;&gt;"",N('Your debts'!$C$10)&gt;0))),"",IF('Your debts'!$D$20="Avalanche",'Avalanche workings'!$P$132,'Snowball workings'!$P$132)+IF('Your debts'!$D$20="Avalanche",'Avalanche workings'!$AJ$132,'Snowball workings'!$AJ$132))</f>
      </c>
      <c r="O130" s="30">
        <f>IF(OR(125&gt;$Z$1,NOT(OR('Your debts'!$B$10&lt;&gt;"",N('Your debts'!$C$10)&gt;0))),"",IF('Your debts'!$D$20="Avalanche",'Avalanche workings'!$AT$132,'Snowball workings'!$AT$132))</f>
      </c>
      <c r="P130" s="29">
        <f>IF(OR(125&gt;$Z$1,NOT(OR('Your debts'!$B$11&lt;&gt;"",N('Your debts'!$C$11)&gt;0))),"",IF('Your debts'!$D$20="Avalanche",'Avalanche workings'!$Q$132,'Snowball workings'!$Q$132)+IF('Your debts'!$D$20="Avalanche",'Avalanche workings'!$AK$132,'Snowball workings'!$AK$132))</f>
      </c>
      <c r="Q130" s="30">
        <f>IF(OR(125&gt;$Z$1,NOT(OR('Your debts'!$B$11&lt;&gt;"",N('Your debts'!$C$11)&gt;0))),"",IF('Your debts'!$D$20="Avalanche",'Avalanche workings'!$AU$132,'Snowball workings'!$AU$132))</f>
      </c>
      <c r="R130" s="29">
        <f>IF(OR(125&gt;$Z$1,NOT(OR('Your debts'!$B$12&lt;&gt;"",N('Your debts'!$C$12)&gt;0))),"",IF('Your debts'!$D$20="Avalanche",'Avalanche workings'!$R$132,'Snowball workings'!$R$132)+IF('Your debts'!$D$20="Avalanche",'Avalanche workings'!$AL$132,'Snowball workings'!$AL$132))</f>
      </c>
      <c r="S130" s="30">
        <f>IF(OR(125&gt;$Z$1,NOT(OR('Your debts'!$B$12&lt;&gt;"",N('Your debts'!$C$12)&gt;0))),"",IF('Your debts'!$D$20="Avalanche",'Avalanche workings'!$AV$132,'Snowball workings'!$AV$132))</f>
      </c>
      <c r="T130" s="29">
        <f>IF(OR(125&gt;$Z$1,NOT(OR('Your debts'!$B$13&lt;&gt;"",N('Your debts'!$C$13)&gt;0))),"",IF('Your debts'!$D$20="Avalanche",'Avalanche workings'!$S$132,'Snowball workings'!$S$132)+IF('Your debts'!$D$20="Avalanche",'Avalanche workings'!$AM$132,'Snowball workings'!$AM$132))</f>
      </c>
      <c r="U130" s="30">
        <f>IF(OR(125&gt;$Z$1,NOT(OR('Your debts'!$B$13&lt;&gt;"",N('Your debts'!$C$13)&gt;0))),"",IF('Your debts'!$D$20="Avalanche",'Avalanche workings'!$AW$132,'Snowball workings'!$AW$132))</f>
      </c>
      <c r="V130" s="29">
        <f>IF(OR(125&gt;$Z$1,NOT(OR('Your debts'!$B$14&lt;&gt;"",N('Your debts'!$C$14)&gt;0))),"",IF('Your debts'!$D$20="Avalanche",'Avalanche workings'!$T$132,'Snowball workings'!$T$132)+IF('Your debts'!$D$20="Avalanche",'Avalanche workings'!$AN$132,'Snowball workings'!$AN$132))</f>
      </c>
      <c r="W130" s="30">
        <f>IF(OR(125&gt;$Z$1,NOT(OR('Your debts'!$B$14&lt;&gt;"",N('Your debts'!$C$14)&gt;0))),"",IF('Your debts'!$D$20="Avalanche",'Avalanche workings'!$AX$132,'Snowball workings'!$AX$132))</f>
      </c>
      <c r="X130" s="29">
        <f>IF(OR(125&gt;$Z$1,NOT(OR('Your debts'!$B$15&lt;&gt;"",N('Your debts'!$C$15)&gt;0))),"",IF('Your debts'!$D$20="Avalanche",'Avalanche workings'!$U$132,'Snowball workings'!$U$132)+IF('Your debts'!$D$20="Avalanche",'Avalanche workings'!$AO$132,'Snowball workings'!$AO$132))</f>
      </c>
      <c r="Y130" s="30">
        <f>IF(OR(125&gt;$Z$1,NOT(OR('Your debts'!$B$15&lt;&gt;"",N('Your debts'!$C$15)&gt;0))),"",IF('Your debts'!$D$20="Avalanche",'Avalanche workings'!$AY$132,'Snowball workings'!$AY$132))</f>
      </c>
    </row>
    <row r="131" spans="1:25" x14ac:dyDescent="0.25">
      <c r="A131" s="2">
        <f>IF(126&gt;$Z$1,"",126)</f>
      </c>
      <c r="B131" s="28">
        <f>IF(126&gt;$Z$1,"",EDATE('Your debts'!$D$21,125))</f>
      </c>
      <c r="C131" s="29">
        <f>IF(126&gt;$Z$1,"",IF('Your debts'!$D$20="Avalanche",'Avalanche workings'!$BC$133,'Snowball workings'!$BC$133))</f>
      </c>
      <c r="D131" s="29">
        <f>IF(126&gt;$Z$1,"",IF('Your debts'!$D$20="Avalanche",'Avalanche workings'!$BA$133,'Snowball workings'!$BA$133))</f>
      </c>
      <c r="E131" s="29">
        <f>IF(126&gt;$Z$1,"",IF('Your debts'!$D$20="Avalanche",'Avalanche workings'!$BB$133,'Snowball workings'!$BB$133))</f>
      </c>
      <c r="F131" s="29">
        <f>IF(OR(126&gt;$Z$1,NOT(OR('Your debts'!$B$6&lt;&gt;"",N('Your debts'!$C$6)&gt;0))),"",IF('Your debts'!$D$20="Avalanche",'Avalanche workings'!$L$133,'Snowball workings'!$L$133)+IF('Your debts'!$D$20="Avalanche",'Avalanche workings'!$AF$133,'Snowball workings'!$AF$133))</f>
      </c>
      <c r="G131" s="30">
        <f>IF(OR(126&gt;$Z$1,NOT(OR('Your debts'!$B$6&lt;&gt;"",N('Your debts'!$C$6)&gt;0))),"",IF('Your debts'!$D$20="Avalanche",'Avalanche workings'!$AP$133,'Snowball workings'!$AP$133))</f>
      </c>
      <c r="H131" s="29">
        <f>IF(OR(126&gt;$Z$1,NOT(OR('Your debts'!$B$7&lt;&gt;"",N('Your debts'!$C$7)&gt;0))),"",IF('Your debts'!$D$20="Avalanche",'Avalanche workings'!$M$133,'Snowball workings'!$M$133)+IF('Your debts'!$D$20="Avalanche",'Avalanche workings'!$AG$133,'Snowball workings'!$AG$133))</f>
      </c>
      <c r="I131" s="30">
        <f>IF(OR(126&gt;$Z$1,NOT(OR('Your debts'!$B$7&lt;&gt;"",N('Your debts'!$C$7)&gt;0))),"",IF('Your debts'!$D$20="Avalanche",'Avalanche workings'!$AQ$133,'Snowball workings'!$AQ$133))</f>
      </c>
      <c r="J131" s="29">
        <f>IF(OR(126&gt;$Z$1,NOT(OR('Your debts'!$B$8&lt;&gt;"",N('Your debts'!$C$8)&gt;0))),"",IF('Your debts'!$D$20="Avalanche",'Avalanche workings'!$N$133,'Snowball workings'!$N$133)+IF('Your debts'!$D$20="Avalanche",'Avalanche workings'!$AH$133,'Snowball workings'!$AH$133))</f>
      </c>
      <c r="K131" s="30">
        <f>IF(OR(126&gt;$Z$1,NOT(OR('Your debts'!$B$8&lt;&gt;"",N('Your debts'!$C$8)&gt;0))),"",IF('Your debts'!$D$20="Avalanche",'Avalanche workings'!$AR$133,'Snowball workings'!$AR$133))</f>
      </c>
      <c r="L131" s="29">
        <f>IF(OR(126&gt;$Z$1,NOT(OR('Your debts'!$B$9&lt;&gt;"",N('Your debts'!$C$9)&gt;0))),"",IF('Your debts'!$D$20="Avalanche",'Avalanche workings'!$O$133,'Snowball workings'!$O$133)+IF('Your debts'!$D$20="Avalanche",'Avalanche workings'!$AI$133,'Snowball workings'!$AI$133))</f>
      </c>
      <c r="M131" s="30">
        <f>IF(OR(126&gt;$Z$1,NOT(OR('Your debts'!$B$9&lt;&gt;"",N('Your debts'!$C$9)&gt;0))),"",IF('Your debts'!$D$20="Avalanche",'Avalanche workings'!$AS$133,'Snowball workings'!$AS$133))</f>
      </c>
      <c r="N131" s="29">
        <f>IF(OR(126&gt;$Z$1,NOT(OR('Your debts'!$B$10&lt;&gt;"",N('Your debts'!$C$10)&gt;0))),"",IF('Your debts'!$D$20="Avalanche",'Avalanche workings'!$P$133,'Snowball workings'!$P$133)+IF('Your debts'!$D$20="Avalanche",'Avalanche workings'!$AJ$133,'Snowball workings'!$AJ$133))</f>
      </c>
      <c r="O131" s="30">
        <f>IF(OR(126&gt;$Z$1,NOT(OR('Your debts'!$B$10&lt;&gt;"",N('Your debts'!$C$10)&gt;0))),"",IF('Your debts'!$D$20="Avalanche",'Avalanche workings'!$AT$133,'Snowball workings'!$AT$133))</f>
      </c>
      <c r="P131" s="29">
        <f>IF(OR(126&gt;$Z$1,NOT(OR('Your debts'!$B$11&lt;&gt;"",N('Your debts'!$C$11)&gt;0))),"",IF('Your debts'!$D$20="Avalanche",'Avalanche workings'!$Q$133,'Snowball workings'!$Q$133)+IF('Your debts'!$D$20="Avalanche",'Avalanche workings'!$AK$133,'Snowball workings'!$AK$133))</f>
      </c>
      <c r="Q131" s="30">
        <f>IF(OR(126&gt;$Z$1,NOT(OR('Your debts'!$B$11&lt;&gt;"",N('Your debts'!$C$11)&gt;0))),"",IF('Your debts'!$D$20="Avalanche",'Avalanche workings'!$AU$133,'Snowball workings'!$AU$133))</f>
      </c>
      <c r="R131" s="29">
        <f>IF(OR(126&gt;$Z$1,NOT(OR('Your debts'!$B$12&lt;&gt;"",N('Your debts'!$C$12)&gt;0))),"",IF('Your debts'!$D$20="Avalanche",'Avalanche workings'!$R$133,'Snowball workings'!$R$133)+IF('Your debts'!$D$20="Avalanche",'Avalanche workings'!$AL$133,'Snowball workings'!$AL$133))</f>
      </c>
      <c r="S131" s="30">
        <f>IF(OR(126&gt;$Z$1,NOT(OR('Your debts'!$B$12&lt;&gt;"",N('Your debts'!$C$12)&gt;0))),"",IF('Your debts'!$D$20="Avalanche",'Avalanche workings'!$AV$133,'Snowball workings'!$AV$133))</f>
      </c>
      <c r="T131" s="29">
        <f>IF(OR(126&gt;$Z$1,NOT(OR('Your debts'!$B$13&lt;&gt;"",N('Your debts'!$C$13)&gt;0))),"",IF('Your debts'!$D$20="Avalanche",'Avalanche workings'!$S$133,'Snowball workings'!$S$133)+IF('Your debts'!$D$20="Avalanche",'Avalanche workings'!$AM$133,'Snowball workings'!$AM$133))</f>
      </c>
      <c r="U131" s="30">
        <f>IF(OR(126&gt;$Z$1,NOT(OR('Your debts'!$B$13&lt;&gt;"",N('Your debts'!$C$13)&gt;0))),"",IF('Your debts'!$D$20="Avalanche",'Avalanche workings'!$AW$133,'Snowball workings'!$AW$133))</f>
      </c>
      <c r="V131" s="29">
        <f>IF(OR(126&gt;$Z$1,NOT(OR('Your debts'!$B$14&lt;&gt;"",N('Your debts'!$C$14)&gt;0))),"",IF('Your debts'!$D$20="Avalanche",'Avalanche workings'!$T$133,'Snowball workings'!$T$133)+IF('Your debts'!$D$20="Avalanche",'Avalanche workings'!$AN$133,'Snowball workings'!$AN$133))</f>
      </c>
      <c r="W131" s="30">
        <f>IF(OR(126&gt;$Z$1,NOT(OR('Your debts'!$B$14&lt;&gt;"",N('Your debts'!$C$14)&gt;0))),"",IF('Your debts'!$D$20="Avalanche",'Avalanche workings'!$AX$133,'Snowball workings'!$AX$133))</f>
      </c>
      <c r="X131" s="29">
        <f>IF(OR(126&gt;$Z$1,NOT(OR('Your debts'!$B$15&lt;&gt;"",N('Your debts'!$C$15)&gt;0))),"",IF('Your debts'!$D$20="Avalanche",'Avalanche workings'!$U$133,'Snowball workings'!$U$133)+IF('Your debts'!$D$20="Avalanche",'Avalanche workings'!$AO$133,'Snowball workings'!$AO$133))</f>
      </c>
      <c r="Y131" s="30">
        <f>IF(OR(126&gt;$Z$1,NOT(OR('Your debts'!$B$15&lt;&gt;"",N('Your debts'!$C$15)&gt;0))),"",IF('Your debts'!$D$20="Avalanche",'Avalanche workings'!$AY$133,'Snowball workings'!$AY$133))</f>
      </c>
    </row>
    <row r="132" spans="1:25" x14ac:dyDescent="0.25">
      <c r="A132" s="2">
        <f>IF(127&gt;$Z$1,"",127)</f>
      </c>
      <c r="B132" s="28">
        <f>IF(127&gt;$Z$1,"",EDATE('Your debts'!$D$21,126))</f>
      </c>
      <c r="C132" s="29">
        <f>IF(127&gt;$Z$1,"",IF('Your debts'!$D$20="Avalanche",'Avalanche workings'!$BC$134,'Snowball workings'!$BC$134))</f>
      </c>
      <c r="D132" s="29">
        <f>IF(127&gt;$Z$1,"",IF('Your debts'!$D$20="Avalanche",'Avalanche workings'!$BA$134,'Snowball workings'!$BA$134))</f>
      </c>
      <c r="E132" s="29">
        <f>IF(127&gt;$Z$1,"",IF('Your debts'!$D$20="Avalanche",'Avalanche workings'!$BB$134,'Snowball workings'!$BB$134))</f>
      </c>
      <c r="F132" s="29">
        <f>IF(OR(127&gt;$Z$1,NOT(OR('Your debts'!$B$6&lt;&gt;"",N('Your debts'!$C$6)&gt;0))),"",IF('Your debts'!$D$20="Avalanche",'Avalanche workings'!$L$134,'Snowball workings'!$L$134)+IF('Your debts'!$D$20="Avalanche",'Avalanche workings'!$AF$134,'Snowball workings'!$AF$134))</f>
      </c>
      <c r="G132" s="30">
        <f>IF(OR(127&gt;$Z$1,NOT(OR('Your debts'!$B$6&lt;&gt;"",N('Your debts'!$C$6)&gt;0))),"",IF('Your debts'!$D$20="Avalanche",'Avalanche workings'!$AP$134,'Snowball workings'!$AP$134))</f>
      </c>
      <c r="H132" s="29">
        <f>IF(OR(127&gt;$Z$1,NOT(OR('Your debts'!$B$7&lt;&gt;"",N('Your debts'!$C$7)&gt;0))),"",IF('Your debts'!$D$20="Avalanche",'Avalanche workings'!$M$134,'Snowball workings'!$M$134)+IF('Your debts'!$D$20="Avalanche",'Avalanche workings'!$AG$134,'Snowball workings'!$AG$134))</f>
      </c>
      <c r="I132" s="30">
        <f>IF(OR(127&gt;$Z$1,NOT(OR('Your debts'!$B$7&lt;&gt;"",N('Your debts'!$C$7)&gt;0))),"",IF('Your debts'!$D$20="Avalanche",'Avalanche workings'!$AQ$134,'Snowball workings'!$AQ$134))</f>
      </c>
      <c r="J132" s="29">
        <f>IF(OR(127&gt;$Z$1,NOT(OR('Your debts'!$B$8&lt;&gt;"",N('Your debts'!$C$8)&gt;0))),"",IF('Your debts'!$D$20="Avalanche",'Avalanche workings'!$N$134,'Snowball workings'!$N$134)+IF('Your debts'!$D$20="Avalanche",'Avalanche workings'!$AH$134,'Snowball workings'!$AH$134))</f>
      </c>
      <c r="K132" s="30">
        <f>IF(OR(127&gt;$Z$1,NOT(OR('Your debts'!$B$8&lt;&gt;"",N('Your debts'!$C$8)&gt;0))),"",IF('Your debts'!$D$20="Avalanche",'Avalanche workings'!$AR$134,'Snowball workings'!$AR$134))</f>
      </c>
      <c r="L132" s="29">
        <f>IF(OR(127&gt;$Z$1,NOT(OR('Your debts'!$B$9&lt;&gt;"",N('Your debts'!$C$9)&gt;0))),"",IF('Your debts'!$D$20="Avalanche",'Avalanche workings'!$O$134,'Snowball workings'!$O$134)+IF('Your debts'!$D$20="Avalanche",'Avalanche workings'!$AI$134,'Snowball workings'!$AI$134))</f>
      </c>
      <c r="M132" s="30">
        <f>IF(OR(127&gt;$Z$1,NOT(OR('Your debts'!$B$9&lt;&gt;"",N('Your debts'!$C$9)&gt;0))),"",IF('Your debts'!$D$20="Avalanche",'Avalanche workings'!$AS$134,'Snowball workings'!$AS$134))</f>
      </c>
      <c r="N132" s="29">
        <f>IF(OR(127&gt;$Z$1,NOT(OR('Your debts'!$B$10&lt;&gt;"",N('Your debts'!$C$10)&gt;0))),"",IF('Your debts'!$D$20="Avalanche",'Avalanche workings'!$P$134,'Snowball workings'!$P$134)+IF('Your debts'!$D$20="Avalanche",'Avalanche workings'!$AJ$134,'Snowball workings'!$AJ$134))</f>
      </c>
      <c r="O132" s="30">
        <f>IF(OR(127&gt;$Z$1,NOT(OR('Your debts'!$B$10&lt;&gt;"",N('Your debts'!$C$10)&gt;0))),"",IF('Your debts'!$D$20="Avalanche",'Avalanche workings'!$AT$134,'Snowball workings'!$AT$134))</f>
      </c>
      <c r="P132" s="29">
        <f>IF(OR(127&gt;$Z$1,NOT(OR('Your debts'!$B$11&lt;&gt;"",N('Your debts'!$C$11)&gt;0))),"",IF('Your debts'!$D$20="Avalanche",'Avalanche workings'!$Q$134,'Snowball workings'!$Q$134)+IF('Your debts'!$D$20="Avalanche",'Avalanche workings'!$AK$134,'Snowball workings'!$AK$134))</f>
      </c>
      <c r="Q132" s="30">
        <f>IF(OR(127&gt;$Z$1,NOT(OR('Your debts'!$B$11&lt;&gt;"",N('Your debts'!$C$11)&gt;0))),"",IF('Your debts'!$D$20="Avalanche",'Avalanche workings'!$AU$134,'Snowball workings'!$AU$134))</f>
      </c>
      <c r="R132" s="29">
        <f>IF(OR(127&gt;$Z$1,NOT(OR('Your debts'!$B$12&lt;&gt;"",N('Your debts'!$C$12)&gt;0))),"",IF('Your debts'!$D$20="Avalanche",'Avalanche workings'!$R$134,'Snowball workings'!$R$134)+IF('Your debts'!$D$20="Avalanche",'Avalanche workings'!$AL$134,'Snowball workings'!$AL$134))</f>
      </c>
      <c r="S132" s="30">
        <f>IF(OR(127&gt;$Z$1,NOT(OR('Your debts'!$B$12&lt;&gt;"",N('Your debts'!$C$12)&gt;0))),"",IF('Your debts'!$D$20="Avalanche",'Avalanche workings'!$AV$134,'Snowball workings'!$AV$134))</f>
      </c>
      <c r="T132" s="29">
        <f>IF(OR(127&gt;$Z$1,NOT(OR('Your debts'!$B$13&lt;&gt;"",N('Your debts'!$C$13)&gt;0))),"",IF('Your debts'!$D$20="Avalanche",'Avalanche workings'!$S$134,'Snowball workings'!$S$134)+IF('Your debts'!$D$20="Avalanche",'Avalanche workings'!$AM$134,'Snowball workings'!$AM$134))</f>
      </c>
      <c r="U132" s="30">
        <f>IF(OR(127&gt;$Z$1,NOT(OR('Your debts'!$B$13&lt;&gt;"",N('Your debts'!$C$13)&gt;0))),"",IF('Your debts'!$D$20="Avalanche",'Avalanche workings'!$AW$134,'Snowball workings'!$AW$134))</f>
      </c>
      <c r="V132" s="29">
        <f>IF(OR(127&gt;$Z$1,NOT(OR('Your debts'!$B$14&lt;&gt;"",N('Your debts'!$C$14)&gt;0))),"",IF('Your debts'!$D$20="Avalanche",'Avalanche workings'!$T$134,'Snowball workings'!$T$134)+IF('Your debts'!$D$20="Avalanche",'Avalanche workings'!$AN$134,'Snowball workings'!$AN$134))</f>
      </c>
      <c r="W132" s="30">
        <f>IF(OR(127&gt;$Z$1,NOT(OR('Your debts'!$B$14&lt;&gt;"",N('Your debts'!$C$14)&gt;0))),"",IF('Your debts'!$D$20="Avalanche",'Avalanche workings'!$AX$134,'Snowball workings'!$AX$134))</f>
      </c>
      <c r="X132" s="29">
        <f>IF(OR(127&gt;$Z$1,NOT(OR('Your debts'!$B$15&lt;&gt;"",N('Your debts'!$C$15)&gt;0))),"",IF('Your debts'!$D$20="Avalanche",'Avalanche workings'!$U$134,'Snowball workings'!$U$134)+IF('Your debts'!$D$20="Avalanche",'Avalanche workings'!$AO$134,'Snowball workings'!$AO$134))</f>
      </c>
      <c r="Y132" s="30">
        <f>IF(OR(127&gt;$Z$1,NOT(OR('Your debts'!$B$15&lt;&gt;"",N('Your debts'!$C$15)&gt;0))),"",IF('Your debts'!$D$20="Avalanche",'Avalanche workings'!$AY$134,'Snowball workings'!$AY$134))</f>
      </c>
    </row>
    <row r="133" spans="1:25" x14ac:dyDescent="0.25">
      <c r="A133" s="2">
        <f>IF(128&gt;$Z$1,"",128)</f>
      </c>
      <c r="B133" s="28">
        <f>IF(128&gt;$Z$1,"",EDATE('Your debts'!$D$21,127))</f>
      </c>
      <c r="C133" s="29">
        <f>IF(128&gt;$Z$1,"",IF('Your debts'!$D$20="Avalanche",'Avalanche workings'!$BC$135,'Snowball workings'!$BC$135))</f>
      </c>
      <c r="D133" s="29">
        <f>IF(128&gt;$Z$1,"",IF('Your debts'!$D$20="Avalanche",'Avalanche workings'!$BA$135,'Snowball workings'!$BA$135))</f>
      </c>
      <c r="E133" s="29">
        <f>IF(128&gt;$Z$1,"",IF('Your debts'!$D$20="Avalanche",'Avalanche workings'!$BB$135,'Snowball workings'!$BB$135))</f>
      </c>
      <c r="F133" s="29">
        <f>IF(OR(128&gt;$Z$1,NOT(OR('Your debts'!$B$6&lt;&gt;"",N('Your debts'!$C$6)&gt;0))),"",IF('Your debts'!$D$20="Avalanche",'Avalanche workings'!$L$135,'Snowball workings'!$L$135)+IF('Your debts'!$D$20="Avalanche",'Avalanche workings'!$AF$135,'Snowball workings'!$AF$135))</f>
      </c>
      <c r="G133" s="30">
        <f>IF(OR(128&gt;$Z$1,NOT(OR('Your debts'!$B$6&lt;&gt;"",N('Your debts'!$C$6)&gt;0))),"",IF('Your debts'!$D$20="Avalanche",'Avalanche workings'!$AP$135,'Snowball workings'!$AP$135))</f>
      </c>
      <c r="H133" s="29">
        <f>IF(OR(128&gt;$Z$1,NOT(OR('Your debts'!$B$7&lt;&gt;"",N('Your debts'!$C$7)&gt;0))),"",IF('Your debts'!$D$20="Avalanche",'Avalanche workings'!$M$135,'Snowball workings'!$M$135)+IF('Your debts'!$D$20="Avalanche",'Avalanche workings'!$AG$135,'Snowball workings'!$AG$135))</f>
      </c>
      <c r="I133" s="30">
        <f>IF(OR(128&gt;$Z$1,NOT(OR('Your debts'!$B$7&lt;&gt;"",N('Your debts'!$C$7)&gt;0))),"",IF('Your debts'!$D$20="Avalanche",'Avalanche workings'!$AQ$135,'Snowball workings'!$AQ$135))</f>
      </c>
      <c r="J133" s="29">
        <f>IF(OR(128&gt;$Z$1,NOT(OR('Your debts'!$B$8&lt;&gt;"",N('Your debts'!$C$8)&gt;0))),"",IF('Your debts'!$D$20="Avalanche",'Avalanche workings'!$N$135,'Snowball workings'!$N$135)+IF('Your debts'!$D$20="Avalanche",'Avalanche workings'!$AH$135,'Snowball workings'!$AH$135))</f>
      </c>
      <c r="K133" s="30">
        <f>IF(OR(128&gt;$Z$1,NOT(OR('Your debts'!$B$8&lt;&gt;"",N('Your debts'!$C$8)&gt;0))),"",IF('Your debts'!$D$20="Avalanche",'Avalanche workings'!$AR$135,'Snowball workings'!$AR$135))</f>
      </c>
      <c r="L133" s="29">
        <f>IF(OR(128&gt;$Z$1,NOT(OR('Your debts'!$B$9&lt;&gt;"",N('Your debts'!$C$9)&gt;0))),"",IF('Your debts'!$D$20="Avalanche",'Avalanche workings'!$O$135,'Snowball workings'!$O$135)+IF('Your debts'!$D$20="Avalanche",'Avalanche workings'!$AI$135,'Snowball workings'!$AI$135))</f>
      </c>
      <c r="M133" s="30">
        <f>IF(OR(128&gt;$Z$1,NOT(OR('Your debts'!$B$9&lt;&gt;"",N('Your debts'!$C$9)&gt;0))),"",IF('Your debts'!$D$20="Avalanche",'Avalanche workings'!$AS$135,'Snowball workings'!$AS$135))</f>
      </c>
      <c r="N133" s="29">
        <f>IF(OR(128&gt;$Z$1,NOT(OR('Your debts'!$B$10&lt;&gt;"",N('Your debts'!$C$10)&gt;0))),"",IF('Your debts'!$D$20="Avalanche",'Avalanche workings'!$P$135,'Snowball workings'!$P$135)+IF('Your debts'!$D$20="Avalanche",'Avalanche workings'!$AJ$135,'Snowball workings'!$AJ$135))</f>
      </c>
      <c r="O133" s="30">
        <f>IF(OR(128&gt;$Z$1,NOT(OR('Your debts'!$B$10&lt;&gt;"",N('Your debts'!$C$10)&gt;0))),"",IF('Your debts'!$D$20="Avalanche",'Avalanche workings'!$AT$135,'Snowball workings'!$AT$135))</f>
      </c>
      <c r="P133" s="29">
        <f>IF(OR(128&gt;$Z$1,NOT(OR('Your debts'!$B$11&lt;&gt;"",N('Your debts'!$C$11)&gt;0))),"",IF('Your debts'!$D$20="Avalanche",'Avalanche workings'!$Q$135,'Snowball workings'!$Q$135)+IF('Your debts'!$D$20="Avalanche",'Avalanche workings'!$AK$135,'Snowball workings'!$AK$135))</f>
      </c>
      <c r="Q133" s="30">
        <f>IF(OR(128&gt;$Z$1,NOT(OR('Your debts'!$B$11&lt;&gt;"",N('Your debts'!$C$11)&gt;0))),"",IF('Your debts'!$D$20="Avalanche",'Avalanche workings'!$AU$135,'Snowball workings'!$AU$135))</f>
      </c>
      <c r="R133" s="29">
        <f>IF(OR(128&gt;$Z$1,NOT(OR('Your debts'!$B$12&lt;&gt;"",N('Your debts'!$C$12)&gt;0))),"",IF('Your debts'!$D$20="Avalanche",'Avalanche workings'!$R$135,'Snowball workings'!$R$135)+IF('Your debts'!$D$20="Avalanche",'Avalanche workings'!$AL$135,'Snowball workings'!$AL$135))</f>
      </c>
      <c r="S133" s="30">
        <f>IF(OR(128&gt;$Z$1,NOT(OR('Your debts'!$B$12&lt;&gt;"",N('Your debts'!$C$12)&gt;0))),"",IF('Your debts'!$D$20="Avalanche",'Avalanche workings'!$AV$135,'Snowball workings'!$AV$135))</f>
      </c>
      <c r="T133" s="29">
        <f>IF(OR(128&gt;$Z$1,NOT(OR('Your debts'!$B$13&lt;&gt;"",N('Your debts'!$C$13)&gt;0))),"",IF('Your debts'!$D$20="Avalanche",'Avalanche workings'!$S$135,'Snowball workings'!$S$135)+IF('Your debts'!$D$20="Avalanche",'Avalanche workings'!$AM$135,'Snowball workings'!$AM$135))</f>
      </c>
      <c r="U133" s="30">
        <f>IF(OR(128&gt;$Z$1,NOT(OR('Your debts'!$B$13&lt;&gt;"",N('Your debts'!$C$13)&gt;0))),"",IF('Your debts'!$D$20="Avalanche",'Avalanche workings'!$AW$135,'Snowball workings'!$AW$135))</f>
      </c>
      <c r="V133" s="29">
        <f>IF(OR(128&gt;$Z$1,NOT(OR('Your debts'!$B$14&lt;&gt;"",N('Your debts'!$C$14)&gt;0))),"",IF('Your debts'!$D$20="Avalanche",'Avalanche workings'!$T$135,'Snowball workings'!$T$135)+IF('Your debts'!$D$20="Avalanche",'Avalanche workings'!$AN$135,'Snowball workings'!$AN$135))</f>
      </c>
      <c r="W133" s="30">
        <f>IF(OR(128&gt;$Z$1,NOT(OR('Your debts'!$B$14&lt;&gt;"",N('Your debts'!$C$14)&gt;0))),"",IF('Your debts'!$D$20="Avalanche",'Avalanche workings'!$AX$135,'Snowball workings'!$AX$135))</f>
      </c>
      <c r="X133" s="29">
        <f>IF(OR(128&gt;$Z$1,NOT(OR('Your debts'!$B$15&lt;&gt;"",N('Your debts'!$C$15)&gt;0))),"",IF('Your debts'!$D$20="Avalanche",'Avalanche workings'!$U$135,'Snowball workings'!$U$135)+IF('Your debts'!$D$20="Avalanche",'Avalanche workings'!$AO$135,'Snowball workings'!$AO$135))</f>
      </c>
      <c r="Y133" s="30">
        <f>IF(OR(128&gt;$Z$1,NOT(OR('Your debts'!$B$15&lt;&gt;"",N('Your debts'!$C$15)&gt;0))),"",IF('Your debts'!$D$20="Avalanche",'Avalanche workings'!$AY$135,'Snowball workings'!$AY$135))</f>
      </c>
    </row>
    <row r="134" spans="1:25" x14ac:dyDescent="0.25">
      <c r="A134" s="2">
        <f>IF(129&gt;$Z$1,"",129)</f>
      </c>
      <c r="B134" s="28">
        <f>IF(129&gt;$Z$1,"",EDATE('Your debts'!$D$21,128))</f>
      </c>
      <c r="C134" s="29">
        <f>IF(129&gt;$Z$1,"",IF('Your debts'!$D$20="Avalanche",'Avalanche workings'!$BC$136,'Snowball workings'!$BC$136))</f>
      </c>
      <c r="D134" s="29">
        <f>IF(129&gt;$Z$1,"",IF('Your debts'!$D$20="Avalanche",'Avalanche workings'!$BA$136,'Snowball workings'!$BA$136))</f>
      </c>
      <c r="E134" s="29">
        <f>IF(129&gt;$Z$1,"",IF('Your debts'!$D$20="Avalanche",'Avalanche workings'!$BB$136,'Snowball workings'!$BB$136))</f>
      </c>
      <c r="F134" s="29">
        <f>IF(OR(129&gt;$Z$1,NOT(OR('Your debts'!$B$6&lt;&gt;"",N('Your debts'!$C$6)&gt;0))),"",IF('Your debts'!$D$20="Avalanche",'Avalanche workings'!$L$136,'Snowball workings'!$L$136)+IF('Your debts'!$D$20="Avalanche",'Avalanche workings'!$AF$136,'Snowball workings'!$AF$136))</f>
      </c>
      <c r="G134" s="30">
        <f>IF(OR(129&gt;$Z$1,NOT(OR('Your debts'!$B$6&lt;&gt;"",N('Your debts'!$C$6)&gt;0))),"",IF('Your debts'!$D$20="Avalanche",'Avalanche workings'!$AP$136,'Snowball workings'!$AP$136))</f>
      </c>
      <c r="H134" s="29">
        <f>IF(OR(129&gt;$Z$1,NOT(OR('Your debts'!$B$7&lt;&gt;"",N('Your debts'!$C$7)&gt;0))),"",IF('Your debts'!$D$20="Avalanche",'Avalanche workings'!$M$136,'Snowball workings'!$M$136)+IF('Your debts'!$D$20="Avalanche",'Avalanche workings'!$AG$136,'Snowball workings'!$AG$136))</f>
      </c>
      <c r="I134" s="30">
        <f>IF(OR(129&gt;$Z$1,NOT(OR('Your debts'!$B$7&lt;&gt;"",N('Your debts'!$C$7)&gt;0))),"",IF('Your debts'!$D$20="Avalanche",'Avalanche workings'!$AQ$136,'Snowball workings'!$AQ$136))</f>
      </c>
      <c r="J134" s="29">
        <f>IF(OR(129&gt;$Z$1,NOT(OR('Your debts'!$B$8&lt;&gt;"",N('Your debts'!$C$8)&gt;0))),"",IF('Your debts'!$D$20="Avalanche",'Avalanche workings'!$N$136,'Snowball workings'!$N$136)+IF('Your debts'!$D$20="Avalanche",'Avalanche workings'!$AH$136,'Snowball workings'!$AH$136))</f>
      </c>
      <c r="K134" s="30">
        <f>IF(OR(129&gt;$Z$1,NOT(OR('Your debts'!$B$8&lt;&gt;"",N('Your debts'!$C$8)&gt;0))),"",IF('Your debts'!$D$20="Avalanche",'Avalanche workings'!$AR$136,'Snowball workings'!$AR$136))</f>
      </c>
      <c r="L134" s="29">
        <f>IF(OR(129&gt;$Z$1,NOT(OR('Your debts'!$B$9&lt;&gt;"",N('Your debts'!$C$9)&gt;0))),"",IF('Your debts'!$D$20="Avalanche",'Avalanche workings'!$O$136,'Snowball workings'!$O$136)+IF('Your debts'!$D$20="Avalanche",'Avalanche workings'!$AI$136,'Snowball workings'!$AI$136))</f>
      </c>
      <c r="M134" s="30">
        <f>IF(OR(129&gt;$Z$1,NOT(OR('Your debts'!$B$9&lt;&gt;"",N('Your debts'!$C$9)&gt;0))),"",IF('Your debts'!$D$20="Avalanche",'Avalanche workings'!$AS$136,'Snowball workings'!$AS$136))</f>
      </c>
      <c r="N134" s="29">
        <f>IF(OR(129&gt;$Z$1,NOT(OR('Your debts'!$B$10&lt;&gt;"",N('Your debts'!$C$10)&gt;0))),"",IF('Your debts'!$D$20="Avalanche",'Avalanche workings'!$P$136,'Snowball workings'!$P$136)+IF('Your debts'!$D$20="Avalanche",'Avalanche workings'!$AJ$136,'Snowball workings'!$AJ$136))</f>
      </c>
      <c r="O134" s="30">
        <f>IF(OR(129&gt;$Z$1,NOT(OR('Your debts'!$B$10&lt;&gt;"",N('Your debts'!$C$10)&gt;0))),"",IF('Your debts'!$D$20="Avalanche",'Avalanche workings'!$AT$136,'Snowball workings'!$AT$136))</f>
      </c>
      <c r="P134" s="29">
        <f>IF(OR(129&gt;$Z$1,NOT(OR('Your debts'!$B$11&lt;&gt;"",N('Your debts'!$C$11)&gt;0))),"",IF('Your debts'!$D$20="Avalanche",'Avalanche workings'!$Q$136,'Snowball workings'!$Q$136)+IF('Your debts'!$D$20="Avalanche",'Avalanche workings'!$AK$136,'Snowball workings'!$AK$136))</f>
      </c>
      <c r="Q134" s="30">
        <f>IF(OR(129&gt;$Z$1,NOT(OR('Your debts'!$B$11&lt;&gt;"",N('Your debts'!$C$11)&gt;0))),"",IF('Your debts'!$D$20="Avalanche",'Avalanche workings'!$AU$136,'Snowball workings'!$AU$136))</f>
      </c>
      <c r="R134" s="29">
        <f>IF(OR(129&gt;$Z$1,NOT(OR('Your debts'!$B$12&lt;&gt;"",N('Your debts'!$C$12)&gt;0))),"",IF('Your debts'!$D$20="Avalanche",'Avalanche workings'!$R$136,'Snowball workings'!$R$136)+IF('Your debts'!$D$20="Avalanche",'Avalanche workings'!$AL$136,'Snowball workings'!$AL$136))</f>
      </c>
      <c r="S134" s="30">
        <f>IF(OR(129&gt;$Z$1,NOT(OR('Your debts'!$B$12&lt;&gt;"",N('Your debts'!$C$12)&gt;0))),"",IF('Your debts'!$D$20="Avalanche",'Avalanche workings'!$AV$136,'Snowball workings'!$AV$136))</f>
      </c>
      <c r="T134" s="29">
        <f>IF(OR(129&gt;$Z$1,NOT(OR('Your debts'!$B$13&lt;&gt;"",N('Your debts'!$C$13)&gt;0))),"",IF('Your debts'!$D$20="Avalanche",'Avalanche workings'!$S$136,'Snowball workings'!$S$136)+IF('Your debts'!$D$20="Avalanche",'Avalanche workings'!$AM$136,'Snowball workings'!$AM$136))</f>
      </c>
      <c r="U134" s="30">
        <f>IF(OR(129&gt;$Z$1,NOT(OR('Your debts'!$B$13&lt;&gt;"",N('Your debts'!$C$13)&gt;0))),"",IF('Your debts'!$D$20="Avalanche",'Avalanche workings'!$AW$136,'Snowball workings'!$AW$136))</f>
      </c>
      <c r="V134" s="29">
        <f>IF(OR(129&gt;$Z$1,NOT(OR('Your debts'!$B$14&lt;&gt;"",N('Your debts'!$C$14)&gt;0))),"",IF('Your debts'!$D$20="Avalanche",'Avalanche workings'!$T$136,'Snowball workings'!$T$136)+IF('Your debts'!$D$20="Avalanche",'Avalanche workings'!$AN$136,'Snowball workings'!$AN$136))</f>
      </c>
      <c r="W134" s="30">
        <f>IF(OR(129&gt;$Z$1,NOT(OR('Your debts'!$B$14&lt;&gt;"",N('Your debts'!$C$14)&gt;0))),"",IF('Your debts'!$D$20="Avalanche",'Avalanche workings'!$AX$136,'Snowball workings'!$AX$136))</f>
      </c>
      <c r="X134" s="29">
        <f>IF(OR(129&gt;$Z$1,NOT(OR('Your debts'!$B$15&lt;&gt;"",N('Your debts'!$C$15)&gt;0))),"",IF('Your debts'!$D$20="Avalanche",'Avalanche workings'!$U$136,'Snowball workings'!$U$136)+IF('Your debts'!$D$20="Avalanche",'Avalanche workings'!$AO$136,'Snowball workings'!$AO$136))</f>
      </c>
      <c r="Y134" s="30">
        <f>IF(OR(129&gt;$Z$1,NOT(OR('Your debts'!$B$15&lt;&gt;"",N('Your debts'!$C$15)&gt;0))),"",IF('Your debts'!$D$20="Avalanche",'Avalanche workings'!$AY$136,'Snowball workings'!$AY$136))</f>
      </c>
    </row>
    <row r="135" spans="1:25" x14ac:dyDescent="0.25">
      <c r="A135" s="2">
        <f>IF(130&gt;$Z$1,"",130)</f>
      </c>
      <c r="B135" s="28">
        <f>IF(130&gt;$Z$1,"",EDATE('Your debts'!$D$21,129))</f>
      </c>
      <c r="C135" s="29">
        <f>IF(130&gt;$Z$1,"",IF('Your debts'!$D$20="Avalanche",'Avalanche workings'!$BC$137,'Snowball workings'!$BC$137))</f>
      </c>
      <c r="D135" s="29">
        <f>IF(130&gt;$Z$1,"",IF('Your debts'!$D$20="Avalanche",'Avalanche workings'!$BA$137,'Snowball workings'!$BA$137))</f>
      </c>
      <c r="E135" s="29">
        <f>IF(130&gt;$Z$1,"",IF('Your debts'!$D$20="Avalanche",'Avalanche workings'!$BB$137,'Snowball workings'!$BB$137))</f>
      </c>
      <c r="F135" s="29">
        <f>IF(OR(130&gt;$Z$1,NOT(OR('Your debts'!$B$6&lt;&gt;"",N('Your debts'!$C$6)&gt;0))),"",IF('Your debts'!$D$20="Avalanche",'Avalanche workings'!$L$137,'Snowball workings'!$L$137)+IF('Your debts'!$D$20="Avalanche",'Avalanche workings'!$AF$137,'Snowball workings'!$AF$137))</f>
      </c>
      <c r="G135" s="30">
        <f>IF(OR(130&gt;$Z$1,NOT(OR('Your debts'!$B$6&lt;&gt;"",N('Your debts'!$C$6)&gt;0))),"",IF('Your debts'!$D$20="Avalanche",'Avalanche workings'!$AP$137,'Snowball workings'!$AP$137))</f>
      </c>
      <c r="H135" s="29">
        <f>IF(OR(130&gt;$Z$1,NOT(OR('Your debts'!$B$7&lt;&gt;"",N('Your debts'!$C$7)&gt;0))),"",IF('Your debts'!$D$20="Avalanche",'Avalanche workings'!$M$137,'Snowball workings'!$M$137)+IF('Your debts'!$D$20="Avalanche",'Avalanche workings'!$AG$137,'Snowball workings'!$AG$137))</f>
      </c>
      <c r="I135" s="30">
        <f>IF(OR(130&gt;$Z$1,NOT(OR('Your debts'!$B$7&lt;&gt;"",N('Your debts'!$C$7)&gt;0))),"",IF('Your debts'!$D$20="Avalanche",'Avalanche workings'!$AQ$137,'Snowball workings'!$AQ$137))</f>
      </c>
      <c r="J135" s="29">
        <f>IF(OR(130&gt;$Z$1,NOT(OR('Your debts'!$B$8&lt;&gt;"",N('Your debts'!$C$8)&gt;0))),"",IF('Your debts'!$D$20="Avalanche",'Avalanche workings'!$N$137,'Snowball workings'!$N$137)+IF('Your debts'!$D$20="Avalanche",'Avalanche workings'!$AH$137,'Snowball workings'!$AH$137))</f>
      </c>
      <c r="K135" s="30">
        <f>IF(OR(130&gt;$Z$1,NOT(OR('Your debts'!$B$8&lt;&gt;"",N('Your debts'!$C$8)&gt;0))),"",IF('Your debts'!$D$20="Avalanche",'Avalanche workings'!$AR$137,'Snowball workings'!$AR$137))</f>
      </c>
      <c r="L135" s="29">
        <f>IF(OR(130&gt;$Z$1,NOT(OR('Your debts'!$B$9&lt;&gt;"",N('Your debts'!$C$9)&gt;0))),"",IF('Your debts'!$D$20="Avalanche",'Avalanche workings'!$O$137,'Snowball workings'!$O$137)+IF('Your debts'!$D$20="Avalanche",'Avalanche workings'!$AI$137,'Snowball workings'!$AI$137))</f>
      </c>
      <c r="M135" s="30">
        <f>IF(OR(130&gt;$Z$1,NOT(OR('Your debts'!$B$9&lt;&gt;"",N('Your debts'!$C$9)&gt;0))),"",IF('Your debts'!$D$20="Avalanche",'Avalanche workings'!$AS$137,'Snowball workings'!$AS$137))</f>
      </c>
      <c r="N135" s="29">
        <f>IF(OR(130&gt;$Z$1,NOT(OR('Your debts'!$B$10&lt;&gt;"",N('Your debts'!$C$10)&gt;0))),"",IF('Your debts'!$D$20="Avalanche",'Avalanche workings'!$P$137,'Snowball workings'!$P$137)+IF('Your debts'!$D$20="Avalanche",'Avalanche workings'!$AJ$137,'Snowball workings'!$AJ$137))</f>
      </c>
      <c r="O135" s="30">
        <f>IF(OR(130&gt;$Z$1,NOT(OR('Your debts'!$B$10&lt;&gt;"",N('Your debts'!$C$10)&gt;0))),"",IF('Your debts'!$D$20="Avalanche",'Avalanche workings'!$AT$137,'Snowball workings'!$AT$137))</f>
      </c>
      <c r="P135" s="29">
        <f>IF(OR(130&gt;$Z$1,NOT(OR('Your debts'!$B$11&lt;&gt;"",N('Your debts'!$C$11)&gt;0))),"",IF('Your debts'!$D$20="Avalanche",'Avalanche workings'!$Q$137,'Snowball workings'!$Q$137)+IF('Your debts'!$D$20="Avalanche",'Avalanche workings'!$AK$137,'Snowball workings'!$AK$137))</f>
      </c>
      <c r="Q135" s="30">
        <f>IF(OR(130&gt;$Z$1,NOT(OR('Your debts'!$B$11&lt;&gt;"",N('Your debts'!$C$11)&gt;0))),"",IF('Your debts'!$D$20="Avalanche",'Avalanche workings'!$AU$137,'Snowball workings'!$AU$137))</f>
      </c>
      <c r="R135" s="29">
        <f>IF(OR(130&gt;$Z$1,NOT(OR('Your debts'!$B$12&lt;&gt;"",N('Your debts'!$C$12)&gt;0))),"",IF('Your debts'!$D$20="Avalanche",'Avalanche workings'!$R$137,'Snowball workings'!$R$137)+IF('Your debts'!$D$20="Avalanche",'Avalanche workings'!$AL$137,'Snowball workings'!$AL$137))</f>
      </c>
      <c r="S135" s="30">
        <f>IF(OR(130&gt;$Z$1,NOT(OR('Your debts'!$B$12&lt;&gt;"",N('Your debts'!$C$12)&gt;0))),"",IF('Your debts'!$D$20="Avalanche",'Avalanche workings'!$AV$137,'Snowball workings'!$AV$137))</f>
      </c>
      <c r="T135" s="29">
        <f>IF(OR(130&gt;$Z$1,NOT(OR('Your debts'!$B$13&lt;&gt;"",N('Your debts'!$C$13)&gt;0))),"",IF('Your debts'!$D$20="Avalanche",'Avalanche workings'!$S$137,'Snowball workings'!$S$137)+IF('Your debts'!$D$20="Avalanche",'Avalanche workings'!$AM$137,'Snowball workings'!$AM$137))</f>
      </c>
      <c r="U135" s="30">
        <f>IF(OR(130&gt;$Z$1,NOT(OR('Your debts'!$B$13&lt;&gt;"",N('Your debts'!$C$13)&gt;0))),"",IF('Your debts'!$D$20="Avalanche",'Avalanche workings'!$AW$137,'Snowball workings'!$AW$137))</f>
      </c>
      <c r="V135" s="29">
        <f>IF(OR(130&gt;$Z$1,NOT(OR('Your debts'!$B$14&lt;&gt;"",N('Your debts'!$C$14)&gt;0))),"",IF('Your debts'!$D$20="Avalanche",'Avalanche workings'!$T$137,'Snowball workings'!$T$137)+IF('Your debts'!$D$20="Avalanche",'Avalanche workings'!$AN$137,'Snowball workings'!$AN$137))</f>
      </c>
      <c r="W135" s="30">
        <f>IF(OR(130&gt;$Z$1,NOT(OR('Your debts'!$B$14&lt;&gt;"",N('Your debts'!$C$14)&gt;0))),"",IF('Your debts'!$D$20="Avalanche",'Avalanche workings'!$AX$137,'Snowball workings'!$AX$137))</f>
      </c>
      <c r="X135" s="29">
        <f>IF(OR(130&gt;$Z$1,NOT(OR('Your debts'!$B$15&lt;&gt;"",N('Your debts'!$C$15)&gt;0))),"",IF('Your debts'!$D$20="Avalanche",'Avalanche workings'!$U$137,'Snowball workings'!$U$137)+IF('Your debts'!$D$20="Avalanche",'Avalanche workings'!$AO$137,'Snowball workings'!$AO$137))</f>
      </c>
      <c r="Y135" s="30">
        <f>IF(OR(130&gt;$Z$1,NOT(OR('Your debts'!$B$15&lt;&gt;"",N('Your debts'!$C$15)&gt;0))),"",IF('Your debts'!$D$20="Avalanche",'Avalanche workings'!$AY$137,'Snowball workings'!$AY$137))</f>
      </c>
    </row>
    <row r="136" spans="1:25" x14ac:dyDescent="0.25">
      <c r="A136" s="2">
        <f>IF(131&gt;$Z$1,"",131)</f>
      </c>
      <c r="B136" s="28">
        <f>IF(131&gt;$Z$1,"",EDATE('Your debts'!$D$21,130))</f>
      </c>
      <c r="C136" s="29">
        <f>IF(131&gt;$Z$1,"",IF('Your debts'!$D$20="Avalanche",'Avalanche workings'!$BC$138,'Snowball workings'!$BC$138))</f>
      </c>
      <c r="D136" s="29">
        <f>IF(131&gt;$Z$1,"",IF('Your debts'!$D$20="Avalanche",'Avalanche workings'!$BA$138,'Snowball workings'!$BA$138))</f>
      </c>
      <c r="E136" s="29">
        <f>IF(131&gt;$Z$1,"",IF('Your debts'!$D$20="Avalanche",'Avalanche workings'!$BB$138,'Snowball workings'!$BB$138))</f>
      </c>
      <c r="F136" s="29">
        <f>IF(OR(131&gt;$Z$1,NOT(OR('Your debts'!$B$6&lt;&gt;"",N('Your debts'!$C$6)&gt;0))),"",IF('Your debts'!$D$20="Avalanche",'Avalanche workings'!$L$138,'Snowball workings'!$L$138)+IF('Your debts'!$D$20="Avalanche",'Avalanche workings'!$AF$138,'Snowball workings'!$AF$138))</f>
      </c>
      <c r="G136" s="30">
        <f>IF(OR(131&gt;$Z$1,NOT(OR('Your debts'!$B$6&lt;&gt;"",N('Your debts'!$C$6)&gt;0))),"",IF('Your debts'!$D$20="Avalanche",'Avalanche workings'!$AP$138,'Snowball workings'!$AP$138))</f>
      </c>
      <c r="H136" s="29">
        <f>IF(OR(131&gt;$Z$1,NOT(OR('Your debts'!$B$7&lt;&gt;"",N('Your debts'!$C$7)&gt;0))),"",IF('Your debts'!$D$20="Avalanche",'Avalanche workings'!$M$138,'Snowball workings'!$M$138)+IF('Your debts'!$D$20="Avalanche",'Avalanche workings'!$AG$138,'Snowball workings'!$AG$138))</f>
      </c>
      <c r="I136" s="30">
        <f>IF(OR(131&gt;$Z$1,NOT(OR('Your debts'!$B$7&lt;&gt;"",N('Your debts'!$C$7)&gt;0))),"",IF('Your debts'!$D$20="Avalanche",'Avalanche workings'!$AQ$138,'Snowball workings'!$AQ$138))</f>
      </c>
      <c r="J136" s="29">
        <f>IF(OR(131&gt;$Z$1,NOT(OR('Your debts'!$B$8&lt;&gt;"",N('Your debts'!$C$8)&gt;0))),"",IF('Your debts'!$D$20="Avalanche",'Avalanche workings'!$N$138,'Snowball workings'!$N$138)+IF('Your debts'!$D$20="Avalanche",'Avalanche workings'!$AH$138,'Snowball workings'!$AH$138))</f>
      </c>
      <c r="K136" s="30">
        <f>IF(OR(131&gt;$Z$1,NOT(OR('Your debts'!$B$8&lt;&gt;"",N('Your debts'!$C$8)&gt;0))),"",IF('Your debts'!$D$20="Avalanche",'Avalanche workings'!$AR$138,'Snowball workings'!$AR$138))</f>
      </c>
      <c r="L136" s="29">
        <f>IF(OR(131&gt;$Z$1,NOT(OR('Your debts'!$B$9&lt;&gt;"",N('Your debts'!$C$9)&gt;0))),"",IF('Your debts'!$D$20="Avalanche",'Avalanche workings'!$O$138,'Snowball workings'!$O$138)+IF('Your debts'!$D$20="Avalanche",'Avalanche workings'!$AI$138,'Snowball workings'!$AI$138))</f>
      </c>
      <c r="M136" s="30">
        <f>IF(OR(131&gt;$Z$1,NOT(OR('Your debts'!$B$9&lt;&gt;"",N('Your debts'!$C$9)&gt;0))),"",IF('Your debts'!$D$20="Avalanche",'Avalanche workings'!$AS$138,'Snowball workings'!$AS$138))</f>
      </c>
      <c r="N136" s="29">
        <f>IF(OR(131&gt;$Z$1,NOT(OR('Your debts'!$B$10&lt;&gt;"",N('Your debts'!$C$10)&gt;0))),"",IF('Your debts'!$D$20="Avalanche",'Avalanche workings'!$P$138,'Snowball workings'!$P$138)+IF('Your debts'!$D$20="Avalanche",'Avalanche workings'!$AJ$138,'Snowball workings'!$AJ$138))</f>
      </c>
      <c r="O136" s="30">
        <f>IF(OR(131&gt;$Z$1,NOT(OR('Your debts'!$B$10&lt;&gt;"",N('Your debts'!$C$10)&gt;0))),"",IF('Your debts'!$D$20="Avalanche",'Avalanche workings'!$AT$138,'Snowball workings'!$AT$138))</f>
      </c>
      <c r="P136" s="29">
        <f>IF(OR(131&gt;$Z$1,NOT(OR('Your debts'!$B$11&lt;&gt;"",N('Your debts'!$C$11)&gt;0))),"",IF('Your debts'!$D$20="Avalanche",'Avalanche workings'!$Q$138,'Snowball workings'!$Q$138)+IF('Your debts'!$D$20="Avalanche",'Avalanche workings'!$AK$138,'Snowball workings'!$AK$138))</f>
      </c>
      <c r="Q136" s="30">
        <f>IF(OR(131&gt;$Z$1,NOT(OR('Your debts'!$B$11&lt;&gt;"",N('Your debts'!$C$11)&gt;0))),"",IF('Your debts'!$D$20="Avalanche",'Avalanche workings'!$AU$138,'Snowball workings'!$AU$138))</f>
      </c>
      <c r="R136" s="29">
        <f>IF(OR(131&gt;$Z$1,NOT(OR('Your debts'!$B$12&lt;&gt;"",N('Your debts'!$C$12)&gt;0))),"",IF('Your debts'!$D$20="Avalanche",'Avalanche workings'!$R$138,'Snowball workings'!$R$138)+IF('Your debts'!$D$20="Avalanche",'Avalanche workings'!$AL$138,'Snowball workings'!$AL$138))</f>
      </c>
      <c r="S136" s="30">
        <f>IF(OR(131&gt;$Z$1,NOT(OR('Your debts'!$B$12&lt;&gt;"",N('Your debts'!$C$12)&gt;0))),"",IF('Your debts'!$D$20="Avalanche",'Avalanche workings'!$AV$138,'Snowball workings'!$AV$138))</f>
      </c>
      <c r="T136" s="29">
        <f>IF(OR(131&gt;$Z$1,NOT(OR('Your debts'!$B$13&lt;&gt;"",N('Your debts'!$C$13)&gt;0))),"",IF('Your debts'!$D$20="Avalanche",'Avalanche workings'!$S$138,'Snowball workings'!$S$138)+IF('Your debts'!$D$20="Avalanche",'Avalanche workings'!$AM$138,'Snowball workings'!$AM$138))</f>
      </c>
      <c r="U136" s="30">
        <f>IF(OR(131&gt;$Z$1,NOT(OR('Your debts'!$B$13&lt;&gt;"",N('Your debts'!$C$13)&gt;0))),"",IF('Your debts'!$D$20="Avalanche",'Avalanche workings'!$AW$138,'Snowball workings'!$AW$138))</f>
      </c>
      <c r="V136" s="29">
        <f>IF(OR(131&gt;$Z$1,NOT(OR('Your debts'!$B$14&lt;&gt;"",N('Your debts'!$C$14)&gt;0))),"",IF('Your debts'!$D$20="Avalanche",'Avalanche workings'!$T$138,'Snowball workings'!$T$138)+IF('Your debts'!$D$20="Avalanche",'Avalanche workings'!$AN$138,'Snowball workings'!$AN$138))</f>
      </c>
      <c r="W136" s="30">
        <f>IF(OR(131&gt;$Z$1,NOT(OR('Your debts'!$B$14&lt;&gt;"",N('Your debts'!$C$14)&gt;0))),"",IF('Your debts'!$D$20="Avalanche",'Avalanche workings'!$AX$138,'Snowball workings'!$AX$138))</f>
      </c>
      <c r="X136" s="29">
        <f>IF(OR(131&gt;$Z$1,NOT(OR('Your debts'!$B$15&lt;&gt;"",N('Your debts'!$C$15)&gt;0))),"",IF('Your debts'!$D$20="Avalanche",'Avalanche workings'!$U$138,'Snowball workings'!$U$138)+IF('Your debts'!$D$20="Avalanche",'Avalanche workings'!$AO$138,'Snowball workings'!$AO$138))</f>
      </c>
      <c r="Y136" s="30">
        <f>IF(OR(131&gt;$Z$1,NOT(OR('Your debts'!$B$15&lt;&gt;"",N('Your debts'!$C$15)&gt;0))),"",IF('Your debts'!$D$20="Avalanche",'Avalanche workings'!$AY$138,'Snowball workings'!$AY$138))</f>
      </c>
    </row>
    <row r="137" spans="1:25" x14ac:dyDescent="0.25">
      <c r="A137" s="2">
        <f>IF(132&gt;$Z$1,"",132)</f>
      </c>
      <c r="B137" s="28">
        <f>IF(132&gt;$Z$1,"",EDATE('Your debts'!$D$21,131))</f>
      </c>
      <c r="C137" s="29">
        <f>IF(132&gt;$Z$1,"",IF('Your debts'!$D$20="Avalanche",'Avalanche workings'!$BC$139,'Snowball workings'!$BC$139))</f>
      </c>
      <c r="D137" s="29">
        <f>IF(132&gt;$Z$1,"",IF('Your debts'!$D$20="Avalanche",'Avalanche workings'!$BA$139,'Snowball workings'!$BA$139))</f>
      </c>
      <c r="E137" s="29">
        <f>IF(132&gt;$Z$1,"",IF('Your debts'!$D$20="Avalanche",'Avalanche workings'!$BB$139,'Snowball workings'!$BB$139))</f>
      </c>
      <c r="F137" s="29">
        <f>IF(OR(132&gt;$Z$1,NOT(OR('Your debts'!$B$6&lt;&gt;"",N('Your debts'!$C$6)&gt;0))),"",IF('Your debts'!$D$20="Avalanche",'Avalanche workings'!$L$139,'Snowball workings'!$L$139)+IF('Your debts'!$D$20="Avalanche",'Avalanche workings'!$AF$139,'Snowball workings'!$AF$139))</f>
      </c>
      <c r="G137" s="30">
        <f>IF(OR(132&gt;$Z$1,NOT(OR('Your debts'!$B$6&lt;&gt;"",N('Your debts'!$C$6)&gt;0))),"",IF('Your debts'!$D$20="Avalanche",'Avalanche workings'!$AP$139,'Snowball workings'!$AP$139))</f>
      </c>
      <c r="H137" s="29">
        <f>IF(OR(132&gt;$Z$1,NOT(OR('Your debts'!$B$7&lt;&gt;"",N('Your debts'!$C$7)&gt;0))),"",IF('Your debts'!$D$20="Avalanche",'Avalanche workings'!$M$139,'Snowball workings'!$M$139)+IF('Your debts'!$D$20="Avalanche",'Avalanche workings'!$AG$139,'Snowball workings'!$AG$139))</f>
      </c>
      <c r="I137" s="30">
        <f>IF(OR(132&gt;$Z$1,NOT(OR('Your debts'!$B$7&lt;&gt;"",N('Your debts'!$C$7)&gt;0))),"",IF('Your debts'!$D$20="Avalanche",'Avalanche workings'!$AQ$139,'Snowball workings'!$AQ$139))</f>
      </c>
      <c r="J137" s="29">
        <f>IF(OR(132&gt;$Z$1,NOT(OR('Your debts'!$B$8&lt;&gt;"",N('Your debts'!$C$8)&gt;0))),"",IF('Your debts'!$D$20="Avalanche",'Avalanche workings'!$N$139,'Snowball workings'!$N$139)+IF('Your debts'!$D$20="Avalanche",'Avalanche workings'!$AH$139,'Snowball workings'!$AH$139))</f>
      </c>
      <c r="K137" s="30">
        <f>IF(OR(132&gt;$Z$1,NOT(OR('Your debts'!$B$8&lt;&gt;"",N('Your debts'!$C$8)&gt;0))),"",IF('Your debts'!$D$20="Avalanche",'Avalanche workings'!$AR$139,'Snowball workings'!$AR$139))</f>
      </c>
      <c r="L137" s="29">
        <f>IF(OR(132&gt;$Z$1,NOT(OR('Your debts'!$B$9&lt;&gt;"",N('Your debts'!$C$9)&gt;0))),"",IF('Your debts'!$D$20="Avalanche",'Avalanche workings'!$O$139,'Snowball workings'!$O$139)+IF('Your debts'!$D$20="Avalanche",'Avalanche workings'!$AI$139,'Snowball workings'!$AI$139))</f>
      </c>
      <c r="M137" s="30">
        <f>IF(OR(132&gt;$Z$1,NOT(OR('Your debts'!$B$9&lt;&gt;"",N('Your debts'!$C$9)&gt;0))),"",IF('Your debts'!$D$20="Avalanche",'Avalanche workings'!$AS$139,'Snowball workings'!$AS$139))</f>
      </c>
      <c r="N137" s="29">
        <f>IF(OR(132&gt;$Z$1,NOT(OR('Your debts'!$B$10&lt;&gt;"",N('Your debts'!$C$10)&gt;0))),"",IF('Your debts'!$D$20="Avalanche",'Avalanche workings'!$P$139,'Snowball workings'!$P$139)+IF('Your debts'!$D$20="Avalanche",'Avalanche workings'!$AJ$139,'Snowball workings'!$AJ$139))</f>
      </c>
      <c r="O137" s="30">
        <f>IF(OR(132&gt;$Z$1,NOT(OR('Your debts'!$B$10&lt;&gt;"",N('Your debts'!$C$10)&gt;0))),"",IF('Your debts'!$D$20="Avalanche",'Avalanche workings'!$AT$139,'Snowball workings'!$AT$139))</f>
      </c>
      <c r="P137" s="29">
        <f>IF(OR(132&gt;$Z$1,NOT(OR('Your debts'!$B$11&lt;&gt;"",N('Your debts'!$C$11)&gt;0))),"",IF('Your debts'!$D$20="Avalanche",'Avalanche workings'!$Q$139,'Snowball workings'!$Q$139)+IF('Your debts'!$D$20="Avalanche",'Avalanche workings'!$AK$139,'Snowball workings'!$AK$139))</f>
      </c>
      <c r="Q137" s="30">
        <f>IF(OR(132&gt;$Z$1,NOT(OR('Your debts'!$B$11&lt;&gt;"",N('Your debts'!$C$11)&gt;0))),"",IF('Your debts'!$D$20="Avalanche",'Avalanche workings'!$AU$139,'Snowball workings'!$AU$139))</f>
      </c>
      <c r="R137" s="29">
        <f>IF(OR(132&gt;$Z$1,NOT(OR('Your debts'!$B$12&lt;&gt;"",N('Your debts'!$C$12)&gt;0))),"",IF('Your debts'!$D$20="Avalanche",'Avalanche workings'!$R$139,'Snowball workings'!$R$139)+IF('Your debts'!$D$20="Avalanche",'Avalanche workings'!$AL$139,'Snowball workings'!$AL$139))</f>
      </c>
      <c r="S137" s="30">
        <f>IF(OR(132&gt;$Z$1,NOT(OR('Your debts'!$B$12&lt;&gt;"",N('Your debts'!$C$12)&gt;0))),"",IF('Your debts'!$D$20="Avalanche",'Avalanche workings'!$AV$139,'Snowball workings'!$AV$139))</f>
      </c>
      <c r="T137" s="29">
        <f>IF(OR(132&gt;$Z$1,NOT(OR('Your debts'!$B$13&lt;&gt;"",N('Your debts'!$C$13)&gt;0))),"",IF('Your debts'!$D$20="Avalanche",'Avalanche workings'!$S$139,'Snowball workings'!$S$139)+IF('Your debts'!$D$20="Avalanche",'Avalanche workings'!$AM$139,'Snowball workings'!$AM$139))</f>
      </c>
      <c r="U137" s="30">
        <f>IF(OR(132&gt;$Z$1,NOT(OR('Your debts'!$B$13&lt;&gt;"",N('Your debts'!$C$13)&gt;0))),"",IF('Your debts'!$D$20="Avalanche",'Avalanche workings'!$AW$139,'Snowball workings'!$AW$139))</f>
      </c>
      <c r="V137" s="29">
        <f>IF(OR(132&gt;$Z$1,NOT(OR('Your debts'!$B$14&lt;&gt;"",N('Your debts'!$C$14)&gt;0))),"",IF('Your debts'!$D$20="Avalanche",'Avalanche workings'!$T$139,'Snowball workings'!$T$139)+IF('Your debts'!$D$20="Avalanche",'Avalanche workings'!$AN$139,'Snowball workings'!$AN$139))</f>
      </c>
      <c r="W137" s="30">
        <f>IF(OR(132&gt;$Z$1,NOT(OR('Your debts'!$B$14&lt;&gt;"",N('Your debts'!$C$14)&gt;0))),"",IF('Your debts'!$D$20="Avalanche",'Avalanche workings'!$AX$139,'Snowball workings'!$AX$139))</f>
      </c>
      <c r="X137" s="29">
        <f>IF(OR(132&gt;$Z$1,NOT(OR('Your debts'!$B$15&lt;&gt;"",N('Your debts'!$C$15)&gt;0))),"",IF('Your debts'!$D$20="Avalanche",'Avalanche workings'!$U$139,'Snowball workings'!$U$139)+IF('Your debts'!$D$20="Avalanche",'Avalanche workings'!$AO$139,'Snowball workings'!$AO$139))</f>
      </c>
      <c r="Y137" s="30">
        <f>IF(OR(132&gt;$Z$1,NOT(OR('Your debts'!$B$15&lt;&gt;"",N('Your debts'!$C$15)&gt;0))),"",IF('Your debts'!$D$20="Avalanche",'Avalanche workings'!$AY$139,'Snowball workings'!$AY$139))</f>
      </c>
    </row>
    <row r="138" spans="1:25" x14ac:dyDescent="0.25">
      <c r="A138" s="2">
        <f>IF(133&gt;$Z$1,"",133)</f>
      </c>
      <c r="B138" s="28">
        <f>IF(133&gt;$Z$1,"",EDATE('Your debts'!$D$21,132))</f>
      </c>
      <c r="C138" s="29">
        <f>IF(133&gt;$Z$1,"",IF('Your debts'!$D$20="Avalanche",'Avalanche workings'!$BC$140,'Snowball workings'!$BC$140))</f>
      </c>
      <c r="D138" s="29">
        <f>IF(133&gt;$Z$1,"",IF('Your debts'!$D$20="Avalanche",'Avalanche workings'!$BA$140,'Snowball workings'!$BA$140))</f>
      </c>
      <c r="E138" s="29">
        <f>IF(133&gt;$Z$1,"",IF('Your debts'!$D$20="Avalanche",'Avalanche workings'!$BB$140,'Snowball workings'!$BB$140))</f>
      </c>
      <c r="F138" s="29">
        <f>IF(OR(133&gt;$Z$1,NOT(OR('Your debts'!$B$6&lt;&gt;"",N('Your debts'!$C$6)&gt;0))),"",IF('Your debts'!$D$20="Avalanche",'Avalanche workings'!$L$140,'Snowball workings'!$L$140)+IF('Your debts'!$D$20="Avalanche",'Avalanche workings'!$AF$140,'Snowball workings'!$AF$140))</f>
      </c>
      <c r="G138" s="30">
        <f>IF(OR(133&gt;$Z$1,NOT(OR('Your debts'!$B$6&lt;&gt;"",N('Your debts'!$C$6)&gt;0))),"",IF('Your debts'!$D$20="Avalanche",'Avalanche workings'!$AP$140,'Snowball workings'!$AP$140))</f>
      </c>
      <c r="H138" s="29">
        <f>IF(OR(133&gt;$Z$1,NOT(OR('Your debts'!$B$7&lt;&gt;"",N('Your debts'!$C$7)&gt;0))),"",IF('Your debts'!$D$20="Avalanche",'Avalanche workings'!$M$140,'Snowball workings'!$M$140)+IF('Your debts'!$D$20="Avalanche",'Avalanche workings'!$AG$140,'Snowball workings'!$AG$140))</f>
      </c>
      <c r="I138" s="30">
        <f>IF(OR(133&gt;$Z$1,NOT(OR('Your debts'!$B$7&lt;&gt;"",N('Your debts'!$C$7)&gt;0))),"",IF('Your debts'!$D$20="Avalanche",'Avalanche workings'!$AQ$140,'Snowball workings'!$AQ$140))</f>
      </c>
      <c r="J138" s="29">
        <f>IF(OR(133&gt;$Z$1,NOT(OR('Your debts'!$B$8&lt;&gt;"",N('Your debts'!$C$8)&gt;0))),"",IF('Your debts'!$D$20="Avalanche",'Avalanche workings'!$N$140,'Snowball workings'!$N$140)+IF('Your debts'!$D$20="Avalanche",'Avalanche workings'!$AH$140,'Snowball workings'!$AH$140))</f>
      </c>
      <c r="K138" s="30">
        <f>IF(OR(133&gt;$Z$1,NOT(OR('Your debts'!$B$8&lt;&gt;"",N('Your debts'!$C$8)&gt;0))),"",IF('Your debts'!$D$20="Avalanche",'Avalanche workings'!$AR$140,'Snowball workings'!$AR$140))</f>
      </c>
      <c r="L138" s="29">
        <f>IF(OR(133&gt;$Z$1,NOT(OR('Your debts'!$B$9&lt;&gt;"",N('Your debts'!$C$9)&gt;0))),"",IF('Your debts'!$D$20="Avalanche",'Avalanche workings'!$O$140,'Snowball workings'!$O$140)+IF('Your debts'!$D$20="Avalanche",'Avalanche workings'!$AI$140,'Snowball workings'!$AI$140))</f>
      </c>
      <c r="M138" s="30">
        <f>IF(OR(133&gt;$Z$1,NOT(OR('Your debts'!$B$9&lt;&gt;"",N('Your debts'!$C$9)&gt;0))),"",IF('Your debts'!$D$20="Avalanche",'Avalanche workings'!$AS$140,'Snowball workings'!$AS$140))</f>
      </c>
      <c r="N138" s="29">
        <f>IF(OR(133&gt;$Z$1,NOT(OR('Your debts'!$B$10&lt;&gt;"",N('Your debts'!$C$10)&gt;0))),"",IF('Your debts'!$D$20="Avalanche",'Avalanche workings'!$P$140,'Snowball workings'!$P$140)+IF('Your debts'!$D$20="Avalanche",'Avalanche workings'!$AJ$140,'Snowball workings'!$AJ$140))</f>
      </c>
      <c r="O138" s="30">
        <f>IF(OR(133&gt;$Z$1,NOT(OR('Your debts'!$B$10&lt;&gt;"",N('Your debts'!$C$10)&gt;0))),"",IF('Your debts'!$D$20="Avalanche",'Avalanche workings'!$AT$140,'Snowball workings'!$AT$140))</f>
      </c>
      <c r="P138" s="29">
        <f>IF(OR(133&gt;$Z$1,NOT(OR('Your debts'!$B$11&lt;&gt;"",N('Your debts'!$C$11)&gt;0))),"",IF('Your debts'!$D$20="Avalanche",'Avalanche workings'!$Q$140,'Snowball workings'!$Q$140)+IF('Your debts'!$D$20="Avalanche",'Avalanche workings'!$AK$140,'Snowball workings'!$AK$140))</f>
      </c>
      <c r="Q138" s="30">
        <f>IF(OR(133&gt;$Z$1,NOT(OR('Your debts'!$B$11&lt;&gt;"",N('Your debts'!$C$11)&gt;0))),"",IF('Your debts'!$D$20="Avalanche",'Avalanche workings'!$AU$140,'Snowball workings'!$AU$140))</f>
      </c>
      <c r="R138" s="29">
        <f>IF(OR(133&gt;$Z$1,NOT(OR('Your debts'!$B$12&lt;&gt;"",N('Your debts'!$C$12)&gt;0))),"",IF('Your debts'!$D$20="Avalanche",'Avalanche workings'!$R$140,'Snowball workings'!$R$140)+IF('Your debts'!$D$20="Avalanche",'Avalanche workings'!$AL$140,'Snowball workings'!$AL$140))</f>
      </c>
      <c r="S138" s="30">
        <f>IF(OR(133&gt;$Z$1,NOT(OR('Your debts'!$B$12&lt;&gt;"",N('Your debts'!$C$12)&gt;0))),"",IF('Your debts'!$D$20="Avalanche",'Avalanche workings'!$AV$140,'Snowball workings'!$AV$140))</f>
      </c>
      <c r="T138" s="29">
        <f>IF(OR(133&gt;$Z$1,NOT(OR('Your debts'!$B$13&lt;&gt;"",N('Your debts'!$C$13)&gt;0))),"",IF('Your debts'!$D$20="Avalanche",'Avalanche workings'!$S$140,'Snowball workings'!$S$140)+IF('Your debts'!$D$20="Avalanche",'Avalanche workings'!$AM$140,'Snowball workings'!$AM$140))</f>
      </c>
      <c r="U138" s="30">
        <f>IF(OR(133&gt;$Z$1,NOT(OR('Your debts'!$B$13&lt;&gt;"",N('Your debts'!$C$13)&gt;0))),"",IF('Your debts'!$D$20="Avalanche",'Avalanche workings'!$AW$140,'Snowball workings'!$AW$140))</f>
      </c>
      <c r="V138" s="29">
        <f>IF(OR(133&gt;$Z$1,NOT(OR('Your debts'!$B$14&lt;&gt;"",N('Your debts'!$C$14)&gt;0))),"",IF('Your debts'!$D$20="Avalanche",'Avalanche workings'!$T$140,'Snowball workings'!$T$140)+IF('Your debts'!$D$20="Avalanche",'Avalanche workings'!$AN$140,'Snowball workings'!$AN$140))</f>
      </c>
      <c r="W138" s="30">
        <f>IF(OR(133&gt;$Z$1,NOT(OR('Your debts'!$B$14&lt;&gt;"",N('Your debts'!$C$14)&gt;0))),"",IF('Your debts'!$D$20="Avalanche",'Avalanche workings'!$AX$140,'Snowball workings'!$AX$140))</f>
      </c>
      <c r="X138" s="29">
        <f>IF(OR(133&gt;$Z$1,NOT(OR('Your debts'!$B$15&lt;&gt;"",N('Your debts'!$C$15)&gt;0))),"",IF('Your debts'!$D$20="Avalanche",'Avalanche workings'!$U$140,'Snowball workings'!$U$140)+IF('Your debts'!$D$20="Avalanche",'Avalanche workings'!$AO$140,'Snowball workings'!$AO$140))</f>
      </c>
      <c r="Y138" s="30">
        <f>IF(OR(133&gt;$Z$1,NOT(OR('Your debts'!$B$15&lt;&gt;"",N('Your debts'!$C$15)&gt;0))),"",IF('Your debts'!$D$20="Avalanche",'Avalanche workings'!$AY$140,'Snowball workings'!$AY$140))</f>
      </c>
    </row>
    <row r="139" spans="1:25" x14ac:dyDescent="0.25">
      <c r="A139" s="2">
        <f>IF(134&gt;$Z$1,"",134)</f>
      </c>
      <c r="B139" s="28">
        <f>IF(134&gt;$Z$1,"",EDATE('Your debts'!$D$21,133))</f>
      </c>
      <c r="C139" s="29">
        <f>IF(134&gt;$Z$1,"",IF('Your debts'!$D$20="Avalanche",'Avalanche workings'!$BC$141,'Snowball workings'!$BC$141))</f>
      </c>
      <c r="D139" s="29">
        <f>IF(134&gt;$Z$1,"",IF('Your debts'!$D$20="Avalanche",'Avalanche workings'!$BA$141,'Snowball workings'!$BA$141))</f>
      </c>
      <c r="E139" s="29">
        <f>IF(134&gt;$Z$1,"",IF('Your debts'!$D$20="Avalanche",'Avalanche workings'!$BB$141,'Snowball workings'!$BB$141))</f>
      </c>
      <c r="F139" s="29">
        <f>IF(OR(134&gt;$Z$1,NOT(OR('Your debts'!$B$6&lt;&gt;"",N('Your debts'!$C$6)&gt;0))),"",IF('Your debts'!$D$20="Avalanche",'Avalanche workings'!$L$141,'Snowball workings'!$L$141)+IF('Your debts'!$D$20="Avalanche",'Avalanche workings'!$AF$141,'Snowball workings'!$AF$141))</f>
      </c>
      <c r="G139" s="30">
        <f>IF(OR(134&gt;$Z$1,NOT(OR('Your debts'!$B$6&lt;&gt;"",N('Your debts'!$C$6)&gt;0))),"",IF('Your debts'!$D$20="Avalanche",'Avalanche workings'!$AP$141,'Snowball workings'!$AP$141))</f>
      </c>
      <c r="H139" s="29">
        <f>IF(OR(134&gt;$Z$1,NOT(OR('Your debts'!$B$7&lt;&gt;"",N('Your debts'!$C$7)&gt;0))),"",IF('Your debts'!$D$20="Avalanche",'Avalanche workings'!$M$141,'Snowball workings'!$M$141)+IF('Your debts'!$D$20="Avalanche",'Avalanche workings'!$AG$141,'Snowball workings'!$AG$141))</f>
      </c>
      <c r="I139" s="30">
        <f>IF(OR(134&gt;$Z$1,NOT(OR('Your debts'!$B$7&lt;&gt;"",N('Your debts'!$C$7)&gt;0))),"",IF('Your debts'!$D$20="Avalanche",'Avalanche workings'!$AQ$141,'Snowball workings'!$AQ$141))</f>
      </c>
      <c r="J139" s="29">
        <f>IF(OR(134&gt;$Z$1,NOT(OR('Your debts'!$B$8&lt;&gt;"",N('Your debts'!$C$8)&gt;0))),"",IF('Your debts'!$D$20="Avalanche",'Avalanche workings'!$N$141,'Snowball workings'!$N$141)+IF('Your debts'!$D$20="Avalanche",'Avalanche workings'!$AH$141,'Snowball workings'!$AH$141))</f>
      </c>
      <c r="K139" s="30">
        <f>IF(OR(134&gt;$Z$1,NOT(OR('Your debts'!$B$8&lt;&gt;"",N('Your debts'!$C$8)&gt;0))),"",IF('Your debts'!$D$20="Avalanche",'Avalanche workings'!$AR$141,'Snowball workings'!$AR$141))</f>
      </c>
      <c r="L139" s="29">
        <f>IF(OR(134&gt;$Z$1,NOT(OR('Your debts'!$B$9&lt;&gt;"",N('Your debts'!$C$9)&gt;0))),"",IF('Your debts'!$D$20="Avalanche",'Avalanche workings'!$O$141,'Snowball workings'!$O$141)+IF('Your debts'!$D$20="Avalanche",'Avalanche workings'!$AI$141,'Snowball workings'!$AI$141))</f>
      </c>
      <c r="M139" s="30">
        <f>IF(OR(134&gt;$Z$1,NOT(OR('Your debts'!$B$9&lt;&gt;"",N('Your debts'!$C$9)&gt;0))),"",IF('Your debts'!$D$20="Avalanche",'Avalanche workings'!$AS$141,'Snowball workings'!$AS$141))</f>
      </c>
      <c r="N139" s="29">
        <f>IF(OR(134&gt;$Z$1,NOT(OR('Your debts'!$B$10&lt;&gt;"",N('Your debts'!$C$10)&gt;0))),"",IF('Your debts'!$D$20="Avalanche",'Avalanche workings'!$P$141,'Snowball workings'!$P$141)+IF('Your debts'!$D$20="Avalanche",'Avalanche workings'!$AJ$141,'Snowball workings'!$AJ$141))</f>
      </c>
      <c r="O139" s="30">
        <f>IF(OR(134&gt;$Z$1,NOT(OR('Your debts'!$B$10&lt;&gt;"",N('Your debts'!$C$10)&gt;0))),"",IF('Your debts'!$D$20="Avalanche",'Avalanche workings'!$AT$141,'Snowball workings'!$AT$141))</f>
      </c>
      <c r="P139" s="29">
        <f>IF(OR(134&gt;$Z$1,NOT(OR('Your debts'!$B$11&lt;&gt;"",N('Your debts'!$C$11)&gt;0))),"",IF('Your debts'!$D$20="Avalanche",'Avalanche workings'!$Q$141,'Snowball workings'!$Q$141)+IF('Your debts'!$D$20="Avalanche",'Avalanche workings'!$AK$141,'Snowball workings'!$AK$141))</f>
      </c>
      <c r="Q139" s="30">
        <f>IF(OR(134&gt;$Z$1,NOT(OR('Your debts'!$B$11&lt;&gt;"",N('Your debts'!$C$11)&gt;0))),"",IF('Your debts'!$D$20="Avalanche",'Avalanche workings'!$AU$141,'Snowball workings'!$AU$141))</f>
      </c>
      <c r="R139" s="29">
        <f>IF(OR(134&gt;$Z$1,NOT(OR('Your debts'!$B$12&lt;&gt;"",N('Your debts'!$C$12)&gt;0))),"",IF('Your debts'!$D$20="Avalanche",'Avalanche workings'!$R$141,'Snowball workings'!$R$141)+IF('Your debts'!$D$20="Avalanche",'Avalanche workings'!$AL$141,'Snowball workings'!$AL$141))</f>
      </c>
      <c r="S139" s="30">
        <f>IF(OR(134&gt;$Z$1,NOT(OR('Your debts'!$B$12&lt;&gt;"",N('Your debts'!$C$12)&gt;0))),"",IF('Your debts'!$D$20="Avalanche",'Avalanche workings'!$AV$141,'Snowball workings'!$AV$141))</f>
      </c>
      <c r="T139" s="29">
        <f>IF(OR(134&gt;$Z$1,NOT(OR('Your debts'!$B$13&lt;&gt;"",N('Your debts'!$C$13)&gt;0))),"",IF('Your debts'!$D$20="Avalanche",'Avalanche workings'!$S$141,'Snowball workings'!$S$141)+IF('Your debts'!$D$20="Avalanche",'Avalanche workings'!$AM$141,'Snowball workings'!$AM$141))</f>
      </c>
      <c r="U139" s="30">
        <f>IF(OR(134&gt;$Z$1,NOT(OR('Your debts'!$B$13&lt;&gt;"",N('Your debts'!$C$13)&gt;0))),"",IF('Your debts'!$D$20="Avalanche",'Avalanche workings'!$AW$141,'Snowball workings'!$AW$141))</f>
      </c>
      <c r="V139" s="29">
        <f>IF(OR(134&gt;$Z$1,NOT(OR('Your debts'!$B$14&lt;&gt;"",N('Your debts'!$C$14)&gt;0))),"",IF('Your debts'!$D$20="Avalanche",'Avalanche workings'!$T$141,'Snowball workings'!$T$141)+IF('Your debts'!$D$20="Avalanche",'Avalanche workings'!$AN$141,'Snowball workings'!$AN$141))</f>
      </c>
      <c r="W139" s="30">
        <f>IF(OR(134&gt;$Z$1,NOT(OR('Your debts'!$B$14&lt;&gt;"",N('Your debts'!$C$14)&gt;0))),"",IF('Your debts'!$D$20="Avalanche",'Avalanche workings'!$AX$141,'Snowball workings'!$AX$141))</f>
      </c>
      <c r="X139" s="29">
        <f>IF(OR(134&gt;$Z$1,NOT(OR('Your debts'!$B$15&lt;&gt;"",N('Your debts'!$C$15)&gt;0))),"",IF('Your debts'!$D$20="Avalanche",'Avalanche workings'!$U$141,'Snowball workings'!$U$141)+IF('Your debts'!$D$20="Avalanche",'Avalanche workings'!$AO$141,'Snowball workings'!$AO$141))</f>
      </c>
      <c r="Y139" s="30">
        <f>IF(OR(134&gt;$Z$1,NOT(OR('Your debts'!$B$15&lt;&gt;"",N('Your debts'!$C$15)&gt;0))),"",IF('Your debts'!$D$20="Avalanche",'Avalanche workings'!$AY$141,'Snowball workings'!$AY$141))</f>
      </c>
    </row>
    <row r="140" spans="1:25" x14ac:dyDescent="0.25">
      <c r="A140" s="2">
        <f>IF(135&gt;$Z$1,"",135)</f>
      </c>
      <c r="B140" s="28">
        <f>IF(135&gt;$Z$1,"",EDATE('Your debts'!$D$21,134))</f>
      </c>
      <c r="C140" s="29">
        <f>IF(135&gt;$Z$1,"",IF('Your debts'!$D$20="Avalanche",'Avalanche workings'!$BC$142,'Snowball workings'!$BC$142))</f>
      </c>
      <c r="D140" s="29">
        <f>IF(135&gt;$Z$1,"",IF('Your debts'!$D$20="Avalanche",'Avalanche workings'!$BA$142,'Snowball workings'!$BA$142))</f>
      </c>
      <c r="E140" s="29">
        <f>IF(135&gt;$Z$1,"",IF('Your debts'!$D$20="Avalanche",'Avalanche workings'!$BB$142,'Snowball workings'!$BB$142))</f>
      </c>
      <c r="F140" s="29">
        <f>IF(OR(135&gt;$Z$1,NOT(OR('Your debts'!$B$6&lt;&gt;"",N('Your debts'!$C$6)&gt;0))),"",IF('Your debts'!$D$20="Avalanche",'Avalanche workings'!$L$142,'Snowball workings'!$L$142)+IF('Your debts'!$D$20="Avalanche",'Avalanche workings'!$AF$142,'Snowball workings'!$AF$142))</f>
      </c>
      <c r="G140" s="30">
        <f>IF(OR(135&gt;$Z$1,NOT(OR('Your debts'!$B$6&lt;&gt;"",N('Your debts'!$C$6)&gt;0))),"",IF('Your debts'!$D$20="Avalanche",'Avalanche workings'!$AP$142,'Snowball workings'!$AP$142))</f>
      </c>
      <c r="H140" s="29">
        <f>IF(OR(135&gt;$Z$1,NOT(OR('Your debts'!$B$7&lt;&gt;"",N('Your debts'!$C$7)&gt;0))),"",IF('Your debts'!$D$20="Avalanche",'Avalanche workings'!$M$142,'Snowball workings'!$M$142)+IF('Your debts'!$D$20="Avalanche",'Avalanche workings'!$AG$142,'Snowball workings'!$AG$142))</f>
      </c>
      <c r="I140" s="30">
        <f>IF(OR(135&gt;$Z$1,NOT(OR('Your debts'!$B$7&lt;&gt;"",N('Your debts'!$C$7)&gt;0))),"",IF('Your debts'!$D$20="Avalanche",'Avalanche workings'!$AQ$142,'Snowball workings'!$AQ$142))</f>
      </c>
      <c r="J140" s="29">
        <f>IF(OR(135&gt;$Z$1,NOT(OR('Your debts'!$B$8&lt;&gt;"",N('Your debts'!$C$8)&gt;0))),"",IF('Your debts'!$D$20="Avalanche",'Avalanche workings'!$N$142,'Snowball workings'!$N$142)+IF('Your debts'!$D$20="Avalanche",'Avalanche workings'!$AH$142,'Snowball workings'!$AH$142))</f>
      </c>
      <c r="K140" s="30">
        <f>IF(OR(135&gt;$Z$1,NOT(OR('Your debts'!$B$8&lt;&gt;"",N('Your debts'!$C$8)&gt;0))),"",IF('Your debts'!$D$20="Avalanche",'Avalanche workings'!$AR$142,'Snowball workings'!$AR$142))</f>
      </c>
      <c r="L140" s="29">
        <f>IF(OR(135&gt;$Z$1,NOT(OR('Your debts'!$B$9&lt;&gt;"",N('Your debts'!$C$9)&gt;0))),"",IF('Your debts'!$D$20="Avalanche",'Avalanche workings'!$O$142,'Snowball workings'!$O$142)+IF('Your debts'!$D$20="Avalanche",'Avalanche workings'!$AI$142,'Snowball workings'!$AI$142))</f>
      </c>
      <c r="M140" s="30">
        <f>IF(OR(135&gt;$Z$1,NOT(OR('Your debts'!$B$9&lt;&gt;"",N('Your debts'!$C$9)&gt;0))),"",IF('Your debts'!$D$20="Avalanche",'Avalanche workings'!$AS$142,'Snowball workings'!$AS$142))</f>
      </c>
      <c r="N140" s="29">
        <f>IF(OR(135&gt;$Z$1,NOT(OR('Your debts'!$B$10&lt;&gt;"",N('Your debts'!$C$10)&gt;0))),"",IF('Your debts'!$D$20="Avalanche",'Avalanche workings'!$P$142,'Snowball workings'!$P$142)+IF('Your debts'!$D$20="Avalanche",'Avalanche workings'!$AJ$142,'Snowball workings'!$AJ$142))</f>
      </c>
      <c r="O140" s="30">
        <f>IF(OR(135&gt;$Z$1,NOT(OR('Your debts'!$B$10&lt;&gt;"",N('Your debts'!$C$10)&gt;0))),"",IF('Your debts'!$D$20="Avalanche",'Avalanche workings'!$AT$142,'Snowball workings'!$AT$142))</f>
      </c>
      <c r="P140" s="29">
        <f>IF(OR(135&gt;$Z$1,NOT(OR('Your debts'!$B$11&lt;&gt;"",N('Your debts'!$C$11)&gt;0))),"",IF('Your debts'!$D$20="Avalanche",'Avalanche workings'!$Q$142,'Snowball workings'!$Q$142)+IF('Your debts'!$D$20="Avalanche",'Avalanche workings'!$AK$142,'Snowball workings'!$AK$142))</f>
      </c>
      <c r="Q140" s="30">
        <f>IF(OR(135&gt;$Z$1,NOT(OR('Your debts'!$B$11&lt;&gt;"",N('Your debts'!$C$11)&gt;0))),"",IF('Your debts'!$D$20="Avalanche",'Avalanche workings'!$AU$142,'Snowball workings'!$AU$142))</f>
      </c>
      <c r="R140" s="29">
        <f>IF(OR(135&gt;$Z$1,NOT(OR('Your debts'!$B$12&lt;&gt;"",N('Your debts'!$C$12)&gt;0))),"",IF('Your debts'!$D$20="Avalanche",'Avalanche workings'!$R$142,'Snowball workings'!$R$142)+IF('Your debts'!$D$20="Avalanche",'Avalanche workings'!$AL$142,'Snowball workings'!$AL$142))</f>
      </c>
      <c r="S140" s="30">
        <f>IF(OR(135&gt;$Z$1,NOT(OR('Your debts'!$B$12&lt;&gt;"",N('Your debts'!$C$12)&gt;0))),"",IF('Your debts'!$D$20="Avalanche",'Avalanche workings'!$AV$142,'Snowball workings'!$AV$142))</f>
      </c>
      <c r="T140" s="29">
        <f>IF(OR(135&gt;$Z$1,NOT(OR('Your debts'!$B$13&lt;&gt;"",N('Your debts'!$C$13)&gt;0))),"",IF('Your debts'!$D$20="Avalanche",'Avalanche workings'!$S$142,'Snowball workings'!$S$142)+IF('Your debts'!$D$20="Avalanche",'Avalanche workings'!$AM$142,'Snowball workings'!$AM$142))</f>
      </c>
      <c r="U140" s="30">
        <f>IF(OR(135&gt;$Z$1,NOT(OR('Your debts'!$B$13&lt;&gt;"",N('Your debts'!$C$13)&gt;0))),"",IF('Your debts'!$D$20="Avalanche",'Avalanche workings'!$AW$142,'Snowball workings'!$AW$142))</f>
      </c>
      <c r="V140" s="29">
        <f>IF(OR(135&gt;$Z$1,NOT(OR('Your debts'!$B$14&lt;&gt;"",N('Your debts'!$C$14)&gt;0))),"",IF('Your debts'!$D$20="Avalanche",'Avalanche workings'!$T$142,'Snowball workings'!$T$142)+IF('Your debts'!$D$20="Avalanche",'Avalanche workings'!$AN$142,'Snowball workings'!$AN$142))</f>
      </c>
      <c r="W140" s="30">
        <f>IF(OR(135&gt;$Z$1,NOT(OR('Your debts'!$B$14&lt;&gt;"",N('Your debts'!$C$14)&gt;0))),"",IF('Your debts'!$D$20="Avalanche",'Avalanche workings'!$AX$142,'Snowball workings'!$AX$142))</f>
      </c>
      <c r="X140" s="29">
        <f>IF(OR(135&gt;$Z$1,NOT(OR('Your debts'!$B$15&lt;&gt;"",N('Your debts'!$C$15)&gt;0))),"",IF('Your debts'!$D$20="Avalanche",'Avalanche workings'!$U$142,'Snowball workings'!$U$142)+IF('Your debts'!$D$20="Avalanche",'Avalanche workings'!$AO$142,'Snowball workings'!$AO$142))</f>
      </c>
      <c r="Y140" s="30">
        <f>IF(OR(135&gt;$Z$1,NOT(OR('Your debts'!$B$15&lt;&gt;"",N('Your debts'!$C$15)&gt;0))),"",IF('Your debts'!$D$20="Avalanche",'Avalanche workings'!$AY$142,'Snowball workings'!$AY$142))</f>
      </c>
    </row>
    <row r="141" spans="1:25" x14ac:dyDescent="0.25">
      <c r="A141" s="2">
        <f>IF(136&gt;$Z$1,"",136)</f>
      </c>
      <c r="B141" s="28">
        <f>IF(136&gt;$Z$1,"",EDATE('Your debts'!$D$21,135))</f>
      </c>
      <c r="C141" s="29">
        <f>IF(136&gt;$Z$1,"",IF('Your debts'!$D$20="Avalanche",'Avalanche workings'!$BC$143,'Snowball workings'!$BC$143))</f>
      </c>
      <c r="D141" s="29">
        <f>IF(136&gt;$Z$1,"",IF('Your debts'!$D$20="Avalanche",'Avalanche workings'!$BA$143,'Snowball workings'!$BA$143))</f>
      </c>
      <c r="E141" s="29">
        <f>IF(136&gt;$Z$1,"",IF('Your debts'!$D$20="Avalanche",'Avalanche workings'!$BB$143,'Snowball workings'!$BB$143))</f>
      </c>
      <c r="F141" s="29">
        <f>IF(OR(136&gt;$Z$1,NOT(OR('Your debts'!$B$6&lt;&gt;"",N('Your debts'!$C$6)&gt;0))),"",IF('Your debts'!$D$20="Avalanche",'Avalanche workings'!$L$143,'Snowball workings'!$L$143)+IF('Your debts'!$D$20="Avalanche",'Avalanche workings'!$AF$143,'Snowball workings'!$AF$143))</f>
      </c>
      <c r="G141" s="30">
        <f>IF(OR(136&gt;$Z$1,NOT(OR('Your debts'!$B$6&lt;&gt;"",N('Your debts'!$C$6)&gt;0))),"",IF('Your debts'!$D$20="Avalanche",'Avalanche workings'!$AP$143,'Snowball workings'!$AP$143))</f>
      </c>
      <c r="H141" s="29">
        <f>IF(OR(136&gt;$Z$1,NOT(OR('Your debts'!$B$7&lt;&gt;"",N('Your debts'!$C$7)&gt;0))),"",IF('Your debts'!$D$20="Avalanche",'Avalanche workings'!$M$143,'Snowball workings'!$M$143)+IF('Your debts'!$D$20="Avalanche",'Avalanche workings'!$AG$143,'Snowball workings'!$AG$143))</f>
      </c>
      <c r="I141" s="30">
        <f>IF(OR(136&gt;$Z$1,NOT(OR('Your debts'!$B$7&lt;&gt;"",N('Your debts'!$C$7)&gt;0))),"",IF('Your debts'!$D$20="Avalanche",'Avalanche workings'!$AQ$143,'Snowball workings'!$AQ$143))</f>
      </c>
      <c r="J141" s="29">
        <f>IF(OR(136&gt;$Z$1,NOT(OR('Your debts'!$B$8&lt;&gt;"",N('Your debts'!$C$8)&gt;0))),"",IF('Your debts'!$D$20="Avalanche",'Avalanche workings'!$N$143,'Snowball workings'!$N$143)+IF('Your debts'!$D$20="Avalanche",'Avalanche workings'!$AH$143,'Snowball workings'!$AH$143))</f>
      </c>
      <c r="K141" s="30">
        <f>IF(OR(136&gt;$Z$1,NOT(OR('Your debts'!$B$8&lt;&gt;"",N('Your debts'!$C$8)&gt;0))),"",IF('Your debts'!$D$20="Avalanche",'Avalanche workings'!$AR$143,'Snowball workings'!$AR$143))</f>
      </c>
      <c r="L141" s="29">
        <f>IF(OR(136&gt;$Z$1,NOT(OR('Your debts'!$B$9&lt;&gt;"",N('Your debts'!$C$9)&gt;0))),"",IF('Your debts'!$D$20="Avalanche",'Avalanche workings'!$O$143,'Snowball workings'!$O$143)+IF('Your debts'!$D$20="Avalanche",'Avalanche workings'!$AI$143,'Snowball workings'!$AI$143))</f>
      </c>
      <c r="M141" s="30">
        <f>IF(OR(136&gt;$Z$1,NOT(OR('Your debts'!$B$9&lt;&gt;"",N('Your debts'!$C$9)&gt;0))),"",IF('Your debts'!$D$20="Avalanche",'Avalanche workings'!$AS$143,'Snowball workings'!$AS$143))</f>
      </c>
      <c r="N141" s="29">
        <f>IF(OR(136&gt;$Z$1,NOT(OR('Your debts'!$B$10&lt;&gt;"",N('Your debts'!$C$10)&gt;0))),"",IF('Your debts'!$D$20="Avalanche",'Avalanche workings'!$P$143,'Snowball workings'!$P$143)+IF('Your debts'!$D$20="Avalanche",'Avalanche workings'!$AJ$143,'Snowball workings'!$AJ$143))</f>
      </c>
      <c r="O141" s="30">
        <f>IF(OR(136&gt;$Z$1,NOT(OR('Your debts'!$B$10&lt;&gt;"",N('Your debts'!$C$10)&gt;0))),"",IF('Your debts'!$D$20="Avalanche",'Avalanche workings'!$AT$143,'Snowball workings'!$AT$143))</f>
      </c>
      <c r="P141" s="29">
        <f>IF(OR(136&gt;$Z$1,NOT(OR('Your debts'!$B$11&lt;&gt;"",N('Your debts'!$C$11)&gt;0))),"",IF('Your debts'!$D$20="Avalanche",'Avalanche workings'!$Q$143,'Snowball workings'!$Q$143)+IF('Your debts'!$D$20="Avalanche",'Avalanche workings'!$AK$143,'Snowball workings'!$AK$143))</f>
      </c>
      <c r="Q141" s="30">
        <f>IF(OR(136&gt;$Z$1,NOT(OR('Your debts'!$B$11&lt;&gt;"",N('Your debts'!$C$11)&gt;0))),"",IF('Your debts'!$D$20="Avalanche",'Avalanche workings'!$AU$143,'Snowball workings'!$AU$143))</f>
      </c>
      <c r="R141" s="29">
        <f>IF(OR(136&gt;$Z$1,NOT(OR('Your debts'!$B$12&lt;&gt;"",N('Your debts'!$C$12)&gt;0))),"",IF('Your debts'!$D$20="Avalanche",'Avalanche workings'!$R$143,'Snowball workings'!$R$143)+IF('Your debts'!$D$20="Avalanche",'Avalanche workings'!$AL$143,'Snowball workings'!$AL$143))</f>
      </c>
      <c r="S141" s="30">
        <f>IF(OR(136&gt;$Z$1,NOT(OR('Your debts'!$B$12&lt;&gt;"",N('Your debts'!$C$12)&gt;0))),"",IF('Your debts'!$D$20="Avalanche",'Avalanche workings'!$AV$143,'Snowball workings'!$AV$143))</f>
      </c>
      <c r="T141" s="29">
        <f>IF(OR(136&gt;$Z$1,NOT(OR('Your debts'!$B$13&lt;&gt;"",N('Your debts'!$C$13)&gt;0))),"",IF('Your debts'!$D$20="Avalanche",'Avalanche workings'!$S$143,'Snowball workings'!$S$143)+IF('Your debts'!$D$20="Avalanche",'Avalanche workings'!$AM$143,'Snowball workings'!$AM$143))</f>
      </c>
      <c r="U141" s="30">
        <f>IF(OR(136&gt;$Z$1,NOT(OR('Your debts'!$B$13&lt;&gt;"",N('Your debts'!$C$13)&gt;0))),"",IF('Your debts'!$D$20="Avalanche",'Avalanche workings'!$AW$143,'Snowball workings'!$AW$143))</f>
      </c>
      <c r="V141" s="29">
        <f>IF(OR(136&gt;$Z$1,NOT(OR('Your debts'!$B$14&lt;&gt;"",N('Your debts'!$C$14)&gt;0))),"",IF('Your debts'!$D$20="Avalanche",'Avalanche workings'!$T$143,'Snowball workings'!$T$143)+IF('Your debts'!$D$20="Avalanche",'Avalanche workings'!$AN$143,'Snowball workings'!$AN$143))</f>
      </c>
      <c r="W141" s="30">
        <f>IF(OR(136&gt;$Z$1,NOT(OR('Your debts'!$B$14&lt;&gt;"",N('Your debts'!$C$14)&gt;0))),"",IF('Your debts'!$D$20="Avalanche",'Avalanche workings'!$AX$143,'Snowball workings'!$AX$143))</f>
      </c>
      <c r="X141" s="29">
        <f>IF(OR(136&gt;$Z$1,NOT(OR('Your debts'!$B$15&lt;&gt;"",N('Your debts'!$C$15)&gt;0))),"",IF('Your debts'!$D$20="Avalanche",'Avalanche workings'!$U$143,'Snowball workings'!$U$143)+IF('Your debts'!$D$20="Avalanche",'Avalanche workings'!$AO$143,'Snowball workings'!$AO$143))</f>
      </c>
      <c r="Y141" s="30">
        <f>IF(OR(136&gt;$Z$1,NOT(OR('Your debts'!$B$15&lt;&gt;"",N('Your debts'!$C$15)&gt;0))),"",IF('Your debts'!$D$20="Avalanche",'Avalanche workings'!$AY$143,'Snowball workings'!$AY$143))</f>
      </c>
    </row>
    <row r="142" spans="1:25" x14ac:dyDescent="0.25">
      <c r="A142" s="2">
        <f>IF(137&gt;$Z$1,"",137)</f>
      </c>
      <c r="B142" s="28">
        <f>IF(137&gt;$Z$1,"",EDATE('Your debts'!$D$21,136))</f>
      </c>
      <c r="C142" s="29">
        <f>IF(137&gt;$Z$1,"",IF('Your debts'!$D$20="Avalanche",'Avalanche workings'!$BC$144,'Snowball workings'!$BC$144))</f>
      </c>
      <c r="D142" s="29">
        <f>IF(137&gt;$Z$1,"",IF('Your debts'!$D$20="Avalanche",'Avalanche workings'!$BA$144,'Snowball workings'!$BA$144))</f>
      </c>
      <c r="E142" s="29">
        <f>IF(137&gt;$Z$1,"",IF('Your debts'!$D$20="Avalanche",'Avalanche workings'!$BB$144,'Snowball workings'!$BB$144))</f>
      </c>
      <c r="F142" s="29">
        <f>IF(OR(137&gt;$Z$1,NOT(OR('Your debts'!$B$6&lt;&gt;"",N('Your debts'!$C$6)&gt;0))),"",IF('Your debts'!$D$20="Avalanche",'Avalanche workings'!$L$144,'Snowball workings'!$L$144)+IF('Your debts'!$D$20="Avalanche",'Avalanche workings'!$AF$144,'Snowball workings'!$AF$144))</f>
      </c>
      <c r="G142" s="30">
        <f>IF(OR(137&gt;$Z$1,NOT(OR('Your debts'!$B$6&lt;&gt;"",N('Your debts'!$C$6)&gt;0))),"",IF('Your debts'!$D$20="Avalanche",'Avalanche workings'!$AP$144,'Snowball workings'!$AP$144))</f>
      </c>
      <c r="H142" s="29">
        <f>IF(OR(137&gt;$Z$1,NOT(OR('Your debts'!$B$7&lt;&gt;"",N('Your debts'!$C$7)&gt;0))),"",IF('Your debts'!$D$20="Avalanche",'Avalanche workings'!$M$144,'Snowball workings'!$M$144)+IF('Your debts'!$D$20="Avalanche",'Avalanche workings'!$AG$144,'Snowball workings'!$AG$144))</f>
      </c>
      <c r="I142" s="30">
        <f>IF(OR(137&gt;$Z$1,NOT(OR('Your debts'!$B$7&lt;&gt;"",N('Your debts'!$C$7)&gt;0))),"",IF('Your debts'!$D$20="Avalanche",'Avalanche workings'!$AQ$144,'Snowball workings'!$AQ$144))</f>
      </c>
      <c r="J142" s="29">
        <f>IF(OR(137&gt;$Z$1,NOT(OR('Your debts'!$B$8&lt;&gt;"",N('Your debts'!$C$8)&gt;0))),"",IF('Your debts'!$D$20="Avalanche",'Avalanche workings'!$N$144,'Snowball workings'!$N$144)+IF('Your debts'!$D$20="Avalanche",'Avalanche workings'!$AH$144,'Snowball workings'!$AH$144))</f>
      </c>
      <c r="K142" s="30">
        <f>IF(OR(137&gt;$Z$1,NOT(OR('Your debts'!$B$8&lt;&gt;"",N('Your debts'!$C$8)&gt;0))),"",IF('Your debts'!$D$20="Avalanche",'Avalanche workings'!$AR$144,'Snowball workings'!$AR$144))</f>
      </c>
      <c r="L142" s="29">
        <f>IF(OR(137&gt;$Z$1,NOT(OR('Your debts'!$B$9&lt;&gt;"",N('Your debts'!$C$9)&gt;0))),"",IF('Your debts'!$D$20="Avalanche",'Avalanche workings'!$O$144,'Snowball workings'!$O$144)+IF('Your debts'!$D$20="Avalanche",'Avalanche workings'!$AI$144,'Snowball workings'!$AI$144))</f>
      </c>
      <c r="M142" s="30">
        <f>IF(OR(137&gt;$Z$1,NOT(OR('Your debts'!$B$9&lt;&gt;"",N('Your debts'!$C$9)&gt;0))),"",IF('Your debts'!$D$20="Avalanche",'Avalanche workings'!$AS$144,'Snowball workings'!$AS$144))</f>
      </c>
      <c r="N142" s="29">
        <f>IF(OR(137&gt;$Z$1,NOT(OR('Your debts'!$B$10&lt;&gt;"",N('Your debts'!$C$10)&gt;0))),"",IF('Your debts'!$D$20="Avalanche",'Avalanche workings'!$P$144,'Snowball workings'!$P$144)+IF('Your debts'!$D$20="Avalanche",'Avalanche workings'!$AJ$144,'Snowball workings'!$AJ$144))</f>
      </c>
      <c r="O142" s="30">
        <f>IF(OR(137&gt;$Z$1,NOT(OR('Your debts'!$B$10&lt;&gt;"",N('Your debts'!$C$10)&gt;0))),"",IF('Your debts'!$D$20="Avalanche",'Avalanche workings'!$AT$144,'Snowball workings'!$AT$144))</f>
      </c>
      <c r="P142" s="29">
        <f>IF(OR(137&gt;$Z$1,NOT(OR('Your debts'!$B$11&lt;&gt;"",N('Your debts'!$C$11)&gt;0))),"",IF('Your debts'!$D$20="Avalanche",'Avalanche workings'!$Q$144,'Snowball workings'!$Q$144)+IF('Your debts'!$D$20="Avalanche",'Avalanche workings'!$AK$144,'Snowball workings'!$AK$144))</f>
      </c>
      <c r="Q142" s="30">
        <f>IF(OR(137&gt;$Z$1,NOT(OR('Your debts'!$B$11&lt;&gt;"",N('Your debts'!$C$11)&gt;0))),"",IF('Your debts'!$D$20="Avalanche",'Avalanche workings'!$AU$144,'Snowball workings'!$AU$144))</f>
      </c>
      <c r="R142" s="29">
        <f>IF(OR(137&gt;$Z$1,NOT(OR('Your debts'!$B$12&lt;&gt;"",N('Your debts'!$C$12)&gt;0))),"",IF('Your debts'!$D$20="Avalanche",'Avalanche workings'!$R$144,'Snowball workings'!$R$144)+IF('Your debts'!$D$20="Avalanche",'Avalanche workings'!$AL$144,'Snowball workings'!$AL$144))</f>
      </c>
      <c r="S142" s="30">
        <f>IF(OR(137&gt;$Z$1,NOT(OR('Your debts'!$B$12&lt;&gt;"",N('Your debts'!$C$12)&gt;0))),"",IF('Your debts'!$D$20="Avalanche",'Avalanche workings'!$AV$144,'Snowball workings'!$AV$144))</f>
      </c>
      <c r="T142" s="29">
        <f>IF(OR(137&gt;$Z$1,NOT(OR('Your debts'!$B$13&lt;&gt;"",N('Your debts'!$C$13)&gt;0))),"",IF('Your debts'!$D$20="Avalanche",'Avalanche workings'!$S$144,'Snowball workings'!$S$144)+IF('Your debts'!$D$20="Avalanche",'Avalanche workings'!$AM$144,'Snowball workings'!$AM$144))</f>
      </c>
      <c r="U142" s="30">
        <f>IF(OR(137&gt;$Z$1,NOT(OR('Your debts'!$B$13&lt;&gt;"",N('Your debts'!$C$13)&gt;0))),"",IF('Your debts'!$D$20="Avalanche",'Avalanche workings'!$AW$144,'Snowball workings'!$AW$144))</f>
      </c>
      <c r="V142" s="29">
        <f>IF(OR(137&gt;$Z$1,NOT(OR('Your debts'!$B$14&lt;&gt;"",N('Your debts'!$C$14)&gt;0))),"",IF('Your debts'!$D$20="Avalanche",'Avalanche workings'!$T$144,'Snowball workings'!$T$144)+IF('Your debts'!$D$20="Avalanche",'Avalanche workings'!$AN$144,'Snowball workings'!$AN$144))</f>
      </c>
      <c r="W142" s="30">
        <f>IF(OR(137&gt;$Z$1,NOT(OR('Your debts'!$B$14&lt;&gt;"",N('Your debts'!$C$14)&gt;0))),"",IF('Your debts'!$D$20="Avalanche",'Avalanche workings'!$AX$144,'Snowball workings'!$AX$144))</f>
      </c>
      <c r="X142" s="29">
        <f>IF(OR(137&gt;$Z$1,NOT(OR('Your debts'!$B$15&lt;&gt;"",N('Your debts'!$C$15)&gt;0))),"",IF('Your debts'!$D$20="Avalanche",'Avalanche workings'!$U$144,'Snowball workings'!$U$144)+IF('Your debts'!$D$20="Avalanche",'Avalanche workings'!$AO$144,'Snowball workings'!$AO$144))</f>
      </c>
      <c r="Y142" s="30">
        <f>IF(OR(137&gt;$Z$1,NOT(OR('Your debts'!$B$15&lt;&gt;"",N('Your debts'!$C$15)&gt;0))),"",IF('Your debts'!$D$20="Avalanche",'Avalanche workings'!$AY$144,'Snowball workings'!$AY$144))</f>
      </c>
    </row>
    <row r="143" spans="1:25" x14ac:dyDescent="0.25">
      <c r="A143" s="2">
        <f>IF(138&gt;$Z$1,"",138)</f>
      </c>
      <c r="B143" s="28">
        <f>IF(138&gt;$Z$1,"",EDATE('Your debts'!$D$21,137))</f>
      </c>
      <c r="C143" s="29">
        <f>IF(138&gt;$Z$1,"",IF('Your debts'!$D$20="Avalanche",'Avalanche workings'!$BC$145,'Snowball workings'!$BC$145))</f>
      </c>
      <c r="D143" s="29">
        <f>IF(138&gt;$Z$1,"",IF('Your debts'!$D$20="Avalanche",'Avalanche workings'!$BA$145,'Snowball workings'!$BA$145))</f>
      </c>
      <c r="E143" s="29">
        <f>IF(138&gt;$Z$1,"",IF('Your debts'!$D$20="Avalanche",'Avalanche workings'!$BB$145,'Snowball workings'!$BB$145))</f>
      </c>
      <c r="F143" s="29">
        <f>IF(OR(138&gt;$Z$1,NOT(OR('Your debts'!$B$6&lt;&gt;"",N('Your debts'!$C$6)&gt;0))),"",IF('Your debts'!$D$20="Avalanche",'Avalanche workings'!$L$145,'Snowball workings'!$L$145)+IF('Your debts'!$D$20="Avalanche",'Avalanche workings'!$AF$145,'Snowball workings'!$AF$145))</f>
      </c>
      <c r="G143" s="30">
        <f>IF(OR(138&gt;$Z$1,NOT(OR('Your debts'!$B$6&lt;&gt;"",N('Your debts'!$C$6)&gt;0))),"",IF('Your debts'!$D$20="Avalanche",'Avalanche workings'!$AP$145,'Snowball workings'!$AP$145))</f>
      </c>
      <c r="H143" s="29">
        <f>IF(OR(138&gt;$Z$1,NOT(OR('Your debts'!$B$7&lt;&gt;"",N('Your debts'!$C$7)&gt;0))),"",IF('Your debts'!$D$20="Avalanche",'Avalanche workings'!$M$145,'Snowball workings'!$M$145)+IF('Your debts'!$D$20="Avalanche",'Avalanche workings'!$AG$145,'Snowball workings'!$AG$145))</f>
      </c>
      <c r="I143" s="30">
        <f>IF(OR(138&gt;$Z$1,NOT(OR('Your debts'!$B$7&lt;&gt;"",N('Your debts'!$C$7)&gt;0))),"",IF('Your debts'!$D$20="Avalanche",'Avalanche workings'!$AQ$145,'Snowball workings'!$AQ$145))</f>
      </c>
      <c r="J143" s="29">
        <f>IF(OR(138&gt;$Z$1,NOT(OR('Your debts'!$B$8&lt;&gt;"",N('Your debts'!$C$8)&gt;0))),"",IF('Your debts'!$D$20="Avalanche",'Avalanche workings'!$N$145,'Snowball workings'!$N$145)+IF('Your debts'!$D$20="Avalanche",'Avalanche workings'!$AH$145,'Snowball workings'!$AH$145))</f>
      </c>
      <c r="K143" s="30">
        <f>IF(OR(138&gt;$Z$1,NOT(OR('Your debts'!$B$8&lt;&gt;"",N('Your debts'!$C$8)&gt;0))),"",IF('Your debts'!$D$20="Avalanche",'Avalanche workings'!$AR$145,'Snowball workings'!$AR$145))</f>
      </c>
      <c r="L143" s="29">
        <f>IF(OR(138&gt;$Z$1,NOT(OR('Your debts'!$B$9&lt;&gt;"",N('Your debts'!$C$9)&gt;0))),"",IF('Your debts'!$D$20="Avalanche",'Avalanche workings'!$O$145,'Snowball workings'!$O$145)+IF('Your debts'!$D$20="Avalanche",'Avalanche workings'!$AI$145,'Snowball workings'!$AI$145))</f>
      </c>
      <c r="M143" s="30">
        <f>IF(OR(138&gt;$Z$1,NOT(OR('Your debts'!$B$9&lt;&gt;"",N('Your debts'!$C$9)&gt;0))),"",IF('Your debts'!$D$20="Avalanche",'Avalanche workings'!$AS$145,'Snowball workings'!$AS$145))</f>
      </c>
      <c r="N143" s="29">
        <f>IF(OR(138&gt;$Z$1,NOT(OR('Your debts'!$B$10&lt;&gt;"",N('Your debts'!$C$10)&gt;0))),"",IF('Your debts'!$D$20="Avalanche",'Avalanche workings'!$P$145,'Snowball workings'!$P$145)+IF('Your debts'!$D$20="Avalanche",'Avalanche workings'!$AJ$145,'Snowball workings'!$AJ$145))</f>
      </c>
      <c r="O143" s="30">
        <f>IF(OR(138&gt;$Z$1,NOT(OR('Your debts'!$B$10&lt;&gt;"",N('Your debts'!$C$10)&gt;0))),"",IF('Your debts'!$D$20="Avalanche",'Avalanche workings'!$AT$145,'Snowball workings'!$AT$145))</f>
      </c>
      <c r="P143" s="29">
        <f>IF(OR(138&gt;$Z$1,NOT(OR('Your debts'!$B$11&lt;&gt;"",N('Your debts'!$C$11)&gt;0))),"",IF('Your debts'!$D$20="Avalanche",'Avalanche workings'!$Q$145,'Snowball workings'!$Q$145)+IF('Your debts'!$D$20="Avalanche",'Avalanche workings'!$AK$145,'Snowball workings'!$AK$145))</f>
      </c>
      <c r="Q143" s="30">
        <f>IF(OR(138&gt;$Z$1,NOT(OR('Your debts'!$B$11&lt;&gt;"",N('Your debts'!$C$11)&gt;0))),"",IF('Your debts'!$D$20="Avalanche",'Avalanche workings'!$AU$145,'Snowball workings'!$AU$145))</f>
      </c>
      <c r="R143" s="29">
        <f>IF(OR(138&gt;$Z$1,NOT(OR('Your debts'!$B$12&lt;&gt;"",N('Your debts'!$C$12)&gt;0))),"",IF('Your debts'!$D$20="Avalanche",'Avalanche workings'!$R$145,'Snowball workings'!$R$145)+IF('Your debts'!$D$20="Avalanche",'Avalanche workings'!$AL$145,'Snowball workings'!$AL$145))</f>
      </c>
      <c r="S143" s="30">
        <f>IF(OR(138&gt;$Z$1,NOT(OR('Your debts'!$B$12&lt;&gt;"",N('Your debts'!$C$12)&gt;0))),"",IF('Your debts'!$D$20="Avalanche",'Avalanche workings'!$AV$145,'Snowball workings'!$AV$145))</f>
      </c>
      <c r="T143" s="29">
        <f>IF(OR(138&gt;$Z$1,NOT(OR('Your debts'!$B$13&lt;&gt;"",N('Your debts'!$C$13)&gt;0))),"",IF('Your debts'!$D$20="Avalanche",'Avalanche workings'!$S$145,'Snowball workings'!$S$145)+IF('Your debts'!$D$20="Avalanche",'Avalanche workings'!$AM$145,'Snowball workings'!$AM$145))</f>
      </c>
      <c r="U143" s="30">
        <f>IF(OR(138&gt;$Z$1,NOT(OR('Your debts'!$B$13&lt;&gt;"",N('Your debts'!$C$13)&gt;0))),"",IF('Your debts'!$D$20="Avalanche",'Avalanche workings'!$AW$145,'Snowball workings'!$AW$145))</f>
      </c>
      <c r="V143" s="29">
        <f>IF(OR(138&gt;$Z$1,NOT(OR('Your debts'!$B$14&lt;&gt;"",N('Your debts'!$C$14)&gt;0))),"",IF('Your debts'!$D$20="Avalanche",'Avalanche workings'!$T$145,'Snowball workings'!$T$145)+IF('Your debts'!$D$20="Avalanche",'Avalanche workings'!$AN$145,'Snowball workings'!$AN$145))</f>
      </c>
      <c r="W143" s="30">
        <f>IF(OR(138&gt;$Z$1,NOT(OR('Your debts'!$B$14&lt;&gt;"",N('Your debts'!$C$14)&gt;0))),"",IF('Your debts'!$D$20="Avalanche",'Avalanche workings'!$AX$145,'Snowball workings'!$AX$145))</f>
      </c>
      <c r="X143" s="29">
        <f>IF(OR(138&gt;$Z$1,NOT(OR('Your debts'!$B$15&lt;&gt;"",N('Your debts'!$C$15)&gt;0))),"",IF('Your debts'!$D$20="Avalanche",'Avalanche workings'!$U$145,'Snowball workings'!$U$145)+IF('Your debts'!$D$20="Avalanche",'Avalanche workings'!$AO$145,'Snowball workings'!$AO$145))</f>
      </c>
      <c r="Y143" s="30">
        <f>IF(OR(138&gt;$Z$1,NOT(OR('Your debts'!$B$15&lt;&gt;"",N('Your debts'!$C$15)&gt;0))),"",IF('Your debts'!$D$20="Avalanche",'Avalanche workings'!$AY$145,'Snowball workings'!$AY$145))</f>
      </c>
    </row>
    <row r="144" spans="1:25" x14ac:dyDescent="0.25">
      <c r="A144" s="2">
        <f>IF(139&gt;$Z$1,"",139)</f>
      </c>
      <c r="B144" s="28">
        <f>IF(139&gt;$Z$1,"",EDATE('Your debts'!$D$21,138))</f>
      </c>
      <c r="C144" s="29">
        <f>IF(139&gt;$Z$1,"",IF('Your debts'!$D$20="Avalanche",'Avalanche workings'!$BC$146,'Snowball workings'!$BC$146))</f>
      </c>
      <c r="D144" s="29">
        <f>IF(139&gt;$Z$1,"",IF('Your debts'!$D$20="Avalanche",'Avalanche workings'!$BA$146,'Snowball workings'!$BA$146))</f>
      </c>
      <c r="E144" s="29">
        <f>IF(139&gt;$Z$1,"",IF('Your debts'!$D$20="Avalanche",'Avalanche workings'!$BB$146,'Snowball workings'!$BB$146))</f>
      </c>
      <c r="F144" s="29">
        <f>IF(OR(139&gt;$Z$1,NOT(OR('Your debts'!$B$6&lt;&gt;"",N('Your debts'!$C$6)&gt;0))),"",IF('Your debts'!$D$20="Avalanche",'Avalanche workings'!$L$146,'Snowball workings'!$L$146)+IF('Your debts'!$D$20="Avalanche",'Avalanche workings'!$AF$146,'Snowball workings'!$AF$146))</f>
      </c>
      <c r="G144" s="30">
        <f>IF(OR(139&gt;$Z$1,NOT(OR('Your debts'!$B$6&lt;&gt;"",N('Your debts'!$C$6)&gt;0))),"",IF('Your debts'!$D$20="Avalanche",'Avalanche workings'!$AP$146,'Snowball workings'!$AP$146))</f>
      </c>
      <c r="H144" s="29">
        <f>IF(OR(139&gt;$Z$1,NOT(OR('Your debts'!$B$7&lt;&gt;"",N('Your debts'!$C$7)&gt;0))),"",IF('Your debts'!$D$20="Avalanche",'Avalanche workings'!$M$146,'Snowball workings'!$M$146)+IF('Your debts'!$D$20="Avalanche",'Avalanche workings'!$AG$146,'Snowball workings'!$AG$146))</f>
      </c>
      <c r="I144" s="30">
        <f>IF(OR(139&gt;$Z$1,NOT(OR('Your debts'!$B$7&lt;&gt;"",N('Your debts'!$C$7)&gt;0))),"",IF('Your debts'!$D$20="Avalanche",'Avalanche workings'!$AQ$146,'Snowball workings'!$AQ$146))</f>
      </c>
      <c r="J144" s="29">
        <f>IF(OR(139&gt;$Z$1,NOT(OR('Your debts'!$B$8&lt;&gt;"",N('Your debts'!$C$8)&gt;0))),"",IF('Your debts'!$D$20="Avalanche",'Avalanche workings'!$N$146,'Snowball workings'!$N$146)+IF('Your debts'!$D$20="Avalanche",'Avalanche workings'!$AH$146,'Snowball workings'!$AH$146))</f>
      </c>
      <c r="K144" s="30">
        <f>IF(OR(139&gt;$Z$1,NOT(OR('Your debts'!$B$8&lt;&gt;"",N('Your debts'!$C$8)&gt;0))),"",IF('Your debts'!$D$20="Avalanche",'Avalanche workings'!$AR$146,'Snowball workings'!$AR$146))</f>
      </c>
      <c r="L144" s="29">
        <f>IF(OR(139&gt;$Z$1,NOT(OR('Your debts'!$B$9&lt;&gt;"",N('Your debts'!$C$9)&gt;0))),"",IF('Your debts'!$D$20="Avalanche",'Avalanche workings'!$O$146,'Snowball workings'!$O$146)+IF('Your debts'!$D$20="Avalanche",'Avalanche workings'!$AI$146,'Snowball workings'!$AI$146))</f>
      </c>
      <c r="M144" s="30">
        <f>IF(OR(139&gt;$Z$1,NOT(OR('Your debts'!$B$9&lt;&gt;"",N('Your debts'!$C$9)&gt;0))),"",IF('Your debts'!$D$20="Avalanche",'Avalanche workings'!$AS$146,'Snowball workings'!$AS$146))</f>
      </c>
      <c r="N144" s="29">
        <f>IF(OR(139&gt;$Z$1,NOT(OR('Your debts'!$B$10&lt;&gt;"",N('Your debts'!$C$10)&gt;0))),"",IF('Your debts'!$D$20="Avalanche",'Avalanche workings'!$P$146,'Snowball workings'!$P$146)+IF('Your debts'!$D$20="Avalanche",'Avalanche workings'!$AJ$146,'Snowball workings'!$AJ$146))</f>
      </c>
      <c r="O144" s="30">
        <f>IF(OR(139&gt;$Z$1,NOT(OR('Your debts'!$B$10&lt;&gt;"",N('Your debts'!$C$10)&gt;0))),"",IF('Your debts'!$D$20="Avalanche",'Avalanche workings'!$AT$146,'Snowball workings'!$AT$146))</f>
      </c>
      <c r="P144" s="29">
        <f>IF(OR(139&gt;$Z$1,NOT(OR('Your debts'!$B$11&lt;&gt;"",N('Your debts'!$C$11)&gt;0))),"",IF('Your debts'!$D$20="Avalanche",'Avalanche workings'!$Q$146,'Snowball workings'!$Q$146)+IF('Your debts'!$D$20="Avalanche",'Avalanche workings'!$AK$146,'Snowball workings'!$AK$146))</f>
      </c>
      <c r="Q144" s="30">
        <f>IF(OR(139&gt;$Z$1,NOT(OR('Your debts'!$B$11&lt;&gt;"",N('Your debts'!$C$11)&gt;0))),"",IF('Your debts'!$D$20="Avalanche",'Avalanche workings'!$AU$146,'Snowball workings'!$AU$146))</f>
      </c>
      <c r="R144" s="29">
        <f>IF(OR(139&gt;$Z$1,NOT(OR('Your debts'!$B$12&lt;&gt;"",N('Your debts'!$C$12)&gt;0))),"",IF('Your debts'!$D$20="Avalanche",'Avalanche workings'!$R$146,'Snowball workings'!$R$146)+IF('Your debts'!$D$20="Avalanche",'Avalanche workings'!$AL$146,'Snowball workings'!$AL$146))</f>
      </c>
      <c r="S144" s="30">
        <f>IF(OR(139&gt;$Z$1,NOT(OR('Your debts'!$B$12&lt;&gt;"",N('Your debts'!$C$12)&gt;0))),"",IF('Your debts'!$D$20="Avalanche",'Avalanche workings'!$AV$146,'Snowball workings'!$AV$146))</f>
      </c>
      <c r="T144" s="29">
        <f>IF(OR(139&gt;$Z$1,NOT(OR('Your debts'!$B$13&lt;&gt;"",N('Your debts'!$C$13)&gt;0))),"",IF('Your debts'!$D$20="Avalanche",'Avalanche workings'!$S$146,'Snowball workings'!$S$146)+IF('Your debts'!$D$20="Avalanche",'Avalanche workings'!$AM$146,'Snowball workings'!$AM$146))</f>
      </c>
      <c r="U144" s="30">
        <f>IF(OR(139&gt;$Z$1,NOT(OR('Your debts'!$B$13&lt;&gt;"",N('Your debts'!$C$13)&gt;0))),"",IF('Your debts'!$D$20="Avalanche",'Avalanche workings'!$AW$146,'Snowball workings'!$AW$146))</f>
      </c>
      <c r="V144" s="29">
        <f>IF(OR(139&gt;$Z$1,NOT(OR('Your debts'!$B$14&lt;&gt;"",N('Your debts'!$C$14)&gt;0))),"",IF('Your debts'!$D$20="Avalanche",'Avalanche workings'!$T$146,'Snowball workings'!$T$146)+IF('Your debts'!$D$20="Avalanche",'Avalanche workings'!$AN$146,'Snowball workings'!$AN$146))</f>
      </c>
      <c r="W144" s="30">
        <f>IF(OR(139&gt;$Z$1,NOT(OR('Your debts'!$B$14&lt;&gt;"",N('Your debts'!$C$14)&gt;0))),"",IF('Your debts'!$D$20="Avalanche",'Avalanche workings'!$AX$146,'Snowball workings'!$AX$146))</f>
      </c>
      <c r="X144" s="29">
        <f>IF(OR(139&gt;$Z$1,NOT(OR('Your debts'!$B$15&lt;&gt;"",N('Your debts'!$C$15)&gt;0))),"",IF('Your debts'!$D$20="Avalanche",'Avalanche workings'!$U$146,'Snowball workings'!$U$146)+IF('Your debts'!$D$20="Avalanche",'Avalanche workings'!$AO$146,'Snowball workings'!$AO$146))</f>
      </c>
      <c r="Y144" s="30">
        <f>IF(OR(139&gt;$Z$1,NOT(OR('Your debts'!$B$15&lt;&gt;"",N('Your debts'!$C$15)&gt;0))),"",IF('Your debts'!$D$20="Avalanche",'Avalanche workings'!$AY$146,'Snowball workings'!$AY$146))</f>
      </c>
    </row>
    <row r="145" spans="1:25" x14ac:dyDescent="0.25">
      <c r="A145" s="2">
        <f>IF(140&gt;$Z$1,"",140)</f>
      </c>
      <c r="B145" s="28">
        <f>IF(140&gt;$Z$1,"",EDATE('Your debts'!$D$21,139))</f>
      </c>
      <c r="C145" s="29">
        <f>IF(140&gt;$Z$1,"",IF('Your debts'!$D$20="Avalanche",'Avalanche workings'!$BC$147,'Snowball workings'!$BC$147))</f>
      </c>
      <c r="D145" s="29">
        <f>IF(140&gt;$Z$1,"",IF('Your debts'!$D$20="Avalanche",'Avalanche workings'!$BA$147,'Snowball workings'!$BA$147))</f>
      </c>
      <c r="E145" s="29">
        <f>IF(140&gt;$Z$1,"",IF('Your debts'!$D$20="Avalanche",'Avalanche workings'!$BB$147,'Snowball workings'!$BB$147))</f>
      </c>
      <c r="F145" s="29">
        <f>IF(OR(140&gt;$Z$1,NOT(OR('Your debts'!$B$6&lt;&gt;"",N('Your debts'!$C$6)&gt;0))),"",IF('Your debts'!$D$20="Avalanche",'Avalanche workings'!$L$147,'Snowball workings'!$L$147)+IF('Your debts'!$D$20="Avalanche",'Avalanche workings'!$AF$147,'Snowball workings'!$AF$147))</f>
      </c>
      <c r="G145" s="30">
        <f>IF(OR(140&gt;$Z$1,NOT(OR('Your debts'!$B$6&lt;&gt;"",N('Your debts'!$C$6)&gt;0))),"",IF('Your debts'!$D$20="Avalanche",'Avalanche workings'!$AP$147,'Snowball workings'!$AP$147))</f>
      </c>
      <c r="H145" s="29">
        <f>IF(OR(140&gt;$Z$1,NOT(OR('Your debts'!$B$7&lt;&gt;"",N('Your debts'!$C$7)&gt;0))),"",IF('Your debts'!$D$20="Avalanche",'Avalanche workings'!$M$147,'Snowball workings'!$M$147)+IF('Your debts'!$D$20="Avalanche",'Avalanche workings'!$AG$147,'Snowball workings'!$AG$147))</f>
      </c>
      <c r="I145" s="30">
        <f>IF(OR(140&gt;$Z$1,NOT(OR('Your debts'!$B$7&lt;&gt;"",N('Your debts'!$C$7)&gt;0))),"",IF('Your debts'!$D$20="Avalanche",'Avalanche workings'!$AQ$147,'Snowball workings'!$AQ$147))</f>
      </c>
      <c r="J145" s="29">
        <f>IF(OR(140&gt;$Z$1,NOT(OR('Your debts'!$B$8&lt;&gt;"",N('Your debts'!$C$8)&gt;0))),"",IF('Your debts'!$D$20="Avalanche",'Avalanche workings'!$N$147,'Snowball workings'!$N$147)+IF('Your debts'!$D$20="Avalanche",'Avalanche workings'!$AH$147,'Snowball workings'!$AH$147))</f>
      </c>
      <c r="K145" s="30">
        <f>IF(OR(140&gt;$Z$1,NOT(OR('Your debts'!$B$8&lt;&gt;"",N('Your debts'!$C$8)&gt;0))),"",IF('Your debts'!$D$20="Avalanche",'Avalanche workings'!$AR$147,'Snowball workings'!$AR$147))</f>
      </c>
      <c r="L145" s="29">
        <f>IF(OR(140&gt;$Z$1,NOT(OR('Your debts'!$B$9&lt;&gt;"",N('Your debts'!$C$9)&gt;0))),"",IF('Your debts'!$D$20="Avalanche",'Avalanche workings'!$O$147,'Snowball workings'!$O$147)+IF('Your debts'!$D$20="Avalanche",'Avalanche workings'!$AI$147,'Snowball workings'!$AI$147))</f>
      </c>
      <c r="M145" s="30">
        <f>IF(OR(140&gt;$Z$1,NOT(OR('Your debts'!$B$9&lt;&gt;"",N('Your debts'!$C$9)&gt;0))),"",IF('Your debts'!$D$20="Avalanche",'Avalanche workings'!$AS$147,'Snowball workings'!$AS$147))</f>
      </c>
      <c r="N145" s="29">
        <f>IF(OR(140&gt;$Z$1,NOT(OR('Your debts'!$B$10&lt;&gt;"",N('Your debts'!$C$10)&gt;0))),"",IF('Your debts'!$D$20="Avalanche",'Avalanche workings'!$P$147,'Snowball workings'!$P$147)+IF('Your debts'!$D$20="Avalanche",'Avalanche workings'!$AJ$147,'Snowball workings'!$AJ$147))</f>
      </c>
      <c r="O145" s="30">
        <f>IF(OR(140&gt;$Z$1,NOT(OR('Your debts'!$B$10&lt;&gt;"",N('Your debts'!$C$10)&gt;0))),"",IF('Your debts'!$D$20="Avalanche",'Avalanche workings'!$AT$147,'Snowball workings'!$AT$147))</f>
      </c>
      <c r="P145" s="29">
        <f>IF(OR(140&gt;$Z$1,NOT(OR('Your debts'!$B$11&lt;&gt;"",N('Your debts'!$C$11)&gt;0))),"",IF('Your debts'!$D$20="Avalanche",'Avalanche workings'!$Q$147,'Snowball workings'!$Q$147)+IF('Your debts'!$D$20="Avalanche",'Avalanche workings'!$AK$147,'Snowball workings'!$AK$147))</f>
      </c>
      <c r="Q145" s="30">
        <f>IF(OR(140&gt;$Z$1,NOT(OR('Your debts'!$B$11&lt;&gt;"",N('Your debts'!$C$11)&gt;0))),"",IF('Your debts'!$D$20="Avalanche",'Avalanche workings'!$AU$147,'Snowball workings'!$AU$147))</f>
      </c>
      <c r="R145" s="29">
        <f>IF(OR(140&gt;$Z$1,NOT(OR('Your debts'!$B$12&lt;&gt;"",N('Your debts'!$C$12)&gt;0))),"",IF('Your debts'!$D$20="Avalanche",'Avalanche workings'!$R$147,'Snowball workings'!$R$147)+IF('Your debts'!$D$20="Avalanche",'Avalanche workings'!$AL$147,'Snowball workings'!$AL$147))</f>
      </c>
      <c r="S145" s="30">
        <f>IF(OR(140&gt;$Z$1,NOT(OR('Your debts'!$B$12&lt;&gt;"",N('Your debts'!$C$12)&gt;0))),"",IF('Your debts'!$D$20="Avalanche",'Avalanche workings'!$AV$147,'Snowball workings'!$AV$147))</f>
      </c>
      <c r="T145" s="29">
        <f>IF(OR(140&gt;$Z$1,NOT(OR('Your debts'!$B$13&lt;&gt;"",N('Your debts'!$C$13)&gt;0))),"",IF('Your debts'!$D$20="Avalanche",'Avalanche workings'!$S$147,'Snowball workings'!$S$147)+IF('Your debts'!$D$20="Avalanche",'Avalanche workings'!$AM$147,'Snowball workings'!$AM$147))</f>
      </c>
      <c r="U145" s="30">
        <f>IF(OR(140&gt;$Z$1,NOT(OR('Your debts'!$B$13&lt;&gt;"",N('Your debts'!$C$13)&gt;0))),"",IF('Your debts'!$D$20="Avalanche",'Avalanche workings'!$AW$147,'Snowball workings'!$AW$147))</f>
      </c>
      <c r="V145" s="29">
        <f>IF(OR(140&gt;$Z$1,NOT(OR('Your debts'!$B$14&lt;&gt;"",N('Your debts'!$C$14)&gt;0))),"",IF('Your debts'!$D$20="Avalanche",'Avalanche workings'!$T$147,'Snowball workings'!$T$147)+IF('Your debts'!$D$20="Avalanche",'Avalanche workings'!$AN$147,'Snowball workings'!$AN$147))</f>
      </c>
      <c r="W145" s="30">
        <f>IF(OR(140&gt;$Z$1,NOT(OR('Your debts'!$B$14&lt;&gt;"",N('Your debts'!$C$14)&gt;0))),"",IF('Your debts'!$D$20="Avalanche",'Avalanche workings'!$AX$147,'Snowball workings'!$AX$147))</f>
      </c>
      <c r="X145" s="29">
        <f>IF(OR(140&gt;$Z$1,NOT(OR('Your debts'!$B$15&lt;&gt;"",N('Your debts'!$C$15)&gt;0))),"",IF('Your debts'!$D$20="Avalanche",'Avalanche workings'!$U$147,'Snowball workings'!$U$147)+IF('Your debts'!$D$20="Avalanche",'Avalanche workings'!$AO$147,'Snowball workings'!$AO$147))</f>
      </c>
      <c r="Y145" s="30">
        <f>IF(OR(140&gt;$Z$1,NOT(OR('Your debts'!$B$15&lt;&gt;"",N('Your debts'!$C$15)&gt;0))),"",IF('Your debts'!$D$20="Avalanche",'Avalanche workings'!$AY$147,'Snowball workings'!$AY$147))</f>
      </c>
    </row>
    <row r="146" spans="1:25" x14ac:dyDescent="0.25">
      <c r="A146" s="2">
        <f>IF(141&gt;$Z$1,"",141)</f>
      </c>
      <c r="B146" s="28">
        <f>IF(141&gt;$Z$1,"",EDATE('Your debts'!$D$21,140))</f>
      </c>
      <c r="C146" s="29">
        <f>IF(141&gt;$Z$1,"",IF('Your debts'!$D$20="Avalanche",'Avalanche workings'!$BC$148,'Snowball workings'!$BC$148))</f>
      </c>
      <c r="D146" s="29">
        <f>IF(141&gt;$Z$1,"",IF('Your debts'!$D$20="Avalanche",'Avalanche workings'!$BA$148,'Snowball workings'!$BA$148))</f>
      </c>
      <c r="E146" s="29">
        <f>IF(141&gt;$Z$1,"",IF('Your debts'!$D$20="Avalanche",'Avalanche workings'!$BB$148,'Snowball workings'!$BB$148))</f>
      </c>
      <c r="F146" s="29">
        <f>IF(OR(141&gt;$Z$1,NOT(OR('Your debts'!$B$6&lt;&gt;"",N('Your debts'!$C$6)&gt;0))),"",IF('Your debts'!$D$20="Avalanche",'Avalanche workings'!$L$148,'Snowball workings'!$L$148)+IF('Your debts'!$D$20="Avalanche",'Avalanche workings'!$AF$148,'Snowball workings'!$AF$148))</f>
      </c>
      <c r="G146" s="30">
        <f>IF(OR(141&gt;$Z$1,NOT(OR('Your debts'!$B$6&lt;&gt;"",N('Your debts'!$C$6)&gt;0))),"",IF('Your debts'!$D$20="Avalanche",'Avalanche workings'!$AP$148,'Snowball workings'!$AP$148))</f>
      </c>
      <c r="H146" s="29">
        <f>IF(OR(141&gt;$Z$1,NOT(OR('Your debts'!$B$7&lt;&gt;"",N('Your debts'!$C$7)&gt;0))),"",IF('Your debts'!$D$20="Avalanche",'Avalanche workings'!$M$148,'Snowball workings'!$M$148)+IF('Your debts'!$D$20="Avalanche",'Avalanche workings'!$AG$148,'Snowball workings'!$AG$148))</f>
      </c>
      <c r="I146" s="30">
        <f>IF(OR(141&gt;$Z$1,NOT(OR('Your debts'!$B$7&lt;&gt;"",N('Your debts'!$C$7)&gt;0))),"",IF('Your debts'!$D$20="Avalanche",'Avalanche workings'!$AQ$148,'Snowball workings'!$AQ$148))</f>
      </c>
      <c r="J146" s="29">
        <f>IF(OR(141&gt;$Z$1,NOT(OR('Your debts'!$B$8&lt;&gt;"",N('Your debts'!$C$8)&gt;0))),"",IF('Your debts'!$D$20="Avalanche",'Avalanche workings'!$N$148,'Snowball workings'!$N$148)+IF('Your debts'!$D$20="Avalanche",'Avalanche workings'!$AH$148,'Snowball workings'!$AH$148))</f>
      </c>
      <c r="K146" s="30">
        <f>IF(OR(141&gt;$Z$1,NOT(OR('Your debts'!$B$8&lt;&gt;"",N('Your debts'!$C$8)&gt;0))),"",IF('Your debts'!$D$20="Avalanche",'Avalanche workings'!$AR$148,'Snowball workings'!$AR$148))</f>
      </c>
      <c r="L146" s="29">
        <f>IF(OR(141&gt;$Z$1,NOT(OR('Your debts'!$B$9&lt;&gt;"",N('Your debts'!$C$9)&gt;0))),"",IF('Your debts'!$D$20="Avalanche",'Avalanche workings'!$O$148,'Snowball workings'!$O$148)+IF('Your debts'!$D$20="Avalanche",'Avalanche workings'!$AI$148,'Snowball workings'!$AI$148))</f>
      </c>
      <c r="M146" s="30">
        <f>IF(OR(141&gt;$Z$1,NOT(OR('Your debts'!$B$9&lt;&gt;"",N('Your debts'!$C$9)&gt;0))),"",IF('Your debts'!$D$20="Avalanche",'Avalanche workings'!$AS$148,'Snowball workings'!$AS$148))</f>
      </c>
      <c r="N146" s="29">
        <f>IF(OR(141&gt;$Z$1,NOT(OR('Your debts'!$B$10&lt;&gt;"",N('Your debts'!$C$10)&gt;0))),"",IF('Your debts'!$D$20="Avalanche",'Avalanche workings'!$P$148,'Snowball workings'!$P$148)+IF('Your debts'!$D$20="Avalanche",'Avalanche workings'!$AJ$148,'Snowball workings'!$AJ$148))</f>
      </c>
      <c r="O146" s="30">
        <f>IF(OR(141&gt;$Z$1,NOT(OR('Your debts'!$B$10&lt;&gt;"",N('Your debts'!$C$10)&gt;0))),"",IF('Your debts'!$D$20="Avalanche",'Avalanche workings'!$AT$148,'Snowball workings'!$AT$148))</f>
      </c>
      <c r="P146" s="29">
        <f>IF(OR(141&gt;$Z$1,NOT(OR('Your debts'!$B$11&lt;&gt;"",N('Your debts'!$C$11)&gt;0))),"",IF('Your debts'!$D$20="Avalanche",'Avalanche workings'!$Q$148,'Snowball workings'!$Q$148)+IF('Your debts'!$D$20="Avalanche",'Avalanche workings'!$AK$148,'Snowball workings'!$AK$148))</f>
      </c>
      <c r="Q146" s="30">
        <f>IF(OR(141&gt;$Z$1,NOT(OR('Your debts'!$B$11&lt;&gt;"",N('Your debts'!$C$11)&gt;0))),"",IF('Your debts'!$D$20="Avalanche",'Avalanche workings'!$AU$148,'Snowball workings'!$AU$148))</f>
      </c>
      <c r="R146" s="29">
        <f>IF(OR(141&gt;$Z$1,NOT(OR('Your debts'!$B$12&lt;&gt;"",N('Your debts'!$C$12)&gt;0))),"",IF('Your debts'!$D$20="Avalanche",'Avalanche workings'!$R$148,'Snowball workings'!$R$148)+IF('Your debts'!$D$20="Avalanche",'Avalanche workings'!$AL$148,'Snowball workings'!$AL$148))</f>
      </c>
      <c r="S146" s="30">
        <f>IF(OR(141&gt;$Z$1,NOT(OR('Your debts'!$B$12&lt;&gt;"",N('Your debts'!$C$12)&gt;0))),"",IF('Your debts'!$D$20="Avalanche",'Avalanche workings'!$AV$148,'Snowball workings'!$AV$148))</f>
      </c>
      <c r="T146" s="29">
        <f>IF(OR(141&gt;$Z$1,NOT(OR('Your debts'!$B$13&lt;&gt;"",N('Your debts'!$C$13)&gt;0))),"",IF('Your debts'!$D$20="Avalanche",'Avalanche workings'!$S$148,'Snowball workings'!$S$148)+IF('Your debts'!$D$20="Avalanche",'Avalanche workings'!$AM$148,'Snowball workings'!$AM$148))</f>
      </c>
      <c r="U146" s="30">
        <f>IF(OR(141&gt;$Z$1,NOT(OR('Your debts'!$B$13&lt;&gt;"",N('Your debts'!$C$13)&gt;0))),"",IF('Your debts'!$D$20="Avalanche",'Avalanche workings'!$AW$148,'Snowball workings'!$AW$148))</f>
      </c>
      <c r="V146" s="29">
        <f>IF(OR(141&gt;$Z$1,NOT(OR('Your debts'!$B$14&lt;&gt;"",N('Your debts'!$C$14)&gt;0))),"",IF('Your debts'!$D$20="Avalanche",'Avalanche workings'!$T$148,'Snowball workings'!$T$148)+IF('Your debts'!$D$20="Avalanche",'Avalanche workings'!$AN$148,'Snowball workings'!$AN$148))</f>
      </c>
      <c r="W146" s="30">
        <f>IF(OR(141&gt;$Z$1,NOT(OR('Your debts'!$B$14&lt;&gt;"",N('Your debts'!$C$14)&gt;0))),"",IF('Your debts'!$D$20="Avalanche",'Avalanche workings'!$AX$148,'Snowball workings'!$AX$148))</f>
      </c>
      <c r="X146" s="29">
        <f>IF(OR(141&gt;$Z$1,NOT(OR('Your debts'!$B$15&lt;&gt;"",N('Your debts'!$C$15)&gt;0))),"",IF('Your debts'!$D$20="Avalanche",'Avalanche workings'!$U$148,'Snowball workings'!$U$148)+IF('Your debts'!$D$20="Avalanche",'Avalanche workings'!$AO$148,'Snowball workings'!$AO$148))</f>
      </c>
      <c r="Y146" s="30">
        <f>IF(OR(141&gt;$Z$1,NOT(OR('Your debts'!$B$15&lt;&gt;"",N('Your debts'!$C$15)&gt;0))),"",IF('Your debts'!$D$20="Avalanche",'Avalanche workings'!$AY$148,'Snowball workings'!$AY$148))</f>
      </c>
    </row>
    <row r="147" spans="1:25" x14ac:dyDescent="0.25">
      <c r="A147" s="2">
        <f>IF(142&gt;$Z$1,"",142)</f>
      </c>
      <c r="B147" s="28">
        <f>IF(142&gt;$Z$1,"",EDATE('Your debts'!$D$21,141))</f>
      </c>
      <c r="C147" s="29">
        <f>IF(142&gt;$Z$1,"",IF('Your debts'!$D$20="Avalanche",'Avalanche workings'!$BC$149,'Snowball workings'!$BC$149))</f>
      </c>
      <c r="D147" s="29">
        <f>IF(142&gt;$Z$1,"",IF('Your debts'!$D$20="Avalanche",'Avalanche workings'!$BA$149,'Snowball workings'!$BA$149))</f>
      </c>
      <c r="E147" s="29">
        <f>IF(142&gt;$Z$1,"",IF('Your debts'!$D$20="Avalanche",'Avalanche workings'!$BB$149,'Snowball workings'!$BB$149))</f>
      </c>
      <c r="F147" s="29">
        <f>IF(OR(142&gt;$Z$1,NOT(OR('Your debts'!$B$6&lt;&gt;"",N('Your debts'!$C$6)&gt;0))),"",IF('Your debts'!$D$20="Avalanche",'Avalanche workings'!$L$149,'Snowball workings'!$L$149)+IF('Your debts'!$D$20="Avalanche",'Avalanche workings'!$AF$149,'Snowball workings'!$AF$149))</f>
      </c>
      <c r="G147" s="30">
        <f>IF(OR(142&gt;$Z$1,NOT(OR('Your debts'!$B$6&lt;&gt;"",N('Your debts'!$C$6)&gt;0))),"",IF('Your debts'!$D$20="Avalanche",'Avalanche workings'!$AP$149,'Snowball workings'!$AP$149))</f>
      </c>
      <c r="H147" s="29">
        <f>IF(OR(142&gt;$Z$1,NOT(OR('Your debts'!$B$7&lt;&gt;"",N('Your debts'!$C$7)&gt;0))),"",IF('Your debts'!$D$20="Avalanche",'Avalanche workings'!$M$149,'Snowball workings'!$M$149)+IF('Your debts'!$D$20="Avalanche",'Avalanche workings'!$AG$149,'Snowball workings'!$AG$149))</f>
      </c>
      <c r="I147" s="30">
        <f>IF(OR(142&gt;$Z$1,NOT(OR('Your debts'!$B$7&lt;&gt;"",N('Your debts'!$C$7)&gt;0))),"",IF('Your debts'!$D$20="Avalanche",'Avalanche workings'!$AQ$149,'Snowball workings'!$AQ$149))</f>
      </c>
      <c r="J147" s="29">
        <f>IF(OR(142&gt;$Z$1,NOT(OR('Your debts'!$B$8&lt;&gt;"",N('Your debts'!$C$8)&gt;0))),"",IF('Your debts'!$D$20="Avalanche",'Avalanche workings'!$N$149,'Snowball workings'!$N$149)+IF('Your debts'!$D$20="Avalanche",'Avalanche workings'!$AH$149,'Snowball workings'!$AH$149))</f>
      </c>
      <c r="K147" s="30">
        <f>IF(OR(142&gt;$Z$1,NOT(OR('Your debts'!$B$8&lt;&gt;"",N('Your debts'!$C$8)&gt;0))),"",IF('Your debts'!$D$20="Avalanche",'Avalanche workings'!$AR$149,'Snowball workings'!$AR$149))</f>
      </c>
      <c r="L147" s="29">
        <f>IF(OR(142&gt;$Z$1,NOT(OR('Your debts'!$B$9&lt;&gt;"",N('Your debts'!$C$9)&gt;0))),"",IF('Your debts'!$D$20="Avalanche",'Avalanche workings'!$O$149,'Snowball workings'!$O$149)+IF('Your debts'!$D$20="Avalanche",'Avalanche workings'!$AI$149,'Snowball workings'!$AI$149))</f>
      </c>
      <c r="M147" s="30">
        <f>IF(OR(142&gt;$Z$1,NOT(OR('Your debts'!$B$9&lt;&gt;"",N('Your debts'!$C$9)&gt;0))),"",IF('Your debts'!$D$20="Avalanche",'Avalanche workings'!$AS$149,'Snowball workings'!$AS$149))</f>
      </c>
      <c r="N147" s="29">
        <f>IF(OR(142&gt;$Z$1,NOT(OR('Your debts'!$B$10&lt;&gt;"",N('Your debts'!$C$10)&gt;0))),"",IF('Your debts'!$D$20="Avalanche",'Avalanche workings'!$P$149,'Snowball workings'!$P$149)+IF('Your debts'!$D$20="Avalanche",'Avalanche workings'!$AJ$149,'Snowball workings'!$AJ$149))</f>
      </c>
      <c r="O147" s="30">
        <f>IF(OR(142&gt;$Z$1,NOT(OR('Your debts'!$B$10&lt;&gt;"",N('Your debts'!$C$10)&gt;0))),"",IF('Your debts'!$D$20="Avalanche",'Avalanche workings'!$AT$149,'Snowball workings'!$AT$149))</f>
      </c>
      <c r="P147" s="29">
        <f>IF(OR(142&gt;$Z$1,NOT(OR('Your debts'!$B$11&lt;&gt;"",N('Your debts'!$C$11)&gt;0))),"",IF('Your debts'!$D$20="Avalanche",'Avalanche workings'!$Q$149,'Snowball workings'!$Q$149)+IF('Your debts'!$D$20="Avalanche",'Avalanche workings'!$AK$149,'Snowball workings'!$AK$149))</f>
      </c>
      <c r="Q147" s="30">
        <f>IF(OR(142&gt;$Z$1,NOT(OR('Your debts'!$B$11&lt;&gt;"",N('Your debts'!$C$11)&gt;0))),"",IF('Your debts'!$D$20="Avalanche",'Avalanche workings'!$AU$149,'Snowball workings'!$AU$149))</f>
      </c>
      <c r="R147" s="29">
        <f>IF(OR(142&gt;$Z$1,NOT(OR('Your debts'!$B$12&lt;&gt;"",N('Your debts'!$C$12)&gt;0))),"",IF('Your debts'!$D$20="Avalanche",'Avalanche workings'!$R$149,'Snowball workings'!$R$149)+IF('Your debts'!$D$20="Avalanche",'Avalanche workings'!$AL$149,'Snowball workings'!$AL$149))</f>
      </c>
      <c r="S147" s="30">
        <f>IF(OR(142&gt;$Z$1,NOT(OR('Your debts'!$B$12&lt;&gt;"",N('Your debts'!$C$12)&gt;0))),"",IF('Your debts'!$D$20="Avalanche",'Avalanche workings'!$AV$149,'Snowball workings'!$AV$149))</f>
      </c>
      <c r="T147" s="29">
        <f>IF(OR(142&gt;$Z$1,NOT(OR('Your debts'!$B$13&lt;&gt;"",N('Your debts'!$C$13)&gt;0))),"",IF('Your debts'!$D$20="Avalanche",'Avalanche workings'!$S$149,'Snowball workings'!$S$149)+IF('Your debts'!$D$20="Avalanche",'Avalanche workings'!$AM$149,'Snowball workings'!$AM$149))</f>
      </c>
      <c r="U147" s="30">
        <f>IF(OR(142&gt;$Z$1,NOT(OR('Your debts'!$B$13&lt;&gt;"",N('Your debts'!$C$13)&gt;0))),"",IF('Your debts'!$D$20="Avalanche",'Avalanche workings'!$AW$149,'Snowball workings'!$AW$149))</f>
      </c>
      <c r="V147" s="29">
        <f>IF(OR(142&gt;$Z$1,NOT(OR('Your debts'!$B$14&lt;&gt;"",N('Your debts'!$C$14)&gt;0))),"",IF('Your debts'!$D$20="Avalanche",'Avalanche workings'!$T$149,'Snowball workings'!$T$149)+IF('Your debts'!$D$20="Avalanche",'Avalanche workings'!$AN$149,'Snowball workings'!$AN$149))</f>
      </c>
      <c r="W147" s="30">
        <f>IF(OR(142&gt;$Z$1,NOT(OR('Your debts'!$B$14&lt;&gt;"",N('Your debts'!$C$14)&gt;0))),"",IF('Your debts'!$D$20="Avalanche",'Avalanche workings'!$AX$149,'Snowball workings'!$AX$149))</f>
      </c>
      <c r="X147" s="29">
        <f>IF(OR(142&gt;$Z$1,NOT(OR('Your debts'!$B$15&lt;&gt;"",N('Your debts'!$C$15)&gt;0))),"",IF('Your debts'!$D$20="Avalanche",'Avalanche workings'!$U$149,'Snowball workings'!$U$149)+IF('Your debts'!$D$20="Avalanche",'Avalanche workings'!$AO$149,'Snowball workings'!$AO$149))</f>
      </c>
      <c r="Y147" s="30">
        <f>IF(OR(142&gt;$Z$1,NOT(OR('Your debts'!$B$15&lt;&gt;"",N('Your debts'!$C$15)&gt;0))),"",IF('Your debts'!$D$20="Avalanche",'Avalanche workings'!$AY$149,'Snowball workings'!$AY$149))</f>
      </c>
    </row>
    <row r="148" spans="1:25" x14ac:dyDescent="0.25">
      <c r="A148" s="2">
        <f>IF(143&gt;$Z$1,"",143)</f>
      </c>
      <c r="B148" s="28">
        <f>IF(143&gt;$Z$1,"",EDATE('Your debts'!$D$21,142))</f>
      </c>
      <c r="C148" s="29">
        <f>IF(143&gt;$Z$1,"",IF('Your debts'!$D$20="Avalanche",'Avalanche workings'!$BC$150,'Snowball workings'!$BC$150))</f>
      </c>
      <c r="D148" s="29">
        <f>IF(143&gt;$Z$1,"",IF('Your debts'!$D$20="Avalanche",'Avalanche workings'!$BA$150,'Snowball workings'!$BA$150))</f>
      </c>
      <c r="E148" s="29">
        <f>IF(143&gt;$Z$1,"",IF('Your debts'!$D$20="Avalanche",'Avalanche workings'!$BB$150,'Snowball workings'!$BB$150))</f>
      </c>
      <c r="F148" s="29">
        <f>IF(OR(143&gt;$Z$1,NOT(OR('Your debts'!$B$6&lt;&gt;"",N('Your debts'!$C$6)&gt;0))),"",IF('Your debts'!$D$20="Avalanche",'Avalanche workings'!$L$150,'Snowball workings'!$L$150)+IF('Your debts'!$D$20="Avalanche",'Avalanche workings'!$AF$150,'Snowball workings'!$AF$150))</f>
      </c>
      <c r="G148" s="30">
        <f>IF(OR(143&gt;$Z$1,NOT(OR('Your debts'!$B$6&lt;&gt;"",N('Your debts'!$C$6)&gt;0))),"",IF('Your debts'!$D$20="Avalanche",'Avalanche workings'!$AP$150,'Snowball workings'!$AP$150))</f>
      </c>
      <c r="H148" s="29">
        <f>IF(OR(143&gt;$Z$1,NOT(OR('Your debts'!$B$7&lt;&gt;"",N('Your debts'!$C$7)&gt;0))),"",IF('Your debts'!$D$20="Avalanche",'Avalanche workings'!$M$150,'Snowball workings'!$M$150)+IF('Your debts'!$D$20="Avalanche",'Avalanche workings'!$AG$150,'Snowball workings'!$AG$150))</f>
      </c>
      <c r="I148" s="30">
        <f>IF(OR(143&gt;$Z$1,NOT(OR('Your debts'!$B$7&lt;&gt;"",N('Your debts'!$C$7)&gt;0))),"",IF('Your debts'!$D$20="Avalanche",'Avalanche workings'!$AQ$150,'Snowball workings'!$AQ$150))</f>
      </c>
      <c r="J148" s="29">
        <f>IF(OR(143&gt;$Z$1,NOT(OR('Your debts'!$B$8&lt;&gt;"",N('Your debts'!$C$8)&gt;0))),"",IF('Your debts'!$D$20="Avalanche",'Avalanche workings'!$N$150,'Snowball workings'!$N$150)+IF('Your debts'!$D$20="Avalanche",'Avalanche workings'!$AH$150,'Snowball workings'!$AH$150))</f>
      </c>
      <c r="K148" s="30">
        <f>IF(OR(143&gt;$Z$1,NOT(OR('Your debts'!$B$8&lt;&gt;"",N('Your debts'!$C$8)&gt;0))),"",IF('Your debts'!$D$20="Avalanche",'Avalanche workings'!$AR$150,'Snowball workings'!$AR$150))</f>
      </c>
      <c r="L148" s="29">
        <f>IF(OR(143&gt;$Z$1,NOT(OR('Your debts'!$B$9&lt;&gt;"",N('Your debts'!$C$9)&gt;0))),"",IF('Your debts'!$D$20="Avalanche",'Avalanche workings'!$O$150,'Snowball workings'!$O$150)+IF('Your debts'!$D$20="Avalanche",'Avalanche workings'!$AI$150,'Snowball workings'!$AI$150))</f>
      </c>
      <c r="M148" s="30">
        <f>IF(OR(143&gt;$Z$1,NOT(OR('Your debts'!$B$9&lt;&gt;"",N('Your debts'!$C$9)&gt;0))),"",IF('Your debts'!$D$20="Avalanche",'Avalanche workings'!$AS$150,'Snowball workings'!$AS$150))</f>
      </c>
      <c r="N148" s="29">
        <f>IF(OR(143&gt;$Z$1,NOT(OR('Your debts'!$B$10&lt;&gt;"",N('Your debts'!$C$10)&gt;0))),"",IF('Your debts'!$D$20="Avalanche",'Avalanche workings'!$P$150,'Snowball workings'!$P$150)+IF('Your debts'!$D$20="Avalanche",'Avalanche workings'!$AJ$150,'Snowball workings'!$AJ$150))</f>
      </c>
      <c r="O148" s="30">
        <f>IF(OR(143&gt;$Z$1,NOT(OR('Your debts'!$B$10&lt;&gt;"",N('Your debts'!$C$10)&gt;0))),"",IF('Your debts'!$D$20="Avalanche",'Avalanche workings'!$AT$150,'Snowball workings'!$AT$150))</f>
      </c>
      <c r="P148" s="29">
        <f>IF(OR(143&gt;$Z$1,NOT(OR('Your debts'!$B$11&lt;&gt;"",N('Your debts'!$C$11)&gt;0))),"",IF('Your debts'!$D$20="Avalanche",'Avalanche workings'!$Q$150,'Snowball workings'!$Q$150)+IF('Your debts'!$D$20="Avalanche",'Avalanche workings'!$AK$150,'Snowball workings'!$AK$150))</f>
      </c>
      <c r="Q148" s="30">
        <f>IF(OR(143&gt;$Z$1,NOT(OR('Your debts'!$B$11&lt;&gt;"",N('Your debts'!$C$11)&gt;0))),"",IF('Your debts'!$D$20="Avalanche",'Avalanche workings'!$AU$150,'Snowball workings'!$AU$150))</f>
      </c>
      <c r="R148" s="29">
        <f>IF(OR(143&gt;$Z$1,NOT(OR('Your debts'!$B$12&lt;&gt;"",N('Your debts'!$C$12)&gt;0))),"",IF('Your debts'!$D$20="Avalanche",'Avalanche workings'!$R$150,'Snowball workings'!$R$150)+IF('Your debts'!$D$20="Avalanche",'Avalanche workings'!$AL$150,'Snowball workings'!$AL$150))</f>
      </c>
      <c r="S148" s="30">
        <f>IF(OR(143&gt;$Z$1,NOT(OR('Your debts'!$B$12&lt;&gt;"",N('Your debts'!$C$12)&gt;0))),"",IF('Your debts'!$D$20="Avalanche",'Avalanche workings'!$AV$150,'Snowball workings'!$AV$150))</f>
      </c>
      <c r="T148" s="29">
        <f>IF(OR(143&gt;$Z$1,NOT(OR('Your debts'!$B$13&lt;&gt;"",N('Your debts'!$C$13)&gt;0))),"",IF('Your debts'!$D$20="Avalanche",'Avalanche workings'!$S$150,'Snowball workings'!$S$150)+IF('Your debts'!$D$20="Avalanche",'Avalanche workings'!$AM$150,'Snowball workings'!$AM$150))</f>
      </c>
      <c r="U148" s="30">
        <f>IF(OR(143&gt;$Z$1,NOT(OR('Your debts'!$B$13&lt;&gt;"",N('Your debts'!$C$13)&gt;0))),"",IF('Your debts'!$D$20="Avalanche",'Avalanche workings'!$AW$150,'Snowball workings'!$AW$150))</f>
      </c>
      <c r="V148" s="29">
        <f>IF(OR(143&gt;$Z$1,NOT(OR('Your debts'!$B$14&lt;&gt;"",N('Your debts'!$C$14)&gt;0))),"",IF('Your debts'!$D$20="Avalanche",'Avalanche workings'!$T$150,'Snowball workings'!$T$150)+IF('Your debts'!$D$20="Avalanche",'Avalanche workings'!$AN$150,'Snowball workings'!$AN$150))</f>
      </c>
      <c r="W148" s="30">
        <f>IF(OR(143&gt;$Z$1,NOT(OR('Your debts'!$B$14&lt;&gt;"",N('Your debts'!$C$14)&gt;0))),"",IF('Your debts'!$D$20="Avalanche",'Avalanche workings'!$AX$150,'Snowball workings'!$AX$150))</f>
      </c>
      <c r="X148" s="29">
        <f>IF(OR(143&gt;$Z$1,NOT(OR('Your debts'!$B$15&lt;&gt;"",N('Your debts'!$C$15)&gt;0))),"",IF('Your debts'!$D$20="Avalanche",'Avalanche workings'!$U$150,'Snowball workings'!$U$150)+IF('Your debts'!$D$20="Avalanche",'Avalanche workings'!$AO$150,'Snowball workings'!$AO$150))</f>
      </c>
      <c r="Y148" s="30">
        <f>IF(OR(143&gt;$Z$1,NOT(OR('Your debts'!$B$15&lt;&gt;"",N('Your debts'!$C$15)&gt;0))),"",IF('Your debts'!$D$20="Avalanche",'Avalanche workings'!$AY$150,'Snowball workings'!$AY$150))</f>
      </c>
    </row>
    <row r="149" spans="1:25" x14ac:dyDescent="0.25">
      <c r="A149" s="2">
        <f>IF(144&gt;$Z$1,"",144)</f>
      </c>
      <c r="B149" s="28">
        <f>IF(144&gt;$Z$1,"",EDATE('Your debts'!$D$21,143))</f>
      </c>
      <c r="C149" s="29">
        <f>IF(144&gt;$Z$1,"",IF('Your debts'!$D$20="Avalanche",'Avalanche workings'!$BC$151,'Snowball workings'!$BC$151))</f>
      </c>
      <c r="D149" s="29">
        <f>IF(144&gt;$Z$1,"",IF('Your debts'!$D$20="Avalanche",'Avalanche workings'!$BA$151,'Snowball workings'!$BA$151))</f>
      </c>
      <c r="E149" s="29">
        <f>IF(144&gt;$Z$1,"",IF('Your debts'!$D$20="Avalanche",'Avalanche workings'!$BB$151,'Snowball workings'!$BB$151))</f>
      </c>
      <c r="F149" s="29">
        <f>IF(OR(144&gt;$Z$1,NOT(OR('Your debts'!$B$6&lt;&gt;"",N('Your debts'!$C$6)&gt;0))),"",IF('Your debts'!$D$20="Avalanche",'Avalanche workings'!$L$151,'Snowball workings'!$L$151)+IF('Your debts'!$D$20="Avalanche",'Avalanche workings'!$AF$151,'Snowball workings'!$AF$151))</f>
      </c>
      <c r="G149" s="30">
        <f>IF(OR(144&gt;$Z$1,NOT(OR('Your debts'!$B$6&lt;&gt;"",N('Your debts'!$C$6)&gt;0))),"",IF('Your debts'!$D$20="Avalanche",'Avalanche workings'!$AP$151,'Snowball workings'!$AP$151))</f>
      </c>
      <c r="H149" s="29">
        <f>IF(OR(144&gt;$Z$1,NOT(OR('Your debts'!$B$7&lt;&gt;"",N('Your debts'!$C$7)&gt;0))),"",IF('Your debts'!$D$20="Avalanche",'Avalanche workings'!$M$151,'Snowball workings'!$M$151)+IF('Your debts'!$D$20="Avalanche",'Avalanche workings'!$AG$151,'Snowball workings'!$AG$151))</f>
      </c>
      <c r="I149" s="30">
        <f>IF(OR(144&gt;$Z$1,NOT(OR('Your debts'!$B$7&lt;&gt;"",N('Your debts'!$C$7)&gt;0))),"",IF('Your debts'!$D$20="Avalanche",'Avalanche workings'!$AQ$151,'Snowball workings'!$AQ$151))</f>
      </c>
      <c r="J149" s="29">
        <f>IF(OR(144&gt;$Z$1,NOT(OR('Your debts'!$B$8&lt;&gt;"",N('Your debts'!$C$8)&gt;0))),"",IF('Your debts'!$D$20="Avalanche",'Avalanche workings'!$N$151,'Snowball workings'!$N$151)+IF('Your debts'!$D$20="Avalanche",'Avalanche workings'!$AH$151,'Snowball workings'!$AH$151))</f>
      </c>
      <c r="K149" s="30">
        <f>IF(OR(144&gt;$Z$1,NOT(OR('Your debts'!$B$8&lt;&gt;"",N('Your debts'!$C$8)&gt;0))),"",IF('Your debts'!$D$20="Avalanche",'Avalanche workings'!$AR$151,'Snowball workings'!$AR$151))</f>
      </c>
      <c r="L149" s="29">
        <f>IF(OR(144&gt;$Z$1,NOT(OR('Your debts'!$B$9&lt;&gt;"",N('Your debts'!$C$9)&gt;0))),"",IF('Your debts'!$D$20="Avalanche",'Avalanche workings'!$O$151,'Snowball workings'!$O$151)+IF('Your debts'!$D$20="Avalanche",'Avalanche workings'!$AI$151,'Snowball workings'!$AI$151))</f>
      </c>
      <c r="M149" s="30">
        <f>IF(OR(144&gt;$Z$1,NOT(OR('Your debts'!$B$9&lt;&gt;"",N('Your debts'!$C$9)&gt;0))),"",IF('Your debts'!$D$20="Avalanche",'Avalanche workings'!$AS$151,'Snowball workings'!$AS$151))</f>
      </c>
      <c r="N149" s="29">
        <f>IF(OR(144&gt;$Z$1,NOT(OR('Your debts'!$B$10&lt;&gt;"",N('Your debts'!$C$10)&gt;0))),"",IF('Your debts'!$D$20="Avalanche",'Avalanche workings'!$P$151,'Snowball workings'!$P$151)+IF('Your debts'!$D$20="Avalanche",'Avalanche workings'!$AJ$151,'Snowball workings'!$AJ$151))</f>
      </c>
      <c r="O149" s="30">
        <f>IF(OR(144&gt;$Z$1,NOT(OR('Your debts'!$B$10&lt;&gt;"",N('Your debts'!$C$10)&gt;0))),"",IF('Your debts'!$D$20="Avalanche",'Avalanche workings'!$AT$151,'Snowball workings'!$AT$151))</f>
      </c>
      <c r="P149" s="29">
        <f>IF(OR(144&gt;$Z$1,NOT(OR('Your debts'!$B$11&lt;&gt;"",N('Your debts'!$C$11)&gt;0))),"",IF('Your debts'!$D$20="Avalanche",'Avalanche workings'!$Q$151,'Snowball workings'!$Q$151)+IF('Your debts'!$D$20="Avalanche",'Avalanche workings'!$AK$151,'Snowball workings'!$AK$151))</f>
      </c>
      <c r="Q149" s="30">
        <f>IF(OR(144&gt;$Z$1,NOT(OR('Your debts'!$B$11&lt;&gt;"",N('Your debts'!$C$11)&gt;0))),"",IF('Your debts'!$D$20="Avalanche",'Avalanche workings'!$AU$151,'Snowball workings'!$AU$151))</f>
      </c>
      <c r="R149" s="29">
        <f>IF(OR(144&gt;$Z$1,NOT(OR('Your debts'!$B$12&lt;&gt;"",N('Your debts'!$C$12)&gt;0))),"",IF('Your debts'!$D$20="Avalanche",'Avalanche workings'!$R$151,'Snowball workings'!$R$151)+IF('Your debts'!$D$20="Avalanche",'Avalanche workings'!$AL$151,'Snowball workings'!$AL$151))</f>
      </c>
      <c r="S149" s="30">
        <f>IF(OR(144&gt;$Z$1,NOT(OR('Your debts'!$B$12&lt;&gt;"",N('Your debts'!$C$12)&gt;0))),"",IF('Your debts'!$D$20="Avalanche",'Avalanche workings'!$AV$151,'Snowball workings'!$AV$151))</f>
      </c>
      <c r="T149" s="29">
        <f>IF(OR(144&gt;$Z$1,NOT(OR('Your debts'!$B$13&lt;&gt;"",N('Your debts'!$C$13)&gt;0))),"",IF('Your debts'!$D$20="Avalanche",'Avalanche workings'!$S$151,'Snowball workings'!$S$151)+IF('Your debts'!$D$20="Avalanche",'Avalanche workings'!$AM$151,'Snowball workings'!$AM$151))</f>
      </c>
      <c r="U149" s="30">
        <f>IF(OR(144&gt;$Z$1,NOT(OR('Your debts'!$B$13&lt;&gt;"",N('Your debts'!$C$13)&gt;0))),"",IF('Your debts'!$D$20="Avalanche",'Avalanche workings'!$AW$151,'Snowball workings'!$AW$151))</f>
      </c>
      <c r="V149" s="29">
        <f>IF(OR(144&gt;$Z$1,NOT(OR('Your debts'!$B$14&lt;&gt;"",N('Your debts'!$C$14)&gt;0))),"",IF('Your debts'!$D$20="Avalanche",'Avalanche workings'!$T$151,'Snowball workings'!$T$151)+IF('Your debts'!$D$20="Avalanche",'Avalanche workings'!$AN$151,'Snowball workings'!$AN$151))</f>
      </c>
      <c r="W149" s="30">
        <f>IF(OR(144&gt;$Z$1,NOT(OR('Your debts'!$B$14&lt;&gt;"",N('Your debts'!$C$14)&gt;0))),"",IF('Your debts'!$D$20="Avalanche",'Avalanche workings'!$AX$151,'Snowball workings'!$AX$151))</f>
      </c>
      <c r="X149" s="29">
        <f>IF(OR(144&gt;$Z$1,NOT(OR('Your debts'!$B$15&lt;&gt;"",N('Your debts'!$C$15)&gt;0))),"",IF('Your debts'!$D$20="Avalanche",'Avalanche workings'!$U$151,'Snowball workings'!$U$151)+IF('Your debts'!$D$20="Avalanche",'Avalanche workings'!$AO$151,'Snowball workings'!$AO$151))</f>
      </c>
      <c r="Y149" s="30">
        <f>IF(OR(144&gt;$Z$1,NOT(OR('Your debts'!$B$15&lt;&gt;"",N('Your debts'!$C$15)&gt;0))),"",IF('Your debts'!$D$20="Avalanche",'Avalanche workings'!$AY$151,'Snowball workings'!$AY$151))</f>
      </c>
    </row>
    <row r="150" spans="1:25" x14ac:dyDescent="0.25">
      <c r="A150" s="2">
        <f>IF(145&gt;$Z$1,"",145)</f>
      </c>
      <c r="B150" s="28">
        <f>IF(145&gt;$Z$1,"",EDATE('Your debts'!$D$21,144))</f>
      </c>
      <c r="C150" s="29">
        <f>IF(145&gt;$Z$1,"",IF('Your debts'!$D$20="Avalanche",'Avalanche workings'!$BC$152,'Snowball workings'!$BC$152))</f>
      </c>
      <c r="D150" s="29">
        <f>IF(145&gt;$Z$1,"",IF('Your debts'!$D$20="Avalanche",'Avalanche workings'!$BA$152,'Snowball workings'!$BA$152))</f>
      </c>
      <c r="E150" s="29">
        <f>IF(145&gt;$Z$1,"",IF('Your debts'!$D$20="Avalanche",'Avalanche workings'!$BB$152,'Snowball workings'!$BB$152))</f>
      </c>
      <c r="F150" s="29">
        <f>IF(OR(145&gt;$Z$1,NOT(OR('Your debts'!$B$6&lt;&gt;"",N('Your debts'!$C$6)&gt;0))),"",IF('Your debts'!$D$20="Avalanche",'Avalanche workings'!$L$152,'Snowball workings'!$L$152)+IF('Your debts'!$D$20="Avalanche",'Avalanche workings'!$AF$152,'Snowball workings'!$AF$152))</f>
      </c>
      <c r="G150" s="30">
        <f>IF(OR(145&gt;$Z$1,NOT(OR('Your debts'!$B$6&lt;&gt;"",N('Your debts'!$C$6)&gt;0))),"",IF('Your debts'!$D$20="Avalanche",'Avalanche workings'!$AP$152,'Snowball workings'!$AP$152))</f>
      </c>
      <c r="H150" s="29">
        <f>IF(OR(145&gt;$Z$1,NOT(OR('Your debts'!$B$7&lt;&gt;"",N('Your debts'!$C$7)&gt;0))),"",IF('Your debts'!$D$20="Avalanche",'Avalanche workings'!$M$152,'Snowball workings'!$M$152)+IF('Your debts'!$D$20="Avalanche",'Avalanche workings'!$AG$152,'Snowball workings'!$AG$152))</f>
      </c>
      <c r="I150" s="30">
        <f>IF(OR(145&gt;$Z$1,NOT(OR('Your debts'!$B$7&lt;&gt;"",N('Your debts'!$C$7)&gt;0))),"",IF('Your debts'!$D$20="Avalanche",'Avalanche workings'!$AQ$152,'Snowball workings'!$AQ$152))</f>
      </c>
      <c r="J150" s="29">
        <f>IF(OR(145&gt;$Z$1,NOT(OR('Your debts'!$B$8&lt;&gt;"",N('Your debts'!$C$8)&gt;0))),"",IF('Your debts'!$D$20="Avalanche",'Avalanche workings'!$N$152,'Snowball workings'!$N$152)+IF('Your debts'!$D$20="Avalanche",'Avalanche workings'!$AH$152,'Snowball workings'!$AH$152))</f>
      </c>
      <c r="K150" s="30">
        <f>IF(OR(145&gt;$Z$1,NOT(OR('Your debts'!$B$8&lt;&gt;"",N('Your debts'!$C$8)&gt;0))),"",IF('Your debts'!$D$20="Avalanche",'Avalanche workings'!$AR$152,'Snowball workings'!$AR$152))</f>
      </c>
      <c r="L150" s="29">
        <f>IF(OR(145&gt;$Z$1,NOT(OR('Your debts'!$B$9&lt;&gt;"",N('Your debts'!$C$9)&gt;0))),"",IF('Your debts'!$D$20="Avalanche",'Avalanche workings'!$O$152,'Snowball workings'!$O$152)+IF('Your debts'!$D$20="Avalanche",'Avalanche workings'!$AI$152,'Snowball workings'!$AI$152))</f>
      </c>
      <c r="M150" s="30">
        <f>IF(OR(145&gt;$Z$1,NOT(OR('Your debts'!$B$9&lt;&gt;"",N('Your debts'!$C$9)&gt;0))),"",IF('Your debts'!$D$20="Avalanche",'Avalanche workings'!$AS$152,'Snowball workings'!$AS$152))</f>
      </c>
      <c r="N150" s="29">
        <f>IF(OR(145&gt;$Z$1,NOT(OR('Your debts'!$B$10&lt;&gt;"",N('Your debts'!$C$10)&gt;0))),"",IF('Your debts'!$D$20="Avalanche",'Avalanche workings'!$P$152,'Snowball workings'!$P$152)+IF('Your debts'!$D$20="Avalanche",'Avalanche workings'!$AJ$152,'Snowball workings'!$AJ$152))</f>
      </c>
      <c r="O150" s="30">
        <f>IF(OR(145&gt;$Z$1,NOT(OR('Your debts'!$B$10&lt;&gt;"",N('Your debts'!$C$10)&gt;0))),"",IF('Your debts'!$D$20="Avalanche",'Avalanche workings'!$AT$152,'Snowball workings'!$AT$152))</f>
      </c>
      <c r="P150" s="29">
        <f>IF(OR(145&gt;$Z$1,NOT(OR('Your debts'!$B$11&lt;&gt;"",N('Your debts'!$C$11)&gt;0))),"",IF('Your debts'!$D$20="Avalanche",'Avalanche workings'!$Q$152,'Snowball workings'!$Q$152)+IF('Your debts'!$D$20="Avalanche",'Avalanche workings'!$AK$152,'Snowball workings'!$AK$152))</f>
      </c>
      <c r="Q150" s="30">
        <f>IF(OR(145&gt;$Z$1,NOT(OR('Your debts'!$B$11&lt;&gt;"",N('Your debts'!$C$11)&gt;0))),"",IF('Your debts'!$D$20="Avalanche",'Avalanche workings'!$AU$152,'Snowball workings'!$AU$152))</f>
      </c>
      <c r="R150" s="29">
        <f>IF(OR(145&gt;$Z$1,NOT(OR('Your debts'!$B$12&lt;&gt;"",N('Your debts'!$C$12)&gt;0))),"",IF('Your debts'!$D$20="Avalanche",'Avalanche workings'!$R$152,'Snowball workings'!$R$152)+IF('Your debts'!$D$20="Avalanche",'Avalanche workings'!$AL$152,'Snowball workings'!$AL$152))</f>
      </c>
      <c r="S150" s="30">
        <f>IF(OR(145&gt;$Z$1,NOT(OR('Your debts'!$B$12&lt;&gt;"",N('Your debts'!$C$12)&gt;0))),"",IF('Your debts'!$D$20="Avalanche",'Avalanche workings'!$AV$152,'Snowball workings'!$AV$152))</f>
      </c>
      <c r="T150" s="29">
        <f>IF(OR(145&gt;$Z$1,NOT(OR('Your debts'!$B$13&lt;&gt;"",N('Your debts'!$C$13)&gt;0))),"",IF('Your debts'!$D$20="Avalanche",'Avalanche workings'!$S$152,'Snowball workings'!$S$152)+IF('Your debts'!$D$20="Avalanche",'Avalanche workings'!$AM$152,'Snowball workings'!$AM$152))</f>
      </c>
      <c r="U150" s="30">
        <f>IF(OR(145&gt;$Z$1,NOT(OR('Your debts'!$B$13&lt;&gt;"",N('Your debts'!$C$13)&gt;0))),"",IF('Your debts'!$D$20="Avalanche",'Avalanche workings'!$AW$152,'Snowball workings'!$AW$152))</f>
      </c>
      <c r="V150" s="29">
        <f>IF(OR(145&gt;$Z$1,NOT(OR('Your debts'!$B$14&lt;&gt;"",N('Your debts'!$C$14)&gt;0))),"",IF('Your debts'!$D$20="Avalanche",'Avalanche workings'!$T$152,'Snowball workings'!$T$152)+IF('Your debts'!$D$20="Avalanche",'Avalanche workings'!$AN$152,'Snowball workings'!$AN$152))</f>
      </c>
      <c r="W150" s="30">
        <f>IF(OR(145&gt;$Z$1,NOT(OR('Your debts'!$B$14&lt;&gt;"",N('Your debts'!$C$14)&gt;0))),"",IF('Your debts'!$D$20="Avalanche",'Avalanche workings'!$AX$152,'Snowball workings'!$AX$152))</f>
      </c>
      <c r="X150" s="29">
        <f>IF(OR(145&gt;$Z$1,NOT(OR('Your debts'!$B$15&lt;&gt;"",N('Your debts'!$C$15)&gt;0))),"",IF('Your debts'!$D$20="Avalanche",'Avalanche workings'!$U$152,'Snowball workings'!$U$152)+IF('Your debts'!$D$20="Avalanche",'Avalanche workings'!$AO$152,'Snowball workings'!$AO$152))</f>
      </c>
      <c r="Y150" s="30">
        <f>IF(OR(145&gt;$Z$1,NOT(OR('Your debts'!$B$15&lt;&gt;"",N('Your debts'!$C$15)&gt;0))),"",IF('Your debts'!$D$20="Avalanche",'Avalanche workings'!$AY$152,'Snowball workings'!$AY$152))</f>
      </c>
    </row>
    <row r="151" spans="1:25" x14ac:dyDescent="0.25">
      <c r="A151" s="2">
        <f>IF(146&gt;$Z$1,"",146)</f>
      </c>
      <c r="B151" s="28">
        <f>IF(146&gt;$Z$1,"",EDATE('Your debts'!$D$21,145))</f>
      </c>
      <c r="C151" s="29">
        <f>IF(146&gt;$Z$1,"",IF('Your debts'!$D$20="Avalanche",'Avalanche workings'!$BC$153,'Snowball workings'!$BC$153))</f>
      </c>
      <c r="D151" s="29">
        <f>IF(146&gt;$Z$1,"",IF('Your debts'!$D$20="Avalanche",'Avalanche workings'!$BA$153,'Snowball workings'!$BA$153))</f>
      </c>
      <c r="E151" s="29">
        <f>IF(146&gt;$Z$1,"",IF('Your debts'!$D$20="Avalanche",'Avalanche workings'!$BB$153,'Snowball workings'!$BB$153))</f>
      </c>
      <c r="F151" s="29">
        <f>IF(OR(146&gt;$Z$1,NOT(OR('Your debts'!$B$6&lt;&gt;"",N('Your debts'!$C$6)&gt;0))),"",IF('Your debts'!$D$20="Avalanche",'Avalanche workings'!$L$153,'Snowball workings'!$L$153)+IF('Your debts'!$D$20="Avalanche",'Avalanche workings'!$AF$153,'Snowball workings'!$AF$153))</f>
      </c>
      <c r="G151" s="30">
        <f>IF(OR(146&gt;$Z$1,NOT(OR('Your debts'!$B$6&lt;&gt;"",N('Your debts'!$C$6)&gt;0))),"",IF('Your debts'!$D$20="Avalanche",'Avalanche workings'!$AP$153,'Snowball workings'!$AP$153))</f>
      </c>
      <c r="H151" s="29">
        <f>IF(OR(146&gt;$Z$1,NOT(OR('Your debts'!$B$7&lt;&gt;"",N('Your debts'!$C$7)&gt;0))),"",IF('Your debts'!$D$20="Avalanche",'Avalanche workings'!$M$153,'Snowball workings'!$M$153)+IF('Your debts'!$D$20="Avalanche",'Avalanche workings'!$AG$153,'Snowball workings'!$AG$153))</f>
      </c>
      <c r="I151" s="30">
        <f>IF(OR(146&gt;$Z$1,NOT(OR('Your debts'!$B$7&lt;&gt;"",N('Your debts'!$C$7)&gt;0))),"",IF('Your debts'!$D$20="Avalanche",'Avalanche workings'!$AQ$153,'Snowball workings'!$AQ$153))</f>
      </c>
      <c r="J151" s="29">
        <f>IF(OR(146&gt;$Z$1,NOT(OR('Your debts'!$B$8&lt;&gt;"",N('Your debts'!$C$8)&gt;0))),"",IF('Your debts'!$D$20="Avalanche",'Avalanche workings'!$N$153,'Snowball workings'!$N$153)+IF('Your debts'!$D$20="Avalanche",'Avalanche workings'!$AH$153,'Snowball workings'!$AH$153))</f>
      </c>
      <c r="K151" s="30">
        <f>IF(OR(146&gt;$Z$1,NOT(OR('Your debts'!$B$8&lt;&gt;"",N('Your debts'!$C$8)&gt;0))),"",IF('Your debts'!$D$20="Avalanche",'Avalanche workings'!$AR$153,'Snowball workings'!$AR$153))</f>
      </c>
      <c r="L151" s="29">
        <f>IF(OR(146&gt;$Z$1,NOT(OR('Your debts'!$B$9&lt;&gt;"",N('Your debts'!$C$9)&gt;0))),"",IF('Your debts'!$D$20="Avalanche",'Avalanche workings'!$O$153,'Snowball workings'!$O$153)+IF('Your debts'!$D$20="Avalanche",'Avalanche workings'!$AI$153,'Snowball workings'!$AI$153))</f>
      </c>
      <c r="M151" s="30">
        <f>IF(OR(146&gt;$Z$1,NOT(OR('Your debts'!$B$9&lt;&gt;"",N('Your debts'!$C$9)&gt;0))),"",IF('Your debts'!$D$20="Avalanche",'Avalanche workings'!$AS$153,'Snowball workings'!$AS$153))</f>
      </c>
      <c r="N151" s="29">
        <f>IF(OR(146&gt;$Z$1,NOT(OR('Your debts'!$B$10&lt;&gt;"",N('Your debts'!$C$10)&gt;0))),"",IF('Your debts'!$D$20="Avalanche",'Avalanche workings'!$P$153,'Snowball workings'!$P$153)+IF('Your debts'!$D$20="Avalanche",'Avalanche workings'!$AJ$153,'Snowball workings'!$AJ$153))</f>
      </c>
      <c r="O151" s="30">
        <f>IF(OR(146&gt;$Z$1,NOT(OR('Your debts'!$B$10&lt;&gt;"",N('Your debts'!$C$10)&gt;0))),"",IF('Your debts'!$D$20="Avalanche",'Avalanche workings'!$AT$153,'Snowball workings'!$AT$153))</f>
      </c>
      <c r="P151" s="29">
        <f>IF(OR(146&gt;$Z$1,NOT(OR('Your debts'!$B$11&lt;&gt;"",N('Your debts'!$C$11)&gt;0))),"",IF('Your debts'!$D$20="Avalanche",'Avalanche workings'!$Q$153,'Snowball workings'!$Q$153)+IF('Your debts'!$D$20="Avalanche",'Avalanche workings'!$AK$153,'Snowball workings'!$AK$153))</f>
      </c>
      <c r="Q151" s="30">
        <f>IF(OR(146&gt;$Z$1,NOT(OR('Your debts'!$B$11&lt;&gt;"",N('Your debts'!$C$11)&gt;0))),"",IF('Your debts'!$D$20="Avalanche",'Avalanche workings'!$AU$153,'Snowball workings'!$AU$153))</f>
      </c>
      <c r="R151" s="29">
        <f>IF(OR(146&gt;$Z$1,NOT(OR('Your debts'!$B$12&lt;&gt;"",N('Your debts'!$C$12)&gt;0))),"",IF('Your debts'!$D$20="Avalanche",'Avalanche workings'!$R$153,'Snowball workings'!$R$153)+IF('Your debts'!$D$20="Avalanche",'Avalanche workings'!$AL$153,'Snowball workings'!$AL$153))</f>
      </c>
      <c r="S151" s="30">
        <f>IF(OR(146&gt;$Z$1,NOT(OR('Your debts'!$B$12&lt;&gt;"",N('Your debts'!$C$12)&gt;0))),"",IF('Your debts'!$D$20="Avalanche",'Avalanche workings'!$AV$153,'Snowball workings'!$AV$153))</f>
      </c>
      <c r="T151" s="29">
        <f>IF(OR(146&gt;$Z$1,NOT(OR('Your debts'!$B$13&lt;&gt;"",N('Your debts'!$C$13)&gt;0))),"",IF('Your debts'!$D$20="Avalanche",'Avalanche workings'!$S$153,'Snowball workings'!$S$153)+IF('Your debts'!$D$20="Avalanche",'Avalanche workings'!$AM$153,'Snowball workings'!$AM$153))</f>
      </c>
      <c r="U151" s="30">
        <f>IF(OR(146&gt;$Z$1,NOT(OR('Your debts'!$B$13&lt;&gt;"",N('Your debts'!$C$13)&gt;0))),"",IF('Your debts'!$D$20="Avalanche",'Avalanche workings'!$AW$153,'Snowball workings'!$AW$153))</f>
      </c>
      <c r="V151" s="29">
        <f>IF(OR(146&gt;$Z$1,NOT(OR('Your debts'!$B$14&lt;&gt;"",N('Your debts'!$C$14)&gt;0))),"",IF('Your debts'!$D$20="Avalanche",'Avalanche workings'!$T$153,'Snowball workings'!$T$153)+IF('Your debts'!$D$20="Avalanche",'Avalanche workings'!$AN$153,'Snowball workings'!$AN$153))</f>
      </c>
      <c r="W151" s="30">
        <f>IF(OR(146&gt;$Z$1,NOT(OR('Your debts'!$B$14&lt;&gt;"",N('Your debts'!$C$14)&gt;0))),"",IF('Your debts'!$D$20="Avalanche",'Avalanche workings'!$AX$153,'Snowball workings'!$AX$153))</f>
      </c>
      <c r="X151" s="29">
        <f>IF(OR(146&gt;$Z$1,NOT(OR('Your debts'!$B$15&lt;&gt;"",N('Your debts'!$C$15)&gt;0))),"",IF('Your debts'!$D$20="Avalanche",'Avalanche workings'!$U$153,'Snowball workings'!$U$153)+IF('Your debts'!$D$20="Avalanche",'Avalanche workings'!$AO$153,'Snowball workings'!$AO$153))</f>
      </c>
      <c r="Y151" s="30">
        <f>IF(OR(146&gt;$Z$1,NOT(OR('Your debts'!$B$15&lt;&gt;"",N('Your debts'!$C$15)&gt;0))),"",IF('Your debts'!$D$20="Avalanche",'Avalanche workings'!$AY$153,'Snowball workings'!$AY$153))</f>
      </c>
    </row>
    <row r="152" spans="1:25" x14ac:dyDescent="0.25">
      <c r="A152" s="2">
        <f>IF(147&gt;$Z$1,"",147)</f>
      </c>
      <c r="B152" s="28">
        <f>IF(147&gt;$Z$1,"",EDATE('Your debts'!$D$21,146))</f>
      </c>
      <c r="C152" s="29">
        <f>IF(147&gt;$Z$1,"",IF('Your debts'!$D$20="Avalanche",'Avalanche workings'!$BC$154,'Snowball workings'!$BC$154))</f>
      </c>
      <c r="D152" s="29">
        <f>IF(147&gt;$Z$1,"",IF('Your debts'!$D$20="Avalanche",'Avalanche workings'!$BA$154,'Snowball workings'!$BA$154))</f>
      </c>
      <c r="E152" s="29">
        <f>IF(147&gt;$Z$1,"",IF('Your debts'!$D$20="Avalanche",'Avalanche workings'!$BB$154,'Snowball workings'!$BB$154))</f>
      </c>
      <c r="F152" s="29">
        <f>IF(OR(147&gt;$Z$1,NOT(OR('Your debts'!$B$6&lt;&gt;"",N('Your debts'!$C$6)&gt;0))),"",IF('Your debts'!$D$20="Avalanche",'Avalanche workings'!$L$154,'Snowball workings'!$L$154)+IF('Your debts'!$D$20="Avalanche",'Avalanche workings'!$AF$154,'Snowball workings'!$AF$154))</f>
      </c>
      <c r="G152" s="30">
        <f>IF(OR(147&gt;$Z$1,NOT(OR('Your debts'!$B$6&lt;&gt;"",N('Your debts'!$C$6)&gt;0))),"",IF('Your debts'!$D$20="Avalanche",'Avalanche workings'!$AP$154,'Snowball workings'!$AP$154))</f>
      </c>
      <c r="H152" s="29">
        <f>IF(OR(147&gt;$Z$1,NOT(OR('Your debts'!$B$7&lt;&gt;"",N('Your debts'!$C$7)&gt;0))),"",IF('Your debts'!$D$20="Avalanche",'Avalanche workings'!$M$154,'Snowball workings'!$M$154)+IF('Your debts'!$D$20="Avalanche",'Avalanche workings'!$AG$154,'Snowball workings'!$AG$154))</f>
      </c>
      <c r="I152" s="30">
        <f>IF(OR(147&gt;$Z$1,NOT(OR('Your debts'!$B$7&lt;&gt;"",N('Your debts'!$C$7)&gt;0))),"",IF('Your debts'!$D$20="Avalanche",'Avalanche workings'!$AQ$154,'Snowball workings'!$AQ$154))</f>
      </c>
      <c r="J152" s="29">
        <f>IF(OR(147&gt;$Z$1,NOT(OR('Your debts'!$B$8&lt;&gt;"",N('Your debts'!$C$8)&gt;0))),"",IF('Your debts'!$D$20="Avalanche",'Avalanche workings'!$N$154,'Snowball workings'!$N$154)+IF('Your debts'!$D$20="Avalanche",'Avalanche workings'!$AH$154,'Snowball workings'!$AH$154))</f>
      </c>
      <c r="K152" s="30">
        <f>IF(OR(147&gt;$Z$1,NOT(OR('Your debts'!$B$8&lt;&gt;"",N('Your debts'!$C$8)&gt;0))),"",IF('Your debts'!$D$20="Avalanche",'Avalanche workings'!$AR$154,'Snowball workings'!$AR$154))</f>
      </c>
      <c r="L152" s="29">
        <f>IF(OR(147&gt;$Z$1,NOT(OR('Your debts'!$B$9&lt;&gt;"",N('Your debts'!$C$9)&gt;0))),"",IF('Your debts'!$D$20="Avalanche",'Avalanche workings'!$O$154,'Snowball workings'!$O$154)+IF('Your debts'!$D$20="Avalanche",'Avalanche workings'!$AI$154,'Snowball workings'!$AI$154))</f>
      </c>
      <c r="M152" s="30">
        <f>IF(OR(147&gt;$Z$1,NOT(OR('Your debts'!$B$9&lt;&gt;"",N('Your debts'!$C$9)&gt;0))),"",IF('Your debts'!$D$20="Avalanche",'Avalanche workings'!$AS$154,'Snowball workings'!$AS$154))</f>
      </c>
      <c r="N152" s="29">
        <f>IF(OR(147&gt;$Z$1,NOT(OR('Your debts'!$B$10&lt;&gt;"",N('Your debts'!$C$10)&gt;0))),"",IF('Your debts'!$D$20="Avalanche",'Avalanche workings'!$P$154,'Snowball workings'!$P$154)+IF('Your debts'!$D$20="Avalanche",'Avalanche workings'!$AJ$154,'Snowball workings'!$AJ$154))</f>
      </c>
      <c r="O152" s="30">
        <f>IF(OR(147&gt;$Z$1,NOT(OR('Your debts'!$B$10&lt;&gt;"",N('Your debts'!$C$10)&gt;0))),"",IF('Your debts'!$D$20="Avalanche",'Avalanche workings'!$AT$154,'Snowball workings'!$AT$154))</f>
      </c>
      <c r="P152" s="29">
        <f>IF(OR(147&gt;$Z$1,NOT(OR('Your debts'!$B$11&lt;&gt;"",N('Your debts'!$C$11)&gt;0))),"",IF('Your debts'!$D$20="Avalanche",'Avalanche workings'!$Q$154,'Snowball workings'!$Q$154)+IF('Your debts'!$D$20="Avalanche",'Avalanche workings'!$AK$154,'Snowball workings'!$AK$154))</f>
      </c>
      <c r="Q152" s="30">
        <f>IF(OR(147&gt;$Z$1,NOT(OR('Your debts'!$B$11&lt;&gt;"",N('Your debts'!$C$11)&gt;0))),"",IF('Your debts'!$D$20="Avalanche",'Avalanche workings'!$AU$154,'Snowball workings'!$AU$154))</f>
      </c>
      <c r="R152" s="29">
        <f>IF(OR(147&gt;$Z$1,NOT(OR('Your debts'!$B$12&lt;&gt;"",N('Your debts'!$C$12)&gt;0))),"",IF('Your debts'!$D$20="Avalanche",'Avalanche workings'!$R$154,'Snowball workings'!$R$154)+IF('Your debts'!$D$20="Avalanche",'Avalanche workings'!$AL$154,'Snowball workings'!$AL$154))</f>
      </c>
      <c r="S152" s="30">
        <f>IF(OR(147&gt;$Z$1,NOT(OR('Your debts'!$B$12&lt;&gt;"",N('Your debts'!$C$12)&gt;0))),"",IF('Your debts'!$D$20="Avalanche",'Avalanche workings'!$AV$154,'Snowball workings'!$AV$154))</f>
      </c>
      <c r="T152" s="29">
        <f>IF(OR(147&gt;$Z$1,NOT(OR('Your debts'!$B$13&lt;&gt;"",N('Your debts'!$C$13)&gt;0))),"",IF('Your debts'!$D$20="Avalanche",'Avalanche workings'!$S$154,'Snowball workings'!$S$154)+IF('Your debts'!$D$20="Avalanche",'Avalanche workings'!$AM$154,'Snowball workings'!$AM$154))</f>
      </c>
      <c r="U152" s="30">
        <f>IF(OR(147&gt;$Z$1,NOT(OR('Your debts'!$B$13&lt;&gt;"",N('Your debts'!$C$13)&gt;0))),"",IF('Your debts'!$D$20="Avalanche",'Avalanche workings'!$AW$154,'Snowball workings'!$AW$154))</f>
      </c>
      <c r="V152" s="29">
        <f>IF(OR(147&gt;$Z$1,NOT(OR('Your debts'!$B$14&lt;&gt;"",N('Your debts'!$C$14)&gt;0))),"",IF('Your debts'!$D$20="Avalanche",'Avalanche workings'!$T$154,'Snowball workings'!$T$154)+IF('Your debts'!$D$20="Avalanche",'Avalanche workings'!$AN$154,'Snowball workings'!$AN$154))</f>
      </c>
      <c r="W152" s="30">
        <f>IF(OR(147&gt;$Z$1,NOT(OR('Your debts'!$B$14&lt;&gt;"",N('Your debts'!$C$14)&gt;0))),"",IF('Your debts'!$D$20="Avalanche",'Avalanche workings'!$AX$154,'Snowball workings'!$AX$154))</f>
      </c>
      <c r="X152" s="29">
        <f>IF(OR(147&gt;$Z$1,NOT(OR('Your debts'!$B$15&lt;&gt;"",N('Your debts'!$C$15)&gt;0))),"",IF('Your debts'!$D$20="Avalanche",'Avalanche workings'!$U$154,'Snowball workings'!$U$154)+IF('Your debts'!$D$20="Avalanche",'Avalanche workings'!$AO$154,'Snowball workings'!$AO$154))</f>
      </c>
      <c r="Y152" s="30">
        <f>IF(OR(147&gt;$Z$1,NOT(OR('Your debts'!$B$15&lt;&gt;"",N('Your debts'!$C$15)&gt;0))),"",IF('Your debts'!$D$20="Avalanche",'Avalanche workings'!$AY$154,'Snowball workings'!$AY$154))</f>
      </c>
    </row>
    <row r="153" spans="1:25" x14ac:dyDescent="0.25">
      <c r="A153" s="2">
        <f>IF(148&gt;$Z$1,"",148)</f>
      </c>
      <c r="B153" s="28">
        <f>IF(148&gt;$Z$1,"",EDATE('Your debts'!$D$21,147))</f>
      </c>
      <c r="C153" s="29">
        <f>IF(148&gt;$Z$1,"",IF('Your debts'!$D$20="Avalanche",'Avalanche workings'!$BC$155,'Snowball workings'!$BC$155))</f>
      </c>
      <c r="D153" s="29">
        <f>IF(148&gt;$Z$1,"",IF('Your debts'!$D$20="Avalanche",'Avalanche workings'!$BA$155,'Snowball workings'!$BA$155))</f>
      </c>
      <c r="E153" s="29">
        <f>IF(148&gt;$Z$1,"",IF('Your debts'!$D$20="Avalanche",'Avalanche workings'!$BB$155,'Snowball workings'!$BB$155))</f>
      </c>
      <c r="F153" s="29">
        <f>IF(OR(148&gt;$Z$1,NOT(OR('Your debts'!$B$6&lt;&gt;"",N('Your debts'!$C$6)&gt;0))),"",IF('Your debts'!$D$20="Avalanche",'Avalanche workings'!$L$155,'Snowball workings'!$L$155)+IF('Your debts'!$D$20="Avalanche",'Avalanche workings'!$AF$155,'Snowball workings'!$AF$155))</f>
      </c>
      <c r="G153" s="30">
        <f>IF(OR(148&gt;$Z$1,NOT(OR('Your debts'!$B$6&lt;&gt;"",N('Your debts'!$C$6)&gt;0))),"",IF('Your debts'!$D$20="Avalanche",'Avalanche workings'!$AP$155,'Snowball workings'!$AP$155))</f>
      </c>
      <c r="H153" s="29">
        <f>IF(OR(148&gt;$Z$1,NOT(OR('Your debts'!$B$7&lt;&gt;"",N('Your debts'!$C$7)&gt;0))),"",IF('Your debts'!$D$20="Avalanche",'Avalanche workings'!$M$155,'Snowball workings'!$M$155)+IF('Your debts'!$D$20="Avalanche",'Avalanche workings'!$AG$155,'Snowball workings'!$AG$155))</f>
      </c>
      <c r="I153" s="30">
        <f>IF(OR(148&gt;$Z$1,NOT(OR('Your debts'!$B$7&lt;&gt;"",N('Your debts'!$C$7)&gt;0))),"",IF('Your debts'!$D$20="Avalanche",'Avalanche workings'!$AQ$155,'Snowball workings'!$AQ$155))</f>
      </c>
      <c r="J153" s="29">
        <f>IF(OR(148&gt;$Z$1,NOT(OR('Your debts'!$B$8&lt;&gt;"",N('Your debts'!$C$8)&gt;0))),"",IF('Your debts'!$D$20="Avalanche",'Avalanche workings'!$N$155,'Snowball workings'!$N$155)+IF('Your debts'!$D$20="Avalanche",'Avalanche workings'!$AH$155,'Snowball workings'!$AH$155))</f>
      </c>
      <c r="K153" s="30">
        <f>IF(OR(148&gt;$Z$1,NOT(OR('Your debts'!$B$8&lt;&gt;"",N('Your debts'!$C$8)&gt;0))),"",IF('Your debts'!$D$20="Avalanche",'Avalanche workings'!$AR$155,'Snowball workings'!$AR$155))</f>
      </c>
      <c r="L153" s="29">
        <f>IF(OR(148&gt;$Z$1,NOT(OR('Your debts'!$B$9&lt;&gt;"",N('Your debts'!$C$9)&gt;0))),"",IF('Your debts'!$D$20="Avalanche",'Avalanche workings'!$O$155,'Snowball workings'!$O$155)+IF('Your debts'!$D$20="Avalanche",'Avalanche workings'!$AI$155,'Snowball workings'!$AI$155))</f>
      </c>
      <c r="M153" s="30">
        <f>IF(OR(148&gt;$Z$1,NOT(OR('Your debts'!$B$9&lt;&gt;"",N('Your debts'!$C$9)&gt;0))),"",IF('Your debts'!$D$20="Avalanche",'Avalanche workings'!$AS$155,'Snowball workings'!$AS$155))</f>
      </c>
      <c r="N153" s="29">
        <f>IF(OR(148&gt;$Z$1,NOT(OR('Your debts'!$B$10&lt;&gt;"",N('Your debts'!$C$10)&gt;0))),"",IF('Your debts'!$D$20="Avalanche",'Avalanche workings'!$P$155,'Snowball workings'!$P$155)+IF('Your debts'!$D$20="Avalanche",'Avalanche workings'!$AJ$155,'Snowball workings'!$AJ$155))</f>
      </c>
      <c r="O153" s="30">
        <f>IF(OR(148&gt;$Z$1,NOT(OR('Your debts'!$B$10&lt;&gt;"",N('Your debts'!$C$10)&gt;0))),"",IF('Your debts'!$D$20="Avalanche",'Avalanche workings'!$AT$155,'Snowball workings'!$AT$155))</f>
      </c>
      <c r="P153" s="29">
        <f>IF(OR(148&gt;$Z$1,NOT(OR('Your debts'!$B$11&lt;&gt;"",N('Your debts'!$C$11)&gt;0))),"",IF('Your debts'!$D$20="Avalanche",'Avalanche workings'!$Q$155,'Snowball workings'!$Q$155)+IF('Your debts'!$D$20="Avalanche",'Avalanche workings'!$AK$155,'Snowball workings'!$AK$155))</f>
      </c>
      <c r="Q153" s="30">
        <f>IF(OR(148&gt;$Z$1,NOT(OR('Your debts'!$B$11&lt;&gt;"",N('Your debts'!$C$11)&gt;0))),"",IF('Your debts'!$D$20="Avalanche",'Avalanche workings'!$AU$155,'Snowball workings'!$AU$155))</f>
      </c>
      <c r="R153" s="29">
        <f>IF(OR(148&gt;$Z$1,NOT(OR('Your debts'!$B$12&lt;&gt;"",N('Your debts'!$C$12)&gt;0))),"",IF('Your debts'!$D$20="Avalanche",'Avalanche workings'!$R$155,'Snowball workings'!$R$155)+IF('Your debts'!$D$20="Avalanche",'Avalanche workings'!$AL$155,'Snowball workings'!$AL$155))</f>
      </c>
      <c r="S153" s="30">
        <f>IF(OR(148&gt;$Z$1,NOT(OR('Your debts'!$B$12&lt;&gt;"",N('Your debts'!$C$12)&gt;0))),"",IF('Your debts'!$D$20="Avalanche",'Avalanche workings'!$AV$155,'Snowball workings'!$AV$155))</f>
      </c>
      <c r="T153" s="29">
        <f>IF(OR(148&gt;$Z$1,NOT(OR('Your debts'!$B$13&lt;&gt;"",N('Your debts'!$C$13)&gt;0))),"",IF('Your debts'!$D$20="Avalanche",'Avalanche workings'!$S$155,'Snowball workings'!$S$155)+IF('Your debts'!$D$20="Avalanche",'Avalanche workings'!$AM$155,'Snowball workings'!$AM$155))</f>
      </c>
      <c r="U153" s="30">
        <f>IF(OR(148&gt;$Z$1,NOT(OR('Your debts'!$B$13&lt;&gt;"",N('Your debts'!$C$13)&gt;0))),"",IF('Your debts'!$D$20="Avalanche",'Avalanche workings'!$AW$155,'Snowball workings'!$AW$155))</f>
      </c>
      <c r="V153" s="29">
        <f>IF(OR(148&gt;$Z$1,NOT(OR('Your debts'!$B$14&lt;&gt;"",N('Your debts'!$C$14)&gt;0))),"",IF('Your debts'!$D$20="Avalanche",'Avalanche workings'!$T$155,'Snowball workings'!$T$155)+IF('Your debts'!$D$20="Avalanche",'Avalanche workings'!$AN$155,'Snowball workings'!$AN$155))</f>
      </c>
      <c r="W153" s="30">
        <f>IF(OR(148&gt;$Z$1,NOT(OR('Your debts'!$B$14&lt;&gt;"",N('Your debts'!$C$14)&gt;0))),"",IF('Your debts'!$D$20="Avalanche",'Avalanche workings'!$AX$155,'Snowball workings'!$AX$155))</f>
      </c>
      <c r="X153" s="29">
        <f>IF(OR(148&gt;$Z$1,NOT(OR('Your debts'!$B$15&lt;&gt;"",N('Your debts'!$C$15)&gt;0))),"",IF('Your debts'!$D$20="Avalanche",'Avalanche workings'!$U$155,'Snowball workings'!$U$155)+IF('Your debts'!$D$20="Avalanche",'Avalanche workings'!$AO$155,'Snowball workings'!$AO$155))</f>
      </c>
      <c r="Y153" s="30">
        <f>IF(OR(148&gt;$Z$1,NOT(OR('Your debts'!$B$15&lt;&gt;"",N('Your debts'!$C$15)&gt;0))),"",IF('Your debts'!$D$20="Avalanche",'Avalanche workings'!$AY$155,'Snowball workings'!$AY$155))</f>
      </c>
    </row>
    <row r="154" spans="1:25" x14ac:dyDescent="0.25">
      <c r="A154" s="2">
        <f>IF(149&gt;$Z$1,"",149)</f>
      </c>
      <c r="B154" s="28">
        <f>IF(149&gt;$Z$1,"",EDATE('Your debts'!$D$21,148))</f>
      </c>
      <c r="C154" s="29">
        <f>IF(149&gt;$Z$1,"",IF('Your debts'!$D$20="Avalanche",'Avalanche workings'!$BC$156,'Snowball workings'!$BC$156))</f>
      </c>
      <c r="D154" s="29">
        <f>IF(149&gt;$Z$1,"",IF('Your debts'!$D$20="Avalanche",'Avalanche workings'!$BA$156,'Snowball workings'!$BA$156))</f>
      </c>
      <c r="E154" s="29">
        <f>IF(149&gt;$Z$1,"",IF('Your debts'!$D$20="Avalanche",'Avalanche workings'!$BB$156,'Snowball workings'!$BB$156))</f>
      </c>
      <c r="F154" s="29">
        <f>IF(OR(149&gt;$Z$1,NOT(OR('Your debts'!$B$6&lt;&gt;"",N('Your debts'!$C$6)&gt;0))),"",IF('Your debts'!$D$20="Avalanche",'Avalanche workings'!$L$156,'Snowball workings'!$L$156)+IF('Your debts'!$D$20="Avalanche",'Avalanche workings'!$AF$156,'Snowball workings'!$AF$156))</f>
      </c>
      <c r="G154" s="30">
        <f>IF(OR(149&gt;$Z$1,NOT(OR('Your debts'!$B$6&lt;&gt;"",N('Your debts'!$C$6)&gt;0))),"",IF('Your debts'!$D$20="Avalanche",'Avalanche workings'!$AP$156,'Snowball workings'!$AP$156))</f>
      </c>
      <c r="H154" s="29">
        <f>IF(OR(149&gt;$Z$1,NOT(OR('Your debts'!$B$7&lt;&gt;"",N('Your debts'!$C$7)&gt;0))),"",IF('Your debts'!$D$20="Avalanche",'Avalanche workings'!$M$156,'Snowball workings'!$M$156)+IF('Your debts'!$D$20="Avalanche",'Avalanche workings'!$AG$156,'Snowball workings'!$AG$156))</f>
      </c>
      <c r="I154" s="30">
        <f>IF(OR(149&gt;$Z$1,NOT(OR('Your debts'!$B$7&lt;&gt;"",N('Your debts'!$C$7)&gt;0))),"",IF('Your debts'!$D$20="Avalanche",'Avalanche workings'!$AQ$156,'Snowball workings'!$AQ$156))</f>
      </c>
      <c r="J154" s="29">
        <f>IF(OR(149&gt;$Z$1,NOT(OR('Your debts'!$B$8&lt;&gt;"",N('Your debts'!$C$8)&gt;0))),"",IF('Your debts'!$D$20="Avalanche",'Avalanche workings'!$N$156,'Snowball workings'!$N$156)+IF('Your debts'!$D$20="Avalanche",'Avalanche workings'!$AH$156,'Snowball workings'!$AH$156))</f>
      </c>
      <c r="K154" s="30">
        <f>IF(OR(149&gt;$Z$1,NOT(OR('Your debts'!$B$8&lt;&gt;"",N('Your debts'!$C$8)&gt;0))),"",IF('Your debts'!$D$20="Avalanche",'Avalanche workings'!$AR$156,'Snowball workings'!$AR$156))</f>
      </c>
      <c r="L154" s="29">
        <f>IF(OR(149&gt;$Z$1,NOT(OR('Your debts'!$B$9&lt;&gt;"",N('Your debts'!$C$9)&gt;0))),"",IF('Your debts'!$D$20="Avalanche",'Avalanche workings'!$O$156,'Snowball workings'!$O$156)+IF('Your debts'!$D$20="Avalanche",'Avalanche workings'!$AI$156,'Snowball workings'!$AI$156))</f>
      </c>
      <c r="M154" s="30">
        <f>IF(OR(149&gt;$Z$1,NOT(OR('Your debts'!$B$9&lt;&gt;"",N('Your debts'!$C$9)&gt;0))),"",IF('Your debts'!$D$20="Avalanche",'Avalanche workings'!$AS$156,'Snowball workings'!$AS$156))</f>
      </c>
      <c r="N154" s="29">
        <f>IF(OR(149&gt;$Z$1,NOT(OR('Your debts'!$B$10&lt;&gt;"",N('Your debts'!$C$10)&gt;0))),"",IF('Your debts'!$D$20="Avalanche",'Avalanche workings'!$P$156,'Snowball workings'!$P$156)+IF('Your debts'!$D$20="Avalanche",'Avalanche workings'!$AJ$156,'Snowball workings'!$AJ$156))</f>
      </c>
      <c r="O154" s="30">
        <f>IF(OR(149&gt;$Z$1,NOT(OR('Your debts'!$B$10&lt;&gt;"",N('Your debts'!$C$10)&gt;0))),"",IF('Your debts'!$D$20="Avalanche",'Avalanche workings'!$AT$156,'Snowball workings'!$AT$156))</f>
      </c>
      <c r="P154" s="29">
        <f>IF(OR(149&gt;$Z$1,NOT(OR('Your debts'!$B$11&lt;&gt;"",N('Your debts'!$C$11)&gt;0))),"",IF('Your debts'!$D$20="Avalanche",'Avalanche workings'!$Q$156,'Snowball workings'!$Q$156)+IF('Your debts'!$D$20="Avalanche",'Avalanche workings'!$AK$156,'Snowball workings'!$AK$156))</f>
      </c>
      <c r="Q154" s="30">
        <f>IF(OR(149&gt;$Z$1,NOT(OR('Your debts'!$B$11&lt;&gt;"",N('Your debts'!$C$11)&gt;0))),"",IF('Your debts'!$D$20="Avalanche",'Avalanche workings'!$AU$156,'Snowball workings'!$AU$156))</f>
      </c>
      <c r="R154" s="29">
        <f>IF(OR(149&gt;$Z$1,NOT(OR('Your debts'!$B$12&lt;&gt;"",N('Your debts'!$C$12)&gt;0))),"",IF('Your debts'!$D$20="Avalanche",'Avalanche workings'!$R$156,'Snowball workings'!$R$156)+IF('Your debts'!$D$20="Avalanche",'Avalanche workings'!$AL$156,'Snowball workings'!$AL$156))</f>
      </c>
      <c r="S154" s="30">
        <f>IF(OR(149&gt;$Z$1,NOT(OR('Your debts'!$B$12&lt;&gt;"",N('Your debts'!$C$12)&gt;0))),"",IF('Your debts'!$D$20="Avalanche",'Avalanche workings'!$AV$156,'Snowball workings'!$AV$156))</f>
      </c>
      <c r="T154" s="29">
        <f>IF(OR(149&gt;$Z$1,NOT(OR('Your debts'!$B$13&lt;&gt;"",N('Your debts'!$C$13)&gt;0))),"",IF('Your debts'!$D$20="Avalanche",'Avalanche workings'!$S$156,'Snowball workings'!$S$156)+IF('Your debts'!$D$20="Avalanche",'Avalanche workings'!$AM$156,'Snowball workings'!$AM$156))</f>
      </c>
      <c r="U154" s="30">
        <f>IF(OR(149&gt;$Z$1,NOT(OR('Your debts'!$B$13&lt;&gt;"",N('Your debts'!$C$13)&gt;0))),"",IF('Your debts'!$D$20="Avalanche",'Avalanche workings'!$AW$156,'Snowball workings'!$AW$156))</f>
      </c>
      <c r="V154" s="29">
        <f>IF(OR(149&gt;$Z$1,NOT(OR('Your debts'!$B$14&lt;&gt;"",N('Your debts'!$C$14)&gt;0))),"",IF('Your debts'!$D$20="Avalanche",'Avalanche workings'!$T$156,'Snowball workings'!$T$156)+IF('Your debts'!$D$20="Avalanche",'Avalanche workings'!$AN$156,'Snowball workings'!$AN$156))</f>
      </c>
      <c r="W154" s="30">
        <f>IF(OR(149&gt;$Z$1,NOT(OR('Your debts'!$B$14&lt;&gt;"",N('Your debts'!$C$14)&gt;0))),"",IF('Your debts'!$D$20="Avalanche",'Avalanche workings'!$AX$156,'Snowball workings'!$AX$156))</f>
      </c>
      <c r="X154" s="29">
        <f>IF(OR(149&gt;$Z$1,NOT(OR('Your debts'!$B$15&lt;&gt;"",N('Your debts'!$C$15)&gt;0))),"",IF('Your debts'!$D$20="Avalanche",'Avalanche workings'!$U$156,'Snowball workings'!$U$156)+IF('Your debts'!$D$20="Avalanche",'Avalanche workings'!$AO$156,'Snowball workings'!$AO$156))</f>
      </c>
      <c r="Y154" s="30">
        <f>IF(OR(149&gt;$Z$1,NOT(OR('Your debts'!$B$15&lt;&gt;"",N('Your debts'!$C$15)&gt;0))),"",IF('Your debts'!$D$20="Avalanche",'Avalanche workings'!$AY$156,'Snowball workings'!$AY$156))</f>
      </c>
    </row>
    <row r="155" spans="1:25" x14ac:dyDescent="0.25">
      <c r="A155" s="2">
        <f>IF(150&gt;$Z$1,"",150)</f>
      </c>
      <c r="B155" s="28">
        <f>IF(150&gt;$Z$1,"",EDATE('Your debts'!$D$21,149))</f>
      </c>
      <c r="C155" s="29">
        <f>IF(150&gt;$Z$1,"",IF('Your debts'!$D$20="Avalanche",'Avalanche workings'!$BC$157,'Snowball workings'!$BC$157))</f>
      </c>
      <c r="D155" s="29">
        <f>IF(150&gt;$Z$1,"",IF('Your debts'!$D$20="Avalanche",'Avalanche workings'!$BA$157,'Snowball workings'!$BA$157))</f>
      </c>
      <c r="E155" s="29">
        <f>IF(150&gt;$Z$1,"",IF('Your debts'!$D$20="Avalanche",'Avalanche workings'!$BB$157,'Snowball workings'!$BB$157))</f>
      </c>
      <c r="F155" s="29">
        <f>IF(OR(150&gt;$Z$1,NOT(OR('Your debts'!$B$6&lt;&gt;"",N('Your debts'!$C$6)&gt;0))),"",IF('Your debts'!$D$20="Avalanche",'Avalanche workings'!$L$157,'Snowball workings'!$L$157)+IF('Your debts'!$D$20="Avalanche",'Avalanche workings'!$AF$157,'Snowball workings'!$AF$157))</f>
      </c>
      <c r="G155" s="30">
        <f>IF(OR(150&gt;$Z$1,NOT(OR('Your debts'!$B$6&lt;&gt;"",N('Your debts'!$C$6)&gt;0))),"",IF('Your debts'!$D$20="Avalanche",'Avalanche workings'!$AP$157,'Snowball workings'!$AP$157))</f>
      </c>
      <c r="H155" s="29">
        <f>IF(OR(150&gt;$Z$1,NOT(OR('Your debts'!$B$7&lt;&gt;"",N('Your debts'!$C$7)&gt;0))),"",IF('Your debts'!$D$20="Avalanche",'Avalanche workings'!$M$157,'Snowball workings'!$M$157)+IF('Your debts'!$D$20="Avalanche",'Avalanche workings'!$AG$157,'Snowball workings'!$AG$157))</f>
      </c>
      <c r="I155" s="30">
        <f>IF(OR(150&gt;$Z$1,NOT(OR('Your debts'!$B$7&lt;&gt;"",N('Your debts'!$C$7)&gt;0))),"",IF('Your debts'!$D$20="Avalanche",'Avalanche workings'!$AQ$157,'Snowball workings'!$AQ$157))</f>
      </c>
      <c r="J155" s="29">
        <f>IF(OR(150&gt;$Z$1,NOT(OR('Your debts'!$B$8&lt;&gt;"",N('Your debts'!$C$8)&gt;0))),"",IF('Your debts'!$D$20="Avalanche",'Avalanche workings'!$N$157,'Snowball workings'!$N$157)+IF('Your debts'!$D$20="Avalanche",'Avalanche workings'!$AH$157,'Snowball workings'!$AH$157))</f>
      </c>
      <c r="K155" s="30">
        <f>IF(OR(150&gt;$Z$1,NOT(OR('Your debts'!$B$8&lt;&gt;"",N('Your debts'!$C$8)&gt;0))),"",IF('Your debts'!$D$20="Avalanche",'Avalanche workings'!$AR$157,'Snowball workings'!$AR$157))</f>
      </c>
      <c r="L155" s="29">
        <f>IF(OR(150&gt;$Z$1,NOT(OR('Your debts'!$B$9&lt;&gt;"",N('Your debts'!$C$9)&gt;0))),"",IF('Your debts'!$D$20="Avalanche",'Avalanche workings'!$O$157,'Snowball workings'!$O$157)+IF('Your debts'!$D$20="Avalanche",'Avalanche workings'!$AI$157,'Snowball workings'!$AI$157))</f>
      </c>
      <c r="M155" s="30">
        <f>IF(OR(150&gt;$Z$1,NOT(OR('Your debts'!$B$9&lt;&gt;"",N('Your debts'!$C$9)&gt;0))),"",IF('Your debts'!$D$20="Avalanche",'Avalanche workings'!$AS$157,'Snowball workings'!$AS$157))</f>
      </c>
      <c r="N155" s="29">
        <f>IF(OR(150&gt;$Z$1,NOT(OR('Your debts'!$B$10&lt;&gt;"",N('Your debts'!$C$10)&gt;0))),"",IF('Your debts'!$D$20="Avalanche",'Avalanche workings'!$P$157,'Snowball workings'!$P$157)+IF('Your debts'!$D$20="Avalanche",'Avalanche workings'!$AJ$157,'Snowball workings'!$AJ$157))</f>
      </c>
      <c r="O155" s="30">
        <f>IF(OR(150&gt;$Z$1,NOT(OR('Your debts'!$B$10&lt;&gt;"",N('Your debts'!$C$10)&gt;0))),"",IF('Your debts'!$D$20="Avalanche",'Avalanche workings'!$AT$157,'Snowball workings'!$AT$157))</f>
      </c>
      <c r="P155" s="29">
        <f>IF(OR(150&gt;$Z$1,NOT(OR('Your debts'!$B$11&lt;&gt;"",N('Your debts'!$C$11)&gt;0))),"",IF('Your debts'!$D$20="Avalanche",'Avalanche workings'!$Q$157,'Snowball workings'!$Q$157)+IF('Your debts'!$D$20="Avalanche",'Avalanche workings'!$AK$157,'Snowball workings'!$AK$157))</f>
      </c>
      <c r="Q155" s="30">
        <f>IF(OR(150&gt;$Z$1,NOT(OR('Your debts'!$B$11&lt;&gt;"",N('Your debts'!$C$11)&gt;0))),"",IF('Your debts'!$D$20="Avalanche",'Avalanche workings'!$AU$157,'Snowball workings'!$AU$157))</f>
      </c>
      <c r="R155" s="29">
        <f>IF(OR(150&gt;$Z$1,NOT(OR('Your debts'!$B$12&lt;&gt;"",N('Your debts'!$C$12)&gt;0))),"",IF('Your debts'!$D$20="Avalanche",'Avalanche workings'!$R$157,'Snowball workings'!$R$157)+IF('Your debts'!$D$20="Avalanche",'Avalanche workings'!$AL$157,'Snowball workings'!$AL$157))</f>
      </c>
      <c r="S155" s="30">
        <f>IF(OR(150&gt;$Z$1,NOT(OR('Your debts'!$B$12&lt;&gt;"",N('Your debts'!$C$12)&gt;0))),"",IF('Your debts'!$D$20="Avalanche",'Avalanche workings'!$AV$157,'Snowball workings'!$AV$157))</f>
      </c>
      <c r="T155" s="29">
        <f>IF(OR(150&gt;$Z$1,NOT(OR('Your debts'!$B$13&lt;&gt;"",N('Your debts'!$C$13)&gt;0))),"",IF('Your debts'!$D$20="Avalanche",'Avalanche workings'!$S$157,'Snowball workings'!$S$157)+IF('Your debts'!$D$20="Avalanche",'Avalanche workings'!$AM$157,'Snowball workings'!$AM$157))</f>
      </c>
      <c r="U155" s="30">
        <f>IF(OR(150&gt;$Z$1,NOT(OR('Your debts'!$B$13&lt;&gt;"",N('Your debts'!$C$13)&gt;0))),"",IF('Your debts'!$D$20="Avalanche",'Avalanche workings'!$AW$157,'Snowball workings'!$AW$157))</f>
      </c>
      <c r="V155" s="29">
        <f>IF(OR(150&gt;$Z$1,NOT(OR('Your debts'!$B$14&lt;&gt;"",N('Your debts'!$C$14)&gt;0))),"",IF('Your debts'!$D$20="Avalanche",'Avalanche workings'!$T$157,'Snowball workings'!$T$157)+IF('Your debts'!$D$20="Avalanche",'Avalanche workings'!$AN$157,'Snowball workings'!$AN$157))</f>
      </c>
      <c r="W155" s="30">
        <f>IF(OR(150&gt;$Z$1,NOT(OR('Your debts'!$B$14&lt;&gt;"",N('Your debts'!$C$14)&gt;0))),"",IF('Your debts'!$D$20="Avalanche",'Avalanche workings'!$AX$157,'Snowball workings'!$AX$157))</f>
      </c>
      <c r="X155" s="29">
        <f>IF(OR(150&gt;$Z$1,NOT(OR('Your debts'!$B$15&lt;&gt;"",N('Your debts'!$C$15)&gt;0))),"",IF('Your debts'!$D$20="Avalanche",'Avalanche workings'!$U$157,'Snowball workings'!$U$157)+IF('Your debts'!$D$20="Avalanche",'Avalanche workings'!$AO$157,'Snowball workings'!$AO$157))</f>
      </c>
      <c r="Y155" s="30">
        <f>IF(OR(150&gt;$Z$1,NOT(OR('Your debts'!$B$15&lt;&gt;"",N('Your debts'!$C$15)&gt;0))),"",IF('Your debts'!$D$20="Avalanche",'Avalanche workings'!$AY$157,'Snowball workings'!$AY$157))</f>
      </c>
    </row>
    <row r="156" spans="1:25" x14ac:dyDescent="0.25">
      <c r="A156" s="2">
        <f>IF(151&gt;$Z$1,"",151)</f>
      </c>
      <c r="B156" s="28">
        <f>IF(151&gt;$Z$1,"",EDATE('Your debts'!$D$21,150))</f>
      </c>
      <c r="C156" s="29">
        <f>IF(151&gt;$Z$1,"",IF('Your debts'!$D$20="Avalanche",'Avalanche workings'!$BC$158,'Snowball workings'!$BC$158))</f>
      </c>
      <c r="D156" s="29">
        <f>IF(151&gt;$Z$1,"",IF('Your debts'!$D$20="Avalanche",'Avalanche workings'!$BA$158,'Snowball workings'!$BA$158))</f>
      </c>
      <c r="E156" s="29">
        <f>IF(151&gt;$Z$1,"",IF('Your debts'!$D$20="Avalanche",'Avalanche workings'!$BB$158,'Snowball workings'!$BB$158))</f>
      </c>
      <c r="F156" s="29">
        <f>IF(OR(151&gt;$Z$1,NOT(OR('Your debts'!$B$6&lt;&gt;"",N('Your debts'!$C$6)&gt;0))),"",IF('Your debts'!$D$20="Avalanche",'Avalanche workings'!$L$158,'Snowball workings'!$L$158)+IF('Your debts'!$D$20="Avalanche",'Avalanche workings'!$AF$158,'Snowball workings'!$AF$158))</f>
      </c>
      <c r="G156" s="30">
        <f>IF(OR(151&gt;$Z$1,NOT(OR('Your debts'!$B$6&lt;&gt;"",N('Your debts'!$C$6)&gt;0))),"",IF('Your debts'!$D$20="Avalanche",'Avalanche workings'!$AP$158,'Snowball workings'!$AP$158))</f>
      </c>
      <c r="H156" s="29">
        <f>IF(OR(151&gt;$Z$1,NOT(OR('Your debts'!$B$7&lt;&gt;"",N('Your debts'!$C$7)&gt;0))),"",IF('Your debts'!$D$20="Avalanche",'Avalanche workings'!$M$158,'Snowball workings'!$M$158)+IF('Your debts'!$D$20="Avalanche",'Avalanche workings'!$AG$158,'Snowball workings'!$AG$158))</f>
      </c>
      <c r="I156" s="30">
        <f>IF(OR(151&gt;$Z$1,NOT(OR('Your debts'!$B$7&lt;&gt;"",N('Your debts'!$C$7)&gt;0))),"",IF('Your debts'!$D$20="Avalanche",'Avalanche workings'!$AQ$158,'Snowball workings'!$AQ$158))</f>
      </c>
      <c r="J156" s="29">
        <f>IF(OR(151&gt;$Z$1,NOT(OR('Your debts'!$B$8&lt;&gt;"",N('Your debts'!$C$8)&gt;0))),"",IF('Your debts'!$D$20="Avalanche",'Avalanche workings'!$N$158,'Snowball workings'!$N$158)+IF('Your debts'!$D$20="Avalanche",'Avalanche workings'!$AH$158,'Snowball workings'!$AH$158))</f>
      </c>
      <c r="K156" s="30">
        <f>IF(OR(151&gt;$Z$1,NOT(OR('Your debts'!$B$8&lt;&gt;"",N('Your debts'!$C$8)&gt;0))),"",IF('Your debts'!$D$20="Avalanche",'Avalanche workings'!$AR$158,'Snowball workings'!$AR$158))</f>
      </c>
      <c r="L156" s="29">
        <f>IF(OR(151&gt;$Z$1,NOT(OR('Your debts'!$B$9&lt;&gt;"",N('Your debts'!$C$9)&gt;0))),"",IF('Your debts'!$D$20="Avalanche",'Avalanche workings'!$O$158,'Snowball workings'!$O$158)+IF('Your debts'!$D$20="Avalanche",'Avalanche workings'!$AI$158,'Snowball workings'!$AI$158))</f>
      </c>
      <c r="M156" s="30">
        <f>IF(OR(151&gt;$Z$1,NOT(OR('Your debts'!$B$9&lt;&gt;"",N('Your debts'!$C$9)&gt;0))),"",IF('Your debts'!$D$20="Avalanche",'Avalanche workings'!$AS$158,'Snowball workings'!$AS$158))</f>
      </c>
      <c r="N156" s="29">
        <f>IF(OR(151&gt;$Z$1,NOT(OR('Your debts'!$B$10&lt;&gt;"",N('Your debts'!$C$10)&gt;0))),"",IF('Your debts'!$D$20="Avalanche",'Avalanche workings'!$P$158,'Snowball workings'!$P$158)+IF('Your debts'!$D$20="Avalanche",'Avalanche workings'!$AJ$158,'Snowball workings'!$AJ$158))</f>
      </c>
      <c r="O156" s="30">
        <f>IF(OR(151&gt;$Z$1,NOT(OR('Your debts'!$B$10&lt;&gt;"",N('Your debts'!$C$10)&gt;0))),"",IF('Your debts'!$D$20="Avalanche",'Avalanche workings'!$AT$158,'Snowball workings'!$AT$158))</f>
      </c>
      <c r="P156" s="29">
        <f>IF(OR(151&gt;$Z$1,NOT(OR('Your debts'!$B$11&lt;&gt;"",N('Your debts'!$C$11)&gt;0))),"",IF('Your debts'!$D$20="Avalanche",'Avalanche workings'!$Q$158,'Snowball workings'!$Q$158)+IF('Your debts'!$D$20="Avalanche",'Avalanche workings'!$AK$158,'Snowball workings'!$AK$158))</f>
      </c>
      <c r="Q156" s="30">
        <f>IF(OR(151&gt;$Z$1,NOT(OR('Your debts'!$B$11&lt;&gt;"",N('Your debts'!$C$11)&gt;0))),"",IF('Your debts'!$D$20="Avalanche",'Avalanche workings'!$AU$158,'Snowball workings'!$AU$158))</f>
      </c>
      <c r="R156" s="29">
        <f>IF(OR(151&gt;$Z$1,NOT(OR('Your debts'!$B$12&lt;&gt;"",N('Your debts'!$C$12)&gt;0))),"",IF('Your debts'!$D$20="Avalanche",'Avalanche workings'!$R$158,'Snowball workings'!$R$158)+IF('Your debts'!$D$20="Avalanche",'Avalanche workings'!$AL$158,'Snowball workings'!$AL$158))</f>
      </c>
      <c r="S156" s="30">
        <f>IF(OR(151&gt;$Z$1,NOT(OR('Your debts'!$B$12&lt;&gt;"",N('Your debts'!$C$12)&gt;0))),"",IF('Your debts'!$D$20="Avalanche",'Avalanche workings'!$AV$158,'Snowball workings'!$AV$158))</f>
      </c>
      <c r="T156" s="29">
        <f>IF(OR(151&gt;$Z$1,NOT(OR('Your debts'!$B$13&lt;&gt;"",N('Your debts'!$C$13)&gt;0))),"",IF('Your debts'!$D$20="Avalanche",'Avalanche workings'!$S$158,'Snowball workings'!$S$158)+IF('Your debts'!$D$20="Avalanche",'Avalanche workings'!$AM$158,'Snowball workings'!$AM$158))</f>
      </c>
      <c r="U156" s="30">
        <f>IF(OR(151&gt;$Z$1,NOT(OR('Your debts'!$B$13&lt;&gt;"",N('Your debts'!$C$13)&gt;0))),"",IF('Your debts'!$D$20="Avalanche",'Avalanche workings'!$AW$158,'Snowball workings'!$AW$158))</f>
      </c>
      <c r="V156" s="29">
        <f>IF(OR(151&gt;$Z$1,NOT(OR('Your debts'!$B$14&lt;&gt;"",N('Your debts'!$C$14)&gt;0))),"",IF('Your debts'!$D$20="Avalanche",'Avalanche workings'!$T$158,'Snowball workings'!$T$158)+IF('Your debts'!$D$20="Avalanche",'Avalanche workings'!$AN$158,'Snowball workings'!$AN$158))</f>
      </c>
      <c r="W156" s="30">
        <f>IF(OR(151&gt;$Z$1,NOT(OR('Your debts'!$B$14&lt;&gt;"",N('Your debts'!$C$14)&gt;0))),"",IF('Your debts'!$D$20="Avalanche",'Avalanche workings'!$AX$158,'Snowball workings'!$AX$158))</f>
      </c>
      <c r="X156" s="29">
        <f>IF(OR(151&gt;$Z$1,NOT(OR('Your debts'!$B$15&lt;&gt;"",N('Your debts'!$C$15)&gt;0))),"",IF('Your debts'!$D$20="Avalanche",'Avalanche workings'!$U$158,'Snowball workings'!$U$158)+IF('Your debts'!$D$20="Avalanche",'Avalanche workings'!$AO$158,'Snowball workings'!$AO$158))</f>
      </c>
      <c r="Y156" s="30">
        <f>IF(OR(151&gt;$Z$1,NOT(OR('Your debts'!$B$15&lt;&gt;"",N('Your debts'!$C$15)&gt;0))),"",IF('Your debts'!$D$20="Avalanche",'Avalanche workings'!$AY$158,'Snowball workings'!$AY$158))</f>
      </c>
    </row>
    <row r="157" spans="1:25" x14ac:dyDescent="0.25">
      <c r="A157" s="2">
        <f>IF(152&gt;$Z$1,"",152)</f>
      </c>
      <c r="B157" s="28">
        <f>IF(152&gt;$Z$1,"",EDATE('Your debts'!$D$21,151))</f>
      </c>
      <c r="C157" s="29">
        <f>IF(152&gt;$Z$1,"",IF('Your debts'!$D$20="Avalanche",'Avalanche workings'!$BC$159,'Snowball workings'!$BC$159))</f>
      </c>
      <c r="D157" s="29">
        <f>IF(152&gt;$Z$1,"",IF('Your debts'!$D$20="Avalanche",'Avalanche workings'!$BA$159,'Snowball workings'!$BA$159))</f>
      </c>
      <c r="E157" s="29">
        <f>IF(152&gt;$Z$1,"",IF('Your debts'!$D$20="Avalanche",'Avalanche workings'!$BB$159,'Snowball workings'!$BB$159))</f>
      </c>
      <c r="F157" s="29">
        <f>IF(OR(152&gt;$Z$1,NOT(OR('Your debts'!$B$6&lt;&gt;"",N('Your debts'!$C$6)&gt;0))),"",IF('Your debts'!$D$20="Avalanche",'Avalanche workings'!$L$159,'Snowball workings'!$L$159)+IF('Your debts'!$D$20="Avalanche",'Avalanche workings'!$AF$159,'Snowball workings'!$AF$159))</f>
      </c>
      <c r="G157" s="30">
        <f>IF(OR(152&gt;$Z$1,NOT(OR('Your debts'!$B$6&lt;&gt;"",N('Your debts'!$C$6)&gt;0))),"",IF('Your debts'!$D$20="Avalanche",'Avalanche workings'!$AP$159,'Snowball workings'!$AP$159))</f>
      </c>
      <c r="H157" s="29">
        <f>IF(OR(152&gt;$Z$1,NOT(OR('Your debts'!$B$7&lt;&gt;"",N('Your debts'!$C$7)&gt;0))),"",IF('Your debts'!$D$20="Avalanche",'Avalanche workings'!$M$159,'Snowball workings'!$M$159)+IF('Your debts'!$D$20="Avalanche",'Avalanche workings'!$AG$159,'Snowball workings'!$AG$159))</f>
      </c>
      <c r="I157" s="30">
        <f>IF(OR(152&gt;$Z$1,NOT(OR('Your debts'!$B$7&lt;&gt;"",N('Your debts'!$C$7)&gt;0))),"",IF('Your debts'!$D$20="Avalanche",'Avalanche workings'!$AQ$159,'Snowball workings'!$AQ$159))</f>
      </c>
      <c r="J157" s="29">
        <f>IF(OR(152&gt;$Z$1,NOT(OR('Your debts'!$B$8&lt;&gt;"",N('Your debts'!$C$8)&gt;0))),"",IF('Your debts'!$D$20="Avalanche",'Avalanche workings'!$N$159,'Snowball workings'!$N$159)+IF('Your debts'!$D$20="Avalanche",'Avalanche workings'!$AH$159,'Snowball workings'!$AH$159))</f>
      </c>
      <c r="K157" s="30">
        <f>IF(OR(152&gt;$Z$1,NOT(OR('Your debts'!$B$8&lt;&gt;"",N('Your debts'!$C$8)&gt;0))),"",IF('Your debts'!$D$20="Avalanche",'Avalanche workings'!$AR$159,'Snowball workings'!$AR$159))</f>
      </c>
      <c r="L157" s="29">
        <f>IF(OR(152&gt;$Z$1,NOT(OR('Your debts'!$B$9&lt;&gt;"",N('Your debts'!$C$9)&gt;0))),"",IF('Your debts'!$D$20="Avalanche",'Avalanche workings'!$O$159,'Snowball workings'!$O$159)+IF('Your debts'!$D$20="Avalanche",'Avalanche workings'!$AI$159,'Snowball workings'!$AI$159))</f>
      </c>
      <c r="M157" s="30">
        <f>IF(OR(152&gt;$Z$1,NOT(OR('Your debts'!$B$9&lt;&gt;"",N('Your debts'!$C$9)&gt;0))),"",IF('Your debts'!$D$20="Avalanche",'Avalanche workings'!$AS$159,'Snowball workings'!$AS$159))</f>
      </c>
      <c r="N157" s="29">
        <f>IF(OR(152&gt;$Z$1,NOT(OR('Your debts'!$B$10&lt;&gt;"",N('Your debts'!$C$10)&gt;0))),"",IF('Your debts'!$D$20="Avalanche",'Avalanche workings'!$P$159,'Snowball workings'!$P$159)+IF('Your debts'!$D$20="Avalanche",'Avalanche workings'!$AJ$159,'Snowball workings'!$AJ$159))</f>
      </c>
      <c r="O157" s="30">
        <f>IF(OR(152&gt;$Z$1,NOT(OR('Your debts'!$B$10&lt;&gt;"",N('Your debts'!$C$10)&gt;0))),"",IF('Your debts'!$D$20="Avalanche",'Avalanche workings'!$AT$159,'Snowball workings'!$AT$159))</f>
      </c>
      <c r="P157" s="29">
        <f>IF(OR(152&gt;$Z$1,NOT(OR('Your debts'!$B$11&lt;&gt;"",N('Your debts'!$C$11)&gt;0))),"",IF('Your debts'!$D$20="Avalanche",'Avalanche workings'!$Q$159,'Snowball workings'!$Q$159)+IF('Your debts'!$D$20="Avalanche",'Avalanche workings'!$AK$159,'Snowball workings'!$AK$159))</f>
      </c>
      <c r="Q157" s="30">
        <f>IF(OR(152&gt;$Z$1,NOT(OR('Your debts'!$B$11&lt;&gt;"",N('Your debts'!$C$11)&gt;0))),"",IF('Your debts'!$D$20="Avalanche",'Avalanche workings'!$AU$159,'Snowball workings'!$AU$159))</f>
      </c>
      <c r="R157" s="29">
        <f>IF(OR(152&gt;$Z$1,NOT(OR('Your debts'!$B$12&lt;&gt;"",N('Your debts'!$C$12)&gt;0))),"",IF('Your debts'!$D$20="Avalanche",'Avalanche workings'!$R$159,'Snowball workings'!$R$159)+IF('Your debts'!$D$20="Avalanche",'Avalanche workings'!$AL$159,'Snowball workings'!$AL$159))</f>
      </c>
      <c r="S157" s="30">
        <f>IF(OR(152&gt;$Z$1,NOT(OR('Your debts'!$B$12&lt;&gt;"",N('Your debts'!$C$12)&gt;0))),"",IF('Your debts'!$D$20="Avalanche",'Avalanche workings'!$AV$159,'Snowball workings'!$AV$159))</f>
      </c>
      <c r="T157" s="29">
        <f>IF(OR(152&gt;$Z$1,NOT(OR('Your debts'!$B$13&lt;&gt;"",N('Your debts'!$C$13)&gt;0))),"",IF('Your debts'!$D$20="Avalanche",'Avalanche workings'!$S$159,'Snowball workings'!$S$159)+IF('Your debts'!$D$20="Avalanche",'Avalanche workings'!$AM$159,'Snowball workings'!$AM$159))</f>
      </c>
      <c r="U157" s="30">
        <f>IF(OR(152&gt;$Z$1,NOT(OR('Your debts'!$B$13&lt;&gt;"",N('Your debts'!$C$13)&gt;0))),"",IF('Your debts'!$D$20="Avalanche",'Avalanche workings'!$AW$159,'Snowball workings'!$AW$159))</f>
      </c>
      <c r="V157" s="29">
        <f>IF(OR(152&gt;$Z$1,NOT(OR('Your debts'!$B$14&lt;&gt;"",N('Your debts'!$C$14)&gt;0))),"",IF('Your debts'!$D$20="Avalanche",'Avalanche workings'!$T$159,'Snowball workings'!$T$159)+IF('Your debts'!$D$20="Avalanche",'Avalanche workings'!$AN$159,'Snowball workings'!$AN$159))</f>
      </c>
      <c r="W157" s="30">
        <f>IF(OR(152&gt;$Z$1,NOT(OR('Your debts'!$B$14&lt;&gt;"",N('Your debts'!$C$14)&gt;0))),"",IF('Your debts'!$D$20="Avalanche",'Avalanche workings'!$AX$159,'Snowball workings'!$AX$159))</f>
      </c>
      <c r="X157" s="29">
        <f>IF(OR(152&gt;$Z$1,NOT(OR('Your debts'!$B$15&lt;&gt;"",N('Your debts'!$C$15)&gt;0))),"",IF('Your debts'!$D$20="Avalanche",'Avalanche workings'!$U$159,'Snowball workings'!$U$159)+IF('Your debts'!$D$20="Avalanche",'Avalanche workings'!$AO$159,'Snowball workings'!$AO$159))</f>
      </c>
      <c r="Y157" s="30">
        <f>IF(OR(152&gt;$Z$1,NOT(OR('Your debts'!$B$15&lt;&gt;"",N('Your debts'!$C$15)&gt;0))),"",IF('Your debts'!$D$20="Avalanche",'Avalanche workings'!$AY$159,'Snowball workings'!$AY$159))</f>
      </c>
    </row>
    <row r="158" spans="1:25" x14ac:dyDescent="0.25">
      <c r="A158" s="2">
        <f>IF(153&gt;$Z$1,"",153)</f>
      </c>
      <c r="B158" s="28">
        <f>IF(153&gt;$Z$1,"",EDATE('Your debts'!$D$21,152))</f>
      </c>
      <c r="C158" s="29">
        <f>IF(153&gt;$Z$1,"",IF('Your debts'!$D$20="Avalanche",'Avalanche workings'!$BC$160,'Snowball workings'!$BC$160))</f>
      </c>
      <c r="D158" s="29">
        <f>IF(153&gt;$Z$1,"",IF('Your debts'!$D$20="Avalanche",'Avalanche workings'!$BA$160,'Snowball workings'!$BA$160))</f>
      </c>
      <c r="E158" s="29">
        <f>IF(153&gt;$Z$1,"",IF('Your debts'!$D$20="Avalanche",'Avalanche workings'!$BB$160,'Snowball workings'!$BB$160))</f>
      </c>
      <c r="F158" s="29">
        <f>IF(OR(153&gt;$Z$1,NOT(OR('Your debts'!$B$6&lt;&gt;"",N('Your debts'!$C$6)&gt;0))),"",IF('Your debts'!$D$20="Avalanche",'Avalanche workings'!$L$160,'Snowball workings'!$L$160)+IF('Your debts'!$D$20="Avalanche",'Avalanche workings'!$AF$160,'Snowball workings'!$AF$160))</f>
      </c>
      <c r="G158" s="30">
        <f>IF(OR(153&gt;$Z$1,NOT(OR('Your debts'!$B$6&lt;&gt;"",N('Your debts'!$C$6)&gt;0))),"",IF('Your debts'!$D$20="Avalanche",'Avalanche workings'!$AP$160,'Snowball workings'!$AP$160))</f>
      </c>
      <c r="H158" s="29">
        <f>IF(OR(153&gt;$Z$1,NOT(OR('Your debts'!$B$7&lt;&gt;"",N('Your debts'!$C$7)&gt;0))),"",IF('Your debts'!$D$20="Avalanche",'Avalanche workings'!$M$160,'Snowball workings'!$M$160)+IF('Your debts'!$D$20="Avalanche",'Avalanche workings'!$AG$160,'Snowball workings'!$AG$160))</f>
      </c>
      <c r="I158" s="30">
        <f>IF(OR(153&gt;$Z$1,NOT(OR('Your debts'!$B$7&lt;&gt;"",N('Your debts'!$C$7)&gt;0))),"",IF('Your debts'!$D$20="Avalanche",'Avalanche workings'!$AQ$160,'Snowball workings'!$AQ$160))</f>
      </c>
      <c r="J158" s="29">
        <f>IF(OR(153&gt;$Z$1,NOT(OR('Your debts'!$B$8&lt;&gt;"",N('Your debts'!$C$8)&gt;0))),"",IF('Your debts'!$D$20="Avalanche",'Avalanche workings'!$N$160,'Snowball workings'!$N$160)+IF('Your debts'!$D$20="Avalanche",'Avalanche workings'!$AH$160,'Snowball workings'!$AH$160))</f>
      </c>
      <c r="K158" s="30">
        <f>IF(OR(153&gt;$Z$1,NOT(OR('Your debts'!$B$8&lt;&gt;"",N('Your debts'!$C$8)&gt;0))),"",IF('Your debts'!$D$20="Avalanche",'Avalanche workings'!$AR$160,'Snowball workings'!$AR$160))</f>
      </c>
      <c r="L158" s="29">
        <f>IF(OR(153&gt;$Z$1,NOT(OR('Your debts'!$B$9&lt;&gt;"",N('Your debts'!$C$9)&gt;0))),"",IF('Your debts'!$D$20="Avalanche",'Avalanche workings'!$O$160,'Snowball workings'!$O$160)+IF('Your debts'!$D$20="Avalanche",'Avalanche workings'!$AI$160,'Snowball workings'!$AI$160))</f>
      </c>
      <c r="M158" s="30">
        <f>IF(OR(153&gt;$Z$1,NOT(OR('Your debts'!$B$9&lt;&gt;"",N('Your debts'!$C$9)&gt;0))),"",IF('Your debts'!$D$20="Avalanche",'Avalanche workings'!$AS$160,'Snowball workings'!$AS$160))</f>
      </c>
      <c r="N158" s="29">
        <f>IF(OR(153&gt;$Z$1,NOT(OR('Your debts'!$B$10&lt;&gt;"",N('Your debts'!$C$10)&gt;0))),"",IF('Your debts'!$D$20="Avalanche",'Avalanche workings'!$P$160,'Snowball workings'!$P$160)+IF('Your debts'!$D$20="Avalanche",'Avalanche workings'!$AJ$160,'Snowball workings'!$AJ$160))</f>
      </c>
      <c r="O158" s="30">
        <f>IF(OR(153&gt;$Z$1,NOT(OR('Your debts'!$B$10&lt;&gt;"",N('Your debts'!$C$10)&gt;0))),"",IF('Your debts'!$D$20="Avalanche",'Avalanche workings'!$AT$160,'Snowball workings'!$AT$160))</f>
      </c>
      <c r="P158" s="29">
        <f>IF(OR(153&gt;$Z$1,NOT(OR('Your debts'!$B$11&lt;&gt;"",N('Your debts'!$C$11)&gt;0))),"",IF('Your debts'!$D$20="Avalanche",'Avalanche workings'!$Q$160,'Snowball workings'!$Q$160)+IF('Your debts'!$D$20="Avalanche",'Avalanche workings'!$AK$160,'Snowball workings'!$AK$160))</f>
      </c>
      <c r="Q158" s="30">
        <f>IF(OR(153&gt;$Z$1,NOT(OR('Your debts'!$B$11&lt;&gt;"",N('Your debts'!$C$11)&gt;0))),"",IF('Your debts'!$D$20="Avalanche",'Avalanche workings'!$AU$160,'Snowball workings'!$AU$160))</f>
      </c>
      <c r="R158" s="29">
        <f>IF(OR(153&gt;$Z$1,NOT(OR('Your debts'!$B$12&lt;&gt;"",N('Your debts'!$C$12)&gt;0))),"",IF('Your debts'!$D$20="Avalanche",'Avalanche workings'!$R$160,'Snowball workings'!$R$160)+IF('Your debts'!$D$20="Avalanche",'Avalanche workings'!$AL$160,'Snowball workings'!$AL$160))</f>
      </c>
      <c r="S158" s="30">
        <f>IF(OR(153&gt;$Z$1,NOT(OR('Your debts'!$B$12&lt;&gt;"",N('Your debts'!$C$12)&gt;0))),"",IF('Your debts'!$D$20="Avalanche",'Avalanche workings'!$AV$160,'Snowball workings'!$AV$160))</f>
      </c>
      <c r="T158" s="29">
        <f>IF(OR(153&gt;$Z$1,NOT(OR('Your debts'!$B$13&lt;&gt;"",N('Your debts'!$C$13)&gt;0))),"",IF('Your debts'!$D$20="Avalanche",'Avalanche workings'!$S$160,'Snowball workings'!$S$160)+IF('Your debts'!$D$20="Avalanche",'Avalanche workings'!$AM$160,'Snowball workings'!$AM$160))</f>
      </c>
      <c r="U158" s="30">
        <f>IF(OR(153&gt;$Z$1,NOT(OR('Your debts'!$B$13&lt;&gt;"",N('Your debts'!$C$13)&gt;0))),"",IF('Your debts'!$D$20="Avalanche",'Avalanche workings'!$AW$160,'Snowball workings'!$AW$160))</f>
      </c>
      <c r="V158" s="29">
        <f>IF(OR(153&gt;$Z$1,NOT(OR('Your debts'!$B$14&lt;&gt;"",N('Your debts'!$C$14)&gt;0))),"",IF('Your debts'!$D$20="Avalanche",'Avalanche workings'!$T$160,'Snowball workings'!$T$160)+IF('Your debts'!$D$20="Avalanche",'Avalanche workings'!$AN$160,'Snowball workings'!$AN$160))</f>
      </c>
      <c r="W158" s="30">
        <f>IF(OR(153&gt;$Z$1,NOT(OR('Your debts'!$B$14&lt;&gt;"",N('Your debts'!$C$14)&gt;0))),"",IF('Your debts'!$D$20="Avalanche",'Avalanche workings'!$AX$160,'Snowball workings'!$AX$160))</f>
      </c>
      <c r="X158" s="29">
        <f>IF(OR(153&gt;$Z$1,NOT(OR('Your debts'!$B$15&lt;&gt;"",N('Your debts'!$C$15)&gt;0))),"",IF('Your debts'!$D$20="Avalanche",'Avalanche workings'!$U$160,'Snowball workings'!$U$160)+IF('Your debts'!$D$20="Avalanche",'Avalanche workings'!$AO$160,'Snowball workings'!$AO$160))</f>
      </c>
      <c r="Y158" s="30">
        <f>IF(OR(153&gt;$Z$1,NOT(OR('Your debts'!$B$15&lt;&gt;"",N('Your debts'!$C$15)&gt;0))),"",IF('Your debts'!$D$20="Avalanche",'Avalanche workings'!$AY$160,'Snowball workings'!$AY$160))</f>
      </c>
    </row>
    <row r="159" spans="1:25" x14ac:dyDescent="0.25">
      <c r="A159" s="2">
        <f>IF(154&gt;$Z$1,"",154)</f>
      </c>
      <c r="B159" s="28">
        <f>IF(154&gt;$Z$1,"",EDATE('Your debts'!$D$21,153))</f>
      </c>
      <c r="C159" s="29">
        <f>IF(154&gt;$Z$1,"",IF('Your debts'!$D$20="Avalanche",'Avalanche workings'!$BC$161,'Snowball workings'!$BC$161))</f>
      </c>
      <c r="D159" s="29">
        <f>IF(154&gt;$Z$1,"",IF('Your debts'!$D$20="Avalanche",'Avalanche workings'!$BA$161,'Snowball workings'!$BA$161))</f>
      </c>
      <c r="E159" s="29">
        <f>IF(154&gt;$Z$1,"",IF('Your debts'!$D$20="Avalanche",'Avalanche workings'!$BB$161,'Snowball workings'!$BB$161))</f>
      </c>
      <c r="F159" s="29">
        <f>IF(OR(154&gt;$Z$1,NOT(OR('Your debts'!$B$6&lt;&gt;"",N('Your debts'!$C$6)&gt;0))),"",IF('Your debts'!$D$20="Avalanche",'Avalanche workings'!$L$161,'Snowball workings'!$L$161)+IF('Your debts'!$D$20="Avalanche",'Avalanche workings'!$AF$161,'Snowball workings'!$AF$161))</f>
      </c>
      <c r="G159" s="30">
        <f>IF(OR(154&gt;$Z$1,NOT(OR('Your debts'!$B$6&lt;&gt;"",N('Your debts'!$C$6)&gt;0))),"",IF('Your debts'!$D$20="Avalanche",'Avalanche workings'!$AP$161,'Snowball workings'!$AP$161))</f>
      </c>
      <c r="H159" s="29">
        <f>IF(OR(154&gt;$Z$1,NOT(OR('Your debts'!$B$7&lt;&gt;"",N('Your debts'!$C$7)&gt;0))),"",IF('Your debts'!$D$20="Avalanche",'Avalanche workings'!$M$161,'Snowball workings'!$M$161)+IF('Your debts'!$D$20="Avalanche",'Avalanche workings'!$AG$161,'Snowball workings'!$AG$161))</f>
      </c>
      <c r="I159" s="30">
        <f>IF(OR(154&gt;$Z$1,NOT(OR('Your debts'!$B$7&lt;&gt;"",N('Your debts'!$C$7)&gt;0))),"",IF('Your debts'!$D$20="Avalanche",'Avalanche workings'!$AQ$161,'Snowball workings'!$AQ$161))</f>
      </c>
      <c r="J159" s="29">
        <f>IF(OR(154&gt;$Z$1,NOT(OR('Your debts'!$B$8&lt;&gt;"",N('Your debts'!$C$8)&gt;0))),"",IF('Your debts'!$D$20="Avalanche",'Avalanche workings'!$N$161,'Snowball workings'!$N$161)+IF('Your debts'!$D$20="Avalanche",'Avalanche workings'!$AH$161,'Snowball workings'!$AH$161))</f>
      </c>
      <c r="K159" s="30">
        <f>IF(OR(154&gt;$Z$1,NOT(OR('Your debts'!$B$8&lt;&gt;"",N('Your debts'!$C$8)&gt;0))),"",IF('Your debts'!$D$20="Avalanche",'Avalanche workings'!$AR$161,'Snowball workings'!$AR$161))</f>
      </c>
      <c r="L159" s="29">
        <f>IF(OR(154&gt;$Z$1,NOT(OR('Your debts'!$B$9&lt;&gt;"",N('Your debts'!$C$9)&gt;0))),"",IF('Your debts'!$D$20="Avalanche",'Avalanche workings'!$O$161,'Snowball workings'!$O$161)+IF('Your debts'!$D$20="Avalanche",'Avalanche workings'!$AI$161,'Snowball workings'!$AI$161))</f>
      </c>
      <c r="M159" s="30">
        <f>IF(OR(154&gt;$Z$1,NOT(OR('Your debts'!$B$9&lt;&gt;"",N('Your debts'!$C$9)&gt;0))),"",IF('Your debts'!$D$20="Avalanche",'Avalanche workings'!$AS$161,'Snowball workings'!$AS$161))</f>
      </c>
      <c r="N159" s="29">
        <f>IF(OR(154&gt;$Z$1,NOT(OR('Your debts'!$B$10&lt;&gt;"",N('Your debts'!$C$10)&gt;0))),"",IF('Your debts'!$D$20="Avalanche",'Avalanche workings'!$P$161,'Snowball workings'!$P$161)+IF('Your debts'!$D$20="Avalanche",'Avalanche workings'!$AJ$161,'Snowball workings'!$AJ$161))</f>
      </c>
      <c r="O159" s="30">
        <f>IF(OR(154&gt;$Z$1,NOT(OR('Your debts'!$B$10&lt;&gt;"",N('Your debts'!$C$10)&gt;0))),"",IF('Your debts'!$D$20="Avalanche",'Avalanche workings'!$AT$161,'Snowball workings'!$AT$161))</f>
      </c>
      <c r="P159" s="29">
        <f>IF(OR(154&gt;$Z$1,NOT(OR('Your debts'!$B$11&lt;&gt;"",N('Your debts'!$C$11)&gt;0))),"",IF('Your debts'!$D$20="Avalanche",'Avalanche workings'!$Q$161,'Snowball workings'!$Q$161)+IF('Your debts'!$D$20="Avalanche",'Avalanche workings'!$AK$161,'Snowball workings'!$AK$161))</f>
      </c>
      <c r="Q159" s="30">
        <f>IF(OR(154&gt;$Z$1,NOT(OR('Your debts'!$B$11&lt;&gt;"",N('Your debts'!$C$11)&gt;0))),"",IF('Your debts'!$D$20="Avalanche",'Avalanche workings'!$AU$161,'Snowball workings'!$AU$161))</f>
      </c>
      <c r="R159" s="29">
        <f>IF(OR(154&gt;$Z$1,NOT(OR('Your debts'!$B$12&lt;&gt;"",N('Your debts'!$C$12)&gt;0))),"",IF('Your debts'!$D$20="Avalanche",'Avalanche workings'!$R$161,'Snowball workings'!$R$161)+IF('Your debts'!$D$20="Avalanche",'Avalanche workings'!$AL$161,'Snowball workings'!$AL$161))</f>
      </c>
      <c r="S159" s="30">
        <f>IF(OR(154&gt;$Z$1,NOT(OR('Your debts'!$B$12&lt;&gt;"",N('Your debts'!$C$12)&gt;0))),"",IF('Your debts'!$D$20="Avalanche",'Avalanche workings'!$AV$161,'Snowball workings'!$AV$161))</f>
      </c>
      <c r="T159" s="29">
        <f>IF(OR(154&gt;$Z$1,NOT(OR('Your debts'!$B$13&lt;&gt;"",N('Your debts'!$C$13)&gt;0))),"",IF('Your debts'!$D$20="Avalanche",'Avalanche workings'!$S$161,'Snowball workings'!$S$161)+IF('Your debts'!$D$20="Avalanche",'Avalanche workings'!$AM$161,'Snowball workings'!$AM$161))</f>
      </c>
      <c r="U159" s="30">
        <f>IF(OR(154&gt;$Z$1,NOT(OR('Your debts'!$B$13&lt;&gt;"",N('Your debts'!$C$13)&gt;0))),"",IF('Your debts'!$D$20="Avalanche",'Avalanche workings'!$AW$161,'Snowball workings'!$AW$161))</f>
      </c>
      <c r="V159" s="29">
        <f>IF(OR(154&gt;$Z$1,NOT(OR('Your debts'!$B$14&lt;&gt;"",N('Your debts'!$C$14)&gt;0))),"",IF('Your debts'!$D$20="Avalanche",'Avalanche workings'!$T$161,'Snowball workings'!$T$161)+IF('Your debts'!$D$20="Avalanche",'Avalanche workings'!$AN$161,'Snowball workings'!$AN$161))</f>
      </c>
      <c r="W159" s="30">
        <f>IF(OR(154&gt;$Z$1,NOT(OR('Your debts'!$B$14&lt;&gt;"",N('Your debts'!$C$14)&gt;0))),"",IF('Your debts'!$D$20="Avalanche",'Avalanche workings'!$AX$161,'Snowball workings'!$AX$161))</f>
      </c>
      <c r="X159" s="29">
        <f>IF(OR(154&gt;$Z$1,NOT(OR('Your debts'!$B$15&lt;&gt;"",N('Your debts'!$C$15)&gt;0))),"",IF('Your debts'!$D$20="Avalanche",'Avalanche workings'!$U$161,'Snowball workings'!$U$161)+IF('Your debts'!$D$20="Avalanche",'Avalanche workings'!$AO$161,'Snowball workings'!$AO$161))</f>
      </c>
      <c r="Y159" s="30">
        <f>IF(OR(154&gt;$Z$1,NOT(OR('Your debts'!$B$15&lt;&gt;"",N('Your debts'!$C$15)&gt;0))),"",IF('Your debts'!$D$20="Avalanche",'Avalanche workings'!$AY$161,'Snowball workings'!$AY$161))</f>
      </c>
    </row>
    <row r="160" spans="1:25" x14ac:dyDescent="0.25">
      <c r="A160" s="2">
        <f>IF(155&gt;$Z$1,"",155)</f>
      </c>
      <c r="B160" s="28">
        <f>IF(155&gt;$Z$1,"",EDATE('Your debts'!$D$21,154))</f>
      </c>
      <c r="C160" s="29">
        <f>IF(155&gt;$Z$1,"",IF('Your debts'!$D$20="Avalanche",'Avalanche workings'!$BC$162,'Snowball workings'!$BC$162))</f>
      </c>
      <c r="D160" s="29">
        <f>IF(155&gt;$Z$1,"",IF('Your debts'!$D$20="Avalanche",'Avalanche workings'!$BA$162,'Snowball workings'!$BA$162))</f>
      </c>
      <c r="E160" s="29">
        <f>IF(155&gt;$Z$1,"",IF('Your debts'!$D$20="Avalanche",'Avalanche workings'!$BB$162,'Snowball workings'!$BB$162))</f>
      </c>
      <c r="F160" s="29">
        <f>IF(OR(155&gt;$Z$1,NOT(OR('Your debts'!$B$6&lt;&gt;"",N('Your debts'!$C$6)&gt;0))),"",IF('Your debts'!$D$20="Avalanche",'Avalanche workings'!$L$162,'Snowball workings'!$L$162)+IF('Your debts'!$D$20="Avalanche",'Avalanche workings'!$AF$162,'Snowball workings'!$AF$162))</f>
      </c>
      <c r="G160" s="30">
        <f>IF(OR(155&gt;$Z$1,NOT(OR('Your debts'!$B$6&lt;&gt;"",N('Your debts'!$C$6)&gt;0))),"",IF('Your debts'!$D$20="Avalanche",'Avalanche workings'!$AP$162,'Snowball workings'!$AP$162))</f>
      </c>
      <c r="H160" s="29">
        <f>IF(OR(155&gt;$Z$1,NOT(OR('Your debts'!$B$7&lt;&gt;"",N('Your debts'!$C$7)&gt;0))),"",IF('Your debts'!$D$20="Avalanche",'Avalanche workings'!$M$162,'Snowball workings'!$M$162)+IF('Your debts'!$D$20="Avalanche",'Avalanche workings'!$AG$162,'Snowball workings'!$AG$162))</f>
      </c>
      <c r="I160" s="30">
        <f>IF(OR(155&gt;$Z$1,NOT(OR('Your debts'!$B$7&lt;&gt;"",N('Your debts'!$C$7)&gt;0))),"",IF('Your debts'!$D$20="Avalanche",'Avalanche workings'!$AQ$162,'Snowball workings'!$AQ$162))</f>
      </c>
      <c r="J160" s="29">
        <f>IF(OR(155&gt;$Z$1,NOT(OR('Your debts'!$B$8&lt;&gt;"",N('Your debts'!$C$8)&gt;0))),"",IF('Your debts'!$D$20="Avalanche",'Avalanche workings'!$N$162,'Snowball workings'!$N$162)+IF('Your debts'!$D$20="Avalanche",'Avalanche workings'!$AH$162,'Snowball workings'!$AH$162))</f>
      </c>
      <c r="K160" s="30">
        <f>IF(OR(155&gt;$Z$1,NOT(OR('Your debts'!$B$8&lt;&gt;"",N('Your debts'!$C$8)&gt;0))),"",IF('Your debts'!$D$20="Avalanche",'Avalanche workings'!$AR$162,'Snowball workings'!$AR$162))</f>
      </c>
      <c r="L160" s="29">
        <f>IF(OR(155&gt;$Z$1,NOT(OR('Your debts'!$B$9&lt;&gt;"",N('Your debts'!$C$9)&gt;0))),"",IF('Your debts'!$D$20="Avalanche",'Avalanche workings'!$O$162,'Snowball workings'!$O$162)+IF('Your debts'!$D$20="Avalanche",'Avalanche workings'!$AI$162,'Snowball workings'!$AI$162))</f>
      </c>
      <c r="M160" s="30">
        <f>IF(OR(155&gt;$Z$1,NOT(OR('Your debts'!$B$9&lt;&gt;"",N('Your debts'!$C$9)&gt;0))),"",IF('Your debts'!$D$20="Avalanche",'Avalanche workings'!$AS$162,'Snowball workings'!$AS$162))</f>
      </c>
      <c r="N160" s="29">
        <f>IF(OR(155&gt;$Z$1,NOT(OR('Your debts'!$B$10&lt;&gt;"",N('Your debts'!$C$10)&gt;0))),"",IF('Your debts'!$D$20="Avalanche",'Avalanche workings'!$P$162,'Snowball workings'!$P$162)+IF('Your debts'!$D$20="Avalanche",'Avalanche workings'!$AJ$162,'Snowball workings'!$AJ$162))</f>
      </c>
      <c r="O160" s="30">
        <f>IF(OR(155&gt;$Z$1,NOT(OR('Your debts'!$B$10&lt;&gt;"",N('Your debts'!$C$10)&gt;0))),"",IF('Your debts'!$D$20="Avalanche",'Avalanche workings'!$AT$162,'Snowball workings'!$AT$162))</f>
      </c>
      <c r="P160" s="29">
        <f>IF(OR(155&gt;$Z$1,NOT(OR('Your debts'!$B$11&lt;&gt;"",N('Your debts'!$C$11)&gt;0))),"",IF('Your debts'!$D$20="Avalanche",'Avalanche workings'!$Q$162,'Snowball workings'!$Q$162)+IF('Your debts'!$D$20="Avalanche",'Avalanche workings'!$AK$162,'Snowball workings'!$AK$162))</f>
      </c>
      <c r="Q160" s="30">
        <f>IF(OR(155&gt;$Z$1,NOT(OR('Your debts'!$B$11&lt;&gt;"",N('Your debts'!$C$11)&gt;0))),"",IF('Your debts'!$D$20="Avalanche",'Avalanche workings'!$AU$162,'Snowball workings'!$AU$162))</f>
      </c>
      <c r="R160" s="29">
        <f>IF(OR(155&gt;$Z$1,NOT(OR('Your debts'!$B$12&lt;&gt;"",N('Your debts'!$C$12)&gt;0))),"",IF('Your debts'!$D$20="Avalanche",'Avalanche workings'!$R$162,'Snowball workings'!$R$162)+IF('Your debts'!$D$20="Avalanche",'Avalanche workings'!$AL$162,'Snowball workings'!$AL$162))</f>
      </c>
      <c r="S160" s="30">
        <f>IF(OR(155&gt;$Z$1,NOT(OR('Your debts'!$B$12&lt;&gt;"",N('Your debts'!$C$12)&gt;0))),"",IF('Your debts'!$D$20="Avalanche",'Avalanche workings'!$AV$162,'Snowball workings'!$AV$162))</f>
      </c>
      <c r="T160" s="29">
        <f>IF(OR(155&gt;$Z$1,NOT(OR('Your debts'!$B$13&lt;&gt;"",N('Your debts'!$C$13)&gt;0))),"",IF('Your debts'!$D$20="Avalanche",'Avalanche workings'!$S$162,'Snowball workings'!$S$162)+IF('Your debts'!$D$20="Avalanche",'Avalanche workings'!$AM$162,'Snowball workings'!$AM$162))</f>
      </c>
      <c r="U160" s="30">
        <f>IF(OR(155&gt;$Z$1,NOT(OR('Your debts'!$B$13&lt;&gt;"",N('Your debts'!$C$13)&gt;0))),"",IF('Your debts'!$D$20="Avalanche",'Avalanche workings'!$AW$162,'Snowball workings'!$AW$162))</f>
      </c>
      <c r="V160" s="29">
        <f>IF(OR(155&gt;$Z$1,NOT(OR('Your debts'!$B$14&lt;&gt;"",N('Your debts'!$C$14)&gt;0))),"",IF('Your debts'!$D$20="Avalanche",'Avalanche workings'!$T$162,'Snowball workings'!$T$162)+IF('Your debts'!$D$20="Avalanche",'Avalanche workings'!$AN$162,'Snowball workings'!$AN$162))</f>
      </c>
      <c r="W160" s="30">
        <f>IF(OR(155&gt;$Z$1,NOT(OR('Your debts'!$B$14&lt;&gt;"",N('Your debts'!$C$14)&gt;0))),"",IF('Your debts'!$D$20="Avalanche",'Avalanche workings'!$AX$162,'Snowball workings'!$AX$162))</f>
      </c>
      <c r="X160" s="29">
        <f>IF(OR(155&gt;$Z$1,NOT(OR('Your debts'!$B$15&lt;&gt;"",N('Your debts'!$C$15)&gt;0))),"",IF('Your debts'!$D$20="Avalanche",'Avalanche workings'!$U$162,'Snowball workings'!$U$162)+IF('Your debts'!$D$20="Avalanche",'Avalanche workings'!$AO$162,'Snowball workings'!$AO$162))</f>
      </c>
      <c r="Y160" s="30">
        <f>IF(OR(155&gt;$Z$1,NOT(OR('Your debts'!$B$15&lt;&gt;"",N('Your debts'!$C$15)&gt;0))),"",IF('Your debts'!$D$20="Avalanche",'Avalanche workings'!$AY$162,'Snowball workings'!$AY$162))</f>
      </c>
    </row>
    <row r="161" spans="1:25" x14ac:dyDescent="0.25">
      <c r="A161" s="2">
        <f>IF(156&gt;$Z$1,"",156)</f>
      </c>
      <c r="B161" s="28">
        <f>IF(156&gt;$Z$1,"",EDATE('Your debts'!$D$21,155))</f>
      </c>
      <c r="C161" s="29">
        <f>IF(156&gt;$Z$1,"",IF('Your debts'!$D$20="Avalanche",'Avalanche workings'!$BC$163,'Snowball workings'!$BC$163))</f>
      </c>
      <c r="D161" s="29">
        <f>IF(156&gt;$Z$1,"",IF('Your debts'!$D$20="Avalanche",'Avalanche workings'!$BA$163,'Snowball workings'!$BA$163))</f>
      </c>
      <c r="E161" s="29">
        <f>IF(156&gt;$Z$1,"",IF('Your debts'!$D$20="Avalanche",'Avalanche workings'!$BB$163,'Snowball workings'!$BB$163))</f>
      </c>
      <c r="F161" s="29">
        <f>IF(OR(156&gt;$Z$1,NOT(OR('Your debts'!$B$6&lt;&gt;"",N('Your debts'!$C$6)&gt;0))),"",IF('Your debts'!$D$20="Avalanche",'Avalanche workings'!$L$163,'Snowball workings'!$L$163)+IF('Your debts'!$D$20="Avalanche",'Avalanche workings'!$AF$163,'Snowball workings'!$AF$163))</f>
      </c>
      <c r="G161" s="30">
        <f>IF(OR(156&gt;$Z$1,NOT(OR('Your debts'!$B$6&lt;&gt;"",N('Your debts'!$C$6)&gt;0))),"",IF('Your debts'!$D$20="Avalanche",'Avalanche workings'!$AP$163,'Snowball workings'!$AP$163))</f>
      </c>
      <c r="H161" s="29">
        <f>IF(OR(156&gt;$Z$1,NOT(OR('Your debts'!$B$7&lt;&gt;"",N('Your debts'!$C$7)&gt;0))),"",IF('Your debts'!$D$20="Avalanche",'Avalanche workings'!$M$163,'Snowball workings'!$M$163)+IF('Your debts'!$D$20="Avalanche",'Avalanche workings'!$AG$163,'Snowball workings'!$AG$163))</f>
      </c>
      <c r="I161" s="30">
        <f>IF(OR(156&gt;$Z$1,NOT(OR('Your debts'!$B$7&lt;&gt;"",N('Your debts'!$C$7)&gt;0))),"",IF('Your debts'!$D$20="Avalanche",'Avalanche workings'!$AQ$163,'Snowball workings'!$AQ$163))</f>
      </c>
      <c r="J161" s="29">
        <f>IF(OR(156&gt;$Z$1,NOT(OR('Your debts'!$B$8&lt;&gt;"",N('Your debts'!$C$8)&gt;0))),"",IF('Your debts'!$D$20="Avalanche",'Avalanche workings'!$N$163,'Snowball workings'!$N$163)+IF('Your debts'!$D$20="Avalanche",'Avalanche workings'!$AH$163,'Snowball workings'!$AH$163))</f>
      </c>
      <c r="K161" s="30">
        <f>IF(OR(156&gt;$Z$1,NOT(OR('Your debts'!$B$8&lt;&gt;"",N('Your debts'!$C$8)&gt;0))),"",IF('Your debts'!$D$20="Avalanche",'Avalanche workings'!$AR$163,'Snowball workings'!$AR$163))</f>
      </c>
      <c r="L161" s="29">
        <f>IF(OR(156&gt;$Z$1,NOT(OR('Your debts'!$B$9&lt;&gt;"",N('Your debts'!$C$9)&gt;0))),"",IF('Your debts'!$D$20="Avalanche",'Avalanche workings'!$O$163,'Snowball workings'!$O$163)+IF('Your debts'!$D$20="Avalanche",'Avalanche workings'!$AI$163,'Snowball workings'!$AI$163))</f>
      </c>
      <c r="M161" s="30">
        <f>IF(OR(156&gt;$Z$1,NOT(OR('Your debts'!$B$9&lt;&gt;"",N('Your debts'!$C$9)&gt;0))),"",IF('Your debts'!$D$20="Avalanche",'Avalanche workings'!$AS$163,'Snowball workings'!$AS$163))</f>
      </c>
      <c r="N161" s="29">
        <f>IF(OR(156&gt;$Z$1,NOT(OR('Your debts'!$B$10&lt;&gt;"",N('Your debts'!$C$10)&gt;0))),"",IF('Your debts'!$D$20="Avalanche",'Avalanche workings'!$P$163,'Snowball workings'!$P$163)+IF('Your debts'!$D$20="Avalanche",'Avalanche workings'!$AJ$163,'Snowball workings'!$AJ$163))</f>
      </c>
      <c r="O161" s="30">
        <f>IF(OR(156&gt;$Z$1,NOT(OR('Your debts'!$B$10&lt;&gt;"",N('Your debts'!$C$10)&gt;0))),"",IF('Your debts'!$D$20="Avalanche",'Avalanche workings'!$AT$163,'Snowball workings'!$AT$163))</f>
      </c>
      <c r="P161" s="29">
        <f>IF(OR(156&gt;$Z$1,NOT(OR('Your debts'!$B$11&lt;&gt;"",N('Your debts'!$C$11)&gt;0))),"",IF('Your debts'!$D$20="Avalanche",'Avalanche workings'!$Q$163,'Snowball workings'!$Q$163)+IF('Your debts'!$D$20="Avalanche",'Avalanche workings'!$AK$163,'Snowball workings'!$AK$163))</f>
      </c>
      <c r="Q161" s="30">
        <f>IF(OR(156&gt;$Z$1,NOT(OR('Your debts'!$B$11&lt;&gt;"",N('Your debts'!$C$11)&gt;0))),"",IF('Your debts'!$D$20="Avalanche",'Avalanche workings'!$AU$163,'Snowball workings'!$AU$163))</f>
      </c>
      <c r="R161" s="29">
        <f>IF(OR(156&gt;$Z$1,NOT(OR('Your debts'!$B$12&lt;&gt;"",N('Your debts'!$C$12)&gt;0))),"",IF('Your debts'!$D$20="Avalanche",'Avalanche workings'!$R$163,'Snowball workings'!$R$163)+IF('Your debts'!$D$20="Avalanche",'Avalanche workings'!$AL$163,'Snowball workings'!$AL$163))</f>
      </c>
      <c r="S161" s="30">
        <f>IF(OR(156&gt;$Z$1,NOT(OR('Your debts'!$B$12&lt;&gt;"",N('Your debts'!$C$12)&gt;0))),"",IF('Your debts'!$D$20="Avalanche",'Avalanche workings'!$AV$163,'Snowball workings'!$AV$163))</f>
      </c>
      <c r="T161" s="29">
        <f>IF(OR(156&gt;$Z$1,NOT(OR('Your debts'!$B$13&lt;&gt;"",N('Your debts'!$C$13)&gt;0))),"",IF('Your debts'!$D$20="Avalanche",'Avalanche workings'!$S$163,'Snowball workings'!$S$163)+IF('Your debts'!$D$20="Avalanche",'Avalanche workings'!$AM$163,'Snowball workings'!$AM$163))</f>
      </c>
      <c r="U161" s="30">
        <f>IF(OR(156&gt;$Z$1,NOT(OR('Your debts'!$B$13&lt;&gt;"",N('Your debts'!$C$13)&gt;0))),"",IF('Your debts'!$D$20="Avalanche",'Avalanche workings'!$AW$163,'Snowball workings'!$AW$163))</f>
      </c>
      <c r="V161" s="29">
        <f>IF(OR(156&gt;$Z$1,NOT(OR('Your debts'!$B$14&lt;&gt;"",N('Your debts'!$C$14)&gt;0))),"",IF('Your debts'!$D$20="Avalanche",'Avalanche workings'!$T$163,'Snowball workings'!$T$163)+IF('Your debts'!$D$20="Avalanche",'Avalanche workings'!$AN$163,'Snowball workings'!$AN$163))</f>
      </c>
      <c r="W161" s="30">
        <f>IF(OR(156&gt;$Z$1,NOT(OR('Your debts'!$B$14&lt;&gt;"",N('Your debts'!$C$14)&gt;0))),"",IF('Your debts'!$D$20="Avalanche",'Avalanche workings'!$AX$163,'Snowball workings'!$AX$163))</f>
      </c>
      <c r="X161" s="29">
        <f>IF(OR(156&gt;$Z$1,NOT(OR('Your debts'!$B$15&lt;&gt;"",N('Your debts'!$C$15)&gt;0))),"",IF('Your debts'!$D$20="Avalanche",'Avalanche workings'!$U$163,'Snowball workings'!$U$163)+IF('Your debts'!$D$20="Avalanche",'Avalanche workings'!$AO$163,'Snowball workings'!$AO$163))</f>
      </c>
      <c r="Y161" s="30">
        <f>IF(OR(156&gt;$Z$1,NOT(OR('Your debts'!$B$15&lt;&gt;"",N('Your debts'!$C$15)&gt;0))),"",IF('Your debts'!$D$20="Avalanche",'Avalanche workings'!$AY$163,'Snowball workings'!$AY$163))</f>
      </c>
    </row>
    <row r="162" spans="1:25" x14ac:dyDescent="0.25">
      <c r="A162" s="2">
        <f>IF(157&gt;$Z$1,"",157)</f>
      </c>
      <c r="B162" s="28">
        <f>IF(157&gt;$Z$1,"",EDATE('Your debts'!$D$21,156))</f>
      </c>
      <c r="C162" s="29">
        <f>IF(157&gt;$Z$1,"",IF('Your debts'!$D$20="Avalanche",'Avalanche workings'!$BC$164,'Snowball workings'!$BC$164))</f>
      </c>
      <c r="D162" s="29">
        <f>IF(157&gt;$Z$1,"",IF('Your debts'!$D$20="Avalanche",'Avalanche workings'!$BA$164,'Snowball workings'!$BA$164))</f>
      </c>
      <c r="E162" s="29">
        <f>IF(157&gt;$Z$1,"",IF('Your debts'!$D$20="Avalanche",'Avalanche workings'!$BB$164,'Snowball workings'!$BB$164))</f>
      </c>
      <c r="F162" s="29">
        <f>IF(OR(157&gt;$Z$1,NOT(OR('Your debts'!$B$6&lt;&gt;"",N('Your debts'!$C$6)&gt;0))),"",IF('Your debts'!$D$20="Avalanche",'Avalanche workings'!$L$164,'Snowball workings'!$L$164)+IF('Your debts'!$D$20="Avalanche",'Avalanche workings'!$AF$164,'Snowball workings'!$AF$164))</f>
      </c>
      <c r="G162" s="30">
        <f>IF(OR(157&gt;$Z$1,NOT(OR('Your debts'!$B$6&lt;&gt;"",N('Your debts'!$C$6)&gt;0))),"",IF('Your debts'!$D$20="Avalanche",'Avalanche workings'!$AP$164,'Snowball workings'!$AP$164))</f>
      </c>
      <c r="H162" s="29">
        <f>IF(OR(157&gt;$Z$1,NOT(OR('Your debts'!$B$7&lt;&gt;"",N('Your debts'!$C$7)&gt;0))),"",IF('Your debts'!$D$20="Avalanche",'Avalanche workings'!$M$164,'Snowball workings'!$M$164)+IF('Your debts'!$D$20="Avalanche",'Avalanche workings'!$AG$164,'Snowball workings'!$AG$164))</f>
      </c>
      <c r="I162" s="30">
        <f>IF(OR(157&gt;$Z$1,NOT(OR('Your debts'!$B$7&lt;&gt;"",N('Your debts'!$C$7)&gt;0))),"",IF('Your debts'!$D$20="Avalanche",'Avalanche workings'!$AQ$164,'Snowball workings'!$AQ$164))</f>
      </c>
      <c r="J162" s="29">
        <f>IF(OR(157&gt;$Z$1,NOT(OR('Your debts'!$B$8&lt;&gt;"",N('Your debts'!$C$8)&gt;0))),"",IF('Your debts'!$D$20="Avalanche",'Avalanche workings'!$N$164,'Snowball workings'!$N$164)+IF('Your debts'!$D$20="Avalanche",'Avalanche workings'!$AH$164,'Snowball workings'!$AH$164))</f>
      </c>
      <c r="K162" s="30">
        <f>IF(OR(157&gt;$Z$1,NOT(OR('Your debts'!$B$8&lt;&gt;"",N('Your debts'!$C$8)&gt;0))),"",IF('Your debts'!$D$20="Avalanche",'Avalanche workings'!$AR$164,'Snowball workings'!$AR$164))</f>
      </c>
      <c r="L162" s="29">
        <f>IF(OR(157&gt;$Z$1,NOT(OR('Your debts'!$B$9&lt;&gt;"",N('Your debts'!$C$9)&gt;0))),"",IF('Your debts'!$D$20="Avalanche",'Avalanche workings'!$O$164,'Snowball workings'!$O$164)+IF('Your debts'!$D$20="Avalanche",'Avalanche workings'!$AI$164,'Snowball workings'!$AI$164))</f>
      </c>
      <c r="M162" s="30">
        <f>IF(OR(157&gt;$Z$1,NOT(OR('Your debts'!$B$9&lt;&gt;"",N('Your debts'!$C$9)&gt;0))),"",IF('Your debts'!$D$20="Avalanche",'Avalanche workings'!$AS$164,'Snowball workings'!$AS$164))</f>
      </c>
      <c r="N162" s="29">
        <f>IF(OR(157&gt;$Z$1,NOT(OR('Your debts'!$B$10&lt;&gt;"",N('Your debts'!$C$10)&gt;0))),"",IF('Your debts'!$D$20="Avalanche",'Avalanche workings'!$P$164,'Snowball workings'!$P$164)+IF('Your debts'!$D$20="Avalanche",'Avalanche workings'!$AJ$164,'Snowball workings'!$AJ$164))</f>
      </c>
      <c r="O162" s="30">
        <f>IF(OR(157&gt;$Z$1,NOT(OR('Your debts'!$B$10&lt;&gt;"",N('Your debts'!$C$10)&gt;0))),"",IF('Your debts'!$D$20="Avalanche",'Avalanche workings'!$AT$164,'Snowball workings'!$AT$164))</f>
      </c>
      <c r="P162" s="29">
        <f>IF(OR(157&gt;$Z$1,NOT(OR('Your debts'!$B$11&lt;&gt;"",N('Your debts'!$C$11)&gt;0))),"",IF('Your debts'!$D$20="Avalanche",'Avalanche workings'!$Q$164,'Snowball workings'!$Q$164)+IF('Your debts'!$D$20="Avalanche",'Avalanche workings'!$AK$164,'Snowball workings'!$AK$164))</f>
      </c>
      <c r="Q162" s="30">
        <f>IF(OR(157&gt;$Z$1,NOT(OR('Your debts'!$B$11&lt;&gt;"",N('Your debts'!$C$11)&gt;0))),"",IF('Your debts'!$D$20="Avalanche",'Avalanche workings'!$AU$164,'Snowball workings'!$AU$164))</f>
      </c>
      <c r="R162" s="29">
        <f>IF(OR(157&gt;$Z$1,NOT(OR('Your debts'!$B$12&lt;&gt;"",N('Your debts'!$C$12)&gt;0))),"",IF('Your debts'!$D$20="Avalanche",'Avalanche workings'!$R$164,'Snowball workings'!$R$164)+IF('Your debts'!$D$20="Avalanche",'Avalanche workings'!$AL$164,'Snowball workings'!$AL$164))</f>
      </c>
      <c r="S162" s="30">
        <f>IF(OR(157&gt;$Z$1,NOT(OR('Your debts'!$B$12&lt;&gt;"",N('Your debts'!$C$12)&gt;0))),"",IF('Your debts'!$D$20="Avalanche",'Avalanche workings'!$AV$164,'Snowball workings'!$AV$164))</f>
      </c>
      <c r="T162" s="29">
        <f>IF(OR(157&gt;$Z$1,NOT(OR('Your debts'!$B$13&lt;&gt;"",N('Your debts'!$C$13)&gt;0))),"",IF('Your debts'!$D$20="Avalanche",'Avalanche workings'!$S$164,'Snowball workings'!$S$164)+IF('Your debts'!$D$20="Avalanche",'Avalanche workings'!$AM$164,'Snowball workings'!$AM$164))</f>
      </c>
      <c r="U162" s="30">
        <f>IF(OR(157&gt;$Z$1,NOT(OR('Your debts'!$B$13&lt;&gt;"",N('Your debts'!$C$13)&gt;0))),"",IF('Your debts'!$D$20="Avalanche",'Avalanche workings'!$AW$164,'Snowball workings'!$AW$164))</f>
      </c>
      <c r="V162" s="29">
        <f>IF(OR(157&gt;$Z$1,NOT(OR('Your debts'!$B$14&lt;&gt;"",N('Your debts'!$C$14)&gt;0))),"",IF('Your debts'!$D$20="Avalanche",'Avalanche workings'!$T$164,'Snowball workings'!$T$164)+IF('Your debts'!$D$20="Avalanche",'Avalanche workings'!$AN$164,'Snowball workings'!$AN$164))</f>
      </c>
      <c r="W162" s="30">
        <f>IF(OR(157&gt;$Z$1,NOT(OR('Your debts'!$B$14&lt;&gt;"",N('Your debts'!$C$14)&gt;0))),"",IF('Your debts'!$D$20="Avalanche",'Avalanche workings'!$AX$164,'Snowball workings'!$AX$164))</f>
      </c>
      <c r="X162" s="29">
        <f>IF(OR(157&gt;$Z$1,NOT(OR('Your debts'!$B$15&lt;&gt;"",N('Your debts'!$C$15)&gt;0))),"",IF('Your debts'!$D$20="Avalanche",'Avalanche workings'!$U$164,'Snowball workings'!$U$164)+IF('Your debts'!$D$20="Avalanche",'Avalanche workings'!$AO$164,'Snowball workings'!$AO$164))</f>
      </c>
      <c r="Y162" s="30">
        <f>IF(OR(157&gt;$Z$1,NOT(OR('Your debts'!$B$15&lt;&gt;"",N('Your debts'!$C$15)&gt;0))),"",IF('Your debts'!$D$20="Avalanche",'Avalanche workings'!$AY$164,'Snowball workings'!$AY$164))</f>
      </c>
    </row>
    <row r="163" spans="1:25" x14ac:dyDescent="0.25">
      <c r="A163" s="2">
        <f>IF(158&gt;$Z$1,"",158)</f>
      </c>
      <c r="B163" s="28">
        <f>IF(158&gt;$Z$1,"",EDATE('Your debts'!$D$21,157))</f>
      </c>
      <c r="C163" s="29">
        <f>IF(158&gt;$Z$1,"",IF('Your debts'!$D$20="Avalanche",'Avalanche workings'!$BC$165,'Snowball workings'!$BC$165))</f>
      </c>
      <c r="D163" s="29">
        <f>IF(158&gt;$Z$1,"",IF('Your debts'!$D$20="Avalanche",'Avalanche workings'!$BA$165,'Snowball workings'!$BA$165))</f>
      </c>
      <c r="E163" s="29">
        <f>IF(158&gt;$Z$1,"",IF('Your debts'!$D$20="Avalanche",'Avalanche workings'!$BB$165,'Snowball workings'!$BB$165))</f>
      </c>
      <c r="F163" s="29">
        <f>IF(OR(158&gt;$Z$1,NOT(OR('Your debts'!$B$6&lt;&gt;"",N('Your debts'!$C$6)&gt;0))),"",IF('Your debts'!$D$20="Avalanche",'Avalanche workings'!$L$165,'Snowball workings'!$L$165)+IF('Your debts'!$D$20="Avalanche",'Avalanche workings'!$AF$165,'Snowball workings'!$AF$165))</f>
      </c>
      <c r="G163" s="30">
        <f>IF(OR(158&gt;$Z$1,NOT(OR('Your debts'!$B$6&lt;&gt;"",N('Your debts'!$C$6)&gt;0))),"",IF('Your debts'!$D$20="Avalanche",'Avalanche workings'!$AP$165,'Snowball workings'!$AP$165))</f>
      </c>
      <c r="H163" s="29">
        <f>IF(OR(158&gt;$Z$1,NOT(OR('Your debts'!$B$7&lt;&gt;"",N('Your debts'!$C$7)&gt;0))),"",IF('Your debts'!$D$20="Avalanche",'Avalanche workings'!$M$165,'Snowball workings'!$M$165)+IF('Your debts'!$D$20="Avalanche",'Avalanche workings'!$AG$165,'Snowball workings'!$AG$165))</f>
      </c>
      <c r="I163" s="30">
        <f>IF(OR(158&gt;$Z$1,NOT(OR('Your debts'!$B$7&lt;&gt;"",N('Your debts'!$C$7)&gt;0))),"",IF('Your debts'!$D$20="Avalanche",'Avalanche workings'!$AQ$165,'Snowball workings'!$AQ$165))</f>
      </c>
      <c r="J163" s="29">
        <f>IF(OR(158&gt;$Z$1,NOT(OR('Your debts'!$B$8&lt;&gt;"",N('Your debts'!$C$8)&gt;0))),"",IF('Your debts'!$D$20="Avalanche",'Avalanche workings'!$N$165,'Snowball workings'!$N$165)+IF('Your debts'!$D$20="Avalanche",'Avalanche workings'!$AH$165,'Snowball workings'!$AH$165))</f>
      </c>
      <c r="K163" s="30">
        <f>IF(OR(158&gt;$Z$1,NOT(OR('Your debts'!$B$8&lt;&gt;"",N('Your debts'!$C$8)&gt;0))),"",IF('Your debts'!$D$20="Avalanche",'Avalanche workings'!$AR$165,'Snowball workings'!$AR$165))</f>
      </c>
      <c r="L163" s="29">
        <f>IF(OR(158&gt;$Z$1,NOT(OR('Your debts'!$B$9&lt;&gt;"",N('Your debts'!$C$9)&gt;0))),"",IF('Your debts'!$D$20="Avalanche",'Avalanche workings'!$O$165,'Snowball workings'!$O$165)+IF('Your debts'!$D$20="Avalanche",'Avalanche workings'!$AI$165,'Snowball workings'!$AI$165))</f>
      </c>
      <c r="M163" s="30">
        <f>IF(OR(158&gt;$Z$1,NOT(OR('Your debts'!$B$9&lt;&gt;"",N('Your debts'!$C$9)&gt;0))),"",IF('Your debts'!$D$20="Avalanche",'Avalanche workings'!$AS$165,'Snowball workings'!$AS$165))</f>
      </c>
      <c r="N163" s="29">
        <f>IF(OR(158&gt;$Z$1,NOT(OR('Your debts'!$B$10&lt;&gt;"",N('Your debts'!$C$10)&gt;0))),"",IF('Your debts'!$D$20="Avalanche",'Avalanche workings'!$P$165,'Snowball workings'!$P$165)+IF('Your debts'!$D$20="Avalanche",'Avalanche workings'!$AJ$165,'Snowball workings'!$AJ$165))</f>
      </c>
      <c r="O163" s="30">
        <f>IF(OR(158&gt;$Z$1,NOT(OR('Your debts'!$B$10&lt;&gt;"",N('Your debts'!$C$10)&gt;0))),"",IF('Your debts'!$D$20="Avalanche",'Avalanche workings'!$AT$165,'Snowball workings'!$AT$165))</f>
      </c>
      <c r="P163" s="29">
        <f>IF(OR(158&gt;$Z$1,NOT(OR('Your debts'!$B$11&lt;&gt;"",N('Your debts'!$C$11)&gt;0))),"",IF('Your debts'!$D$20="Avalanche",'Avalanche workings'!$Q$165,'Snowball workings'!$Q$165)+IF('Your debts'!$D$20="Avalanche",'Avalanche workings'!$AK$165,'Snowball workings'!$AK$165))</f>
      </c>
      <c r="Q163" s="30">
        <f>IF(OR(158&gt;$Z$1,NOT(OR('Your debts'!$B$11&lt;&gt;"",N('Your debts'!$C$11)&gt;0))),"",IF('Your debts'!$D$20="Avalanche",'Avalanche workings'!$AU$165,'Snowball workings'!$AU$165))</f>
      </c>
      <c r="R163" s="29">
        <f>IF(OR(158&gt;$Z$1,NOT(OR('Your debts'!$B$12&lt;&gt;"",N('Your debts'!$C$12)&gt;0))),"",IF('Your debts'!$D$20="Avalanche",'Avalanche workings'!$R$165,'Snowball workings'!$R$165)+IF('Your debts'!$D$20="Avalanche",'Avalanche workings'!$AL$165,'Snowball workings'!$AL$165))</f>
      </c>
      <c r="S163" s="30">
        <f>IF(OR(158&gt;$Z$1,NOT(OR('Your debts'!$B$12&lt;&gt;"",N('Your debts'!$C$12)&gt;0))),"",IF('Your debts'!$D$20="Avalanche",'Avalanche workings'!$AV$165,'Snowball workings'!$AV$165))</f>
      </c>
      <c r="T163" s="29">
        <f>IF(OR(158&gt;$Z$1,NOT(OR('Your debts'!$B$13&lt;&gt;"",N('Your debts'!$C$13)&gt;0))),"",IF('Your debts'!$D$20="Avalanche",'Avalanche workings'!$S$165,'Snowball workings'!$S$165)+IF('Your debts'!$D$20="Avalanche",'Avalanche workings'!$AM$165,'Snowball workings'!$AM$165))</f>
      </c>
      <c r="U163" s="30">
        <f>IF(OR(158&gt;$Z$1,NOT(OR('Your debts'!$B$13&lt;&gt;"",N('Your debts'!$C$13)&gt;0))),"",IF('Your debts'!$D$20="Avalanche",'Avalanche workings'!$AW$165,'Snowball workings'!$AW$165))</f>
      </c>
      <c r="V163" s="29">
        <f>IF(OR(158&gt;$Z$1,NOT(OR('Your debts'!$B$14&lt;&gt;"",N('Your debts'!$C$14)&gt;0))),"",IF('Your debts'!$D$20="Avalanche",'Avalanche workings'!$T$165,'Snowball workings'!$T$165)+IF('Your debts'!$D$20="Avalanche",'Avalanche workings'!$AN$165,'Snowball workings'!$AN$165))</f>
      </c>
      <c r="W163" s="30">
        <f>IF(OR(158&gt;$Z$1,NOT(OR('Your debts'!$B$14&lt;&gt;"",N('Your debts'!$C$14)&gt;0))),"",IF('Your debts'!$D$20="Avalanche",'Avalanche workings'!$AX$165,'Snowball workings'!$AX$165))</f>
      </c>
      <c r="X163" s="29">
        <f>IF(OR(158&gt;$Z$1,NOT(OR('Your debts'!$B$15&lt;&gt;"",N('Your debts'!$C$15)&gt;0))),"",IF('Your debts'!$D$20="Avalanche",'Avalanche workings'!$U$165,'Snowball workings'!$U$165)+IF('Your debts'!$D$20="Avalanche",'Avalanche workings'!$AO$165,'Snowball workings'!$AO$165))</f>
      </c>
      <c r="Y163" s="30">
        <f>IF(OR(158&gt;$Z$1,NOT(OR('Your debts'!$B$15&lt;&gt;"",N('Your debts'!$C$15)&gt;0))),"",IF('Your debts'!$D$20="Avalanche",'Avalanche workings'!$AY$165,'Snowball workings'!$AY$165))</f>
      </c>
    </row>
    <row r="164" spans="1:25" x14ac:dyDescent="0.25">
      <c r="A164" s="2">
        <f>IF(159&gt;$Z$1,"",159)</f>
      </c>
      <c r="B164" s="28">
        <f>IF(159&gt;$Z$1,"",EDATE('Your debts'!$D$21,158))</f>
      </c>
      <c r="C164" s="29">
        <f>IF(159&gt;$Z$1,"",IF('Your debts'!$D$20="Avalanche",'Avalanche workings'!$BC$166,'Snowball workings'!$BC$166))</f>
      </c>
      <c r="D164" s="29">
        <f>IF(159&gt;$Z$1,"",IF('Your debts'!$D$20="Avalanche",'Avalanche workings'!$BA$166,'Snowball workings'!$BA$166))</f>
      </c>
      <c r="E164" s="29">
        <f>IF(159&gt;$Z$1,"",IF('Your debts'!$D$20="Avalanche",'Avalanche workings'!$BB$166,'Snowball workings'!$BB$166))</f>
      </c>
      <c r="F164" s="29">
        <f>IF(OR(159&gt;$Z$1,NOT(OR('Your debts'!$B$6&lt;&gt;"",N('Your debts'!$C$6)&gt;0))),"",IF('Your debts'!$D$20="Avalanche",'Avalanche workings'!$L$166,'Snowball workings'!$L$166)+IF('Your debts'!$D$20="Avalanche",'Avalanche workings'!$AF$166,'Snowball workings'!$AF$166))</f>
      </c>
      <c r="G164" s="30">
        <f>IF(OR(159&gt;$Z$1,NOT(OR('Your debts'!$B$6&lt;&gt;"",N('Your debts'!$C$6)&gt;0))),"",IF('Your debts'!$D$20="Avalanche",'Avalanche workings'!$AP$166,'Snowball workings'!$AP$166))</f>
      </c>
      <c r="H164" s="29">
        <f>IF(OR(159&gt;$Z$1,NOT(OR('Your debts'!$B$7&lt;&gt;"",N('Your debts'!$C$7)&gt;0))),"",IF('Your debts'!$D$20="Avalanche",'Avalanche workings'!$M$166,'Snowball workings'!$M$166)+IF('Your debts'!$D$20="Avalanche",'Avalanche workings'!$AG$166,'Snowball workings'!$AG$166))</f>
      </c>
      <c r="I164" s="30">
        <f>IF(OR(159&gt;$Z$1,NOT(OR('Your debts'!$B$7&lt;&gt;"",N('Your debts'!$C$7)&gt;0))),"",IF('Your debts'!$D$20="Avalanche",'Avalanche workings'!$AQ$166,'Snowball workings'!$AQ$166))</f>
      </c>
      <c r="J164" s="29">
        <f>IF(OR(159&gt;$Z$1,NOT(OR('Your debts'!$B$8&lt;&gt;"",N('Your debts'!$C$8)&gt;0))),"",IF('Your debts'!$D$20="Avalanche",'Avalanche workings'!$N$166,'Snowball workings'!$N$166)+IF('Your debts'!$D$20="Avalanche",'Avalanche workings'!$AH$166,'Snowball workings'!$AH$166))</f>
      </c>
      <c r="K164" s="30">
        <f>IF(OR(159&gt;$Z$1,NOT(OR('Your debts'!$B$8&lt;&gt;"",N('Your debts'!$C$8)&gt;0))),"",IF('Your debts'!$D$20="Avalanche",'Avalanche workings'!$AR$166,'Snowball workings'!$AR$166))</f>
      </c>
      <c r="L164" s="29">
        <f>IF(OR(159&gt;$Z$1,NOT(OR('Your debts'!$B$9&lt;&gt;"",N('Your debts'!$C$9)&gt;0))),"",IF('Your debts'!$D$20="Avalanche",'Avalanche workings'!$O$166,'Snowball workings'!$O$166)+IF('Your debts'!$D$20="Avalanche",'Avalanche workings'!$AI$166,'Snowball workings'!$AI$166))</f>
      </c>
      <c r="M164" s="30">
        <f>IF(OR(159&gt;$Z$1,NOT(OR('Your debts'!$B$9&lt;&gt;"",N('Your debts'!$C$9)&gt;0))),"",IF('Your debts'!$D$20="Avalanche",'Avalanche workings'!$AS$166,'Snowball workings'!$AS$166))</f>
      </c>
      <c r="N164" s="29">
        <f>IF(OR(159&gt;$Z$1,NOT(OR('Your debts'!$B$10&lt;&gt;"",N('Your debts'!$C$10)&gt;0))),"",IF('Your debts'!$D$20="Avalanche",'Avalanche workings'!$P$166,'Snowball workings'!$P$166)+IF('Your debts'!$D$20="Avalanche",'Avalanche workings'!$AJ$166,'Snowball workings'!$AJ$166))</f>
      </c>
      <c r="O164" s="30">
        <f>IF(OR(159&gt;$Z$1,NOT(OR('Your debts'!$B$10&lt;&gt;"",N('Your debts'!$C$10)&gt;0))),"",IF('Your debts'!$D$20="Avalanche",'Avalanche workings'!$AT$166,'Snowball workings'!$AT$166))</f>
      </c>
      <c r="P164" s="29">
        <f>IF(OR(159&gt;$Z$1,NOT(OR('Your debts'!$B$11&lt;&gt;"",N('Your debts'!$C$11)&gt;0))),"",IF('Your debts'!$D$20="Avalanche",'Avalanche workings'!$Q$166,'Snowball workings'!$Q$166)+IF('Your debts'!$D$20="Avalanche",'Avalanche workings'!$AK$166,'Snowball workings'!$AK$166))</f>
      </c>
      <c r="Q164" s="30">
        <f>IF(OR(159&gt;$Z$1,NOT(OR('Your debts'!$B$11&lt;&gt;"",N('Your debts'!$C$11)&gt;0))),"",IF('Your debts'!$D$20="Avalanche",'Avalanche workings'!$AU$166,'Snowball workings'!$AU$166))</f>
      </c>
      <c r="R164" s="29">
        <f>IF(OR(159&gt;$Z$1,NOT(OR('Your debts'!$B$12&lt;&gt;"",N('Your debts'!$C$12)&gt;0))),"",IF('Your debts'!$D$20="Avalanche",'Avalanche workings'!$R$166,'Snowball workings'!$R$166)+IF('Your debts'!$D$20="Avalanche",'Avalanche workings'!$AL$166,'Snowball workings'!$AL$166))</f>
      </c>
      <c r="S164" s="30">
        <f>IF(OR(159&gt;$Z$1,NOT(OR('Your debts'!$B$12&lt;&gt;"",N('Your debts'!$C$12)&gt;0))),"",IF('Your debts'!$D$20="Avalanche",'Avalanche workings'!$AV$166,'Snowball workings'!$AV$166))</f>
      </c>
      <c r="T164" s="29">
        <f>IF(OR(159&gt;$Z$1,NOT(OR('Your debts'!$B$13&lt;&gt;"",N('Your debts'!$C$13)&gt;0))),"",IF('Your debts'!$D$20="Avalanche",'Avalanche workings'!$S$166,'Snowball workings'!$S$166)+IF('Your debts'!$D$20="Avalanche",'Avalanche workings'!$AM$166,'Snowball workings'!$AM$166))</f>
      </c>
      <c r="U164" s="30">
        <f>IF(OR(159&gt;$Z$1,NOT(OR('Your debts'!$B$13&lt;&gt;"",N('Your debts'!$C$13)&gt;0))),"",IF('Your debts'!$D$20="Avalanche",'Avalanche workings'!$AW$166,'Snowball workings'!$AW$166))</f>
      </c>
      <c r="V164" s="29">
        <f>IF(OR(159&gt;$Z$1,NOT(OR('Your debts'!$B$14&lt;&gt;"",N('Your debts'!$C$14)&gt;0))),"",IF('Your debts'!$D$20="Avalanche",'Avalanche workings'!$T$166,'Snowball workings'!$T$166)+IF('Your debts'!$D$20="Avalanche",'Avalanche workings'!$AN$166,'Snowball workings'!$AN$166))</f>
      </c>
      <c r="W164" s="30">
        <f>IF(OR(159&gt;$Z$1,NOT(OR('Your debts'!$B$14&lt;&gt;"",N('Your debts'!$C$14)&gt;0))),"",IF('Your debts'!$D$20="Avalanche",'Avalanche workings'!$AX$166,'Snowball workings'!$AX$166))</f>
      </c>
      <c r="X164" s="29">
        <f>IF(OR(159&gt;$Z$1,NOT(OR('Your debts'!$B$15&lt;&gt;"",N('Your debts'!$C$15)&gt;0))),"",IF('Your debts'!$D$20="Avalanche",'Avalanche workings'!$U$166,'Snowball workings'!$U$166)+IF('Your debts'!$D$20="Avalanche",'Avalanche workings'!$AO$166,'Snowball workings'!$AO$166))</f>
      </c>
      <c r="Y164" s="30">
        <f>IF(OR(159&gt;$Z$1,NOT(OR('Your debts'!$B$15&lt;&gt;"",N('Your debts'!$C$15)&gt;0))),"",IF('Your debts'!$D$20="Avalanche",'Avalanche workings'!$AY$166,'Snowball workings'!$AY$166))</f>
      </c>
    </row>
    <row r="165" spans="1:25" x14ac:dyDescent="0.25">
      <c r="A165" s="2">
        <f>IF(160&gt;$Z$1,"",160)</f>
      </c>
      <c r="B165" s="28">
        <f>IF(160&gt;$Z$1,"",EDATE('Your debts'!$D$21,159))</f>
      </c>
      <c r="C165" s="29">
        <f>IF(160&gt;$Z$1,"",IF('Your debts'!$D$20="Avalanche",'Avalanche workings'!$BC$167,'Snowball workings'!$BC$167))</f>
      </c>
      <c r="D165" s="29">
        <f>IF(160&gt;$Z$1,"",IF('Your debts'!$D$20="Avalanche",'Avalanche workings'!$BA$167,'Snowball workings'!$BA$167))</f>
      </c>
      <c r="E165" s="29">
        <f>IF(160&gt;$Z$1,"",IF('Your debts'!$D$20="Avalanche",'Avalanche workings'!$BB$167,'Snowball workings'!$BB$167))</f>
      </c>
      <c r="F165" s="29">
        <f>IF(OR(160&gt;$Z$1,NOT(OR('Your debts'!$B$6&lt;&gt;"",N('Your debts'!$C$6)&gt;0))),"",IF('Your debts'!$D$20="Avalanche",'Avalanche workings'!$L$167,'Snowball workings'!$L$167)+IF('Your debts'!$D$20="Avalanche",'Avalanche workings'!$AF$167,'Snowball workings'!$AF$167))</f>
      </c>
      <c r="G165" s="30">
        <f>IF(OR(160&gt;$Z$1,NOT(OR('Your debts'!$B$6&lt;&gt;"",N('Your debts'!$C$6)&gt;0))),"",IF('Your debts'!$D$20="Avalanche",'Avalanche workings'!$AP$167,'Snowball workings'!$AP$167))</f>
      </c>
      <c r="H165" s="29">
        <f>IF(OR(160&gt;$Z$1,NOT(OR('Your debts'!$B$7&lt;&gt;"",N('Your debts'!$C$7)&gt;0))),"",IF('Your debts'!$D$20="Avalanche",'Avalanche workings'!$M$167,'Snowball workings'!$M$167)+IF('Your debts'!$D$20="Avalanche",'Avalanche workings'!$AG$167,'Snowball workings'!$AG$167))</f>
      </c>
      <c r="I165" s="30">
        <f>IF(OR(160&gt;$Z$1,NOT(OR('Your debts'!$B$7&lt;&gt;"",N('Your debts'!$C$7)&gt;0))),"",IF('Your debts'!$D$20="Avalanche",'Avalanche workings'!$AQ$167,'Snowball workings'!$AQ$167))</f>
      </c>
      <c r="J165" s="29">
        <f>IF(OR(160&gt;$Z$1,NOT(OR('Your debts'!$B$8&lt;&gt;"",N('Your debts'!$C$8)&gt;0))),"",IF('Your debts'!$D$20="Avalanche",'Avalanche workings'!$N$167,'Snowball workings'!$N$167)+IF('Your debts'!$D$20="Avalanche",'Avalanche workings'!$AH$167,'Snowball workings'!$AH$167))</f>
      </c>
      <c r="K165" s="30">
        <f>IF(OR(160&gt;$Z$1,NOT(OR('Your debts'!$B$8&lt;&gt;"",N('Your debts'!$C$8)&gt;0))),"",IF('Your debts'!$D$20="Avalanche",'Avalanche workings'!$AR$167,'Snowball workings'!$AR$167))</f>
      </c>
      <c r="L165" s="29">
        <f>IF(OR(160&gt;$Z$1,NOT(OR('Your debts'!$B$9&lt;&gt;"",N('Your debts'!$C$9)&gt;0))),"",IF('Your debts'!$D$20="Avalanche",'Avalanche workings'!$O$167,'Snowball workings'!$O$167)+IF('Your debts'!$D$20="Avalanche",'Avalanche workings'!$AI$167,'Snowball workings'!$AI$167))</f>
      </c>
      <c r="M165" s="30">
        <f>IF(OR(160&gt;$Z$1,NOT(OR('Your debts'!$B$9&lt;&gt;"",N('Your debts'!$C$9)&gt;0))),"",IF('Your debts'!$D$20="Avalanche",'Avalanche workings'!$AS$167,'Snowball workings'!$AS$167))</f>
      </c>
      <c r="N165" s="29">
        <f>IF(OR(160&gt;$Z$1,NOT(OR('Your debts'!$B$10&lt;&gt;"",N('Your debts'!$C$10)&gt;0))),"",IF('Your debts'!$D$20="Avalanche",'Avalanche workings'!$P$167,'Snowball workings'!$P$167)+IF('Your debts'!$D$20="Avalanche",'Avalanche workings'!$AJ$167,'Snowball workings'!$AJ$167))</f>
      </c>
      <c r="O165" s="30">
        <f>IF(OR(160&gt;$Z$1,NOT(OR('Your debts'!$B$10&lt;&gt;"",N('Your debts'!$C$10)&gt;0))),"",IF('Your debts'!$D$20="Avalanche",'Avalanche workings'!$AT$167,'Snowball workings'!$AT$167))</f>
      </c>
      <c r="P165" s="29">
        <f>IF(OR(160&gt;$Z$1,NOT(OR('Your debts'!$B$11&lt;&gt;"",N('Your debts'!$C$11)&gt;0))),"",IF('Your debts'!$D$20="Avalanche",'Avalanche workings'!$Q$167,'Snowball workings'!$Q$167)+IF('Your debts'!$D$20="Avalanche",'Avalanche workings'!$AK$167,'Snowball workings'!$AK$167))</f>
      </c>
      <c r="Q165" s="30">
        <f>IF(OR(160&gt;$Z$1,NOT(OR('Your debts'!$B$11&lt;&gt;"",N('Your debts'!$C$11)&gt;0))),"",IF('Your debts'!$D$20="Avalanche",'Avalanche workings'!$AU$167,'Snowball workings'!$AU$167))</f>
      </c>
      <c r="R165" s="29">
        <f>IF(OR(160&gt;$Z$1,NOT(OR('Your debts'!$B$12&lt;&gt;"",N('Your debts'!$C$12)&gt;0))),"",IF('Your debts'!$D$20="Avalanche",'Avalanche workings'!$R$167,'Snowball workings'!$R$167)+IF('Your debts'!$D$20="Avalanche",'Avalanche workings'!$AL$167,'Snowball workings'!$AL$167))</f>
      </c>
      <c r="S165" s="30">
        <f>IF(OR(160&gt;$Z$1,NOT(OR('Your debts'!$B$12&lt;&gt;"",N('Your debts'!$C$12)&gt;0))),"",IF('Your debts'!$D$20="Avalanche",'Avalanche workings'!$AV$167,'Snowball workings'!$AV$167))</f>
      </c>
      <c r="T165" s="29">
        <f>IF(OR(160&gt;$Z$1,NOT(OR('Your debts'!$B$13&lt;&gt;"",N('Your debts'!$C$13)&gt;0))),"",IF('Your debts'!$D$20="Avalanche",'Avalanche workings'!$S$167,'Snowball workings'!$S$167)+IF('Your debts'!$D$20="Avalanche",'Avalanche workings'!$AM$167,'Snowball workings'!$AM$167))</f>
      </c>
      <c r="U165" s="30">
        <f>IF(OR(160&gt;$Z$1,NOT(OR('Your debts'!$B$13&lt;&gt;"",N('Your debts'!$C$13)&gt;0))),"",IF('Your debts'!$D$20="Avalanche",'Avalanche workings'!$AW$167,'Snowball workings'!$AW$167))</f>
      </c>
      <c r="V165" s="29">
        <f>IF(OR(160&gt;$Z$1,NOT(OR('Your debts'!$B$14&lt;&gt;"",N('Your debts'!$C$14)&gt;0))),"",IF('Your debts'!$D$20="Avalanche",'Avalanche workings'!$T$167,'Snowball workings'!$T$167)+IF('Your debts'!$D$20="Avalanche",'Avalanche workings'!$AN$167,'Snowball workings'!$AN$167))</f>
      </c>
      <c r="W165" s="30">
        <f>IF(OR(160&gt;$Z$1,NOT(OR('Your debts'!$B$14&lt;&gt;"",N('Your debts'!$C$14)&gt;0))),"",IF('Your debts'!$D$20="Avalanche",'Avalanche workings'!$AX$167,'Snowball workings'!$AX$167))</f>
      </c>
      <c r="X165" s="29">
        <f>IF(OR(160&gt;$Z$1,NOT(OR('Your debts'!$B$15&lt;&gt;"",N('Your debts'!$C$15)&gt;0))),"",IF('Your debts'!$D$20="Avalanche",'Avalanche workings'!$U$167,'Snowball workings'!$U$167)+IF('Your debts'!$D$20="Avalanche",'Avalanche workings'!$AO$167,'Snowball workings'!$AO$167))</f>
      </c>
      <c r="Y165" s="30">
        <f>IF(OR(160&gt;$Z$1,NOT(OR('Your debts'!$B$15&lt;&gt;"",N('Your debts'!$C$15)&gt;0))),"",IF('Your debts'!$D$20="Avalanche",'Avalanche workings'!$AY$167,'Snowball workings'!$AY$167))</f>
      </c>
    </row>
    <row r="166" spans="1:25" x14ac:dyDescent="0.25">
      <c r="A166" s="2">
        <f>IF(161&gt;$Z$1,"",161)</f>
      </c>
      <c r="B166" s="28">
        <f>IF(161&gt;$Z$1,"",EDATE('Your debts'!$D$21,160))</f>
      </c>
      <c r="C166" s="29">
        <f>IF(161&gt;$Z$1,"",IF('Your debts'!$D$20="Avalanche",'Avalanche workings'!$BC$168,'Snowball workings'!$BC$168))</f>
      </c>
      <c r="D166" s="29">
        <f>IF(161&gt;$Z$1,"",IF('Your debts'!$D$20="Avalanche",'Avalanche workings'!$BA$168,'Snowball workings'!$BA$168))</f>
      </c>
      <c r="E166" s="29">
        <f>IF(161&gt;$Z$1,"",IF('Your debts'!$D$20="Avalanche",'Avalanche workings'!$BB$168,'Snowball workings'!$BB$168))</f>
      </c>
      <c r="F166" s="29">
        <f>IF(OR(161&gt;$Z$1,NOT(OR('Your debts'!$B$6&lt;&gt;"",N('Your debts'!$C$6)&gt;0))),"",IF('Your debts'!$D$20="Avalanche",'Avalanche workings'!$L$168,'Snowball workings'!$L$168)+IF('Your debts'!$D$20="Avalanche",'Avalanche workings'!$AF$168,'Snowball workings'!$AF$168))</f>
      </c>
      <c r="G166" s="30">
        <f>IF(OR(161&gt;$Z$1,NOT(OR('Your debts'!$B$6&lt;&gt;"",N('Your debts'!$C$6)&gt;0))),"",IF('Your debts'!$D$20="Avalanche",'Avalanche workings'!$AP$168,'Snowball workings'!$AP$168))</f>
      </c>
      <c r="H166" s="29">
        <f>IF(OR(161&gt;$Z$1,NOT(OR('Your debts'!$B$7&lt;&gt;"",N('Your debts'!$C$7)&gt;0))),"",IF('Your debts'!$D$20="Avalanche",'Avalanche workings'!$M$168,'Snowball workings'!$M$168)+IF('Your debts'!$D$20="Avalanche",'Avalanche workings'!$AG$168,'Snowball workings'!$AG$168))</f>
      </c>
      <c r="I166" s="30">
        <f>IF(OR(161&gt;$Z$1,NOT(OR('Your debts'!$B$7&lt;&gt;"",N('Your debts'!$C$7)&gt;0))),"",IF('Your debts'!$D$20="Avalanche",'Avalanche workings'!$AQ$168,'Snowball workings'!$AQ$168))</f>
      </c>
      <c r="J166" s="29">
        <f>IF(OR(161&gt;$Z$1,NOT(OR('Your debts'!$B$8&lt;&gt;"",N('Your debts'!$C$8)&gt;0))),"",IF('Your debts'!$D$20="Avalanche",'Avalanche workings'!$N$168,'Snowball workings'!$N$168)+IF('Your debts'!$D$20="Avalanche",'Avalanche workings'!$AH$168,'Snowball workings'!$AH$168))</f>
      </c>
      <c r="K166" s="30">
        <f>IF(OR(161&gt;$Z$1,NOT(OR('Your debts'!$B$8&lt;&gt;"",N('Your debts'!$C$8)&gt;0))),"",IF('Your debts'!$D$20="Avalanche",'Avalanche workings'!$AR$168,'Snowball workings'!$AR$168))</f>
      </c>
      <c r="L166" s="29">
        <f>IF(OR(161&gt;$Z$1,NOT(OR('Your debts'!$B$9&lt;&gt;"",N('Your debts'!$C$9)&gt;0))),"",IF('Your debts'!$D$20="Avalanche",'Avalanche workings'!$O$168,'Snowball workings'!$O$168)+IF('Your debts'!$D$20="Avalanche",'Avalanche workings'!$AI$168,'Snowball workings'!$AI$168))</f>
      </c>
      <c r="M166" s="30">
        <f>IF(OR(161&gt;$Z$1,NOT(OR('Your debts'!$B$9&lt;&gt;"",N('Your debts'!$C$9)&gt;0))),"",IF('Your debts'!$D$20="Avalanche",'Avalanche workings'!$AS$168,'Snowball workings'!$AS$168))</f>
      </c>
      <c r="N166" s="29">
        <f>IF(OR(161&gt;$Z$1,NOT(OR('Your debts'!$B$10&lt;&gt;"",N('Your debts'!$C$10)&gt;0))),"",IF('Your debts'!$D$20="Avalanche",'Avalanche workings'!$P$168,'Snowball workings'!$P$168)+IF('Your debts'!$D$20="Avalanche",'Avalanche workings'!$AJ$168,'Snowball workings'!$AJ$168))</f>
      </c>
      <c r="O166" s="30">
        <f>IF(OR(161&gt;$Z$1,NOT(OR('Your debts'!$B$10&lt;&gt;"",N('Your debts'!$C$10)&gt;0))),"",IF('Your debts'!$D$20="Avalanche",'Avalanche workings'!$AT$168,'Snowball workings'!$AT$168))</f>
      </c>
      <c r="P166" s="29">
        <f>IF(OR(161&gt;$Z$1,NOT(OR('Your debts'!$B$11&lt;&gt;"",N('Your debts'!$C$11)&gt;0))),"",IF('Your debts'!$D$20="Avalanche",'Avalanche workings'!$Q$168,'Snowball workings'!$Q$168)+IF('Your debts'!$D$20="Avalanche",'Avalanche workings'!$AK$168,'Snowball workings'!$AK$168))</f>
      </c>
      <c r="Q166" s="30">
        <f>IF(OR(161&gt;$Z$1,NOT(OR('Your debts'!$B$11&lt;&gt;"",N('Your debts'!$C$11)&gt;0))),"",IF('Your debts'!$D$20="Avalanche",'Avalanche workings'!$AU$168,'Snowball workings'!$AU$168))</f>
      </c>
      <c r="R166" s="29">
        <f>IF(OR(161&gt;$Z$1,NOT(OR('Your debts'!$B$12&lt;&gt;"",N('Your debts'!$C$12)&gt;0))),"",IF('Your debts'!$D$20="Avalanche",'Avalanche workings'!$R$168,'Snowball workings'!$R$168)+IF('Your debts'!$D$20="Avalanche",'Avalanche workings'!$AL$168,'Snowball workings'!$AL$168))</f>
      </c>
      <c r="S166" s="30">
        <f>IF(OR(161&gt;$Z$1,NOT(OR('Your debts'!$B$12&lt;&gt;"",N('Your debts'!$C$12)&gt;0))),"",IF('Your debts'!$D$20="Avalanche",'Avalanche workings'!$AV$168,'Snowball workings'!$AV$168))</f>
      </c>
      <c r="T166" s="29">
        <f>IF(OR(161&gt;$Z$1,NOT(OR('Your debts'!$B$13&lt;&gt;"",N('Your debts'!$C$13)&gt;0))),"",IF('Your debts'!$D$20="Avalanche",'Avalanche workings'!$S$168,'Snowball workings'!$S$168)+IF('Your debts'!$D$20="Avalanche",'Avalanche workings'!$AM$168,'Snowball workings'!$AM$168))</f>
      </c>
      <c r="U166" s="30">
        <f>IF(OR(161&gt;$Z$1,NOT(OR('Your debts'!$B$13&lt;&gt;"",N('Your debts'!$C$13)&gt;0))),"",IF('Your debts'!$D$20="Avalanche",'Avalanche workings'!$AW$168,'Snowball workings'!$AW$168))</f>
      </c>
      <c r="V166" s="29">
        <f>IF(OR(161&gt;$Z$1,NOT(OR('Your debts'!$B$14&lt;&gt;"",N('Your debts'!$C$14)&gt;0))),"",IF('Your debts'!$D$20="Avalanche",'Avalanche workings'!$T$168,'Snowball workings'!$T$168)+IF('Your debts'!$D$20="Avalanche",'Avalanche workings'!$AN$168,'Snowball workings'!$AN$168))</f>
      </c>
      <c r="W166" s="30">
        <f>IF(OR(161&gt;$Z$1,NOT(OR('Your debts'!$B$14&lt;&gt;"",N('Your debts'!$C$14)&gt;0))),"",IF('Your debts'!$D$20="Avalanche",'Avalanche workings'!$AX$168,'Snowball workings'!$AX$168))</f>
      </c>
      <c r="X166" s="29">
        <f>IF(OR(161&gt;$Z$1,NOT(OR('Your debts'!$B$15&lt;&gt;"",N('Your debts'!$C$15)&gt;0))),"",IF('Your debts'!$D$20="Avalanche",'Avalanche workings'!$U$168,'Snowball workings'!$U$168)+IF('Your debts'!$D$20="Avalanche",'Avalanche workings'!$AO$168,'Snowball workings'!$AO$168))</f>
      </c>
      <c r="Y166" s="30">
        <f>IF(OR(161&gt;$Z$1,NOT(OR('Your debts'!$B$15&lt;&gt;"",N('Your debts'!$C$15)&gt;0))),"",IF('Your debts'!$D$20="Avalanche",'Avalanche workings'!$AY$168,'Snowball workings'!$AY$168))</f>
      </c>
    </row>
    <row r="167" spans="1:25" x14ac:dyDescent="0.25">
      <c r="A167" s="2">
        <f>IF(162&gt;$Z$1,"",162)</f>
      </c>
      <c r="B167" s="28">
        <f>IF(162&gt;$Z$1,"",EDATE('Your debts'!$D$21,161))</f>
      </c>
      <c r="C167" s="29">
        <f>IF(162&gt;$Z$1,"",IF('Your debts'!$D$20="Avalanche",'Avalanche workings'!$BC$169,'Snowball workings'!$BC$169))</f>
      </c>
      <c r="D167" s="29">
        <f>IF(162&gt;$Z$1,"",IF('Your debts'!$D$20="Avalanche",'Avalanche workings'!$BA$169,'Snowball workings'!$BA$169))</f>
      </c>
      <c r="E167" s="29">
        <f>IF(162&gt;$Z$1,"",IF('Your debts'!$D$20="Avalanche",'Avalanche workings'!$BB$169,'Snowball workings'!$BB$169))</f>
      </c>
      <c r="F167" s="29">
        <f>IF(OR(162&gt;$Z$1,NOT(OR('Your debts'!$B$6&lt;&gt;"",N('Your debts'!$C$6)&gt;0))),"",IF('Your debts'!$D$20="Avalanche",'Avalanche workings'!$L$169,'Snowball workings'!$L$169)+IF('Your debts'!$D$20="Avalanche",'Avalanche workings'!$AF$169,'Snowball workings'!$AF$169))</f>
      </c>
      <c r="G167" s="30">
        <f>IF(OR(162&gt;$Z$1,NOT(OR('Your debts'!$B$6&lt;&gt;"",N('Your debts'!$C$6)&gt;0))),"",IF('Your debts'!$D$20="Avalanche",'Avalanche workings'!$AP$169,'Snowball workings'!$AP$169))</f>
      </c>
      <c r="H167" s="29">
        <f>IF(OR(162&gt;$Z$1,NOT(OR('Your debts'!$B$7&lt;&gt;"",N('Your debts'!$C$7)&gt;0))),"",IF('Your debts'!$D$20="Avalanche",'Avalanche workings'!$M$169,'Snowball workings'!$M$169)+IF('Your debts'!$D$20="Avalanche",'Avalanche workings'!$AG$169,'Snowball workings'!$AG$169))</f>
      </c>
      <c r="I167" s="30">
        <f>IF(OR(162&gt;$Z$1,NOT(OR('Your debts'!$B$7&lt;&gt;"",N('Your debts'!$C$7)&gt;0))),"",IF('Your debts'!$D$20="Avalanche",'Avalanche workings'!$AQ$169,'Snowball workings'!$AQ$169))</f>
      </c>
      <c r="J167" s="29">
        <f>IF(OR(162&gt;$Z$1,NOT(OR('Your debts'!$B$8&lt;&gt;"",N('Your debts'!$C$8)&gt;0))),"",IF('Your debts'!$D$20="Avalanche",'Avalanche workings'!$N$169,'Snowball workings'!$N$169)+IF('Your debts'!$D$20="Avalanche",'Avalanche workings'!$AH$169,'Snowball workings'!$AH$169))</f>
      </c>
      <c r="K167" s="30">
        <f>IF(OR(162&gt;$Z$1,NOT(OR('Your debts'!$B$8&lt;&gt;"",N('Your debts'!$C$8)&gt;0))),"",IF('Your debts'!$D$20="Avalanche",'Avalanche workings'!$AR$169,'Snowball workings'!$AR$169))</f>
      </c>
      <c r="L167" s="29">
        <f>IF(OR(162&gt;$Z$1,NOT(OR('Your debts'!$B$9&lt;&gt;"",N('Your debts'!$C$9)&gt;0))),"",IF('Your debts'!$D$20="Avalanche",'Avalanche workings'!$O$169,'Snowball workings'!$O$169)+IF('Your debts'!$D$20="Avalanche",'Avalanche workings'!$AI$169,'Snowball workings'!$AI$169))</f>
      </c>
      <c r="M167" s="30">
        <f>IF(OR(162&gt;$Z$1,NOT(OR('Your debts'!$B$9&lt;&gt;"",N('Your debts'!$C$9)&gt;0))),"",IF('Your debts'!$D$20="Avalanche",'Avalanche workings'!$AS$169,'Snowball workings'!$AS$169))</f>
      </c>
      <c r="N167" s="29">
        <f>IF(OR(162&gt;$Z$1,NOT(OR('Your debts'!$B$10&lt;&gt;"",N('Your debts'!$C$10)&gt;0))),"",IF('Your debts'!$D$20="Avalanche",'Avalanche workings'!$P$169,'Snowball workings'!$P$169)+IF('Your debts'!$D$20="Avalanche",'Avalanche workings'!$AJ$169,'Snowball workings'!$AJ$169))</f>
      </c>
      <c r="O167" s="30">
        <f>IF(OR(162&gt;$Z$1,NOT(OR('Your debts'!$B$10&lt;&gt;"",N('Your debts'!$C$10)&gt;0))),"",IF('Your debts'!$D$20="Avalanche",'Avalanche workings'!$AT$169,'Snowball workings'!$AT$169))</f>
      </c>
      <c r="P167" s="29">
        <f>IF(OR(162&gt;$Z$1,NOT(OR('Your debts'!$B$11&lt;&gt;"",N('Your debts'!$C$11)&gt;0))),"",IF('Your debts'!$D$20="Avalanche",'Avalanche workings'!$Q$169,'Snowball workings'!$Q$169)+IF('Your debts'!$D$20="Avalanche",'Avalanche workings'!$AK$169,'Snowball workings'!$AK$169))</f>
      </c>
      <c r="Q167" s="30">
        <f>IF(OR(162&gt;$Z$1,NOT(OR('Your debts'!$B$11&lt;&gt;"",N('Your debts'!$C$11)&gt;0))),"",IF('Your debts'!$D$20="Avalanche",'Avalanche workings'!$AU$169,'Snowball workings'!$AU$169))</f>
      </c>
      <c r="R167" s="29">
        <f>IF(OR(162&gt;$Z$1,NOT(OR('Your debts'!$B$12&lt;&gt;"",N('Your debts'!$C$12)&gt;0))),"",IF('Your debts'!$D$20="Avalanche",'Avalanche workings'!$R$169,'Snowball workings'!$R$169)+IF('Your debts'!$D$20="Avalanche",'Avalanche workings'!$AL$169,'Snowball workings'!$AL$169))</f>
      </c>
      <c r="S167" s="30">
        <f>IF(OR(162&gt;$Z$1,NOT(OR('Your debts'!$B$12&lt;&gt;"",N('Your debts'!$C$12)&gt;0))),"",IF('Your debts'!$D$20="Avalanche",'Avalanche workings'!$AV$169,'Snowball workings'!$AV$169))</f>
      </c>
      <c r="T167" s="29">
        <f>IF(OR(162&gt;$Z$1,NOT(OR('Your debts'!$B$13&lt;&gt;"",N('Your debts'!$C$13)&gt;0))),"",IF('Your debts'!$D$20="Avalanche",'Avalanche workings'!$S$169,'Snowball workings'!$S$169)+IF('Your debts'!$D$20="Avalanche",'Avalanche workings'!$AM$169,'Snowball workings'!$AM$169))</f>
      </c>
      <c r="U167" s="30">
        <f>IF(OR(162&gt;$Z$1,NOT(OR('Your debts'!$B$13&lt;&gt;"",N('Your debts'!$C$13)&gt;0))),"",IF('Your debts'!$D$20="Avalanche",'Avalanche workings'!$AW$169,'Snowball workings'!$AW$169))</f>
      </c>
      <c r="V167" s="29">
        <f>IF(OR(162&gt;$Z$1,NOT(OR('Your debts'!$B$14&lt;&gt;"",N('Your debts'!$C$14)&gt;0))),"",IF('Your debts'!$D$20="Avalanche",'Avalanche workings'!$T$169,'Snowball workings'!$T$169)+IF('Your debts'!$D$20="Avalanche",'Avalanche workings'!$AN$169,'Snowball workings'!$AN$169))</f>
      </c>
      <c r="W167" s="30">
        <f>IF(OR(162&gt;$Z$1,NOT(OR('Your debts'!$B$14&lt;&gt;"",N('Your debts'!$C$14)&gt;0))),"",IF('Your debts'!$D$20="Avalanche",'Avalanche workings'!$AX$169,'Snowball workings'!$AX$169))</f>
      </c>
      <c r="X167" s="29">
        <f>IF(OR(162&gt;$Z$1,NOT(OR('Your debts'!$B$15&lt;&gt;"",N('Your debts'!$C$15)&gt;0))),"",IF('Your debts'!$D$20="Avalanche",'Avalanche workings'!$U$169,'Snowball workings'!$U$169)+IF('Your debts'!$D$20="Avalanche",'Avalanche workings'!$AO$169,'Snowball workings'!$AO$169))</f>
      </c>
      <c r="Y167" s="30">
        <f>IF(OR(162&gt;$Z$1,NOT(OR('Your debts'!$B$15&lt;&gt;"",N('Your debts'!$C$15)&gt;0))),"",IF('Your debts'!$D$20="Avalanche",'Avalanche workings'!$AY$169,'Snowball workings'!$AY$169))</f>
      </c>
    </row>
    <row r="168" spans="1:25" x14ac:dyDescent="0.25">
      <c r="A168" s="2">
        <f>IF(163&gt;$Z$1,"",163)</f>
      </c>
      <c r="B168" s="28">
        <f>IF(163&gt;$Z$1,"",EDATE('Your debts'!$D$21,162))</f>
      </c>
      <c r="C168" s="29">
        <f>IF(163&gt;$Z$1,"",IF('Your debts'!$D$20="Avalanche",'Avalanche workings'!$BC$170,'Snowball workings'!$BC$170))</f>
      </c>
      <c r="D168" s="29">
        <f>IF(163&gt;$Z$1,"",IF('Your debts'!$D$20="Avalanche",'Avalanche workings'!$BA$170,'Snowball workings'!$BA$170))</f>
      </c>
      <c r="E168" s="29">
        <f>IF(163&gt;$Z$1,"",IF('Your debts'!$D$20="Avalanche",'Avalanche workings'!$BB$170,'Snowball workings'!$BB$170))</f>
      </c>
      <c r="F168" s="29">
        <f>IF(OR(163&gt;$Z$1,NOT(OR('Your debts'!$B$6&lt;&gt;"",N('Your debts'!$C$6)&gt;0))),"",IF('Your debts'!$D$20="Avalanche",'Avalanche workings'!$L$170,'Snowball workings'!$L$170)+IF('Your debts'!$D$20="Avalanche",'Avalanche workings'!$AF$170,'Snowball workings'!$AF$170))</f>
      </c>
      <c r="G168" s="30">
        <f>IF(OR(163&gt;$Z$1,NOT(OR('Your debts'!$B$6&lt;&gt;"",N('Your debts'!$C$6)&gt;0))),"",IF('Your debts'!$D$20="Avalanche",'Avalanche workings'!$AP$170,'Snowball workings'!$AP$170))</f>
      </c>
      <c r="H168" s="29">
        <f>IF(OR(163&gt;$Z$1,NOT(OR('Your debts'!$B$7&lt;&gt;"",N('Your debts'!$C$7)&gt;0))),"",IF('Your debts'!$D$20="Avalanche",'Avalanche workings'!$M$170,'Snowball workings'!$M$170)+IF('Your debts'!$D$20="Avalanche",'Avalanche workings'!$AG$170,'Snowball workings'!$AG$170))</f>
      </c>
      <c r="I168" s="30">
        <f>IF(OR(163&gt;$Z$1,NOT(OR('Your debts'!$B$7&lt;&gt;"",N('Your debts'!$C$7)&gt;0))),"",IF('Your debts'!$D$20="Avalanche",'Avalanche workings'!$AQ$170,'Snowball workings'!$AQ$170))</f>
      </c>
      <c r="J168" s="29">
        <f>IF(OR(163&gt;$Z$1,NOT(OR('Your debts'!$B$8&lt;&gt;"",N('Your debts'!$C$8)&gt;0))),"",IF('Your debts'!$D$20="Avalanche",'Avalanche workings'!$N$170,'Snowball workings'!$N$170)+IF('Your debts'!$D$20="Avalanche",'Avalanche workings'!$AH$170,'Snowball workings'!$AH$170))</f>
      </c>
      <c r="K168" s="30">
        <f>IF(OR(163&gt;$Z$1,NOT(OR('Your debts'!$B$8&lt;&gt;"",N('Your debts'!$C$8)&gt;0))),"",IF('Your debts'!$D$20="Avalanche",'Avalanche workings'!$AR$170,'Snowball workings'!$AR$170))</f>
      </c>
      <c r="L168" s="29">
        <f>IF(OR(163&gt;$Z$1,NOT(OR('Your debts'!$B$9&lt;&gt;"",N('Your debts'!$C$9)&gt;0))),"",IF('Your debts'!$D$20="Avalanche",'Avalanche workings'!$O$170,'Snowball workings'!$O$170)+IF('Your debts'!$D$20="Avalanche",'Avalanche workings'!$AI$170,'Snowball workings'!$AI$170))</f>
      </c>
      <c r="M168" s="30">
        <f>IF(OR(163&gt;$Z$1,NOT(OR('Your debts'!$B$9&lt;&gt;"",N('Your debts'!$C$9)&gt;0))),"",IF('Your debts'!$D$20="Avalanche",'Avalanche workings'!$AS$170,'Snowball workings'!$AS$170))</f>
      </c>
      <c r="N168" s="29">
        <f>IF(OR(163&gt;$Z$1,NOT(OR('Your debts'!$B$10&lt;&gt;"",N('Your debts'!$C$10)&gt;0))),"",IF('Your debts'!$D$20="Avalanche",'Avalanche workings'!$P$170,'Snowball workings'!$P$170)+IF('Your debts'!$D$20="Avalanche",'Avalanche workings'!$AJ$170,'Snowball workings'!$AJ$170))</f>
      </c>
      <c r="O168" s="30">
        <f>IF(OR(163&gt;$Z$1,NOT(OR('Your debts'!$B$10&lt;&gt;"",N('Your debts'!$C$10)&gt;0))),"",IF('Your debts'!$D$20="Avalanche",'Avalanche workings'!$AT$170,'Snowball workings'!$AT$170))</f>
      </c>
      <c r="P168" s="29">
        <f>IF(OR(163&gt;$Z$1,NOT(OR('Your debts'!$B$11&lt;&gt;"",N('Your debts'!$C$11)&gt;0))),"",IF('Your debts'!$D$20="Avalanche",'Avalanche workings'!$Q$170,'Snowball workings'!$Q$170)+IF('Your debts'!$D$20="Avalanche",'Avalanche workings'!$AK$170,'Snowball workings'!$AK$170))</f>
      </c>
      <c r="Q168" s="30">
        <f>IF(OR(163&gt;$Z$1,NOT(OR('Your debts'!$B$11&lt;&gt;"",N('Your debts'!$C$11)&gt;0))),"",IF('Your debts'!$D$20="Avalanche",'Avalanche workings'!$AU$170,'Snowball workings'!$AU$170))</f>
      </c>
      <c r="R168" s="29">
        <f>IF(OR(163&gt;$Z$1,NOT(OR('Your debts'!$B$12&lt;&gt;"",N('Your debts'!$C$12)&gt;0))),"",IF('Your debts'!$D$20="Avalanche",'Avalanche workings'!$R$170,'Snowball workings'!$R$170)+IF('Your debts'!$D$20="Avalanche",'Avalanche workings'!$AL$170,'Snowball workings'!$AL$170))</f>
      </c>
      <c r="S168" s="30">
        <f>IF(OR(163&gt;$Z$1,NOT(OR('Your debts'!$B$12&lt;&gt;"",N('Your debts'!$C$12)&gt;0))),"",IF('Your debts'!$D$20="Avalanche",'Avalanche workings'!$AV$170,'Snowball workings'!$AV$170))</f>
      </c>
      <c r="T168" s="29">
        <f>IF(OR(163&gt;$Z$1,NOT(OR('Your debts'!$B$13&lt;&gt;"",N('Your debts'!$C$13)&gt;0))),"",IF('Your debts'!$D$20="Avalanche",'Avalanche workings'!$S$170,'Snowball workings'!$S$170)+IF('Your debts'!$D$20="Avalanche",'Avalanche workings'!$AM$170,'Snowball workings'!$AM$170))</f>
      </c>
      <c r="U168" s="30">
        <f>IF(OR(163&gt;$Z$1,NOT(OR('Your debts'!$B$13&lt;&gt;"",N('Your debts'!$C$13)&gt;0))),"",IF('Your debts'!$D$20="Avalanche",'Avalanche workings'!$AW$170,'Snowball workings'!$AW$170))</f>
      </c>
      <c r="V168" s="29">
        <f>IF(OR(163&gt;$Z$1,NOT(OR('Your debts'!$B$14&lt;&gt;"",N('Your debts'!$C$14)&gt;0))),"",IF('Your debts'!$D$20="Avalanche",'Avalanche workings'!$T$170,'Snowball workings'!$T$170)+IF('Your debts'!$D$20="Avalanche",'Avalanche workings'!$AN$170,'Snowball workings'!$AN$170))</f>
      </c>
      <c r="W168" s="30">
        <f>IF(OR(163&gt;$Z$1,NOT(OR('Your debts'!$B$14&lt;&gt;"",N('Your debts'!$C$14)&gt;0))),"",IF('Your debts'!$D$20="Avalanche",'Avalanche workings'!$AX$170,'Snowball workings'!$AX$170))</f>
      </c>
      <c r="X168" s="29">
        <f>IF(OR(163&gt;$Z$1,NOT(OR('Your debts'!$B$15&lt;&gt;"",N('Your debts'!$C$15)&gt;0))),"",IF('Your debts'!$D$20="Avalanche",'Avalanche workings'!$U$170,'Snowball workings'!$U$170)+IF('Your debts'!$D$20="Avalanche",'Avalanche workings'!$AO$170,'Snowball workings'!$AO$170))</f>
      </c>
      <c r="Y168" s="30">
        <f>IF(OR(163&gt;$Z$1,NOT(OR('Your debts'!$B$15&lt;&gt;"",N('Your debts'!$C$15)&gt;0))),"",IF('Your debts'!$D$20="Avalanche",'Avalanche workings'!$AY$170,'Snowball workings'!$AY$170))</f>
      </c>
    </row>
    <row r="169" spans="1:25" x14ac:dyDescent="0.25">
      <c r="A169" s="2">
        <f>IF(164&gt;$Z$1,"",164)</f>
      </c>
      <c r="B169" s="28">
        <f>IF(164&gt;$Z$1,"",EDATE('Your debts'!$D$21,163))</f>
      </c>
      <c r="C169" s="29">
        <f>IF(164&gt;$Z$1,"",IF('Your debts'!$D$20="Avalanche",'Avalanche workings'!$BC$171,'Snowball workings'!$BC$171))</f>
      </c>
      <c r="D169" s="29">
        <f>IF(164&gt;$Z$1,"",IF('Your debts'!$D$20="Avalanche",'Avalanche workings'!$BA$171,'Snowball workings'!$BA$171))</f>
      </c>
      <c r="E169" s="29">
        <f>IF(164&gt;$Z$1,"",IF('Your debts'!$D$20="Avalanche",'Avalanche workings'!$BB$171,'Snowball workings'!$BB$171))</f>
      </c>
      <c r="F169" s="29">
        <f>IF(OR(164&gt;$Z$1,NOT(OR('Your debts'!$B$6&lt;&gt;"",N('Your debts'!$C$6)&gt;0))),"",IF('Your debts'!$D$20="Avalanche",'Avalanche workings'!$L$171,'Snowball workings'!$L$171)+IF('Your debts'!$D$20="Avalanche",'Avalanche workings'!$AF$171,'Snowball workings'!$AF$171))</f>
      </c>
      <c r="G169" s="30">
        <f>IF(OR(164&gt;$Z$1,NOT(OR('Your debts'!$B$6&lt;&gt;"",N('Your debts'!$C$6)&gt;0))),"",IF('Your debts'!$D$20="Avalanche",'Avalanche workings'!$AP$171,'Snowball workings'!$AP$171))</f>
      </c>
      <c r="H169" s="29">
        <f>IF(OR(164&gt;$Z$1,NOT(OR('Your debts'!$B$7&lt;&gt;"",N('Your debts'!$C$7)&gt;0))),"",IF('Your debts'!$D$20="Avalanche",'Avalanche workings'!$M$171,'Snowball workings'!$M$171)+IF('Your debts'!$D$20="Avalanche",'Avalanche workings'!$AG$171,'Snowball workings'!$AG$171))</f>
      </c>
      <c r="I169" s="30">
        <f>IF(OR(164&gt;$Z$1,NOT(OR('Your debts'!$B$7&lt;&gt;"",N('Your debts'!$C$7)&gt;0))),"",IF('Your debts'!$D$20="Avalanche",'Avalanche workings'!$AQ$171,'Snowball workings'!$AQ$171))</f>
      </c>
      <c r="J169" s="29">
        <f>IF(OR(164&gt;$Z$1,NOT(OR('Your debts'!$B$8&lt;&gt;"",N('Your debts'!$C$8)&gt;0))),"",IF('Your debts'!$D$20="Avalanche",'Avalanche workings'!$N$171,'Snowball workings'!$N$171)+IF('Your debts'!$D$20="Avalanche",'Avalanche workings'!$AH$171,'Snowball workings'!$AH$171))</f>
      </c>
      <c r="K169" s="30">
        <f>IF(OR(164&gt;$Z$1,NOT(OR('Your debts'!$B$8&lt;&gt;"",N('Your debts'!$C$8)&gt;0))),"",IF('Your debts'!$D$20="Avalanche",'Avalanche workings'!$AR$171,'Snowball workings'!$AR$171))</f>
      </c>
      <c r="L169" s="29">
        <f>IF(OR(164&gt;$Z$1,NOT(OR('Your debts'!$B$9&lt;&gt;"",N('Your debts'!$C$9)&gt;0))),"",IF('Your debts'!$D$20="Avalanche",'Avalanche workings'!$O$171,'Snowball workings'!$O$171)+IF('Your debts'!$D$20="Avalanche",'Avalanche workings'!$AI$171,'Snowball workings'!$AI$171))</f>
      </c>
      <c r="M169" s="30">
        <f>IF(OR(164&gt;$Z$1,NOT(OR('Your debts'!$B$9&lt;&gt;"",N('Your debts'!$C$9)&gt;0))),"",IF('Your debts'!$D$20="Avalanche",'Avalanche workings'!$AS$171,'Snowball workings'!$AS$171))</f>
      </c>
      <c r="N169" s="29">
        <f>IF(OR(164&gt;$Z$1,NOT(OR('Your debts'!$B$10&lt;&gt;"",N('Your debts'!$C$10)&gt;0))),"",IF('Your debts'!$D$20="Avalanche",'Avalanche workings'!$P$171,'Snowball workings'!$P$171)+IF('Your debts'!$D$20="Avalanche",'Avalanche workings'!$AJ$171,'Snowball workings'!$AJ$171))</f>
      </c>
      <c r="O169" s="30">
        <f>IF(OR(164&gt;$Z$1,NOT(OR('Your debts'!$B$10&lt;&gt;"",N('Your debts'!$C$10)&gt;0))),"",IF('Your debts'!$D$20="Avalanche",'Avalanche workings'!$AT$171,'Snowball workings'!$AT$171))</f>
      </c>
      <c r="P169" s="29">
        <f>IF(OR(164&gt;$Z$1,NOT(OR('Your debts'!$B$11&lt;&gt;"",N('Your debts'!$C$11)&gt;0))),"",IF('Your debts'!$D$20="Avalanche",'Avalanche workings'!$Q$171,'Snowball workings'!$Q$171)+IF('Your debts'!$D$20="Avalanche",'Avalanche workings'!$AK$171,'Snowball workings'!$AK$171))</f>
      </c>
      <c r="Q169" s="30">
        <f>IF(OR(164&gt;$Z$1,NOT(OR('Your debts'!$B$11&lt;&gt;"",N('Your debts'!$C$11)&gt;0))),"",IF('Your debts'!$D$20="Avalanche",'Avalanche workings'!$AU$171,'Snowball workings'!$AU$171))</f>
      </c>
      <c r="R169" s="29">
        <f>IF(OR(164&gt;$Z$1,NOT(OR('Your debts'!$B$12&lt;&gt;"",N('Your debts'!$C$12)&gt;0))),"",IF('Your debts'!$D$20="Avalanche",'Avalanche workings'!$R$171,'Snowball workings'!$R$171)+IF('Your debts'!$D$20="Avalanche",'Avalanche workings'!$AL$171,'Snowball workings'!$AL$171))</f>
      </c>
      <c r="S169" s="30">
        <f>IF(OR(164&gt;$Z$1,NOT(OR('Your debts'!$B$12&lt;&gt;"",N('Your debts'!$C$12)&gt;0))),"",IF('Your debts'!$D$20="Avalanche",'Avalanche workings'!$AV$171,'Snowball workings'!$AV$171))</f>
      </c>
      <c r="T169" s="29">
        <f>IF(OR(164&gt;$Z$1,NOT(OR('Your debts'!$B$13&lt;&gt;"",N('Your debts'!$C$13)&gt;0))),"",IF('Your debts'!$D$20="Avalanche",'Avalanche workings'!$S$171,'Snowball workings'!$S$171)+IF('Your debts'!$D$20="Avalanche",'Avalanche workings'!$AM$171,'Snowball workings'!$AM$171))</f>
      </c>
      <c r="U169" s="30">
        <f>IF(OR(164&gt;$Z$1,NOT(OR('Your debts'!$B$13&lt;&gt;"",N('Your debts'!$C$13)&gt;0))),"",IF('Your debts'!$D$20="Avalanche",'Avalanche workings'!$AW$171,'Snowball workings'!$AW$171))</f>
      </c>
      <c r="V169" s="29">
        <f>IF(OR(164&gt;$Z$1,NOT(OR('Your debts'!$B$14&lt;&gt;"",N('Your debts'!$C$14)&gt;0))),"",IF('Your debts'!$D$20="Avalanche",'Avalanche workings'!$T$171,'Snowball workings'!$T$171)+IF('Your debts'!$D$20="Avalanche",'Avalanche workings'!$AN$171,'Snowball workings'!$AN$171))</f>
      </c>
      <c r="W169" s="30">
        <f>IF(OR(164&gt;$Z$1,NOT(OR('Your debts'!$B$14&lt;&gt;"",N('Your debts'!$C$14)&gt;0))),"",IF('Your debts'!$D$20="Avalanche",'Avalanche workings'!$AX$171,'Snowball workings'!$AX$171))</f>
      </c>
      <c r="X169" s="29">
        <f>IF(OR(164&gt;$Z$1,NOT(OR('Your debts'!$B$15&lt;&gt;"",N('Your debts'!$C$15)&gt;0))),"",IF('Your debts'!$D$20="Avalanche",'Avalanche workings'!$U$171,'Snowball workings'!$U$171)+IF('Your debts'!$D$20="Avalanche",'Avalanche workings'!$AO$171,'Snowball workings'!$AO$171))</f>
      </c>
      <c r="Y169" s="30">
        <f>IF(OR(164&gt;$Z$1,NOT(OR('Your debts'!$B$15&lt;&gt;"",N('Your debts'!$C$15)&gt;0))),"",IF('Your debts'!$D$20="Avalanche",'Avalanche workings'!$AY$171,'Snowball workings'!$AY$171))</f>
      </c>
    </row>
    <row r="170" spans="1:25" x14ac:dyDescent="0.25">
      <c r="A170" s="2">
        <f>IF(165&gt;$Z$1,"",165)</f>
      </c>
      <c r="B170" s="28">
        <f>IF(165&gt;$Z$1,"",EDATE('Your debts'!$D$21,164))</f>
      </c>
      <c r="C170" s="29">
        <f>IF(165&gt;$Z$1,"",IF('Your debts'!$D$20="Avalanche",'Avalanche workings'!$BC$172,'Snowball workings'!$BC$172))</f>
      </c>
      <c r="D170" s="29">
        <f>IF(165&gt;$Z$1,"",IF('Your debts'!$D$20="Avalanche",'Avalanche workings'!$BA$172,'Snowball workings'!$BA$172))</f>
      </c>
      <c r="E170" s="29">
        <f>IF(165&gt;$Z$1,"",IF('Your debts'!$D$20="Avalanche",'Avalanche workings'!$BB$172,'Snowball workings'!$BB$172))</f>
      </c>
      <c r="F170" s="29">
        <f>IF(OR(165&gt;$Z$1,NOT(OR('Your debts'!$B$6&lt;&gt;"",N('Your debts'!$C$6)&gt;0))),"",IF('Your debts'!$D$20="Avalanche",'Avalanche workings'!$L$172,'Snowball workings'!$L$172)+IF('Your debts'!$D$20="Avalanche",'Avalanche workings'!$AF$172,'Snowball workings'!$AF$172))</f>
      </c>
      <c r="G170" s="30">
        <f>IF(OR(165&gt;$Z$1,NOT(OR('Your debts'!$B$6&lt;&gt;"",N('Your debts'!$C$6)&gt;0))),"",IF('Your debts'!$D$20="Avalanche",'Avalanche workings'!$AP$172,'Snowball workings'!$AP$172))</f>
      </c>
      <c r="H170" s="29">
        <f>IF(OR(165&gt;$Z$1,NOT(OR('Your debts'!$B$7&lt;&gt;"",N('Your debts'!$C$7)&gt;0))),"",IF('Your debts'!$D$20="Avalanche",'Avalanche workings'!$M$172,'Snowball workings'!$M$172)+IF('Your debts'!$D$20="Avalanche",'Avalanche workings'!$AG$172,'Snowball workings'!$AG$172))</f>
      </c>
      <c r="I170" s="30">
        <f>IF(OR(165&gt;$Z$1,NOT(OR('Your debts'!$B$7&lt;&gt;"",N('Your debts'!$C$7)&gt;0))),"",IF('Your debts'!$D$20="Avalanche",'Avalanche workings'!$AQ$172,'Snowball workings'!$AQ$172))</f>
      </c>
      <c r="J170" s="29">
        <f>IF(OR(165&gt;$Z$1,NOT(OR('Your debts'!$B$8&lt;&gt;"",N('Your debts'!$C$8)&gt;0))),"",IF('Your debts'!$D$20="Avalanche",'Avalanche workings'!$N$172,'Snowball workings'!$N$172)+IF('Your debts'!$D$20="Avalanche",'Avalanche workings'!$AH$172,'Snowball workings'!$AH$172))</f>
      </c>
      <c r="K170" s="30">
        <f>IF(OR(165&gt;$Z$1,NOT(OR('Your debts'!$B$8&lt;&gt;"",N('Your debts'!$C$8)&gt;0))),"",IF('Your debts'!$D$20="Avalanche",'Avalanche workings'!$AR$172,'Snowball workings'!$AR$172))</f>
      </c>
      <c r="L170" s="29">
        <f>IF(OR(165&gt;$Z$1,NOT(OR('Your debts'!$B$9&lt;&gt;"",N('Your debts'!$C$9)&gt;0))),"",IF('Your debts'!$D$20="Avalanche",'Avalanche workings'!$O$172,'Snowball workings'!$O$172)+IF('Your debts'!$D$20="Avalanche",'Avalanche workings'!$AI$172,'Snowball workings'!$AI$172))</f>
      </c>
      <c r="M170" s="30">
        <f>IF(OR(165&gt;$Z$1,NOT(OR('Your debts'!$B$9&lt;&gt;"",N('Your debts'!$C$9)&gt;0))),"",IF('Your debts'!$D$20="Avalanche",'Avalanche workings'!$AS$172,'Snowball workings'!$AS$172))</f>
      </c>
      <c r="N170" s="29">
        <f>IF(OR(165&gt;$Z$1,NOT(OR('Your debts'!$B$10&lt;&gt;"",N('Your debts'!$C$10)&gt;0))),"",IF('Your debts'!$D$20="Avalanche",'Avalanche workings'!$P$172,'Snowball workings'!$P$172)+IF('Your debts'!$D$20="Avalanche",'Avalanche workings'!$AJ$172,'Snowball workings'!$AJ$172))</f>
      </c>
      <c r="O170" s="30">
        <f>IF(OR(165&gt;$Z$1,NOT(OR('Your debts'!$B$10&lt;&gt;"",N('Your debts'!$C$10)&gt;0))),"",IF('Your debts'!$D$20="Avalanche",'Avalanche workings'!$AT$172,'Snowball workings'!$AT$172))</f>
      </c>
      <c r="P170" s="29">
        <f>IF(OR(165&gt;$Z$1,NOT(OR('Your debts'!$B$11&lt;&gt;"",N('Your debts'!$C$11)&gt;0))),"",IF('Your debts'!$D$20="Avalanche",'Avalanche workings'!$Q$172,'Snowball workings'!$Q$172)+IF('Your debts'!$D$20="Avalanche",'Avalanche workings'!$AK$172,'Snowball workings'!$AK$172))</f>
      </c>
      <c r="Q170" s="30">
        <f>IF(OR(165&gt;$Z$1,NOT(OR('Your debts'!$B$11&lt;&gt;"",N('Your debts'!$C$11)&gt;0))),"",IF('Your debts'!$D$20="Avalanche",'Avalanche workings'!$AU$172,'Snowball workings'!$AU$172))</f>
      </c>
      <c r="R170" s="29">
        <f>IF(OR(165&gt;$Z$1,NOT(OR('Your debts'!$B$12&lt;&gt;"",N('Your debts'!$C$12)&gt;0))),"",IF('Your debts'!$D$20="Avalanche",'Avalanche workings'!$R$172,'Snowball workings'!$R$172)+IF('Your debts'!$D$20="Avalanche",'Avalanche workings'!$AL$172,'Snowball workings'!$AL$172))</f>
      </c>
      <c r="S170" s="30">
        <f>IF(OR(165&gt;$Z$1,NOT(OR('Your debts'!$B$12&lt;&gt;"",N('Your debts'!$C$12)&gt;0))),"",IF('Your debts'!$D$20="Avalanche",'Avalanche workings'!$AV$172,'Snowball workings'!$AV$172))</f>
      </c>
      <c r="T170" s="29">
        <f>IF(OR(165&gt;$Z$1,NOT(OR('Your debts'!$B$13&lt;&gt;"",N('Your debts'!$C$13)&gt;0))),"",IF('Your debts'!$D$20="Avalanche",'Avalanche workings'!$S$172,'Snowball workings'!$S$172)+IF('Your debts'!$D$20="Avalanche",'Avalanche workings'!$AM$172,'Snowball workings'!$AM$172))</f>
      </c>
      <c r="U170" s="30">
        <f>IF(OR(165&gt;$Z$1,NOT(OR('Your debts'!$B$13&lt;&gt;"",N('Your debts'!$C$13)&gt;0))),"",IF('Your debts'!$D$20="Avalanche",'Avalanche workings'!$AW$172,'Snowball workings'!$AW$172))</f>
      </c>
      <c r="V170" s="29">
        <f>IF(OR(165&gt;$Z$1,NOT(OR('Your debts'!$B$14&lt;&gt;"",N('Your debts'!$C$14)&gt;0))),"",IF('Your debts'!$D$20="Avalanche",'Avalanche workings'!$T$172,'Snowball workings'!$T$172)+IF('Your debts'!$D$20="Avalanche",'Avalanche workings'!$AN$172,'Snowball workings'!$AN$172))</f>
      </c>
      <c r="W170" s="30">
        <f>IF(OR(165&gt;$Z$1,NOT(OR('Your debts'!$B$14&lt;&gt;"",N('Your debts'!$C$14)&gt;0))),"",IF('Your debts'!$D$20="Avalanche",'Avalanche workings'!$AX$172,'Snowball workings'!$AX$172))</f>
      </c>
      <c r="X170" s="29">
        <f>IF(OR(165&gt;$Z$1,NOT(OR('Your debts'!$B$15&lt;&gt;"",N('Your debts'!$C$15)&gt;0))),"",IF('Your debts'!$D$20="Avalanche",'Avalanche workings'!$U$172,'Snowball workings'!$U$172)+IF('Your debts'!$D$20="Avalanche",'Avalanche workings'!$AO$172,'Snowball workings'!$AO$172))</f>
      </c>
      <c r="Y170" s="30">
        <f>IF(OR(165&gt;$Z$1,NOT(OR('Your debts'!$B$15&lt;&gt;"",N('Your debts'!$C$15)&gt;0))),"",IF('Your debts'!$D$20="Avalanche",'Avalanche workings'!$AY$172,'Snowball workings'!$AY$172))</f>
      </c>
    </row>
    <row r="171" spans="1:25" x14ac:dyDescent="0.25">
      <c r="A171" s="2">
        <f>IF(166&gt;$Z$1,"",166)</f>
      </c>
      <c r="B171" s="28">
        <f>IF(166&gt;$Z$1,"",EDATE('Your debts'!$D$21,165))</f>
      </c>
      <c r="C171" s="29">
        <f>IF(166&gt;$Z$1,"",IF('Your debts'!$D$20="Avalanche",'Avalanche workings'!$BC$173,'Snowball workings'!$BC$173))</f>
      </c>
      <c r="D171" s="29">
        <f>IF(166&gt;$Z$1,"",IF('Your debts'!$D$20="Avalanche",'Avalanche workings'!$BA$173,'Snowball workings'!$BA$173))</f>
      </c>
      <c r="E171" s="29">
        <f>IF(166&gt;$Z$1,"",IF('Your debts'!$D$20="Avalanche",'Avalanche workings'!$BB$173,'Snowball workings'!$BB$173))</f>
      </c>
      <c r="F171" s="29">
        <f>IF(OR(166&gt;$Z$1,NOT(OR('Your debts'!$B$6&lt;&gt;"",N('Your debts'!$C$6)&gt;0))),"",IF('Your debts'!$D$20="Avalanche",'Avalanche workings'!$L$173,'Snowball workings'!$L$173)+IF('Your debts'!$D$20="Avalanche",'Avalanche workings'!$AF$173,'Snowball workings'!$AF$173))</f>
      </c>
      <c r="G171" s="30">
        <f>IF(OR(166&gt;$Z$1,NOT(OR('Your debts'!$B$6&lt;&gt;"",N('Your debts'!$C$6)&gt;0))),"",IF('Your debts'!$D$20="Avalanche",'Avalanche workings'!$AP$173,'Snowball workings'!$AP$173))</f>
      </c>
      <c r="H171" s="29">
        <f>IF(OR(166&gt;$Z$1,NOT(OR('Your debts'!$B$7&lt;&gt;"",N('Your debts'!$C$7)&gt;0))),"",IF('Your debts'!$D$20="Avalanche",'Avalanche workings'!$M$173,'Snowball workings'!$M$173)+IF('Your debts'!$D$20="Avalanche",'Avalanche workings'!$AG$173,'Snowball workings'!$AG$173))</f>
      </c>
      <c r="I171" s="30">
        <f>IF(OR(166&gt;$Z$1,NOT(OR('Your debts'!$B$7&lt;&gt;"",N('Your debts'!$C$7)&gt;0))),"",IF('Your debts'!$D$20="Avalanche",'Avalanche workings'!$AQ$173,'Snowball workings'!$AQ$173))</f>
      </c>
      <c r="J171" s="29">
        <f>IF(OR(166&gt;$Z$1,NOT(OR('Your debts'!$B$8&lt;&gt;"",N('Your debts'!$C$8)&gt;0))),"",IF('Your debts'!$D$20="Avalanche",'Avalanche workings'!$N$173,'Snowball workings'!$N$173)+IF('Your debts'!$D$20="Avalanche",'Avalanche workings'!$AH$173,'Snowball workings'!$AH$173))</f>
      </c>
      <c r="K171" s="30">
        <f>IF(OR(166&gt;$Z$1,NOT(OR('Your debts'!$B$8&lt;&gt;"",N('Your debts'!$C$8)&gt;0))),"",IF('Your debts'!$D$20="Avalanche",'Avalanche workings'!$AR$173,'Snowball workings'!$AR$173))</f>
      </c>
      <c r="L171" s="29">
        <f>IF(OR(166&gt;$Z$1,NOT(OR('Your debts'!$B$9&lt;&gt;"",N('Your debts'!$C$9)&gt;0))),"",IF('Your debts'!$D$20="Avalanche",'Avalanche workings'!$O$173,'Snowball workings'!$O$173)+IF('Your debts'!$D$20="Avalanche",'Avalanche workings'!$AI$173,'Snowball workings'!$AI$173))</f>
      </c>
      <c r="M171" s="30">
        <f>IF(OR(166&gt;$Z$1,NOT(OR('Your debts'!$B$9&lt;&gt;"",N('Your debts'!$C$9)&gt;0))),"",IF('Your debts'!$D$20="Avalanche",'Avalanche workings'!$AS$173,'Snowball workings'!$AS$173))</f>
      </c>
      <c r="N171" s="29">
        <f>IF(OR(166&gt;$Z$1,NOT(OR('Your debts'!$B$10&lt;&gt;"",N('Your debts'!$C$10)&gt;0))),"",IF('Your debts'!$D$20="Avalanche",'Avalanche workings'!$P$173,'Snowball workings'!$P$173)+IF('Your debts'!$D$20="Avalanche",'Avalanche workings'!$AJ$173,'Snowball workings'!$AJ$173))</f>
      </c>
      <c r="O171" s="30">
        <f>IF(OR(166&gt;$Z$1,NOT(OR('Your debts'!$B$10&lt;&gt;"",N('Your debts'!$C$10)&gt;0))),"",IF('Your debts'!$D$20="Avalanche",'Avalanche workings'!$AT$173,'Snowball workings'!$AT$173))</f>
      </c>
      <c r="P171" s="29">
        <f>IF(OR(166&gt;$Z$1,NOT(OR('Your debts'!$B$11&lt;&gt;"",N('Your debts'!$C$11)&gt;0))),"",IF('Your debts'!$D$20="Avalanche",'Avalanche workings'!$Q$173,'Snowball workings'!$Q$173)+IF('Your debts'!$D$20="Avalanche",'Avalanche workings'!$AK$173,'Snowball workings'!$AK$173))</f>
      </c>
      <c r="Q171" s="30">
        <f>IF(OR(166&gt;$Z$1,NOT(OR('Your debts'!$B$11&lt;&gt;"",N('Your debts'!$C$11)&gt;0))),"",IF('Your debts'!$D$20="Avalanche",'Avalanche workings'!$AU$173,'Snowball workings'!$AU$173))</f>
      </c>
      <c r="R171" s="29">
        <f>IF(OR(166&gt;$Z$1,NOT(OR('Your debts'!$B$12&lt;&gt;"",N('Your debts'!$C$12)&gt;0))),"",IF('Your debts'!$D$20="Avalanche",'Avalanche workings'!$R$173,'Snowball workings'!$R$173)+IF('Your debts'!$D$20="Avalanche",'Avalanche workings'!$AL$173,'Snowball workings'!$AL$173))</f>
      </c>
      <c r="S171" s="30">
        <f>IF(OR(166&gt;$Z$1,NOT(OR('Your debts'!$B$12&lt;&gt;"",N('Your debts'!$C$12)&gt;0))),"",IF('Your debts'!$D$20="Avalanche",'Avalanche workings'!$AV$173,'Snowball workings'!$AV$173))</f>
      </c>
      <c r="T171" s="29">
        <f>IF(OR(166&gt;$Z$1,NOT(OR('Your debts'!$B$13&lt;&gt;"",N('Your debts'!$C$13)&gt;0))),"",IF('Your debts'!$D$20="Avalanche",'Avalanche workings'!$S$173,'Snowball workings'!$S$173)+IF('Your debts'!$D$20="Avalanche",'Avalanche workings'!$AM$173,'Snowball workings'!$AM$173))</f>
      </c>
      <c r="U171" s="30">
        <f>IF(OR(166&gt;$Z$1,NOT(OR('Your debts'!$B$13&lt;&gt;"",N('Your debts'!$C$13)&gt;0))),"",IF('Your debts'!$D$20="Avalanche",'Avalanche workings'!$AW$173,'Snowball workings'!$AW$173))</f>
      </c>
      <c r="V171" s="29">
        <f>IF(OR(166&gt;$Z$1,NOT(OR('Your debts'!$B$14&lt;&gt;"",N('Your debts'!$C$14)&gt;0))),"",IF('Your debts'!$D$20="Avalanche",'Avalanche workings'!$T$173,'Snowball workings'!$T$173)+IF('Your debts'!$D$20="Avalanche",'Avalanche workings'!$AN$173,'Snowball workings'!$AN$173))</f>
      </c>
      <c r="W171" s="30">
        <f>IF(OR(166&gt;$Z$1,NOT(OR('Your debts'!$B$14&lt;&gt;"",N('Your debts'!$C$14)&gt;0))),"",IF('Your debts'!$D$20="Avalanche",'Avalanche workings'!$AX$173,'Snowball workings'!$AX$173))</f>
      </c>
      <c r="X171" s="29">
        <f>IF(OR(166&gt;$Z$1,NOT(OR('Your debts'!$B$15&lt;&gt;"",N('Your debts'!$C$15)&gt;0))),"",IF('Your debts'!$D$20="Avalanche",'Avalanche workings'!$U$173,'Snowball workings'!$U$173)+IF('Your debts'!$D$20="Avalanche",'Avalanche workings'!$AO$173,'Snowball workings'!$AO$173))</f>
      </c>
      <c r="Y171" s="30">
        <f>IF(OR(166&gt;$Z$1,NOT(OR('Your debts'!$B$15&lt;&gt;"",N('Your debts'!$C$15)&gt;0))),"",IF('Your debts'!$D$20="Avalanche",'Avalanche workings'!$AY$173,'Snowball workings'!$AY$173))</f>
      </c>
    </row>
    <row r="172" spans="1:25" x14ac:dyDescent="0.25">
      <c r="A172" s="2">
        <f>IF(167&gt;$Z$1,"",167)</f>
      </c>
      <c r="B172" s="28">
        <f>IF(167&gt;$Z$1,"",EDATE('Your debts'!$D$21,166))</f>
      </c>
      <c r="C172" s="29">
        <f>IF(167&gt;$Z$1,"",IF('Your debts'!$D$20="Avalanche",'Avalanche workings'!$BC$174,'Snowball workings'!$BC$174))</f>
      </c>
      <c r="D172" s="29">
        <f>IF(167&gt;$Z$1,"",IF('Your debts'!$D$20="Avalanche",'Avalanche workings'!$BA$174,'Snowball workings'!$BA$174))</f>
      </c>
      <c r="E172" s="29">
        <f>IF(167&gt;$Z$1,"",IF('Your debts'!$D$20="Avalanche",'Avalanche workings'!$BB$174,'Snowball workings'!$BB$174))</f>
      </c>
      <c r="F172" s="29">
        <f>IF(OR(167&gt;$Z$1,NOT(OR('Your debts'!$B$6&lt;&gt;"",N('Your debts'!$C$6)&gt;0))),"",IF('Your debts'!$D$20="Avalanche",'Avalanche workings'!$L$174,'Snowball workings'!$L$174)+IF('Your debts'!$D$20="Avalanche",'Avalanche workings'!$AF$174,'Snowball workings'!$AF$174))</f>
      </c>
      <c r="G172" s="30">
        <f>IF(OR(167&gt;$Z$1,NOT(OR('Your debts'!$B$6&lt;&gt;"",N('Your debts'!$C$6)&gt;0))),"",IF('Your debts'!$D$20="Avalanche",'Avalanche workings'!$AP$174,'Snowball workings'!$AP$174))</f>
      </c>
      <c r="H172" s="29">
        <f>IF(OR(167&gt;$Z$1,NOT(OR('Your debts'!$B$7&lt;&gt;"",N('Your debts'!$C$7)&gt;0))),"",IF('Your debts'!$D$20="Avalanche",'Avalanche workings'!$M$174,'Snowball workings'!$M$174)+IF('Your debts'!$D$20="Avalanche",'Avalanche workings'!$AG$174,'Snowball workings'!$AG$174))</f>
      </c>
      <c r="I172" s="30">
        <f>IF(OR(167&gt;$Z$1,NOT(OR('Your debts'!$B$7&lt;&gt;"",N('Your debts'!$C$7)&gt;0))),"",IF('Your debts'!$D$20="Avalanche",'Avalanche workings'!$AQ$174,'Snowball workings'!$AQ$174))</f>
      </c>
      <c r="J172" s="29">
        <f>IF(OR(167&gt;$Z$1,NOT(OR('Your debts'!$B$8&lt;&gt;"",N('Your debts'!$C$8)&gt;0))),"",IF('Your debts'!$D$20="Avalanche",'Avalanche workings'!$N$174,'Snowball workings'!$N$174)+IF('Your debts'!$D$20="Avalanche",'Avalanche workings'!$AH$174,'Snowball workings'!$AH$174))</f>
      </c>
      <c r="K172" s="30">
        <f>IF(OR(167&gt;$Z$1,NOT(OR('Your debts'!$B$8&lt;&gt;"",N('Your debts'!$C$8)&gt;0))),"",IF('Your debts'!$D$20="Avalanche",'Avalanche workings'!$AR$174,'Snowball workings'!$AR$174))</f>
      </c>
      <c r="L172" s="29">
        <f>IF(OR(167&gt;$Z$1,NOT(OR('Your debts'!$B$9&lt;&gt;"",N('Your debts'!$C$9)&gt;0))),"",IF('Your debts'!$D$20="Avalanche",'Avalanche workings'!$O$174,'Snowball workings'!$O$174)+IF('Your debts'!$D$20="Avalanche",'Avalanche workings'!$AI$174,'Snowball workings'!$AI$174))</f>
      </c>
      <c r="M172" s="30">
        <f>IF(OR(167&gt;$Z$1,NOT(OR('Your debts'!$B$9&lt;&gt;"",N('Your debts'!$C$9)&gt;0))),"",IF('Your debts'!$D$20="Avalanche",'Avalanche workings'!$AS$174,'Snowball workings'!$AS$174))</f>
      </c>
      <c r="N172" s="29">
        <f>IF(OR(167&gt;$Z$1,NOT(OR('Your debts'!$B$10&lt;&gt;"",N('Your debts'!$C$10)&gt;0))),"",IF('Your debts'!$D$20="Avalanche",'Avalanche workings'!$P$174,'Snowball workings'!$P$174)+IF('Your debts'!$D$20="Avalanche",'Avalanche workings'!$AJ$174,'Snowball workings'!$AJ$174))</f>
      </c>
      <c r="O172" s="30">
        <f>IF(OR(167&gt;$Z$1,NOT(OR('Your debts'!$B$10&lt;&gt;"",N('Your debts'!$C$10)&gt;0))),"",IF('Your debts'!$D$20="Avalanche",'Avalanche workings'!$AT$174,'Snowball workings'!$AT$174))</f>
      </c>
      <c r="P172" s="29">
        <f>IF(OR(167&gt;$Z$1,NOT(OR('Your debts'!$B$11&lt;&gt;"",N('Your debts'!$C$11)&gt;0))),"",IF('Your debts'!$D$20="Avalanche",'Avalanche workings'!$Q$174,'Snowball workings'!$Q$174)+IF('Your debts'!$D$20="Avalanche",'Avalanche workings'!$AK$174,'Snowball workings'!$AK$174))</f>
      </c>
      <c r="Q172" s="30">
        <f>IF(OR(167&gt;$Z$1,NOT(OR('Your debts'!$B$11&lt;&gt;"",N('Your debts'!$C$11)&gt;0))),"",IF('Your debts'!$D$20="Avalanche",'Avalanche workings'!$AU$174,'Snowball workings'!$AU$174))</f>
      </c>
      <c r="R172" s="29">
        <f>IF(OR(167&gt;$Z$1,NOT(OR('Your debts'!$B$12&lt;&gt;"",N('Your debts'!$C$12)&gt;0))),"",IF('Your debts'!$D$20="Avalanche",'Avalanche workings'!$R$174,'Snowball workings'!$R$174)+IF('Your debts'!$D$20="Avalanche",'Avalanche workings'!$AL$174,'Snowball workings'!$AL$174))</f>
      </c>
      <c r="S172" s="30">
        <f>IF(OR(167&gt;$Z$1,NOT(OR('Your debts'!$B$12&lt;&gt;"",N('Your debts'!$C$12)&gt;0))),"",IF('Your debts'!$D$20="Avalanche",'Avalanche workings'!$AV$174,'Snowball workings'!$AV$174))</f>
      </c>
      <c r="T172" s="29">
        <f>IF(OR(167&gt;$Z$1,NOT(OR('Your debts'!$B$13&lt;&gt;"",N('Your debts'!$C$13)&gt;0))),"",IF('Your debts'!$D$20="Avalanche",'Avalanche workings'!$S$174,'Snowball workings'!$S$174)+IF('Your debts'!$D$20="Avalanche",'Avalanche workings'!$AM$174,'Snowball workings'!$AM$174))</f>
      </c>
      <c r="U172" s="30">
        <f>IF(OR(167&gt;$Z$1,NOT(OR('Your debts'!$B$13&lt;&gt;"",N('Your debts'!$C$13)&gt;0))),"",IF('Your debts'!$D$20="Avalanche",'Avalanche workings'!$AW$174,'Snowball workings'!$AW$174))</f>
      </c>
      <c r="V172" s="29">
        <f>IF(OR(167&gt;$Z$1,NOT(OR('Your debts'!$B$14&lt;&gt;"",N('Your debts'!$C$14)&gt;0))),"",IF('Your debts'!$D$20="Avalanche",'Avalanche workings'!$T$174,'Snowball workings'!$T$174)+IF('Your debts'!$D$20="Avalanche",'Avalanche workings'!$AN$174,'Snowball workings'!$AN$174))</f>
      </c>
      <c r="W172" s="30">
        <f>IF(OR(167&gt;$Z$1,NOT(OR('Your debts'!$B$14&lt;&gt;"",N('Your debts'!$C$14)&gt;0))),"",IF('Your debts'!$D$20="Avalanche",'Avalanche workings'!$AX$174,'Snowball workings'!$AX$174))</f>
      </c>
      <c r="X172" s="29">
        <f>IF(OR(167&gt;$Z$1,NOT(OR('Your debts'!$B$15&lt;&gt;"",N('Your debts'!$C$15)&gt;0))),"",IF('Your debts'!$D$20="Avalanche",'Avalanche workings'!$U$174,'Snowball workings'!$U$174)+IF('Your debts'!$D$20="Avalanche",'Avalanche workings'!$AO$174,'Snowball workings'!$AO$174))</f>
      </c>
      <c r="Y172" s="30">
        <f>IF(OR(167&gt;$Z$1,NOT(OR('Your debts'!$B$15&lt;&gt;"",N('Your debts'!$C$15)&gt;0))),"",IF('Your debts'!$D$20="Avalanche",'Avalanche workings'!$AY$174,'Snowball workings'!$AY$174))</f>
      </c>
    </row>
    <row r="173" spans="1:25" x14ac:dyDescent="0.25">
      <c r="A173" s="2">
        <f>IF(168&gt;$Z$1,"",168)</f>
      </c>
      <c r="B173" s="28">
        <f>IF(168&gt;$Z$1,"",EDATE('Your debts'!$D$21,167))</f>
      </c>
      <c r="C173" s="29">
        <f>IF(168&gt;$Z$1,"",IF('Your debts'!$D$20="Avalanche",'Avalanche workings'!$BC$175,'Snowball workings'!$BC$175))</f>
      </c>
      <c r="D173" s="29">
        <f>IF(168&gt;$Z$1,"",IF('Your debts'!$D$20="Avalanche",'Avalanche workings'!$BA$175,'Snowball workings'!$BA$175))</f>
      </c>
      <c r="E173" s="29">
        <f>IF(168&gt;$Z$1,"",IF('Your debts'!$D$20="Avalanche",'Avalanche workings'!$BB$175,'Snowball workings'!$BB$175))</f>
      </c>
      <c r="F173" s="29">
        <f>IF(OR(168&gt;$Z$1,NOT(OR('Your debts'!$B$6&lt;&gt;"",N('Your debts'!$C$6)&gt;0))),"",IF('Your debts'!$D$20="Avalanche",'Avalanche workings'!$L$175,'Snowball workings'!$L$175)+IF('Your debts'!$D$20="Avalanche",'Avalanche workings'!$AF$175,'Snowball workings'!$AF$175))</f>
      </c>
      <c r="G173" s="30">
        <f>IF(OR(168&gt;$Z$1,NOT(OR('Your debts'!$B$6&lt;&gt;"",N('Your debts'!$C$6)&gt;0))),"",IF('Your debts'!$D$20="Avalanche",'Avalanche workings'!$AP$175,'Snowball workings'!$AP$175))</f>
      </c>
      <c r="H173" s="29">
        <f>IF(OR(168&gt;$Z$1,NOT(OR('Your debts'!$B$7&lt;&gt;"",N('Your debts'!$C$7)&gt;0))),"",IF('Your debts'!$D$20="Avalanche",'Avalanche workings'!$M$175,'Snowball workings'!$M$175)+IF('Your debts'!$D$20="Avalanche",'Avalanche workings'!$AG$175,'Snowball workings'!$AG$175))</f>
      </c>
      <c r="I173" s="30">
        <f>IF(OR(168&gt;$Z$1,NOT(OR('Your debts'!$B$7&lt;&gt;"",N('Your debts'!$C$7)&gt;0))),"",IF('Your debts'!$D$20="Avalanche",'Avalanche workings'!$AQ$175,'Snowball workings'!$AQ$175))</f>
      </c>
      <c r="J173" s="29">
        <f>IF(OR(168&gt;$Z$1,NOT(OR('Your debts'!$B$8&lt;&gt;"",N('Your debts'!$C$8)&gt;0))),"",IF('Your debts'!$D$20="Avalanche",'Avalanche workings'!$N$175,'Snowball workings'!$N$175)+IF('Your debts'!$D$20="Avalanche",'Avalanche workings'!$AH$175,'Snowball workings'!$AH$175))</f>
      </c>
      <c r="K173" s="30">
        <f>IF(OR(168&gt;$Z$1,NOT(OR('Your debts'!$B$8&lt;&gt;"",N('Your debts'!$C$8)&gt;0))),"",IF('Your debts'!$D$20="Avalanche",'Avalanche workings'!$AR$175,'Snowball workings'!$AR$175))</f>
      </c>
      <c r="L173" s="29">
        <f>IF(OR(168&gt;$Z$1,NOT(OR('Your debts'!$B$9&lt;&gt;"",N('Your debts'!$C$9)&gt;0))),"",IF('Your debts'!$D$20="Avalanche",'Avalanche workings'!$O$175,'Snowball workings'!$O$175)+IF('Your debts'!$D$20="Avalanche",'Avalanche workings'!$AI$175,'Snowball workings'!$AI$175))</f>
      </c>
      <c r="M173" s="30">
        <f>IF(OR(168&gt;$Z$1,NOT(OR('Your debts'!$B$9&lt;&gt;"",N('Your debts'!$C$9)&gt;0))),"",IF('Your debts'!$D$20="Avalanche",'Avalanche workings'!$AS$175,'Snowball workings'!$AS$175))</f>
      </c>
      <c r="N173" s="29">
        <f>IF(OR(168&gt;$Z$1,NOT(OR('Your debts'!$B$10&lt;&gt;"",N('Your debts'!$C$10)&gt;0))),"",IF('Your debts'!$D$20="Avalanche",'Avalanche workings'!$P$175,'Snowball workings'!$P$175)+IF('Your debts'!$D$20="Avalanche",'Avalanche workings'!$AJ$175,'Snowball workings'!$AJ$175))</f>
      </c>
      <c r="O173" s="30">
        <f>IF(OR(168&gt;$Z$1,NOT(OR('Your debts'!$B$10&lt;&gt;"",N('Your debts'!$C$10)&gt;0))),"",IF('Your debts'!$D$20="Avalanche",'Avalanche workings'!$AT$175,'Snowball workings'!$AT$175))</f>
      </c>
      <c r="P173" s="29">
        <f>IF(OR(168&gt;$Z$1,NOT(OR('Your debts'!$B$11&lt;&gt;"",N('Your debts'!$C$11)&gt;0))),"",IF('Your debts'!$D$20="Avalanche",'Avalanche workings'!$Q$175,'Snowball workings'!$Q$175)+IF('Your debts'!$D$20="Avalanche",'Avalanche workings'!$AK$175,'Snowball workings'!$AK$175))</f>
      </c>
      <c r="Q173" s="30">
        <f>IF(OR(168&gt;$Z$1,NOT(OR('Your debts'!$B$11&lt;&gt;"",N('Your debts'!$C$11)&gt;0))),"",IF('Your debts'!$D$20="Avalanche",'Avalanche workings'!$AU$175,'Snowball workings'!$AU$175))</f>
      </c>
      <c r="R173" s="29">
        <f>IF(OR(168&gt;$Z$1,NOT(OR('Your debts'!$B$12&lt;&gt;"",N('Your debts'!$C$12)&gt;0))),"",IF('Your debts'!$D$20="Avalanche",'Avalanche workings'!$R$175,'Snowball workings'!$R$175)+IF('Your debts'!$D$20="Avalanche",'Avalanche workings'!$AL$175,'Snowball workings'!$AL$175))</f>
      </c>
      <c r="S173" s="30">
        <f>IF(OR(168&gt;$Z$1,NOT(OR('Your debts'!$B$12&lt;&gt;"",N('Your debts'!$C$12)&gt;0))),"",IF('Your debts'!$D$20="Avalanche",'Avalanche workings'!$AV$175,'Snowball workings'!$AV$175))</f>
      </c>
      <c r="T173" s="29">
        <f>IF(OR(168&gt;$Z$1,NOT(OR('Your debts'!$B$13&lt;&gt;"",N('Your debts'!$C$13)&gt;0))),"",IF('Your debts'!$D$20="Avalanche",'Avalanche workings'!$S$175,'Snowball workings'!$S$175)+IF('Your debts'!$D$20="Avalanche",'Avalanche workings'!$AM$175,'Snowball workings'!$AM$175))</f>
      </c>
      <c r="U173" s="30">
        <f>IF(OR(168&gt;$Z$1,NOT(OR('Your debts'!$B$13&lt;&gt;"",N('Your debts'!$C$13)&gt;0))),"",IF('Your debts'!$D$20="Avalanche",'Avalanche workings'!$AW$175,'Snowball workings'!$AW$175))</f>
      </c>
      <c r="V173" s="29">
        <f>IF(OR(168&gt;$Z$1,NOT(OR('Your debts'!$B$14&lt;&gt;"",N('Your debts'!$C$14)&gt;0))),"",IF('Your debts'!$D$20="Avalanche",'Avalanche workings'!$T$175,'Snowball workings'!$T$175)+IF('Your debts'!$D$20="Avalanche",'Avalanche workings'!$AN$175,'Snowball workings'!$AN$175))</f>
      </c>
      <c r="W173" s="30">
        <f>IF(OR(168&gt;$Z$1,NOT(OR('Your debts'!$B$14&lt;&gt;"",N('Your debts'!$C$14)&gt;0))),"",IF('Your debts'!$D$20="Avalanche",'Avalanche workings'!$AX$175,'Snowball workings'!$AX$175))</f>
      </c>
      <c r="X173" s="29">
        <f>IF(OR(168&gt;$Z$1,NOT(OR('Your debts'!$B$15&lt;&gt;"",N('Your debts'!$C$15)&gt;0))),"",IF('Your debts'!$D$20="Avalanche",'Avalanche workings'!$U$175,'Snowball workings'!$U$175)+IF('Your debts'!$D$20="Avalanche",'Avalanche workings'!$AO$175,'Snowball workings'!$AO$175))</f>
      </c>
      <c r="Y173" s="30">
        <f>IF(OR(168&gt;$Z$1,NOT(OR('Your debts'!$B$15&lt;&gt;"",N('Your debts'!$C$15)&gt;0))),"",IF('Your debts'!$D$20="Avalanche",'Avalanche workings'!$AY$175,'Snowball workings'!$AY$175))</f>
      </c>
    </row>
    <row r="174" spans="1:25" x14ac:dyDescent="0.25">
      <c r="A174" s="2">
        <f>IF(169&gt;$Z$1,"",169)</f>
      </c>
      <c r="B174" s="28">
        <f>IF(169&gt;$Z$1,"",EDATE('Your debts'!$D$21,168))</f>
      </c>
      <c r="C174" s="29">
        <f>IF(169&gt;$Z$1,"",IF('Your debts'!$D$20="Avalanche",'Avalanche workings'!$BC$176,'Snowball workings'!$BC$176))</f>
      </c>
      <c r="D174" s="29">
        <f>IF(169&gt;$Z$1,"",IF('Your debts'!$D$20="Avalanche",'Avalanche workings'!$BA$176,'Snowball workings'!$BA$176))</f>
      </c>
      <c r="E174" s="29">
        <f>IF(169&gt;$Z$1,"",IF('Your debts'!$D$20="Avalanche",'Avalanche workings'!$BB$176,'Snowball workings'!$BB$176))</f>
      </c>
      <c r="F174" s="29">
        <f>IF(OR(169&gt;$Z$1,NOT(OR('Your debts'!$B$6&lt;&gt;"",N('Your debts'!$C$6)&gt;0))),"",IF('Your debts'!$D$20="Avalanche",'Avalanche workings'!$L$176,'Snowball workings'!$L$176)+IF('Your debts'!$D$20="Avalanche",'Avalanche workings'!$AF$176,'Snowball workings'!$AF$176))</f>
      </c>
      <c r="G174" s="30">
        <f>IF(OR(169&gt;$Z$1,NOT(OR('Your debts'!$B$6&lt;&gt;"",N('Your debts'!$C$6)&gt;0))),"",IF('Your debts'!$D$20="Avalanche",'Avalanche workings'!$AP$176,'Snowball workings'!$AP$176))</f>
      </c>
      <c r="H174" s="29">
        <f>IF(OR(169&gt;$Z$1,NOT(OR('Your debts'!$B$7&lt;&gt;"",N('Your debts'!$C$7)&gt;0))),"",IF('Your debts'!$D$20="Avalanche",'Avalanche workings'!$M$176,'Snowball workings'!$M$176)+IF('Your debts'!$D$20="Avalanche",'Avalanche workings'!$AG$176,'Snowball workings'!$AG$176))</f>
      </c>
      <c r="I174" s="30">
        <f>IF(OR(169&gt;$Z$1,NOT(OR('Your debts'!$B$7&lt;&gt;"",N('Your debts'!$C$7)&gt;0))),"",IF('Your debts'!$D$20="Avalanche",'Avalanche workings'!$AQ$176,'Snowball workings'!$AQ$176))</f>
      </c>
      <c r="J174" s="29">
        <f>IF(OR(169&gt;$Z$1,NOT(OR('Your debts'!$B$8&lt;&gt;"",N('Your debts'!$C$8)&gt;0))),"",IF('Your debts'!$D$20="Avalanche",'Avalanche workings'!$N$176,'Snowball workings'!$N$176)+IF('Your debts'!$D$20="Avalanche",'Avalanche workings'!$AH$176,'Snowball workings'!$AH$176))</f>
      </c>
      <c r="K174" s="30">
        <f>IF(OR(169&gt;$Z$1,NOT(OR('Your debts'!$B$8&lt;&gt;"",N('Your debts'!$C$8)&gt;0))),"",IF('Your debts'!$D$20="Avalanche",'Avalanche workings'!$AR$176,'Snowball workings'!$AR$176))</f>
      </c>
      <c r="L174" s="29">
        <f>IF(OR(169&gt;$Z$1,NOT(OR('Your debts'!$B$9&lt;&gt;"",N('Your debts'!$C$9)&gt;0))),"",IF('Your debts'!$D$20="Avalanche",'Avalanche workings'!$O$176,'Snowball workings'!$O$176)+IF('Your debts'!$D$20="Avalanche",'Avalanche workings'!$AI$176,'Snowball workings'!$AI$176))</f>
      </c>
      <c r="M174" s="30">
        <f>IF(OR(169&gt;$Z$1,NOT(OR('Your debts'!$B$9&lt;&gt;"",N('Your debts'!$C$9)&gt;0))),"",IF('Your debts'!$D$20="Avalanche",'Avalanche workings'!$AS$176,'Snowball workings'!$AS$176))</f>
      </c>
      <c r="N174" s="29">
        <f>IF(OR(169&gt;$Z$1,NOT(OR('Your debts'!$B$10&lt;&gt;"",N('Your debts'!$C$10)&gt;0))),"",IF('Your debts'!$D$20="Avalanche",'Avalanche workings'!$P$176,'Snowball workings'!$P$176)+IF('Your debts'!$D$20="Avalanche",'Avalanche workings'!$AJ$176,'Snowball workings'!$AJ$176))</f>
      </c>
      <c r="O174" s="30">
        <f>IF(OR(169&gt;$Z$1,NOT(OR('Your debts'!$B$10&lt;&gt;"",N('Your debts'!$C$10)&gt;0))),"",IF('Your debts'!$D$20="Avalanche",'Avalanche workings'!$AT$176,'Snowball workings'!$AT$176))</f>
      </c>
      <c r="P174" s="29">
        <f>IF(OR(169&gt;$Z$1,NOT(OR('Your debts'!$B$11&lt;&gt;"",N('Your debts'!$C$11)&gt;0))),"",IF('Your debts'!$D$20="Avalanche",'Avalanche workings'!$Q$176,'Snowball workings'!$Q$176)+IF('Your debts'!$D$20="Avalanche",'Avalanche workings'!$AK$176,'Snowball workings'!$AK$176))</f>
      </c>
      <c r="Q174" s="30">
        <f>IF(OR(169&gt;$Z$1,NOT(OR('Your debts'!$B$11&lt;&gt;"",N('Your debts'!$C$11)&gt;0))),"",IF('Your debts'!$D$20="Avalanche",'Avalanche workings'!$AU$176,'Snowball workings'!$AU$176))</f>
      </c>
      <c r="R174" s="29">
        <f>IF(OR(169&gt;$Z$1,NOT(OR('Your debts'!$B$12&lt;&gt;"",N('Your debts'!$C$12)&gt;0))),"",IF('Your debts'!$D$20="Avalanche",'Avalanche workings'!$R$176,'Snowball workings'!$R$176)+IF('Your debts'!$D$20="Avalanche",'Avalanche workings'!$AL$176,'Snowball workings'!$AL$176))</f>
      </c>
      <c r="S174" s="30">
        <f>IF(OR(169&gt;$Z$1,NOT(OR('Your debts'!$B$12&lt;&gt;"",N('Your debts'!$C$12)&gt;0))),"",IF('Your debts'!$D$20="Avalanche",'Avalanche workings'!$AV$176,'Snowball workings'!$AV$176))</f>
      </c>
      <c r="T174" s="29">
        <f>IF(OR(169&gt;$Z$1,NOT(OR('Your debts'!$B$13&lt;&gt;"",N('Your debts'!$C$13)&gt;0))),"",IF('Your debts'!$D$20="Avalanche",'Avalanche workings'!$S$176,'Snowball workings'!$S$176)+IF('Your debts'!$D$20="Avalanche",'Avalanche workings'!$AM$176,'Snowball workings'!$AM$176))</f>
      </c>
      <c r="U174" s="30">
        <f>IF(OR(169&gt;$Z$1,NOT(OR('Your debts'!$B$13&lt;&gt;"",N('Your debts'!$C$13)&gt;0))),"",IF('Your debts'!$D$20="Avalanche",'Avalanche workings'!$AW$176,'Snowball workings'!$AW$176))</f>
      </c>
      <c r="V174" s="29">
        <f>IF(OR(169&gt;$Z$1,NOT(OR('Your debts'!$B$14&lt;&gt;"",N('Your debts'!$C$14)&gt;0))),"",IF('Your debts'!$D$20="Avalanche",'Avalanche workings'!$T$176,'Snowball workings'!$T$176)+IF('Your debts'!$D$20="Avalanche",'Avalanche workings'!$AN$176,'Snowball workings'!$AN$176))</f>
      </c>
      <c r="W174" s="30">
        <f>IF(OR(169&gt;$Z$1,NOT(OR('Your debts'!$B$14&lt;&gt;"",N('Your debts'!$C$14)&gt;0))),"",IF('Your debts'!$D$20="Avalanche",'Avalanche workings'!$AX$176,'Snowball workings'!$AX$176))</f>
      </c>
      <c r="X174" s="29">
        <f>IF(OR(169&gt;$Z$1,NOT(OR('Your debts'!$B$15&lt;&gt;"",N('Your debts'!$C$15)&gt;0))),"",IF('Your debts'!$D$20="Avalanche",'Avalanche workings'!$U$176,'Snowball workings'!$U$176)+IF('Your debts'!$D$20="Avalanche",'Avalanche workings'!$AO$176,'Snowball workings'!$AO$176))</f>
      </c>
      <c r="Y174" s="30">
        <f>IF(OR(169&gt;$Z$1,NOT(OR('Your debts'!$B$15&lt;&gt;"",N('Your debts'!$C$15)&gt;0))),"",IF('Your debts'!$D$20="Avalanche",'Avalanche workings'!$AY$176,'Snowball workings'!$AY$176))</f>
      </c>
    </row>
    <row r="175" spans="1:25" x14ac:dyDescent="0.25">
      <c r="A175" s="2">
        <f>IF(170&gt;$Z$1,"",170)</f>
      </c>
      <c r="B175" s="28">
        <f>IF(170&gt;$Z$1,"",EDATE('Your debts'!$D$21,169))</f>
      </c>
      <c r="C175" s="29">
        <f>IF(170&gt;$Z$1,"",IF('Your debts'!$D$20="Avalanche",'Avalanche workings'!$BC$177,'Snowball workings'!$BC$177))</f>
      </c>
      <c r="D175" s="29">
        <f>IF(170&gt;$Z$1,"",IF('Your debts'!$D$20="Avalanche",'Avalanche workings'!$BA$177,'Snowball workings'!$BA$177))</f>
      </c>
      <c r="E175" s="29">
        <f>IF(170&gt;$Z$1,"",IF('Your debts'!$D$20="Avalanche",'Avalanche workings'!$BB$177,'Snowball workings'!$BB$177))</f>
      </c>
      <c r="F175" s="29">
        <f>IF(OR(170&gt;$Z$1,NOT(OR('Your debts'!$B$6&lt;&gt;"",N('Your debts'!$C$6)&gt;0))),"",IF('Your debts'!$D$20="Avalanche",'Avalanche workings'!$L$177,'Snowball workings'!$L$177)+IF('Your debts'!$D$20="Avalanche",'Avalanche workings'!$AF$177,'Snowball workings'!$AF$177))</f>
      </c>
      <c r="G175" s="30">
        <f>IF(OR(170&gt;$Z$1,NOT(OR('Your debts'!$B$6&lt;&gt;"",N('Your debts'!$C$6)&gt;0))),"",IF('Your debts'!$D$20="Avalanche",'Avalanche workings'!$AP$177,'Snowball workings'!$AP$177))</f>
      </c>
      <c r="H175" s="29">
        <f>IF(OR(170&gt;$Z$1,NOT(OR('Your debts'!$B$7&lt;&gt;"",N('Your debts'!$C$7)&gt;0))),"",IF('Your debts'!$D$20="Avalanche",'Avalanche workings'!$M$177,'Snowball workings'!$M$177)+IF('Your debts'!$D$20="Avalanche",'Avalanche workings'!$AG$177,'Snowball workings'!$AG$177))</f>
      </c>
      <c r="I175" s="30">
        <f>IF(OR(170&gt;$Z$1,NOT(OR('Your debts'!$B$7&lt;&gt;"",N('Your debts'!$C$7)&gt;0))),"",IF('Your debts'!$D$20="Avalanche",'Avalanche workings'!$AQ$177,'Snowball workings'!$AQ$177))</f>
      </c>
      <c r="J175" s="29">
        <f>IF(OR(170&gt;$Z$1,NOT(OR('Your debts'!$B$8&lt;&gt;"",N('Your debts'!$C$8)&gt;0))),"",IF('Your debts'!$D$20="Avalanche",'Avalanche workings'!$N$177,'Snowball workings'!$N$177)+IF('Your debts'!$D$20="Avalanche",'Avalanche workings'!$AH$177,'Snowball workings'!$AH$177))</f>
      </c>
      <c r="K175" s="30">
        <f>IF(OR(170&gt;$Z$1,NOT(OR('Your debts'!$B$8&lt;&gt;"",N('Your debts'!$C$8)&gt;0))),"",IF('Your debts'!$D$20="Avalanche",'Avalanche workings'!$AR$177,'Snowball workings'!$AR$177))</f>
      </c>
      <c r="L175" s="29">
        <f>IF(OR(170&gt;$Z$1,NOT(OR('Your debts'!$B$9&lt;&gt;"",N('Your debts'!$C$9)&gt;0))),"",IF('Your debts'!$D$20="Avalanche",'Avalanche workings'!$O$177,'Snowball workings'!$O$177)+IF('Your debts'!$D$20="Avalanche",'Avalanche workings'!$AI$177,'Snowball workings'!$AI$177))</f>
      </c>
      <c r="M175" s="30">
        <f>IF(OR(170&gt;$Z$1,NOT(OR('Your debts'!$B$9&lt;&gt;"",N('Your debts'!$C$9)&gt;0))),"",IF('Your debts'!$D$20="Avalanche",'Avalanche workings'!$AS$177,'Snowball workings'!$AS$177))</f>
      </c>
      <c r="N175" s="29">
        <f>IF(OR(170&gt;$Z$1,NOT(OR('Your debts'!$B$10&lt;&gt;"",N('Your debts'!$C$10)&gt;0))),"",IF('Your debts'!$D$20="Avalanche",'Avalanche workings'!$P$177,'Snowball workings'!$P$177)+IF('Your debts'!$D$20="Avalanche",'Avalanche workings'!$AJ$177,'Snowball workings'!$AJ$177))</f>
      </c>
      <c r="O175" s="30">
        <f>IF(OR(170&gt;$Z$1,NOT(OR('Your debts'!$B$10&lt;&gt;"",N('Your debts'!$C$10)&gt;0))),"",IF('Your debts'!$D$20="Avalanche",'Avalanche workings'!$AT$177,'Snowball workings'!$AT$177))</f>
      </c>
      <c r="P175" s="29">
        <f>IF(OR(170&gt;$Z$1,NOT(OR('Your debts'!$B$11&lt;&gt;"",N('Your debts'!$C$11)&gt;0))),"",IF('Your debts'!$D$20="Avalanche",'Avalanche workings'!$Q$177,'Snowball workings'!$Q$177)+IF('Your debts'!$D$20="Avalanche",'Avalanche workings'!$AK$177,'Snowball workings'!$AK$177))</f>
      </c>
      <c r="Q175" s="30">
        <f>IF(OR(170&gt;$Z$1,NOT(OR('Your debts'!$B$11&lt;&gt;"",N('Your debts'!$C$11)&gt;0))),"",IF('Your debts'!$D$20="Avalanche",'Avalanche workings'!$AU$177,'Snowball workings'!$AU$177))</f>
      </c>
      <c r="R175" s="29">
        <f>IF(OR(170&gt;$Z$1,NOT(OR('Your debts'!$B$12&lt;&gt;"",N('Your debts'!$C$12)&gt;0))),"",IF('Your debts'!$D$20="Avalanche",'Avalanche workings'!$R$177,'Snowball workings'!$R$177)+IF('Your debts'!$D$20="Avalanche",'Avalanche workings'!$AL$177,'Snowball workings'!$AL$177))</f>
      </c>
      <c r="S175" s="30">
        <f>IF(OR(170&gt;$Z$1,NOT(OR('Your debts'!$B$12&lt;&gt;"",N('Your debts'!$C$12)&gt;0))),"",IF('Your debts'!$D$20="Avalanche",'Avalanche workings'!$AV$177,'Snowball workings'!$AV$177))</f>
      </c>
      <c r="T175" s="29">
        <f>IF(OR(170&gt;$Z$1,NOT(OR('Your debts'!$B$13&lt;&gt;"",N('Your debts'!$C$13)&gt;0))),"",IF('Your debts'!$D$20="Avalanche",'Avalanche workings'!$S$177,'Snowball workings'!$S$177)+IF('Your debts'!$D$20="Avalanche",'Avalanche workings'!$AM$177,'Snowball workings'!$AM$177))</f>
      </c>
      <c r="U175" s="30">
        <f>IF(OR(170&gt;$Z$1,NOT(OR('Your debts'!$B$13&lt;&gt;"",N('Your debts'!$C$13)&gt;0))),"",IF('Your debts'!$D$20="Avalanche",'Avalanche workings'!$AW$177,'Snowball workings'!$AW$177))</f>
      </c>
      <c r="V175" s="29">
        <f>IF(OR(170&gt;$Z$1,NOT(OR('Your debts'!$B$14&lt;&gt;"",N('Your debts'!$C$14)&gt;0))),"",IF('Your debts'!$D$20="Avalanche",'Avalanche workings'!$T$177,'Snowball workings'!$T$177)+IF('Your debts'!$D$20="Avalanche",'Avalanche workings'!$AN$177,'Snowball workings'!$AN$177))</f>
      </c>
      <c r="W175" s="30">
        <f>IF(OR(170&gt;$Z$1,NOT(OR('Your debts'!$B$14&lt;&gt;"",N('Your debts'!$C$14)&gt;0))),"",IF('Your debts'!$D$20="Avalanche",'Avalanche workings'!$AX$177,'Snowball workings'!$AX$177))</f>
      </c>
      <c r="X175" s="29">
        <f>IF(OR(170&gt;$Z$1,NOT(OR('Your debts'!$B$15&lt;&gt;"",N('Your debts'!$C$15)&gt;0))),"",IF('Your debts'!$D$20="Avalanche",'Avalanche workings'!$U$177,'Snowball workings'!$U$177)+IF('Your debts'!$D$20="Avalanche",'Avalanche workings'!$AO$177,'Snowball workings'!$AO$177))</f>
      </c>
      <c r="Y175" s="30">
        <f>IF(OR(170&gt;$Z$1,NOT(OR('Your debts'!$B$15&lt;&gt;"",N('Your debts'!$C$15)&gt;0))),"",IF('Your debts'!$D$20="Avalanche",'Avalanche workings'!$AY$177,'Snowball workings'!$AY$177))</f>
      </c>
    </row>
    <row r="176" spans="1:25" x14ac:dyDescent="0.25">
      <c r="A176" s="2">
        <f>IF(171&gt;$Z$1,"",171)</f>
      </c>
      <c r="B176" s="28">
        <f>IF(171&gt;$Z$1,"",EDATE('Your debts'!$D$21,170))</f>
      </c>
      <c r="C176" s="29">
        <f>IF(171&gt;$Z$1,"",IF('Your debts'!$D$20="Avalanche",'Avalanche workings'!$BC$178,'Snowball workings'!$BC$178))</f>
      </c>
      <c r="D176" s="29">
        <f>IF(171&gt;$Z$1,"",IF('Your debts'!$D$20="Avalanche",'Avalanche workings'!$BA$178,'Snowball workings'!$BA$178))</f>
      </c>
      <c r="E176" s="29">
        <f>IF(171&gt;$Z$1,"",IF('Your debts'!$D$20="Avalanche",'Avalanche workings'!$BB$178,'Snowball workings'!$BB$178))</f>
      </c>
      <c r="F176" s="29">
        <f>IF(OR(171&gt;$Z$1,NOT(OR('Your debts'!$B$6&lt;&gt;"",N('Your debts'!$C$6)&gt;0))),"",IF('Your debts'!$D$20="Avalanche",'Avalanche workings'!$L$178,'Snowball workings'!$L$178)+IF('Your debts'!$D$20="Avalanche",'Avalanche workings'!$AF$178,'Snowball workings'!$AF$178))</f>
      </c>
      <c r="G176" s="30">
        <f>IF(OR(171&gt;$Z$1,NOT(OR('Your debts'!$B$6&lt;&gt;"",N('Your debts'!$C$6)&gt;0))),"",IF('Your debts'!$D$20="Avalanche",'Avalanche workings'!$AP$178,'Snowball workings'!$AP$178))</f>
      </c>
      <c r="H176" s="29">
        <f>IF(OR(171&gt;$Z$1,NOT(OR('Your debts'!$B$7&lt;&gt;"",N('Your debts'!$C$7)&gt;0))),"",IF('Your debts'!$D$20="Avalanche",'Avalanche workings'!$M$178,'Snowball workings'!$M$178)+IF('Your debts'!$D$20="Avalanche",'Avalanche workings'!$AG$178,'Snowball workings'!$AG$178))</f>
      </c>
      <c r="I176" s="30">
        <f>IF(OR(171&gt;$Z$1,NOT(OR('Your debts'!$B$7&lt;&gt;"",N('Your debts'!$C$7)&gt;0))),"",IF('Your debts'!$D$20="Avalanche",'Avalanche workings'!$AQ$178,'Snowball workings'!$AQ$178))</f>
      </c>
      <c r="J176" s="29">
        <f>IF(OR(171&gt;$Z$1,NOT(OR('Your debts'!$B$8&lt;&gt;"",N('Your debts'!$C$8)&gt;0))),"",IF('Your debts'!$D$20="Avalanche",'Avalanche workings'!$N$178,'Snowball workings'!$N$178)+IF('Your debts'!$D$20="Avalanche",'Avalanche workings'!$AH$178,'Snowball workings'!$AH$178))</f>
      </c>
      <c r="K176" s="30">
        <f>IF(OR(171&gt;$Z$1,NOT(OR('Your debts'!$B$8&lt;&gt;"",N('Your debts'!$C$8)&gt;0))),"",IF('Your debts'!$D$20="Avalanche",'Avalanche workings'!$AR$178,'Snowball workings'!$AR$178))</f>
      </c>
      <c r="L176" s="29">
        <f>IF(OR(171&gt;$Z$1,NOT(OR('Your debts'!$B$9&lt;&gt;"",N('Your debts'!$C$9)&gt;0))),"",IF('Your debts'!$D$20="Avalanche",'Avalanche workings'!$O$178,'Snowball workings'!$O$178)+IF('Your debts'!$D$20="Avalanche",'Avalanche workings'!$AI$178,'Snowball workings'!$AI$178))</f>
      </c>
      <c r="M176" s="30">
        <f>IF(OR(171&gt;$Z$1,NOT(OR('Your debts'!$B$9&lt;&gt;"",N('Your debts'!$C$9)&gt;0))),"",IF('Your debts'!$D$20="Avalanche",'Avalanche workings'!$AS$178,'Snowball workings'!$AS$178))</f>
      </c>
      <c r="N176" s="29">
        <f>IF(OR(171&gt;$Z$1,NOT(OR('Your debts'!$B$10&lt;&gt;"",N('Your debts'!$C$10)&gt;0))),"",IF('Your debts'!$D$20="Avalanche",'Avalanche workings'!$P$178,'Snowball workings'!$P$178)+IF('Your debts'!$D$20="Avalanche",'Avalanche workings'!$AJ$178,'Snowball workings'!$AJ$178))</f>
      </c>
      <c r="O176" s="30">
        <f>IF(OR(171&gt;$Z$1,NOT(OR('Your debts'!$B$10&lt;&gt;"",N('Your debts'!$C$10)&gt;0))),"",IF('Your debts'!$D$20="Avalanche",'Avalanche workings'!$AT$178,'Snowball workings'!$AT$178))</f>
      </c>
      <c r="P176" s="29">
        <f>IF(OR(171&gt;$Z$1,NOT(OR('Your debts'!$B$11&lt;&gt;"",N('Your debts'!$C$11)&gt;0))),"",IF('Your debts'!$D$20="Avalanche",'Avalanche workings'!$Q$178,'Snowball workings'!$Q$178)+IF('Your debts'!$D$20="Avalanche",'Avalanche workings'!$AK$178,'Snowball workings'!$AK$178))</f>
      </c>
      <c r="Q176" s="30">
        <f>IF(OR(171&gt;$Z$1,NOT(OR('Your debts'!$B$11&lt;&gt;"",N('Your debts'!$C$11)&gt;0))),"",IF('Your debts'!$D$20="Avalanche",'Avalanche workings'!$AU$178,'Snowball workings'!$AU$178))</f>
      </c>
      <c r="R176" s="29">
        <f>IF(OR(171&gt;$Z$1,NOT(OR('Your debts'!$B$12&lt;&gt;"",N('Your debts'!$C$12)&gt;0))),"",IF('Your debts'!$D$20="Avalanche",'Avalanche workings'!$R$178,'Snowball workings'!$R$178)+IF('Your debts'!$D$20="Avalanche",'Avalanche workings'!$AL$178,'Snowball workings'!$AL$178))</f>
      </c>
      <c r="S176" s="30">
        <f>IF(OR(171&gt;$Z$1,NOT(OR('Your debts'!$B$12&lt;&gt;"",N('Your debts'!$C$12)&gt;0))),"",IF('Your debts'!$D$20="Avalanche",'Avalanche workings'!$AV$178,'Snowball workings'!$AV$178))</f>
      </c>
      <c r="T176" s="29">
        <f>IF(OR(171&gt;$Z$1,NOT(OR('Your debts'!$B$13&lt;&gt;"",N('Your debts'!$C$13)&gt;0))),"",IF('Your debts'!$D$20="Avalanche",'Avalanche workings'!$S$178,'Snowball workings'!$S$178)+IF('Your debts'!$D$20="Avalanche",'Avalanche workings'!$AM$178,'Snowball workings'!$AM$178))</f>
      </c>
      <c r="U176" s="30">
        <f>IF(OR(171&gt;$Z$1,NOT(OR('Your debts'!$B$13&lt;&gt;"",N('Your debts'!$C$13)&gt;0))),"",IF('Your debts'!$D$20="Avalanche",'Avalanche workings'!$AW$178,'Snowball workings'!$AW$178))</f>
      </c>
      <c r="V176" s="29">
        <f>IF(OR(171&gt;$Z$1,NOT(OR('Your debts'!$B$14&lt;&gt;"",N('Your debts'!$C$14)&gt;0))),"",IF('Your debts'!$D$20="Avalanche",'Avalanche workings'!$T$178,'Snowball workings'!$T$178)+IF('Your debts'!$D$20="Avalanche",'Avalanche workings'!$AN$178,'Snowball workings'!$AN$178))</f>
      </c>
      <c r="W176" s="30">
        <f>IF(OR(171&gt;$Z$1,NOT(OR('Your debts'!$B$14&lt;&gt;"",N('Your debts'!$C$14)&gt;0))),"",IF('Your debts'!$D$20="Avalanche",'Avalanche workings'!$AX$178,'Snowball workings'!$AX$178))</f>
      </c>
      <c r="X176" s="29">
        <f>IF(OR(171&gt;$Z$1,NOT(OR('Your debts'!$B$15&lt;&gt;"",N('Your debts'!$C$15)&gt;0))),"",IF('Your debts'!$D$20="Avalanche",'Avalanche workings'!$U$178,'Snowball workings'!$U$178)+IF('Your debts'!$D$20="Avalanche",'Avalanche workings'!$AO$178,'Snowball workings'!$AO$178))</f>
      </c>
      <c r="Y176" s="30">
        <f>IF(OR(171&gt;$Z$1,NOT(OR('Your debts'!$B$15&lt;&gt;"",N('Your debts'!$C$15)&gt;0))),"",IF('Your debts'!$D$20="Avalanche",'Avalanche workings'!$AY$178,'Snowball workings'!$AY$178))</f>
      </c>
    </row>
    <row r="177" spans="1:25" x14ac:dyDescent="0.25">
      <c r="A177" s="2">
        <f>IF(172&gt;$Z$1,"",172)</f>
      </c>
      <c r="B177" s="28">
        <f>IF(172&gt;$Z$1,"",EDATE('Your debts'!$D$21,171))</f>
      </c>
      <c r="C177" s="29">
        <f>IF(172&gt;$Z$1,"",IF('Your debts'!$D$20="Avalanche",'Avalanche workings'!$BC$179,'Snowball workings'!$BC$179))</f>
      </c>
      <c r="D177" s="29">
        <f>IF(172&gt;$Z$1,"",IF('Your debts'!$D$20="Avalanche",'Avalanche workings'!$BA$179,'Snowball workings'!$BA$179))</f>
      </c>
      <c r="E177" s="29">
        <f>IF(172&gt;$Z$1,"",IF('Your debts'!$D$20="Avalanche",'Avalanche workings'!$BB$179,'Snowball workings'!$BB$179))</f>
      </c>
      <c r="F177" s="29">
        <f>IF(OR(172&gt;$Z$1,NOT(OR('Your debts'!$B$6&lt;&gt;"",N('Your debts'!$C$6)&gt;0))),"",IF('Your debts'!$D$20="Avalanche",'Avalanche workings'!$L$179,'Snowball workings'!$L$179)+IF('Your debts'!$D$20="Avalanche",'Avalanche workings'!$AF$179,'Snowball workings'!$AF$179))</f>
      </c>
      <c r="G177" s="30">
        <f>IF(OR(172&gt;$Z$1,NOT(OR('Your debts'!$B$6&lt;&gt;"",N('Your debts'!$C$6)&gt;0))),"",IF('Your debts'!$D$20="Avalanche",'Avalanche workings'!$AP$179,'Snowball workings'!$AP$179))</f>
      </c>
      <c r="H177" s="29">
        <f>IF(OR(172&gt;$Z$1,NOT(OR('Your debts'!$B$7&lt;&gt;"",N('Your debts'!$C$7)&gt;0))),"",IF('Your debts'!$D$20="Avalanche",'Avalanche workings'!$M$179,'Snowball workings'!$M$179)+IF('Your debts'!$D$20="Avalanche",'Avalanche workings'!$AG$179,'Snowball workings'!$AG$179))</f>
      </c>
      <c r="I177" s="30">
        <f>IF(OR(172&gt;$Z$1,NOT(OR('Your debts'!$B$7&lt;&gt;"",N('Your debts'!$C$7)&gt;0))),"",IF('Your debts'!$D$20="Avalanche",'Avalanche workings'!$AQ$179,'Snowball workings'!$AQ$179))</f>
      </c>
      <c r="J177" s="29">
        <f>IF(OR(172&gt;$Z$1,NOT(OR('Your debts'!$B$8&lt;&gt;"",N('Your debts'!$C$8)&gt;0))),"",IF('Your debts'!$D$20="Avalanche",'Avalanche workings'!$N$179,'Snowball workings'!$N$179)+IF('Your debts'!$D$20="Avalanche",'Avalanche workings'!$AH$179,'Snowball workings'!$AH$179))</f>
      </c>
      <c r="K177" s="30">
        <f>IF(OR(172&gt;$Z$1,NOT(OR('Your debts'!$B$8&lt;&gt;"",N('Your debts'!$C$8)&gt;0))),"",IF('Your debts'!$D$20="Avalanche",'Avalanche workings'!$AR$179,'Snowball workings'!$AR$179))</f>
      </c>
      <c r="L177" s="29">
        <f>IF(OR(172&gt;$Z$1,NOT(OR('Your debts'!$B$9&lt;&gt;"",N('Your debts'!$C$9)&gt;0))),"",IF('Your debts'!$D$20="Avalanche",'Avalanche workings'!$O$179,'Snowball workings'!$O$179)+IF('Your debts'!$D$20="Avalanche",'Avalanche workings'!$AI$179,'Snowball workings'!$AI$179))</f>
      </c>
      <c r="M177" s="30">
        <f>IF(OR(172&gt;$Z$1,NOT(OR('Your debts'!$B$9&lt;&gt;"",N('Your debts'!$C$9)&gt;0))),"",IF('Your debts'!$D$20="Avalanche",'Avalanche workings'!$AS$179,'Snowball workings'!$AS$179))</f>
      </c>
      <c r="N177" s="29">
        <f>IF(OR(172&gt;$Z$1,NOT(OR('Your debts'!$B$10&lt;&gt;"",N('Your debts'!$C$10)&gt;0))),"",IF('Your debts'!$D$20="Avalanche",'Avalanche workings'!$P$179,'Snowball workings'!$P$179)+IF('Your debts'!$D$20="Avalanche",'Avalanche workings'!$AJ$179,'Snowball workings'!$AJ$179))</f>
      </c>
      <c r="O177" s="30">
        <f>IF(OR(172&gt;$Z$1,NOT(OR('Your debts'!$B$10&lt;&gt;"",N('Your debts'!$C$10)&gt;0))),"",IF('Your debts'!$D$20="Avalanche",'Avalanche workings'!$AT$179,'Snowball workings'!$AT$179))</f>
      </c>
      <c r="P177" s="29">
        <f>IF(OR(172&gt;$Z$1,NOT(OR('Your debts'!$B$11&lt;&gt;"",N('Your debts'!$C$11)&gt;0))),"",IF('Your debts'!$D$20="Avalanche",'Avalanche workings'!$Q$179,'Snowball workings'!$Q$179)+IF('Your debts'!$D$20="Avalanche",'Avalanche workings'!$AK$179,'Snowball workings'!$AK$179))</f>
      </c>
      <c r="Q177" s="30">
        <f>IF(OR(172&gt;$Z$1,NOT(OR('Your debts'!$B$11&lt;&gt;"",N('Your debts'!$C$11)&gt;0))),"",IF('Your debts'!$D$20="Avalanche",'Avalanche workings'!$AU$179,'Snowball workings'!$AU$179))</f>
      </c>
      <c r="R177" s="29">
        <f>IF(OR(172&gt;$Z$1,NOT(OR('Your debts'!$B$12&lt;&gt;"",N('Your debts'!$C$12)&gt;0))),"",IF('Your debts'!$D$20="Avalanche",'Avalanche workings'!$R$179,'Snowball workings'!$R$179)+IF('Your debts'!$D$20="Avalanche",'Avalanche workings'!$AL$179,'Snowball workings'!$AL$179))</f>
      </c>
      <c r="S177" s="30">
        <f>IF(OR(172&gt;$Z$1,NOT(OR('Your debts'!$B$12&lt;&gt;"",N('Your debts'!$C$12)&gt;0))),"",IF('Your debts'!$D$20="Avalanche",'Avalanche workings'!$AV$179,'Snowball workings'!$AV$179))</f>
      </c>
      <c r="T177" s="29">
        <f>IF(OR(172&gt;$Z$1,NOT(OR('Your debts'!$B$13&lt;&gt;"",N('Your debts'!$C$13)&gt;0))),"",IF('Your debts'!$D$20="Avalanche",'Avalanche workings'!$S$179,'Snowball workings'!$S$179)+IF('Your debts'!$D$20="Avalanche",'Avalanche workings'!$AM$179,'Snowball workings'!$AM$179))</f>
      </c>
      <c r="U177" s="30">
        <f>IF(OR(172&gt;$Z$1,NOT(OR('Your debts'!$B$13&lt;&gt;"",N('Your debts'!$C$13)&gt;0))),"",IF('Your debts'!$D$20="Avalanche",'Avalanche workings'!$AW$179,'Snowball workings'!$AW$179))</f>
      </c>
      <c r="V177" s="29">
        <f>IF(OR(172&gt;$Z$1,NOT(OR('Your debts'!$B$14&lt;&gt;"",N('Your debts'!$C$14)&gt;0))),"",IF('Your debts'!$D$20="Avalanche",'Avalanche workings'!$T$179,'Snowball workings'!$T$179)+IF('Your debts'!$D$20="Avalanche",'Avalanche workings'!$AN$179,'Snowball workings'!$AN$179))</f>
      </c>
      <c r="W177" s="30">
        <f>IF(OR(172&gt;$Z$1,NOT(OR('Your debts'!$B$14&lt;&gt;"",N('Your debts'!$C$14)&gt;0))),"",IF('Your debts'!$D$20="Avalanche",'Avalanche workings'!$AX$179,'Snowball workings'!$AX$179))</f>
      </c>
      <c r="X177" s="29">
        <f>IF(OR(172&gt;$Z$1,NOT(OR('Your debts'!$B$15&lt;&gt;"",N('Your debts'!$C$15)&gt;0))),"",IF('Your debts'!$D$20="Avalanche",'Avalanche workings'!$U$179,'Snowball workings'!$U$179)+IF('Your debts'!$D$20="Avalanche",'Avalanche workings'!$AO$179,'Snowball workings'!$AO$179))</f>
      </c>
      <c r="Y177" s="30">
        <f>IF(OR(172&gt;$Z$1,NOT(OR('Your debts'!$B$15&lt;&gt;"",N('Your debts'!$C$15)&gt;0))),"",IF('Your debts'!$D$20="Avalanche",'Avalanche workings'!$AY$179,'Snowball workings'!$AY$179))</f>
      </c>
    </row>
    <row r="178" spans="1:25" x14ac:dyDescent="0.25">
      <c r="A178" s="2">
        <f>IF(173&gt;$Z$1,"",173)</f>
      </c>
      <c r="B178" s="28">
        <f>IF(173&gt;$Z$1,"",EDATE('Your debts'!$D$21,172))</f>
      </c>
      <c r="C178" s="29">
        <f>IF(173&gt;$Z$1,"",IF('Your debts'!$D$20="Avalanche",'Avalanche workings'!$BC$180,'Snowball workings'!$BC$180))</f>
      </c>
      <c r="D178" s="29">
        <f>IF(173&gt;$Z$1,"",IF('Your debts'!$D$20="Avalanche",'Avalanche workings'!$BA$180,'Snowball workings'!$BA$180))</f>
      </c>
      <c r="E178" s="29">
        <f>IF(173&gt;$Z$1,"",IF('Your debts'!$D$20="Avalanche",'Avalanche workings'!$BB$180,'Snowball workings'!$BB$180))</f>
      </c>
      <c r="F178" s="29">
        <f>IF(OR(173&gt;$Z$1,NOT(OR('Your debts'!$B$6&lt;&gt;"",N('Your debts'!$C$6)&gt;0))),"",IF('Your debts'!$D$20="Avalanche",'Avalanche workings'!$L$180,'Snowball workings'!$L$180)+IF('Your debts'!$D$20="Avalanche",'Avalanche workings'!$AF$180,'Snowball workings'!$AF$180))</f>
      </c>
      <c r="G178" s="30">
        <f>IF(OR(173&gt;$Z$1,NOT(OR('Your debts'!$B$6&lt;&gt;"",N('Your debts'!$C$6)&gt;0))),"",IF('Your debts'!$D$20="Avalanche",'Avalanche workings'!$AP$180,'Snowball workings'!$AP$180))</f>
      </c>
      <c r="H178" s="29">
        <f>IF(OR(173&gt;$Z$1,NOT(OR('Your debts'!$B$7&lt;&gt;"",N('Your debts'!$C$7)&gt;0))),"",IF('Your debts'!$D$20="Avalanche",'Avalanche workings'!$M$180,'Snowball workings'!$M$180)+IF('Your debts'!$D$20="Avalanche",'Avalanche workings'!$AG$180,'Snowball workings'!$AG$180))</f>
      </c>
      <c r="I178" s="30">
        <f>IF(OR(173&gt;$Z$1,NOT(OR('Your debts'!$B$7&lt;&gt;"",N('Your debts'!$C$7)&gt;0))),"",IF('Your debts'!$D$20="Avalanche",'Avalanche workings'!$AQ$180,'Snowball workings'!$AQ$180))</f>
      </c>
      <c r="J178" s="29">
        <f>IF(OR(173&gt;$Z$1,NOT(OR('Your debts'!$B$8&lt;&gt;"",N('Your debts'!$C$8)&gt;0))),"",IF('Your debts'!$D$20="Avalanche",'Avalanche workings'!$N$180,'Snowball workings'!$N$180)+IF('Your debts'!$D$20="Avalanche",'Avalanche workings'!$AH$180,'Snowball workings'!$AH$180))</f>
      </c>
      <c r="K178" s="30">
        <f>IF(OR(173&gt;$Z$1,NOT(OR('Your debts'!$B$8&lt;&gt;"",N('Your debts'!$C$8)&gt;0))),"",IF('Your debts'!$D$20="Avalanche",'Avalanche workings'!$AR$180,'Snowball workings'!$AR$180))</f>
      </c>
      <c r="L178" s="29">
        <f>IF(OR(173&gt;$Z$1,NOT(OR('Your debts'!$B$9&lt;&gt;"",N('Your debts'!$C$9)&gt;0))),"",IF('Your debts'!$D$20="Avalanche",'Avalanche workings'!$O$180,'Snowball workings'!$O$180)+IF('Your debts'!$D$20="Avalanche",'Avalanche workings'!$AI$180,'Snowball workings'!$AI$180))</f>
      </c>
      <c r="M178" s="30">
        <f>IF(OR(173&gt;$Z$1,NOT(OR('Your debts'!$B$9&lt;&gt;"",N('Your debts'!$C$9)&gt;0))),"",IF('Your debts'!$D$20="Avalanche",'Avalanche workings'!$AS$180,'Snowball workings'!$AS$180))</f>
      </c>
      <c r="N178" s="29">
        <f>IF(OR(173&gt;$Z$1,NOT(OR('Your debts'!$B$10&lt;&gt;"",N('Your debts'!$C$10)&gt;0))),"",IF('Your debts'!$D$20="Avalanche",'Avalanche workings'!$P$180,'Snowball workings'!$P$180)+IF('Your debts'!$D$20="Avalanche",'Avalanche workings'!$AJ$180,'Snowball workings'!$AJ$180))</f>
      </c>
      <c r="O178" s="30">
        <f>IF(OR(173&gt;$Z$1,NOT(OR('Your debts'!$B$10&lt;&gt;"",N('Your debts'!$C$10)&gt;0))),"",IF('Your debts'!$D$20="Avalanche",'Avalanche workings'!$AT$180,'Snowball workings'!$AT$180))</f>
      </c>
      <c r="P178" s="29">
        <f>IF(OR(173&gt;$Z$1,NOT(OR('Your debts'!$B$11&lt;&gt;"",N('Your debts'!$C$11)&gt;0))),"",IF('Your debts'!$D$20="Avalanche",'Avalanche workings'!$Q$180,'Snowball workings'!$Q$180)+IF('Your debts'!$D$20="Avalanche",'Avalanche workings'!$AK$180,'Snowball workings'!$AK$180))</f>
      </c>
      <c r="Q178" s="30">
        <f>IF(OR(173&gt;$Z$1,NOT(OR('Your debts'!$B$11&lt;&gt;"",N('Your debts'!$C$11)&gt;0))),"",IF('Your debts'!$D$20="Avalanche",'Avalanche workings'!$AU$180,'Snowball workings'!$AU$180))</f>
      </c>
      <c r="R178" s="29">
        <f>IF(OR(173&gt;$Z$1,NOT(OR('Your debts'!$B$12&lt;&gt;"",N('Your debts'!$C$12)&gt;0))),"",IF('Your debts'!$D$20="Avalanche",'Avalanche workings'!$R$180,'Snowball workings'!$R$180)+IF('Your debts'!$D$20="Avalanche",'Avalanche workings'!$AL$180,'Snowball workings'!$AL$180))</f>
      </c>
      <c r="S178" s="30">
        <f>IF(OR(173&gt;$Z$1,NOT(OR('Your debts'!$B$12&lt;&gt;"",N('Your debts'!$C$12)&gt;0))),"",IF('Your debts'!$D$20="Avalanche",'Avalanche workings'!$AV$180,'Snowball workings'!$AV$180))</f>
      </c>
      <c r="T178" s="29">
        <f>IF(OR(173&gt;$Z$1,NOT(OR('Your debts'!$B$13&lt;&gt;"",N('Your debts'!$C$13)&gt;0))),"",IF('Your debts'!$D$20="Avalanche",'Avalanche workings'!$S$180,'Snowball workings'!$S$180)+IF('Your debts'!$D$20="Avalanche",'Avalanche workings'!$AM$180,'Snowball workings'!$AM$180))</f>
      </c>
      <c r="U178" s="30">
        <f>IF(OR(173&gt;$Z$1,NOT(OR('Your debts'!$B$13&lt;&gt;"",N('Your debts'!$C$13)&gt;0))),"",IF('Your debts'!$D$20="Avalanche",'Avalanche workings'!$AW$180,'Snowball workings'!$AW$180))</f>
      </c>
      <c r="V178" s="29">
        <f>IF(OR(173&gt;$Z$1,NOT(OR('Your debts'!$B$14&lt;&gt;"",N('Your debts'!$C$14)&gt;0))),"",IF('Your debts'!$D$20="Avalanche",'Avalanche workings'!$T$180,'Snowball workings'!$T$180)+IF('Your debts'!$D$20="Avalanche",'Avalanche workings'!$AN$180,'Snowball workings'!$AN$180))</f>
      </c>
      <c r="W178" s="30">
        <f>IF(OR(173&gt;$Z$1,NOT(OR('Your debts'!$B$14&lt;&gt;"",N('Your debts'!$C$14)&gt;0))),"",IF('Your debts'!$D$20="Avalanche",'Avalanche workings'!$AX$180,'Snowball workings'!$AX$180))</f>
      </c>
      <c r="X178" s="29">
        <f>IF(OR(173&gt;$Z$1,NOT(OR('Your debts'!$B$15&lt;&gt;"",N('Your debts'!$C$15)&gt;0))),"",IF('Your debts'!$D$20="Avalanche",'Avalanche workings'!$U$180,'Snowball workings'!$U$180)+IF('Your debts'!$D$20="Avalanche",'Avalanche workings'!$AO$180,'Snowball workings'!$AO$180))</f>
      </c>
      <c r="Y178" s="30">
        <f>IF(OR(173&gt;$Z$1,NOT(OR('Your debts'!$B$15&lt;&gt;"",N('Your debts'!$C$15)&gt;0))),"",IF('Your debts'!$D$20="Avalanche",'Avalanche workings'!$AY$180,'Snowball workings'!$AY$180))</f>
      </c>
    </row>
    <row r="179" spans="1:25" x14ac:dyDescent="0.25">
      <c r="A179" s="2">
        <f>IF(174&gt;$Z$1,"",174)</f>
      </c>
      <c r="B179" s="28">
        <f>IF(174&gt;$Z$1,"",EDATE('Your debts'!$D$21,173))</f>
      </c>
      <c r="C179" s="29">
        <f>IF(174&gt;$Z$1,"",IF('Your debts'!$D$20="Avalanche",'Avalanche workings'!$BC$181,'Snowball workings'!$BC$181))</f>
      </c>
      <c r="D179" s="29">
        <f>IF(174&gt;$Z$1,"",IF('Your debts'!$D$20="Avalanche",'Avalanche workings'!$BA$181,'Snowball workings'!$BA$181))</f>
      </c>
      <c r="E179" s="29">
        <f>IF(174&gt;$Z$1,"",IF('Your debts'!$D$20="Avalanche",'Avalanche workings'!$BB$181,'Snowball workings'!$BB$181))</f>
      </c>
      <c r="F179" s="29">
        <f>IF(OR(174&gt;$Z$1,NOT(OR('Your debts'!$B$6&lt;&gt;"",N('Your debts'!$C$6)&gt;0))),"",IF('Your debts'!$D$20="Avalanche",'Avalanche workings'!$L$181,'Snowball workings'!$L$181)+IF('Your debts'!$D$20="Avalanche",'Avalanche workings'!$AF$181,'Snowball workings'!$AF$181))</f>
      </c>
      <c r="G179" s="30">
        <f>IF(OR(174&gt;$Z$1,NOT(OR('Your debts'!$B$6&lt;&gt;"",N('Your debts'!$C$6)&gt;0))),"",IF('Your debts'!$D$20="Avalanche",'Avalanche workings'!$AP$181,'Snowball workings'!$AP$181))</f>
      </c>
      <c r="H179" s="29">
        <f>IF(OR(174&gt;$Z$1,NOT(OR('Your debts'!$B$7&lt;&gt;"",N('Your debts'!$C$7)&gt;0))),"",IF('Your debts'!$D$20="Avalanche",'Avalanche workings'!$M$181,'Snowball workings'!$M$181)+IF('Your debts'!$D$20="Avalanche",'Avalanche workings'!$AG$181,'Snowball workings'!$AG$181))</f>
      </c>
      <c r="I179" s="30">
        <f>IF(OR(174&gt;$Z$1,NOT(OR('Your debts'!$B$7&lt;&gt;"",N('Your debts'!$C$7)&gt;0))),"",IF('Your debts'!$D$20="Avalanche",'Avalanche workings'!$AQ$181,'Snowball workings'!$AQ$181))</f>
      </c>
      <c r="J179" s="29">
        <f>IF(OR(174&gt;$Z$1,NOT(OR('Your debts'!$B$8&lt;&gt;"",N('Your debts'!$C$8)&gt;0))),"",IF('Your debts'!$D$20="Avalanche",'Avalanche workings'!$N$181,'Snowball workings'!$N$181)+IF('Your debts'!$D$20="Avalanche",'Avalanche workings'!$AH$181,'Snowball workings'!$AH$181))</f>
      </c>
      <c r="K179" s="30">
        <f>IF(OR(174&gt;$Z$1,NOT(OR('Your debts'!$B$8&lt;&gt;"",N('Your debts'!$C$8)&gt;0))),"",IF('Your debts'!$D$20="Avalanche",'Avalanche workings'!$AR$181,'Snowball workings'!$AR$181))</f>
      </c>
      <c r="L179" s="29">
        <f>IF(OR(174&gt;$Z$1,NOT(OR('Your debts'!$B$9&lt;&gt;"",N('Your debts'!$C$9)&gt;0))),"",IF('Your debts'!$D$20="Avalanche",'Avalanche workings'!$O$181,'Snowball workings'!$O$181)+IF('Your debts'!$D$20="Avalanche",'Avalanche workings'!$AI$181,'Snowball workings'!$AI$181))</f>
      </c>
      <c r="M179" s="30">
        <f>IF(OR(174&gt;$Z$1,NOT(OR('Your debts'!$B$9&lt;&gt;"",N('Your debts'!$C$9)&gt;0))),"",IF('Your debts'!$D$20="Avalanche",'Avalanche workings'!$AS$181,'Snowball workings'!$AS$181))</f>
      </c>
      <c r="N179" s="29">
        <f>IF(OR(174&gt;$Z$1,NOT(OR('Your debts'!$B$10&lt;&gt;"",N('Your debts'!$C$10)&gt;0))),"",IF('Your debts'!$D$20="Avalanche",'Avalanche workings'!$P$181,'Snowball workings'!$P$181)+IF('Your debts'!$D$20="Avalanche",'Avalanche workings'!$AJ$181,'Snowball workings'!$AJ$181))</f>
      </c>
      <c r="O179" s="30">
        <f>IF(OR(174&gt;$Z$1,NOT(OR('Your debts'!$B$10&lt;&gt;"",N('Your debts'!$C$10)&gt;0))),"",IF('Your debts'!$D$20="Avalanche",'Avalanche workings'!$AT$181,'Snowball workings'!$AT$181))</f>
      </c>
      <c r="P179" s="29">
        <f>IF(OR(174&gt;$Z$1,NOT(OR('Your debts'!$B$11&lt;&gt;"",N('Your debts'!$C$11)&gt;0))),"",IF('Your debts'!$D$20="Avalanche",'Avalanche workings'!$Q$181,'Snowball workings'!$Q$181)+IF('Your debts'!$D$20="Avalanche",'Avalanche workings'!$AK$181,'Snowball workings'!$AK$181))</f>
      </c>
      <c r="Q179" s="30">
        <f>IF(OR(174&gt;$Z$1,NOT(OR('Your debts'!$B$11&lt;&gt;"",N('Your debts'!$C$11)&gt;0))),"",IF('Your debts'!$D$20="Avalanche",'Avalanche workings'!$AU$181,'Snowball workings'!$AU$181))</f>
      </c>
      <c r="R179" s="29">
        <f>IF(OR(174&gt;$Z$1,NOT(OR('Your debts'!$B$12&lt;&gt;"",N('Your debts'!$C$12)&gt;0))),"",IF('Your debts'!$D$20="Avalanche",'Avalanche workings'!$R$181,'Snowball workings'!$R$181)+IF('Your debts'!$D$20="Avalanche",'Avalanche workings'!$AL$181,'Snowball workings'!$AL$181))</f>
      </c>
      <c r="S179" s="30">
        <f>IF(OR(174&gt;$Z$1,NOT(OR('Your debts'!$B$12&lt;&gt;"",N('Your debts'!$C$12)&gt;0))),"",IF('Your debts'!$D$20="Avalanche",'Avalanche workings'!$AV$181,'Snowball workings'!$AV$181))</f>
      </c>
      <c r="T179" s="29">
        <f>IF(OR(174&gt;$Z$1,NOT(OR('Your debts'!$B$13&lt;&gt;"",N('Your debts'!$C$13)&gt;0))),"",IF('Your debts'!$D$20="Avalanche",'Avalanche workings'!$S$181,'Snowball workings'!$S$181)+IF('Your debts'!$D$20="Avalanche",'Avalanche workings'!$AM$181,'Snowball workings'!$AM$181))</f>
      </c>
      <c r="U179" s="30">
        <f>IF(OR(174&gt;$Z$1,NOT(OR('Your debts'!$B$13&lt;&gt;"",N('Your debts'!$C$13)&gt;0))),"",IF('Your debts'!$D$20="Avalanche",'Avalanche workings'!$AW$181,'Snowball workings'!$AW$181))</f>
      </c>
      <c r="V179" s="29">
        <f>IF(OR(174&gt;$Z$1,NOT(OR('Your debts'!$B$14&lt;&gt;"",N('Your debts'!$C$14)&gt;0))),"",IF('Your debts'!$D$20="Avalanche",'Avalanche workings'!$T$181,'Snowball workings'!$T$181)+IF('Your debts'!$D$20="Avalanche",'Avalanche workings'!$AN$181,'Snowball workings'!$AN$181))</f>
      </c>
      <c r="W179" s="30">
        <f>IF(OR(174&gt;$Z$1,NOT(OR('Your debts'!$B$14&lt;&gt;"",N('Your debts'!$C$14)&gt;0))),"",IF('Your debts'!$D$20="Avalanche",'Avalanche workings'!$AX$181,'Snowball workings'!$AX$181))</f>
      </c>
      <c r="X179" s="29">
        <f>IF(OR(174&gt;$Z$1,NOT(OR('Your debts'!$B$15&lt;&gt;"",N('Your debts'!$C$15)&gt;0))),"",IF('Your debts'!$D$20="Avalanche",'Avalanche workings'!$U$181,'Snowball workings'!$U$181)+IF('Your debts'!$D$20="Avalanche",'Avalanche workings'!$AO$181,'Snowball workings'!$AO$181))</f>
      </c>
      <c r="Y179" s="30">
        <f>IF(OR(174&gt;$Z$1,NOT(OR('Your debts'!$B$15&lt;&gt;"",N('Your debts'!$C$15)&gt;0))),"",IF('Your debts'!$D$20="Avalanche",'Avalanche workings'!$AY$181,'Snowball workings'!$AY$181))</f>
      </c>
    </row>
    <row r="180" spans="1:25" x14ac:dyDescent="0.25">
      <c r="A180" s="2">
        <f>IF(175&gt;$Z$1,"",175)</f>
      </c>
      <c r="B180" s="28">
        <f>IF(175&gt;$Z$1,"",EDATE('Your debts'!$D$21,174))</f>
      </c>
      <c r="C180" s="29">
        <f>IF(175&gt;$Z$1,"",IF('Your debts'!$D$20="Avalanche",'Avalanche workings'!$BC$182,'Snowball workings'!$BC$182))</f>
      </c>
      <c r="D180" s="29">
        <f>IF(175&gt;$Z$1,"",IF('Your debts'!$D$20="Avalanche",'Avalanche workings'!$BA$182,'Snowball workings'!$BA$182))</f>
      </c>
      <c r="E180" s="29">
        <f>IF(175&gt;$Z$1,"",IF('Your debts'!$D$20="Avalanche",'Avalanche workings'!$BB$182,'Snowball workings'!$BB$182))</f>
      </c>
      <c r="F180" s="29">
        <f>IF(OR(175&gt;$Z$1,NOT(OR('Your debts'!$B$6&lt;&gt;"",N('Your debts'!$C$6)&gt;0))),"",IF('Your debts'!$D$20="Avalanche",'Avalanche workings'!$L$182,'Snowball workings'!$L$182)+IF('Your debts'!$D$20="Avalanche",'Avalanche workings'!$AF$182,'Snowball workings'!$AF$182))</f>
      </c>
      <c r="G180" s="30">
        <f>IF(OR(175&gt;$Z$1,NOT(OR('Your debts'!$B$6&lt;&gt;"",N('Your debts'!$C$6)&gt;0))),"",IF('Your debts'!$D$20="Avalanche",'Avalanche workings'!$AP$182,'Snowball workings'!$AP$182))</f>
      </c>
      <c r="H180" s="29">
        <f>IF(OR(175&gt;$Z$1,NOT(OR('Your debts'!$B$7&lt;&gt;"",N('Your debts'!$C$7)&gt;0))),"",IF('Your debts'!$D$20="Avalanche",'Avalanche workings'!$M$182,'Snowball workings'!$M$182)+IF('Your debts'!$D$20="Avalanche",'Avalanche workings'!$AG$182,'Snowball workings'!$AG$182))</f>
      </c>
      <c r="I180" s="30">
        <f>IF(OR(175&gt;$Z$1,NOT(OR('Your debts'!$B$7&lt;&gt;"",N('Your debts'!$C$7)&gt;0))),"",IF('Your debts'!$D$20="Avalanche",'Avalanche workings'!$AQ$182,'Snowball workings'!$AQ$182))</f>
      </c>
      <c r="J180" s="29">
        <f>IF(OR(175&gt;$Z$1,NOT(OR('Your debts'!$B$8&lt;&gt;"",N('Your debts'!$C$8)&gt;0))),"",IF('Your debts'!$D$20="Avalanche",'Avalanche workings'!$N$182,'Snowball workings'!$N$182)+IF('Your debts'!$D$20="Avalanche",'Avalanche workings'!$AH$182,'Snowball workings'!$AH$182))</f>
      </c>
      <c r="K180" s="30">
        <f>IF(OR(175&gt;$Z$1,NOT(OR('Your debts'!$B$8&lt;&gt;"",N('Your debts'!$C$8)&gt;0))),"",IF('Your debts'!$D$20="Avalanche",'Avalanche workings'!$AR$182,'Snowball workings'!$AR$182))</f>
      </c>
      <c r="L180" s="29">
        <f>IF(OR(175&gt;$Z$1,NOT(OR('Your debts'!$B$9&lt;&gt;"",N('Your debts'!$C$9)&gt;0))),"",IF('Your debts'!$D$20="Avalanche",'Avalanche workings'!$O$182,'Snowball workings'!$O$182)+IF('Your debts'!$D$20="Avalanche",'Avalanche workings'!$AI$182,'Snowball workings'!$AI$182))</f>
      </c>
      <c r="M180" s="30">
        <f>IF(OR(175&gt;$Z$1,NOT(OR('Your debts'!$B$9&lt;&gt;"",N('Your debts'!$C$9)&gt;0))),"",IF('Your debts'!$D$20="Avalanche",'Avalanche workings'!$AS$182,'Snowball workings'!$AS$182))</f>
      </c>
      <c r="N180" s="29">
        <f>IF(OR(175&gt;$Z$1,NOT(OR('Your debts'!$B$10&lt;&gt;"",N('Your debts'!$C$10)&gt;0))),"",IF('Your debts'!$D$20="Avalanche",'Avalanche workings'!$P$182,'Snowball workings'!$P$182)+IF('Your debts'!$D$20="Avalanche",'Avalanche workings'!$AJ$182,'Snowball workings'!$AJ$182))</f>
      </c>
      <c r="O180" s="30">
        <f>IF(OR(175&gt;$Z$1,NOT(OR('Your debts'!$B$10&lt;&gt;"",N('Your debts'!$C$10)&gt;0))),"",IF('Your debts'!$D$20="Avalanche",'Avalanche workings'!$AT$182,'Snowball workings'!$AT$182))</f>
      </c>
      <c r="P180" s="29">
        <f>IF(OR(175&gt;$Z$1,NOT(OR('Your debts'!$B$11&lt;&gt;"",N('Your debts'!$C$11)&gt;0))),"",IF('Your debts'!$D$20="Avalanche",'Avalanche workings'!$Q$182,'Snowball workings'!$Q$182)+IF('Your debts'!$D$20="Avalanche",'Avalanche workings'!$AK$182,'Snowball workings'!$AK$182))</f>
      </c>
      <c r="Q180" s="30">
        <f>IF(OR(175&gt;$Z$1,NOT(OR('Your debts'!$B$11&lt;&gt;"",N('Your debts'!$C$11)&gt;0))),"",IF('Your debts'!$D$20="Avalanche",'Avalanche workings'!$AU$182,'Snowball workings'!$AU$182))</f>
      </c>
      <c r="R180" s="29">
        <f>IF(OR(175&gt;$Z$1,NOT(OR('Your debts'!$B$12&lt;&gt;"",N('Your debts'!$C$12)&gt;0))),"",IF('Your debts'!$D$20="Avalanche",'Avalanche workings'!$R$182,'Snowball workings'!$R$182)+IF('Your debts'!$D$20="Avalanche",'Avalanche workings'!$AL$182,'Snowball workings'!$AL$182))</f>
      </c>
      <c r="S180" s="30">
        <f>IF(OR(175&gt;$Z$1,NOT(OR('Your debts'!$B$12&lt;&gt;"",N('Your debts'!$C$12)&gt;0))),"",IF('Your debts'!$D$20="Avalanche",'Avalanche workings'!$AV$182,'Snowball workings'!$AV$182))</f>
      </c>
      <c r="T180" s="29">
        <f>IF(OR(175&gt;$Z$1,NOT(OR('Your debts'!$B$13&lt;&gt;"",N('Your debts'!$C$13)&gt;0))),"",IF('Your debts'!$D$20="Avalanche",'Avalanche workings'!$S$182,'Snowball workings'!$S$182)+IF('Your debts'!$D$20="Avalanche",'Avalanche workings'!$AM$182,'Snowball workings'!$AM$182))</f>
      </c>
      <c r="U180" s="30">
        <f>IF(OR(175&gt;$Z$1,NOT(OR('Your debts'!$B$13&lt;&gt;"",N('Your debts'!$C$13)&gt;0))),"",IF('Your debts'!$D$20="Avalanche",'Avalanche workings'!$AW$182,'Snowball workings'!$AW$182))</f>
      </c>
      <c r="V180" s="29">
        <f>IF(OR(175&gt;$Z$1,NOT(OR('Your debts'!$B$14&lt;&gt;"",N('Your debts'!$C$14)&gt;0))),"",IF('Your debts'!$D$20="Avalanche",'Avalanche workings'!$T$182,'Snowball workings'!$T$182)+IF('Your debts'!$D$20="Avalanche",'Avalanche workings'!$AN$182,'Snowball workings'!$AN$182))</f>
      </c>
      <c r="W180" s="30">
        <f>IF(OR(175&gt;$Z$1,NOT(OR('Your debts'!$B$14&lt;&gt;"",N('Your debts'!$C$14)&gt;0))),"",IF('Your debts'!$D$20="Avalanche",'Avalanche workings'!$AX$182,'Snowball workings'!$AX$182))</f>
      </c>
      <c r="X180" s="29">
        <f>IF(OR(175&gt;$Z$1,NOT(OR('Your debts'!$B$15&lt;&gt;"",N('Your debts'!$C$15)&gt;0))),"",IF('Your debts'!$D$20="Avalanche",'Avalanche workings'!$U$182,'Snowball workings'!$U$182)+IF('Your debts'!$D$20="Avalanche",'Avalanche workings'!$AO$182,'Snowball workings'!$AO$182))</f>
      </c>
      <c r="Y180" s="30">
        <f>IF(OR(175&gt;$Z$1,NOT(OR('Your debts'!$B$15&lt;&gt;"",N('Your debts'!$C$15)&gt;0))),"",IF('Your debts'!$D$20="Avalanche",'Avalanche workings'!$AY$182,'Snowball workings'!$AY$182))</f>
      </c>
    </row>
    <row r="181" spans="1:25" x14ac:dyDescent="0.25">
      <c r="A181" s="2">
        <f>IF(176&gt;$Z$1,"",176)</f>
      </c>
      <c r="B181" s="28">
        <f>IF(176&gt;$Z$1,"",EDATE('Your debts'!$D$21,175))</f>
      </c>
      <c r="C181" s="29">
        <f>IF(176&gt;$Z$1,"",IF('Your debts'!$D$20="Avalanche",'Avalanche workings'!$BC$183,'Snowball workings'!$BC$183))</f>
      </c>
      <c r="D181" s="29">
        <f>IF(176&gt;$Z$1,"",IF('Your debts'!$D$20="Avalanche",'Avalanche workings'!$BA$183,'Snowball workings'!$BA$183))</f>
      </c>
      <c r="E181" s="29">
        <f>IF(176&gt;$Z$1,"",IF('Your debts'!$D$20="Avalanche",'Avalanche workings'!$BB$183,'Snowball workings'!$BB$183))</f>
      </c>
      <c r="F181" s="29">
        <f>IF(OR(176&gt;$Z$1,NOT(OR('Your debts'!$B$6&lt;&gt;"",N('Your debts'!$C$6)&gt;0))),"",IF('Your debts'!$D$20="Avalanche",'Avalanche workings'!$L$183,'Snowball workings'!$L$183)+IF('Your debts'!$D$20="Avalanche",'Avalanche workings'!$AF$183,'Snowball workings'!$AF$183))</f>
      </c>
      <c r="G181" s="30">
        <f>IF(OR(176&gt;$Z$1,NOT(OR('Your debts'!$B$6&lt;&gt;"",N('Your debts'!$C$6)&gt;0))),"",IF('Your debts'!$D$20="Avalanche",'Avalanche workings'!$AP$183,'Snowball workings'!$AP$183))</f>
      </c>
      <c r="H181" s="29">
        <f>IF(OR(176&gt;$Z$1,NOT(OR('Your debts'!$B$7&lt;&gt;"",N('Your debts'!$C$7)&gt;0))),"",IF('Your debts'!$D$20="Avalanche",'Avalanche workings'!$M$183,'Snowball workings'!$M$183)+IF('Your debts'!$D$20="Avalanche",'Avalanche workings'!$AG$183,'Snowball workings'!$AG$183))</f>
      </c>
      <c r="I181" s="30">
        <f>IF(OR(176&gt;$Z$1,NOT(OR('Your debts'!$B$7&lt;&gt;"",N('Your debts'!$C$7)&gt;0))),"",IF('Your debts'!$D$20="Avalanche",'Avalanche workings'!$AQ$183,'Snowball workings'!$AQ$183))</f>
      </c>
      <c r="J181" s="29">
        <f>IF(OR(176&gt;$Z$1,NOT(OR('Your debts'!$B$8&lt;&gt;"",N('Your debts'!$C$8)&gt;0))),"",IF('Your debts'!$D$20="Avalanche",'Avalanche workings'!$N$183,'Snowball workings'!$N$183)+IF('Your debts'!$D$20="Avalanche",'Avalanche workings'!$AH$183,'Snowball workings'!$AH$183))</f>
      </c>
      <c r="K181" s="30">
        <f>IF(OR(176&gt;$Z$1,NOT(OR('Your debts'!$B$8&lt;&gt;"",N('Your debts'!$C$8)&gt;0))),"",IF('Your debts'!$D$20="Avalanche",'Avalanche workings'!$AR$183,'Snowball workings'!$AR$183))</f>
      </c>
      <c r="L181" s="29">
        <f>IF(OR(176&gt;$Z$1,NOT(OR('Your debts'!$B$9&lt;&gt;"",N('Your debts'!$C$9)&gt;0))),"",IF('Your debts'!$D$20="Avalanche",'Avalanche workings'!$O$183,'Snowball workings'!$O$183)+IF('Your debts'!$D$20="Avalanche",'Avalanche workings'!$AI$183,'Snowball workings'!$AI$183))</f>
      </c>
      <c r="M181" s="30">
        <f>IF(OR(176&gt;$Z$1,NOT(OR('Your debts'!$B$9&lt;&gt;"",N('Your debts'!$C$9)&gt;0))),"",IF('Your debts'!$D$20="Avalanche",'Avalanche workings'!$AS$183,'Snowball workings'!$AS$183))</f>
      </c>
      <c r="N181" s="29">
        <f>IF(OR(176&gt;$Z$1,NOT(OR('Your debts'!$B$10&lt;&gt;"",N('Your debts'!$C$10)&gt;0))),"",IF('Your debts'!$D$20="Avalanche",'Avalanche workings'!$P$183,'Snowball workings'!$P$183)+IF('Your debts'!$D$20="Avalanche",'Avalanche workings'!$AJ$183,'Snowball workings'!$AJ$183))</f>
      </c>
      <c r="O181" s="30">
        <f>IF(OR(176&gt;$Z$1,NOT(OR('Your debts'!$B$10&lt;&gt;"",N('Your debts'!$C$10)&gt;0))),"",IF('Your debts'!$D$20="Avalanche",'Avalanche workings'!$AT$183,'Snowball workings'!$AT$183))</f>
      </c>
      <c r="P181" s="29">
        <f>IF(OR(176&gt;$Z$1,NOT(OR('Your debts'!$B$11&lt;&gt;"",N('Your debts'!$C$11)&gt;0))),"",IF('Your debts'!$D$20="Avalanche",'Avalanche workings'!$Q$183,'Snowball workings'!$Q$183)+IF('Your debts'!$D$20="Avalanche",'Avalanche workings'!$AK$183,'Snowball workings'!$AK$183))</f>
      </c>
      <c r="Q181" s="30">
        <f>IF(OR(176&gt;$Z$1,NOT(OR('Your debts'!$B$11&lt;&gt;"",N('Your debts'!$C$11)&gt;0))),"",IF('Your debts'!$D$20="Avalanche",'Avalanche workings'!$AU$183,'Snowball workings'!$AU$183))</f>
      </c>
      <c r="R181" s="29">
        <f>IF(OR(176&gt;$Z$1,NOT(OR('Your debts'!$B$12&lt;&gt;"",N('Your debts'!$C$12)&gt;0))),"",IF('Your debts'!$D$20="Avalanche",'Avalanche workings'!$R$183,'Snowball workings'!$R$183)+IF('Your debts'!$D$20="Avalanche",'Avalanche workings'!$AL$183,'Snowball workings'!$AL$183))</f>
      </c>
      <c r="S181" s="30">
        <f>IF(OR(176&gt;$Z$1,NOT(OR('Your debts'!$B$12&lt;&gt;"",N('Your debts'!$C$12)&gt;0))),"",IF('Your debts'!$D$20="Avalanche",'Avalanche workings'!$AV$183,'Snowball workings'!$AV$183))</f>
      </c>
      <c r="T181" s="29">
        <f>IF(OR(176&gt;$Z$1,NOT(OR('Your debts'!$B$13&lt;&gt;"",N('Your debts'!$C$13)&gt;0))),"",IF('Your debts'!$D$20="Avalanche",'Avalanche workings'!$S$183,'Snowball workings'!$S$183)+IF('Your debts'!$D$20="Avalanche",'Avalanche workings'!$AM$183,'Snowball workings'!$AM$183))</f>
      </c>
      <c r="U181" s="30">
        <f>IF(OR(176&gt;$Z$1,NOT(OR('Your debts'!$B$13&lt;&gt;"",N('Your debts'!$C$13)&gt;0))),"",IF('Your debts'!$D$20="Avalanche",'Avalanche workings'!$AW$183,'Snowball workings'!$AW$183))</f>
      </c>
      <c r="V181" s="29">
        <f>IF(OR(176&gt;$Z$1,NOT(OR('Your debts'!$B$14&lt;&gt;"",N('Your debts'!$C$14)&gt;0))),"",IF('Your debts'!$D$20="Avalanche",'Avalanche workings'!$T$183,'Snowball workings'!$T$183)+IF('Your debts'!$D$20="Avalanche",'Avalanche workings'!$AN$183,'Snowball workings'!$AN$183))</f>
      </c>
      <c r="W181" s="30">
        <f>IF(OR(176&gt;$Z$1,NOT(OR('Your debts'!$B$14&lt;&gt;"",N('Your debts'!$C$14)&gt;0))),"",IF('Your debts'!$D$20="Avalanche",'Avalanche workings'!$AX$183,'Snowball workings'!$AX$183))</f>
      </c>
      <c r="X181" s="29">
        <f>IF(OR(176&gt;$Z$1,NOT(OR('Your debts'!$B$15&lt;&gt;"",N('Your debts'!$C$15)&gt;0))),"",IF('Your debts'!$D$20="Avalanche",'Avalanche workings'!$U$183,'Snowball workings'!$U$183)+IF('Your debts'!$D$20="Avalanche",'Avalanche workings'!$AO$183,'Snowball workings'!$AO$183))</f>
      </c>
      <c r="Y181" s="30">
        <f>IF(OR(176&gt;$Z$1,NOT(OR('Your debts'!$B$15&lt;&gt;"",N('Your debts'!$C$15)&gt;0))),"",IF('Your debts'!$D$20="Avalanche",'Avalanche workings'!$AY$183,'Snowball workings'!$AY$183))</f>
      </c>
    </row>
    <row r="182" spans="1:25" x14ac:dyDescent="0.25">
      <c r="A182" s="2">
        <f>IF(177&gt;$Z$1,"",177)</f>
      </c>
      <c r="B182" s="28">
        <f>IF(177&gt;$Z$1,"",EDATE('Your debts'!$D$21,176))</f>
      </c>
      <c r="C182" s="29">
        <f>IF(177&gt;$Z$1,"",IF('Your debts'!$D$20="Avalanche",'Avalanche workings'!$BC$184,'Snowball workings'!$BC$184))</f>
      </c>
      <c r="D182" s="29">
        <f>IF(177&gt;$Z$1,"",IF('Your debts'!$D$20="Avalanche",'Avalanche workings'!$BA$184,'Snowball workings'!$BA$184))</f>
      </c>
      <c r="E182" s="29">
        <f>IF(177&gt;$Z$1,"",IF('Your debts'!$D$20="Avalanche",'Avalanche workings'!$BB$184,'Snowball workings'!$BB$184))</f>
      </c>
      <c r="F182" s="29">
        <f>IF(OR(177&gt;$Z$1,NOT(OR('Your debts'!$B$6&lt;&gt;"",N('Your debts'!$C$6)&gt;0))),"",IF('Your debts'!$D$20="Avalanche",'Avalanche workings'!$L$184,'Snowball workings'!$L$184)+IF('Your debts'!$D$20="Avalanche",'Avalanche workings'!$AF$184,'Snowball workings'!$AF$184))</f>
      </c>
      <c r="G182" s="30">
        <f>IF(OR(177&gt;$Z$1,NOT(OR('Your debts'!$B$6&lt;&gt;"",N('Your debts'!$C$6)&gt;0))),"",IF('Your debts'!$D$20="Avalanche",'Avalanche workings'!$AP$184,'Snowball workings'!$AP$184))</f>
      </c>
      <c r="H182" s="29">
        <f>IF(OR(177&gt;$Z$1,NOT(OR('Your debts'!$B$7&lt;&gt;"",N('Your debts'!$C$7)&gt;0))),"",IF('Your debts'!$D$20="Avalanche",'Avalanche workings'!$M$184,'Snowball workings'!$M$184)+IF('Your debts'!$D$20="Avalanche",'Avalanche workings'!$AG$184,'Snowball workings'!$AG$184))</f>
      </c>
      <c r="I182" s="30">
        <f>IF(OR(177&gt;$Z$1,NOT(OR('Your debts'!$B$7&lt;&gt;"",N('Your debts'!$C$7)&gt;0))),"",IF('Your debts'!$D$20="Avalanche",'Avalanche workings'!$AQ$184,'Snowball workings'!$AQ$184))</f>
      </c>
      <c r="J182" s="29">
        <f>IF(OR(177&gt;$Z$1,NOT(OR('Your debts'!$B$8&lt;&gt;"",N('Your debts'!$C$8)&gt;0))),"",IF('Your debts'!$D$20="Avalanche",'Avalanche workings'!$N$184,'Snowball workings'!$N$184)+IF('Your debts'!$D$20="Avalanche",'Avalanche workings'!$AH$184,'Snowball workings'!$AH$184))</f>
      </c>
      <c r="K182" s="30">
        <f>IF(OR(177&gt;$Z$1,NOT(OR('Your debts'!$B$8&lt;&gt;"",N('Your debts'!$C$8)&gt;0))),"",IF('Your debts'!$D$20="Avalanche",'Avalanche workings'!$AR$184,'Snowball workings'!$AR$184))</f>
      </c>
      <c r="L182" s="29">
        <f>IF(OR(177&gt;$Z$1,NOT(OR('Your debts'!$B$9&lt;&gt;"",N('Your debts'!$C$9)&gt;0))),"",IF('Your debts'!$D$20="Avalanche",'Avalanche workings'!$O$184,'Snowball workings'!$O$184)+IF('Your debts'!$D$20="Avalanche",'Avalanche workings'!$AI$184,'Snowball workings'!$AI$184))</f>
      </c>
      <c r="M182" s="30">
        <f>IF(OR(177&gt;$Z$1,NOT(OR('Your debts'!$B$9&lt;&gt;"",N('Your debts'!$C$9)&gt;0))),"",IF('Your debts'!$D$20="Avalanche",'Avalanche workings'!$AS$184,'Snowball workings'!$AS$184))</f>
      </c>
      <c r="N182" s="29">
        <f>IF(OR(177&gt;$Z$1,NOT(OR('Your debts'!$B$10&lt;&gt;"",N('Your debts'!$C$10)&gt;0))),"",IF('Your debts'!$D$20="Avalanche",'Avalanche workings'!$P$184,'Snowball workings'!$P$184)+IF('Your debts'!$D$20="Avalanche",'Avalanche workings'!$AJ$184,'Snowball workings'!$AJ$184))</f>
      </c>
      <c r="O182" s="30">
        <f>IF(OR(177&gt;$Z$1,NOT(OR('Your debts'!$B$10&lt;&gt;"",N('Your debts'!$C$10)&gt;0))),"",IF('Your debts'!$D$20="Avalanche",'Avalanche workings'!$AT$184,'Snowball workings'!$AT$184))</f>
      </c>
      <c r="P182" s="29">
        <f>IF(OR(177&gt;$Z$1,NOT(OR('Your debts'!$B$11&lt;&gt;"",N('Your debts'!$C$11)&gt;0))),"",IF('Your debts'!$D$20="Avalanche",'Avalanche workings'!$Q$184,'Snowball workings'!$Q$184)+IF('Your debts'!$D$20="Avalanche",'Avalanche workings'!$AK$184,'Snowball workings'!$AK$184))</f>
      </c>
      <c r="Q182" s="30">
        <f>IF(OR(177&gt;$Z$1,NOT(OR('Your debts'!$B$11&lt;&gt;"",N('Your debts'!$C$11)&gt;0))),"",IF('Your debts'!$D$20="Avalanche",'Avalanche workings'!$AU$184,'Snowball workings'!$AU$184))</f>
      </c>
      <c r="R182" s="29">
        <f>IF(OR(177&gt;$Z$1,NOT(OR('Your debts'!$B$12&lt;&gt;"",N('Your debts'!$C$12)&gt;0))),"",IF('Your debts'!$D$20="Avalanche",'Avalanche workings'!$R$184,'Snowball workings'!$R$184)+IF('Your debts'!$D$20="Avalanche",'Avalanche workings'!$AL$184,'Snowball workings'!$AL$184))</f>
      </c>
      <c r="S182" s="30">
        <f>IF(OR(177&gt;$Z$1,NOT(OR('Your debts'!$B$12&lt;&gt;"",N('Your debts'!$C$12)&gt;0))),"",IF('Your debts'!$D$20="Avalanche",'Avalanche workings'!$AV$184,'Snowball workings'!$AV$184))</f>
      </c>
      <c r="T182" s="29">
        <f>IF(OR(177&gt;$Z$1,NOT(OR('Your debts'!$B$13&lt;&gt;"",N('Your debts'!$C$13)&gt;0))),"",IF('Your debts'!$D$20="Avalanche",'Avalanche workings'!$S$184,'Snowball workings'!$S$184)+IF('Your debts'!$D$20="Avalanche",'Avalanche workings'!$AM$184,'Snowball workings'!$AM$184))</f>
      </c>
      <c r="U182" s="30">
        <f>IF(OR(177&gt;$Z$1,NOT(OR('Your debts'!$B$13&lt;&gt;"",N('Your debts'!$C$13)&gt;0))),"",IF('Your debts'!$D$20="Avalanche",'Avalanche workings'!$AW$184,'Snowball workings'!$AW$184))</f>
      </c>
      <c r="V182" s="29">
        <f>IF(OR(177&gt;$Z$1,NOT(OR('Your debts'!$B$14&lt;&gt;"",N('Your debts'!$C$14)&gt;0))),"",IF('Your debts'!$D$20="Avalanche",'Avalanche workings'!$T$184,'Snowball workings'!$T$184)+IF('Your debts'!$D$20="Avalanche",'Avalanche workings'!$AN$184,'Snowball workings'!$AN$184))</f>
      </c>
      <c r="W182" s="30">
        <f>IF(OR(177&gt;$Z$1,NOT(OR('Your debts'!$B$14&lt;&gt;"",N('Your debts'!$C$14)&gt;0))),"",IF('Your debts'!$D$20="Avalanche",'Avalanche workings'!$AX$184,'Snowball workings'!$AX$184))</f>
      </c>
      <c r="X182" s="29">
        <f>IF(OR(177&gt;$Z$1,NOT(OR('Your debts'!$B$15&lt;&gt;"",N('Your debts'!$C$15)&gt;0))),"",IF('Your debts'!$D$20="Avalanche",'Avalanche workings'!$U$184,'Snowball workings'!$U$184)+IF('Your debts'!$D$20="Avalanche",'Avalanche workings'!$AO$184,'Snowball workings'!$AO$184))</f>
      </c>
      <c r="Y182" s="30">
        <f>IF(OR(177&gt;$Z$1,NOT(OR('Your debts'!$B$15&lt;&gt;"",N('Your debts'!$C$15)&gt;0))),"",IF('Your debts'!$D$20="Avalanche",'Avalanche workings'!$AY$184,'Snowball workings'!$AY$184))</f>
      </c>
    </row>
    <row r="183" spans="1:25" x14ac:dyDescent="0.25">
      <c r="A183" s="2">
        <f>IF(178&gt;$Z$1,"",178)</f>
      </c>
      <c r="B183" s="28">
        <f>IF(178&gt;$Z$1,"",EDATE('Your debts'!$D$21,177))</f>
      </c>
      <c r="C183" s="29">
        <f>IF(178&gt;$Z$1,"",IF('Your debts'!$D$20="Avalanche",'Avalanche workings'!$BC$185,'Snowball workings'!$BC$185))</f>
      </c>
      <c r="D183" s="29">
        <f>IF(178&gt;$Z$1,"",IF('Your debts'!$D$20="Avalanche",'Avalanche workings'!$BA$185,'Snowball workings'!$BA$185))</f>
      </c>
      <c r="E183" s="29">
        <f>IF(178&gt;$Z$1,"",IF('Your debts'!$D$20="Avalanche",'Avalanche workings'!$BB$185,'Snowball workings'!$BB$185))</f>
      </c>
      <c r="F183" s="29">
        <f>IF(OR(178&gt;$Z$1,NOT(OR('Your debts'!$B$6&lt;&gt;"",N('Your debts'!$C$6)&gt;0))),"",IF('Your debts'!$D$20="Avalanche",'Avalanche workings'!$L$185,'Snowball workings'!$L$185)+IF('Your debts'!$D$20="Avalanche",'Avalanche workings'!$AF$185,'Snowball workings'!$AF$185))</f>
      </c>
      <c r="G183" s="30">
        <f>IF(OR(178&gt;$Z$1,NOT(OR('Your debts'!$B$6&lt;&gt;"",N('Your debts'!$C$6)&gt;0))),"",IF('Your debts'!$D$20="Avalanche",'Avalanche workings'!$AP$185,'Snowball workings'!$AP$185))</f>
      </c>
      <c r="H183" s="29">
        <f>IF(OR(178&gt;$Z$1,NOT(OR('Your debts'!$B$7&lt;&gt;"",N('Your debts'!$C$7)&gt;0))),"",IF('Your debts'!$D$20="Avalanche",'Avalanche workings'!$M$185,'Snowball workings'!$M$185)+IF('Your debts'!$D$20="Avalanche",'Avalanche workings'!$AG$185,'Snowball workings'!$AG$185))</f>
      </c>
      <c r="I183" s="30">
        <f>IF(OR(178&gt;$Z$1,NOT(OR('Your debts'!$B$7&lt;&gt;"",N('Your debts'!$C$7)&gt;0))),"",IF('Your debts'!$D$20="Avalanche",'Avalanche workings'!$AQ$185,'Snowball workings'!$AQ$185))</f>
      </c>
      <c r="J183" s="29">
        <f>IF(OR(178&gt;$Z$1,NOT(OR('Your debts'!$B$8&lt;&gt;"",N('Your debts'!$C$8)&gt;0))),"",IF('Your debts'!$D$20="Avalanche",'Avalanche workings'!$N$185,'Snowball workings'!$N$185)+IF('Your debts'!$D$20="Avalanche",'Avalanche workings'!$AH$185,'Snowball workings'!$AH$185))</f>
      </c>
      <c r="K183" s="30">
        <f>IF(OR(178&gt;$Z$1,NOT(OR('Your debts'!$B$8&lt;&gt;"",N('Your debts'!$C$8)&gt;0))),"",IF('Your debts'!$D$20="Avalanche",'Avalanche workings'!$AR$185,'Snowball workings'!$AR$185))</f>
      </c>
      <c r="L183" s="29">
        <f>IF(OR(178&gt;$Z$1,NOT(OR('Your debts'!$B$9&lt;&gt;"",N('Your debts'!$C$9)&gt;0))),"",IF('Your debts'!$D$20="Avalanche",'Avalanche workings'!$O$185,'Snowball workings'!$O$185)+IF('Your debts'!$D$20="Avalanche",'Avalanche workings'!$AI$185,'Snowball workings'!$AI$185))</f>
      </c>
      <c r="M183" s="30">
        <f>IF(OR(178&gt;$Z$1,NOT(OR('Your debts'!$B$9&lt;&gt;"",N('Your debts'!$C$9)&gt;0))),"",IF('Your debts'!$D$20="Avalanche",'Avalanche workings'!$AS$185,'Snowball workings'!$AS$185))</f>
      </c>
      <c r="N183" s="29">
        <f>IF(OR(178&gt;$Z$1,NOT(OR('Your debts'!$B$10&lt;&gt;"",N('Your debts'!$C$10)&gt;0))),"",IF('Your debts'!$D$20="Avalanche",'Avalanche workings'!$P$185,'Snowball workings'!$P$185)+IF('Your debts'!$D$20="Avalanche",'Avalanche workings'!$AJ$185,'Snowball workings'!$AJ$185))</f>
      </c>
      <c r="O183" s="30">
        <f>IF(OR(178&gt;$Z$1,NOT(OR('Your debts'!$B$10&lt;&gt;"",N('Your debts'!$C$10)&gt;0))),"",IF('Your debts'!$D$20="Avalanche",'Avalanche workings'!$AT$185,'Snowball workings'!$AT$185))</f>
      </c>
      <c r="P183" s="29">
        <f>IF(OR(178&gt;$Z$1,NOT(OR('Your debts'!$B$11&lt;&gt;"",N('Your debts'!$C$11)&gt;0))),"",IF('Your debts'!$D$20="Avalanche",'Avalanche workings'!$Q$185,'Snowball workings'!$Q$185)+IF('Your debts'!$D$20="Avalanche",'Avalanche workings'!$AK$185,'Snowball workings'!$AK$185))</f>
      </c>
      <c r="Q183" s="30">
        <f>IF(OR(178&gt;$Z$1,NOT(OR('Your debts'!$B$11&lt;&gt;"",N('Your debts'!$C$11)&gt;0))),"",IF('Your debts'!$D$20="Avalanche",'Avalanche workings'!$AU$185,'Snowball workings'!$AU$185))</f>
      </c>
      <c r="R183" s="29">
        <f>IF(OR(178&gt;$Z$1,NOT(OR('Your debts'!$B$12&lt;&gt;"",N('Your debts'!$C$12)&gt;0))),"",IF('Your debts'!$D$20="Avalanche",'Avalanche workings'!$R$185,'Snowball workings'!$R$185)+IF('Your debts'!$D$20="Avalanche",'Avalanche workings'!$AL$185,'Snowball workings'!$AL$185))</f>
      </c>
      <c r="S183" s="30">
        <f>IF(OR(178&gt;$Z$1,NOT(OR('Your debts'!$B$12&lt;&gt;"",N('Your debts'!$C$12)&gt;0))),"",IF('Your debts'!$D$20="Avalanche",'Avalanche workings'!$AV$185,'Snowball workings'!$AV$185))</f>
      </c>
      <c r="T183" s="29">
        <f>IF(OR(178&gt;$Z$1,NOT(OR('Your debts'!$B$13&lt;&gt;"",N('Your debts'!$C$13)&gt;0))),"",IF('Your debts'!$D$20="Avalanche",'Avalanche workings'!$S$185,'Snowball workings'!$S$185)+IF('Your debts'!$D$20="Avalanche",'Avalanche workings'!$AM$185,'Snowball workings'!$AM$185))</f>
      </c>
      <c r="U183" s="30">
        <f>IF(OR(178&gt;$Z$1,NOT(OR('Your debts'!$B$13&lt;&gt;"",N('Your debts'!$C$13)&gt;0))),"",IF('Your debts'!$D$20="Avalanche",'Avalanche workings'!$AW$185,'Snowball workings'!$AW$185))</f>
      </c>
      <c r="V183" s="29">
        <f>IF(OR(178&gt;$Z$1,NOT(OR('Your debts'!$B$14&lt;&gt;"",N('Your debts'!$C$14)&gt;0))),"",IF('Your debts'!$D$20="Avalanche",'Avalanche workings'!$T$185,'Snowball workings'!$T$185)+IF('Your debts'!$D$20="Avalanche",'Avalanche workings'!$AN$185,'Snowball workings'!$AN$185))</f>
      </c>
      <c r="W183" s="30">
        <f>IF(OR(178&gt;$Z$1,NOT(OR('Your debts'!$B$14&lt;&gt;"",N('Your debts'!$C$14)&gt;0))),"",IF('Your debts'!$D$20="Avalanche",'Avalanche workings'!$AX$185,'Snowball workings'!$AX$185))</f>
      </c>
      <c r="X183" s="29">
        <f>IF(OR(178&gt;$Z$1,NOT(OR('Your debts'!$B$15&lt;&gt;"",N('Your debts'!$C$15)&gt;0))),"",IF('Your debts'!$D$20="Avalanche",'Avalanche workings'!$U$185,'Snowball workings'!$U$185)+IF('Your debts'!$D$20="Avalanche",'Avalanche workings'!$AO$185,'Snowball workings'!$AO$185))</f>
      </c>
      <c r="Y183" s="30">
        <f>IF(OR(178&gt;$Z$1,NOT(OR('Your debts'!$B$15&lt;&gt;"",N('Your debts'!$C$15)&gt;0))),"",IF('Your debts'!$D$20="Avalanche",'Avalanche workings'!$AY$185,'Snowball workings'!$AY$185))</f>
      </c>
    </row>
    <row r="184" spans="1:25" x14ac:dyDescent="0.25">
      <c r="A184" s="2">
        <f>IF(179&gt;$Z$1,"",179)</f>
      </c>
      <c r="B184" s="28">
        <f>IF(179&gt;$Z$1,"",EDATE('Your debts'!$D$21,178))</f>
      </c>
      <c r="C184" s="29">
        <f>IF(179&gt;$Z$1,"",IF('Your debts'!$D$20="Avalanche",'Avalanche workings'!$BC$186,'Snowball workings'!$BC$186))</f>
      </c>
      <c r="D184" s="29">
        <f>IF(179&gt;$Z$1,"",IF('Your debts'!$D$20="Avalanche",'Avalanche workings'!$BA$186,'Snowball workings'!$BA$186))</f>
      </c>
      <c r="E184" s="29">
        <f>IF(179&gt;$Z$1,"",IF('Your debts'!$D$20="Avalanche",'Avalanche workings'!$BB$186,'Snowball workings'!$BB$186))</f>
      </c>
      <c r="F184" s="29">
        <f>IF(OR(179&gt;$Z$1,NOT(OR('Your debts'!$B$6&lt;&gt;"",N('Your debts'!$C$6)&gt;0))),"",IF('Your debts'!$D$20="Avalanche",'Avalanche workings'!$L$186,'Snowball workings'!$L$186)+IF('Your debts'!$D$20="Avalanche",'Avalanche workings'!$AF$186,'Snowball workings'!$AF$186))</f>
      </c>
      <c r="G184" s="30">
        <f>IF(OR(179&gt;$Z$1,NOT(OR('Your debts'!$B$6&lt;&gt;"",N('Your debts'!$C$6)&gt;0))),"",IF('Your debts'!$D$20="Avalanche",'Avalanche workings'!$AP$186,'Snowball workings'!$AP$186))</f>
      </c>
      <c r="H184" s="29">
        <f>IF(OR(179&gt;$Z$1,NOT(OR('Your debts'!$B$7&lt;&gt;"",N('Your debts'!$C$7)&gt;0))),"",IF('Your debts'!$D$20="Avalanche",'Avalanche workings'!$M$186,'Snowball workings'!$M$186)+IF('Your debts'!$D$20="Avalanche",'Avalanche workings'!$AG$186,'Snowball workings'!$AG$186))</f>
      </c>
      <c r="I184" s="30">
        <f>IF(OR(179&gt;$Z$1,NOT(OR('Your debts'!$B$7&lt;&gt;"",N('Your debts'!$C$7)&gt;0))),"",IF('Your debts'!$D$20="Avalanche",'Avalanche workings'!$AQ$186,'Snowball workings'!$AQ$186))</f>
      </c>
      <c r="J184" s="29">
        <f>IF(OR(179&gt;$Z$1,NOT(OR('Your debts'!$B$8&lt;&gt;"",N('Your debts'!$C$8)&gt;0))),"",IF('Your debts'!$D$20="Avalanche",'Avalanche workings'!$N$186,'Snowball workings'!$N$186)+IF('Your debts'!$D$20="Avalanche",'Avalanche workings'!$AH$186,'Snowball workings'!$AH$186))</f>
      </c>
      <c r="K184" s="30">
        <f>IF(OR(179&gt;$Z$1,NOT(OR('Your debts'!$B$8&lt;&gt;"",N('Your debts'!$C$8)&gt;0))),"",IF('Your debts'!$D$20="Avalanche",'Avalanche workings'!$AR$186,'Snowball workings'!$AR$186))</f>
      </c>
      <c r="L184" s="29">
        <f>IF(OR(179&gt;$Z$1,NOT(OR('Your debts'!$B$9&lt;&gt;"",N('Your debts'!$C$9)&gt;0))),"",IF('Your debts'!$D$20="Avalanche",'Avalanche workings'!$O$186,'Snowball workings'!$O$186)+IF('Your debts'!$D$20="Avalanche",'Avalanche workings'!$AI$186,'Snowball workings'!$AI$186))</f>
      </c>
      <c r="M184" s="30">
        <f>IF(OR(179&gt;$Z$1,NOT(OR('Your debts'!$B$9&lt;&gt;"",N('Your debts'!$C$9)&gt;0))),"",IF('Your debts'!$D$20="Avalanche",'Avalanche workings'!$AS$186,'Snowball workings'!$AS$186))</f>
      </c>
      <c r="N184" s="29">
        <f>IF(OR(179&gt;$Z$1,NOT(OR('Your debts'!$B$10&lt;&gt;"",N('Your debts'!$C$10)&gt;0))),"",IF('Your debts'!$D$20="Avalanche",'Avalanche workings'!$P$186,'Snowball workings'!$P$186)+IF('Your debts'!$D$20="Avalanche",'Avalanche workings'!$AJ$186,'Snowball workings'!$AJ$186))</f>
      </c>
      <c r="O184" s="30">
        <f>IF(OR(179&gt;$Z$1,NOT(OR('Your debts'!$B$10&lt;&gt;"",N('Your debts'!$C$10)&gt;0))),"",IF('Your debts'!$D$20="Avalanche",'Avalanche workings'!$AT$186,'Snowball workings'!$AT$186))</f>
      </c>
      <c r="P184" s="29">
        <f>IF(OR(179&gt;$Z$1,NOT(OR('Your debts'!$B$11&lt;&gt;"",N('Your debts'!$C$11)&gt;0))),"",IF('Your debts'!$D$20="Avalanche",'Avalanche workings'!$Q$186,'Snowball workings'!$Q$186)+IF('Your debts'!$D$20="Avalanche",'Avalanche workings'!$AK$186,'Snowball workings'!$AK$186))</f>
      </c>
      <c r="Q184" s="30">
        <f>IF(OR(179&gt;$Z$1,NOT(OR('Your debts'!$B$11&lt;&gt;"",N('Your debts'!$C$11)&gt;0))),"",IF('Your debts'!$D$20="Avalanche",'Avalanche workings'!$AU$186,'Snowball workings'!$AU$186))</f>
      </c>
      <c r="R184" s="29">
        <f>IF(OR(179&gt;$Z$1,NOT(OR('Your debts'!$B$12&lt;&gt;"",N('Your debts'!$C$12)&gt;0))),"",IF('Your debts'!$D$20="Avalanche",'Avalanche workings'!$R$186,'Snowball workings'!$R$186)+IF('Your debts'!$D$20="Avalanche",'Avalanche workings'!$AL$186,'Snowball workings'!$AL$186))</f>
      </c>
      <c r="S184" s="30">
        <f>IF(OR(179&gt;$Z$1,NOT(OR('Your debts'!$B$12&lt;&gt;"",N('Your debts'!$C$12)&gt;0))),"",IF('Your debts'!$D$20="Avalanche",'Avalanche workings'!$AV$186,'Snowball workings'!$AV$186))</f>
      </c>
      <c r="T184" s="29">
        <f>IF(OR(179&gt;$Z$1,NOT(OR('Your debts'!$B$13&lt;&gt;"",N('Your debts'!$C$13)&gt;0))),"",IF('Your debts'!$D$20="Avalanche",'Avalanche workings'!$S$186,'Snowball workings'!$S$186)+IF('Your debts'!$D$20="Avalanche",'Avalanche workings'!$AM$186,'Snowball workings'!$AM$186))</f>
      </c>
      <c r="U184" s="30">
        <f>IF(OR(179&gt;$Z$1,NOT(OR('Your debts'!$B$13&lt;&gt;"",N('Your debts'!$C$13)&gt;0))),"",IF('Your debts'!$D$20="Avalanche",'Avalanche workings'!$AW$186,'Snowball workings'!$AW$186))</f>
      </c>
      <c r="V184" s="29">
        <f>IF(OR(179&gt;$Z$1,NOT(OR('Your debts'!$B$14&lt;&gt;"",N('Your debts'!$C$14)&gt;0))),"",IF('Your debts'!$D$20="Avalanche",'Avalanche workings'!$T$186,'Snowball workings'!$T$186)+IF('Your debts'!$D$20="Avalanche",'Avalanche workings'!$AN$186,'Snowball workings'!$AN$186))</f>
      </c>
      <c r="W184" s="30">
        <f>IF(OR(179&gt;$Z$1,NOT(OR('Your debts'!$B$14&lt;&gt;"",N('Your debts'!$C$14)&gt;0))),"",IF('Your debts'!$D$20="Avalanche",'Avalanche workings'!$AX$186,'Snowball workings'!$AX$186))</f>
      </c>
      <c r="X184" s="29">
        <f>IF(OR(179&gt;$Z$1,NOT(OR('Your debts'!$B$15&lt;&gt;"",N('Your debts'!$C$15)&gt;0))),"",IF('Your debts'!$D$20="Avalanche",'Avalanche workings'!$U$186,'Snowball workings'!$U$186)+IF('Your debts'!$D$20="Avalanche",'Avalanche workings'!$AO$186,'Snowball workings'!$AO$186))</f>
      </c>
      <c r="Y184" s="30">
        <f>IF(OR(179&gt;$Z$1,NOT(OR('Your debts'!$B$15&lt;&gt;"",N('Your debts'!$C$15)&gt;0))),"",IF('Your debts'!$D$20="Avalanche",'Avalanche workings'!$AY$186,'Snowball workings'!$AY$186))</f>
      </c>
    </row>
    <row r="185" spans="1:25" x14ac:dyDescent="0.25">
      <c r="A185" s="2">
        <f>IF(180&gt;$Z$1,"",180)</f>
      </c>
      <c r="B185" s="28">
        <f>IF(180&gt;$Z$1,"",EDATE('Your debts'!$D$21,179))</f>
      </c>
      <c r="C185" s="29">
        <f>IF(180&gt;$Z$1,"",IF('Your debts'!$D$20="Avalanche",'Avalanche workings'!$BC$187,'Snowball workings'!$BC$187))</f>
      </c>
      <c r="D185" s="29">
        <f>IF(180&gt;$Z$1,"",IF('Your debts'!$D$20="Avalanche",'Avalanche workings'!$BA$187,'Snowball workings'!$BA$187))</f>
      </c>
      <c r="E185" s="29">
        <f>IF(180&gt;$Z$1,"",IF('Your debts'!$D$20="Avalanche",'Avalanche workings'!$BB$187,'Snowball workings'!$BB$187))</f>
      </c>
      <c r="F185" s="29">
        <f>IF(OR(180&gt;$Z$1,NOT(OR('Your debts'!$B$6&lt;&gt;"",N('Your debts'!$C$6)&gt;0))),"",IF('Your debts'!$D$20="Avalanche",'Avalanche workings'!$L$187,'Snowball workings'!$L$187)+IF('Your debts'!$D$20="Avalanche",'Avalanche workings'!$AF$187,'Snowball workings'!$AF$187))</f>
      </c>
      <c r="G185" s="30">
        <f>IF(OR(180&gt;$Z$1,NOT(OR('Your debts'!$B$6&lt;&gt;"",N('Your debts'!$C$6)&gt;0))),"",IF('Your debts'!$D$20="Avalanche",'Avalanche workings'!$AP$187,'Snowball workings'!$AP$187))</f>
      </c>
      <c r="H185" s="29">
        <f>IF(OR(180&gt;$Z$1,NOT(OR('Your debts'!$B$7&lt;&gt;"",N('Your debts'!$C$7)&gt;0))),"",IF('Your debts'!$D$20="Avalanche",'Avalanche workings'!$M$187,'Snowball workings'!$M$187)+IF('Your debts'!$D$20="Avalanche",'Avalanche workings'!$AG$187,'Snowball workings'!$AG$187))</f>
      </c>
      <c r="I185" s="30">
        <f>IF(OR(180&gt;$Z$1,NOT(OR('Your debts'!$B$7&lt;&gt;"",N('Your debts'!$C$7)&gt;0))),"",IF('Your debts'!$D$20="Avalanche",'Avalanche workings'!$AQ$187,'Snowball workings'!$AQ$187))</f>
      </c>
      <c r="J185" s="29">
        <f>IF(OR(180&gt;$Z$1,NOT(OR('Your debts'!$B$8&lt;&gt;"",N('Your debts'!$C$8)&gt;0))),"",IF('Your debts'!$D$20="Avalanche",'Avalanche workings'!$N$187,'Snowball workings'!$N$187)+IF('Your debts'!$D$20="Avalanche",'Avalanche workings'!$AH$187,'Snowball workings'!$AH$187))</f>
      </c>
      <c r="K185" s="30">
        <f>IF(OR(180&gt;$Z$1,NOT(OR('Your debts'!$B$8&lt;&gt;"",N('Your debts'!$C$8)&gt;0))),"",IF('Your debts'!$D$20="Avalanche",'Avalanche workings'!$AR$187,'Snowball workings'!$AR$187))</f>
      </c>
      <c r="L185" s="29">
        <f>IF(OR(180&gt;$Z$1,NOT(OR('Your debts'!$B$9&lt;&gt;"",N('Your debts'!$C$9)&gt;0))),"",IF('Your debts'!$D$20="Avalanche",'Avalanche workings'!$O$187,'Snowball workings'!$O$187)+IF('Your debts'!$D$20="Avalanche",'Avalanche workings'!$AI$187,'Snowball workings'!$AI$187))</f>
      </c>
      <c r="M185" s="30">
        <f>IF(OR(180&gt;$Z$1,NOT(OR('Your debts'!$B$9&lt;&gt;"",N('Your debts'!$C$9)&gt;0))),"",IF('Your debts'!$D$20="Avalanche",'Avalanche workings'!$AS$187,'Snowball workings'!$AS$187))</f>
      </c>
      <c r="N185" s="29">
        <f>IF(OR(180&gt;$Z$1,NOT(OR('Your debts'!$B$10&lt;&gt;"",N('Your debts'!$C$10)&gt;0))),"",IF('Your debts'!$D$20="Avalanche",'Avalanche workings'!$P$187,'Snowball workings'!$P$187)+IF('Your debts'!$D$20="Avalanche",'Avalanche workings'!$AJ$187,'Snowball workings'!$AJ$187))</f>
      </c>
      <c r="O185" s="30">
        <f>IF(OR(180&gt;$Z$1,NOT(OR('Your debts'!$B$10&lt;&gt;"",N('Your debts'!$C$10)&gt;0))),"",IF('Your debts'!$D$20="Avalanche",'Avalanche workings'!$AT$187,'Snowball workings'!$AT$187))</f>
      </c>
      <c r="P185" s="29">
        <f>IF(OR(180&gt;$Z$1,NOT(OR('Your debts'!$B$11&lt;&gt;"",N('Your debts'!$C$11)&gt;0))),"",IF('Your debts'!$D$20="Avalanche",'Avalanche workings'!$Q$187,'Snowball workings'!$Q$187)+IF('Your debts'!$D$20="Avalanche",'Avalanche workings'!$AK$187,'Snowball workings'!$AK$187))</f>
      </c>
      <c r="Q185" s="30">
        <f>IF(OR(180&gt;$Z$1,NOT(OR('Your debts'!$B$11&lt;&gt;"",N('Your debts'!$C$11)&gt;0))),"",IF('Your debts'!$D$20="Avalanche",'Avalanche workings'!$AU$187,'Snowball workings'!$AU$187))</f>
      </c>
      <c r="R185" s="29">
        <f>IF(OR(180&gt;$Z$1,NOT(OR('Your debts'!$B$12&lt;&gt;"",N('Your debts'!$C$12)&gt;0))),"",IF('Your debts'!$D$20="Avalanche",'Avalanche workings'!$R$187,'Snowball workings'!$R$187)+IF('Your debts'!$D$20="Avalanche",'Avalanche workings'!$AL$187,'Snowball workings'!$AL$187))</f>
      </c>
      <c r="S185" s="30">
        <f>IF(OR(180&gt;$Z$1,NOT(OR('Your debts'!$B$12&lt;&gt;"",N('Your debts'!$C$12)&gt;0))),"",IF('Your debts'!$D$20="Avalanche",'Avalanche workings'!$AV$187,'Snowball workings'!$AV$187))</f>
      </c>
      <c r="T185" s="29">
        <f>IF(OR(180&gt;$Z$1,NOT(OR('Your debts'!$B$13&lt;&gt;"",N('Your debts'!$C$13)&gt;0))),"",IF('Your debts'!$D$20="Avalanche",'Avalanche workings'!$S$187,'Snowball workings'!$S$187)+IF('Your debts'!$D$20="Avalanche",'Avalanche workings'!$AM$187,'Snowball workings'!$AM$187))</f>
      </c>
      <c r="U185" s="30">
        <f>IF(OR(180&gt;$Z$1,NOT(OR('Your debts'!$B$13&lt;&gt;"",N('Your debts'!$C$13)&gt;0))),"",IF('Your debts'!$D$20="Avalanche",'Avalanche workings'!$AW$187,'Snowball workings'!$AW$187))</f>
      </c>
      <c r="V185" s="29">
        <f>IF(OR(180&gt;$Z$1,NOT(OR('Your debts'!$B$14&lt;&gt;"",N('Your debts'!$C$14)&gt;0))),"",IF('Your debts'!$D$20="Avalanche",'Avalanche workings'!$T$187,'Snowball workings'!$T$187)+IF('Your debts'!$D$20="Avalanche",'Avalanche workings'!$AN$187,'Snowball workings'!$AN$187))</f>
      </c>
      <c r="W185" s="30">
        <f>IF(OR(180&gt;$Z$1,NOT(OR('Your debts'!$B$14&lt;&gt;"",N('Your debts'!$C$14)&gt;0))),"",IF('Your debts'!$D$20="Avalanche",'Avalanche workings'!$AX$187,'Snowball workings'!$AX$187))</f>
      </c>
      <c r="X185" s="29">
        <f>IF(OR(180&gt;$Z$1,NOT(OR('Your debts'!$B$15&lt;&gt;"",N('Your debts'!$C$15)&gt;0))),"",IF('Your debts'!$D$20="Avalanche",'Avalanche workings'!$U$187,'Snowball workings'!$U$187)+IF('Your debts'!$D$20="Avalanche",'Avalanche workings'!$AO$187,'Snowball workings'!$AO$187))</f>
      </c>
      <c r="Y185" s="30">
        <f>IF(OR(180&gt;$Z$1,NOT(OR('Your debts'!$B$15&lt;&gt;"",N('Your debts'!$C$15)&gt;0))),"",IF('Your debts'!$D$20="Avalanche",'Avalanche workings'!$AY$187,'Snowball workings'!$AY$187))</f>
      </c>
    </row>
    <row r="186" spans="1:25" x14ac:dyDescent="0.25">
      <c r="A186" s="2">
        <f>IF(181&gt;$Z$1,"",181)</f>
      </c>
      <c r="B186" s="28">
        <f>IF(181&gt;$Z$1,"",EDATE('Your debts'!$D$21,180))</f>
      </c>
      <c r="C186" s="29">
        <f>IF(181&gt;$Z$1,"",IF('Your debts'!$D$20="Avalanche",'Avalanche workings'!$BC$188,'Snowball workings'!$BC$188))</f>
      </c>
      <c r="D186" s="29">
        <f>IF(181&gt;$Z$1,"",IF('Your debts'!$D$20="Avalanche",'Avalanche workings'!$BA$188,'Snowball workings'!$BA$188))</f>
      </c>
      <c r="E186" s="29">
        <f>IF(181&gt;$Z$1,"",IF('Your debts'!$D$20="Avalanche",'Avalanche workings'!$BB$188,'Snowball workings'!$BB$188))</f>
      </c>
      <c r="F186" s="29">
        <f>IF(OR(181&gt;$Z$1,NOT(OR('Your debts'!$B$6&lt;&gt;"",N('Your debts'!$C$6)&gt;0))),"",IF('Your debts'!$D$20="Avalanche",'Avalanche workings'!$L$188,'Snowball workings'!$L$188)+IF('Your debts'!$D$20="Avalanche",'Avalanche workings'!$AF$188,'Snowball workings'!$AF$188))</f>
      </c>
      <c r="G186" s="30">
        <f>IF(OR(181&gt;$Z$1,NOT(OR('Your debts'!$B$6&lt;&gt;"",N('Your debts'!$C$6)&gt;0))),"",IF('Your debts'!$D$20="Avalanche",'Avalanche workings'!$AP$188,'Snowball workings'!$AP$188))</f>
      </c>
      <c r="H186" s="29">
        <f>IF(OR(181&gt;$Z$1,NOT(OR('Your debts'!$B$7&lt;&gt;"",N('Your debts'!$C$7)&gt;0))),"",IF('Your debts'!$D$20="Avalanche",'Avalanche workings'!$M$188,'Snowball workings'!$M$188)+IF('Your debts'!$D$20="Avalanche",'Avalanche workings'!$AG$188,'Snowball workings'!$AG$188))</f>
      </c>
      <c r="I186" s="30">
        <f>IF(OR(181&gt;$Z$1,NOT(OR('Your debts'!$B$7&lt;&gt;"",N('Your debts'!$C$7)&gt;0))),"",IF('Your debts'!$D$20="Avalanche",'Avalanche workings'!$AQ$188,'Snowball workings'!$AQ$188))</f>
      </c>
      <c r="J186" s="29">
        <f>IF(OR(181&gt;$Z$1,NOT(OR('Your debts'!$B$8&lt;&gt;"",N('Your debts'!$C$8)&gt;0))),"",IF('Your debts'!$D$20="Avalanche",'Avalanche workings'!$N$188,'Snowball workings'!$N$188)+IF('Your debts'!$D$20="Avalanche",'Avalanche workings'!$AH$188,'Snowball workings'!$AH$188))</f>
      </c>
      <c r="K186" s="30">
        <f>IF(OR(181&gt;$Z$1,NOT(OR('Your debts'!$B$8&lt;&gt;"",N('Your debts'!$C$8)&gt;0))),"",IF('Your debts'!$D$20="Avalanche",'Avalanche workings'!$AR$188,'Snowball workings'!$AR$188))</f>
      </c>
      <c r="L186" s="29">
        <f>IF(OR(181&gt;$Z$1,NOT(OR('Your debts'!$B$9&lt;&gt;"",N('Your debts'!$C$9)&gt;0))),"",IF('Your debts'!$D$20="Avalanche",'Avalanche workings'!$O$188,'Snowball workings'!$O$188)+IF('Your debts'!$D$20="Avalanche",'Avalanche workings'!$AI$188,'Snowball workings'!$AI$188))</f>
      </c>
      <c r="M186" s="30">
        <f>IF(OR(181&gt;$Z$1,NOT(OR('Your debts'!$B$9&lt;&gt;"",N('Your debts'!$C$9)&gt;0))),"",IF('Your debts'!$D$20="Avalanche",'Avalanche workings'!$AS$188,'Snowball workings'!$AS$188))</f>
      </c>
      <c r="N186" s="29">
        <f>IF(OR(181&gt;$Z$1,NOT(OR('Your debts'!$B$10&lt;&gt;"",N('Your debts'!$C$10)&gt;0))),"",IF('Your debts'!$D$20="Avalanche",'Avalanche workings'!$P$188,'Snowball workings'!$P$188)+IF('Your debts'!$D$20="Avalanche",'Avalanche workings'!$AJ$188,'Snowball workings'!$AJ$188))</f>
      </c>
      <c r="O186" s="30">
        <f>IF(OR(181&gt;$Z$1,NOT(OR('Your debts'!$B$10&lt;&gt;"",N('Your debts'!$C$10)&gt;0))),"",IF('Your debts'!$D$20="Avalanche",'Avalanche workings'!$AT$188,'Snowball workings'!$AT$188))</f>
      </c>
      <c r="P186" s="29">
        <f>IF(OR(181&gt;$Z$1,NOT(OR('Your debts'!$B$11&lt;&gt;"",N('Your debts'!$C$11)&gt;0))),"",IF('Your debts'!$D$20="Avalanche",'Avalanche workings'!$Q$188,'Snowball workings'!$Q$188)+IF('Your debts'!$D$20="Avalanche",'Avalanche workings'!$AK$188,'Snowball workings'!$AK$188))</f>
      </c>
      <c r="Q186" s="30">
        <f>IF(OR(181&gt;$Z$1,NOT(OR('Your debts'!$B$11&lt;&gt;"",N('Your debts'!$C$11)&gt;0))),"",IF('Your debts'!$D$20="Avalanche",'Avalanche workings'!$AU$188,'Snowball workings'!$AU$188))</f>
      </c>
      <c r="R186" s="29">
        <f>IF(OR(181&gt;$Z$1,NOT(OR('Your debts'!$B$12&lt;&gt;"",N('Your debts'!$C$12)&gt;0))),"",IF('Your debts'!$D$20="Avalanche",'Avalanche workings'!$R$188,'Snowball workings'!$R$188)+IF('Your debts'!$D$20="Avalanche",'Avalanche workings'!$AL$188,'Snowball workings'!$AL$188))</f>
      </c>
      <c r="S186" s="30">
        <f>IF(OR(181&gt;$Z$1,NOT(OR('Your debts'!$B$12&lt;&gt;"",N('Your debts'!$C$12)&gt;0))),"",IF('Your debts'!$D$20="Avalanche",'Avalanche workings'!$AV$188,'Snowball workings'!$AV$188))</f>
      </c>
      <c r="T186" s="29">
        <f>IF(OR(181&gt;$Z$1,NOT(OR('Your debts'!$B$13&lt;&gt;"",N('Your debts'!$C$13)&gt;0))),"",IF('Your debts'!$D$20="Avalanche",'Avalanche workings'!$S$188,'Snowball workings'!$S$188)+IF('Your debts'!$D$20="Avalanche",'Avalanche workings'!$AM$188,'Snowball workings'!$AM$188))</f>
      </c>
      <c r="U186" s="30">
        <f>IF(OR(181&gt;$Z$1,NOT(OR('Your debts'!$B$13&lt;&gt;"",N('Your debts'!$C$13)&gt;0))),"",IF('Your debts'!$D$20="Avalanche",'Avalanche workings'!$AW$188,'Snowball workings'!$AW$188))</f>
      </c>
      <c r="V186" s="29">
        <f>IF(OR(181&gt;$Z$1,NOT(OR('Your debts'!$B$14&lt;&gt;"",N('Your debts'!$C$14)&gt;0))),"",IF('Your debts'!$D$20="Avalanche",'Avalanche workings'!$T$188,'Snowball workings'!$T$188)+IF('Your debts'!$D$20="Avalanche",'Avalanche workings'!$AN$188,'Snowball workings'!$AN$188))</f>
      </c>
      <c r="W186" s="30">
        <f>IF(OR(181&gt;$Z$1,NOT(OR('Your debts'!$B$14&lt;&gt;"",N('Your debts'!$C$14)&gt;0))),"",IF('Your debts'!$D$20="Avalanche",'Avalanche workings'!$AX$188,'Snowball workings'!$AX$188))</f>
      </c>
      <c r="X186" s="29">
        <f>IF(OR(181&gt;$Z$1,NOT(OR('Your debts'!$B$15&lt;&gt;"",N('Your debts'!$C$15)&gt;0))),"",IF('Your debts'!$D$20="Avalanche",'Avalanche workings'!$U$188,'Snowball workings'!$U$188)+IF('Your debts'!$D$20="Avalanche",'Avalanche workings'!$AO$188,'Snowball workings'!$AO$188))</f>
      </c>
      <c r="Y186" s="30">
        <f>IF(OR(181&gt;$Z$1,NOT(OR('Your debts'!$B$15&lt;&gt;"",N('Your debts'!$C$15)&gt;0))),"",IF('Your debts'!$D$20="Avalanche",'Avalanche workings'!$AY$188,'Snowball workings'!$AY$188))</f>
      </c>
    </row>
    <row r="187" spans="1:25" x14ac:dyDescent="0.25">
      <c r="A187" s="2">
        <f>IF(182&gt;$Z$1,"",182)</f>
      </c>
      <c r="B187" s="28">
        <f>IF(182&gt;$Z$1,"",EDATE('Your debts'!$D$21,181))</f>
      </c>
      <c r="C187" s="29">
        <f>IF(182&gt;$Z$1,"",IF('Your debts'!$D$20="Avalanche",'Avalanche workings'!$BC$189,'Snowball workings'!$BC$189))</f>
      </c>
      <c r="D187" s="29">
        <f>IF(182&gt;$Z$1,"",IF('Your debts'!$D$20="Avalanche",'Avalanche workings'!$BA$189,'Snowball workings'!$BA$189))</f>
      </c>
      <c r="E187" s="29">
        <f>IF(182&gt;$Z$1,"",IF('Your debts'!$D$20="Avalanche",'Avalanche workings'!$BB$189,'Snowball workings'!$BB$189))</f>
      </c>
      <c r="F187" s="29">
        <f>IF(OR(182&gt;$Z$1,NOT(OR('Your debts'!$B$6&lt;&gt;"",N('Your debts'!$C$6)&gt;0))),"",IF('Your debts'!$D$20="Avalanche",'Avalanche workings'!$L$189,'Snowball workings'!$L$189)+IF('Your debts'!$D$20="Avalanche",'Avalanche workings'!$AF$189,'Snowball workings'!$AF$189))</f>
      </c>
      <c r="G187" s="30">
        <f>IF(OR(182&gt;$Z$1,NOT(OR('Your debts'!$B$6&lt;&gt;"",N('Your debts'!$C$6)&gt;0))),"",IF('Your debts'!$D$20="Avalanche",'Avalanche workings'!$AP$189,'Snowball workings'!$AP$189))</f>
      </c>
      <c r="H187" s="29">
        <f>IF(OR(182&gt;$Z$1,NOT(OR('Your debts'!$B$7&lt;&gt;"",N('Your debts'!$C$7)&gt;0))),"",IF('Your debts'!$D$20="Avalanche",'Avalanche workings'!$M$189,'Snowball workings'!$M$189)+IF('Your debts'!$D$20="Avalanche",'Avalanche workings'!$AG$189,'Snowball workings'!$AG$189))</f>
      </c>
      <c r="I187" s="30">
        <f>IF(OR(182&gt;$Z$1,NOT(OR('Your debts'!$B$7&lt;&gt;"",N('Your debts'!$C$7)&gt;0))),"",IF('Your debts'!$D$20="Avalanche",'Avalanche workings'!$AQ$189,'Snowball workings'!$AQ$189))</f>
      </c>
      <c r="J187" s="29">
        <f>IF(OR(182&gt;$Z$1,NOT(OR('Your debts'!$B$8&lt;&gt;"",N('Your debts'!$C$8)&gt;0))),"",IF('Your debts'!$D$20="Avalanche",'Avalanche workings'!$N$189,'Snowball workings'!$N$189)+IF('Your debts'!$D$20="Avalanche",'Avalanche workings'!$AH$189,'Snowball workings'!$AH$189))</f>
      </c>
      <c r="K187" s="30">
        <f>IF(OR(182&gt;$Z$1,NOT(OR('Your debts'!$B$8&lt;&gt;"",N('Your debts'!$C$8)&gt;0))),"",IF('Your debts'!$D$20="Avalanche",'Avalanche workings'!$AR$189,'Snowball workings'!$AR$189))</f>
      </c>
      <c r="L187" s="29">
        <f>IF(OR(182&gt;$Z$1,NOT(OR('Your debts'!$B$9&lt;&gt;"",N('Your debts'!$C$9)&gt;0))),"",IF('Your debts'!$D$20="Avalanche",'Avalanche workings'!$O$189,'Snowball workings'!$O$189)+IF('Your debts'!$D$20="Avalanche",'Avalanche workings'!$AI$189,'Snowball workings'!$AI$189))</f>
      </c>
      <c r="M187" s="30">
        <f>IF(OR(182&gt;$Z$1,NOT(OR('Your debts'!$B$9&lt;&gt;"",N('Your debts'!$C$9)&gt;0))),"",IF('Your debts'!$D$20="Avalanche",'Avalanche workings'!$AS$189,'Snowball workings'!$AS$189))</f>
      </c>
      <c r="N187" s="29">
        <f>IF(OR(182&gt;$Z$1,NOT(OR('Your debts'!$B$10&lt;&gt;"",N('Your debts'!$C$10)&gt;0))),"",IF('Your debts'!$D$20="Avalanche",'Avalanche workings'!$P$189,'Snowball workings'!$P$189)+IF('Your debts'!$D$20="Avalanche",'Avalanche workings'!$AJ$189,'Snowball workings'!$AJ$189))</f>
      </c>
      <c r="O187" s="30">
        <f>IF(OR(182&gt;$Z$1,NOT(OR('Your debts'!$B$10&lt;&gt;"",N('Your debts'!$C$10)&gt;0))),"",IF('Your debts'!$D$20="Avalanche",'Avalanche workings'!$AT$189,'Snowball workings'!$AT$189))</f>
      </c>
      <c r="P187" s="29">
        <f>IF(OR(182&gt;$Z$1,NOT(OR('Your debts'!$B$11&lt;&gt;"",N('Your debts'!$C$11)&gt;0))),"",IF('Your debts'!$D$20="Avalanche",'Avalanche workings'!$Q$189,'Snowball workings'!$Q$189)+IF('Your debts'!$D$20="Avalanche",'Avalanche workings'!$AK$189,'Snowball workings'!$AK$189))</f>
      </c>
      <c r="Q187" s="30">
        <f>IF(OR(182&gt;$Z$1,NOT(OR('Your debts'!$B$11&lt;&gt;"",N('Your debts'!$C$11)&gt;0))),"",IF('Your debts'!$D$20="Avalanche",'Avalanche workings'!$AU$189,'Snowball workings'!$AU$189))</f>
      </c>
      <c r="R187" s="29">
        <f>IF(OR(182&gt;$Z$1,NOT(OR('Your debts'!$B$12&lt;&gt;"",N('Your debts'!$C$12)&gt;0))),"",IF('Your debts'!$D$20="Avalanche",'Avalanche workings'!$R$189,'Snowball workings'!$R$189)+IF('Your debts'!$D$20="Avalanche",'Avalanche workings'!$AL$189,'Snowball workings'!$AL$189))</f>
      </c>
      <c r="S187" s="30">
        <f>IF(OR(182&gt;$Z$1,NOT(OR('Your debts'!$B$12&lt;&gt;"",N('Your debts'!$C$12)&gt;0))),"",IF('Your debts'!$D$20="Avalanche",'Avalanche workings'!$AV$189,'Snowball workings'!$AV$189))</f>
      </c>
      <c r="T187" s="29">
        <f>IF(OR(182&gt;$Z$1,NOT(OR('Your debts'!$B$13&lt;&gt;"",N('Your debts'!$C$13)&gt;0))),"",IF('Your debts'!$D$20="Avalanche",'Avalanche workings'!$S$189,'Snowball workings'!$S$189)+IF('Your debts'!$D$20="Avalanche",'Avalanche workings'!$AM$189,'Snowball workings'!$AM$189))</f>
      </c>
      <c r="U187" s="30">
        <f>IF(OR(182&gt;$Z$1,NOT(OR('Your debts'!$B$13&lt;&gt;"",N('Your debts'!$C$13)&gt;0))),"",IF('Your debts'!$D$20="Avalanche",'Avalanche workings'!$AW$189,'Snowball workings'!$AW$189))</f>
      </c>
      <c r="V187" s="29">
        <f>IF(OR(182&gt;$Z$1,NOT(OR('Your debts'!$B$14&lt;&gt;"",N('Your debts'!$C$14)&gt;0))),"",IF('Your debts'!$D$20="Avalanche",'Avalanche workings'!$T$189,'Snowball workings'!$T$189)+IF('Your debts'!$D$20="Avalanche",'Avalanche workings'!$AN$189,'Snowball workings'!$AN$189))</f>
      </c>
      <c r="W187" s="30">
        <f>IF(OR(182&gt;$Z$1,NOT(OR('Your debts'!$B$14&lt;&gt;"",N('Your debts'!$C$14)&gt;0))),"",IF('Your debts'!$D$20="Avalanche",'Avalanche workings'!$AX$189,'Snowball workings'!$AX$189))</f>
      </c>
      <c r="X187" s="29">
        <f>IF(OR(182&gt;$Z$1,NOT(OR('Your debts'!$B$15&lt;&gt;"",N('Your debts'!$C$15)&gt;0))),"",IF('Your debts'!$D$20="Avalanche",'Avalanche workings'!$U$189,'Snowball workings'!$U$189)+IF('Your debts'!$D$20="Avalanche",'Avalanche workings'!$AO$189,'Snowball workings'!$AO$189))</f>
      </c>
      <c r="Y187" s="30">
        <f>IF(OR(182&gt;$Z$1,NOT(OR('Your debts'!$B$15&lt;&gt;"",N('Your debts'!$C$15)&gt;0))),"",IF('Your debts'!$D$20="Avalanche",'Avalanche workings'!$AY$189,'Snowball workings'!$AY$189))</f>
      </c>
    </row>
    <row r="188" spans="1:25" x14ac:dyDescent="0.25">
      <c r="A188" s="2">
        <f>IF(183&gt;$Z$1,"",183)</f>
      </c>
      <c r="B188" s="28">
        <f>IF(183&gt;$Z$1,"",EDATE('Your debts'!$D$21,182))</f>
      </c>
      <c r="C188" s="29">
        <f>IF(183&gt;$Z$1,"",IF('Your debts'!$D$20="Avalanche",'Avalanche workings'!$BC$190,'Snowball workings'!$BC$190))</f>
      </c>
      <c r="D188" s="29">
        <f>IF(183&gt;$Z$1,"",IF('Your debts'!$D$20="Avalanche",'Avalanche workings'!$BA$190,'Snowball workings'!$BA$190))</f>
      </c>
      <c r="E188" s="29">
        <f>IF(183&gt;$Z$1,"",IF('Your debts'!$D$20="Avalanche",'Avalanche workings'!$BB$190,'Snowball workings'!$BB$190))</f>
      </c>
      <c r="F188" s="29">
        <f>IF(OR(183&gt;$Z$1,NOT(OR('Your debts'!$B$6&lt;&gt;"",N('Your debts'!$C$6)&gt;0))),"",IF('Your debts'!$D$20="Avalanche",'Avalanche workings'!$L$190,'Snowball workings'!$L$190)+IF('Your debts'!$D$20="Avalanche",'Avalanche workings'!$AF$190,'Snowball workings'!$AF$190))</f>
      </c>
      <c r="G188" s="30">
        <f>IF(OR(183&gt;$Z$1,NOT(OR('Your debts'!$B$6&lt;&gt;"",N('Your debts'!$C$6)&gt;0))),"",IF('Your debts'!$D$20="Avalanche",'Avalanche workings'!$AP$190,'Snowball workings'!$AP$190))</f>
      </c>
      <c r="H188" s="29">
        <f>IF(OR(183&gt;$Z$1,NOT(OR('Your debts'!$B$7&lt;&gt;"",N('Your debts'!$C$7)&gt;0))),"",IF('Your debts'!$D$20="Avalanche",'Avalanche workings'!$M$190,'Snowball workings'!$M$190)+IF('Your debts'!$D$20="Avalanche",'Avalanche workings'!$AG$190,'Snowball workings'!$AG$190))</f>
      </c>
      <c r="I188" s="30">
        <f>IF(OR(183&gt;$Z$1,NOT(OR('Your debts'!$B$7&lt;&gt;"",N('Your debts'!$C$7)&gt;0))),"",IF('Your debts'!$D$20="Avalanche",'Avalanche workings'!$AQ$190,'Snowball workings'!$AQ$190))</f>
      </c>
      <c r="J188" s="29">
        <f>IF(OR(183&gt;$Z$1,NOT(OR('Your debts'!$B$8&lt;&gt;"",N('Your debts'!$C$8)&gt;0))),"",IF('Your debts'!$D$20="Avalanche",'Avalanche workings'!$N$190,'Snowball workings'!$N$190)+IF('Your debts'!$D$20="Avalanche",'Avalanche workings'!$AH$190,'Snowball workings'!$AH$190))</f>
      </c>
      <c r="K188" s="30">
        <f>IF(OR(183&gt;$Z$1,NOT(OR('Your debts'!$B$8&lt;&gt;"",N('Your debts'!$C$8)&gt;0))),"",IF('Your debts'!$D$20="Avalanche",'Avalanche workings'!$AR$190,'Snowball workings'!$AR$190))</f>
      </c>
      <c r="L188" s="29">
        <f>IF(OR(183&gt;$Z$1,NOT(OR('Your debts'!$B$9&lt;&gt;"",N('Your debts'!$C$9)&gt;0))),"",IF('Your debts'!$D$20="Avalanche",'Avalanche workings'!$O$190,'Snowball workings'!$O$190)+IF('Your debts'!$D$20="Avalanche",'Avalanche workings'!$AI$190,'Snowball workings'!$AI$190))</f>
      </c>
      <c r="M188" s="30">
        <f>IF(OR(183&gt;$Z$1,NOT(OR('Your debts'!$B$9&lt;&gt;"",N('Your debts'!$C$9)&gt;0))),"",IF('Your debts'!$D$20="Avalanche",'Avalanche workings'!$AS$190,'Snowball workings'!$AS$190))</f>
      </c>
      <c r="N188" s="29">
        <f>IF(OR(183&gt;$Z$1,NOT(OR('Your debts'!$B$10&lt;&gt;"",N('Your debts'!$C$10)&gt;0))),"",IF('Your debts'!$D$20="Avalanche",'Avalanche workings'!$P$190,'Snowball workings'!$P$190)+IF('Your debts'!$D$20="Avalanche",'Avalanche workings'!$AJ$190,'Snowball workings'!$AJ$190))</f>
      </c>
      <c r="O188" s="30">
        <f>IF(OR(183&gt;$Z$1,NOT(OR('Your debts'!$B$10&lt;&gt;"",N('Your debts'!$C$10)&gt;0))),"",IF('Your debts'!$D$20="Avalanche",'Avalanche workings'!$AT$190,'Snowball workings'!$AT$190))</f>
      </c>
      <c r="P188" s="29">
        <f>IF(OR(183&gt;$Z$1,NOT(OR('Your debts'!$B$11&lt;&gt;"",N('Your debts'!$C$11)&gt;0))),"",IF('Your debts'!$D$20="Avalanche",'Avalanche workings'!$Q$190,'Snowball workings'!$Q$190)+IF('Your debts'!$D$20="Avalanche",'Avalanche workings'!$AK$190,'Snowball workings'!$AK$190))</f>
      </c>
      <c r="Q188" s="30">
        <f>IF(OR(183&gt;$Z$1,NOT(OR('Your debts'!$B$11&lt;&gt;"",N('Your debts'!$C$11)&gt;0))),"",IF('Your debts'!$D$20="Avalanche",'Avalanche workings'!$AU$190,'Snowball workings'!$AU$190))</f>
      </c>
      <c r="R188" s="29">
        <f>IF(OR(183&gt;$Z$1,NOT(OR('Your debts'!$B$12&lt;&gt;"",N('Your debts'!$C$12)&gt;0))),"",IF('Your debts'!$D$20="Avalanche",'Avalanche workings'!$R$190,'Snowball workings'!$R$190)+IF('Your debts'!$D$20="Avalanche",'Avalanche workings'!$AL$190,'Snowball workings'!$AL$190))</f>
      </c>
      <c r="S188" s="30">
        <f>IF(OR(183&gt;$Z$1,NOT(OR('Your debts'!$B$12&lt;&gt;"",N('Your debts'!$C$12)&gt;0))),"",IF('Your debts'!$D$20="Avalanche",'Avalanche workings'!$AV$190,'Snowball workings'!$AV$190))</f>
      </c>
      <c r="T188" s="29">
        <f>IF(OR(183&gt;$Z$1,NOT(OR('Your debts'!$B$13&lt;&gt;"",N('Your debts'!$C$13)&gt;0))),"",IF('Your debts'!$D$20="Avalanche",'Avalanche workings'!$S$190,'Snowball workings'!$S$190)+IF('Your debts'!$D$20="Avalanche",'Avalanche workings'!$AM$190,'Snowball workings'!$AM$190))</f>
      </c>
      <c r="U188" s="30">
        <f>IF(OR(183&gt;$Z$1,NOT(OR('Your debts'!$B$13&lt;&gt;"",N('Your debts'!$C$13)&gt;0))),"",IF('Your debts'!$D$20="Avalanche",'Avalanche workings'!$AW$190,'Snowball workings'!$AW$190))</f>
      </c>
      <c r="V188" s="29">
        <f>IF(OR(183&gt;$Z$1,NOT(OR('Your debts'!$B$14&lt;&gt;"",N('Your debts'!$C$14)&gt;0))),"",IF('Your debts'!$D$20="Avalanche",'Avalanche workings'!$T$190,'Snowball workings'!$T$190)+IF('Your debts'!$D$20="Avalanche",'Avalanche workings'!$AN$190,'Snowball workings'!$AN$190))</f>
      </c>
      <c r="W188" s="30">
        <f>IF(OR(183&gt;$Z$1,NOT(OR('Your debts'!$B$14&lt;&gt;"",N('Your debts'!$C$14)&gt;0))),"",IF('Your debts'!$D$20="Avalanche",'Avalanche workings'!$AX$190,'Snowball workings'!$AX$190))</f>
      </c>
      <c r="X188" s="29">
        <f>IF(OR(183&gt;$Z$1,NOT(OR('Your debts'!$B$15&lt;&gt;"",N('Your debts'!$C$15)&gt;0))),"",IF('Your debts'!$D$20="Avalanche",'Avalanche workings'!$U$190,'Snowball workings'!$U$190)+IF('Your debts'!$D$20="Avalanche",'Avalanche workings'!$AO$190,'Snowball workings'!$AO$190))</f>
      </c>
      <c r="Y188" s="30">
        <f>IF(OR(183&gt;$Z$1,NOT(OR('Your debts'!$B$15&lt;&gt;"",N('Your debts'!$C$15)&gt;0))),"",IF('Your debts'!$D$20="Avalanche",'Avalanche workings'!$AY$190,'Snowball workings'!$AY$190))</f>
      </c>
    </row>
    <row r="189" spans="1:25" x14ac:dyDescent="0.25">
      <c r="A189" s="2">
        <f>IF(184&gt;$Z$1,"",184)</f>
      </c>
      <c r="B189" s="28">
        <f>IF(184&gt;$Z$1,"",EDATE('Your debts'!$D$21,183))</f>
      </c>
      <c r="C189" s="29">
        <f>IF(184&gt;$Z$1,"",IF('Your debts'!$D$20="Avalanche",'Avalanche workings'!$BC$191,'Snowball workings'!$BC$191))</f>
      </c>
      <c r="D189" s="29">
        <f>IF(184&gt;$Z$1,"",IF('Your debts'!$D$20="Avalanche",'Avalanche workings'!$BA$191,'Snowball workings'!$BA$191))</f>
      </c>
      <c r="E189" s="29">
        <f>IF(184&gt;$Z$1,"",IF('Your debts'!$D$20="Avalanche",'Avalanche workings'!$BB$191,'Snowball workings'!$BB$191))</f>
      </c>
      <c r="F189" s="29">
        <f>IF(OR(184&gt;$Z$1,NOT(OR('Your debts'!$B$6&lt;&gt;"",N('Your debts'!$C$6)&gt;0))),"",IF('Your debts'!$D$20="Avalanche",'Avalanche workings'!$L$191,'Snowball workings'!$L$191)+IF('Your debts'!$D$20="Avalanche",'Avalanche workings'!$AF$191,'Snowball workings'!$AF$191))</f>
      </c>
      <c r="G189" s="30">
        <f>IF(OR(184&gt;$Z$1,NOT(OR('Your debts'!$B$6&lt;&gt;"",N('Your debts'!$C$6)&gt;0))),"",IF('Your debts'!$D$20="Avalanche",'Avalanche workings'!$AP$191,'Snowball workings'!$AP$191))</f>
      </c>
      <c r="H189" s="29">
        <f>IF(OR(184&gt;$Z$1,NOT(OR('Your debts'!$B$7&lt;&gt;"",N('Your debts'!$C$7)&gt;0))),"",IF('Your debts'!$D$20="Avalanche",'Avalanche workings'!$M$191,'Snowball workings'!$M$191)+IF('Your debts'!$D$20="Avalanche",'Avalanche workings'!$AG$191,'Snowball workings'!$AG$191))</f>
      </c>
      <c r="I189" s="30">
        <f>IF(OR(184&gt;$Z$1,NOT(OR('Your debts'!$B$7&lt;&gt;"",N('Your debts'!$C$7)&gt;0))),"",IF('Your debts'!$D$20="Avalanche",'Avalanche workings'!$AQ$191,'Snowball workings'!$AQ$191))</f>
      </c>
      <c r="J189" s="29">
        <f>IF(OR(184&gt;$Z$1,NOT(OR('Your debts'!$B$8&lt;&gt;"",N('Your debts'!$C$8)&gt;0))),"",IF('Your debts'!$D$20="Avalanche",'Avalanche workings'!$N$191,'Snowball workings'!$N$191)+IF('Your debts'!$D$20="Avalanche",'Avalanche workings'!$AH$191,'Snowball workings'!$AH$191))</f>
      </c>
      <c r="K189" s="30">
        <f>IF(OR(184&gt;$Z$1,NOT(OR('Your debts'!$B$8&lt;&gt;"",N('Your debts'!$C$8)&gt;0))),"",IF('Your debts'!$D$20="Avalanche",'Avalanche workings'!$AR$191,'Snowball workings'!$AR$191))</f>
      </c>
      <c r="L189" s="29">
        <f>IF(OR(184&gt;$Z$1,NOT(OR('Your debts'!$B$9&lt;&gt;"",N('Your debts'!$C$9)&gt;0))),"",IF('Your debts'!$D$20="Avalanche",'Avalanche workings'!$O$191,'Snowball workings'!$O$191)+IF('Your debts'!$D$20="Avalanche",'Avalanche workings'!$AI$191,'Snowball workings'!$AI$191))</f>
      </c>
      <c r="M189" s="30">
        <f>IF(OR(184&gt;$Z$1,NOT(OR('Your debts'!$B$9&lt;&gt;"",N('Your debts'!$C$9)&gt;0))),"",IF('Your debts'!$D$20="Avalanche",'Avalanche workings'!$AS$191,'Snowball workings'!$AS$191))</f>
      </c>
      <c r="N189" s="29">
        <f>IF(OR(184&gt;$Z$1,NOT(OR('Your debts'!$B$10&lt;&gt;"",N('Your debts'!$C$10)&gt;0))),"",IF('Your debts'!$D$20="Avalanche",'Avalanche workings'!$P$191,'Snowball workings'!$P$191)+IF('Your debts'!$D$20="Avalanche",'Avalanche workings'!$AJ$191,'Snowball workings'!$AJ$191))</f>
      </c>
      <c r="O189" s="30">
        <f>IF(OR(184&gt;$Z$1,NOT(OR('Your debts'!$B$10&lt;&gt;"",N('Your debts'!$C$10)&gt;0))),"",IF('Your debts'!$D$20="Avalanche",'Avalanche workings'!$AT$191,'Snowball workings'!$AT$191))</f>
      </c>
      <c r="P189" s="29">
        <f>IF(OR(184&gt;$Z$1,NOT(OR('Your debts'!$B$11&lt;&gt;"",N('Your debts'!$C$11)&gt;0))),"",IF('Your debts'!$D$20="Avalanche",'Avalanche workings'!$Q$191,'Snowball workings'!$Q$191)+IF('Your debts'!$D$20="Avalanche",'Avalanche workings'!$AK$191,'Snowball workings'!$AK$191))</f>
      </c>
      <c r="Q189" s="30">
        <f>IF(OR(184&gt;$Z$1,NOT(OR('Your debts'!$B$11&lt;&gt;"",N('Your debts'!$C$11)&gt;0))),"",IF('Your debts'!$D$20="Avalanche",'Avalanche workings'!$AU$191,'Snowball workings'!$AU$191))</f>
      </c>
      <c r="R189" s="29">
        <f>IF(OR(184&gt;$Z$1,NOT(OR('Your debts'!$B$12&lt;&gt;"",N('Your debts'!$C$12)&gt;0))),"",IF('Your debts'!$D$20="Avalanche",'Avalanche workings'!$R$191,'Snowball workings'!$R$191)+IF('Your debts'!$D$20="Avalanche",'Avalanche workings'!$AL$191,'Snowball workings'!$AL$191))</f>
      </c>
      <c r="S189" s="30">
        <f>IF(OR(184&gt;$Z$1,NOT(OR('Your debts'!$B$12&lt;&gt;"",N('Your debts'!$C$12)&gt;0))),"",IF('Your debts'!$D$20="Avalanche",'Avalanche workings'!$AV$191,'Snowball workings'!$AV$191))</f>
      </c>
      <c r="T189" s="29">
        <f>IF(OR(184&gt;$Z$1,NOT(OR('Your debts'!$B$13&lt;&gt;"",N('Your debts'!$C$13)&gt;0))),"",IF('Your debts'!$D$20="Avalanche",'Avalanche workings'!$S$191,'Snowball workings'!$S$191)+IF('Your debts'!$D$20="Avalanche",'Avalanche workings'!$AM$191,'Snowball workings'!$AM$191))</f>
      </c>
      <c r="U189" s="30">
        <f>IF(OR(184&gt;$Z$1,NOT(OR('Your debts'!$B$13&lt;&gt;"",N('Your debts'!$C$13)&gt;0))),"",IF('Your debts'!$D$20="Avalanche",'Avalanche workings'!$AW$191,'Snowball workings'!$AW$191))</f>
      </c>
      <c r="V189" s="29">
        <f>IF(OR(184&gt;$Z$1,NOT(OR('Your debts'!$B$14&lt;&gt;"",N('Your debts'!$C$14)&gt;0))),"",IF('Your debts'!$D$20="Avalanche",'Avalanche workings'!$T$191,'Snowball workings'!$T$191)+IF('Your debts'!$D$20="Avalanche",'Avalanche workings'!$AN$191,'Snowball workings'!$AN$191))</f>
      </c>
      <c r="W189" s="30">
        <f>IF(OR(184&gt;$Z$1,NOT(OR('Your debts'!$B$14&lt;&gt;"",N('Your debts'!$C$14)&gt;0))),"",IF('Your debts'!$D$20="Avalanche",'Avalanche workings'!$AX$191,'Snowball workings'!$AX$191))</f>
      </c>
      <c r="X189" s="29">
        <f>IF(OR(184&gt;$Z$1,NOT(OR('Your debts'!$B$15&lt;&gt;"",N('Your debts'!$C$15)&gt;0))),"",IF('Your debts'!$D$20="Avalanche",'Avalanche workings'!$U$191,'Snowball workings'!$U$191)+IF('Your debts'!$D$20="Avalanche",'Avalanche workings'!$AO$191,'Snowball workings'!$AO$191))</f>
      </c>
      <c r="Y189" s="30">
        <f>IF(OR(184&gt;$Z$1,NOT(OR('Your debts'!$B$15&lt;&gt;"",N('Your debts'!$C$15)&gt;0))),"",IF('Your debts'!$D$20="Avalanche",'Avalanche workings'!$AY$191,'Snowball workings'!$AY$191))</f>
      </c>
    </row>
    <row r="190" spans="1:25" x14ac:dyDescent="0.25">
      <c r="A190" s="2">
        <f>IF(185&gt;$Z$1,"",185)</f>
      </c>
      <c r="B190" s="28">
        <f>IF(185&gt;$Z$1,"",EDATE('Your debts'!$D$21,184))</f>
      </c>
      <c r="C190" s="29">
        <f>IF(185&gt;$Z$1,"",IF('Your debts'!$D$20="Avalanche",'Avalanche workings'!$BC$192,'Snowball workings'!$BC$192))</f>
      </c>
      <c r="D190" s="29">
        <f>IF(185&gt;$Z$1,"",IF('Your debts'!$D$20="Avalanche",'Avalanche workings'!$BA$192,'Snowball workings'!$BA$192))</f>
      </c>
      <c r="E190" s="29">
        <f>IF(185&gt;$Z$1,"",IF('Your debts'!$D$20="Avalanche",'Avalanche workings'!$BB$192,'Snowball workings'!$BB$192))</f>
      </c>
      <c r="F190" s="29">
        <f>IF(OR(185&gt;$Z$1,NOT(OR('Your debts'!$B$6&lt;&gt;"",N('Your debts'!$C$6)&gt;0))),"",IF('Your debts'!$D$20="Avalanche",'Avalanche workings'!$L$192,'Snowball workings'!$L$192)+IF('Your debts'!$D$20="Avalanche",'Avalanche workings'!$AF$192,'Snowball workings'!$AF$192))</f>
      </c>
      <c r="G190" s="30">
        <f>IF(OR(185&gt;$Z$1,NOT(OR('Your debts'!$B$6&lt;&gt;"",N('Your debts'!$C$6)&gt;0))),"",IF('Your debts'!$D$20="Avalanche",'Avalanche workings'!$AP$192,'Snowball workings'!$AP$192))</f>
      </c>
      <c r="H190" s="29">
        <f>IF(OR(185&gt;$Z$1,NOT(OR('Your debts'!$B$7&lt;&gt;"",N('Your debts'!$C$7)&gt;0))),"",IF('Your debts'!$D$20="Avalanche",'Avalanche workings'!$M$192,'Snowball workings'!$M$192)+IF('Your debts'!$D$20="Avalanche",'Avalanche workings'!$AG$192,'Snowball workings'!$AG$192))</f>
      </c>
      <c r="I190" s="30">
        <f>IF(OR(185&gt;$Z$1,NOT(OR('Your debts'!$B$7&lt;&gt;"",N('Your debts'!$C$7)&gt;0))),"",IF('Your debts'!$D$20="Avalanche",'Avalanche workings'!$AQ$192,'Snowball workings'!$AQ$192))</f>
      </c>
      <c r="J190" s="29">
        <f>IF(OR(185&gt;$Z$1,NOT(OR('Your debts'!$B$8&lt;&gt;"",N('Your debts'!$C$8)&gt;0))),"",IF('Your debts'!$D$20="Avalanche",'Avalanche workings'!$N$192,'Snowball workings'!$N$192)+IF('Your debts'!$D$20="Avalanche",'Avalanche workings'!$AH$192,'Snowball workings'!$AH$192))</f>
      </c>
      <c r="K190" s="30">
        <f>IF(OR(185&gt;$Z$1,NOT(OR('Your debts'!$B$8&lt;&gt;"",N('Your debts'!$C$8)&gt;0))),"",IF('Your debts'!$D$20="Avalanche",'Avalanche workings'!$AR$192,'Snowball workings'!$AR$192))</f>
      </c>
      <c r="L190" s="29">
        <f>IF(OR(185&gt;$Z$1,NOT(OR('Your debts'!$B$9&lt;&gt;"",N('Your debts'!$C$9)&gt;0))),"",IF('Your debts'!$D$20="Avalanche",'Avalanche workings'!$O$192,'Snowball workings'!$O$192)+IF('Your debts'!$D$20="Avalanche",'Avalanche workings'!$AI$192,'Snowball workings'!$AI$192))</f>
      </c>
      <c r="M190" s="30">
        <f>IF(OR(185&gt;$Z$1,NOT(OR('Your debts'!$B$9&lt;&gt;"",N('Your debts'!$C$9)&gt;0))),"",IF('Your debts'!$D$20="Avalanche",'Avalanche workings'!$AS$192,'Snowball workings'!$AS$192))</f>
      </c>
      <c r="N190" s="29">
        <f>IF(OR(185&gt;$Z$1,NOT(OR('Your debts'!$B$10&lt;&gt;"",N('Your debts'!$C$10)&gt;0))),"",IF('Your debts'!$D$20="Avalanche",'Avalanche workings'!$P$192,'Snowball workings'!$P$192)+IF('Your debts'!$D$20="Avalanche",'Avalanche workings'!$AJ$192,'Snowball workings'!$AJ$192))</f>
      </c>
      <c r="O190" s="30">
        <f>IF(OR(185&gt;$Z$1,NOT(OR('Your debts'!$B$10&lt;&gt;"",N('Your debts'!$C$10)&gt;0))),"",IF('Your debts'!$D$20="Avalanche",'Avalanche workings'!$AT$192,'Snowball workings'!$AT$192))</f>
      </c>
      <c r="P190" s="29">
        <f>IF(OR(185&gt;$Z$1,NOT(OR('Your debts'!$B$11&lt;&gt;"",N('Your debts'!$C$11)&gt;0))),"",IF('Your debts'!$D$20="Avalanche",'Avalanche workings'!$Q$192,'Snowball workings'!$Q$192)+IF('Your debts'!$D$20="Avalanche",'Avalanche workings'!$AK$192,'Snowball workings'!$AK$192))</f>
      </c>
      <c r="Q190" s="30">
        <f>IF(OR(185&gt;$Z$1,NOT(OR('Your debts'!$B$11&lt;&gt;"",N('Your debts'!$C$11)&gt;0))),"",IF('Your debts'!$D$20="Avalanche",'Avalanche workings'!$AU$192,'Snowball workings'!$AU$192))</f>
      </c>
      <c r="R190" s="29">
        <f>IF(OR(185&gt;$Z$1,NOT(OR('Your debts'!$B$12&lt;&gt;"",N('Your debts'!$C$12)&gt;0))),"",IF('Your debts'!$D$20="Avalanche",'Avalanche workings'!$R$192,'Snowball workings'!$R$192)+IF('Your debts'!$D$20="Avalanche",'Avalanche workings'!$AL$192,'Snowball workings'!$AL$192))</f>
      </c>
      <c r="S190" s="30">
        <f>IF(OR(185&gt;$Z$1,NOT(OR('Your debts'!$B$12&lt;&gt;"",N('Your debts'!$C$12)&gt;0))),"",IF('Your debts'!$D$20="Avalanche",'Avalanche workings'!$AV$192,'Snowball workings'!$AV$192))</f>
      </c>
      <c r="T190" s="29">
        <f>IF(OR(185&gt;$Z$1,NOT(OR('Your debts'!$B$13&lt;&gt;"",N('Your debts'!$C$13)&gt;0))),"",IF('Your debts'!$D$20="Avalanche",'Avalanche workings'!$S$192,'Snowball workings'!$S$192)+IF('Your debts'!$D$20="Avalanche",'Avalanche workings'!$AM$192,'Snowball workings'!$AM$192))</f>
      </c>
      <c r="U190" s="30">
        <f>IF(OR(185&gt;$Z$1,NOT(OR('Your debts'!$B$13&lt;&gt;"",N('Your debts'!$C$13)&gt;0))),"",IF('Your debts'!$D$20="Avalanche",'Avalanche workings'!$AW$192,'Snowball workings'!$AW$192))</f>
      </c>
      <c r="V190" s="29">
        <f>IF(OR(185&gt;$Z$1,NOT(OR('Your debts'!$B$14&lt;&gt;"",N('Your debts'!$C$14)&gt;0))),"",IF('Your debts'!$D$20="Avalanche",'Avalanche workings'!$T$192,'Snowball workings'!$T$192)+IF('Your debts'!$D$20="Avalanche",'Avalanche workings'!$AN$192,'Snowball workings'!$AN$192))</f>
      </c>
      <c r="W190" s="30">
        <f>IF(OR(185&gt;$Z$1,NOT(OR('Your debts'!$B$14&lt;&gt;"",N('Your debts'!$C$14)&gt;0))),"",IF('Your debts'!$D$20="Avalanche",'Avalanche workings'!$AX$192,'Snowball workings'!$AX$192))</f>
      </c>
      <c r="X190" s="29">
        <f>IF(OR(185&gt;$Z$1,NOT(OR('Your debts'!$B$15&lt;&gt;"",N('Your debts'!$C$15)&gt;0))),"",IF('Your debts'!$D$20="Avalanche",'Avalanche workings'!$U$192,'Snowball workings'!$U$192)+IF('Your debts'!$D$20="Avalanche",'Avalanche workings'!$AO$192,'Snowball workings'!$AO$192))</f>
      </c>
      <c r="Y190" s="30">
        <f>IF(OR(185&gt;$Z$1,NOT(OR('Your debts'!$B$15&lt;&gt;"",N('Your debts'!$C$15)&gt;0))),"",IF('Your debts'!$D$20="Avalanche",'Avalanche workings'!$AY$192,'Snowball workings'!$AY$192))</f>
      </c>
    </row>
    <row r="191" spans="1:25" x14ac:dyDescent="0.25">
      <c r="A191" s="2">
        <f>IF(186&gt;$Z$1,"",186)</f>
      </c>
      <c r="B191" s="28">
        <f>IF(186&gt;$Z$1,"",EDATE('Your debts'!$D$21,185))</f>
      </c>
      <c r="C191" s="29">
        <f>IF(186&gt;$Z$1,"",IF('Your debts'!$D$20="Avalanche",'Avalanche workings'!$BC$193,'Snowball workings'!$BC$193))</f>
      </c>
      <c r="D191" s="29">
        <f>IF(186&gt;$Z$1,"",IF('Your debts'!$D$20="Avalanche",'Avalanche workings'!$BA$193,'Snowball workings'!$BA$193))</f>
      </c>
      <c r="E191" s="29">
        <f>IF(186&gt;$Z$1,"",IF('Your debts'!$D$20="Avalanche",'Avalanche workings'!$BB$193,'Snowball workings'!$BB$193))</f>
      </c>
      <c r="F191" s="29">
        <f>IF(OR(186&gt;$Z$1,NOT(OR('Your debts'!$B$6&lt;&gt;"",N('Your debts'!$C$6)&gt;0))),"",IF('Your debts'!$D$20="Avalanche",'Avalanche workings'!$L$193,'Snowball workings'!$L$193)+IF('Your debts'!$D$20="Avalanche",'Avalanche workings'!$AF$193,'Snowball workings'!$AF$193))</f>
      </c>
      <c r="G191" s="30">
        <f>IF(OR(186&gt;$Z$1,NOT(OR('Your debts'!$B$6&lt;&gt;"",N('Your debts'!$C$6)&gt;0))),"",IF('Your debts'!$D$20="Avalanche",'Avalanche workings'!$AP$193,'Snowball workings'!$AP$193))</f>
      </c>
      <c r="H191" s="29">
        <f>IF(OR(186&gt;$Z$1,NOT(OR('Your debts'!$B$7&lt;&gt;"",N('Your debts'!$C$7)&gt;0))),"",IF('Your debts'!$D$20="Avalanche",'Avalanche workings'!$M$193,'Snowball workings'!$M$193)+IF('Your debts'!$D$20="Avalanche",'Avalanche workings'!$AG$193,'Snowball workings'!$AG$193))</f>
      </c>
      <c r="I191" s="30">
        <f>IF(OR(186&gt;$Z$1,NOT(OR('Your debts'!$B$7&lt;&gt;"",N('Your debts'!$C$7)&gt;0))),"",IF('Your debts'!$D$20="Avalanche",'Avalanche workings'!$AQ$193,'Snowball workings'!$AQ$193))</f>
      </c>
      <c r="J191" s="29">
        <f>IF(OR(186&gt;$Z$1,NOT(OR('Your debts'!$B$8&lt;&gt;"",N('Your debts'!$C$8)&gt;0))),"",IF('Your debts'!$D$20="Avalanche",'Avalanche workings'!$N$193,'Snowball workings'!$N$193)+IF('Your debts'!$D$20="Avalanche",'Avalanche workings'!$AH$193,'Snowball workings'!$AH$193))</f>
      </c>
      <c r="K191" s="30">
        <f>IF(OR(186&gt;$Z$1,NOT(OR('Your debts'!$B$8&lt;&gt;"",N('Your debts'!$C$8)&gt;0))),"",IF('Your debts'!$D$20="Avalanche",'Avalanche workings'!$AR$193,'Snowball workings'!$AR$193))</f>
      </c>
      <c r="L191" s="29">
        <f>IF(OR(186&gt;$Z$1,NOT(OR('Your debts'!$B$9&lt;&gt;"",N('Your debts'!$C$9)&gt;0))),"",IF('Your debts'!$D$20="Avalanche",'Avalanche workings'!$O$193,'Snowball workings'!$O$193)+IF('Your debts'!$D$20="Avalanche",'Avalanche workings'!$AI$193,'Snowball workings'!$AI$193))</f>
      </c>
      <c r="M191" s="30">
        <f>IF(OR(186&gt;$Z$1,NOT(OR('Your debts'!$B$9&lt;&gt;"",N('Your debts'!$C$9)&gt;0))),"",IF('Your debts'!$D$20="Avalanche",'Avalanche workings'!$AS$193,'Snowball workings'!$AS$193))</f>
      </c>
      <c r="N191" s="29">
        <f>IF(OR(186&gt;$Z$1,NOT(OR('Your debts'!$B$10&lt;&gt;"",N('Your debts'!$C$10)&gt;0))),"",IF('Your debts'!$D$20="Avalanche",'Avalanche workings'!$P$193,'Snowball workings'!$P$193)+IF('Your debts'!$D$20="Avalanche",'Avalanche workings'!$AJ$193,'Snowball workings'!$AJ$193))</f>
      </c>
      <c r="O191" s="30">
        <f>IF(OR(186&gt;$Z$1,NOT(OR('Your debts'!$B$10&lt;&gt;"",N('Your debts'!$C$10)&gt;0))),"",IF('Your debts'!$D$20="Avalanche",'Avalanche workings'!$AT$193,'Snowball workings'!$AT$193))</f>
      </c>
      <c r="P191" s="29">
        <f>IF(OR(186&gt;$Z$1,NOT(OR('Your debts'!$B$11&lt;&gt;"",N('Your debts'!$C$11)&gt;0))),"",IF('Your debts'!$D$20="Avalanche",'Avalanche workings'!$Q$193,'Snowball workings'!$Q$193)+IF('Your debts'!$D$20="Avalanche",'Avalanche workings'!$AK$193,'Snowball workings'!$AK$193))</f>
      </c>
      <c r="Q191" s="30">
        <f>IF(OR(186&gt;$Z$1,NOT(OR('Your debts'!$B$11&lt;&gt;"",N('Your debts'!$C$11)&gt;0))),"",IF('Your debts'!$D$20="Avalanche",'Avalanche workings'!$AU$193,'Snowball workings'!$AU$193))</f>
      </c>
      <c r="R191" s="29">
        <f>IF(OR(186&gt;$Z$1,NOT(OR('Your debts'!$B$12&lt;&gt;"",N('Your debts'!$C$12)&gt;0))),"",IF('Your debts'!$D$20="Avalanche",'Avalanche workings'!$R$193,'Snowball workings'!$R$193)+IF('Your debts'!$D$20="Avalanche",'Avalanche workings'!$AL$193,'Snowball workings'!$AL$193))</f>
      </c>
      <c r="S191" s="30">
        <f>IF(OR(186&gt;$Z$1,NOT(OR('Your debts'!$B$12&lt;&gt;"",N('Your debts'!$C$12)&gt;0))),"",IF('Your debts'!$D$20="Avalanche",'Avalanche workings'!$AV$193,'Snowball workings'!$AV$193))</f>
      </c>
      <c r="T191" s="29">
        <f>IF(OR(186&gt;$Z$1,NOT(OR('Your debts'!$B$13&lt;&gt;"",N('Your debts'!$C$13)&gt;0))),"",IF('Your debts'!$D$20="Avalanche",'Avalanche workings'!$S$193,'Snowball workings'!$S$193)+IF('Your debts'!$D$20="Avalanche",'Avalanche workings'!$AM$193,'Snowball workings'!$AM$193))</f>
      </c>
      <c r="U191" s="30">
        <f>IF(OR(186&gt;$Z$1,NOT(OR('Your debts'!$B$13&lt;&gt;"",N('Your debts'!$C$13)&gt;0))),"",IF('Your debts'!$D$20="Avalanche",'Avalanche workings'!$AW$193,'Snowball workings'!$AW$193))</f>
      </c>
      <c r="V191" s="29">
        <f>IF(OR(186&gt;$Z$1,NOT(OR('Your debts'!$B$14&lt;&gt;"",N('Your debts'!$C$14)&gt;0))),"",IF('Your debts'!$D$20="Avalanche",'Avalanche workings'!$T$193,'Snowball workings'!$T$193)+IF('Your debts'!$D$20="Avalanche",'Avalanche workings'!$AN$193,'Snowball workings'!$AN$193))</f>
      </c>
      <c r="W191" s="30">
        <f>IF(OR(186&gt;$Z$1,NOT(OR('Your debts'!$B$14&lt;&gt;"",N('Your debts'!$C$14)&gt;0))),"",IF('Your debts'!$D$20="Avalanche",'Avalanche workings'!$AX$193,'Snowball workings'!$AX$193))</f>
      </c>
      <c r="X191" s="29">
        <f>IF(OR(186&gt;$Z$1,NOT(OR('Your debts'!$B$15&lt;&gt;"",N('Your debts'!$C$15)&gt;0))),"",IF('Your debts'!$D$20="Avalanche",'Avalanche workings'!$U$193,'Snowball workings'!$U$193)+IF('Your debts'!$D$20="Avalanche",'Avalanche workings'!$AO$193,'Snowball workings'!$AO$193))</f>
      </c>
      <c r="Y191" s="30">
        <f>IF(OR(186&gt;$Z$1,NOT(OR('Your debts'!$B$15&lt;&gt;"",N('Your debts'!$C$15)&gt;0))),"",IF('Your debts'!$D$20="Avalanche",'Avalanche workings'!$AY$193,'Snowball workings'!$AY$193))</f>
      </c>
    </row>
    <row r="192" spans="1:25" x14ac:dyDescent="0.25">
      <c r="A192" s="2">
        <f>IF(187&gt;$Z$1,"",187)</f>
      </c>
      <c r="B192" s="28">
        <f>IF(187&gt;$Z$1,"",EDATE('Your debts'!$D$21,186))</f>
      </c>
      <c r="C192" s="29">
        <f>IF(187&gt;$Z$1,"",IF('Your debts'!$D$20="Avalanche",'Avalanche workings'!$BC$194,'Snowball workings'!$BC$194))</f>
      </c>
      <c r="D192" s="29">
        <f>IF(187&gt;$Z$1,"",IF('Your debts'!$D$20="Avalanche",'Avalanche workings'!$BA$194,'Snowball workings'!$BA$194))</f>
      </c>
      <c r="E192" s="29">
        <f>IF(187&gt;$Z$1,"",IF('Your debts'!$D$20="Avalanche",'Avalanche workings'!$BB$194,'Snowball workings'!$BB$194))</f>
      </c>
      <c r="F192" s="29">
        <f>IF(OR(187&gt;$Z$1,NOT(OR('Your debts'!$B$6&lt;&gt;"",N('Your debts'!$C$6)&gt;0))),"",IF('Your debts'!$D$20="Avalanche",'Avalanche workings'!$L$194,'Snowball workings'!$L$194)+IF('Your debts'!$D$20="Avalanche",'Avalanche workings'!$AF$194,'Snowball workings'!$AF$194))</f>
      </c>
      <c r="G192" s="30">
        <f>IF(OR(187&gt;$Z$1,NOT(OR('Your debts'!$B$6&lt;&gt;"",N('Your debts'!$C$6)&gt;0))),"",IF('Your debts'!$D$20="Avalanche",'Avalanche workings'!$AP$194,'Snowball workings'!$AP$194))</f>
      </c>
      <c r="H192" s="29">
        <f>IF(OR(187&gt;$Z$1,NOT(OR('Your debts'!$B$7&lt;&gt;"",N('Your debts'!$C$7)&gt;0))),"",IF('Your debts'!$D$20="Avalanche",'Avalanche workings'!$M$194,'Snowball workings'!$M$194)+IF('Your debts'!$D$20="Avalanche",'Avalanche workings'!$AG$194,'Snowball workings'!$AG$194))</f>
      </c>
      <c r="I192" s="30">
        <f>IF(OR(187&gt;$Z$1,NOT(OR('Your debts'!$B$7&lt;&gt;"",N('Your debts'!$C$7)&gt;0))),"",IF('Your debts'!$D$20="Avalanche",'Avalanche workings'!$AQ$194,'Snowball workings'!$AQ$194))</f>
      </c>
      <c r="J192" s="29">
        <f>IF(OR(187&gt;$Z$1,NOT(OR('Your debts'!$B$8&lt;&gt;"",N('Your debts'!$C$8)&gt;0))),"",IF('Your debts'!$D$20="Avalanche",'Avalanche workings'!$N$194,'Snowball workings'!$N$194)+IF('Your debts'!$D$20="Avalanche",'Avalanche workings'!$AH$194,'Snowball workings'!$AH$194))</f>
      </c>
      <c r="K192" s="30">
        <f>IF(OR(187&gt;$Z$1,NOT(OR('Your debts'!$B$8&lt;&gt;"",N('Your debts'!$C$8)&gt;0))),"",IF('Your debts'!$D$20="Avalanche",'Avalanche workings'!$AR$194,'Snowball workings'!$AR$194))</f>
      </c>
      <c r="L192" s="29">
        <f>IF(OR(187&gt;$Z$1,NOT(OR('Your debts'!$B$9&lt;&gt;"",N('Your debts'!$C$9)&gt;0))),"",IF('Your debts'!$D$20="Avalanche",'Avalanche workings'!$O$194,'Snowball workings'!$O$194)+IF('Your debts'!$D$20="Avalanche",'Avalanche workings'!$AI$194,'Snowball workings'!$AI$194))</f>
      </c>
      <c r="M192" s="30">
        <f>IF(OR(187&gt;$Z$1,NOT(OR('Your debts'!$B$9&lt;&gt;"",N('Your debts'!$C$9)&gt;0))),"",IF('Your debts'!$D$20="Avalanche",'Avalanche workings'!$AS$194,'Snowball workings'!$AS$194))</f>
      </c>
      <c r="N192" s="29">
        <f>IF(OR(187&gt;$Z$1,NOT(OR('Your debts'!$B$10&lt;&gt;"",N('Your debts'!$C$10)&gt;0))),"",IF('Your debts'!$D$20="Avalanche",'Avalanche workings'!$P$194,'Snowball workings'!$P$194)+IF('Your debts'!$D$20="Avalanche",'Avalanche workings'!$AJ$194,'Snowball workings'!$AJ$194))</f>
      </c>
      <c r="O192" s="30">
        <f>IF(OR(187&gt;$Z$1,NOT(OR('Your debts'!$B$10&lt;&gt;"",N('Your debts'!$C$10)&gt;0))),"",IF('Your debts'!$D$20="Avalanche",'Avalanche workings'!$AT$194,'Snowball workings'!$AT$194))</f>
      </c>
      <c r="P192" s="29">
        <f>IF(OR(187&gt;$Z$1,NOT(OR('Your debts'!$B$11&lt;&gt;"",N('Your debts'!$C$11)&gt;0))),"",IF('Your debts'!$D$20="Avalanche",'Avalanche workings'!$Q$194,'Snowball workings'!$Q$194)+IF('Your debts'!$D$20="Avalanche",'Avalanche workings'!$AK$194,'Snowball workings'!$AK$194))</f>
      </c>
      <c r="Q192" s="30">
        <f>IF(OR(187&gt;$Z$1,NOT(OR('Your debts'!$B$11&lt;&gt;"",N('Your debts'!$C$11)&gt;0))),"",IF('Your debts'!$D$20="Avalanche",'Avalanche workings'!$AU$194,'Snowball workings'!$AU$194))</f>
      </c>
      <c r="R192" s="29">
        <f>IF(OR(187&gt;$Z$1,NOT(OR('Your debts'!$B$12&lt;&gt;"",N('Your debts'!$C$12)&gt;0))),"",IF('Your debts'!$D$20="Avalanche",'Avalanche workings'!$R$194,'Snowball workings'!$R$194)+IF('Your debts'!$D$20="Avalanche",'Avalanche workings'!$AL$194,'Snowball workings'!$AL$194))</f>
      </c>
      <c r="S192" s="30">
        <f>IF(OR(187&gt;$Z$1,NOT(OR('Your debts'!$B$12&lt;&gt;"",N('Your debts'!$C$12)&gt;0))),"",IF('Your debts'!$D$20="Avalanche",'Avalanche workings'!$AV$194,'Snowball workings'!$AV$194))</f>
      </c>
      <c r="T192" s="29">
        <f>IF(OR(187&gt;$Z$1,NOT(OR('Your debts'!$B$13&lt;&gt;"",N('Your debts'!$C$13)&gt;0))),"",IF('Your debts'!$D$20="Avalanche",'Avalanche workings'!$S$194,'Snowball workings'!$S$194)+IF('Your debts'!$D$20="Avalanche",'Avalanche workings'!$AM$194,'Snowball workings'!$AM$194))</f>
      </c>
      <c r="U192" s="30">
        <f>IF(OR(187&gt;$Z$1,NOT(OR('Your debts'!$B$13&lt;&gt;"",N('Your debts'!$C$13)&gt;0))),"",IF('Your debts'!$D$20="Avalanche",'Avalanche workings'!$AW$194,'Snowball workings'!$AW$194))</f>
      </c>
      <c r="V192" s="29">
        <f>IF(OR(187&gt;$Z$1,NOT(OR('Your debts'!$B$14&lt;&gt;"",N('Your debts'!$C$14)&gt;0))),"",IF('Your debts'!$D$20="Avalanche",'Avalanche workings'!$T$194,'Snowball workings'!$T$194)+IF('Your debts'!$D$20="Avalanche",'Avalanche workings'!$AN$194,'Snowball workings'!$AN$194))</f>
      </c>
      <c r="W192" s="30">
        <f>IF(OR(187&gt;$Z$1,NOT(OR('Your debts'!$B$14&lt;&gt;"",N('Your debts'!$C$14)&gt;0))),"",IF('Your debts'!$D$20="Avalanche",'Avalanche workings'!$AX$194,'Snowball workings'!$AX$194))</f>
      </c>
      <c r="X192" s="29">
        <f>IF(OR(187&gt;$Z$1,NOT(OR('Your debts'!$B$15&lt;&gt;"",N('Your debts'!$C$15)&gt;0))),"",IF('Your debts'!$D$20="Avalanche",'Avalanche workings'!$U$194,'Snowball workings'!$U$194)+IF('Your debts'!$D$20="Avalanche",'Avalanche workings'!$AO$194,'Snowball workings'!$AO$194))</f>
      </c>
      <c r="Y192" s="30">
        <f>IF(OR(187&gt;$Z$1,NOT(OR('Your debts'!$B$15&lt;&gt;"",N('Your debts'!$C$15)&gt;0))),"",IF('Your debts'!$D$20="Avalanche",'Avalanche workings'!$AY$194,'Snowball workings'!$AY$194))</f>
      </c>
    </row>
    <row r="193" spans="1:25" x14ac:dyDescent="0.25">
      <c r="A193" s="2">
        <f>IF(188&gt;$Z$1,"",188)</f>
      </c>
      <c r="B193" s="28">
        <f>IF(188&gt;$Z$1,"",EDATE('Your debts'!$D$21,187))</f>
      </c>
      <c r="C193" s="29">
        <f>IF(188&gt;$Z$1,"",IF('Your debts'!$D$20="Avalanche",'Avalanche workings'!$BC$195,'Snowball workings'!$BC$195))</f>
      </c>
      <c r="D193" s="29">
        <f>IF(188&gt;$Z$1,"",IF('Your debts'!$D$20="Avalanche",'Avalanche workings'!$BA$195,'Snowball workings'!$BA$195))</f>
      </c>
      <c r="E193" s="29">
        <f>IF(188&gt;$Z$1,"",IF('Your debts'!$D$20="Avalanche",'Avalanche workings'!$BB$195,'Snowball workings'!$BB$195))</f>
      </c>
      <c r="F193" s="29">
        <f>IF(OR(188&gt;$Z$1,NOT(OR('Your debts'!$B$6&lt;&gt;"",N('Your debts'!$C$6)&gt;0))),"",IF('Your debts'!$D$20="Avalanche",'Avalanche workings'!$L$195,'Snowball workings'!$L$195)+IF('Your debts'!$D$20="Avalanche",'Avalanche workings'!$AF$195,'Snowball workings'!$AF$195))</f>
      </c>
      <c r="G193" s="30">
        <f>IF(OR(188&gt;$Z$1,NOT(OR('Your debts'!$B$6&lt;&gt;"",N('Your debts'!$C$6)&gt;0))),"",IF('Your debts'!$D$20="Avalanche",'Avalanche workings'!$AP$195,'Snowball workings'!$AP$195))</f>
      </c>
      <c r="H193" s="29">
        <f>IF(OR(188&gt;$Z$1,NOT(OR('Your debts'!$B$7&lt;&gt;"",N('Your debts'!$C$7)&gt;0))),"",IF('Your debts'!$D$20="Avalanche",'Avalanche workings'!$M$195,'Snowball workings'!$M$195)+IF('Your debts'!$D$20="Avalanche",'Avalanche workings'!$AG$195,'Snowball workings'!$AG$195))</f>
      </c>
      <c r="I193" s="30">
        <f>IF(OR(188&gt;$Z$1,NOT(OR('Your debts'!$B$7&lt;&gt;"",N('Your debts'!$C$7)&gt;0))),"",IF('Your debts'!$D$20="Avalanche",'Avalanche workings'!$AQ$195,'Snowball workings'!$AQ$195))</f>
      </c>
      <c r="J193" s="29">
        <f>IF(OR(188&gt;$Z$1,NOT(OR('Your debts'!$B$8&lt;&gt;"",N('Your debts'!$C$8)&gt;0))),"",IF('Your debts'!$D$20="Avalanche",'Avalanche workings'!$N$195,'Snowball workings'!$N$195)+IF('Your debts'!$D$20="Avalanche",'Avalanche workings'!$AH$195,'Snowball workings'!$AH$195))</f>
      </c>
      <c r="K193" s="30">
        <f>IF(OR(188&gt;$Z$1,NOT(OR('Your debts'!$B$8&lt;&gt;"",N('Your debts'!$C$8)&gt;0))),"",IF('Your debts'!$D$20="Avalanche",'Avalanche workings'!$AR$195,'Snowball workings'!$AR$195))</f>
      </c>
      <c r="L193" s="29">
        <f>IF(OR(188&gt;$Z$1,NOT(OR('Your debts'!$B$9&lt;&gt;"",N('Your debts'!$C$9)&gt;0))),"",IF('Your debts'!$D$20="Avalanche",'Avalanche workings'!$O$195,'Snowball workings'!$O$195)+IF('Your debts'!$D$20="Avalanche",'Avalanche workings'!$AI$195,'Snowball workings'!$AI$195))</f>
      </c>
      <c r="M193" s="30">
        <f>IF(OR(188&gt;$Z$1,NOT(OR('Your debts'!$B$9&lt;&gt;"",N('Your debts'!$C$9)&gt;0))),"",IF('Your debts'!$D$20="Avalanche",'Avalanche workings'!$AS$195,'Snowball workings'!$AS$195))</f>
      </c>
      <c r="N193" s="29">
        <f>IF(OR(188&gt;$Z$1,NOT(OR('Your debts'!$B$10&lt;&gt;"",N('Your debts'!$C$10)&gt;0))),"",IF('Your debts'!$D$20="Avalanche",'Avalanche workings'!$P$195,'Snowball workings'!$P$195)+IF('Your debts'!$D$20="Avalanche",'Avalanche workings'!$AJ$195,'Snowball workings'!$AJ$195))</f>
      </c>
      <c r="O193" s="30">
        <f>IF(OR(188&gt;$Z$1,NOT(OR('Your debts'!$B$10&lt;&gt;"",N('Your debts'!$C$10)&gt;0))),"",IF('Your debts'!$D$20="Avalanche",'Avalanche workings'!$AT$195,'Snowball workings'!$AT$195))</f>
      </c>
      <c r="P193" s="29">
        <f>IF(OR(188&gt;$Z$1,NOT(OR('Your debts'!$B$11&lt;&gt;"",N('Your debts'!$C$11)&gt;0))),"",IF('Your debts'!$D$20="Avalanche",'Avalanche workings'!$Q$195,'Snowball workings'!$Q$195)+IF('Your debts'!$D$20="Avalanche",'Avalanche workings'!$AK$195,'Snowball workings'!$AK$195))</f>
      </c>
      <c r="Q193" s="30">
        <f>IF(OR(188&gt;$Z$1,NOT(OR('Your debts'!$B$11&lt;&gt;"",N('Your debts'!$C$11)&gt;0))),"",IF('Your debts'!$D$20="Avalanche",'Avalanche workings'!$AU$195,'Snowball workings'!$AU$195))</f>
      </c>
      <c r="R193" s="29">
        <f>IF(OR(188&gt;$Z$1,NOT(OR('Your debts'!$B$12&lt;&gt;"",N('Your debts'!$C$12)&gt;0))),"",IF('Your debts'!$D$20="Avalanche",'Avalanche workings'!$R$195,'Snowball workings'!$R$195)+IF('Your debts'!$D$20="Avalanche",'Avalanche workings'!$AL$195,'Snowball workings'!$AL$195))</f>
      </c>
      <c r="S193" s="30">
        <f>IF(OR(188&gt;$Z$1,NOT(OR('Your debts'!$B$12&lt;&gt;"",N('Your debts'!$C$12)&gt;0))),"",IF('Your debts'!$D$20="Avalanche",'Avalanche workings'!$AV$195,'Snowball workings'!$AV$195))</f>
      </c>
      <c r="T193" s="29">
        <f>IF(OR(188&gt;$Z$1,NOT(OR('Your debts'!$B$13&lt;&gt;"",N('Your debts'!$C$13)&gt;0))),"",IF('Your debts'!$D$20="Avalanche",'Avalanche workings'!$S$195,'Snowball workings'!$S$195)+IF('Your debts'!$D$20="Avalanche",'Avalanche workings'!$AM$195,'Snowball workings'!$AM$195))</f>
      </c>
      <c r="U193" s="30">
        <f>IF(OR(188&gt;$Z$1,NOT(OR('Your debts'!$B$13&lt;&gt;"",N('Your debts'!$C$13)&gt;0))),"",IF('Your debts'!$D$20="Avalanche",'Avalanche workings'!$AW$195,'Snowball workings'!$AW$195))</f>
      </c>
      <c r="V193" s="29">
        <f>IF(OR(188&gt;$Z$1,NOT(OR('Your debts'!$B$14&lt;&gt;"",N('Your debts'!$C$14)&gt;0))),"",IF('Your debts'!$D$20="Avalanche",'Avalanche workings'!$T$195,'Snowball workings'!$T$195)+IF('Your debts'!$D$20="Avalanche",'Avalanche workings'!$AN$195,'Snowball workings'!$AN$195))</f>
      </c>
      <c r="W193" s="30">
        <f>IF(OR(188&gt;$Z$1,NOT(OR('Your debts'!$B$14&lt;&gt;"",N('Your debts'!$C$14)&gt;0))),"",IF('Your debts'!$D$20="Avalanche",'Avalanche workings'!$AX$195,'Snowball workings'!$AX$195))</f>
      </c>
      <c r="X193" s="29">
        <f>IF(OR(188&gt;$Z$1,NOT(OR('Your debts'!$B$15&lt;&gt;"",N('Your debts'!$C$15)&gt;0))),"",IF('Your debts'!$D$20="Avalanche",'Avalanche workings'!$U$195,'Snowball workings'!$U$195)+IF('Your debts'!$D$20="Avalanche",'Avalanche workings'!$AO$195,'Snowball workings'!$AO$195))</f>
      </c>
      <c r="Y193" s="30">
        <f>IF(OR(188&gt;$Z$1,NOT(OR('Your debts'!$B$15&lt;&gt;"",N('Your debts'!$C$15)&gt;0))),"",IF('Your debts'!$D$20="Avalanche",'Avalanche workings'!$AY$195,'Snowball workings'!$AY$195))</f>
      </c>
    </row>
    <row r="194" spans="1:25" x14ac:dyDescent="0.25">
      <c r="A194" s="2">
        <f>IF(189&gt;$Z$1,"",189)</f>
      </c>
      <c r="B194" s="28">
        <f>IF(189&gt;$Z$1,"",EDATE('Your debts'!$D$21,188))</f>
      </c>
      <c r="C194" s="29">
        <f>IF(189&gt;$Z$1,"",IF('Your debts'!$D$20="Avalanche",'Avalanche workings'!$BC$196,'Snowball workings'!$BC$196))</f>
      </c>
      <c r="D194" s="29">
        <f>IF(189&gt;$Z$1,"",IF('Your debts'!$D$20="Avalanche",'Avalanche workings'!$BA$196,'Snowball workings'!$BA$196))</f>
      </c>
      <c r="E194" s="29">
        <f>IF(189&gt;$Z$1,"",IF('Your debts'!$D$20="Avalanche",'Avalanche workings'!$BB$196,'Snowball workings'!$BB$196))</f>
      </c>
      <c r="F194" s="29">
        <f>IF(OR(189&gt;$Z$1,NOT(OR('Your debts'!$B$6&lt;&gt;"",N('Your debts'!$C$6)&gt;0))),"",IF('Your debts'!$D$20="Avalanche",'Avalanche workings'!$L$196,'Snowball workings'!$L$196)+IF('Your debts'!$D$20="Avalanche",'Avalanche workings'!$AF$196,'Snowball workings'!$AF$196))</f>
      </c>
      <c r="G194" s="30">
        <f>IF(OR(189&gt;$Z$1,NOT(OR('Your debts'!$B$6&lt;&gt;"",N('Your debts'!$C$6)&gt;0))),"",IF('Your debts'!$D$20="Avalanche",'Avalanche workings'!$AP$196,'Snowball workings'!$AP$196))</f>
      </c>
      <c r="H194" s="29">
        <f>IF(OR(189&gt;$Z$1,NOT(OR('Your debts'!$B$7&lt;&gt;"",N('Your debts'!$C$7)&gt;0))),"",IF('Your debts'!$D$20="Avalanche",'Avalanche workings'!$M$196,'Snowball workings'!$M$196)+IF('Your debts'!$D$20="Avalanche",'Avalanche workings'!$AG$196,'Snowball workings'!$AG$196))</f>
      </c>
      <c r="I194" s="30">
        <f>IF(OR(189&gt;$Z$1,NOT(OR('Your debts'!$B$7&lt;&gt;"",N('Your debts'!$C$7)&gt;0))),"",IF('Your debts'!$D$20="Avalanche",'Avalanche workings'!$AQ$196,'Snowball workings'!$AQ$196))</f>
      </c>
      <c r="J194" s="29">
        <f>IF(OR(189&gt;$Z$1,NOT(OR('Your debts'!$B$8&lt;&gt;"",N('Your debts'!$C$8)&gt;0))),"",IF('Your debts'!$D$20="Avalanche",'Avalanche workings'!$N$196,'Snowball workings'!$N$196)+IF('Your debts'!$D$20="Avalanche",'Avalanche workings'!$AH$196,'Snowball workings'!$AH$196))</f>
      </c>
      <c r="K194" s="30">
        <f>IF(OR(189&gt;$Z$1,NOT(OR('Your debts'!$B$8&lt;&gt;"",N('Your debts'!$C$8)&gt;0))),"",IF('Your debts'!$D$20="Avalanche",'Avalanche workings'!$AR$196,'Snowball workings'!$AR$196))</f>
      </c>
      <c r="L194" s="29">
        <f>IF(OR(189&gt;$Z$1,NOT(OR('Your debts'!$B$9&lt;&gt;"",N('Your debts'!$C$9)&gt;0))),"",IF('Your debts'!$D$20="Avalanche",'Avalanche workings'!$O$196,'Snowball workings'!$O$196)+IF('Your debts'!$D$20="Avalanche",'Avalanche workings'!$AI$196,'Snowball workings'!$AI$196))</f>
      </c>
      <c r="M194" s="30">
        <f>IF(OR(189&gt;$Z$1,NOT(OR('Your debts'!$B$9&lt;&gt;"",N('Your debts'!$C$9)&gt;0))),"",IF('Your debts'!$D$20="Avalanche",'Avalanche workings'!$AS$196,'Snowball workings'!$AS$196))</f>
      </c>
      <c r="N194" s="29">
        <f>IF(OR(189&gt;$Z$1,NOT(OR('Your debts'!$B$10&lt;&gt;"",N('Your debts'!$C$10)&gt;0))),"",IF('Your debts'!$D$20="Avalanche",'Avalanche workings'!$P$196,'Snowball workings'!$P$196)+IF('Your debts'!$D$20="Avalanche",'Avalanche workings'!$AJ$196,'Snowball workings'!$AJ$196))</f>
      </c>
      <c r="O194" s="30">
        <f>IF(OR(189&gt;$Z$1,NOT(OR('Your debts'!$B$10&lt;&gt;"",N('Your debts'!$C$10)&gt;0))),"",IF('Your debts'!$D$20="Avalanche",'Avalanche workings'!$AT$196,'Snowball workings'!$AT$196))</f>
      </c>
      <c r="P194" s="29">
        <f>IF(OR(189&gt;$Z$1,NOT(OR('Your debts'!$B$11&lt;&gt;"",N('Your debts'!$C$11)&gt;0))),"",IF('Your debts'!$D$20="Avalanche",'Avalanche workings'!$Q$196,'Snowball workings'!$Q$196)+IF('Your debts'!$D$20="Avalanche",'Avalanche workings'!$AK$196,'Snowball workings'!$AK$196))</f>
      </c>
      <c r="Q194" s="30">
        <f>IF(OR(189&gt;$Z$1,NOT(OR('Your debts'!$B$11&lt;&gt;"",N('Your debts'!$C$11)&gt;0))),"",IF('Your debts'!$D$20="Avalanche",'Avalanche workings'!$AU$196,'Snowball workings'!$AU$196))</f>
      </c>
      <c r="R194" s="29">
        <f>IF(OR(189&gt;$Z$1,NOT(OR('Your debts'!$B$12&lt;&gt;"",N('Your debts'!$C$12)&gt;0))),"",IF('Your debts'!$D$20="Avalanche",'Avalanche workings'!$R$196,'Snowball workings'!$R$196)+IF('Your debts'!$D$20="Avalanche",'Avalanche workings'!$AL$196,'Snowball workings'!$AL$196))</f>
      </c>
      <c r="S194" s="30">
        <f>IF(OR(189&gt;$Z$1,NOT(OR('Your debts'!$B$12&lt;&gt;"",N('Your debts'!$C$12)&gt;0))),"",IF('Your debts'!$D$20="Avalanche",'Avalanche workings'!$AV$196,'Snowball workings'!$AV$196))</f>
      </c>
      <c r="T194" s="29">
        <f>IF(OR(189&gt;$Z$1,NOT(OR('Your debts'!$B$13&lt;&gt;"",N('Your debts'!$C$13)&gt;0))),"",IF('Your debts'!$D$20="Avalanche",'Avalanche workings'!$S$196,'Snowball workings'!$S$196)+IF('Your debts'!$D$20="Avalanche",'Avalanche workings'!$AM$196,'Snowball workings'!$AM$196))</f>
      </c>
      <c r="U194" s="30">
        <f>IF(OR(189&gt;$Z$1,NOT(OR('Your debts'!$B$13&lt;&gt;"",N('Your debts'!$C$13)&gt;0))),"",IF('Your debts'!$D$20="Avalanche",'Avalanche workings'!$AW$196,'Snowball workings'!$AW$196))</f>
      </c>
      <c r="V194" s="29">
        <f>IF(OR(189&gt;$Z$1,NOT(OR('Your debts'!$B$14&lt;&gt;"",N('Your debts'!$C$14)&gt;0))),"",IF('Your debts'!$D$20="Avalanche",'Avalanche workings'!$T$196,'Snowball workings'!$T$196)+IF('Your debts'!$D$20="Avalanche",'Avalanche workings'!$AN$196,'Snowball workings'!$AN$196))</f>
      </c>
      <c r="W194" s="30">
        <f>IF(OR(189&gt;$Z$1,NOT(OR('Your debts'!$B$14&lt;&gt;"",N('Your debts'!$C$14)&gt;0))),"",IF('Your debts'!$D$20="Avalanche",'Avalanche workings'!$AX$196,'Snowball workings'!$AX$196))</f>
      </c>
      <c r="X194" s="29">
        <f>IF(OR(189&gt;$Z$1,NOT(OR('Your debts'!$B$15&lt;&gt;"",N('Your debts'!$C$15)&gt;0))),"",IF('Your debts'!$D$20="Avalanche",'Avalanche workings'!$U$196,'Snowball workings'!$U$196)+IF('Your debts'!$D$20="Avalanche",'Avalanche workings'!$AO$196,'Snowball workings'!$AO$196))</f>
      </c>
      <c r="Y194" s="30">
        <f>IF(OR(189&gt;$Z$1,NOT(OR('Your debts'!$B$15&lt;&gt;"",N('Your debts'!$C$15)&gt;0))),"",IF('Your debts'!$D$20="Avalanche",'Avalanche workings'!$AY$196,'Snowball workings'!$AY$196))</f>
      </c>
    </row>
    <row r="195" spans="1:25" x14ac:dyDescent="0.25">
      <c r="A195" s="2">
        <f>IF(190&gt;$Z$1,"",190)</f>
      </c>
      <c r="B195" s="28">
        <f>IF(190&gt;$Z$1,"",EDATE('Your debts'!$D$21,189))</f>
      </c>
      <c r="C195" s="29">
        <f>IF(190&gt;$Z$1,"",IF('Your debts'!$D$20="Avalanche",'Avalanche workings'!$BC$197,'Snowball workings'!$BC$197))</f>
      </c>
      <c r="D195" s="29">
        <f>IF(190&gt;$Z$1,"",IF('Your debts'!$D$20="Avalanche",'Avalanche workings'!$BA$197,'Snowball workings'!$BA$197))</f>
      </c>
      <c r="E195" s="29">
        <f>IF(190&gt;$Z$1,"",IF('Your debts'!$D$20="Avalanche",'Avalanche workings'!$BB$197,'Snowball workings'!$BB$197))</f>
      </c>
      <c r="F195" s="29">
        <f>IF(OR(190&gt;$Z$1,NOT(OR('Your debts'!$B$6&lt;&gt;"",N('Your debts'!$C$6)&gt;0))),"",IF('Your debts'!$D$20="Avalanche",'Avalanche workings'!$L$197,'Snowball workings'!$L$197)+IF('Your debts'!$D$20="Avalanche",'Avalanche workings'!$AF$197,'Snowball workings'!$AF$197))</f>
      </c>
      <c r="G195" s="30">
        <f>IF(OR(190&gt;$Z$1,NOT(OR('Your debts'!$B$6&lt;&gt;"",N('Your debts'!$C$6)&gt;0))),"",IF('Your debts'!$D$20="Avalanche",'Avalanche workings'!$AP$197,'Snowball workings'!$AP$197))</f>
      </c>
      <c r="H195" s="29">
        <f>IF(OR(190&gt;$Z$1,NOT(OR('Your debts'!$B$7&lt;&gt;"",N('Your debts'!$C$7)&gt;0))),"",IF('Your debts'!$D$20="Avalanche",'Avalanche workings'!$M$197,'Snowball workings'!$M$197)+IF('Your debts'!$D$20="Avalanche",'Avalanche workings'!$AG$197,'Snowball workings'!$AG$197))</f>
      </c>
      <c r="I195" s="30">
        <f>IF(OR(190&gt;$Z$1,NOT(OR('Your debts'!$B$7&lt;&gt;"",N('Your debts'!$C$7)&gt;0))),"",IF('Your debts'!$D$20="Avalanche",'Avalanche workings'!$AQ$197,'Snowball workings'!$AQ$197))</f>
      </c>
      <c r="J195" s="29">
        <f>IF(OR(190&gt;$Z$1,NOT(OR('Your debts'!$B$8&lt;&gt;"",N('Your debts'!$C$8)&gt;0))),"",IF('Your debts'!$D$20="Avalanche",'Avalanche workings'!$N$197,'Snowball workings'!$N$197)+IF('Your debts'!$D$20="Avalanche",'Avalanche workings'!$AH$197,'Snowball workings'!$AH$197))</f>
      </c>
      <c r="K195" s="30">
        <f>IF(OR(190&gt;$Z$1,NOT(OR('Your debts'!$B$8&lt;&gt;"",N('Your debts'!$C$8)&gt;0))),"",IF('Your debts'!$D$20="Avalanche",'Avalanche workings'!$AR$197,'Snowball workings'!$AR$197))</f>
      </c>
      <c r="L195" s="29">
        <f>IF(OR(190&gt;$Z$1,NOT(OR('Your debts'!$B$9&lt;&gt;"",N('Your debts'!$C$9)&gt;0))),"",IF('Your debts'!$D$20="Avalanche",'Avalanche workings'!$O$197,'Snowball workings'!$O$197)+IF('Your debts'!$D$20="Avalanche",'Avalanche workings'!$AI$197,'Snowball workings'!$AI$197))</f>
      </c>
      <c r="M195" s="30">
        <f>IF(OR(190&gt;$Z$1,NOT(OR('Your debts'!$B$9&lt;&gt;"",N('Your debts'!$C$9)&gt;0))),"",IF('Your debts'!$D$20="Avalanche",'Avalanche workings'!$AS$197,'Snowball workings'!$AS$197))</f>
      </c>
      <c r="N195" s="29">
        <f>IF(OR(190&gt;$Z$1,NOT(OR('Your debts'!$B$10&lt;&gt;"",N('Your debts'!$C$10)&gt;0))),"",IF('Your debts'!$D$20="Avalanche",'Avalanche workings'!$P$197,'Snowball workings'!$P$197)+IF('Your debts'!$D$20="Avalanche",'Avalanche workings'!$AJ$197,'Snowball workings'!$AJ$197))</f>
      </c>
      <c r="O195" s="30">
        <f>IF(OR(190&gt;$Z$1,NOT(OR('Your debts'!$B$10&lt;&gt;"",N('Your debts'!$C$10)&gt;0))),"",IF('Your debts'!$D$20="Avalanche",'Avalanche workings'!$AT$197,'Snowball workings'!$AT$197))</f>
      </c>
      <c r="P195" s="29">
        <f>IF(OR(190&gt;$Z$1,NOT(OR('Your debts'!$B$11&lt;&gt;"",N('Your debts'!$C$11)&gt;0))),"",IF('Your debts'!$D$20="Avalanche",'Avalanche workings'!$Q$197,'Snowball workings'!$Q$197)+IF('Your debts'!$D$20="Avalanche",'Avalanche workings'!$AK$197,'Snowball workings'!$AK$197))</f>
      </c>
      <c r="Q195" s="30">
        <f>IF(OR(190&gt;$Z$1,NOT(OR('Your debts'!$B$11&lt;&gt;"",N('Your debts'!$C$11)&gt;0))),"",IF('Your debts'!$D$20="Avalanche",'Avalanche workings'!$AU$197,'Snowball workings'!$AU$197))</f>
      </c>
      <c r="R195" s="29">
        <f>IF(OR(190&gt;$Z$1,NOT(OR('Your debts'!$B$12&lt;&gt;"",N('Your debts'!$C$12)&gt;0))),"",IF('Your debts'!$D$20="Avalanche",'Avalanche workings'!$R$197,'Snowball workings'!$R$197)+IF('Your debts'!$D$20="Avalanche",'Avalanche workings'!$AL$197,'Snowball workings'!$AL$197))</f>
      </c>
      <c r="S195" s="30">
        <f>IF(OR(190&gt;$Z$1,NOT(OR('Your debts'!$B$12&lt;&gt;"",N('Your debts'!$C$12)&gt;0))),"",IF('Your debts'!$D$20="Avalanche",'Avalanche workings'!$AV$197,'Snowball workings'!$AV$197))</f>
      </c>
      <c r="T195" s="29">
        <f>IF(OR(190&gt;$Z$1,NOT(OR('Your debts'!$B$13&lt;&gt;"",N('Your debts'!$C$13)&gt;0))),"",IF('Your debts'!$D$20="Avalanche",'Avalanche workings'!$S$197,'Snowball workings'!$S$197)+IF('Your debts'!$D$20="Avalanche",'Avalanche workings'!$AM$197,'Snowball workings'!$AM$197))</f>
      </c>
      <c r="U195" s="30">
        <f>IF(OR(190&gt;$Z$1,NOT(OR('Your debts'!$B$13&lt;&gt;"",N('Your debts'!$C$13)&gt;0))),"",IF('Your debts'!$D$20="Avalanche",'Avalanche workings'!$AW$197,'Snowball workings'!$AW$197))</f>
      </c>
      <c r="V195" s="29">
        <f>IF(OR(190&gt;$Z$1,NOT(OR('Your debts'!$B$14&lt;&gt;"",N('Your debts'!$C$14)&gt;0))),"",IF('Your debts'!$D$20="Avalanche",'Avalanche workings'!$T$197,'Snowball workings'!$T$197)+IF('Your debts'!$D$20="Avalanche",'Avalanche workings'!$AN$197,'Snowball workings'!$AN$197))</f>
      </c>
      <c r="W195" s="30">
        <f>IF(OR(190&gt;$Z$1,NOT(OR('Your debts'!$B$14&lt;&gt;"",N('Your debts'!$C$14)&gt;0))),"",IF('Your debts'!$D$20="Avalanche",'Avalanche workings'!$AX$197,'Snowball workings'!$AX$197))</f>
      </c>
      <c r="X195" s="29">
        <f>IF(OR(190&gt;$Z$1,NOT(OR('Your debts'!$B$15&lt;&gt;"",N('Your debts'!$C$15)&gt;0))),"",IF('Your debts'!$D$20="Avalanche",'Avalanche workings'!$U$197,'Snowball workings'!$U$197)+IF('Your debts'!$D$20="Avalanche",'Avalanche workings'!$AO$197,'Snowball workings'!$AO$197))</f>
      </c>
      <c r="Y195" s="30">
        <f>IF(OR(190&gt;$Z$1,NOT(OR('Your debts'!$B$15&lt;&gt;"",N('Your debts'!$C$15)&gt;0))),"",IF('Your debts'!$D$20="Avalanche",'Avalanche workings'!$AY$197,'Snowball workings'!$AY$197))</f>
      </c>
    </row>
    <row r="196" spans="1:25" x14ac:dyDescent="0.25">
      <c r="A196" s="2">
        <f>IF(191&gt;$Z$1,"",191)</f>
      </c>
      <c r="B196" s="28">
        <f>IF(191&gt;$Z$1,"",EDATE('Your debts'!$D$21,190))</f>
      </c>
      <c r="C196" s="29">
        <f>IF(191&gt;$Z$1,"",IF('Your debts'!$D$20="Avalanche",'Avalanche workings'!$BC$198,'Snowball workings'!$BC$198))</f>
      </c>
      <c r="D196" s="29">
        <f>IF(191&gt;$Z$1,"",IF('Your debts'!$D$20="Avalanche",'Avalanche workings'!$BA$198,'Snowball workings'!$BA$198))</f>
      </c>
      <c r="E196" s="29">
        <f>IF(191&gt;$Z$1,"",IF('Your debts'!$D$20="Avalanche",'Avalanche workings'!$BB$198,'Snowball workings'!$BB$198))</f>
      </c>
      <c r="F196" s="29">
        <f>IF(OR(191&gt;$Z$1,NOT(OR('Your debts'!$B$6&lt;&gt;"",N('Your debts'!$C$6)&gt;0))),"",IF('Your debts'!$D$20="Avalanche",'Avalanche workings'!$L$198,'Snowball workings'!$L$198)+IF('Your debts'!$D$20="Avalanche",'Avalanche workings'!$AF$198,'Snowball workings'!$AF$198))</f>
      </c>
      <c r="G196" s="30">
        <f>IF(OR(191&gt;$Z$1,NOT(OR('Your debts'!$B$6&lt;&gt;"",N('Your debts'!$C$6)&gt;0))),"",IF('Your debts'!$D$20="Avalanche",'Avalanche workings'!$AP$198,'Snowball workings'!$AP$198))</f>
      </c>
      <c r="H196" s="29">
        <f>IF(OR(191&gt;$Z$1,NOT(OR('Your debts'!$B$7&lt;&gt;"",N('Your debts'!$C$7)&gt;0))),"",IF('Your debts'!$D$20="Avalanche",'Avalanche workings'!$M$198,'Snowball workings'!$M$198)+IF('Your debts'!$D$20="Avalanche",'Avalanche workings'!$AG$198,'Snowball workings'!$AG$198))</f>
      </c>
      <c r="I196" s="30">
        <f>IF(OR(191&gt;$Z$1,NOT(OR('Your debts'!$B$7&lt;&gt;"",N('Your debts'!$C$7)&gt;0))),"",IF('Your debts'!$D$20="Avalanche",'Avalanche workings'!$AQ$198,'Snowball workings'!$AQ$198))</f>
      </c>
      <c r="J196" s="29">
        <f>IF(OR(191&gt;$Z$1,NOT(OR('Your debts'!$B$8&lt;&gt;"",N('Your debts'!$C$8)&gt;0))),"",IF('Your debts'!$D$20="Avalanche",'Avalanche workings'!$N$198,'Snowball workings'!$N$198)+IF('Your debts'!$D$20="Avalanche",'Avalanche workings'!$AH$198,'Snowball workings'!$AH$198))</f>
      </c>
      <c r="K196" s="30">
        <f>IF(OR(191&gt;$Z$1,NOT(OR('Your debts'!$B$8&lt;&gt;"",N('Your debts'!$C$8)&gt;0))),"",IF('Your debts'!$D$20="Avalanche",'Avalanche workings'!$AR$198,'Snowball workings'!$AR$198))</f>
      </c>
      <c r="L196" s="29">
        <f>IF(OR(191&gt;$Z$1,NOT(OR('Your debts'!$B$9&lt;&gt;"",N('Your debts'!$C$9)&gt;0))),"",IF('Your debts'!$D$20="Avalanche",'Avalanche workings'!$O$198,'Snowball workings'!$O$198)+IF('Your debts'!$D$20="Avalanche",'Avalanche workings'!$AI$198,'Snowball workings'!$AI$198))</f>
      </c>
      <c r="M196" s="30">
        <f>IF(OR(191&gt;$Z$1,NOT(OR('Your debts'!$B$9&lt;&gt;"",N('Your debts'!$C$9)&gt;0))),"",IF('Your debts'!$D$20="Avalanche",'Avalanche workings'!$AS$198,'Snowball workings'!$AS$198))</f>
      </c>
      <c r="N196" s="29">
        <f>IF(OR(191&gt;$Z$1,NOT(OR('Your debts'!$B$10&lt;&gt;"",N('Your debts'!$C$10)&gt;0))),"",IF('Your debts'!$D$20="Avalanche",'Avalanche workings'!$P$198,'Snowball workings'!$P$198)+IF('Your debts'!$D$20="Avalanche",'Avalanche workings'!$AJ$198,'Snowball workings'!$AJ$198))</f>
      </c>
      <c r="O196" s="30">
        <f>IF(OR(191&gt;$Z$1,NOT(OR('Your debts'!$B$10&lt;&gt;"",N('Your debts'!$C$10)&gt;0))),"",IF('Your debts'!$D$20="Avalanche",'Avalanche workings'!$AT$198,'Snowball workings'!$AT$198))</f>
      </c>
      <c r="P196" s="29">
        <f>IF(OR(191&gt;$Z$1,NOT(OR('Your debts'!$B$11&lt;&gt;"",N('Your debts'!$C$11)&gt;0))),"",IF('Your debts'!$D$20="Avalanche",'Avalanche workings'!$Q$198,'Snowball workings'!$Q$198)+IF('Your debts'!$D$20="Avalanche",'Avalanche workings'!$AK$198,'Snowball workings'!$AK$198))</f>
      </c>
      <c r="Q196" s="30">
        <f>IF(OR(191&gt;$Z$1,NOT(OR('Your debts'!$B$11&lt;&gt;"",N('Your debts'!$C$11)&gt;0))),"",IF('Your debts'!$D$20="Avalanche",'Avalanche workings'!$AU$198,'Snowball workings'!$AU$198))</f>
      </c>
      <c r="R196" s="29">
        <f>IF(OR(191&gt;$Z$1,NOT(OR('Your debts'!$B$12&lt;&gt;"",N('Your debts'!$C$12)&gt;0))),"",IF('Your debts'!$D$20="Avalanche",'Avalanche workings'!$R$198,'Snowball workings'!$R$198)+IF('Your debts'!$D$20="Avalanche",'Avalanche workings'!$AL$198,'Snowball workings'!$AL$198))</f>
      </c>
      <c r="S196" s="30">
        <f>IF(OR(191&gt;$Z$1,NOT(OR('Your debts'!$B$12&lt;&gt;"",N('Your debts'!$C$12)&gt;0))),"",IF('Your debts'!$D$20="Avalanche",'Avalanche workings'!$AV$198,'Snowball workings'!$AV$198))</f>
      </c>
      <c r="T196" s="29">
        <f>IF(OR(191&gt;$Z$1,NOT(OR('Your debts'!$B$13&lt;&gt;"",N('Your debts'!$C$13)&gt;0))),"",IF('Your debts'!$D$20="Avalanche",'Avalanche workings'!$S$198,'Snowball workings'!$S$198)+IF('Your debts'!$D$20="Avalanche",'Avalanche workings'!$AM$198,'Snowball workings'!$AM$198))</f>
      </c>
      <c r="U196" s="30">
        <f>IF(OR(191&gt;$Z$1,NOT(OR('Your debts'!$B$13&lt;&gt;"",N('Your debts'!$C$13)&gt;0))),"",IF('Your debts'!$D$20="Avalanche",'Avalanche workings'!$AW$198,'Snowball workings'!$AW$198))</f>
      </c>
      <c r="V196" s="29">
        <f>IF(OR(191&gt;$Z$1,NOT(OR('Your debts'!$B$14&lt;&gt;"",N('Your debts'!$C$14)&gt;0))),"",IF('Your debts'!$D$20="Avalanche",'Avalanche workings'!$T$198,'Snowball workings'!$T$198)+IF('Your debts'!$D$20="Avalanche",'Avalanche workings'!$AN$198,'Snowball workings'!$AN$198))</f>
      </c>
      <c r="W196" s="30">
        <f>IF(OR(191&gt;$Z$1,NOT(OR('Your debts'!$B$14&lt;&gt;"",N('Your debts'!$C$14)&gt;0))),"",IF('Your debts'!$D$20="Avalanche",'Avalanche workings'!$AX$198,'Snowball workings'!$AX$198))</f>
      </c>
      <c r="X196" s="29">
        <f>IF(OR(191&gt;$Z$1,NOT(OR('Your debts'!$B$15&lt;&gt;"",N('Your debts'!$C$15)&gt;0))),"",IF('Your debts'!$D$20="Avalanche",'Avalanche workings'!$U$198,'Snowball workings'!$U$198)+IF('Your debts'!$D$20="Avalanche",'Avalanche workings'!$AO$198,'Snowball workings'!$AO$198))</f>
      </c>
      <c r="Y196" s="30">
        <f>IF(OR(191&gt;$Z$1,NOT(OR('Your debts'!$B$15&lt;&gt;"",N('Your debts'!$C$15)&gt;0))),"",IF('Your debts'!$D$20="Avalanche",'Avalanche workings'!$AY$198,'Snowball workings'!$AY$198))</f>
      </c>
    </row>
    <row r="197" spans="1:25" x14ac:dyDescent="0.25">
      <c r="A197" s="2">
        <f>IF(192&gt;$Z$1,"",192)</f>
      </c>
      <c r="B197" s="28">
        <f>IF(192&gt;$Z$1,"",EDATE('Your debts'!$D$21,191))</f>
      </c>
      <c r="C197" s="29">
        <f>IF(192&gt;$Z$1,"",IF('Your debts'!$D$20="Avalanche",'Avalanche workings'!$BC$199,'Snowball workings'!$BC$199))</f>
      </c>
      <c r="D197" s="29">
        <f>IF(192&gt;$Z$1,"",IF('Your debts'!$D$20="Avalanche",'Avalanche workings'!$BA$199,'Snowball workings'!$BA$199))</f>
      </c>
      <c r="E197" s="29">
        <f>IF(192&gt;$Z$1,"",IF('Your debts'!$D$20="Avalanche",'Avalanche workings'!$BB$199,'Snowball workings'!$BB$199))</f>
      </c>
      <c r="F197" s="29">
        <f>IF(OR(192&gt;$Z$1,NOT(OR('Your debts'!$B$6&lt;&gt;"",N('Your debts'!$C$6)&gt;0))),"",IF('Your debts'!$D$20="Avalanche",'Avalanche workings'!$L$199,'Snowball workings'!$L$199)+IF('Your debts'!$D$20="Avalanche",'Avalanche workings'!$AF$199,'Snowball workings'!$AF$199))</f>
      </c>
      <c r="G197" s="30">
        <f>IF(OR(192&gt;$Z$1,NOT(OR('Your debts'!$B$6&lt;&gt;"",N('Your debts'!$C$6)&gt;0))),"",IF('Your debts'!$D$20="Avalanche",'Avalanche workings'!$AP$199,'Snowball workings'!$AP$199))</f>
      </c>
      <c r="H197" s="29">
        <f>IF(OR(192&gt;$Z$1,NOT(OR('Your debts'!$B$7&lt;&gt;"",N('Your debts'!$C$7)&gt;0))),"",IF('Your debts'!$D$20="Avalanche",'Avalanche workings'!$M$199,'Snowball workings'!$M$199)+IF('Your debts'!$D$20="Avalanche",'Avalanche workings'!$AG$199,'Snowball workings'!$AG$199))</f>
      </c>
      <c r="I197" s="30">
        <f>IF(OR(192&gt;$Z$1,NOT(OR('Your debts'!$B$7&lt;&gt;"",N('Your debts'!$C$7)&gt;0))),"",IF('Your debts'!$D$20="Avalanche",'Avalanche workings'!$AQ$199,'Snowball workings'!$AQ$199))</f>
      </c>
      <c r="J197" s="29">
        <f>IF(OR(192&gt;$Z$1,NOT(OR('Your debts'!$B$8&lt;&gt;"",N('Your debts'!$C$8)&gt;0))),"",IF('Your debts'!$D$20="Avalanche",'Avalanche workings'!$N$199,'Snowball workings'!$N$199)+IF('Your debts'!$D$20="Avalanche",'Avalanche workings'!$AH$199,'Snowball workings'!$AH$199))</f>
      </c>
      <c r="K197" s="30">
        <f>IF(OR(192&gt;$Z$1,NOT(OR('Your debts'!$B$8&lt;&gt;"",N('Your debts'!$C$8)&gt;0))),"",IF('Your debts'!$D$20="Avalanche",'Avalanche workings'!$AR$199,'Snowball workings'!$AR$199))</f>
      </c>
      <c r="L197" s="29">
        <f>IF(OR(192&gt;$Z$1,NOT(OR('Your debts'!$B$9&lt;&gt;"",N('Your debts'!$C$9)&gt;0))),"",IF('Your debts'!$D$20="Avalanche",'Avalanche workings'!$O$199,'Snowball workings'!$O$199)+IF('Your debts'!$D$20="Avalanche",'Avalanche workings'!$AI$199,'Snowball workings'!$AI$199))</f>
      </c>
      <c r="M197" s="30">
        <f>IF(OR(192&gt;$Z$1,NOT(OR('Your debts'!$B$9&lt;&gt;"",N('Your debts'!$C$9)&gt;0))),"",IF('Your debts'!$D$20="Avalanche",'Avalanche workings'!$AS$199,'Snowball workings'!$AS$199))</f>
      </c>
      <c r="N197" s="29">
        <f>IF(OR(192&gt;$Z$1,NOT(OR('Your debts'!$B$10&lt;&gt;"",N('Your debts'!$C$10)&gt;0))),"",IF('Your debts'!$D$20="Avalanche",'Avalanche workings'!$P$199,'Snowball workings'!$P$199)+IF('Your debts'!$D$20="Avalanche",'Avalanche workings'!$AJ$199,'Snowball workings'!$AJ$199))</f>
      </c>
      <c r="O197" s="30">
        <f>IF(OR(192&gt;$Z$1,NOT(OR('Your debts'!$B$10&lt;&gt;"",N('Your debts'!$C$10)&gt;0))),"",IF('Your debts'!$D$20="Avalanche",'Avalanche workings'!$AT$199,'Snowball workings'!$AT$199))</f>
      </c>
      <c r="P197" s="29">
        <f>IF(OR(192&gt;$Z$1,NOT(OR('Your debts'!$B$11&lt;&gt;"",N('Your debts'!$C$11)&gt;0))),"",IF('Your debts'!$D$20="Avalanche",'Avalanche workings'!$Q$199,'Snowball workings'!$Q$199)+IF('Your debts'!$D$20="Avalanche",'Avalanche workings'!$AK$199,'Snowball workings'!$AK$199))</f>
      </c>
      <c r="Q197" s="30">
        <f>IF(OR(192&gt;$Z$1,NOT(OR('Your debts'!$B$11&lt;&gt;"",N('Your debts'!$C$11)&gt;0))),"",IF('Your debts'!$D$20="Avalanche",'Avalanche workings'!$AU$199,'Snowball workings'!$AU$199))</f>
      </c>
      <c r="R197" s="29">
        <f>IF(OR(192&gt;$Z$1,NOT(OR('Your debts'!$B$12&lt;&gt;"",N('Your debts'!$C$12)&gt;0))),"",IF('Your debts'!$D$20="Avalanche",'Avalanche workings'!$R$199,'Snowball workings'!$R$199)+IF('Your debts'!$D$20="Avalanche",'Avalanche workings'!$AL$199,'Snowball workings'!$AL$199))</f>
      </c>
      <c r="S197" s="30">
        <f>IF(OR(192&gt;$Z$1,NOT(OR('Your debts'!$B$12&lt;&gt;"",N('Your debts'!$C$12)&gt;0))),"",IF('Your debts'!$D$20="Avalanche",'Avalanche workings'!$AV$199,'Snowball workings'!$AV$199))</f>
      </c>
      <c r="T197" s="29">
        <f>IF(OR(192&gt;$Z$1,NOT(OR('Your debts'!$B$13&lt;&gt;"",N('Your debts'!$C$13)&gt;0))),"",IF('Your debts'!$D$20="Avalanche",'Avalanche workings'!$S$199,'Snowball workings'!$S$199)+IF('Your debts'!$D$20="Avalanche",'Avalanche workings'!$AM$199,'Snowball workings'!$AM$199))</f>
      </c>
      <c r="U197" s="30">
        <f>IF(OR(192&gt;$Z$1,NOT(OR('Your debts'!$B$13&lt;&gt;"",N('Your debts'!$C$13)&gt;0))),"",IF('Your debts'!$D$20="Avalanche",'Avalanche workings'!$AW$199,'Snowball workings'!$AW$199))</f>
      </c>
      <c r="V197" s="29">
        <f>IF(OR(192&gt;$Z$1,NOT(OR('Your debts'!$B$14&lt;&gt;"",N('Your debts'!$C$14)&gt;0))),"",IF('Your debts'!$D$20="Avalanche",'Avalanche workings'!$T$199,'Snowball workings'!$T$199)+IF('Your debts'!$D$20="Avalanche",'Avalanche workings'!$AN$199,'Snowball workings'!$AN$199))</f>
      </c>
      <c r="W197" s="30">
        <f>IF(OR(192&gt;$Z$1,NOT(OR('Your debts'!$B$14&lt;&gt;"",N('Your debts'!$C$14)&gt;0))),"",IF('Your debts'!$D$20="Avalanche",'Avalanche workings'!$AX$199,'Snowball workings'!$AX$199))</f>
      </c>
      <c r="X197" s="29">
        <f>IF(OR(192&gt;$Z$1,NOT(OR('Your debts'!$B$15&lt;&gt;"",N('Your debts'!$C$15)&gt;0))),"",IF('Your debts'!$D$20="Avalanche",'Avalanche workings'!$U$199,'Snowball workings'!$U$199)+IF('Your debts'!$D$20="Avalanche",'Avalanche workings'!$AO$199,'Snowball workings'!$AO$199))</f>
      </c>
      <c r="Y197" s="30">
        <f>IF(OR(192&gt;$Z$1,NOT(OR('Your debts'!$B$15&lt;&gt;"",N('Your debts'!$C$15)&gt;0))),"",IF('Your debts'!$D$20="Avalanche",'Avalanche workings'!$AY$199,'Snowball workings'!$AY$199))</f>
      </c>
    </row>
    <row r="198" spans="1:25" x14ac:dyDescent="0.25">
      <c r="A198" s="2">
        <f>IF(193&gt;$Z$1,"",193)</f>
      </c>
      <c r="B198" s="28">
        <f>IF(193&gt;$Z$1,"",EDATE('Your debts'!$D$21,192))</f>
      </c>
      <c r="C198" s="29">
        <f>IF(193&gt;$Z$1,"",IF('Your debts'!$D$20="Avalanche",'Avalanche workings'!$BC$200,'Snowball workings'!$BC$200))</f>
      </c>
      <c r="D198" s="29">
        <f>IF(193&gt;$Z$1,"",IF('Your debts'!$D$20="Avalanche",'Avalanche workings'!$BA$200,'Snowball workings'!$BA$200))</f>
      </c>
      <c r="E198" s="29">
        <f>IF(193&gt;$Z$1,"",IF('Your debts'!$D$20="Avalanche",'Avalanche workings'!$BB$200,'Snowball workings'!$BB$200))</f>
      </c>
      <c r="F198" s="29">
        <f>IF(OR(193&gt;$Z$1,NOT(OR('Your debts'!$B$6&lt;&gt;"",N('Your debts'!$C$6)&gt;0))),"",IF('Your debts'!$D$20="Avalanche",'Avalanche workings'!$L$200,'Snowball workings'!$L$200)+IF('Your debts'!$D$20="Avalanche",'Avalanche workings'!$AF$200,'Snowball workings'!$AF$200))</f>
      </c>
      <c r="G198" s="30">
        <f>IF(OR(193&gt;$Z$1,NOT(OR('Your debts'!$B$6&lt;&gt;"",N('Your debts'!$C$6)&gt;0))),"",IF('Your debts'!$D$20="Avalanche",'Avalanche workings'!$AP$200,'Snowball workings'!$AP$200))</f>
      </c>
      <c r="H198" s="29">
        <f>IF(OR(193&gt;$Z$1,NOT(OR('Your debts'!$B$7&lt;&gt;"",N('Your debts'!$C$7)&gt;0))),"",IF('Your debts'!$D$20="Avalanche",'Avalanche workings'!$M$200,'Snowball workings'!$M$200)+IF('Your debts'!$D$20="Avalanche",'Avalanche workings'!$AG$200,'Snowball workings'!$AG$200))</f>
      </c>
      <c r="I198" s="30">
        <f>IF(OR(193&gt;$Z$1,NOT(OR('Your debts'!$B$7&lt;&gt;"",N('Your debts'!$C$7)&gt;0))),"",IF('Your debts'!$D$20="Avalanche",'Avalanche workings'!$AQ$200,'Snowball workings'!$AQ$200))</f>
      </c>
      <c r="J198" s="29">
        <f>IF(OR(193&gt;$Z$1,NOT(OR('Your debts'!$B$8&lt;&gt;"",N('Your debts'!$C$8)&gt;0))),"",IF('Your debts'!$D$20="Avalanche",'Avalanche workings'!$N$200,'Snowball workings'!$N$200)+IF('Your debts'!$D$20="Avalanche",'Avalanche workings'!$AH$200,'Snowball workings'!$AH$200))</f>
      </c>
      <c r="K198" s="30">
        <f>IF(OR(193&gt;$Z$1,NOT(OR('Your debts'!$B$8&lt;&gt;"",N('Your debts'!$C$8)&gt;0))),"",IF('Your debts'!$D$20="Avalanche",'Avalanche workings'!$AR$200,'Snowball workings'!$AR$200))</f>
      </c>
      <c r="L198" s="29">
        <f>IF(OR(193&gt;$Z$1,NOT(OR('Your debts'!$B$9&lt;&gt;"",N('Your debts'!$C$9)&gt;0))),"",IF('Your debts'!$D$20="Avalanche",'Avalanche workings'!$O$200,'Snowball workings'!$O$200)+IF('Your debts'!$D$20="Avalanche",'Avalanche workings'!$AI$200,'Snowball workings'!$AI$200))</f>
      </c>
      <c r="M198" s="30">
        <f>IF(OR(193&gt;$Z$1,NOT(OR('Your debts'!$B$9&lt;&gt;"",N('Your debts'!$C$9)&gt;0))),"",IF('Your debts'!$D$20="Avalanche",'Avalanche workings'!$AS$200,'Snowball workings'!$AS$200))</f>
      </c>
      <c r="N198" s="29">
        <f>IF(OR(193&gt;$Z$1,NOT(OR('Your debts'!$B$10&lt;&gt;"",N('Your debts'!$C$10)&gt;0))),"",IF('Your debts'!$D$20="Avalanche",'Avalanche workings'!$P$200,'Snowball workings'!$P$200)+IF('Your debts'!$D$20="Avalanche",'Avalanche workings'!$AJ$200,'Snowball workings'!$AJ$200))</f>
      </c>
      <c r="O198" s="30">
        <f>IF(OR(193&gt;$Z$1,NOT(OR('Your debts'!$B$10&lt;&gt;"",N('Your debts'!$C$10)&gt;0))),"",IF('Your debts'!$D$20="Avalanche",'Avalanche workings'!$AT$200,'Snowball workings'!$AT$200))</f>
      </c>
      <c r="P198" s="29">
        <f>IF(OR(193&gt;$Z$1,NOT(OR('Your debts'!$B$11&lt;&gt;"",N('Your debts'!$C$11)&gt;0))),"",IF('Your debts'!$D$20="Avalanche",'Avalanche workings'!$Q$200,'Snowball workings'!$Q$200)+IF('Your debts'!$D$20="Avalanche",'Avalanche workings'!$AK$200,'Snowball workings'!$AK$200))</f>
      </c>
      <c r="Q198" s="30">
        <f>IF(OR(193&gt;$Z$1,NOT(OR('Your debts'!$B$11&lt;&gt;"",N('Your debts'!$C$11)&gt;0))),"",IF('Your debts'!$D$20="Avalanche",'Avalanche workings'!$AU$200,'Snowball workings'!$AU$200))</f>
      </c>
      <c r="R198" s="29">
        <f>IF(OR(193&gt;$Z$1,NOT(OR('Your debts'!$B$12&lt;&gt;"",N('Your debts'!$C$12)&gt;0))),"",IF('Your debts'!$D$20="Avalanche",'Avalanche workings'!$R$200,'Snowball workings'!$R$200)+IF('Your debts'!$D$20="Avalanche",'Avalanche workings'!$AL$200,'Snowball workings'!$AL$200))</f>
      </c>
      <c r="S198" s="30">
        <f>IF(OR(193&gt;$Z$1,NOT(OR('Your debts'!$B$12&lt;&gt;"",N('Your debts'!$C$12)&gt;0))),"",IF('Your debts'!$D$20="Avalanche",'Avalanche workings'!$AV$200,'Snowball workings'!$AV$200))</f>
      </c>
      <c r="T198" s="29">
        <f>IF(OR(193&gt;$Z$1,NOT(OR('Your debts'!$B$13&lt;&gt;"",N('Your debts'!$C$13)&gt;0))),"",IF('Your debts'!$D$20="Avalanche",'Avalanche workings'!$S$200,'Snowball workings'!$S$200)+IF('Your debts'!$D$20="Avalanche",'Avalanche workings'!$AM$200,'Snowball workings'!$AM$200))</f>
      </c>
      <c r="U198" s="30">
        <f>IF(OR(193&gt;$Z$1,NOT(OR('Your debts'!$B$13&lt;&gt;"",N('Your debts'!$C$13)&gt;0))),"",IF('Your debts'!$D$20="Avalanche",'Avalanche workings'!$AW$200,'Snowball workings'!$AW$200))</f>
      </c>
      <c r="V198" s="29">
        <f>IF(OR(193&gt;$Z$1,NOT(OR('Your debts'!$B$14&lt;&gt;"",N('Your debts'!$C$14)&gt;0))),"",IF('Your debts'!$D$20="Avalanche",'Avalanche workings'!$T$200,'Snowball workings'!$T$200)+IF('Your debts'!$D$20="Avalanche",'Avalanche workings'!$AN$200,'Snowball workings'!$AN$200))</f>
      </c>
      <c r="W198" s="30">
        <f>IF(OR(193&gt;$Z$1,NOT(OR('Your debts'!$B$14&lt;&gt;"",N('Your debts'!$C$14)&gt;0))),"",IF('Your debts'!$D$20="Avalanche",'Avalanche workings'!$AX$200,'Snowball workings'!$AX$200))</f>
      </c>
      <c r="X198" s="29">
        <f>IF(OR(193&gt;$Z$1,NOT(OR('Your debts'!$B$15&lt;&gt;"",N('Your debts'!$C$15)&gt;0))),"",IF('Your debts'!$D$20="Avalanche",'Avalanche workings'!$U$200,'Snowball workings'!$U$200)+IF('Your debts'!$D$20="Avalanche",'Avalanche workings'!$AO$200,'Snowball workings'!$AO$200))</f>
      </c>
      <c r="Y198" s="30">
        <f>IF(OR(193&gt;$Z$1,NOT(OR('Your debts'!$B$15&lt;&gt;"",N('Your debts'!$C$15)&gt;0))),"",IF('Your debts'!$D$20="Avalanche",'Avalanche workings'!$AY$200,'Snowball workings'!$AY$200))</f>
      </c>
    </row>
    <row r="199" spans="1:25" x14ac:dyDescent="0.25">
      <c r="A199" s="2">
        <f>IF(194&gt;$Z$1,"",194)</f>
      </c>
      <c r="B199" s="28">
        <f>IF(194&gt;$Z$1,"",EDATE('Your debts'!$D$21,193))</f>
      </c>
      <c r="C199" s="29">
        <f>IF(194&gt;$Z$1,"",IF('Your debts'!$D$20="Avalanche",'Avalanche workings'!$BC$201,'Snowball workings'!$BC$201))</f>
      </c>
      <c r="D199" s="29">
        <f>IF(194&gt;$Z$1,"",IF('Your debts'!$D$20="Avalanche",'Avalanche workings'!$BA$201,'Snowball workings'!$BA$201))</f>
      </c>
      <c r="E199" s="29">
        <f>IF(194&gt;$Z$1,"",IF('Your debts'!$D$20="Avalanche",'Avalanche workings'!$BB$201,'Snowball workings'!$BB$201))</f>
      </c>
      <c r="F199" s="29">
        <f>IF(OR(194&gt;$Z$1,NOT(OR('Your debts'!$B$6&lt;&gt;"",N('Your debts'!$C$6)&gt;0))),"",IF('Your debts'!$D$20="Avalanche",'Avalanche workings'!$L$201,'Snowball workings'!$L$201)+IF('Your debts'!$D$20="Avalanche",'Avalanche workings'!$AF$201,'Snowball workings'!$AF$201))</f>
      </c>
      <c r="G199" s="30">
        <f>IF(OR(194&gt;$Z$1,NOT(OR('Your debts'!$B$6&lt;&gt;"",N('Your debts'!$C$6)&gt;0))),"",IF('Your debts'!$D$20="Avalanche",'Avalanche workings'!$AP$201,'Snowball workings'!$AP$201))</f>
      </c>
      <c r="H199" s="29">
        <f>IF(OR(194&gt;$Z$1,NOT(OR('Your debts'!$B$7&lt;&gt;"",N('Your debts'!$C$7)&gt;0))),"",IF('Your debts'!$D$20="Avalanche",'Avalanche workings'!$M$201,'Snowball workings'!$M$201)+IF('Your debts'!$D$20="Avalanche",'Avalanche workings'!$AG$201,'Snowball workings'!$AG$201))</f>
      </c>
      <c r="I199" s="30">
        <f>IF(OR(194&gt;$Z$1,NOT(OR('Your debts'!$B$7&lt;&gt;"",N('Your debts'!$C$7)&gt;0))),"",IF('Your debts'!$D$20="Avalanche",'Avalanche workings'!$AQ$201,'Snowball workings'!$AQ$201))</f>
      </c>
      <c r="J199" s="29">
        <f>IF(OR(194&gt;$Z$1,NOT(OR('Your debts'!$B$8&lt;&gt;"",N('Your debts'!$C$8)&gt;0))),"",IF('Your debts'!$D$20="Avalanche",'Avalanche workings'!$N$201,'Snowball workings'!$N$201)+IF('Your debts'!$D$20="Avalanche",'Avalanche workings'!$AH$201,'Snowball workings'!$AH$201))</f>
      </c>
      <c r="K199" s="30">
        <f>IF(OR(194&gt;$Z$1,NOT(OR('Your debts'!$B$8&lt;&gt;"",N('Your debts'!$C$8)&gt;0))),"",IF('Your debts'!$D$20="Avalanche",'Avalanche workings'!$AR$201,'Snowball workings'!$AR$201))</f>
      </c>
      <c r="L199" s="29">
        <f>IF(OR(194&gt;$Z$1,NOT(OR('Your debts'!$B$9&lt;&gt;"",N('Your debts'!$C$9)&gt;0))),"",IF('Your debts'!$D$20="Avalanche",'Avalanche workings'!$O$201,'Snowball workings'!$O$201)+IF('Your debts'!$D$20="Avalanche",'Avalanche workings'!$AI$201,'Snowball workings'!$AI$201))</f>
      </c>
      <c r="M199" s="30">
        <f>IF(OR(194&gt;$Z$1,NOT(OR('Your debts'!$B$9&lt;&gt;"",N('Your debts'!$C$9)&gt;0))),"",IF('Your debts'!$D$20="Avalanche",'Avalanche workings'!$AS$201,'Snowball workings'!$AS$201))</f>
      </c>
      <c r="N199" s="29">
        <f>IF(OR(194&gt;$Z$1,NOT(OR('Your debts'!$B$10&lt;&gt;"",N('Your debts'!$C$10)&gt;0))),"",IF('Your debts'!$D$20="Avalanche",'Avalanche workings'!$P$201,'Snowball workings'!$P$201)+IF('Your debts'!$D$20="Avalanche",'Avalanche workings'!$AJ$201,'Snowball workings'!$AJ$201))</f>
      </c>
      <c r="O199" s="30">
        <f>IF(OR(194&gt;$Z$1,NOT(OR('Your debts'!$B$10&lt;&gt;"",N('Your debts'!$C$10)&gt;0))),"",IF('Your debts'!$D$20="Avalanche",'Avalanche workings'!$AT$201,'Snowball workings'!$AT$201))</f>
      </c>
      <c r="P199" s="29">
        <f>IF(OR(194&gt;$Z$1,NOT(OR('Your debts'!$B$11&lt;&gt;"",N('Your debts'!$C$11)&gt;0))),"",IF('Your debts'!$D$20="Avalanche",'Avalanche workings'!$Q$201,'Snowball workings'!$Q$201)+IF('Your debts'!$D$20="Avalanche",'Avalanche workings'!$AK$201,'Snowball workings'!$AK$201))</f>
      </c>
      <c r="Q199" s="30">
        <f>IF(OR(194&gt;$Z$1,NOT(OR('Your debts'!$B$11&lt;&gt;"",N('Your debts'!$C$11)&gt;0))),"",IF('Your debts'!$D$20="Avalanche",'Avalanche workings'!$AU$201,'Snowball workings'!$AU$201))</f>
      </c>
      <c r="R199" s="29">
        <f>IF(OR(194&gt;$Z$1,NOT(OR('Your debts'!$B$12&lt;&gt;"",N('Your debts'!$C$12)&gt;0))),"",IF('Your debts'!$D$20="Avalanche",'Avalanche workings'!$R$201,'Snowball workings'!$R$201)+IF('Your debts'!$D$20="Avalanche",'Avalanche workings'!$AL$201,'Snowball workings'!$AL$201))</f>
      </c>
      <c r="S199" s="30">
        <f>IF(OR(194&gt;$Z$1,NOT(OR('Your debts'!$B$12&lt;&gt;"",N('Your debts'!$C$12)&gt;0))),"",IF('Your debts'!$D$20="Avalanche",'Avalanche workings'!$AV$201,'Snowball workings'!$AV$201))</f>
      </c>
      <c r="T199" s="29">
        <f>IF(OR(194&gt;$Z$1,NOT(OR('Your debts'!$B$13&lt;&gt;"",N('Your debts'!$C$13)&gt;0))),"",IF('Your debts'!$D$20="Avalanche",'Avalanche workings'!$S$201,'Snowball workings'!$S$201)+IF('Your debts'!$D$20="Avalanche",'Avalanche workings'!$AM$201,'Snowball workings'!$AM$201))</f>
      </c>
      <c r="U199" s="30">
        <f>IF(OR(194&gt;$Z$1,NOT(OR('Your debts'!$B$13&lt;&gt;"",N('Your debts'!$C$13)&gt;0))),"",IF('Your debts'!$D$20="Avalanche",'Avalanche workings'!$AW$201,'Snowball workings'!$AW$201))</f>
      </c>
      <c r="V199" s="29">
        <f>IF(OR(194&gt;$Z$1,NOT(OR('Your debts'!$B$14&lt;&gt;"",N('Your debts'!$C$14)&gt;0))),"",IF('Your debts'!$D$20="Avalanche",'Avalanche workings'!$T$201,'Snowball workings'!$T$201)+IF('Your debts'!$D$20="Avalanche",'Avalanche workings'!$AN$201,'Snowball workings'!$AN$201))</f>
      </c>
      <c r="W199" s="30">
        <f>IF(OR(194&gt;$Z$1,NOT(OR('Your debts'!$B$14&lt;&gt;"",N('Your debts'!$C$14)&gt;0))),"",IF('Your debts'!$D$20="Avalanche",'Avalanche workings'!$AX$201,'Snowball workings'!$AX$201))</f>
      </c>
      <c r="X199" s="29">
        <f>IF(OR(194&gt;$Z$1,NOT(OR('Your debts'!$B$15&lt;&gt;"",N('Your debts'!$C$15)&gt;0))),"",IF('Your debts'!$D$20="Avalanche",'Avalanche workings'!$U$201,'Snowball workings'!$U$201)+IF('Your debts'!$D$20="Avalanche",'Avalanche workings'!$AO$201,'Snowball workings'!$AO$201))</f>
      </c>
      <c r="Y199" s="30">
        <f>IF(OR(194&gt;$Z$1,NOT(OR('Your debts'!$B$15&lt;&gt;"",N('Your debts'!$C$15)&gt;0))),"",IF('Your debts'!$D$20="Avalanche",'Avalanche workings'!$AY$201,'Snowball workings'!$AY$201))</f>
      </c>
    </row>
    <row r="200" spans="1:25" x14ac:dyDescent="0.25">
      <c r="A200" s="2">
        <f>IF(195&gt;$Z$1,"",195)</f>
      </c>
      <c r="B200" s="28">
        <f>IF(195&gt;$Z$1,"",EDATE('Your debts'!$D$21,194))</f>
      </c>
      <c r="C200" s="29">
        <f>IF(195&gt;$Z$1,"",IF('Your debts'!$D$20="Avalanche",'Avalanche workings'!$BC$202,'Snowball workings'!$BC$202))</f>
      </c>
      <c r="D200" s="29">
        <f>IF(195&gt;$Z$1,"",IF('Your debts'!$D$20="Avalanche",'Avalanche workings'!$BA$202,'Snowball workings'!$BA$202))</f>
      </c>
      <c r="E200" s="29">
        <f>IF(195&gt;$Z$1,"",IF('Your debts'!$D$20="Avalanche",'Avalanche workings'!$BB$202,'Snowball workings'!$BB$202))</f>
      </c>
      <c r="F200" s="29">
        <f>IF(OR(195&gt;$Z$1,NOT(OR('Your debts'!$B$6&lt;&gt;"",N('Your debts'!$C$6)&gt;0))),"",IF('Your debts'!$D$20="Avalanche",'Avalanche workings'!$L$202,'Snowball workings'!$L$202)+IF('Your debts'!$D$20="Avalanche",'Avalanche workings'!$AF$202,'Snowball workings'!$AF$202))</f>
      </c>
      <c r="G200" s="30">
        <f>IF(OR(195&gt;$Z$1,NOT(OR('Your debts'!$B$6&lt;&gt;"",N('Your debts'!$C$6)&gt;0))),"",IF('Your debts'!$D$20="Avalanche",'Avalanche workings'!$AP$202,'Snowball workings'!$AP$202))</f>
      </c>
      <c r="H200" s="29">
        <f>IF(OR(195&gt;$Z$1,NOT(OR('Your debts'!$B$7&lt;&gt;"",N('Your debts'!$C$7)&gt;0))),"",IF('Your debts'!$D$20="Avalanche",'Avalanche workings'!$M$202,'Snowball workings'!$M$202)+IF('Your debts'!$D$20="Avalanche",'Avalanche workings'!$AG$202,'Snowball workings'!$AG$202))</f>
      </c>
      <c r="I200" s="30">
        <f>IF(OR(195&gt;$Z$1,NOT(OR('Your debts'!$B$7&lt;&gt;"",N('Your debts'!$C$7)&gt;0))),"",IF('Your debts'!$D$20="Avalanche",'Avalanche workings'!$AQ$202,'Snowball workings'!$AQ$202))</f>
      </c>
      <c r="J200" s="29">
        <f>IF(OR(195&gt;$Z$1,NOT(OR('Your debts'!$B$8&lt;&gt;"",N('Your debts'!$C$8)&gt;0))),"",IF('Your debts'!$D$20="Avalanche",'Avalanche workings'!$N$202,'Snowball workings'!$N$202)+IF('Your debts'!$D$20="Avalanche",'Avalanche workings'!$AH$202,'Snowball workings'!$AH$202))</f>
      </c>
      <c r="K200" s="30">
        <f>IF(OR(195&gt;$Z$1,NOT(OR('Your debts'!$B$8&lt;&gt;"",N('Your debts'!$C$8)&gt;0))),"",IF('Your debts'!$D$20="Avalanche",'Avalanche workings'!$AR$202,'Snowball workings'!$AR$202))</f>
      </c>
      <c r="L200" s="29">
        <f>IF(OR(195&gt;$Z$1,NOT(OR('Your debts'!$B$9&lt;&gt;"",N('Your debts'!$C$9)&gt;0))),"",IF('Your debts'!$D$20="Avalanche",'Avalanche workings'!$O$202,'Snowball workings'!$O$202)+IF('Your debts'!$D$20="Avalanche",'Avalanche workings'!$AI$202,'Snowball workings'!$AI$202))</f>
      </c>
      <c r="M200" s="30">
        <f>IF(OR(195&gt;$Z$1,NOT(OR('Your debts'!$B$9&lt;&gt;"",N('Your debts'!$C$9)&gt;0))),"",IF('Your debts'!$D$20="Avalanche",'Avalanche workings'!$AS$202,'Snowball workings'!$AS$202))</f>
      </c>
      <c r="N200" s="29">
        <f>IF(OR(195&gt;$Z$1,NOT(OR('Your debts'!$B$10&lt;&gt;"",N('Your debts'!$C$10)&gt;0))),"",IF('Your debts'!$D$20="Avalanche",'Avalanche workings'!$P$202,'Snowball workings'!$P$202)+IF('Your debts'!$D$20="Avalanche",'Avalanche workings'!$AJ$202,'Snowball workings'!$AJ$202))</f>
      </c>
      <c r="O200" s="30">
        <f>IF(OR(195&gt;$Z$1,NOT(OR('Your debts'!$B$10&lt;&gt;"",N('Your debts'!$C$10)&gt;0))),"",IF('Your debts'!$D$20="Avalanche",'Avalanche workings'!$AT$202,'Snowball workings'!$AT$202))</f>
      </c>
      <c r="P200" s="29">
        <f>IF(OR(195&gt;$Z$1,NOT(OR('Your debts'!$B$11&lt;&gt;"",N('Your debts'!$C$11)&gt;0))),"",IF('Your debts'!$D$20="Avalanche",'Avalanche workings'!$Q$202,'Snowball workings'!$Q$202)+IF('Your debts'!$D$20="Avalanche",'Avalanche workings'!$AK$202,'Snowball workings'!$AK$202))</f>
      </c>
      <c r="Q200" s="30">
        <f>IF(OR(195&gt;$Z$1,NOT(OR('Your debts'!$B$11&lt;&gt;"",N('Your debts'!$C$11)&gt;0))),"",IF('Your debts'!$D$20="Avalanche",'Avalanche workings'!$AU$202,'Snowball workings'!$AU$202))</f>
      </c>
      <c r="R200" s="29">
        <f>IF(OR(195&gt;$Z$1,NOT(OR('Your debts'!$B$12&lt;&gt;"",N('Your debts'!$C$12)&gt;0))),"",IF('Your debts'!$D$20="Avalanche",'Avalanche workings'!$R$202,'Snowball workings'!$R$202)+IF('Your debts'!$D$20="Avalanche",'Avalanche workings'!$AL$202,'Snowball workings'!$AL$202))</f>
      </c>
      <c r="S200" s="30">
        <f>IF(OR(195&gt;$Z$1,NOT(OR('Your debts'!$B$12&lt;&gt;"",N('Your debts'!$C$12)&gt;0))),"",IF('Your debts'!$D$20="Avalanche",'Avalanche workings'!$AV$202,'Snowball workings'!$AV$202))</f>
      </c>
      <c r="T200" s="29">
        <f>IF(OR(195&gt;$Z$1,NOT(OR('Your debts'!$B$13&lt;&gt;"",N('Your debts'!$C$13)&gt;0))),"",IF('Your debts'!$D$20="Avalanche",'Avalanche workings'!$S$202,'Snowball workings'!$S$202)+IF('Your debts'!$D$20="Avalanche",'Avalanche workings'!$AM$202,'Snowball workings'!$AM$202))</f>
      </c>
      <c r="U200" s="30">
        <f>IF(OR(195&gt;$Z$1,NOT(OR('Your debts'!$B$13&lt;&gt;"",N('Your debts'!$C$13)&gt;0))),"",IF('Your debts'!$D$20="Avalanche",'Avalanche workings'!$AW$202,'Snowball workings'!$AW$202))</f>
      </c>
      <c r="V200" s="29">
        <f>IF(OR(195&gt;$Z$1,NOT(OR('Your debts'!$B$14&lt;&gt;"",N('Your debts'!$C$14)&gt;0))),"",IF('Your debts'!$D$20="Avalanche",'Avalanche workings'!$T$202,'Snowball workings'!$T$202)+IF('Your debts'!$D$20="Avalanche",'Avalanche workings'!$AN$202,'Snowball workings'!$AN$202))</f>
      </c>
      <c r="W200" s="30">
        <f>IF(OR(195&gt;$Z$1,NOT(OR('Your debts'!$B$14&lt;&gt;"",N('Your debts'!$C$14)&gt;0))),"",IF('Your debts'!$D$20="Avalanche",'Avalanche workings'!$AX$202,'Snowball workings'!$AX$202))</f>
      </c>
      <c r="X200" s="29">
        <f>IF(OR(195&gt;$Z$1,NOT(OR('Your debts'!$B$15&lt;&gt;"",N('Your debts'!$C$15)&gt;0))),"",IF('Your debts'!$D$20="Avalanche",'Avalanche workings'!$U$202,'Snowball workings'!$U$202)+IF('Your debts'!$D$20="Avalanche",'Avalanche workings'!$AO$202,'Snowball workings'!$AO$202))</f>
      </c>
      <c r="Y200" s="30">
        <f>IF(OR(195&gt;$Z$1,NOT(OR('Your debts'!$B$15&lt;&gt;"",N('Your debts'!$C$15)&gt;0))),"",IF('Your debts'!$D$20="Avalanche",'Avalanche workings'!$AY$202,'Snowball workings'!$AY$202))</f>
      </c>
    </row>
    <row r="201" spans="1:25" x14ac:dyDescent="0.25">
      <c r="A201" s="2">
        <f>IF(196&gt;$Z$1,"",196)</f>
      </c>
      <c r="B201" s="28">
        <f>IF(196&gt;$Z$1,"",EDATE('Your debts'!$D$21,195))</f>
      </c>
      <c r="C201" s="29">
        <f>IF(196&gt;$Z$1,"",IF('Your debts'!$D$20="Avalanche",'Avalanche workings'!$BC$203,'Snowball workings'!$BC$203))</f>
      </c>
      <c r="D201" s="29">
        <f>IF(196&gt;$Z$1,"",IF('Your debts'!$D$20="Avalanche",'Avalanche workings'!$BA$203,'Snowball workings'!$BA$203))</f>
      </c>
      <c r="E201" s="29">
        <f>IF(196&gt;$Z$1,"",IF('Your debts'!$D$20="Avalanche",'Avalanche workings'!$BB$203,'Snowball workings'!$BB$203))</f>
      </c>
      <c r="F201" s="29">
        <f>IF(OR(196&gt;$Z$1,NOT(OR('Your debts'!$B$6&lt;&gt;"",N('Your debts'!$C$6)&gt;0))),"",IF('Your debts'!$D$20="Avalanche",'Avalanche workings'!$L$203,'Snowball workings'!$L$203)+IF('Your debts'!$D$20="Avalanche",'Avalanche workings'!$AF$203,'Snowball workings'!$AF$203))</f>
      </c>
      <c r="G201" s="30">
        <f>IF(OR(196&gt;$Z$1,NOT(OR('Your debts'!$B$6&lt;&gt;"",N('Your debts'!$C$6)&gt;0))),"",IF('Your debts'!$D$20="Avalanche",'Avalanche workings'!$AP$203,'Snowball workings'!$AP$203))</f>
      </c>
      <c r="H201" s="29">
        <f>IF(OR(196&gt;$Z$1,NOT(OR('Your debts'!$B$7&lt;&gt;"",N('Your debts'!$C$7)&gt;0))),"",IF('Your debts'!$D$20="Avalanche",'Avalanche workings'!$M$203,'Snowball workings'!$M$203)+IF('Your debts'!$D$20="Avalanche",'Avalanche workings'!$AG$203,'Snowball workings'!$AG$203))</f>
      </c>
      <c r="I201" s="30">
        <f>IF(OR(196&gt;$Z$1,NOT(OR('Your debts'!$B$7&lt;&gt;"",N('Your debts'!$C$7)&gt;0))),"",IF('Your debts'!$D$20="Avalanche",'Avalanche workings'!$AQ$203,'Snowball workings'!$AQ$203))</f>
      </c>
      <c r="J201" s="29">
        <f>IF(OR(196&gt;$Z$1,NOT(OR('Your debts'!$B$8&lt;&gt;"",N('Your debts'!$C$8)&gt;0))),"",IF('Your debts'!$D$20="Avalanche",'Avalanche workings'!$N$203,'Snowball workings'!$N$203)+IF('Your debts'!$D$20="Avalanche",'Avalanche workings'!$AH$203,'Snowball workings'!$AH$203))</f>
      </c>
      <c r="K201" s="30">
        <f>IF(OR(196&gt;$Z$1,NOT(OR('Your debts'!$B$8&lt;&gt;"",N('Your debts'!$C$8)&gt;0))),"",IF('Your debts'!$D$20="Avalanche",'Avalanche workings'!$AR$203,'Snowball workings'!$AR$203))</f>
      </c>
      <c r="L201" s="29">
        <f>IF(OR(196&gt;$Z$1,NOT(OR('Your debts'!$B$9&lt;&gt;"",N('Your debts'!$C$9)&gt;0))),"",IF('Your debts'!$D$20="Avalanche",'Avalanche workings'!$O$203,'Snowball workings'!$O$203)+IF('Your debts'!$D$20="Avalanche",'Avalanche workings'!$AI$203,'Snowball workings'!$AI$203))</f>
      </c>
      <c r="M201" s="30">
        <f>IF(OR(196&gt;$Z$1,NOT(OR('Your debts'!$B$9&lt;&gt;"",N('Your debts'!$C$9)&gt;0))),"",IF('Your debts'!$D$20="Avalanche",'Avalanche workings'!$AS$203,'Snowball workings'!$AS$203))</f>
      </c>
      <c r="N201" s="29">
        <f>IF(OR(196&gt;$Z$1,NOT(OR('Your debts'!$B$10&lt;&gt;"",N('Your debts'!$C$10)&gt;0))),"",IF('Your debts'!$D$20="Avalanche",'Avalanche workings'!$P$203,'Snowball workings'!$P$203)+IF('Your debts'!$D$20="Avalanche",'Avalanche workings'!$AJ$203,'Snowball workings'!$AJ$203))</f>
      </c>
      <c r="O201" s="30">
        <f>IF(OR(196&gt;$Z$1,NOT(OR('Your debts'!$B$10&lt;&gt;"",N('Your debts'!$C$10)&gt;0))),"",IF('Your debts'!$D$20="Avalanche",'Avalanche workings'!$AT$203,'Snowball workings'!$AT$203))</f>
      </c>
      <c r="P201" s="29">
        <f>IF(OR(196&gt;$Z$1,NOT(OR('Your debts'!$B$11&lt;&gt;"",N('Your debts'!$C$11)&gt;0))),"",IF('Your debts'!$D$20="Avalanche",'Avalanche workings'!$Q$203,'Snowball workings'!$Q$203)+IF('Your debts'!$D$20="Avalanche",'Avalanche workings'!$AK$203,'Snowball workings'!$AK$203))</f>
      </c>
      <c r="Q201" s="30">
        <f>IF(OR(196&gt;$Z$1,NOT(OR('Your debts'!$B$11&lt;&gt;"",N('Your debts'!$C$11)&gt;0))),"",IF('Your debts'!$D$20="Avalanche",'Avalanche workings'!$AU$203,'Snowball workings'!$AU$203))</f>
      </c>
      <c r="R201" s="29">
        <f>IF(OR(196&gt;$Z$1,NOT(OR('Your debts'!$B$12&lt;&gt;"",N('Your debts'!$C$12)&gt;0))),"",IF('Your debts'!$D$20="Avalanche",'Avalanche workings'!$R$203,'Snowball workings'!$R$203)+IF('Your debts'!$D$20="Avalanche",'Avalanche workings'!$AL$203,'Snowball workings'!$AL$203))</f>
      </c>
      <c r="S201" s="30">
        <f>IF(OR(196&gt;$Z$1,NOT(OR('Your debts'!$B$12&lt;&gt;"",N('Your debts'!$C$12)&gt;0))),"",IF('Your debts'!$D$20="Avalanche",'Avalanche workings'!$AV$203,'Snowball workings'!$AV$203))</f>
      </c>
      <c r="T201" s="29">
        <f>IF(OR(196&gt;$Z$1,NOT(OR('Your debts'!$B$13&lt;&gt;"",N('Your debts'!$C$13)&gt;0))),"",IF('Your debts'!$D$20="Avalanche",'Avalanche workings'!$S$203,'Snowball workings'!$S$203)+IF('Your debts'!$D$20="Avalanche",'Avalanche workings'!$AM$203,'Snowball workings'!$AM$203))</f>
      </c>
      <c r="U201" s="30">
        <f>IF(OR(196&gt;$Z$1,NOT(OR('Your debts'!$B$13&lt;&gt;"",N('Your debts'!$C$13)&gt;0))),"",IF('Your debts'!$D$20="Avalanche",'Avalanche workings'!$AW$203,'Snowball workings'!$AW$203))</f>
      </c>
      <c r="V201" s="29">
        <f>IF(OR(196&gt;$Z$1,NOT(OR('Your debts'!$B$14&lt;&gt;"",N('Your debts'!$C$14)&gt;0))),"",IF('Your debts'!$D$20="Avalanche",'Avalanche workings'!$T$203,'Snowball workings'!$T$203)+IF('Your debts'!$D$20="Avalanche",'Avalanche workings'!$AN$203,'Snowball workings'!$AN$203))</f>
      </c>
      <c r="W201" s="30">
        <f>IF(OR(196&gt;$Z$1,NOT(OR('Your debts'!$B$14&lt;&gt;"",N('Your debts'!$C$14)&gt;0))),"",IF('Your debts'!$D$20="Avalanche",'Avalanche workings'!$AX$203,'Snowball workings'!$AX$203))</f>
      </c>
      <c r="X201" s="29">
        <f>IF(OR(196&gt;$Z$1,NOT(OR('Your debts'!$B$15&lt;&gt;"",N('Your debts'!$C$15)&gt;0))),"",IF('Your debts'!$D$20="Avalanche",'Avalanche workings'!$U$203,'Snowball workings'!$U$203)+IF('Your debts'!$D$20="Avalanche",'Avalanche workings'!$AO$203,'Snowball workings'!$AO$203))</f>
      </c>
      <c r="Y201" s="30">
        <f>IF(OR(196&gt;$Z$1,NOT(OR('Your debts'!$B$15&lt;&gt;"",N('Your debts'!$C$15)&gt;0))),"",IF('Your debts'!$D$20="Avalanche",'Avalanche workings'!$AY$203,'Snowball workings'!$AY$203))</f>
      </c>
    </row>
    <row r="202" spans="1:25" x14ac:dyDescent="0.25">
      <c r="A202" s="2">
        <f>IF(197&gt;$Z$1,"",197)</f>
      </c>
      <c r="B202" s="28">
        <f>IF(197&gt;$Z$1,"",EDATE('Your debts'!$D$21,196))</f>
      </c>
      <c r="C202" s="29">
        <f>IF(197&gt;$Z$1,"",IF('Your debts'!$D$20="Avalanche",'Avalanche workings'!$BC$204,'Snowball workings'!$BC$204))</f>
      </c>
      <c r="D202" s="29">
        <f>IF(197&gt;$Z$1,"",IF('Your debts'!$D$20="Avalanche",'Avalanche workings'!$BA$204,'Snowball workings'!$BA$204))</f>
      </c>
      <c r="E202" s="29">
        <f>IF(197&gt;$Z$1,"",IF('Your debts'!$D$20="Avalanche",'Avalanche workings'!$BB$204,'Snowball workings'!$BB$204))</f>
      </c>
      <c r="F202" s="29">
        <f>IF(OR(197&gt;$Z$1,NOT(OR('Your debts'!$B$6&lt;&gt;"",N('Your debts'!$C$6)&gt;0))),"",IF('Your debts'!$D$20="Avalanche",'Avalanche workings'!$L$204,'Snowball workings'!$L$204)+IF('Your debts'!$D$20="Avalanche",'Avalanche workings'!$AF$204,'Snowball workings'!$AF$204))</f>
      </c>
      <c r="G202" s="30">
        <f>IF(OR(197&gt;$Z$1,NOT(OR('Your debts'!$B$6&lt;&gt;"",N('Your debts'!$C$6)&gt;0))),"",IF('Your debts'!$D$20="Avalanche",'Avalanche workings'!$AP$204,'Snowball workings'!$AP$204))</f>
      </c>
      <c r="H202" s="29">
        <f>IF(OR(197&gt;$Z$1,NOT(OR('Your debts'!$B$7&lt;&gt;"",N('Your debts'!$C$7)&gt;0))),"",IF('Your debts'!$D$20="Avalanche",'Avalanche workings'!$M$204,'Snowball workings'!$M$204)+IF('Your debts'!$D$20="Avalanche",'Avalanche workings'!$AG$204,'Snowball workings'!$AG$204))</f>
      </c>
      <c r="I202" s="30">
        <f>IF(OR(197&gt;$Z$1,NOT(OR('Your debts'!$B$7&lt;&gt;"",N('Your debts'!$C$7)&gt;0))),"",IF('Your debts'!$D$20="Avalanche",'Avalanche workings'!$AQ$204,'Snowball workings'!$AQ$204))</f>
      </c>
      <c r="J202" s="29">
        <f>IF(OR(197&gt;$Z$1,NOT(OR('Your debts'!$B$8&lt;&gt;"",N('Your debts'!$C$8)&gt;0))),"",IF('Your debts'!$D$20="Avalanche",'Avalanche workings'!$N$204,'Snowball workings'!$N$204)+IF('Your debts'!$D$20="Avalanche",'Avalanche workings'!$AH$204,'Snowball workings'!$AH$204))</f>
      </c>
      <c r="K202" s="30">
        <f>IF(OR(197&gt;$Z$1,NOT(OR('Your debts'!$B$8&lt;&gt;"",N('Your debts'!$C$8)&gt;0))),"",IF('Your debts'!$D$20="Avalanche",'Avalanche workings'!$AR$204,'Snowball workings'!$AR$204))</f>
      </c>
      <c r="L202" s="29">
        <f>IF(OR(197&gt;$Z$1,NOT(OR('Your debts'!$B$9&lt;&gt;"",N('Your debts'!$C$9)&gt;0))),"",IF('Your debts'!$D$20="Avalanche",'Avalanche workings'!$O$204,'Snowball workings'!$O$204)+IF('Your debts'!$D$20="Avalanche",'Avalanche workings'!$AI$204,'Snowball workings'!$AI$204))</f>
      </c>
      <c r="M202" s="30">
        <f>IF(OR(197&gt;$Z$1,NOT(OR('Your debts'!$B$9&lt;&gt;"",N('Your debts'!$C$9)&gt;0))),"",IF('Your debts'!$D$20="Avalanche",'Avalanche workings'!$AS$204,'Snowball workings'!$AS$204))</f>
      </c>
      <c r="N202" s="29">
        <f>IF(OR(197&gt;$Z$1,NOT(OR('Your debts'!$B$10&lt;&gt;"",N('Your debts'!$C$10)&gt;0))),"",IF('Your debts'!$D$20="Avalanche",'Avalanche workings'!$P$204,'Snowball workings'!$P$204)+IF('Your debts'!$D$20="Avalanche",'Avalanche workings'!$AJ$204,'Snowball workings'!$AJ$204))</f>
      </c>
      <c r="O202" s="30">
        <f>IF(OR(197&gt;$Z$1,NOT(OR('Your debts'!$B$10&lt;&gt;"",N('Your debts'!$C$10)&gt;0))),"",IF('Your debts'!$D$20="Avalanche",'Avalanche workings'!$AT$204,'Snowball workings'!$AT$204))</f>
      </c>
      <c r="P202" s="29">
        <f>IF(OR(197&gt;$Z$1,NOT(OR('Your debts'!$B$11&lt;&gt;"",N('Your debts'!$C$11)&gt;0))),"",IF('Your debts'!$D$20="Avalanche",'Avalanche workings'!$Q$204,'Snowball workings'!$Q$204)+IF('Your debts'!$D$20="Avalanche",'Avalanche workings'!$AK$204,'Snowball workings'!$AK$204))</f>
      </c>
      <c r="Q202" s="30">
        <f>IF(OR(197&gt;$Z$1,NOT(OR('Your debts'!$B$11&lt;&gt;"",N('Your debts'!$C$11)&gt;0))),"",IF('Your debts'!$D$20="Avalanche",'Avalanche workings'!$AU$204,'Snowball workings'!$AU$204))</f>
      </c>
      <c r="R202" s="29">
        <f>IF(OR(197&gt;$Z$1,NOT(OR('Your debts'!$B$12&lt;&gt;"",N('Your debts'!$C$12)&gt;0))),"",IF('Your debts'!$D$20="Avalanche",'Avalanche workings'!$R$204,'Snowball workings'!$R$204)+IF('Your debts'!$D$20="Avalanche",'Avalanche workings'!$AL$204,'Snowball workings'!$AL$204))</f>
      </c>
      <c r="S202" s="30">
        <f>IF(OR(197&gt;$Z$1,NOT(OR('Your debts'!$B$12&lt;&gt;"",N('Your debts'!$C$12)&gt;0))),"",IF('Your debts'!$D$20="Avalanche",'Avalanche workings'!$AV$204,'Snowball workings'!$AV$204))</f>
      </c>
      <c r="T202" s="29">
        <f>IF(OR(197&gt;$Z$1,NOT(OR('Your debts'!$B$13&lt;&gt;"",N('Your debts'!$C$13)&gt;0))),"",IF('Your debts'!$D$20="Avalanche",'Avalanche workings'!$S$204,'Snowball workings'!$S$204)+IF('Your debts'!$D$20="Avalanche",'Avalanche workings'!$AM$204,'Snowball workings'!$AM$204))</f>
      </c>
      <c r="U202" s="30">
        <f>IF(OR(197&gt;$Z$1,NOT(OR('Your debts'!$B$13&lt;&gt;"",N('Your debts'!$C$13)&gt;0))),"",IF('Your debts'!$D$20="Avalanche",'Avalanche workings'!$AW$204,'Snowball workings'!$AW$204))</f>
      </c>
      <c r="V202" s="29">
        <f>IF(OR(197&gt;$Z$1,NOT(OR('Your debts'!$B$14&lt;&gt;"",N('Your debts'!$C$14)&gt;0))),"",IF('Your debts'!$D$20="Avalanche",'Avalanche workings'!$T$204,'Snowball workings'!$T$204)+IF('Your debts'!$D$20="Avalanche",'Avalanche workings'!$AN$204,'Snowball workings'!$AN$204))</f>
      </c>
      <c r="W202" s="30">
        <f>IF(OR(197&gt;$Z$1,NOT(OR('Your debts'!$B$14&lt;&gt;"",N('Your debts'!$C$14)&gt;0))),"",IF('Your debts'!$D$20="Avalanche",'Avalanche workings'!$AX$204,'Snowball workings'!$AX$204))</f>
      </c>
      <c r="X202" s="29">
        <f>IF(OR(197&gt;$Z$1,NOT(OR('Your debts'!$B$15&lt;&gt;"",N('Your debts'!$C$15)&gt;0))),"",IF('Your debts'!$D$20="Avalanche",'Avalanche workings'!$U$204,'Snowball workings'!$U$204)+IF('Your debts'!$D$20="Avalanche",'Avalanche workings'!$AO$204,'Snowball workings'!$AO$204))</f>
      </c>
      <c r="Y202" s="30">
        <f>IF(OR(197&gt;$Z$1,NOT(OR('Your debts'!$B$15&lt;&gt;"",N('Your debts'!$C$15)&gt;0))),"",IF('Your debts'!$D$20="Avalanche",'Avalanche workings'!$AY$204,'Snowball workings'!$AY$204))</f>
      </c>
    </row>
    <row r="203" spans="1:25" x14ac:dyDescent="0.25">
      <c r="A203" s="2">
        <f>IF(198&gt;$Z$1,"",198)</f>
      </c>
      <c r="B203" s="28">
        <f>IF(198&gt;$Z$1,"",EDATE('Your debts'!$D$21,197))</f>
      </c>
      <c r="C203" s="29">
        <f>IF(198&gt;$Z$1,"",IF('Your debts'!$D$20="Avalanche",'Avalanche workings'!$BC$205,'Snowball workings'!$BC$205))</f>
      </c>
      <c r="D203" s="29">
        <f>IF(198&gt;$Z$1,"",IF('Your debts'!$D$20="Avalanche",'Avalanche workings'!$BA$205,'Snowball workings'!$BA$205))</f>
      </c>
      <c r="E203" s="29">
        <f>IF(198&gt;$Z$1,"",IF('Your debts'!$D$20="Avalanche",'Avalanche workings'!$BB$205,'Snowball workings'!$BB$205))</f>
      </c>
      <c r="F203" s="29">
        <f>IF(OR(198&gt;$Z$1,NOT(OR('Your debts'!$B$6&lt;&gt;"",N('Your debts'!$C$6)&gt;0))),"",IF('Your debts'!$D$20="Avalanche",'Avalanche workings'!$L$205,'Snowball workings'!$L$205)+IF('Your debts'!$D$20="Avalanche",'Avalanche workings'!$AF$205,'Snowball workings'!$AF$205))</f>
      </c>
      <c r="G203" s="30">
        <f>IF(OR(198&gt;$Z$1,NOT(OR('Your debts'!$B$6&lt;&gt;"",N('Your debts'!$C$6)&gt;0))),"",IF('Your debts'!$D$20="Avalanche",'Avalanche workings'!$AP$205,'Snowball workings'!$AP$205))</f>
      </c>
      <c r="H203" s="29">
        <f>IF(OR(198&gt;$Z$1,NOT(OR('Your debts'!$B$7&lt;&gt;"",N('Your debts'!$C$7)&gt;0))),"",IF('Your debts'!$D$20="Avalanche",'Avalanche workings'!$M$205,'Snowball workings'!$M$205)+IF('Your debts'!$D$20="Avalanche",'Avalanche workings'!$AG$205,'Snowball workings'!$AG$205))</f>
      </c>
      <c r="I203" s="30">
        <f>IF(OR(198&gt;$Z$1,NOT(OR('Your debts'!$B$7&lt;&gt;"",N('Your debts'!$C$7)&gt;0))),"",IF('Your debts'!$D$20="Avalanche",'Avalanche workings'!$AQ$205,'Snowball workings'!$AQ$205))</f>
      </c>
      <c r="J203" s="29">
        <f>IF(OR(198&gt;$Z$1,NOT(OR('Your debts'!$B$8&lt;&gt;"",N('Your debts'!$C$8)&gt;0))),"",IF('Your debts'!$D$20="Avalanche",'Avalanche workings'!$N$205,'Snowball workings'!$N$205)+IF('Your debts'!$D$20="Avalanche",'Avalanche workings'!$AH$205,'Snowball workings'!$AH$205))</f>
      </c>
      <c r="K203" s="30">
        <f>IF(OR(198&gt;$Z$1,NOT(OR('Your debts'!$B$8&lt;&gt;"",N('Your debts'!$C$8)&gt;0))),"",IF('Your debts'!$D$20="Avalanche",'Avalanche workings'!$AR$205,'Snowball workings'!$AR$205))</f>
      </c>
      <c r="L203" s="29">
        <f>IF(OR(198&gt;$Z$1,NOT(OR('Your debts'!$B$9&lt;&gt;"",N('Your debts'!$C$9)&gt;0))),"",IF('Your debts'!$D$20="Avalanche",'Avalanche workings'!$O$205,'Snowball workings'!$O$205)+IF('Your debts'!$D$20="Avalanche",'Avalanche workings'!$AI$205,'Snowball workings'!$AI$205))</f>
      </c>
      <c r="M203" s="30">
        <f>IF(OR(198&gt;$Z$1,NOT(OR('Your debts'!$B$9&lt;&gt;"",N('Your debts'!$C$9)&gt;0))),"",IF('Your debts'!$D$20="Avalanche",'Avalanche workings'!$AS$205,'Snowball workings'!$AS$205))</f>
      </c>
      <c r="N203" s="29">
        <f>IF(OR(198&gt;$Z$1,NOT(OR('Your debts'!$B$10&lt;&gt;"",N('Your debts'!$C$10)&gt;0))),"",IF('Your debts'!$D$20="Avalanche",'Avalanche workings'!$P$205,'Snowball workings'!$P$205)+IF('Your debts'!$D$20="Avalanche",'Avalanche workings'!$AJ$205,'Snowball workings'!$AJ$205))</f>
      </c>
      <c r="O203" s="30">
        <f>IF(OR(198&gt;$Z$1,NOT(OR('Your debts'!$B$10&lt;&gt;"",N('Your debts'!$C$10)&gt;0))),"",IF('Your debts'!$D$20="Avalanche",'Avalanche workings'!$AT$205,'Snowball workings'!$AT$205))</f>
      </c>
      <c r="P203" s="29">
        <f>IF(OR(198&gt;$Z$1,NOT(OR('Your debts'!$B$11&lt;&gt;"",N('Your debts'!$C$11)&gt;0))),"",IF('Your debts'!$D$20="Avalanche",'Avalanche workings'!$Q$205,'Snowball workings'!$Q$205)+IF('Your debts'!$D$20="Avalanche",'Avalanche workings'!$AK$205,'Snowball workings'!$AK$205))</f>
      </c>
      <c r="Q203" s="30">
        <f>IF(OR(198&gt;$Z$1,NOT(OR('Your debts'!$B$11&lt;&gt;"",N('Your debts'!$C$11)&gt;0))),"",IF('Your debts'!$D$20="Avalanche",'Avalanche workings'!$AU$205,'Snowball workings'!$AU$205))</f>
      </c>
      <c r="R203" s="29">
        <f>IF(OR(198&gt;$Z$1,NOT(OR('Your debts'!$B$12&lt;&gt;"",N('Your debts'!$C$12)&gt;0))),"",IF('Your debts'!$D$20="Avalanche",'Avalanche workings'!$R$205,'Snowball workings'!$R$205)+IF('Your debts'!$D$20="Avalanche",'Avalanche workings'!$AL$205,'Snowball workings'!$AL$205))</f>
      </c>
      <c r="S203" s="30">
        <f>IF(OR(198&gt;$Z$1,NOT(OR('Your debts'!$B$12&lt;&gt;"",N('Your debts'!$C$12)&gt;0))),"",IF('Your debts'!$D$20="Avalanche",'Avalanche workings'!$AV$205,'Snowball workings'!$AV$205))</f>
      </c>
      <c r="T203" s="29">
        <f>IF(OR(198&gt;$Z$1,NOT(OR('Your debts'!$B$13&lt;&gt;"",N('Your debts'!$C$13)&gt;0))),"",IF('Your debts'!$D$20="Avalanche",'Avalanche workings'!$S$205,'Snowball workings'!$S$205)+IF('Your debts'!$D$20="Avalanche",'Avalanche workings'!$AM$205,'Snowball workings'!$AM$205))</f>
      </c>
      <c r="U203" s="30">
        <f>IF(OR(198&gt;$Z$1,NOT(OR('Your debts'!$B$13&lt;&gt;"",N('Your debts'!$C$13)&gt;0))),"",IF('Your debts'!$D$20="Avalanche",'Avalanche workings'!$AW$205,'Snowball workings'!$AW$205))</f>
      </c>
      <c r="V203" s="29">
        <f>IF(OR(198&gt;$Z$1,NOT(OR('Your debts'!$B$14&lt;&gt;"",N('Your debts'!$C$14)&gt;0))),"",IF('Your debts'!$D$20="Avalanche",'Avalanche workings'!$T$205,'Snowball workings'!$T$205)+IF('Your debts'!$D$20="Avalanche",'Avalanche workings'!$AN$205,'Snowball workings'!$AN$205))</f>
      </c>
      <c r="W203" s="30">
        <f>IF(OR(198&gt;$Z$1,NOT(OR('Your debts'!$B$14&lt;&gt;"",N('Your debts'!$C$14)&gt;0))),"",IF('Your debts'!$D$20="Avalanche",'Avalanche workings'!$AX$205,'Snowball workings'!$AX$205))</f>
      </c>
      <c r="X203" s="29">
        <f>IF(OR(198&gt;$Z$1,NOT(OR('Your debts'!$B$15&lt;&gt;"",N('Your debts'!$C$15)&gt;0))),"",IF('Your debts'!$D$20="Avalanche",'Avalanche workings'!$U$205,'Snowball workings'!$U$205)+IF('Your debts'!$D$20="Avalanche",'Avalanche workings'!$AO$205,'Snowball workings'!$AO$205))</f>
      </c>
      <c r="Y203" s="30">
        <f>IF(OR(198&gt;$Z$1,NOT(OR('Your debts'!$B$15&lt;&gt;"",N('Your debts'!$C$15)&gt;0))),"",IF('Your debts'!$D$20="Avalanche",'Avalanche workings'!$AY$205,'Snowball workings'!$AY$205))</f>
      </c>
    </row>
    <row r="204" spans="1:25" x14ac:dyDescent="0.25">
      <c r="A204" s="2">
        <f>IF(199&gt;$Z$1,"",199)</f>
      </c>
      <c r="B204" s="28">
        <f>IF(199&gt;$Z$1,"",EDATE('Your debts'!$D$21,198))</f>
      </c>
      <c r="C204" s="29">
        <f>IF(199&gt;$Z$1,"",IF('Your debts'!$D$20="Avalanche",'Avalanche workings'!$BC$206,'Snowball workings'!$BC$206))</f>
      </c>
      <c r="D204" s="29">
        <f>IF(199&gt;$Z$1,"",IF('Your debts'!$D$20="Avalanche",'Avalanche workings'!$BA$206,'Snowball workings'!$BA$206))</f>
      </c>
      <c r="E204" s="29">
        <f>IF(199&gt;$Z$1,"",IF('Your debts'!$D$20="Avalanche",'Avalanche workings'!$BB$206,'Snowball workings'!$BB$206))</f>
      </c>
      <c r="F204" s="29">
        <f>IF(OR(199&gt;$Z$1,NOT(OR('Your debts'!$B$6&lt;&gt;"",N('Your debts'!$C$6)&gt;0))),"",IF('Your debts'!$D$20="Avalanche",'Avalanche workings'!$L$206,'Snowball workings'!$L$206)+IF('Your debts'!$D$20="Avalanche",'Avalanche workings'!$AF$206,'Snowball workings'!$AF$206))</f>
      </c>
      <c r="G204" s="30">
        <f>IF(OR(199&gt;$Z$1,NOT(OR('Your debts'!$B$6&lt;&gt;"",N('Your debts'!$C$6)&gt;0))),"",IF('Your debts'!$D$20="Avalanche",'Avalanche workings'!$AP$206,'Snowball workings'!$AP$206))</f>
      </c>
      <c r="H204" s="29">
        <f>IF(OR(199&gt;$Z$1,NOT(OR('Your debts'!$B$7&lt;&gt;"",N('Your debts'!$C$7)&gt;0))),"",IF('Your debts'!$D$20="Avalanche",'Avalanche workings'!$M$206,'Snowball workings'!$M$206)+IF('Your debts'!$D$20="Avalanche",'Avalanche workings'!$AG$206,'Snowball workings'!$AG$206))</f>
      </c>
      <c r="I204" s="30">
        <f>IF(OR(199&gt;$Z$1,NOT(OR('Your debts'!$B$7&lt;&gt;"",N('Your debts'!$C$7)&gt;0))),"",IF('Your debts'!$D$20="Avalanche",'Avalanche workings'!$AQ$206,'Snowball workings'!$AQ$206))</f>
      </c>
      <c r="J204" s="29">
        <f>IF(OR(199&gt;$Z$1,NOT(OR('Your debts'!$B$8&lt;&gt;"",N('Your debts'!$C$8)&gt;0))),"",IF('Your debts'!$D$20="Avalanche",'Avalanche workings'!$N$206,'Snowball workings'!$N$206)+IF('Your debts'!$D$20="Avalanche",'Avalanche workings'!$AH$206,'Snowball workings'!$AH$206))</f>
      </c>
      <c r="K204" s="30">
        <f>IF(OR(199&gt;$Z$1,NOT(OR('Your debts'!$B$8&lt;&gt;"",N('Your debts'!$C$8)&gt;0))),"",IF('Your debts'!$D$20="Avalanche",'Avalanche workings'!$AR$206,'Snowball workings'!$AR$206))</f>
      </c>
      <c r="L204" s="29">
        <f>IF(OR(199&gt;$Z$1,NOT(OR('Your debts'!$B$9&lt;&gt;"",N('Your debts'!$C$9)&gt;0))),"",IF('Your debts'!$D$20="Avalanche",'Avalanche workings'!$O$206,'Snowball workings'!$O$206)+IF('Your debts'!$D$20="Avalanche",'Avalanche workings'!$AI$206,'Snowball workings'!$AI$206))</f>
      </c>
      <c r="M204" s="30">
        <f>IF(OR(199&gt;$Z$1,NOT(OR('Your debts'!$B$9&lt;&gt;"",N('Your debts'!$C$9)&gt;0))),"",IF('Your debts'!$D$20="Avalanche",'Avalanche workings'!$AS$206,'Snowball workings'!$AS$206))</f>
      </c>
      <c r="N204" s="29">
        <f>IF(OR(199&gt;$Z$1,NOT(OR('Your debts'!$B$10&lt;&gt;"",N('Your debts'!$C$10)&gt;0))),"",IF('Your debts'!$D$20="Avalanche",'Avalanche workings'!$P$206,'Snowball workings'!$P$206)+IF('Your debts'!$D$20="Avalanche",'Avalanche workings'!$AJ$206,'Snowball workings'!$AJ$206))</f>
      </c>
      <c r="O204" s="30">
        <f>IF(OR(199&gt;$Z$1,NOT(OR('Your debts'!$B$10&lt;&gt;"",N('Your debts'!$C$10)&gt;0))),"",IF('Your debts'!$D$20="Avalanche",'Avalanche workings'!$AT$206,'Snowball workings'!$AT$206))</f>
      </c>
      <c r="P204" s="29">
        <f>IF(OR(199&gt;$Z$1,NOT(OR('Your debts'!$B$11&lt;&gt;"",N('Your debts'!$C$11)&gt;0))),"",IF('Your debts'!$D$20="Avalanche",'Avalanche workings'!$Q$206,'Snowball workings'!$Q$206)+IF('Your debts'!$D$20="Avalanche",'Avalanche workings'!$AK$206,'Snowball workings'!$AK$206))</f>
      </c>
      <c r="Q204" s="30">
        <f>IF(OR(199&gt;$Z$1,NOT(OR('Your debts'!$B$11&lt;&gt;"",N('Your debts'!$C$11)&gt;0))),"",IF('Your debts'!$D$20="Avalanche",'Avalanche workings'!$AU$206,'Snowball workings'!$AU$206))</f>
      </c>
      <c r="R204" s="29">
        <f>IF(OR(199&gt;$Z$1,NOT(OR('Your debts'!$B$12&lt;&gt;"",N('Your debts'!$C$12)&gt;0))),"",IF('Your debts'!$D$20="Avalanche",'Avalanche workings'!$R$206,'Snowball workings'!$R$206)+IF('Your debts'!$D$20="Avalanche",'Avalanche workings'!$AL$206,'Snowball workings'!$AL$206))</f>
      </c>
      <c r="S204" s="30">
        <f>IF(OR(199&gt;$Z$1,NOT(OR('Your debts'!$B$12&lt;&gt;"",N('Your debts'!$C$12)&gt;0))),"",IF('Your debts'!$D$20="Avalanche",'Avalanche workings'!$AV$206,'Snowball workings'!$AV$206))</f>
      </c>
      <c r="T204" s="29">
        <f>IF(OR(199&gt;$Z$1,NOT(OR('Your debts'!$B$13&lt;&gt;"",N('Your debts'!$C$13)&gt;0))),"",IF('Your debts'!$D$20="Avalanche",'Avalanche workings'!$S$206,'Snowball workings'!$S$206)+IF('Your debts'!$D$20="Avalanche",'Avalanche workings'!$AM$206,'Snowball workings'!$AM$206))</f>
      </c>
      <c r="U204" s="30">
        <f>IF(OR(199&gt;$Z$1,NOT(OR('Your debts'!$B$13&lt;&gt;"",N('Your debts'!$C$13)&gt;0))),"",IF('Your debts'!$D$20="Avalanche",'Avalanche workings'!$AW$206,'Snowball workings'!$AW$206))</f>
      </c>
      <c r="V204" s="29">
        <f>IF(OR(199&gt;$Z$1,NOT(OR('Your debts'!$B$14&lt;&gt;"",N('Your debts'!$C$14)&gt;0))),"",IF('Your debts'!$D$20="Avalanche",'Avalanche workings'!$T$206,'Snowball workings'!$T$206)+IF('Your debts'!$D$20="Avalanche",'Avalanche workings'!$AN$206,'Snowball workings'!$AN$206))</f>
      </c>
      <c r="W204" s="30">
        <f>IF(OR(199&gt;$Z$1,NOT(OR('Your debts'!$B$14&lt;&gt;"",N('Your debts'!$C$14)&gt;0))),"",IF('Your debts'!$D$20="Avalanche",'Avalanche workings'!$AX$206,'Snowball workings'!$AX$206))</f>
      </c>
      <c r="X204" s="29">
        <f>IF(OR(199&gt;$Z$1,NOT(OR('Your debts'!$B$15&lt;&gt;"",N('Your debts'!$C$15)&gt;0))),"",IF('Your debts'!$D$20="Avalanche",'Avalanche workings'!$U$206,'Snowball workings'!$U$206)+IF('Your debts'!$D$20="Avalanche",'Avalanche workings'!$AO$206,'Snowball workings'!$AO$206))</f>
      </c>
      <c r="Y204" s="30">
        <f>IF(OR(199&gt;$Z$1,NOT(OR('Your debts'!$B$15&lt;&gt;"",N('Your debts'!$C$15)&gt;0))),"",IF('Your debts'!$D$20="Avalanche",'Avalanche workings'!$AY$206,'Snowball workings'!$AY$206))</f>
      </c>
    </row>
    <row r="205" spans="1:25" x14ac:dyDescent="0.25">
      <c r="A205" s="2">
        <f>IF(200&gt;$Z$1,"",200)</f>
      </c>
      <c r="B205" s="28">
        <f>IF(200&gt;$Z$1,"",EDATE('Your debts'!$D$21,199))</f>
      </c>
      <c r="C205" s="29">
        <f>IF(200&gt;$Z$1,"",IF('Your debts'!$D$20="Avalanche",'Avalanche workings'!$BC$207,'Snowball workings'!$BC$207))</f>
      </c>
      <c r="D205" s="29">
        <f>IF(200&gt;$Z$1,"",IF('Your debts'!$D$20="Avalanche",'Avalanche workings'!$BA$207,'Snowball workings'!$BA$207))</f>
      </c>
      <c r="E205" s="29">
        <f>IF(200&gt;$Z$1,"",IF('Your debts'!$D$20="Avalanche",'Avalanche workings'!$BB$207,'Snowball workings'!$BB$207))</f>
      </c>
      <c r="F205" s="29">
        <f>IF(OR(200&gt;$Z$1,NOT(OR('Your debts'!$B$6&lt;&gt;"",N('Your debts'!$C$6)&gt;0))),"",IF('Your debts'!$D$20="Avalanche",'Avalanche workings'!$L$207,'Snowball workings'!$L$207)+IF('Your debts'!$D$20="Avalanche",'Avalanche workings'!$AF$207,'Snowball workings'!$AF$207))</f>
      </c>
      <c r="G205" s="30">
        <f>IF(OR(200&gt;$Z$1,NOT(OR('Your debts'!$B$6&lt;&gt;"",N('Your debts'!$C$6)&gt;0))),"",IF('Your debts'!$D$20="Avalanche",'Avalanche workings'!$AP$207,'Snowball workings'!$AP$207))</f>
      </c>
      <c r="H205" s="29">
        <f>IF(OR(200&gt;$Z$1,NOT(OR('Your debts'!$B$7&lt;&gt;"",N('Your debts'!$C$7)&gt;0))),"",IF('Your debts'!$D$20="Avalanche",'Avalanche workings'!$M$207,'Snowball workings'!$M$207)+IF('Your debts'!$D$20="Avalanche",'Avalanche workings'!$AG$207,'Snowball workings'!$AG$207))</f>
      </c>
      <c r="I205" s="30">
        <f>IF(OR(200&gt;$Z$1,NOT(OR('Your debts'!$B$7&lt;&gt;"",N('Your debts'!$C$7)&gt;0))),"",IF('Your debts'!$D$20="Avalanche",'Avalanche workings'!$AQ$207,'Snowball workings'!$AQ$207))</f>
      </c>
      <c r="J205" s="29">
        <f>IF(OR(200&gt;$Z$1,NOT(OR('Your debts'!$B$8&lt;&gt;"",N('Your debts'!$C$8)&gt;0))),"",IF('Your debts'!$D$20="Avalanche",'Avalanche workings'!$N$207,'Snowball workings'!$N$207)+IF('Your debts'!$D$20="Avalanche",'Avalanche workings'!$AH$207,'Snowball workings'!$AH$207))</f>
      </c>
      <c r="K205" s="30">
        <f>IF(OR(200&gt;$Z$1,NOT(OR('Your debts'!$B$8&lt;&gt;"",N('Your debts'!$C$8)&gt;0))),"",IF('Your debts'!$D$20="Avalanche",'Avalanche workings'!$AR$207,'Snowball workings'!$AR$207))</f>
      </c>
      <c r="L205" s="29">
        <f>IF(OR(200&gt;$Z$1,NOT(OR('Your debts'!$B$9&lt;&gt;"",N('Your debts'!$C$9)&gt;0))),"",IF('Your debts'!$D$20="Avalanche",'Avalanche workings'!$O$207,'Snowball workings'!$O$207)+IF('Your debts'!$D$20="Avalanche",'Avalanche workings'!$AI$207,'Snowball workings'!$AI$207))</f>
      </c>
      <c r="M205" s="30">
        <f>IF(OR(200&gt;$Z$1,NOT(OR('Your debts'!$B$9&lt;&gt;"",N('Your debts'!$C$9)&gt;0))),"",IF('Your debts'!$D$20="Avalanche",'Avalanche workings'!$AS$207,'Snowball workings'!$AS$207))</f>
      </c>
      <c r="N205" s="29">
        <f>IF(OR(200&gt;$Z$1,NOT(OR('Your debts'!$B$10&lt;&gt;"",N('Your debts'!$C$10)&gt;0))),"",IF('Your debts'!$D$20="Avalanche",'Avalanche workings'!$P$207,'Snowball workings'!$P$207)+IF('Your debts'!$D$20="Avalanche",'Avalanche workings'!$AJ$207,'Snowball workings'!$AJ$207))</f>
      </c>
      <c r="O205" s="30">
        <f>IF(OR(200&gt;$Z$1,NOT(OR('Your debts'!$B$10&lt;&gt;"",N('Your debts'!$C$10)&gt;0))),"",IF('Your debts'!$D$20="Avalanche",'Avalanche workings'!$AT$207,'Snowball workings'!$AT$207))</f>
      </c>
      <c r="P205" s="29">
        <f>IF(OR(200&gt;$Z$1,NOT(OR('Your debts'!$B$11&lt;&gt;"",N('Your debts'!$C$11)&gt;0))),"",IF('Your debts'!$D$20="Avalanche",'Avalanche workings'!$Q$207,'Snowball workings'!$Q$207)+IF('Your debts'!$D$20="Avalanche",'Avalanche workings'!$AK$207,'Snowball workings'!$AK$207))</f>
      </c>
      <c r="Q205" s="30">
        <f>IF(OR(200&gt;$Z$1,NOT(OR('Your debts'!$B$11&lt;&gt;"",N('Your debts'!$C$11)&gt;0))),"",IF('Your debts'!$D$20="Avalanche",'Avalanche workings'!$AU$207,'Snowball workings'!$AU$207))</f>
      </c>
      <c r="R205" s="29">
        <f>IF(OR(200&gt;$Z$1,NOT(OR('Your debts'!$B$12&lt;&gt;"",N('Your debts'!$C$12)&gt;0))),"",IF('Your debts'!$D$20="Avalanche",'Avalanche workings'!$R$207,'Snowball workings'!$R$207)+IF('Your debts'!$D$20="Avalanche",'Avalanche workings'!$AL$207,'Snowball workings'!$AL$207))</f>
      </c>
      <c r="S205" s="30">
        <f>IF(OR(200&gt;$Z$1,NOT(OR('Your debts'!$B$12&lt;&gt;"",N('Your debts'!$C$12)&gt;0))),"",IF('Your debts'!$D$20="Avalanche",'Avalanche workings'!$AV$207,'Snowball workings'!$AV$207))</f>
      </c>
      <c r="T205" s="29">
        <f>IF(OR(200&gt;$Z$1,NOT(OR('Your debts'!$B$13&lt;&gt;"",N('Your debts'!$C$13)&gt;0))),"",IF('Your debts'!$D$20="Avalanche",'Avalanche workings'!$S$207,'Snowball workings'!$S$207)+IF('Your debts'!$D$20="Avalanche",'Avalanche workings'!$AM$207,'Snowball workings'!$AM$207))</f>
      </c>
      <c r="U205" s="30">
        <f>IF(OR(200&gt;$Z$1,NOT(OR('Your debts'!$B$13&lt;&gt;"",N('Your debts'!$C$13)&gt;0))),"",IF('Your debts'!$D$20="Avalanche",'Avalanche workings'!$AW$207,'Snowball workings'!$AW$207))</f>
      </c>
      <c r="V205" s="29">
        <f>IF(OR(200&gt;$Z$1,NOT(OR('Your debts'!$B$14&lt;&gt;"",N('Your debts'!$C$14)&gt;0))),"",IF('Your debts'!$D$20="Avalanche",'Avalanche workings'!$T$207,'Snowball workings'!$T$207)+IF('Your debts'!$D$20="Avalanche",'Avalanche workings'!$AN$207,'Snowball workings'!$AN$207))</f>
      </c>
      <c r="W205" s="30">
        <f>IF(OR(200&gt;$Z$1,NOT(OR('Your debts'!$B$14&lt;&gt;"",N('Your debts'!$C$14)&gt;0))),"",IF('Your debts'!$D$20="Avalanche",'Avalanche workings'!$AX$207,'Snowball workings'!$AX$207))</f>
      </c>
      <c r="X205" s="29">
        <f>IF(OR(200&gt;$Z$1,NOT(OR('Your debts'!$B$15&lt;&gt;"",N('Your debts'!$C$15)&gt;0))),"",IF('Your debts'!$D$20="Avalanche",'Avalanche workings'!$U$207,'Snowball workings'!$U$207)+IF('Your debts'!$D$20="Avalanche",'Avalanche workings'!$AO$207,'Snowball workings'!$AO$207))</f>
      </c>
      <c r="Y205" s="30">
        <f>IF(OR(200&gt;$Z$1,NOT(OR('Your debts'!$B$15&lt;&gt;"",N('Your debts'!$C$15)&gt;0))),"",IF('Your debts'!$D$20="Avalanche",'Avalanche workings'!$AY$207,'Snowball workings'!$AY$207))</f>
      </c>
    </row>
    <row r="206" spans="1:25" x14ac:dyDescent="0.25">
      <c r="A206" s="2">
        <f>IF(201&gt;$Z$1,"",201)</f>
      </c>
      <c r="B206" s="28">
        <f>IF(201&gt;$Z$1,"",EDATE('Your debts'!$D$21,200))</f>
      </c>
      <c r="C206" s="29">
        <f>IF(201&gt;$Z$1,"",IF('Your debts'!$D$20="Avalanche",'Avalanche workings'!$BC$208,'Snowball workings'!$BC$208))</f>
      </c>
      <c r="D206" s="29">
        <f>IF(201&gt;$Z$1,"",IF('Your debts'!$D$20="Avalanche",'Avalanche workings'!$BA$208,'Snowball workings'!$BA$208))</f>
      </c>
      <c r="E206" s="29">
        <f>IF(201&gt;$Z$1,"",IF('Your debts'!$D$20="Avalanche",'Avalanche workings'!$BB$208,'Snowball workings'!$BB$208))</f>
      </c>
      <c r="F206" s="29">
        <f>IF(OR(201&gt;$Z$1,NOT(OR('Your debts'!$B$6&lt;&gt;"",N('Your debts'!$C$6)&gt;0))),"",IF('Your debts'!$D$20="Avalanche",'Avalanche workings'!$L$208,'Snowball workings'!$L$208)+IF('Your debts'!$D$20="Avalanche",'Avalanche workings'!$AF$208,'Snowball workings'!$AF$208))</f>
      </c>
      <c r="G206" s="30">
        <f>IF(OR(201&gt;$Z$1,NOT(OR('Your debts'!$B$6&lt;&gt;"",N('Your debts'!$C$6)&gt;0))),"",IF('Your debts'!$D$20="Avalanche",'Avalanche workings'!$AP$208,'Snowball workings'!$AP$208))</f>
      </c>
      <c r="H206" s="29">
        <f>IF(OR(201&gt;$Z$1,NOT(OR('Your debts'!$B$7&lt;&gt;"",N('Your debts'!$C$7)&gt;0))),"",IF('Your debts'!$D$20="Avalanche",'Avalanche workings'!$M$208,'Snowball workings'!$M$208)+IF('Your debts'!$D$20="Avalanche",'Avalanche workings'!$AG$208,'Snowball workings'!$AG$208))</f>
      </c>
      <c r="I206" s="30">
        <f>IF(OR(201&gt;$Z$1,NOT(OR('Your debts'!$B$7&lt;&gt;"",N('Your debts'!$C$7)&gt;0))),"",IF('Your debts'!$D$20="Avalanche",'Avalanche workings'!$AQ$208,'Snowball workings'!$AQ$208))</f>
      </c>
      <c r="J206" s="29">
        <f>IF(OR(201&gt;$Z$1,NOT(OR('Your debts'!$B$8&lt;&gt;"",N('Your debts'!$C$8)&gt;0))),"",IF('Your debts'!$D$20="Avalanche",'Avalanche workings'!$N$208,'Snowball workings'!$N$208)+IF('Your debts'!$D$20="Avalanche",'Avalanche workings'!$AH$208,'Snowball workings'!$AH$208))</f>
      </c>
      <c r="K206" s="30">
        <f>IF(OR(201&gt;$Z$1,NOT(OR('Your debts'!$B$8&lt;&gt;"",N('Your debts'!$C$8)&gt;0))),"",IF('Your debts'!$D$20="Avalanche",'Avalanche workings'!$AR$208,'Snowball workings'!$AR$208))</f>
      </c>
      <c r="L206" s="29">
        <f>IF(OR(201&gt;$Z$1,NOT(OR('Your debts'!$B$9&lt;&gt;"",N('Your debts'!$C$9)&gt;0))),"",IF('Your debts'!$D$20="Avalanche",'Avalanche workings'!$O$208,'Snowball workings'!$O$208)+IF('Your debts'!$D$20="Avalanche",'Avalanche workings'!$AI$208,'Snowball workings'!$AI$208))</f>
      </c>
      <c r="M206" s="30">
        <f>IF(OR(201&gt;$Z$1,NOT(OR('Your debts'!$B$9&lt;&gt;"",N('Your debts'!$C$9)&gt;0))),"",IF('Your debts'!$D$20="Avalanche",'Avalanche workings'!$AS$208,'Snowball workings'!$AS$208))</f>
      </c>
      <c r="N206" s="29">
        <f>IF(OR(201&gt;$Z$1,NOT(OR('Your debts'!$B$10&lt;&gt;"",N('Your debts'!$C$10)&gt;0))),"",IF('Your debts'!$D$20="Avalanche",'Avalanche workings'!$P$208,'Snowball workings'!$P$208)+IF('Your debts'!$D$20="Avalanche",'Avalanche workings'!$AJ$208,'Snowball workings'!$AJ$208))</f>
      </c>
      <c r="O206" s="30">
        <f>IF(OR(201&gt;$Z$1,NOT(OR('Your debts'!$B$10&lt;&gt;"",N('Your debts'!$C$10)&gt;0))),"",IF('Your debts'!$D$20="Avalanche",'Avalanche workings'!$AT$208,'Snowball workings'!$AT$208))</f>
      </c>
      <c r="P206" s="29">
        <f>IF(OR(201&gt;$Z$1,NOT(OR('Your debts'!$B$11&lt;&gt;"",N('Your debts'!$C$11)&gt;0))),"",IF('Your debts'!$D$20="Avalanche",'Avalanche workings'!$Q$208,'Snowball workings'!$Q$208)+IF('Your debts'!$D$20="Avalanche",'Avalanche workings'!$AK$208,'Snowball workings'!$AK$208))</f>
      </c>
      <c r="Q206" s="30">
        <f>IF(OR(201&gt;$Z$1,NOT(OR('Your debts'!$B$11&lt;&gt;"",N('Your debts'!$C$11)&gt;0))),"",IF('Your debts'!$D$20="Avalanche",'Avalanche workings'!$AU$208,'Snowball workings'!$AU$208))</f>
      </c>
      <c r="R206" s="29">
        <f>IF(OR(201&gt;$Z$1,NOT(OR('Your debts'!$B$12&lt;&gt;"",N('Your debts'!$C$12)&gt;0))),"",IF('Your debts'!$D$20="Avalanche",'Avalanche workings'!$R$208,'Snowball workings'!$R$208)+IF('Your debts'!$D$20="Avalanche",'Avalanche workings'!$AL$208,'Snowball workings'!$AL$208))</f>
      </c>
      <c r="S206" s="30">
        <f>IF(OR(201&gt;$Z$1,NOT(OR('Your debts'!$B$12&lt;&gt;"",N('Your debts'!$C$12)&gt;0))),"",IF('Your debts'!$D$20="Avalanche",'Avalanche workings'!$AV$208,'Snowball workings'!$AV$208))</f>
      </c>
      <c r="T206" s="29">
        <f>IF(OR(201&gt;$Z$1,NOT(OR('Your debts'!$B$13&lt;&gt;"",N('Your debts'!$C$13)&gt;0))),"",IF('Your debts'!$D$20="Avalanche",'Avalanche workings'!$S$208,'Snowball workings'!$S$208)+IF('Your debts'!$D$20="Avalanche",'Avalanche workings'!$AM$208,'Snowball workings'!$AM$208))</f>
      </c>
      <c r="U206" s="30">
        <f>IF(OR(201&gt;$Z$1,NOT(OR('Your debts'!$B$13&lt;&gt;"",N('Your debts'!$C$13)&gt;0))),"",IF('Your debts'!$D$20="Avalanche",'Avalanche workings'!$AW$208,'Snowball workings'!$AW$208))</f>
      </c>
      <c r="V206" s="29">
        <f>IF(OR(201&gt;$Z$1,NOT(OR('Your debts'!$B$14&lt;&gt;"",N('Your debts'!$C$14)&gt;0))),"",IF('Your debts'!$D$20="Avalanche",'Avalanche workings'!$T$208,'Snowball workings'!$T$208)+IF('Your debts'!$D$20="Avalanche",'Avalanche workings'!$AN$208,'Snowball workings'!$AN$208))</f>
      </c>
      <c r="W206" s="30">
        <f>IF(OR(201&gt;$Z$1,NOT(OR('Your debts'!$B$14&lt;&gt;"",N('Your debts'!$C$14)&gt;0))),"",IF('Your debts'!$D$20="Avalanche",'Avalanche workings'!$AX$208,'Snowball workings'!$AX$208))</f>
      </c>
      <c r="X206" s="29">
        <f>IF(OR(201&gt;$Z$1,NOT(OR('Your debts'!$B$15&lt;&gt;"",N('Your debts'!$C$15)&gt;0))),"",IF('Your debts'!$D$20="Avalanche",'Avalanche workings'!$U$208,'Snowball workings'!$U$208)+IF('Your debts'!$D$20="Avalanche",'Avalanche workings'!$AO$208,'Snowball workings'!$AO$208))</f>
      </c>
      <c r="Y206" s="30">
        <f>IF(OR(201&gt;$Z$1,NOT(OR('Your debts'!$B$15&lt;&gt;"",N('Your debts'!$C$15)&gt;0))),"",IF('Your debts'!$D$20="Avalanche",'Avalanche workings'!$AY$208,'Snowball workings'!$AY$208))</f>
      </c>
    </row>
    <row r="207" spans="1:25" x14ac:dyDescent="0.25">
      <c r="A207" s="2">
        <f>IF(202&gt;$Z$1,"",202)</f>
      </c>
      <c r="B207" s="28">
        <f>IF(202&gt;$Z$1,"",EDATE('Your debts'!$D$21,201))</f>
      </c>
      <c r="C207" s="29">
        <f>IF(202&gt;$Z$1,"",IF('Your debts'!$D$20="Avalanche",'Avalanche workings'!$BC$209,'Snowball workings'!$BC$209))</f>
      </c>
      <c r="D207" s="29">
        <f>IF(202&gt;$Z$1,"",IF('Your debts'!$D$20="Avalanche",'Avalanche workings'!$BA$209,'Snowball workings'!$BA$209))</f>
      </c>
      <c r="E207" s="29">
        <f>IF(202&gt;$Z$1,"",IF('Your debts'!$D$20="Avalanche",'Avalanche workings'!$BB$209,'Snowball workings'!$BB$209))</f>
      </c>
      <c r="F207" s="29">
        <f>IF(OR(202&gt;$Z$1,NOT(OR('Your debts'!$B$6&lt;&gt;"",N('Your debts'!$C$6)&gt;0))),"",IF('Your debts'!$D$20="Avalanche",'Avalanche workings'!$L$209,'Snowball workings'!$L$209)+IF('Your debts'!$D$20="Avalanche",'Avalanche workings'!$AF$209,'Snowball workings'!$AF$209))</f>
      </c>
      <c r="G207" s="30">
        <f>IF(OR(202&gt;$Z$1,NOT(OR('Your debts'!$B$6&lt;&gt;"",N('Your debts'!$C$6)&gt;0))),"",IF('Your debts'!$D$20="Avalanche",'Avalanche workings'!$AP$209,'Snowball workings'!$AP$209))</f>
      </c>
      <c r="H207" s="29">
        <f>IF(OR(202&gt;$Z$1,NOT(OR('Your debts'!$B$7&lt;&gt;"",N('Your debts'!$C$7)&gt;0))),"",IF('Your debts'!$D$20="Avalanche",'Avalanche workings'!$M$209,'Snowball workings'!$M$209)+IF('Your debts'!$D$20="Avalanche",'Avalanche workings'!$AG$209,'Snowball workings'!$AG$209))</f>
      </c>
      <c r="I207" s="30">
        <f>IF(OR(202&gt;$Z$1,NOT(OR('Your debts'!$B$7&lt;&gt;"",N('Your debts'!$C$7)&gt;0))),"",IF('Your debts'!$D$20="Avalanche",'Avalanche workings'!$AQ$209,'Snowball workings'!$AQ$209))</f>
      </c>
      <c r="J207" s="29">
        <f>IF(OR(202&gt;$Z$1,NOT(OR('Your debts'!$B$8&lt;&gt;"",N('Your debts'!$C$8)&gt;0))),"",IF('Your debts'!$D$20="Avalanche",'Avalanche workings'!$N$209,'Snowball workings'!$N$209)+IF('Your debts'!$D$20="Avalanche",'Avalanche workings'!$AH$209,'Snowball workings'!$AH$209))</f>
      </c>
      <c r="K207" s="30">
        <f>IF(OR(202&gt;$Z$1,NOT(OR('Your debts'!$B$8&lt;&gt;"",N('Your debts'!$C$8)&gt;0))),"",IF('Your debts'!$D$20="Avalanche",'Avalanche workings'!$AR$209,'Snowball workings'!$AR$209))</f>
      </c>
      <c r="L207" s="29">
        <f>IF(OR(202&gt;$Z$1,NOT(OR('Your debts'!$B$9&lt;&gt;"",N('Your debts'!$C$9)&gt;0))),"",IF('Your debts'!$D$20="Avalanche",'Avalanche workings'!$O$209,'Snowball workings'!$O$209)+IF('Your debts'!$D$20="Avalanche",'Avalanche workings'!$AI$209,'Snowball workings'!$AI$209))</f>
      </c>
      <c r="M207" s="30">
        <f>IF(OR(202&gt;$Z$1,NOT(OR('Your debts'!$B$9&lt;&gt;"",N('Your debts'!$C$9)&gt;0))),"",IF('Your debts'!$D$20="Avalanche",'Avalanche workings'!$AS$209,'Snowball workings'!$AS$209))</f>
      </c>
      <c r="N207" s="29">
        <f>IF(OR(202&gt;$Z$1,NOT(OR('Your debts'!$B$10&lt;&gt;"",N('Your debts'!$C$10)&gt;0))),"",IF('Your debts'!$D$20="Avalanche",'Avalanche workings'!$P$209,'Snowball workings'!$P$209)+IF('Your debts'!$D$20="Avalanche",'Avalanche workings'!$AJ$209,'Snowball workings'!$AJ$209))</f>
      </c>
      <c r="O207" s="30">
        <f>IF(OR(202&gt;$Z$1,NOT(OR('Your debts'!$B$10&lt;&gt;"",N('Your debts'!$C$10)&gt;0))),"",IF('Your debts'!$D$20="Avalanche",'Avalanche workings'!$AT$209,'Snowball workings'!$AT$209))</f>
      </c>
      <c r="P207" s="29">
        <f>IF(OR(202&gt;$Z$1,NOT(OR('Your debts'!$B$11&lt;&gt;"",N('Your debts'!$C$11)&gt;0))),"",IF('Your debts'!$D$20="Avalanche",'Avalanche workings'!$Q$209,'Snowball workings'!$Q$209)+IF('Your debts'!$D$20="Avalanche",'Avalanche workings'!$AK$209,'Snowball workings'!$AK$209))</f>
      </c>
      <c r="Q207" s="30">
        <f>IF(OR(202&gt;$Z$1,NOT(OR('Your debts'!$B$11&lt;&gt;"",N('Your debts'!$C$11)&gt;0))),"",IF('Your debts'!$D$20="Avalanche",'Avalanche workings'!$AU$209,'Snowball workings'!$AU$209))</f>
      </c>
      <c r="R207" s="29">
        <f>IF(OR(202&gt;$Z$1,NOT(OR('Your debts'!$B$12&lt;&gt;"",N('Your debts'!$C$12)&gt;0))),"",IF('Your debts'!$D$20="Avalanche",'Avalanche workings'!$R$209,'Snowball workings'!$R$209)+IF('Your debts'!$D$20="Avalanche",'Avalanche workings'!$AL$209,'Snowball workings'!$AL$209))</f>
      </c>
      <c r="S207" s="30">
        <f>IF(OR(202&gt;$Z$1,NOT(OR('Your debts'!$B$12&lt;&gt;"",N('Your debts'!$C$12)&gt;0))),"",IF('Your debts'!$D$20="Avalanche",'Avalanche workings'!$AV$209,'Snowball workings'!$AV$209))</f>
      </c>
      <c r="T207" s="29">
        <f>IF(OR(202&gt;$Z$1,NOT(OR('Your debts'!$B$13&lt;&gt;"",N('Your debts'!$C$13)&gt;0))),"",IF('Your debts'!$D$20="Avalanche",'Avalanche workings'!$S$209,'Snowball workings'!$S$209)+IF('Your debts'!$D$20="Avalanche",'Avalanche workings'!$AM$209,'Snowball workings'!$AM$209))</f>
      </c>
      <c r="U207" s="30">
        <f>IF(OR(202&gt;$Z$1,NOT(OR('Your debts'!$B$13&lt;&gt;"",N('Your debts'!$C$13)&gt;0))),"",IF('Your debts'!$D$20="Avalanche",'Avalanche workings'!$AW$209,'Snowball workings'!$AW$209))</f>
      </c>
      <c r="V207" s="29">
        <f>IF(OR(202&gt;$Z$1,NOT(OR('Your debts'!$B$14&lt;&gt;"",N('Your debts'!$C$14)&gt;0))),"",IF('Your debts'!$D$20="Avalanche",'Avalanche workings'!$T$209,'Snowball workings'!$T$209)+IF('Your debts'!$D$20="Avalanche",'Avalanche workings'!$AN$209,'Snowball workings'!$AN$209))</f>
      </c>
      <c r="W207" s="30">
        <f>IF(OR(202&gt;$Z$1,NOT(OR('Your debts'!$B$14&lt;&gt;"",N('Your debts'!$C$14)&gt;0))),"",IF('Your debts'!$D$20="Avalanche",'Avalanche workings'!$AX$209,'Snowball workings'!$AX$209))</f>
      </c>
      <c r="X207" s="29">
        <f>IF(OR(202&gt;$Z$1,NOT(OR('Your debts'!$B$15&lt;&gt;"",N('Your debts'!$C$15)&gt;0))),"",IF('Your debts'!$D$20="Avalanche",'Avalanche workings'!$U$209,'Snowball workings'!$U$209)+IF('Your debts'!$D$20="Avalanche",'Avalanche workings'!$AO$209,'Snowball workings'!$AO$209))</f>
      </c>
      <c r="Y207" s="30">
        <f>IF(OR(202&gt;$Z$1,NOT(OR('Your debts'!$B$15&lt;&gt;"",N('Your debts'!$C$15)&gt;0))),"",IF('Your debts'!$D$20="Avalanche",'Avalanche workings'!$AY$209,'Snowball workings'!$AY$209))</f>
      </c>
    </row>
    <row r="208" spans="1:25" x14ac:dyDescent="0.25">
      <c r="A208" s="2">
        <f>IF(203&gt;$Z$1,"",203)</f>
      </c>
      <c r="B208" s="28">
        <f>IF(203&gt;$Z$1,"",EDATE('Your debts'!$D$21,202))</f>
      </c>
      <c r="C208" s="29">
        <f>IF(203&gt;$Z$1,"",IF('Your debts'!$D$20="Avalanche",'Avalanche workings'!$BC$210,'Snowball workings'!$BC$210))</f>
      </c>
      <c r="D208" s="29">
        <f>IF(203&gt;$Z$1,"",IF('Your debts'!$D$20="Avalanche",'Avalanche workings'!$BA$210,'Snowball workings'!$BA$210))</f>
      </c>
      <c r="E208" s="29">
        <f>IF(203&gt;$Z$1,"",IF('Your debts'!$D$20="Avalanche",'Avalanche workings'!$BB$210,'Snowball workings'!$BB$210))</f>
      </c>
      <c r="F208" s="29">
        <f>IF(OR(203&gt;$Z$1,NOT(OR('Your debts'!$B$6&lt;&gt;"",N('Your debts'!$C$6)&gt;0))),"",IF('Your debts'!$D$20="Avalanche",'Avalanche workings'!$L$210,'Snowball workings'!$L$210)+IF('Your debts'!$D$20="Avalanche",'Avalanche workings'!$AF$210,'Snowball workings'!$AF$210))</f>
      </c>
      <c r="G208" s="30">
        <f>IF(OR(203&gt;$Z$1,NOT(OR('Your debts'!$B$6&lt;&gt;"",N('Your debts'!$C$6)&gt;0))),"",IF('Your debts'!$D$20="Avalanche",'Avalanche workings'!$AP$210,'Snowball workings'!$AP$210))</f>
      </c>
      <c r="H208" s="29">
        <f>IF(OR(203&gt;$Z$1,NOT(OR('Your debts'!$B$7&lt;&gt;"",N('Your debts'!$C$7)&gt;0))),"",IF('Your debts'!$D$20="Avalanche",'Avalanche workings'!$M$210,'Snowball workings'!$M$210)+IF('Your debts'!$D$20="Avalanche",'Avalanche workings'!$AG$210,'Snowball workings'!$AG$210))</f>
      </c>
      <c r="I208" s="30">
        <f>IF(OR(203&gt;$Z$1,NOT(OR('Your debts'!$B$7&lt;&gt;"",N('Your debts'!$C$7)&gt;0))),"",IF('Your debts'!$D$20="Avalanche",'Avalanche workings'!$AQ$210,'Snowball workings'!$AQ$210))</f>
      </c>
      <c r="J208" s="29">
        <f>IF(OR(203&gt;$Z$1,NOT(OR('Your debts'!$B$8&lt;&gt;"",N('Your debts'!$C$8)&gt;0))),"",IF('Your debts'!$D$20="Avalanche",'Avalanche workings'!$N$210,'Snowball workings'!$N$210)+IF('Your debts'!$D$20="Avalanche",'Avalanche workings'!$AH$210,'Snowball workings'!$AH$210))</f>
      </c>
      <c r="K208" s="30">
        <f>IF(OR(203&gt;$Z$1,NOT(OR('Your debts'!$B$8&lt;&gt;"",N('Your debts'!$C$8)&gt;0))),"",IF('Your debts'!$D$20="Avalanche",'Avalanche workings'!$AR$210,'Snowball workings'!$AR$210))</f>
      </c>
      <c r="L208" s="29">
        <f>IF(OR(203&gt;$Z$1,NOT(OR('Your debts'!$B$9&lt;&gt;"",N('Your debts'!$C$9)&gt;0))),"",IF('Your debts'!$D$20="Avalanche",'Avalanche workings'!$O$210,'Snowball workings'!$O$210)+IF('Your debts'!$D$20="Avalanche",'Avalanche workings'!$AI$210,'Snowball workings'!$AI$210))</f>
      </c>
      <c r="M208" s="30">
        <f>IF(OR(203&gt;$Z$1,NOT(OR('Your debts'!$B$9&lt;&gt;"",N('Your debts'!$C$9)&gt;0))),"",IF('Your debts'!$D$20="Avalanche",'Avalanche workings'!$AS$210,'Snowball workings'!$AS$210))</f>
      </c>
      <c r="N208" s="29">
        <f>IF(OR(203&gt;$Z$1,NOT(OR('Your debts'!$B$10&lt;&gt;"",N('Your debts'!$C$10)&gt;0))),"",IF('Your debts'!$D$20="Avalanche",'Avalanche workings'!$P$210,'Snowball workings'!$P$210)+IF('Your debts'!$D$20="Avalanche",'Avalanche workings'!$AJ$210,'Snowball workings'!$AJ$210))</f>
      </c>
      <c r="O208" s="30">
        <f>IF(OR(203&gt;$Z$1,NOT(OR('Your debts'!$B$10&lt;&gt;"",N('Your debts'!$C$10)&gt;0))),"",IF('Your debts'!$D$20="Avalanche",'Avalanche workings'!$AT$210,'Snowball workings'!$AT$210))</f>
      </c>
      <c r="P208" s="29">
        <f>IF(OR(203&gt;$Z$1,NOT(OR('Your debts'!$B$11&lt;&gt;"",N('Your debts'!$C$11)&gt;0))),"",IF('Your debts'!$D$20="Avalanche",'Avalanche workings'!$Q$210,'Snowball workings'!$Q$210)+IF('Your debts'!$D$20="Avalanche",'Avalanche workings'!$AK$210,'Snowball workings'!$AK$210))</f>
      </c>
      <c r="Q208" s="30">
        <f>IF(OR(203&gt;$Z$1,NOT(OR('Your debts'!$B$11&lt;&gt;"",N('Your debts'!$C$11)&gt;0))),"",IF('Your debts'!$D$20="Avalanche",'Avalanche workings'!$AU$210,'Snowball workings'!$AU$210))</f>
      </c>
      <c r="R208" s="29">
        <f>IF(OR(203&gt;$Z$1,NOT(OR('Your debts'!$B$12&lt;&gt;"",N('Your debts'!$C$12)&gt;0))),"",IF('Your debts'!$D$20="Avalanche",'Avalanche workings'!$R$210,'Snowball workings'!$R$210)+IF('Your debts'!$D$20="Avalanche",'Avalanche workings'!$AL$210,'Snowball workings'!$AL$210))</f>
      </c>
      <c r="S208" s="30">
        <f>IF(OR(203&gt;$Z$1,NOT(OR('Your debts'!$B$12&lt;&gt;"",N('Your debts'!$C$12)&gt;0))),"",IF('Your debts'!$D$20="Avalanche",'Avalanche workings'!$AV$210,'Snowball workings'!$AV$210))</f>
      </c>
      <c r="T208" s="29">
        <f>IF(OR(203&gt;$Z$1,NOT(OR('Your debts'!$B$13&lt;&gt;"",N('Your debts'!$C$13)&gt;0))),"",IF('Your debts'!$D$20="Avalanche",'Avalanche workings'!$S$210,'Snowball workings'!$S$210)+IF('Your debts'!$D$20="Avalanche",'Avalanche workings'!$AM$210,'Snowball workings'!$AM$210))</f>
      </c>
      <c r="U208" s="30">
        <f>IF(OR(203&gt;$Z$1,NOT(OR('Your debts'!$B$13&lt;&gt;"",N('Your debts'!$C$13)&gt;0))),"",IF('Your debts'!$D$20="Avalanche",'Avalanche workings'!$AW$210,'Snowball workings'!$AW$210))</f>
      </c>
      <c r="V208" s="29">
        <f>IF(OR(203&gt;$Z$1,NOT(OR('Your debts'!$B$14&lt;&gt;"",N('Your debts'!$C$14)&gt;0))),"",IF('Your debts'!$D$20="Avalanche",'Avalanche workings'!$T$210,'Snowball workings'!$T$210)+IF('Your debts'!$D$20="Avalanche",'Avalanche workings'!$AN$210,'Snowball workings'!$AN$210))</f>
      </c>
      <c r="W208" s="30">
        <f>IF(OR(203&gt;$Z$1,NOT(OR('Your debts'!$B$14&lt;&gt;"",N('Your debts'!$C$14)&gt;0))),"",IF('Your debts'!$D$20="Avalanche",'Avalanche workings'!$AX$210,'Snowball workings'!$AX$210))</f>
      </c>
      <c r="X208" s="29">
        <f>IF(OR(203&gt;$Z$1,NOT(OR('Your debts'!$B$15&lt;&gt;"",N('Your debts'!$C$15)&gt;0))),"",IF('Your debts'!$D$20="Avalanche",'Avalanche workings'!$U$210,'Snowball workings'!$U$210)+IF('Your debts'!$D$20="Avalanche",'Avalanche workings'!$AO$210,'Snowball workings'!$AO$210))</f>
      </c>
      <c r="Y208" s="30">
        <f>IF(OR(203&gt;$Z$1,NOT(OR('Your debts'!$B$15&lt;&gt;"",N('Your debts'!$C$15)&gt;0))),"",IF('Your debts'!$D$20="Avalanche",'Avalanche workings'!$AY$210,'Snowball workings'!$AY$210))</f>
      </c>
    </row>
    <row r="209" spans="1:25" x14ac:dyDescent="0.25">
      <c r="A209" s="2">
        <f>IF(204&gt;$Z$1,"",204)</f>
      </c>
      <c r="B209" s="28">
        <f>IF(204&gt;$Z$1,"",EDATE('Your debts'!$D$21,203))</f>
      </c>
      <c r="C209" s="29">
        <f>IF(204&gt;$Z$1,"",IF('Your debts'!$D$20="Avalanche",'Avalanche workings'!$BC$211,'Snowball workings'!$BC$211))</f>
      </c>
      <c r="D209" s="29">
        <f>IF(204&gt;$Z$1,"",IF('Your debts'!$D$20="Avalanche",'Avalanche workings'!$BA$211,'Snowball workings'!$BA$211))</f>
      </c>
      <c r="E209" s="29">
        <f>IF(204&gt;$Z$1,"",IF('Your debts'!$D$20="Avalanche",'Avalanche workings'!$BB$211,'Snowball workings'!$BB$211))</f>
      </c>
      <c r="F209" s="29">
        <f>IF(OR(204&gt;$Z$1,NOT(OR('Your debts'!$B$6&lt;&gt;"",N('Your debts'!$C$6)&gt;0))),"",IF('Your debts'!$D$20="Avalanche",'Avalanche workings'!$L$211,'Snowball workings'!$L$211)+IF('Your debts'!$D$20="Avalanche",'Avalanche workings'!$AF$211,'Snowball workings'!$AF$211))</f>
      </c>
      <c r="G209" s="30">
        <f>IF(OR(204&gt;$Z$1,NOT(OR('Your debts'!$B$6&lt;&gt;"",N('Your debts'!$C$6)&gt;0))),"",IF('Your debts'!$D$20="Avalanche",'Avalanche workings'!$AP$211,'Snowball workings'!$AP$211))</f>
      </c>
      <c r="H209" s="29">
        <f>IF(OR(204&gt;$Z$1,NOT(OR('Your debts'!$B$7&lt;&gt;"",N('Your debts'!$C$7)&gt;0))),"",IF('Your debts'!$D$20="Avalanche",'Avalanche workings'!$M$211,'Snowball workings'!$M$211)+IF('Your debts'!$D$20="Avalanche",'Avalanche workings'!$AG$211,'Snowball workings'!$AG$211))</f>
      </c>
      <c r="I209" s="30">
        <f>IF(OR(204&gt;$Z$1,NOT(OR('Your debts'!$B$7&lt;&gt;"",N('Your debts'!$C$7)&gt;0))),"",IF('Your debts'!$D$20="Avalanche",'Avalanche workings'!$AQ$211,'Snowball workings'!$AQ$211))</f>
      </c>
      <c r="J209" s="29">
        <f>IF(OR(204&gt;$Z$1,NOT(OR('Your debts'!$B$8&lt;&gt;"",N('Your debts'!$C$8)&gt;0))),"",IF('Your debts'!$D$20="Avalanche",'Avalanche workings'!$N$211,'Snowball workings'!$N$211)+IF('Your debts'!$D$20="Avalanche",'Avalanche workings'!$AH$211,'Snowball workings'!$AH$211))</f>
      </c>
      <c r="K209" s="30">
        <f>IF(OR(204&gt;$Z$1,NOT(OR('Your debts'!$B$8&lt;&gt;"",N('Your debts'!$C$8)&gt;0))),"",IF('Your debts'!$D$20="Avalanche",'Avalanche workings'!$AR$211,'Snowball workings'!$AR$211))</f>
      </c>
      <c r="L209" s="29">
        <f>IF(OR(204&gt;$Z$1,NOT(OR('Your debts'!$B$9&lt;&gt;"",N('Your debts'!$C$9)&gt;0))),"",IF('Your debts'!$D$20="Avalanche",'Avalanche workings'!$O$211,'Snowball workings'!$O$211)+IF('Your debts'!$D$20="Avalanche",'Avalanche workings'!$AI$211,'Snowball workings'!$AI$211))</f>
      </c>
      <c r="M209" s="30">
        <f>IF(OR(204&gt;$Z$1,NOT(OR('Your debts'!$B$9&lt;&gt;"",N('Your debts'!$C$9)&gt;0))),"",IF('Your debts'!$D$20="Avalanche",'Avalanche workings'!$AS$211,'Snowball workings'!$AS$211))</f>
      </c>
      <c r="N209" s="29">
        <f>IF(OR(204&gt;$Z$1,NOT(OR('Your debts'!$B$10&lt;&gt;"",N('Your debts'!$C$10)&gt;0))),"",IF('Your debts'!$D$20="Avalanche",'Avalanche workings'!$P$211,'Snowball workings'!$P$211)+IF('Your debts'!$D$20="Avalanche",'Avalanche workings'!$AJ$211,'Snowball workings'!$AJ$211))</f>
      </c>
      <c r="O209" s="30">
        <f>IF(OR(204&gt;$Z$1,NOT(OR('Your debts'!$B$10&lt;&gt;"",N('Your debts'!$C$10)&gt;0))),"",IF('Your debts'!$D$20="Avalanche",'Avalanche workings'!$AT$211,'Snowball workings'!$AT$211))</f>
      </c>
      <c r="P209" s="29">
        <f>IF(OR(204&gt;$Z$1,NOT(OR('Your debts'!$B$11&lt;&gt;"",N('Your debts'!$C$11)&gt;0))),"",IF('Your debts'!$D$20="Avalanche",'Avalanche workings'!$Q$211,'Snowball workings'!$Q$211)+IF('Your debts'!$D$20="Avalanche",'Avalanche workings'!$AK$211,'Snowball workings'!$AK$211))</f>
      </c>
      <c r="Q209" s="30">
        <f>IF(OR(204&gt;$Z$1,NOT(OR('Your debts'!$B$11&lt;&gt;"",N('Your debts'!$C$11)&gt;0))),"",IF('Your debts'!$D$20="Avalanche",'Avalanche workings'!$AU$211,'Snowball workings'!$AU$211))</f>
      </c>
      <c r="R209" s="29">
        <f>IF(OR(204&gt;$Z$1,NOT(OR('Your debts'!$B$12&lt;&gt;"",N('Your debts'!$C$12)&gt;0))),"",IF('Your debts'!$D$20="Avalanche",'Avalanche workings'!$R$211,'Snowball workings'!$R$211)+IF('Your debts'!$D$20="Avalanche",'Avalanche workings'!$AL$211,'Snowball workings'!$AL$211))</f>
      </c>
      <c r="S209" s="30">
        <f>IF(OR(204&gt;$Z$1,NOT(OR('Your debts'!$B$12&lt;&gt;"",N('Your debts'!$C$12)&gt;0))),"",IF('Your debts'!$D$20="Avalanche",'Avalanche workings'!$AV$211,'Snowball workings'!$AV$211))</f>
      </c>
      <c r="T209" s="29">
        <f>IF(OR(204&gt;$Z$1,NOT(OR('Your debts'!$B$13&lt;&gt;"",N('Your debts'!$C$13)&gt;0))),"",IF('Your debts'!$D$20="Avalanche",'Avalanche workings'!$S$211,'Snowball workings'!$S$211)+IF('Your debts'!$D$20="Avalanche",'Avalanche workings'!$AM$211,'Snowball workings'!$AM$211))</f>
      </c>
      <c r="U209" s="30">
        <f>IF(OR(204&gt;$Z$1,NOT(OR('Your debts'!$B$13&lt;&gt;"",N('Your debts'!$C$13)&gt;0))),"",IF('Your debts'!$D$20="Avalanche",'Avalanche workings'!$AW$211,'Snowball workings'!$AW$211))</f>
      </c>
      <c r="V209" s="29">
        <f>IF(OR(204&gt;$Z$1,NOT(OR('Your debts'!$B$14&lt;&gt;"",N('Your debts'!$C$14)&gt;0))),"",IF('Your debts'!$D$20="Avalanche",'Avalanche workings'!$T$211,'Snowball workings'!$T$211)+IF('Your debts'!$D$20="Avalanche",'Avalanche workings'!$AN$211,'Snowball workings'!$AN$211))</f>
      </c>
      <c r="W209" s="30">
        <f>IF(OR(204&gt;$Z$1,NOT(OR('Your debts'!$B$14&lt;&gt;"",N('Your debts'!$C$14)&gt;0))),"",IF('Your debts'!$D$20="Avalanche",'Avalanche workings'!$AX$211,'Snowball workings'!$AX$211))</f>
      </c>
      <c r="X209" s="29">
        <f>IF(OR(204&gt;$Z$1,NOT(OR('Your debts'!$B$15&lt;&gt;"",N('Your debts'!$C$15)&gt;0))),"",IF('Your debts'!$D$20="Avalanche",'Avalanche workings'!$U$211,'Snowball workings'!$U$211)+IF('Your debts'!$D$20="Avalanche",'Avalanche workings'!$AO$211,'Snowball workings'!$AO$211))</f>
      </c>
      <c r="Y209" s="30">
        <f>IF(OR(204&gt;$Z$1,NOT(OR('Your debts'!$B$15&lt;&gt;"",N('Your debts'!$C$15)&gt;0))),"",IF('Your debts'!$D$20="Avalanche",'Avalanche workings'!$AY$211,'Snowball workings'!$AY$211))</f>
      </c>
    </row>
    <row r="210" spans="1:25" x14ac:dyDescent="0.25">
      <c r="A210" s="2">
        <f>IF(205&gt;$Z$1,"",205)</f>
      </c>
      <c r="B210" s="28">
        <f>IF(205&gt;$Z$1,"",EDATE('Your debts'!$D$21,204))</f>
      </c>
      <c r="C210" s="29">
        <f>IF(205&gt;$Z$1,"",IF('Your debts'!$D$20="Avalanche",'Avalanche workings'!$BC$212,'Snowball workings'!$BC$212))</f>
      </c>
      <c r="D210" s="29">
        <f>IF(205&gt;$Z$1,"",IF('Your debts'!$D$20="Avalanche",'Avalanche workings'!$BA$212,'Snowball workings'!$BA$212))</f>
      </c>
      <c r="E210" s="29">
        <f>IF(205&gt;$Z$1,"",IF('Your debts'!$D$20="Avalanche",'Avalanche workings'!$BB$212,'Snowball workings'!$BB$212))</f>
      </c>
      <c r="F210" s="29">
        <f>IF(OR(205&gt;$Z$1,NOT(OR('Your debts'!$B$6&lt;&gt;"",N('Your debts'!$C$6)&gt;0))),"",IF('Your debts'!$D$20="Avalanche",'Avalanche workings'!$L$212,'Snowball workings'!$L$212)+IF('Your debts'!$D$20="Avalanche",'Avalanche workings'!$AF$212,'Snowball workings'!$AF$212))</f>
      </c>
      <c r="G210" s="30">
        <f>IF(OR(205&gt;$Z$1,NOT(OR('Your debts'!$B$6&lt;&gt;"",N('Your debts'!$C$6)&gt;0))),"",IF('Your debts'!$D$20="Avalanche",'Avalanche workings'!$AP$212,'Snowball workings'!$AP$212))</f>
      </c>
      <c r="H210" s="29">
        <f>IF(OR(205&gt;$Z$1,NOT(OR('Your debts'!$B$7&lt;&gt;"",N('Your debts'!$C$7)&gt;0))),"",IF('Your debts'!$D$20="Avalanche",'Avalanche workings'!$M$212,'Snowball workings'!$M$212)+IF('Your debts'!$D$20="Avalanche",'Avalanche workings'!$AG$212,'Snowball workings'!$AG$212))</f>
      </c>
      <c r="I210" s="30">
        <f>IF(OR(205&gt;$Z$1,NOT(OR('Your debts'!$B$7&lt;&gt;"",N('Your debts'!$C$7)&gt;0))),"",IF('Your debts'!$D$20="Avalanche",'Avalanche workings'!$AQ$212,'Snowball workings'!$AQ$212))</f>
      </c>
      <c r="J210" s="29">
        <f>IF(OR(205&gt;$Z$1,NOT(OR('Your debts'!$B$8&lt;&gt;"",N('Your debts'!$C$8)&gt;0))),"",IF('Your debts'!$D$20="Avalanche",'Avalanche workings'!$N$212,'Snowball workings'!$N$212)+IF('Your debts'!$D$20="Avalanche",'Avalanche workings'!$AH$212,'Snowball workings'!$AH$212))</f>
      </c>
      <c r="K210" s="30">
        <f>IF(OR(205&gt;$Z$1,NOT(OR('Your debts'!$B$8&lt;&gt;"",N('Your debts'!$C$8)&gt;0))),"",IF('Your debts'!$D$20="Avalanche",'Avalanche workings'!$AR$212,'Snowball workings'!$AR$212))</f>
      </c>
      <c r="L210" s="29">
        <f>IF(OR(205&gt;$Z$1,NOT(OR('Your debts'!$B$9&lt;&gt;"",N('Your debts'!$C$9)&gt;0))),"",IF('Your debts'!$D$20="Avalanche",'Avalanche workings'!$O$212,'Snowball workings'!$O$212)+IF('Your debts'!$D$20="Avalanche",'Avalanche workings'!$AI$212,'Snowball workings'!$AI$212))</f>
      </c>
      <c r="M210" s="30">
        <f>IF(OR(205&gt;$Z$1,NOT(OR('Your debts'!$B$9&lt;&gt;"",N('Your debts'!$C$9)&gt;0))),"",IF('Your debts'!$D$20="Avalanche",'Avalanche workings'!$AS$212,'Snowball workings'!$AS$212))</f>
      </c>
      <c r="N210" s="29">
        <f>IF(OR(205&gt;$Z$1,NOT(OR('Your debts'!$B$10&lt;&gt;"",N('Your debts'!$C$10)&gt;0))),"",IF('Your debts'!$D$20="Avalanche",'Avalanche workings'!$P$212,'Snowball workings'!$P$212)+IF('Your debts'!$D$20="Avalanche",'Avalanche workings'!$AJ$212,'Snowball workings'!$AJ$212))</f>
      </c>
      <c r="O210" s="30">
        <f>IF(OR(205&gt;$Z$1,NOT(OR('Your debts'!$B$10&lt;&gt;"",N('Your debts'!$C$10)&gt;0))),"",IF('Your debts'!$D$20="Avalanche",'Avalanche workings'!$AT$212,'Snowball workings'!$AT$212))</f>
      </c>
      <c r="P210" s="29">
        <f>IF(OR(205&gt;$Z$1,NOT(OR('Your debts'!$B$11&lt;&gt;"",N('Your debts'!$C$11)&gt;0))),"",IF('Your debts'!$D$20="Avalanche",'Avalanche workings'!$Q$212,'Snowball workings'!$Q$212)+IF('Your debts'!$D$20="Avalanche",'Avalanche workings'!$AK$212,'Snowball workings'!$AK$212))</f>
      </c>
      <c r="Q210" s="30">
        <f>IF(OR(205&gt;$Z$1,NOT(OR('Your debts'!$B$11&lt;&gt;"",N('Your debts'!$C$11)&gt;0))),"",IF('Your debts'!$D$20="Avalanche",'Avalanche workings'!$AU$212,'Snowball workings'!$AU$212))</f>
      </c>
      <c r="R210" s="29">
        <f>IF(OR(205&gt;$Z$1,NOT(OR('Your debts'!$B$12&lt;&gt;"",N('Your debts'!$C$12)&gt;0))),"",IF('Your debts'!$D$20="Avalanche",'Avalanche workings'!$R$212,'Snowball workings'!$R$212)+IF('Your debts'!$D$20="Avalanche",'Avalanche workings'!$AL$212,'Snowball workings'!$AL$212))</f>
      </c>
      <c r="S210" s="30">
        <f>IF(OR(205&gt;$Z$1,NOT(OR('Your debts'!$B$12&lt;&gt;"",N('Your debts'!$C$12)&gt;0))),"",IF('Your debts'!$D$20="Avalanche",'Avalanche workings'!$AV$212,'Snowball workings'!$AV$212))</f>
      </c>
      <c r="T210" s="29">
        <f>IF(OR(205&gt;$Z$1,NOT(OR('Your debts'!$B$13&lt;&gt;"",N('Your debts'!$C$13)&gt;0))),"",IF('Your debts'!$D$20="Avalanche",'Avalanche workings'!$S$212,'Snowball workings'!$S$212)+IF('Your debts'!$D$20="Avalanche",'Avalanche workings'!$AM$212,'Snowball workings'!$AM$212))</f>
      </c>
      <c r="U210" s="30">
        <f>IF(OR(205&gt;$Z$1,NOT(OR('Your debts'!$B$13&lt;&gt;"",N('Your debts'!$C$13)&gt;0))),"",IF('Your debts'!$D$20="Avalanche",'Avalanche workings'!$AW$212,'Snowball workings'!$AW$212))</f>
      </c>
      <c r="V210" s="29">
        <f>IF(OR(205&gt;$Z$1,NOT(OR('Your debts'!$B$14&lt;&gt;"",N('Your debts'!$C$14)&gt;0))),"",IF('Your debts'!$D$20="Avalanche",'Avalanche workings'!$T$212,'Snowball workings'!$T$212)+IF('Your debts'!$D$20="Avalanche",'Avalanche workings'!$AN$212,'Snowball workings'!$AN$212))</f>
      </c>
      <c r="W210" s="30">
        <f>IF(OR(205&gt;$Z$1,NOT(OR('Your debts'!$B$14&lt;&gt;"",N('Your debts'!$C$14)&gt;0))),"",IF('Your debts'!$D$20="Avalanche",'Avalanche workings'!$AX$212,'Snowball workings'!$AX$212))</f>
      </c>
      <c r="X210" s="29">
        <f>IF(OR(205&gt;$Z$1,NOT(OR('Your debts'!$B$15&lt;&gt;"",N('Your debts'!$C$15)&gt;0))),"",IF('Your debts'!$D$20="Avalanche",'Avalanche workings'!$U$212,'Snowball workings'!$U$212)+IF('Your debts'!$D$20="Avalanche",'Avalanche workings'!$AO$212,'Snowball workings'!$AO$212))</f>
      </c>
      <c r="Y210" s="30">
        <f>IF(OR(205&gt;$Z$1,NOT(OR('Your debts'!$B$15&lt;&gt;"",N('Your debts'!$C$15)&gt;0))),"",IF('Your debts'!$D$20="Avalanche",'Avalanche workings'!$AY$212,'Snowball workings'!$AY$212))</f>
      </c>
    </row>
    <row r="211" spans="1:25" x14ac:dyDescent="0.25">
      <c r="A211" s="2">
        <f>IF(206&gt;$Z$1,"",206)</f>
      </c>
      <c r="B211" s="28">
        <f>IF(206&gt;$Z$1,"",EDATE('Your debts'!$D$21,205))</f>
      </c>
      <c r="C211" s="29">
        <f>IF(206&gt;$Z$1,"",IF('Your debts'!$D$20="Avalanche",'Avalanche workings'!$BC$213,'Snowball workings'!$BC$213))</f>
      </c>
      <c r="D211" s="29">
        <f>IF(206&gt;$Z$1,"",IF('Your debts'!$D$20="Avalanche",'Avalanche workings'!$BA$213,'Snowball workings'!$BA$213))</f>
      </c>
      <c r="E211" s="29">
        <f>IF(206&gt;$Z$1,"",IF('Your debts'!$D$20="Avalanche",'Avalanche workings'!$BB$213,'Snowball workings'!$BB$213))</f>
      </c>
      <c r="F211" s="29">
        <f>IF(OR(206&gt;$Z$1,NOT(OR('Your debts'!$B$6&lt;&gt;"",N('Your debts'!$C$6)&gt;0))),"",IF('Your debts'!$D$20="Avalanche",'Avalanche workings'!$L$213,'Snowball workings'!$L$213)+IF('Your debts'!$D$20="Avalanche",'Avalanche workings'!$AF$213,'Snowball workings'!$AF$213))</f>
      </c>
      <c r="G211" s="30">
        <f>IF(OR(206&gt;$Z$1,NOT(OR('Your debts'!$B$6&lt;&gt;"",N('Your debts'!$C$6)&gt;0))),"",IF('Your debts'!$D$20="Avalanche",'Avalanche workings'!$AP$213,'Snowball workings'!$AP$213))</f>
      </c>
      <c r="H211" s="29">
        <f>IF(OR(206&gt;$Z$1,NOT(OR('Your debts'!$B$7&lt;&gt;"",N('Your debts'!$C$7)&gt;0))),"",IF('Your debts'!$D$20="Avalanche",'Avalanche workings'!$M$213,'Snowball workings'!$M$213)+IF('Your debts'!$D$20="Avalanche",'Avalanche workings'!$AG$213,'Snowball workings'!$AG$213))</f>
      </c>
      <c r="I211" s="30">
        <f>IF(OR(206&gt;$Z$1,NOT(OR('Your debts'!$B$7&lt;&gt;"",N('Your debts'!$C$7)&gt;0))),"",IF('Your debts'!$D$20="Avalanche",'Avalanche workings'!$AQ$213,'Snowball workings'!$AQ$213))</f>
      </c>
      <c r="J211" s="29">
        <f>IF(OR(206&gt;$Z$1,NOT(OR('Your debts'!$B$8&lt;&gt;"",N('Your debts'!$C$8)&gt;0))),"",IF('Your debts'!$D$20="Avalanche",'Avalanche workings'!$N$213,'Snowball workings'!$N$213)+IF('Your debts'!$D$20="Avalanche",'Avalanche workings'!$AH$213,'Snowball workings'!$AH$213))</f>
      </c>
      <c r="K211" s="30">
        <f>IF(OR(206&gt;$Z$1,NOT(OR('Your debts'!$B$8&lt;&gt;"",N('Your debts'!$C$8)&gt;0))),"",IF('Your debts'!$D$20="Avalanche",'Avalanche workings'!$AR$213,'Snowball workings'!$AR$213))</f>
      </c>
      <c r="L211" s="29">
        <f>IF(OR(206&gt;$Z$1,NOT(OR('Your debts'!$B$9&lt;&gt;"",N('Your debts'!$C$9)&gt;0))),"",IF('Your debts'!$D$20="Avalanche",'Avalanche workings'!$O$213,'Snowball workings'!$O$213)+IF('Your debts'!$D$20="Avalanche",'Avalanche workings'!$AI$213,'Snowball workings'!$AI$213))</f>
      </c>
      <c r="M211" s="30">
        <f>IF(OR(206&gt;$Z$1,NOT(OR('Your debts'!$B$9&lt;&gt;"",N('Your debts'!$C$9)&gt;0))),"",IF('Your debts'!$D$20="Avalanche",'Avalanche workings'!$AS$213,'Snowball workings'!$AS$213))</f>
      </c>
      <c r="N211" s="29">
        <f>IF(OR(206&gt;$Z$1,NOT(OR('Your debts'!$B$10&lt;&gt;"",N('Your debts'!$C$10)&gt;0))),"",IF('Your debts'!$D$20="Avalanche",'Avalanche workings'!$P$213,'Snowball workings'!$P$213)+IF('Your debts'!$D$20="Avalanche",'Avalanche workings'!$AJ$213,'Snowball workings'!$AJ$213))</f>
      </c>
      <c r="O211" s="30">
        <f>IF(OR(206&gt;$Z$1,NOT(OR('Your debts'!$B$10&lt;&gt;"",N('Your debts'!$C$10)&gt;0))),"",IF('Your debts'!$D$20="Avalanche",'Avalanche workings'!$AT$213,'Snowball workings'!$AT$213))</f>
      </c>
      <c r="P211" s="29">
        <f>IF(OR(206&gt;$Z$1,NOT(OR('Your debts'!$B$11&lt;&gt;"",N('Your debts'!$C$11)&gt;0))),"",IF('Your debts'!$D$20="Avalanche",'Avalanche workings'!$Q$213,'Snowball workings'!$Q$213)+IF('Your debts'!$D$20="Avalanche",'Avalanche workings'!$AK$213,'Snowball workings'!$AK$213))</f>
      </c>
      <c r="Q211" s="30">
        <f>IF(OR(206&gt;$Z$1,NOT(OR('Your debts'!$B$11&lt;&gt;"",N('Your debts'!$C$11)&gt;0))),"",IF('Your debts'!$D$20="Avalanche",'Avalanche workings'!$AU$213,'Snowball workings'!$AU$213))</f>
      </c>
      <c r="R211" s="29">
        <f>IF(OR(206&gt;$Z$1,NOT(OR('Your debts'!$B$12&lt;&gt;"",N('Your debts'!$C$12)&gt;0))),"",IF('Your debts'!$D$20="Avalanche",'Avalanche workings'!$R$213,'Snowball workings'!$R$213)+IF('Your debts'!$D$20="Avalanche",'Avalanche workings'!$AL$213,'Snowball workings'!$AL$213))</f>
      </c>
      <c r="S211" s="30">
        <f>IF(OR(206&gt;$Z$1,NOT(OR('Your debts'!$B$12&lt;&gt;"",N('Your debts'!$C$12)&gt;0))),"",IF('Your debts'!$D$20="Avalanche",'Avalanche workings'!$AV$213,'Snowball workings'!$AV$213))</f>
      </c>
      <c r="T211" s="29">
        <f>IF(OR(206&gt;$Z$1,NOT(OR('Your debts'!$B$13&lt;&gt;"",N('Your debts'!$C$13)&gt;0))),"",IF('Your debts'!$D$20="Avalanche",'Avalanche workings'!$S$213,'Snowball workings'!$S$213)+IF('Your debts'!$D$20="Avalanche",'Avalanche workings'!$AM$213,'Snowball workings'!$AM$213))</f>
      </c>
      <c r="U211" s="30">
        <f>IF(OR(206&gt;$Z$1,NOT(OR('Your debts'!$B$13&lt;&gt;"",N('Your debts'!$C$13)&gt;0))),"",IF('Your debts'!$D$20="Avalanche",'Avalanche workings'!$AW$213,'Snowball workings'!$AW$213))</f>
      </c>
      <c r="V211" s="29">
        <f>IF(OR(206&gt;$Z$1,NOT(OR('Your debts'!$B$14&lt;&gt;"",N('Your debts'!$C$14)&gt;0))),"",IF('Your debts'!$D$20="Avalanche",'Avalanche workings'!$T$213,'Snowball workings'!$T$213)+IF('Your debts'!$D$20="Avalanche",'Avalanche workings'!$AN$213,'Snowball workings'!$AN$213))</f>
      </c>
      <c r="W211" s="30">
        <f>IF(OR(206&gt;$Z$1,NOT(OR('Your debts'!$B$14&lt;&gt;"",N('Your debts'!$C$14)&gt;0))),"",IF('Your debts'!$D$20="Avalanche",'Avalanche workings'!$AX$213,'Snowball workings'!$AX$213))</f>
      </c>
      <c r="X211" s="29">
        <f>IF(OR(206&gt;$Z$1,NOT(OR('Your debts'!$B$15&lt;&gt;"",N('Your debts'!$C$15)&gt;0))),"",IF('Your debts'!$D$20="Avalanche",'Avalanche workings'!$U$213,'Snowball workings'!$U$213)+IF('Your debts'!$D$20="Avalanche",'Avalanche workings'!$AO$213,'Snowball workings'!$AO$213))</f>
      </c>
      <c r="Y211" s="30">
        <f>IF(OR(206&gt;$Z$1,NOT(OR('Your debts'!$B$15&lt;&gt;"",N('Your debts'!$C$15)&gt;0))),"",IF('Your debts'!$D$20="Avalanche",'Avalanche workings'!$AY$213,'Snowball workings'!$AY$213))</f>
      </c>
    </row>
    <row r="212" spans="1:25" x14ac:dyDescent="0.25">
      <c r="A212" s="2">
        <f>IF(207&gt;$Z$1,"",207)</f>
      </c>
      <c r="B212" s="28">
        <f>IF(207&gt;$Z$1,"",EDATE('Your debts'!$D$21,206))</f>
      </c>
      <c r="C212" s="29">
        <f>IF(207&gt;$Z$1,"",IF('Your debts'!$D$20="Avalanche",'Avalanche workings'!$BC$214,'Snowball workings'!$BC$214))</f>
      </c>
      <c r="D212" s="29">
        <f>IF(207&gt;$Z$1,"",IF('Your debts'!$D$20="Avalanche",'Avalanche workings'!$BA$214,'Snowball workings'!$BA$214))</f>
      </c>
      <c r="E212" s="29">
        <f>IF(207&gt;$Z$1,"",IF('Your debts'!$D$20="Avalanche",'Avalanche workings'!$BB$214,'Snowball workings'!$BB$214))</f>
      </c>
      <c r="F212" s="29">
        <f>IF(OR(207&gt;$Z$1,NOT(OR('Your debts'!$B$6&lt;&gt;"",N('Your debts'!$C$6)&gt;0))),"",IF('Your debts'!$D$20="Avalanche",'Avalanche workings'!$L$214,'Snowball workings'!$L$214)+IF('Your debts'!$D$20="Avalanche",'Avalanche workings'!$AF$214,'Snowball workings'!$AF$214))</f>
      </c>
      <c r="G212" s="30">
        <f>IF(OR(207&gt;$Z$1,NOT(OR('Your debts'!$B$6&lt;&gt;"",N('Your debts'!$C$6)&gt;0))),"",IF('Your debts'!$D$20="Avalanche",'Avalanche workings'!$AP$214,'Snowball workings'!$AP$214))</f>
      </c>
      <c r="H212" s="29">
        <f>IF(OR(207&gt;$Z$1,NOT(OR('Your debts'!$B$7&lt;&gt;"",N('Your debts'!$C$7)&gt;0))),"",IF('Your debts'!$D$20="Avalanche",'Avalanche workings'!$M$214,'Snowball workings'!$M$214)+IF('Your debts'!$D$20="Avalanche",'Avalanche workings'!$AG$214,'Snowball workings'!$AG$214))</f>
      </c>
      <c r="I212" s="30">
        <f>IF(OR(207&gt;$Z$1,NOT(OR('Your debts'!$B$7&lt;&gt;"",N('Your debts'!$C$7)&gt;0))),"",IF('Your debts'!$D$20="Avalanche",'Avalanche workings'!$AQ$214,'Snowball workings'!$AQ$214))</f>
      </c>
      <c r="J212" s="29">
        <f>IF(OR(207&gt;$Z$1,NOT(OR('Your debts'!$B$8&lt;&gt;"",N('Your debts'!$C$8)&gt;0))),"",IF('Your debts'!$D$20="Avalanche",'Avalanche workings'!$N$214,'Snowball workings'!$N$214)+IF('Your debts'!$D$20="Avalanche",'Avalanche workings'!$AH$214,'Snowball workings'!$AH$214))</f>
      </c>
      <c r="K212" s="30">
        <f>IF(OR(207&gt;$Z$1,NOT(OR('Your debts'!$B$8&lt;&gt;"",N('Your debts'!$C$8)&gt;0))),"",IF('Your debts'!$D$20="Avalanche",'Avalanche workings'!$AR$214,'Snowball workings'!$AR$214))</f>
      </c>
      <c r="L212" s="29">
        <f>IF(OR(207&gt;$Z$1,NOT(OR('Your debts'!$B$9&lt;&gt;"",N('Your debts'!$C$9)&gt;0))),"",IF('Your debts'!$D$20="Avalanche",'Avalanche workings'!$O$214,'Snowball workings'!$O$214)+IF('Your debts'!$D$20="Avalanche",'Avalanche workings'!$AI$214,'Snowball workings'!$AI$214))</f>
      </c>
      <c r="M212" s="30">
        <f>IF(OR(207&gt;$Z$1,NOT(OR('Your debts'!$B$9&lt;&gt;"",N('Your debts'!$C$9)&gt;0))),"",IF('Your debts'!$D$20="Avalanche",'Avalanche workings'!$AS$214,'Snowball workings'!$AS$214))</f>
      </c>
      <c r="N212" s="29">
        <f>IF(OR(207&gt;$Z$1,NOT(OR('Your debts'!$B$10&lt;&gt;"",N('Your debts'!$C$10)&gt;0))),"",IF('Your debts'!$D$20="Avalanche",'Avalanche workings'!$P$214,'Snowball workings'!$P$214)+IF('Your debts'!$D$20="Avalanche",'Avalanche workings'!$AJ$214,'Snowball workings'!$AJ$214))</f>
      </c>
      <c r="O212" s="30">
        <f>IF(OR(207&gt;$Z$1,NOT(OR('Your debts'!$B$10&lt;&gt;"",N('Your debts'!$C$10)&gt;0))),"",IF('Your debts'!$D$20="Avalanche",'Avalanche workings'!$AT$214,'Snowball workings'!$AT$214))</f>
      </c>
      <c r="P212" s="29">
        <f>IF(OR(207&gt;$Z$1,NOT(OR('Your debts'!$B$11&lt;&gt;"",N('Your debts'!$C$11)&gt;0))),"",IF('Your debts'!$D$20="Avalanche",'Avalanche workings'!$Q$214,'Snowball workings'!$Q$214)+IF('Your debts'!$D$20="Avalanche",'Avalanche workings'!$AK$214,'Snowball workings'!$AK$214))</f>
      </c>
      <c r="Q212" s="30">
        <f>IF(OR(207&gt;$Z$1,NOT(OR('Your debts'!$B$11&lt;&gt;"",N('Your debts'!$C$11)&gt;0))),"",IF('Your debts'!$D$20="Avalanche",'Avalanche workings'!$AU$214,'Snowball workings'!$AU$214))</f>
      </c>
      <c r="R212" s="29">
        <f>IF(OR(207&gt;$Z$1,NOT(OR('Your debts'!$B$12&lt;&gt;"",N('Your debts'!$C$12)&gt;0))),"",IF('Your debts'!$D$20="Avalanche",'Avalanche workings'!$R$214,'Snowball workings'!$R$214)+IF('Your debts'!$D$20="Avalanche",'Avalanche workings'!$AL$214,'Snowball workings'!$AL$214))</f>
      </c>
      <c r="S212" s="30">
        <f>IF(OR(207&gt;$Z$1,NOT(OR('Your debts'!$B$12&lt;&gt;"",N('Your debts'!$C$12)&gt;0))),"",IF('Your debts'!$D$20="Avalanche",'Avalanche workings'!$AV$214,'Snowball workings'!$AV$214))</f>
      </c>
      <c r="T212" s="29">
        <f>IF(OR(207&gt;$Z$1,NOT(OR('Your debts'!$B$13&lt;&gt;"",N('Your debts'!$C$13)&gt;0))),"",IF('Your debts'!$D$20="Avalanche",'Avalanche workings'!$S$214,'Snowball workings'!$S$214)+IF('Your debts'!$D$20="Avalanche",'Avalanche workings'!$AM$214,'Snowball workings'!$AM$214))</f>
      </c>
      <c r="U212" s="30">
        <f>IF(OR(207&gt;$Z$1,NOT(OR('Your debts'!$B$13&lt;&gt;"",N('Your debts'!$C$13)&gt;0))),"",IF('Your debts'!$D$20="Avalanche",'Avalanche workings'!$AW$214,'Snowball workings'!$AW$214))</f>
      </c>
      <c r="V212" s="29">
        <f>IF(OR(207&gt;$Z$1,NOT(OR('Your debts'!$B$14&lt;&gt;"",N('Your debts'!$C$14)&gt;0))),"",IF('Your debts'!$D$20="Avalanche",'Avalanche workings'!$T$214,'Snowball workings'!$T$214)+IF('Your debts'!$D$20="Avalanche",'Avalanche workings'!$AN$214,'Snowball workings'!$AN$214))</f>
      </c>
      <c r="W212" s="30">
        <f>IF(OR(207&gt;$Z$1,NOT(OR('Your debts'!$B$14&lt;&gt;"",N('Your debts'!$C$14)&gt;0))),"",IF('Your debts'!$D$20="Avalanche",'Avalanche workings'!$AX$214,'Snowball workings'!$AX$214))</f>
      </c>
      <c r="X212" s="29">
        <f>IF(OR(207&gt;$Z$1,NOT(OR('Your debts'!$B$15&lt;&gt;"",N('Your debts'!$C$15)&gt;0))),"",IF('Your debts'!$D$20="Avalanche",'Avalanche workings'!$U$214,'Snowball workings'!$U$214)+IF('Your debts'!$D$20="Avalanche",'Avalanche workings'!$AO$214,'Snowball workings'!$AO$214))</f>
      </c>
      <c r="Y212" s="30">
        <f>IF(OR(207&gt;$Z$1,NOT(OR('Your debts'!$B$15&lt;&gt;"",N('Your debts'!$C$15)&gt;0))),"",IF('Your debts'!$D$20="Avalanche",'Avalanche workings'!$AY$214,'Snowball workings'!$AY$214))</f>
      </c>
    </row>
    <row r="213" spans="1:25" x14ac:dyDescent="0.25">
      <c r="A213" s="2">
        <f>IF(208&gt;$Z$1,"",208)</f>
      </c>
      <c r="B213" s="28">
        <f>IF(208&gt;$Z$1,"",EDATE('Your debts'!$D$21,207))</f>
      </c>
      <c r="C213" s="29">
        <f>IF(208&gt;$Z$1,"",IF('Your debts'!$D$20="Avalanche",'Avalanche workings'!$BC$215,'Snowball workings'!$BC$215))</f>
      </c>
      <c r="D213" s="29">
        <f>IF(208&gt;$Z$1,"",IF('Your debts'!$D$20="Avalanche",'Avalanche workings'!$BA$215,'Snowball workings'!$BA$215))</f>
      </c>
      <c r="E213" s="29">
        <f>IF(208&gt;$Z$1,"",IF('Your debts'!$D$20="Avalanche",'Avalanche workings'!$BB$215,'Snowball workings'!$BB$215))</f>
      </c>
      <c r="F213" s="29">
        <f>IF(OR(208&gt;$Z$1,NOT(OR('Your debts'!$B$6&lt;&gt;"",N('Your debts'!$C$6)&gt;0))),"",IF('Your debts'!$D$20="Avalanche",'Avalanche workings'!$L$215,'Snowball workings'!$L$215)+IF('Your debts'!$D$20="Avalanche",'Avalanche workings'!$AF$215,'Snowball workings'!$AF$215))</f>
      </c>
      <c r="G213" s="30">
        <f>IF(OR(208&gt;$Z$1,NOT(OR('Your debts'!$B$6&lt;&gt;"",N('Your debts'!$C$6)&gt;0))),"",IF('Your debts'!$D$20="Avalanche",'Avalanche workings'!$AP$215,'Snowball workings'!$AP$215))</f>
      </c>
      <c r="H213" s="29">
        <f>IF(OR(208&gt;$Z$1,NOT(OR('Your debts'!$B$7&lt;&gt;"",N('Your debts'!$C$7)&gt;0))),"",IF('Your debts'!$D$20="Avalanche",'Avalanche workings'!$M$215,'Snowball workings'!$M$215)+IF('Your debts'!$D$20="Avalanche",'Avalanche workings'!$AG$215,'Snowball workings'!$AG$215))</f>
      </c>
      <c r="I213" s="30">
        <f>IF(OR(208&gt;$Z$1,NOT(OR('Your debts'!$B$7&lt;&gt;"",N('Your debts'!$C$7)&gt;0))),"",IF('Your debts'!$D$20="Avalanche",'Avalanche workings'!$AQ$215,'Snowball workings'!$AQ$215))</f>
      </c>
      <c r="J213" s="29">
        <f>IF(OR(208&gt;$Z$1,NOT(OR('Your debts'!$B$8&lt;&gt;"",N('Your debts'!$C$8)&gt;0))),"",IF('Your debts'!$D$20="Avalanche",'Avalanche workings'!$N$215,'Snowball workings'!$N$215)+IF('Your debts'!$D$20="Avalanche",'Avalanche workings'!$AH$215,'Snowball workings'!$AH$215))</f>
      </c>
      <c r="K213" s="30">
        <f>IF(OR(208&gt;$Z$1,NOT(OR('Your debts'!$B$8&lt;&gt;"",N('Your debts'!$C$8)&gt;0))),"",IF('Your debts'!$D$20="Avalanche",'Avalanche workings'!$AR$215,'Snowball workings'!$AR$215))</f>
      </c>
      <c r="L213" s="29">
        <f>IF(OR(208&gt;$Z$1,NOT(OR('Your debts'!$B$9&lt;&gt;"",N('Your debts'!$C$9)&gt;0))),"",IF('Your debts'!$D$20="Avalanche",'Avalanche workings'!$O$215,'Snowball workings'!$O$215)+IF('Your debts'!$D$20="Avalanche",'Avalanche workings'!$AI$215,'Snowball workings'!$AI$215))</f>
      </c>
      <c r="M213" s="30">
        <f>IF(OR(208&gt;$Z$1,NOT(OR('Your debts'!$B$9&lt;&gt;"",N('Your debts'!$C$9)&gt;0))),"",IF('Your debts'!$D$20="Avalanche",'Avalanche workings'!$AS$215,'Snowball workings'!$AS$215))</f>
      </c>
      <c r="N213" s="29">
        <f>IF(OR(208&gt;$Z$1,NOT(OR('Your debts'!$B$10&lt;&gt;"",N('Your debts'!$C$10)&gt;0))),"",IF('Your debts'!$D$20="Avalanche",'Avalanche workings'!$P$215,'Snowball workings'!$P$215)+IF('Your debts'!$D$20="Avalanche",'Avalanche workings'!$AJ$215,'Snowball workings'!$AJ$215))</f>
      </c>
      <c r="O213" s="30">
        <f>IF(OR(208&gt;$Z$1,NOT(OR('Your debts'!$B$10&lt;&gt;"",N('Your debts'!$C$10)&gt;0))),"",IF('Your debts'!$D$20="Avalanche",'Avalanche workings'!$AT$215,'Snowball workings'!$AT$215))</f>
      </c>
      <c r="P213" s="29">
        <f>IF(OR(208&gt;$Z$1,NOT(OR('Your debts'!$B$11&lt;&gt;"",N('Your debts'!$C$11)&gt;0))),"",IF('Your debts'!$D$20="Avalanche",'Avalanche workings'!$Q$215,'Snowball workings'!$Q$215)+IF('Your debts'!$D$20="Avalanche",'Avalanche workings'!$AK$215,'Snowball workings'!$AK$215))</f>
      </c>
      <c r="Q213" s="30">
        <f>IF(OR(208&gt;$Z$1,NOT(OR('Your debts'!$B$11&lt;&gt;"",N('Your debts'!$C$11)&gt;0))),"",IF('Your debts'!$D$20="Avalanche",'Avalanche workings'!$AU$215,'Snowball workings'!$AU$215))</f>
      </c>
      <c r="R213" s="29">
        <f>IF(OR(208&gt;$Z$1,NOT(OR('Your debts'!$B$12&lt;&gt;"",N('Your debts'!$C$12)&gt;0))),"",IF('Your debts'!$D$20="Avalanche",'Avalanche workings'!$R$215,'Snowball workings'!$R$215)+IF('Your debts'!$D$20="Avalanche",'Avalanche workings'!$AL$215,'Snowball workings'!$AL$215))</f>
      </c>
      <c r="S213" s="30">
        <f>IF(OR(208&gt;$Z$1,NOT(OR('Your debts'!$B$12&lt;&gt;"",N('Your debts'!$C$12)&gt;0))),"",IF('Your debts'!$D$20="Avalanche",'Avalanche workings'!$AV$215,'Snowball workings'!$AV$215))</f>
      </c>
      <c r="T213" s="29">
        <f>IF(OR(208&gt;$Z$1,NOT(OR('Your debts'!$B$13&lt;&gt;"",N('Your debts'!$C$13)&gt;0))),"",IF('Your debts'!$D$20="Avalanche",'Avalanche workings'!$S$215,'Snowball workings'!$S$215)+IF('Your debts'!$D$20="Avalanche",'Avalanche workings'!$AM$215,'Snowball workings'!$AM$215))</f>
      </c>
      <c r="U213" s="30">
        <f>IF(OR(208&gt;$Z$1,NOT(OR('Your debts'!$B$13&lt;&gt;"",N('Your debts'!$C$13)&gt;0))),"",IF('Your debts'!$D$20="Avalanche",'Avalanche workings'!$AW$215,'Snowball workings'!$AW$215))</f>
      </c>
      <c r="V213" s="29">
        <f>IF(OR(208&gt;$Z$1,NOT(OR('Your debts'!$B$14&lt;&gt;"",N('Your debts'!$C$14)&gt;0))),"",IF('Your debts'!$D$20="Avalanche",'Avalanche workings'!$T$215,'Snowball workings'!$T$215)+IF('Your debts'!$D$20="Avalanche",'Avalanche workings'!$AN$215,'Snowball workings'!$AN$215))</f>
      </c>
      <c r="W213" s="30">
        <f>IF(OR(208&gt;$Z$1,NOT(OR('Your debts'!$B$14&lt;&gt;"",N('Your debts'!$C$14)&gt;0))),"",IF('Your debts'!$D$20="Avalanche",'Avalanche workings'!$AX$215,'Snowball workings'!$AX$215))</f>
      </c>
      <c r="X213" s="29">
        <f>IF(OR(208&gt;$Z$1,NOT(OR('Your debts'!$B$15&lt;&gt;"",N('Your debts'!$C$15)&gt;0))),"",IF('Your debts'!$D$20="Avalanche",'Avalanche workings'!$U$215,'Snowball workings'!$U$215)+IF('Your debts'!$D$20="Avalanche",'Avalanche workings'!$AO$215,'Snowball workings'!$AO$215))</f>
      </c>
      <c r="Y213" s="30">
        <f>IF(OR(208&gt;$Z$1,NOT(OR('Your debts'!$B$15&lt;&gt;"",N('Your debts'!$C$15)&gt;0))),"",IF('Your debts'!$D$20="Avalanche",'Avalanche workings'!$AY$215,'Snowball workings'!$AY$215))</f>
      </c>
    </row>
    <row r="214" spans="1:25" x14ac:dyDescent="0.25">
      <c r="A214" s="2">
        <f>IF(209&gt;$Z$1,"",209)</f>
      </c>
      <c r="B214" s="28">
        <f>IF(209&gt;$Z$1,"",EDATE('Your debts'!$D$21,208))</f>
      </c>
      <c r="C214" s="29">
        <f>IF(209&gt;$Z$1,"",IF('Your debts'!$D$20="Avalanche",'Avalanche workings'!$BC$216,'Snowball workings'!$BC$216))</f>
      </c>
      <c r="D214" s="29">
        <f>IF(209&gt;$Z$1,"",IF('Your debts'!$D$20="Avalanche",'Avalanche workings'!$BA$216,'Snowball workings'!$BA$216))</f>
      </c>
      <c r="E214" s="29">
        <f>IF(209&gt;$Z$1,"",IF('Your debts'!$D$20="Avalanche",'Avalanche workings'!$BB$216,'Snowball workings'!$BB$216))</f>
      </c>
      <c r="F214" s="29">
        <f>IF(OR(209&gt;$Z$1,NOT(OR('Your debts'!$B$6&lt;&gt;"",N('Your debts'!$C$6)&gt;0))),"",IF('Your debts'!$D$20="Avalanche",'Avalanche workings'!$L$216,'Snowball workings'!$L$216)+IF('Your debts'!$D$20="Avalanche",'Avalanche workings'!$AF$216,'Snowball workings'!$AF$216))</f>
      </c>
      <c r="G214" s="30">
        <f>IF(OR(209&gt;$Z$1,NOT(OR('Your debts'!$B$6&lt;&gt;"",N('Your debts'!$C$6)&gt;0))),"",IF('Your debts'!$D$20="Avalanche",'Avalanche workings'!$AP$216,'Snowball workings'!$AP$216))</f>
      </c>
      <c r="H214" s="29">
        <f>IF(OR(209&gt;$Z$1,NOT(OR('Your debts'!$B$7&lt;&gt;"",N('Your debts'!$C$7)&gt;0))),"",IF('Your debts'!$D$20="Avalanche",'Avalanche workings'!$M$216,'Snowball workings'!$M$216)+IF('Your debts'!$D$20="Avalanche",'Avalanche workings'!$AG$216,'Snowball workings'!$AG$216))</f>
      </c>
      <c r="I214" s="30">
        <f>IF(OR(209&gt;$Z$1,NOT(OR('Your debts'!$B$7&lt;&gt;"",N('Your debts'!$C$7)&gt;0))),"",IF('Your debts'!$D$20="Avalanche",'Avalanche workings'!$AQ$216,'Snowball workings'!$AQ$216))</f>
      </c>
      <c r="J214" s="29">
        <f>IF(OR(209&gt;$Z$1,NOT(OR('Your debts'!$B$8&lt;&gt;"",N('Your debts'!$C$8)&gt;0))),"",IF('Your debts'!$D$20="Avalanche",'Avalanche workings'!$N$216,'Snowball workings'!$N$216)+IF('Your debts'!$D$20="Avalanche",'Avalanche workings'!$AH$216,'Snowball workings'!$AH$216))</f>
      </c>
      <c r="K214" s="30">
        <f>IF(OR(209&gt;$Z$1,NOT(OR('Your debts'!$B$8&lt;&gt;"",N('Your debts'!$C$8)&gt;0))),"",IF('Your debts'!$D$20="Avalanche",'Avalanche workings'!$AR$216,'Snowball workings'!$AR$216))</f>
      </c>
      <c r="L214" s="29">
        <f>IF(OR(209&gt;$Z$1,NOT(OR('Your debts'!$B$9&lt;&gt;"",N('Your debts'!$C$9)&gt;0))),"",IF('Your debts'!$D$20="Avalanche",'Avalanche workings'!$O$216,'Snowball workings'!$O$216)+IF('Your debts'!$D$20="Avalanche",'Avalanche workings'!$AI$216,'Snowball workings'!$AI$216))</f>
      </c>
      <c r="M214" s="30">
        <f>IF(OR(209&gt;$Z$1,NOT(OR('Your debts'!$B$9&lt;&gt;"",N('Your debts'!$C$9)&gt;0))),"",IF('Your debts'!$D$20="Avalanche",'Avalanche workings'!$AS$216,'Snowball workings'!$AS$216))</f>
      </c>
      <c r="N214" s="29">
        <f>IF(OR(209&gt;$Z$1,NOT(OR('Your debts'!$B$10&lt;&gt;"",N('Your debts'!$C$10)&gt;0))),"",IF('Your debts'!$D$20="Avalanche",'Avalanche workings'!$P$216,'Snowball workings'!$P$216)+IF('Your debts'!$D$20="Avalanche",'Avalanche workings'!$AJ$216,'Snowball workings'!$AJ$216))</f>
      </c>
      <c r="O214" s="30">
        <f>IF(OR(209&gt;$Z$1,NOT(OR('Your debts'!$B$10&lt;&gt;"",N('Your debts'!$C$10)&gt;0))),"",IF('Your debts'!$D$20="Avalanche",'Avalanche workings'!$AT$216,'Snowball workings'!$AT$216))</f>
      </c>
      <c r="P214" s="29">
        <f>IF(OR(209&gt;$Z$1,NOT(OR('Your debts'!$B$11&lt;&gt;"",N('Your debts'!$C$11)&gt;0))),"",IF('Your debts'!$D$20="Avalanche",'Avalanche workings'!$Q$216,'Snowball workings'!$Q$216)+IF('Your debts'!$D$20="Avalanche",'Avalanche workings'!$AK$216,'Snowball workings'!$AK$216))</f>
      </c>
      <c r="Q214" s="30">
        <f>IF(OR(209&gt;$Z$1,NOT(OR('Your debts'!$B$11&lt;&gt;"",N('Your debts'!$C$11)&gt;0))),"",IF('Your debts'!$D$20="Avalanche",'Avalanche workings'!$AU$216,'Snowball workings'!$AU$216))</f>
      </c>
      <c r="R214" s="29">
        <f>IF(OR(209&gt;$Z$1,NOT(OR('Your debts'!$B$12&lt;&gt;"",N('Your debts'!$C$12)&gt;0))),"",IF('Your debts'!$D$20="Avalanche",'Avalanche workings'!$R$216,'Snowball workings'!$R$216)+IF('Your debts'!$D$20="Avalanche",'Avalanche workings'!$AL$216,'Snowball workings'!$AL$216))</f>
      </c>
      <c r="S214" s="30">
        <f>IF(OR(209&gt;$Z$1,NOT(OR('Your debts'!$B$12&lt;&gt;"",N('Your debts'!$C$12)&gt;0))),"",IF('Your debts'!$D$20="Avalanche",'Avalanche workings'!$AV$216,'Snowball workings'!$AV$216))</f>
      </c>
      <c r="T214" s="29">
        <f>IF(OR(209&gt;$Z$1,NOT(OR('Your debts'!$B$13&lt;&gt;"",N('Your debts'!$C$13)&gt;0))),"",IF('Your debts'!$D$20="Avalanche",'Avalanche workings'!$S$216,'Snowball workings'!$S$216)+IF('Your debts'!$D$20="Avalanche",'Avalanche workings'!$AM$216,'Snowball workings'!$AM$216))</f>
      </c>
      <c r="U214" s="30">
        <f>IF(OR(209&gt;$Z$1,NOT(OR('Your debts'!$B$13&lt;&gt;"",N('Your debts'!$C$13)&gt;0))),"",IF('Your debts'!$D$20="Avalanche",'Avalanche workings'!$AW$216,'Snowball workings'!$AW$216))</f>
      </c>
      <c r="V214" s="29">
        <f>IF(OR(209&gt;$Z$1,NOT(OR('Your debts'!$B$14&lt;&gt;"",N('Your debts'!$C$14)&gt;0))),"",IF('Your debts'!$D$20="Avalanche",'Avalanche workings'!$T$216,'Snowball workings'!$T$216)+IF('Your debts'!$D$20="Avalanche",'Avalanche workings'!$AN$216,'Snowball workings'!$AN$216))</f>
      </c>
      <c r="W214" s="30">
        <f>IF(OR(209&gt;$Z$1,NOT(OR('Your debts'!$B$14&lt;&gt;"",N('Your debts'!$C$14)&gt;0))),"",IF('Your debts'!$D$20="Avalanche",'Avalanche workings'!$AX$216,'Snowball workings'!$AX$216))</f>
      </c>
      <c r="X214" s="29">
        <f>IF(OR(209&gt;$Z$1,NOT(OR('Your debts'!$B$15&lt;&gt;"",N('Your debts'!$C$15)&gt;0))),"",IF('Your debts'!$D$20="Avalanche",'Avalanche workings'!$U$216,'Snowball workings'!$U$216)+IF('Your debts'!$D$20="Avalanche",'Avalanche workings'!$AO$216,'Snowball workings'!$AO$216))</f>
      </c>
      <c r="Y214" s="30">
        <f>IF(OR(209&gt;$Z$1,NOT(OR('Your debts'!$B$15&lt;&gt;"",N('Your debts'!$C$15)&gt;0))),"",IF('Your debts'!$D$20="Avalanche",'Avalanche workings'!$AY$216,'Snowball workings'!$AY$216))</f>
      </c>
    </row>
    <row r="215" spans="1:25" x14ac:dyDescent="0.25">
      <c r="A215" s="2">
        <f>IF(210&gt;$Z$1,"",210)</f>
      </c>
      <c r="B215" s="28">
        <f>IF(210&gt;$Z$1,"",EDATE('Your debts'!$D$21,209))</f>
      </c>
      <c r="C215" s="29">
        <f>IF(210&gt;$Z$1,"",IF('Your debts'!$D$20="Avalanche",'Avalanche workings'!$BC$217,'Snowball workings'!$BC$217))</f>
      </c>
      <c r="D215" s="29">
        <f>IF(210&gt;$Z$1,"",IF('Your debts'!$D$20="Avalanche",'Avalanche workings'!$BA$217,'Snowball workings'!$BA$217))</f>
      </c>
      <c r="E215" s="29">
        <f>IF(210&gt;$Z$1,"",IF('Your debts'!$D$20="Avalanche",'Avalanche workings'!$BB$217,'Snowball workings'!$BB$217))</f>
      </c>
      <c r="F215" s="29">
        <f>IF(OR(210&gt;$Z$1,NOT(OR('Your debts'!$B$6&lt;&gt;"",N('Your debts'!$C$6)&gt;0))),"",IF('Your debts'!$D$20="Avalanche",'Avalanche workings'!$L$217,'Snowball workings'!$L$217)+IF('Your debts'!$D$20="Avalanche",'Avalanche workings'!$AF$217,'Snowball workings'!$AF$217))</f>
      </c>
      <c r="G215" s="30">
        <f>IF(OR(210&gt;$Z$1,NOT(OR('Your debts'!$B$6&lt;&gt;"",N('Your debts'!$C$6)&gt;0))),"",IF('Your debts'!$D$20="Avalanche",'Avalanche workings'!$AP$217,'Snowball workings'!$AP$217))</f>
      </c>
      <c r="H215" s="29">
        <f>IF(OR(210&gt;$Z$1,NOT(OR('Your debts'!$B$7&lt;&gt;"",N('Your debts'!$C$7)&gt;0))),"",IF('Your debts'!$D$20="Avalanche",'Avalanche workings'!$M$217,'Snowball workings'!$M$217)+IF('Your debts'!$D$20="Avalanche",'Avalanche workings'!$AG$217,'Snowball workings'!$AG$217))</f>
      </c>
      <c r="I215" s="30">
        <f>IF(OR(210&gt;$Z$1,NOT(OR('Your debts'!$B$7&lt;&gt;"",N('Your debts'!$C$7)&gt;0))),"",IF('Your debts'!$D$20="Avalanche",'Avalanche workings'!$AQ$217,'Snowball workings'!$AQ$217))</f>
      </c>
      <c r="J215" s="29">
        <f>IF(OR(210&gt;$Z$1,NOT(OR('Your debts'!$B$8&lt;&gt;"",N('Your debts'!$C$8)&gt;0))),"",IF('Your debts'!$D$20="Avalanche",'Avalanche workings'!$N$217,'Snowball workings'!$N$217)+IF('Your debts'!$D$20="Avalanche",'Avalanche workings'!$AH$217,'Snowball workings'!$AH$217))</f>
      </c>
      <c r="K215" s="30">
        <f>IF(OR(210&gt;$Z$1,NOT(OR('Your debts'!$B$8&lt;&gt;"",N('Your debts'!$C$8)&gt;0))),"",IF('Your debts'!$D$20="Avalanche",'Avalanche workings'!$AR$217,'Snowball workings'!$AR$217))</f>
      </c>
      <c r="L215" s="29">
        <f>IF(OR(210&gt;$Z$1,NOT(OR('Your debts'!$B$9&lt;&gt;"",N('Your debts'!$C$9)&gt;0))),"",IF('Your debts'!$D$20="Avalanche",'Avalanche workings'!$O$217,'Snowball workings'!$O$217)+IF('Your debts'!$D$20="Avalanche",'Avalanche workings'!$AI$217,'Snowball workings'!$AI$217))</f>
      </c>
      <c r="M215" s="30">
        <f>IF(OR(210&gt;$Z$1,NOT(OR('Your debts'!$B$9&lt;&gt;"",N('Your debts'!$C$9)&gt;0))),"",IF('Your debts'!$D$20="Avalanche",'Avalanche workings'!$AS$217,'Snowball workings'!$AS$217))</f>
      </c>
      <c r="N215" s="29">
        <f>IF(OR(210&gt;$Z$1,NOT(OR('Your debts'!$B$10&lt;&gt;"",N('Your debts'!$C$10)&gt;0))),"",IF('Your debts'!$D$20="Avalanche",'Avalanche workings'!$P$217,'Snowball workings'!$P$217)+IF('Your debts'!$D$20="Avalanche",'Avalanche workings'!$AJ$217,'Snowball workings'!$AJ$217))</f>
      </c>
      <c r="O215" s="30">
        <f>IF(OR(210&gt;$Z$1,NOT(OR('Your debts'!$B$10&lt;&gt;"",N('Your debts'!$C$10)&gt;0))),"",IF('Your debts'!$D$20="Avalanche",'Avalanche workings'!$AT$217,'Snowball workings'!$AT$217))</f>
      </c>
      <c r="P215" s="29">
        <f>IF(OR(210&gt;$Z$1,NOT(OR('Your debts'!$B$11&lt;&gt;"",N('Your debts'!$C$11)&gt;0))),"",IF('Your debts'!$D$20="Avalanche",'Avalanche workings'!$Q$217,'Snowball workings'!$Q$217)+IF('Your debts'!$D$20="Avalanche",'Avalanche workings'!$AK$217,'Snowball workings'!$AK$217))</f>
      </c>
      <c r="Q215" s="30">
        <f>IF(OR(210&gt;$Z$1,NOT(OR('Your debts'!$B$11&lt;&gt;"",N('Your debts'!$C$11)&gt;0))),"",IF('Your debts'!$D$20="Avalanche",'Avalanche workings'!$AU$217,'Snowball workings'!$AU$217))</f>
      </c>
      <c r="R215" s="29">
        <f>IF(OR(210&gt;$Z$1,NOT(OR('Your debts'!$B$12&lt;&gt;"",N('Your debts'!$C$12)&gt;0))),"",IF('Your debts'!$D$20="Avalanche",'Avalanche workings'!$R$217,'Snowball workings'!$R$217)+IF('Your debts'!$D$20="Avalanche",'Avalanche workings'!$AL$217,'Snowball workings'!$AL$217))</f>
      </c>
      <c r="S215" s="30">
        <f>IF(OR(210&gt;$Z$1,NOT(OR('Your debts'!$B$12&lt;&gt;"",N('Your debts'!$C$12)&gt;0))),"",IF('Your debts'!$D$20="Avalanche",'Avalanche workings'!$AV$217,'Snowball workings'!$AV$217))</f>
      </c>
      <c r="T215" s="29">
        <f>IF(OR(210&gt;$Z$1,NOT(OR('Your debts'!$B$13&lt;&gt;"",N('Your debts'!$C$13)&gt;0))),"",IF('Your debts'!$D$20="Avalanche",'Avalanche workings'!$S$217,'Snowball workings'!$S$217)+IF('Your debts'!$D$20="Avalanche",'Avalanche workings'!$AM$217,'Snowball workings'!$AM$217))</f>
      </c>
      <c r="U215" s="30">
        <f>IF(OR(210&gt;$Z$1,NOT(OR('Your debts'!$B$13&lt;&gt;"",N('Your debts'!$C$13)&gt;0))),"",IF('Your debts'!$D$20="Avalanche",'Avalanche workings'!$AW$217,'Snowball workings'!$AW$217))</f>
      </c>
      <c r="V215" s="29">
        <f>IF(OR(210&gt;$Z$1,NOT(OR('Your debts'!$B$14&lt;&gt;"",N('Your debts'!$C$14)&gt;0))),"",IF('Your debts'!$D$20="Avalanche",'Avalanche workings'!$T$217,'Snowball workings'!$T$217)+IF('Your debts'!$D$20="Avalanche",'Avalanche workings'!$AN$217,'Snowball workings'!$AN$217))</f>
      </c>
      <c r="W215" s="30">
        <f>IF(OR(210&gt;$Z$1,NOT(OR('Your debts'!$B$14&lt;&gt;"",N('Your debts'!$C$14)&gt;0))),"",IF('Your debts'!$D$20="Avalanche",'Avalanche workings'!$AX$217,'Snowball workings'!$AX$217))</f>
      </c>
      <c r="X215" s="29">
        <f>IF(OR(210&gt;$Z$1,NOT(OR('Your debts'!$B$15&lt;&gt;"",N('Your debts'!$C$15)&gt;0))),"",IF('Your debts'!$D$20="Avalanche",'Avalanche workings'!$U$217,'Snowball workings'!$U$217)+IF('Your debts'!$D$20="Avalanche",'Avalanche workings'!$AO$217,'Snowball workings'!$AO$217))</f>
      </c>
      <c r="Y215" s="30">
        <f>IF(OR(210&gt;$Z$1,NOT(OR('Your debts'!$B$15&lt;&gt;"",N('Your debts'!$C$15)&gt;0))),"",IF('Your debts'!$D$20="Avalanche",'Avalanche workings'!$AY$217,'Snowball workings'!$AY$217))</f>
      </c>
    </row>
    <row r="216" spans="1:25" x14ac:dyDescent="0.25">
      <c r="A216" s="2">
        <f>IF(211&gt;$Z$1,"",211)</f>
      </c>
      <c r="B216" s="28">
        <f>IF(211&gt;$Z$1,"",EDATE('Your debts'!$D$21,210))</f>
      </c>
      <c r="C216" s="29">
        <f>IF(211&gt;$Z$1,"",IF('Your debts'!$D$20="Avalanche",'Avalanche workings'!$BC$218,'Snowball workings'!$BC$218))</f>
      </c>
      <c r="D216" s="29">
        <f>IF(211&gt;$Z$1,"",IF('Your debts'!$D$20="Avalanche",'Avalanche workings'!$BA$218,'Snowball workings'!$BA$218))</f>
      </c>
      <c r="E216" s="29">
        <f>IF(211&gt;$Z$1,"",IF('Your debts'!$D$20="Avalanche",'Avalanche workings'!$BB$218,'Snowball workings'!$BB$218))</f>
      </c>
      <c r="F216" s="29">
        <f>IF(OR(211&gt;$Z$1,NOT(OR('Your debts'!$B$6&lt;&gt;"",N('Your debts'!$C$6)&gt;0))),"",IF('Your debts'!$D$20="Avalanche",'Avalanche workings'!$L$218,'Snowball workings'!$L$218)+IF('Your debts'!$D$20="Avalanche",'Avalanche workings'!$AF$218,'Snowball workings'!$AF$218))</f>
      </c>
      <c r="G216" s="30">
        <f>IF(OR(211&gt;$Z$1,NOT(OR('Your debts'!$B$6&lt;&gt;"",N('Your debts'!$C$6)&gt;0))),"",IF('Your debts'!$D$20="Avalanche",'Avalanche workings'!$AP$218,'Snowball workings'!$AP$218))</f>
      </c>
      <c r="H216" s="29">
        <f>IF(OR(211&gt;$Z$1,NOT(OR('Your debts'!$B$7&lt;&gt;"",N('Your debts'!$C$7)&gt;0))),"",IF('Your debts'!$D$20="Avalanche",'Avalanche workings'!$M$218,'Snowball workings'!$M$218)+IF('Your debts'!$D$20="Avalanche",'Avalanche workings'!$AG$218,'Snowball workings'!$AG$218))</f>
      </c>
      <c r="I216" s="30">
        <f>IF(OR(211&gt;$Z$1,NOT(OR('Your debts'!$B$7&lt;&gt;"",N('Your debts'!$C$7)&gt;0))),"",IF('Your debts'!$D$20="Avalanche",'Avalanche workings'!$AQ$218,'Snowball workings'!$AQ$218))</f>
      </c>
      <c r="J216" s="29">
        <f>IF(OR(211&gt;$Z$1,NOT(OR('Your debts'!$B$8&lt;&gt;"",N('Your debts'!$C$8)&gt;0))),"",IF('Your debts'!$D$20="Avalanche",'Avalanche workings'!$N$218,'Snowball workings'!$N$218)+IF('Your debts'!$D$20="Avalanche",'Avalanche workings'!$AH$218,'Snowball workings'!$AH$218))</f>
      </c>
      <c r="K216" s="30">
        <f>IF(OR(211&gt;$Z$1,NOT(OR('Your debts'!$B$8&lt;&gt;"",N('Your debts'!$C$8)&gt;0))),"",IF('Your debts'!$D$20="Avalanche",'Avalanche workings'!$AR$218,'Snowball workings'!$AR$218))</f>
      </c>
      <c r="L216" s="29">
        <f>IF(OR(211&gt;$Z$1,NOT(OR('Your debts'!$B$9&lt;&gt;"",N('Your debts'!$C$9)&gt;0))),"",IF('Your debts'!$D$20="Avalanche",'Avalanche workings'!$O$218,'Snowball workings'!$O$218)+IF('Your debts'!$D$20="Avalanche",'Avalanche workings'!$AI$218,'Snowball workings'!$AI$218))</f>
      </c>
      <c r="M216" s="30">
        <f>IF(OR(211&gt;$Z$1,NOT(OR('Your debts'!$B$9&lt;&gt;"",N('Your debts'!$C$9)&gt;0))),"",IF('Your debts'!$D$20="Avalanche",'Avalanche workings'!$AS$218,'Snowball workings'!$AS$218))</f>
      </c>
      <c r="N216" s="29">
        <f>IF(OR(211&gt;$Z$1,NOT(OR('Your debts'!$B$10&lt;&gt;"",N('Your debts'!$C$10)&gt;0))),"",IF('Your debts'!$D$20="Avalanche",'Avalanche workings'!$P$218,'Snowball workings'!$P$218)+IF('Your debts'!$D$20="Avalanche",'Avalanche workings'!$AJ$218,'Snowball workings'!$AJ$218))</f>
      </c>
      <c r="O216" s="30">
        <f>IF(OR(211&gt;$Z$1,NOT(OR('Your debts'!$B$10&lt;&gt;"",N('Your debts'!$C$10)&gt;0))),"",IF('Your debts'!$D$20="Avalanche",'Avalanche workings'!$AT$218,'Snowball workings'!$AT$218))</f>
      </c>
      <c r="P216" s="29">
        <f>IF(OR(211&gt;$Z$1,NOT(OR('Your debts'!$B$11&lt;&gt;"",N('Your debts'!$C$11)&gt;0))),"",IF('Your debts'!$D$20="Avalanche",'Avalanche workings'!$Q$218,'Snowball workings'!$Q$218)+IF('Your debts'!$D$20="Avalanche",'Avalanche workings'!$AK$218,'Snowball workings'!$AK$218))</f>
      </c>
      <c r="Q216" s="30">
        <f>IF(OR(211&gt;$Z$1,NOT(OR('Your debts'!$B$11&lt;&gt;"",N('Your debts'!$C$11)&gt;0))),"",IF('Your debts'!$D$20="Avalanche",'Avalanche workings'!$AU$218,'Snowball workings'!$AU$218))</f>
      </c>
      <c r="R216" s="29">
        <f>IF(OR(211&gt;$Z$1,NOT(OR('Your debts'!$B$12&lt;&gt;"",N('Your debts'!$C$12)&gt;0))),"",IF('Your debts'!$D$20="Avalanche",'Avalanche workings'!$R$218,'Snowball workings'!$R$218)+IF('Your debts'!$D$20="Avalanche",'Avalanche workings'!$AL$218,'Snowball workings'!$AL$218))</f>
      </c>
      <c r="S216" s="30">
        <f>IF(OR(211&gt;$Z$1,NOT(OR('Your debts'!$B$12&lt;&gt;"",N('Your debts'!$C$12)&gt;0))),"",IF('Your debts'!$D$20="Avalanche",'Avalanche workings'!$AV$218,'Snowball workings'!$AV$218))</f>
      </c>
      <c r="T216" s="29">
        <f>IF(OR(211&gt;$Z$1,NOT(OR('Your debts'!$B$13&lt;&gt;"",N('Your debts'!$C$13)&gt;0))),"",IF('Your debts'!$D$20="Avalanche",'Avalanche workings'!$S$218,'Snowball workings'!$S$218)+IF('Your debts'!$D$20="Avalanche",'Avalanche workings'!$AM$218,'Snowball workings'!$AM$218))</f>
      </c>
      <c r="U216" s="30">
        <f>IF(OR(211&gt;$Z$1,NOT(OR('Your debts'!$B$13&lt;&gt;"",N('Your debts'!$C$13)&gt;0))),"",IF('Your debts'!$D$20="Avalanche",'Avalanche workings'!$AW$218,'Snowball workings'!$AW$218))</f>
      </c>
      <c r="V216" s="29">
        <f>IF(OR(211&gt;$Z$1,NOT(OR('Your debts'!$B$14&lt;&gt;"",N('Your debts'!$C$14)&gt;0))),"",IF('Your debts'!$D$20="Avalanche",'Avalanche workings'!$T$218,'Snowball workings'!$T$218)+IF('Your debts'!$D$20="Avalanche",'Avalanche workings'!$AN$218,'Snowball workings'!$AN$218))</f>
      </c>
      <c r="W216" s="30">
        <f>IF(OR(211&gt;$Z$1,NOT(OR('Your debts'!$B$14&lt;&gt;"",N('Your debts'!$C$14)&gt;0))),"",IF('Your debts'!$D$20="Avalanche",'Avalanche workings'!$AX$218,'Snowball workings'!$AX$218))</f>
      </c>
      <c r="X216" s="29">
        <f>IF(OR(211&gt;$Z$1,NOT(OR('Your debts'!$B$15&lt;&gt;"",N('Your debts'!$C$15)&gt;0))),"",IF('Your debts'!$D$20="Avalanche",'Avalanche workings'!$U$218,'Snowball workings'!$U$218)+IF('Your debts'!$D$20="Avalanche",'Avalanche workings'!$AO$218,'Snowball workings'!$AO$218))</f>
      </c>
      <c r="Y216" s="30">
        <f>IF(OR(211&gt;$Z$1,NOT(OR('Your debts'!$B$15&lt;&gt;"",N('Your debts'!$C$15)&gt;0))),"",IF('Your debts'!$D$20="Avalanche",'Avalanche workings'!$AY$218,'Snowball workings'!$AY$218))</f>
      </c>
    </row>
    <row r="217" spans="1:25" x14ac:dyDescent="0.25">
      <c r="A217" s="2">
        <f>IF(212&gt;$Z$1,"",212)</f>
      </c>
      <c r="B217" s="28">
        <f>IF(212&gt;$Z$1,"",EDATE('Your debts'!$D$21,211))</f>
      </c>
      <c r="C217" s="29">
        <f>IF(212&gt;$Z$1,"",IF('Your debts'!$D$20="Avalanche",'Avalanche workings'!$BC$219,'Snowball workings'!$BC$219))</f>
      </c>
      <c r="D217" s="29">
        <f>IF(212&gt;$Z$1,"",IF('Your debts'!$D$20="Avalanche",'Avalanche workings'!$BA$219,'Snowball workings'!$BA$219))</f>
      </c>
      <c r="E217" s="29">
        <f>IF(212&gt;$Z$1,"",IF('Your debts'!$D$20="Avalanche",'Avalanche workings'!$BB$219,'Snowball workings'!$BB$219))</f>
      </c>
      <c r="F217" s="29">
        <f>IF(OR(212&gt;$Z$1,NOT(OR('Your debts'!$B$6&lt;&gt;"",N('Your debts'!$C$6)&gt;0))),"",IF('Your debts'!$D$20="Avalanche",'Avalanche workings'!$L$219,'Snowball workings'!$L$219)+IF('Your debts'!$D$20="Avalanche",'Avalanche workings'!$AF$219,'Snowball workings'!$AF$219))</f>
      </c>
      <c r="G217" s="30">
        <f>IF(OR(212&gt;$Z$1,NOT(OR('Your debts'!$B$6&lt;&gt;"",N('Your debts'!$C$6)&gt;0))),"",IF('Your debts'!$D$20="Avalanche",'Avalanche workings'!$AP$219,'Snowball workings'!$AP$219))</f>
      </c>
      <c r="H217" s="29">
        <f>IF(OR(212&gt;$Z$1,NOT(OR('Your debts'!$B$7&lt;&gt;"",N('Your debts'!$C$7)&gt;0))),"",IF('Your debts'!$D$20="Avalanche",'Avalanche workings'!$M$219,'Snowball workings'!$M$219)+IF('Your debts'!$D$20="Avalanche",'Avalanche workings'!$AG$219,'Snowball workings'!$AG$219))</f>
      </c>
      <c r="I217" s="30">
        <f>IF(OR(212&gt;$Z$1,NOT(OR('Your debts'!$B$7&lt;&gt;"",N('Your debts'!$C$7)&gt;0))),"",IF('Your debts'!$D$20="Avalanche",'Avalanche workings'!$AQ$219,'Snowball workings'!$AQ$219))</f>
      </c>
      <c r="J217" s="29">
        <f>IF(OR(212&gt;$Z$1,NOT(OR('Your debts'!$B$8&lt;&gt;"",N('Your debts'!$C$8)&gt;0))),"",IF('Your debts'!$D$20="Avalanche",'Avalanche workings'!$N$219,'Snowball workings'!$N$219)+IF('Your debts'!$D$20="Avalanche",'Avalanche workings'!$AH$219,'Snowball workings'!$AH$219))</f>
      </c>
      <c r="K217" s="30">
        <f>IF(OR(212&gt;$Z$1,NOT(OR('Your debts'!$B$8&lt;&gt;"",N('Your debts'!$C$8)&gt;0))),"",IF('Your debts'!$D$20="Avalanche",'Avalanche workings'!$AR$219,'Snowball workings'!$AR$219))</f>
      </c>
      <c r="L217" s="29">
        <f>IF(OR(212&gt;$Z$1,NOT(OR('Your debts'!$B$9&lt;&gt;"",N('Your debts'!$C$9)&gt;0))),"",IF('Your debts'!$D$20="Avalanche",'Avalanche workings'!$O$219,'Snowball workings'!$O$219)+IF('Your debts'!$D$20="Avalanche",'Avalanche workings'!$AI$219,'Snowball workings'!$AI$219))</f>
      </c>
      <c r="M217" s="30">
        <f>IF(OR(212&gt;$Z$1,NOT(OR('Your debts'!$B$9&lt;&gt;"",N('Your debts'!$C$9)&gt;0))),"",IF('Your debts'!$D$20="Avalanche",'Avalanche workings'!$AS$219,'Snowball workings'!$AS$219))</f>
      </c>
      <c r="N217" s="29">
        <f>IF(OR(212&gt;$Z$1,NOT(OR('Your debts'!$B$10&lt;&gt;"",N('Your debts'!$C$10)&gt;0))),"",IF('Your debts'!$D$20="Avalanche",'Avalanche workings'!$P$219,'Snowball workings'!$P$219)+IF('Your debts'!$D$20="Avalanche",'Avalanche workings'!$AJ$219,'Snowball workings'!$AJ$219))</f>
      </c>
      <c r="O217" s="30">
        <f>IF(OR(212&gt;$Z$1,NOT(OR('Your debts'!$B$10&lt;&gt;"",N('Your debts'!$C$10)&gt;0))),"",IF('Your debts'!$D$20="Avalanche",'Avalanche workings'!$AT$219,'Snowball workings'!$AT$219))</f>
      </c>
      <c r="P217" s="29">
        <f>IF(OR(212&gt;$Z$1,NOT(OR('Your debts'!$B$11&lt;&gt;"",N('Your debts'!$C$11)&gt;0))),"",IF('Your debts'!$D$20="Avalanche",'Avalanche workings'!$Q$219,'Snowball workings'!$Q$219)+IF('Your debts'!$D$20="Avalanche",'Avalanche workings'!$AK$219,'Snowball workings'!$AK$219))</f>
      </c>
      <c r="Q217" s="30">
        <f>IF(OR(212&gt;$Z$1,NOT(OR('Your debts'!$B$11&lt;&gt;"",N('Your debts'!$C$11)&gt;0))),"",IF('Your debts'!$D$20="Avalanche",'Avalanche workings'!$AU$219,'Snowball workings'!$AU$219))</f>
      </c>
      <c r="R217" s="29">
        <f>IF(OR(212&gt;$Z$1,NOT(OR('Your debts'!$B$12&lt;&gt;"",N('Your debts'!$C$12)&gt;0))),"",IF('Your debts'!$D$20="Avalanche",'Avalanche workings'!$R$219,'Snowball workings'!$R$219)+IF('Your debts'!$D$20="Avalanche",'Avalanche workings'!$AL$219,'Snowball workings'!$AL$219))</f>
      </c>
      <c r="S217" s="30">
        <f>IF(OR(212&gt;$Z$1,NOT(OR('Your debts'!$B$12&lt;&gt;"",N('Your debts'!$C$12)&gt;0))),"",IF('Your debts'!$D$20="Avalanche",'Avalanche workings'!$AV$219,'Snowball workings'!$AV$219))</f>
      </c>
      <c r="T217" s="29">
        <f>IF(OR(212&gt;$Z$1,NOT(OR('Your debts'!$B$13&lt;&gt;"",N('Your debts'!$C$13)&gt;0))),"",IF('Your debts'!$D$20="Avalanche",'Avalanche workings'!$S$219,'Snowball workings'!$S$219)+IF('Your debts'!$D$20="Avalanche",'Avalanche workings'!$AM$219,'Snowball workings'!$AM$219))</f>
      </c>
      <c r="U217" s="30">
        <f>IF(OR(212&gt;$Z$1,NOT(OR('Your debts'!$B$13&lt;&gt;"",N('Your debts'!$C$13)&gt;0))),"",IF('Your debts'!$D$20="Avalanche",'Avalanche workings'!$AW$219,'Snowball workings'!$AW$219))</f>
      </c>
      <c r="V217" s="29">
        <f>IF(OR(212&gt;$Z$1,NOT(OR('Your debts'!$B$14&lt;&gt;"",N('Your debts'!$C$14)&gt;0))),"",IF('Your debts'!$D$20="Avalanche",'Avalanche workings'!$T$219,'Snowball workings'!$T$219)+IF('Your debts'!$D$20="Avalanche",'Avalanche workings'!$AN$219,'Snowball workings'!$AN$219))</f>
      </c>
      <c r="W217" s="30">
        <f>IF(OR(212&gt;$Z$1,NOT(OR('Your debts'!$B$14&lt;&gt;"",N('Your debts'!$C$14)&gt;0))),"",IF('Your debts'!$D$20="Avalanche",'Avalanche workings'!$AX$219,'Snowball workings'!$AX$219))</f>
      </c>
      <c r="X217" s="29">
        <f>IF(OR(212&gt;$Z$1,NOT(OR('Your debts'!$B$15&lt;&gt;"",N('Your debts'!$C$15)&gt;0))),"",IF('Your debts'!$D$20="Avalanche",'Avalanche workings'!$U$219,'Snowball workings'!$U$219)+IF('Your debts'!$D$20="Avalanche",'Avalanche workings'!$AO$219,'Snowball workings'!$AO$219))</f>
      </c>
      <c r="Y217" s="30">
        <f>IF(OR(212&gt;$Z$1,NOT(OR('Your debts'!$B$15&lt;&gt;"",N('Your debts'!$C$15)&gt;0))),"",IF('Your debts'!$D$20="Avalanche",'Avalanche workings'!$AY$219,'Snowball workings'!$AY$219))</f>
      </c>
    </row>
    <row r="218" spans="1:25" x14ac:dyDescent="0.25">
      <c r="A218" s="2">
        <f>IF(213&gt;$Z$1,"",213)</f>
      </c>
      <c r="B218" s="28">
        <f>IF(213&gt;$Z$1,"",EDATE('Your debts'!$D$21,212))</f>
      </c>
      <c r="C218" s="29">
        <f>IF(213&gt;$Z$1,"",IF('Your debts'!$D$20="Avalanche",'Avalanche workings'!$BC$220,'Snowball workings'!$BC$220))</f>
      </c>
      <c r="D218" s="29">
        <f>IF(213&gt;$Z$1,"",IF('Your debts'!$D$20="Avalanche",'Avalanche workings'!$BA$220,'Snowball workings'!$BA$220))</f>
      </c>
      <c r="E218" s="29">
        <f>IF(213&gt;$Z$1,"",IF('Your debts'!$D$20="Avalanche",'Avalanche workings'!$BB$220,'Snowball workings'!$BB$220))</f>
      </c>
      <c r="F218" s="29">
        <f>IF(OR(213&gt;$Z$1,NOT(OR('Your debts'!$B$6&lt;&gt;"",N('Your debts'!$C$6)&gt;0))),"",IF('Your debts'!$D$20="Avalanche",'Avalanche workings'!$L$220,'Snowball workings'!$L$220)+IF('Your debts'!$D$20="Avalanche",'Avalanche workings'!$AF$220,'Snowball workings'!$AF$220))</f>
      </c>
      <c r="G218" s="30">
        <f>IF(OR(213&gt;$Z$1,NOT(OR('Your debts'!$B$6&lt;&gt;"",N('Your debts'!$C$6)&gt;0))),"",IF('Your debts'!$D$20="Avalanche",'Avalanche workings'!$AP$220,'Snowball workings'!$AP$220))</f>
      </c>
      <c r="H218" s="29">
        <f>IF(OR(213&gt;$Z$1,NOT(OR('Your debts'!$B$7&lt;&gt;"",N('Your debts'!$C$7)&gt;0))),"",IF('Your debts'!$D$20="Avalanche",'Avalanche workings'!$M$220,'Snowball workings'!$M$220)+IF('Your debts'!$D$20="Avalanche",'Avalanche workings'!$AG$220,'Snowball workings'!$AG$220))</f>
      </c>
      <c r="I218" s="30">
        <f>IF(OR(213&gt;$Z$1,NOT(OR('Your debts'!$B$7&lt;&gt;"",N('Your debts'!$C$7)&gt;0))),"",IF('Your debts'!$D$20="Avalanche",'Avalanche workings'!$AQ$220,'Snowball workings'!$AQ$220))</f>
      </c>
      <c r="J218" s="29">
        <f>IF(OR(213&gt;$Z$1,NOT(OR('Your debts'!$B$8&lt;&gt;"",N('Your debts'!$C$8)&gt;0))),"",IF('Your debts'!$D$20="Avalanche",'Avalanche workings'!$N$220,'Snowball workings'!$N$220)+IF('Your debts'!$D$20="Avalanche",'Avalanche workings'!$AH$220,'Snowball workings'!$AH$220))</f>
      </c>
      <c r="K218" s="30">
        <f>IF(OR(213&gt;$Z$1,NOT(OR('Your debts'!$B$8&lt;&gt;"",N('Your debts'!$C$8)&gt;0))),"",IF('Your debts'!$D$20="Avalanche",'Avalanche workings'!$AR$220,'Snowball workings'!$AR$220))</f>
      </c>
      <c r="L218" s="29">
        <f>IF(OR(213&gt;$Z$1,NOT(OR('Your debts'!$B$9&lt;&gt;"",N('Your debts'!$C$9)&gt;0))),"",IF('Your debts'!$D$20="Avalanche",'Avalanche workings'!$O$220,'Snowball workings'!$O$220)+IF('Your debts'!$D$20="Avalanche",'Avalanche workings'!$AI$220,'Snowball workings'!$AI$220))</f>
      </c>
      <c r="M218" s="30">
        <f>IF(OR(213&gt;$Z$1,NOT(OR('Your debts'!$B$9&lt;&gt;"",N('Your debts'!$C$9)&gt;0))),"",IF('Your debts'!$D$20="Avalanche",'Avalanche workings'!$AS$220,'Snowball workings'!$AS$220))</f>
      </c>
      <c r="N218" s="29">
        <f>IF(OR(213&gt;$Z$1,NOT(OR('Your debts'!$B$10&lt;&gt;"",N('Your debts'!$C$10)&gt;0))),"",IF('Your debts'!$D$20="Avalanche",'Avalanche workings'!$P$220,'Snowball workings'!$P$220)+IF('Your debts'!$D$20="Avalanche",'Avalanche workings'!$AJ$220,'Snowball workings'!$AJ$220))</f>
      </c>
      <c r="O218" s="30">
        <f>IF(OR(213&gt;$Z$1,NOT(OR('Your debts'!$B$10&lt;&gt;"",N('Your debts'!$C$10)&gt;0))),"",IF('Your debts'!$D$20="Avalanche",'Avalanche workings'!$AT$220,'Snowball workings'!$AT$220))</f>
      </c>
      <c r="P218" s="29">
        <f>IF(OR(213&gt;$Z$1,NOT(OR('Your debts'!$B$11&lt;&gt;"",N('Your debts'!$C$11)&gt;0))),"",IF('Your debts'!$D$20="Avalanche",'Avalanche workings'!$Q$220,'Snowball workings'!$Q$220)+IF('Your debts'!$D$20="Avalanche",'Avalanche workings'!$AK$220,'Snowball workings'!$AK$220))</f>
      </c>
      <c r="Q218" s="30">
        <f>IF(OR(213&gt;$Z$1,NOT(OR('Your debts'!$B$11&lt;&gt;"",N('Your debts'!$C$11)&gt;0))),"",IF('Your debts'!$D$20="Avalanche",'Avalanche workings'!$AU$220,'Snowball workings'!$AU$220))</f>
      </c>
      <c r="R218" s="29">
        <f>IF(OR(213&gt;$Z$1,NOT(OR('Your debts'!$B$12&lt;&gt;"",N('Your debts'!$C$12)&gt;0))),"",IF('Your debts'!$D$20="Avalanche",'Avalanche workings'!$R$220,'Snowball workings'!$R$220)+IF('Your debts'!$D$20="Avalanche",'Avalanche workings'!$AL$220,'Snowball workings'!$AL$220))</f>
      </c>
      <c r="S218" s="30">
        <f>IF(OR(213&gt;$Z$1,NOT(OR('Your debts'!$B$12&lt;&gt;"",N('Your debts'!$C$12)&gt;0))),"",IF('Your debts'!$D$20="Avalanche",'Avalanche workings'!$AV$220,'Snowball workings'!$AV$220))</f>
      </c>
      <c r="T218" s="29">
        <f>IF(OR(213&gt;$Z$1,NOT(OR('Your debts'!$B$13&lt;&gt;"",N('Your debts'!$C$13)&gt;0))),"",IF('Your debts'!$D$20="Avalanche",'Avalanche workings'!$S$220,'Snowball workings'!$S$220)+IF('Your debts'!$D$20="Avalanche",'Avalanche workings'!$AM$220,'Snowball workings'!$AM$220))</f>
      </c>
      <c r="U218" s="30">
        <f>IF(OR(213&gt;$Z$1,NOT(OR('Your debts'!$B$13&lt;&gt;"",N('Your debts'!$C$13)&gt;0))),"",IF('Your debts'!$D$20="Avalanche",'Avalanche workings'!$AW$220,'Snowball workings'!$AW$220))</f>
      </c>
      <c r="V218" s="29">
        <f>IF(OR(213&gt;$Z$1,NOT(OR('Your debts'!$B$14&lt;&gt;"",N('Your debts'!$C$14)&gt;0))),"",IF('Your debts'!$D$20="Avalanche",'Avalanche workings'!$T$220,'Snowball workings'!$T$220)+IF('Your debts'!$D$20="Avalanche",'Avalanche workings'!$AN$220,'Snowball workings'!$AN$220))</f>
      </c>
      <c r="W218" s="30">
        <f>IF(OR(213&gt;$Z$1,NOT(OR('Your debts'!$B$14&lt;&gt;"",N('Your debts'!$C$14)&gt;0))),"",IF('Your debts'!$D$20="Avalanche",'Avalanche workings'!$AX$220,'Snowball workings'!$AX$220))</f>
      </c>
      <c r="X218" s="29">
        <f>IF(OR(213&gt;$Z$1,NOT(OR('Your debts'!$B$15&lt;&gt;"",N('Your debts'!$C$15)&gt;0))),"",IF('Your debts'!$D$20="Avalanche",'Avalanche workings'!$U$220,'Snowball workings'!$U$220)+IF('Your debts'!$D$20="Avalanche",'Avalanche workings'!$AO$220,'Snowball workings'!$AO$220))</f>
      </c>
      <c r="Y218" s="30">
        <f>IF(OR(213&gt;$Z$1,NOT(OR('Your debts'!$B$15&lt;&gt;"",N('Your debts'!$C$15)&gt;0))),"",IF('Your debts'!$D$20="Avalanche",'Avalanche workings'!$AY$220,'Snowball workings'!$AY$220))</f>
      </c>
    </row>
    <row r="219" spans="1:25" x14ac:dyDescent="0.25">
      <c r="A219" s="2">
        <f>IF(214&gt;$Z$1,"",214)</f>
      </c>
      <c r="B219" s="28">
        <f>IF(214&gt;$Z$1,"",EDATE('Your debts'!$D$21,213))</f>
      </c>
      <c r="C219" s="29">
        <f>IF(214&gt;$Z$1,"",IF('Your debts'!$D$20="Avalanche",'Avalanche workings'!$BC$221,'Snowball workings'!$BC$221))</f>
      </c>
      <c r="D219" s="29">
        <f>IF(214&gt;$Z$1,"",IF('Your debts'!$D$20="Avalanche",'Avalanche workings'!$BA$221,'Snowball workings'!$BA$221))</f>
      </c>
      <c r="E219" s="29">
        <f>IF(214&gt;$Z$1,"",IF('Your debts'!$D$20="Avalanche",'Avalanche workings'!$BB$221,'Snowball workings'!$BB$221))</f>
      </c>
      <c r="F219" s="29">
        <f>IF(OR(214&gt;$Z$1,NOT(OR('Your debts'!$B$6&lt;&gt;"",N('Your debts'!$C$6)&gt;0))),"",IF('Your debts'!$D$20="Avalanche",'Avalanche workings'!$L$221,'Snowball workings'!$L$221)+IF('Your debts'!$D$20="Avalanche",'Avalanche workings'!$AF$221,'Snowball workings'!$AF$221))</f>
      </c>
      <c r="G219" s="30">
        <f>IF(OR(214&gt;$Z$1,NOT(OR('Your debts'!$B$6&lt;&gt;"",N('Your debts'!$C$6)&gt;0))),"",IF('Your debts'!$D$20="Avalanche",'Avalanche workings'!$AP$221,'Snowball workings'!$AP$221))</f>
      </c>
      <c r="H219" s="29">
        <f>IF(OR(214&gt;$Z$1,NOT(OR('Your debts'!$B$7&lt;&gt;"",N('Your debts'!$C$7)&gt;0))),"",IF('Your debts'!$D$20="Avalanche",'Avalanche workings'!$M$221,'Snowball workings'!$M$221)+IF('Your debts'!$D$20="Avalanche",'Avalanche workings'!$AG$221,'Snowball workings'!$AG$221))</f>
      </c>
      <c r="I219" s="30">
        <f>IF(OR(214&gt;$Z$1,NOT(OR('Your debts'!$B$7&lt;&gt;"",N('Your debts'!$C$7)&gt;0))),"",IF('Your debts'!$D$20="Avalanche",'Avalanche workings'!$AQ$221,'Snowball workings'!$AQ$221))</f>
      </c>
      <c r="J219" s="29">
        <f>IF(OR(214&gt;$Z$1,NOT(OR('Your debts'!$B$8&lt;&gt;"",N('Your debts'!$C$8)&gt;0))),"",IF('Your debts'!$D$20="Avalanche",'Avalanche workings'!$N$221,'Snowball workings'!$N$221)+IF('Your debts'!$D$20="Avalanche",'Avalanche workings'!$AH$221,'Snowball workings'!$AH$221))</f>
      </c>
      <c r="K219" s="30">
        <f>IF(OR(214&gt;$Z$1,NOT(OR('Your debts'!$B$8&lt;&gt;"",N('Your debts'!$C$8)&gt;0))),"",IF('Your debts'!$D$20="Avalanche",'Avalanche workings'!$AR$221,'Snowball workings'!$AR$221))</f>
      </c>
      <c r="L219" s="29">
        <f>IF(OR(214&gt;$Z$1,NOT(OR('Your debts'!$B$9&lt;&gt;"",N('Your debts'!$C$9)&gt;0))),"",IF('Your debts'!$D$20="Avalanche",'Avalanche workings'!$O$221,'Snowball workings'!$O$221)+IF('Your debts'!$D$20="Avalanche",'Avalanche workings'!$AI$221,'Snowball workings'!$AI$221))</f>
      </c>
      <c r="M219" s="30">
        <f>IF(OR(214&gt;$Z$1,NOT(OR('Your debts'!$B$9&lt;&gt;"",N('Your debts'!$C$9)&gt;0))),"",IF('Your debts'!$D$20="Avalanche",'Avalanche workings'!$AS$221,'Snowball workings'!$AS$221))</f>
      </c>
      <c r="N219" s="29">
        <f>IF(OR(214&gt;$Z$1,NOT(OR('Your debts'!$B$10&lt;&gt;"",N('Your debts'!$C$10)&gt;0))),"",IF('Your debts'!$D$20="Avalanche",'Avalanche workings'!$P$221,'Snowball workings'!$P$221)+IF('Your debts'!$D$20="Avalanche",'Avalanche workings'!$AJ$221,'Snowball workings'!$AJ$221))</f>
      </c>
      <c r="O219" s="30">
        <f>IF(OR(214&gt;$Z$1,NOT(OR('Your debts'!$B$10&lt;&gt;"",N('Your debts'!$C$10)&gt;0))),"",IF('Your debts'!$D$20="Avalanche",'Avalanche workings'!$AT$221,'Snowball workings'!$AT$221))</f>
      </c>
      <c r="P219" s="29">
        <f>IF(OR(214&gt;$Z$1,NOT(OR('Your debts'!$B$11&lt;&gt;"",N('Your debts'!$C$11)&gt;0))),"",IF('Your debts'!$D$20="Avalanche",'Avalanche workings'!$Q$221,'Snowball workings'!$Q$221)+IF('Your debts'!$D$20="Avalanche",'Avalanche workings'!$AK$221,'Snowball workings'!$AK$221))</f>
      </c>
      <c r="Q219" s="30">
        <f>IF(OR(214&gt;$Z$1,NOT(OR('Your debts'!$B$11&lt;&gt;"",N('Your debts'!$C$11)&gt;0))),"",IF('Your debts'!$D$20="Avalanche",'Avalanche workings'!$AU$221,'Snowball workings'!$AU$221))</f>
      </c>
      <c r="R219" s="29">
        <f>IF(OR(214&gt;$Z$1,NOT(OR('Your debts'!$B$12&lt;&gt;"",N('Your debts'!$C$12)&gt;0))),"",IF('Your debts'!$D$20="Avalanche",'Avalanche workings'!$R$221,'Snowball workings'!$R$221)+IF('Your debts'!$D$20="Avalanche",'Avalanche workings'!$AL$221,'Snowball workings'!$AL$221))</f>
      </c>
      <c r="S219" s="30">
        <f>IF(OR(214&gt;$Z$1,NOT(OR('Your debts'!$B$12&lt;&gt;"",N('Your debts'!$C$12)&gt;0))),"",IF('Your debts'!$D$20="Avalanche",'Avalanche workings'!$AV$221,'Snowball workings'!$AV$221))</f>
      </c>
      <c r="T219" s="29">
        <f>IF(OR(214&gt;$Z$1,NOT(OR('Your debts'!$B$13&lt;&gt;"",N('Your debts'!$C$13)&gt;0))),"",IF('Your debts'!$D$20="Avalanche",'Avalanche workings'!$S$221,'Snowball workings'!$S$221)+IF('Your debts'!$D$20="Avalanche",'Avalanche workings'!$AM$221,'Snowball workings'!$AM$221))</f>
      </c>
      <c r="U219" s="30">
        <f>IF(OR(214&gt;$Z$1,NOT(OR('Your debts'!$B$13&lt;&gt;"",N('Your debts'!$C$13)&gt;0))),"",IF('Your debts'!$D$20="Avalanche",'Avalanche workings'!$AW$221,'Snowball workings'!$AW$221))</f>
      </c>
      <c r="V219" s="29">
        <f>IF(OR(214&gt;$Z$1,NOT(OR('Your debts'!$B$14&lt;&gt;"",N('Your debts'!$C$14)&gt;0))),"",IF('Your debts'!$D$20="Avalanche",'Avalanche workings'!$T$221,'Snowball workings'!$T$221)+IF('Your debts'!$D$20="Avalanche",'Avalanche workings'!$AN$221,'Snowball workings'!$AN$221))</f>
      </c>
      <c r="W219" s="30">
        <f>IF(OR(214&gt;$Z$1,NOT(OR('Your debts'!$B$14&lt;&gt;"",N('Your debts'!$C$14)&gt;0))),"",IF('Your debts'!$D$20="Avalanche",'Avalanche workings'!$AX$221,'Snowball workings'!$AX$221))</f>
      </c>
      <c r="X219" s="29">
        <f>IF(OR(214&gt;$Z$1,NOT(OR('Your debts'!$B$15&lt;&gt;"",N('Your debts'!$C$15)&gt;0))),"",IF('Your debts'!$D$20="Avalanche",'Avalanche workings'!$U$221,'Snowball workings'!$U$221)+IF('Your debts'!$D$20="Avalanche",'Avalanche workings'!$AO$221,'Snowball workings'!$AO$221))</f>
      </c>
      <c r="Y219" s="30">
        <f>IF(OR(214&gt;$Z$1,NOT(OR('Your debts'!$B$15&lt;&gt;"",N('Your debts'!$C$15)&gt;0))),"",IF('Your debts'!$D$20="Avalanche",'Avalanche workings'!$AY$221,'Snowball workings'!$AY$221))</f>
      </c>
    </row>
    <row r="220" spans="1:25" x14ac:dyDescent="0.25">
      <c r="A220" s="2">
        <f>IF(215&gt;$Z$1,"",215)</f>
      </c>
      <c r="B220" s="28">
        <f>IF(215&gt;$Z$1,"",EDATE('Your debts'!$D$21,214))</f>
      </c>
      <c r="C220" s="29">
        <f>IF(215&gt;$Z$1,"",IF('Your debts'!$D$20="Avalanche",'Avalanche workings'!$BC$222,'Snowball workings'!$BC$222))</f>
      </c>
      <c r="D220" s="29">
        <f>IF(215&gt;$Z$1,"",IF('Your debts'!$D$20="Avalanche",'Avalanche workings'!$BA$222,'Snowball workings'!$BA$222))</f>
      </c>
      <c r="E220" s="29">
        <f>IF(215&gt;$Z$1,"",IF('Your debts'!$D$20="Avalanche",'Avalanche workings'!$BB$222,'Snowball workings'!$BB$222))</f>
      </c>
      <c r="F220" s="29">
        <f>IF(OR(215&gt;$Z$1,NOT(OR('Your debts'!$B$6&lt;&gt;"",N('Your debts'!$C$6)&gt;0))),"",IF('Your debts'!$D$20="Avalanche",'Avalanche workings'!$L$222,'Snowball workings'!$L$222)+IF('Your debts'!$D$20="Avalanche",'Avalanche workings'!$AF$222,'Snowball workings'!$AF$222))</f>
      </c>
      <c r="G220" s="30">
        <f>IF(OR(215&gt;$Z$1,NOT(OR('Your debts'!$B$6&lt;&gt;"",N('Your debts'!$C$6)&gt;0))),"",IF('Your debts'!$D$20="Avalanche",'Avalanche workings'!$AP$222,'Snowball workings'!$AP$222))</f>
      </c>
      <c r="H220" s="29">
        <f>IF(OR(215&gt;$Z$1,NOT(OR('Your debts'!$B$7&lt;&gt;"",N('Your debts'!$C$7)&gt;0))),"",IF('Your debts'!$D$20="Avalanche",'Avalanche workings'!$M$222,'Snowball workings'!$M$222)+IF('Your debts'!$D$20="Avalanche",'Avalanche workings'!$AG$222,'Snowball workings'!$AG$222))</f>
      </c>
      <c r="I220" s="30">
        <f>IF(OR(215&gt;$Z$1,NOT(OR('Your debts'!$B$7&lt;&gt;"",N('Your debts'!$C$7)&gt;0))),"",IF('Your debts'!$D$20="Avalanche",'Avalanche workings'!$AQ$222,'Snowball workings'!$AQ$222))</f>
      </c>
      <c r="J220" s="29">
        <f>IF(OR(215&gt;$Z$1,NOT(OR('Your debts'!$B$8&lt;&gt;"",N('Your debts'!$C$8)&gt;0))),"",IF('Your debts'!$D$20="Avalanche",'Avalanche workings'!$N$222,'Snowball workings'!$N$222)+IF('Your debts'!$D$20="Avalanche",'Avalanche workings'!$AH$222,'Snowball workings'!$AH$222))</f>
      </c>
      <c r="K220" s="30">
        <f>IF(OR(215&gt;$Z$1,NOT(OR('Your debts'!$B$8&lt;&gt;"",N('Your debts'!$C$8)&gt;0))),"",IF('Your debts'!$D$20="Avalanche",'Avalanche workings'!$AR$222,'Snowball workings'!$AR$222))</f>
      </c>
      <c r="L220" s="29">
        <f>IF(OR(215&gt;$Z$1,NOT(OR('Your debts'!$B$9&lt;&gt;"",N('Your debts'!$C$9)&gt;0))),"",IF('Your debts'!$D$20="Avalanche",'Avalanche workings'!$O$222,'Snowball workings'!$O$222)+IF('Your debts'!$D$20="Avalanche",'Avalanche workings'!$AI$222,'Snowball workings'!$AI$222))</f>
      </c>
      <c r="M220" s="30">
        <f>IF(OR(215&gt;$Z$1,NOT(OR('Your debts'!$B$9&lt;&gt;"",N('Your debts'!$C$9)&gt;0))),"",IF('Your debts'!$D$20="Avalanche",'Avalanche workings'!$AS$222,'Snowball workings'!$AS$222))</f>
      </c>
      <c r="N220" s="29">
        <f>IF(OR(215&gt;$Z$1,NOT(OR('Your debts'!$B$10&lt;&gt;"",N('Your debts'!$C$10)&gt;0))),"",IF('Your debts'!$D$20="Avalanche",'Avalanche workings'!$P$222,'Snowball workings'!$P$222)+IF('Your debts'!$D$20="Avalanche",'Avalanche workings'!$AJ$222,'Snowball workings'!$AJ$222))</f>
      </c>
      <c r="O220" s="30">
        <f>IF(OR(215&gt;$Z$1,NOT(OR('Your debts'!$B$10&lt;&gt;"",N('Your debts'!$C$10)&gt;0))),"",IF('Your debts'!$D$20="Avalanche",'Avalanche workings'!$AT$222,'Snowball workings'!$AT$222))</f>
      </c>
      <c r="P220" s="29">
        <f>IF(OR(215&gt;$Z$1,NOT(OR('Your debts'!$B$11&lt;&gt;"",N('Your debts'!$C$11)&gt;0))),"",IF('Your debts'!$D$20="Avalanche",'Avalanche workings'!$Q$222,'Snowball workings'!$Q$222)+IF('Your debts'!$D$20="Avalanche",'Avalanche workings'!$AK$222,'Snowball workings'!$AK$222))</f>
      </c>
      <c r="Q220" s="30">
        <f>IF(OR(215&gt;$Z$1,NOT(OR('Your debts'!$B$11&lt;&gt;"",N('Your debts'!$C$11)&gt;0))),"",IF('Your debts'!$D$20="Avalanche",'Avalanche workings'!$AU$222,'Snowball workings'!$AU$222))</f>
      </c>
      <c r="R220" s="29">
        <f>IF(OR(215&gt;$Z$1,NOT(OR('Your debts'!$B$12&lt;&gt;"",N('Your debts'!$C$12)&gt;0))),"",IF('Your debts'!$D$20="Avalanche",'Avalanche workings'!$R$222,'Snowball workings'!$R$222)+IF('Your debts'!$D$20="Avalanche",'Avalanche workings'!$AL$222,'Snowball workings'!$AL$222))</f>
      </c>
      <c r="S220" s="30">
        <f>IF(OR(215&gt;$Z$1,NOT(OR('Your debts'!$B$12&lt;&gt;"",N('Your debts'!$C$12)&gt;0))),"",IF('Your debts'!$D$20="Avalanche",'Avalanche workings'!$AV$222,'Snowball workings'!$AV$222))</f>
      </c>
      <c r="T220" s="29">
        <f>IF(OR(215&gt;$Z$1,NOT(OR('Your debts'!$B$13&lt;&gt;"",N('Your debts'!$C$13)&gt;0))),"",IF('Your debts'!$D$20="Avalanche",'Avalanche workings'!$S$222,'Snowball workings'!$S$222)+IF('Your debts'!$D$20="Avalanche",'Avalanche workings'!$AM$222,'Snowball workings'!$AM$222))</f>
      </c>
      <c r="U220" s="30">
        <f>IF(OR(215&gt;$Z$1,NOT(OR('Your debts'!$B$13&lt;&gt;"",N('Your debts'!$C$13)&gt;0))),"",IF('Your debts'!$D$20="Avalanche",'Avalanche workings'!$AW$222,'Snowball workings'!$AW$222))</f>
      </c>
      <c r="V220" s="29">
        <f>IF(OR(215&gt;$Z$1,NOT(OR('Your debts'!$B$14&lt;&gt;"",N('Your debts'!$C$14)&gt;0))),"",IF('Your debts'!$D$20="Avalanche",'Avalanche workings'!$T$222,'Snowball workings'!$T$222)+IF('Your debts'!$D$20="Avalanche",'Avalanche workings'!$AN$222,'Snowball workings'!$AN$222))</f>
      </c>
      <c r="W220" s="30">
        <f>IF(OR(215&gt;$Z$1,NOT(OR('Your debts'!$B$14&lt;&gt;"",N('Your debts'!$C$14)&gt;0))),"",IF('Your debts'!$D$20="Avalanche",'Avalanche workings'!$AX$222,'Snowball workings'!$AX$222))</f>
      </c>
      <c r="X220" s="29">
        <f>IF(OR(215&gt;$Z$1,NOT(OR('Your debts'!$B$15&lt;&gt;"",N('Your debts'!$C$15)&gt;0))),"",IF('Your debts'!$D$20="Avalanche",'Avalanche workings'!$U$222,'Snowball workings'!$U$222)+IF('Your debts'!$D$20="Avalanche",'Avalanche workings'!$AO$222,'Snowball workings'!$AO$222))</f>
      </c>
      <c r="Y220" s="30">
        <f>IF(OR(215&gt;$Z$1,NOT(OR('Your debts'!$B$15&lt;&gt;"",N('Your debts'!$C$15)&gt;0))),"",IF('Your debts'!$D$20="Avalanche",'Avalanche workings'!$AY$222,'Snowball workings'!$AY$222))</f>
      </c>
    </row>
    <row r="221" spans="1:25" x14ac:dyDescent="0.25">
      <c r="A221" s="2">
        <f>IF(216&gt;$Z$1,"",216)</f>
      </c>
      <c r="B221" s="28">
        <f>IF(216&gt;$Z$1,"",EDATE('Your debts'!$D$21,215))</f>
      </c>
      <c r="C221" s="29">
        <f>IF(216&gt;$Z$1,"",IF('Your debts'!$D$20="Avalanche",'Avalanche workings'!$BC$223,'Snowball workings'!$BC$223))</f>
      </c>
      <c r="D221" s="29">
        <f>IF(216&gt;$Z$1,"",IF('Your debts'!$D$20="Avalanche",'Avalanche workings'!$BA$223,'Snowball workings'!$BA$223))</f>
      </c>
      <c r="E221" s="29">
        <f>IF(216&gt;$Z$1,"",IF('Your debts'!$D$20="Avalanche",'Avalanche workings'!$BB$223,'Snowball workings'!$BB$223))</f>
      </c>
      <c r="F221" s="29">
        <f>IF(OR(216&gt;$Z$1,NOT(OR('Your debts'!$B$6&lt;&gt;"",N('Your debts'!$C$6)&gt;0))),"",IF('Your debts'!$D$20="Avalanche",'Avalanche workings'!$L$223,'Snowball workings'!$L$223)+IF('Your debts'!$D$20="Avalanche",'Avalanche workings'!$AF$223,'Snowball workings'!$AF$223))</f>
      </c>
      <c r="G221" s="30">
        <f>IF(OR(216&gt;$Z$1,NOT(OR('Your debts'!$B$6&lt;&gt;"",N('Your debts'!$C$6)&gt;0))),"",IF('Your debts'!$D$20="Avalanche",'Avalanche workings'!$AP$223,'Snowball workings'!$AP$223))</f>
      </c>
      <c r="H221" s="29">
        <f>IF(OR(216&gt;$Z$1,NOT(OR('Your debts'!$B$7&lt;&gt;"",N('Your debts'!$C$7)&gt;0))),"",IF('Your debts'!$D$20="Avalanche",'Avalanche workings'!$M$223,'Snowball workings'!$M$223)+IF('Your debts'!$D$20="Avalanche",'Avalanche workings'!$AG$223,'Snowball workings'!$AG$223))</f>
      </c>
      <c r="I221" s="30">
        <f>IF(OR(216&gt;$Z$1,NOT(OR('Your debts'!$B$7&lt;&gt;"",N('Your debts'!$C$7)&gt;0))),"",IF('Your debts'!$D$20="Avalanche",'Avalanche workings'!$AQ$223,'Snowball workings'!$AQ$223))</f>
      </c>
      <c r="J221" s="29">
        <f>IF(OR(216&gt;$Z$1,NOT(OR('Your debts'!$B$8&lt;&gt;"",N('Your debts'!$C$8)&gt;0))),"",IF('Your debts'!$D$20="Avalanche",'Avalanche workings'!$N$223,'Snowball workings'!$N$223)+IF('Your debts'!$D$20="Avalanche",'Avalanche workings'!$AH$223,'Snowball workings'!$AH$223))</f>
      </c>
      <c r="K221" s="30">
        <f>IF(OR(216&gt;$Z$1,NOT(OR('Your debts'!$B$8&lt;&gt;"",N('Your debts'!$C$8)&gt;0))),"",IF('Your debts'!$D$20="Avalanche",'Avalanche workings'!$AR$223,'Snowball workings'!$AR$223))</f>
      </c>
      <c r="L221" s="29">
        <f>IF(OR(216&gt;$Z$1,NOT(OR('Your debts'!$B$9&lt;&gt;"",N('Your debts'!$C$9)&gt;0))),"",IF('Your debts'!$D$20="Avalanche",'Avalanche workings'!$O$223,'Snowball workings'!$O$223)+IF('Your debts'!$D$20="Avalanche",'Avalanche workings'!$AI$223,'Snowball workings'!$AI$223))</f>
      </c>
      <c r="M221" s="30">
        <f>IF(OR(216&gt;$Z$1,NOT(OR('Your debts'!$B$9&lt;&gt;"",N('Your debts'!$C$9)&gt;0))),"",IF('Your debts'!$D$20="Avalanche",'Avalanche workings'!$AS$223,'Snowball workings'!$AS$223))</f>
      </c>
      <c r="N221" s="29">
        <f>IF(OR(216&gt;$Z$1,NOT(OR('Your debts'!$B$10&lt;&gt;"",N('Your debts'!$C$10)&gt;0))),"",IF('Your debts'!$D$20="Avalanche",'Avalanche workings'!$P$223,'Snowball workings'!$P$223)+IF('Your debts'!$D$20="Avalanche",'Avalanche workings'!$AJ$223,'Snowball workings'!$AJ$223))</f>
      </c>
      <c r="O221" s="30">
        <f>IF(OR(216&gt;$Z$1,NOT(OR('Your debts'!$B$10&lt;&gt;"",N('Your debts'!$C$10)&gt;0))),"",IF('Your debts'!$D$20="Avalanche",'Avalanche workings'!$AT$223,'Snowball workings'!$AT$223))</f>
      </c>
      <c r="P221" s="29">
        <f>IF(OR(216&gt;$Z$1,NOT(OR('Your debts'!$B$11&lt;&gt;"",N('Your debts'!$C$11)&gt;0))),"",IF('Your debts'!$D$20="Avalanche",'Avalanche workings'!$Q$223,'Snowball workings'!$Q$223)+IF('Your debts'!$D$20="Avalanche",'Avalanche workings'!$AK$223,'Snowball workings'!$AK$223))</f>
      </c>
      <c r="Q221" s="30">
        <f>IF(OR(216&gt;$Z$1,NOT(OR('Your debts'!$B$11&lt;&gt;"",N('Your debts'!$C$11)&gt;0))),"",IF('Your debts'!$D$20="Avalanche",'Avalanche workings'!$AU$223,'Snowball workings'!$AU$223))</f>
      </c>
      <c r="R221" s="29">
        <f>IF(OR(216&gt;$Z$1,NOT(OR('Your debts'!$B$12&lt;&gt;"",N('Your debts'!$C$12)&gt;0))),"",IF('Your debts'!$D$20="Avalanche",'Avalanche workings'!$R$223,'Snowball workings'!$R$223)+IF('Your debts'!$D$20="Avalanche",'Avalanche workings'!$AL$223,'Snowball workings'!$AL$223))</f>
      </c>
      <c r="S221" s="30">
        <f>IF(OR(216&gt;$Z$1,NOT(OR('Your debts'!$B$12&lt;&gt;"",N('Your debts'!$C$12)&gt;0))),"",IF('Your debts'!$D$20="Avalanche",'Avalanche workings'!$AV$223,'Snowball workings'!$AV$223))</f>
      </c>
      <c r="T221" s="29">
        <f>IF(OR(216&gt;$Z$1,NOT(OR('Your debts'!$B$13&lt;&gt;"",N('Your debts'!$C$13)&gt;0))),"",IF('Your debts'!$D$20="Avalanche",'Avalanche workings'!$S$223,'Snowball workings'!$S$223)+IF('Your debts'!$D$20="Avalanche",'Avalanche workings'!$AM$223,'Snowball workings'!$AM$223))</f>
      </c>
      <c r="U221" s="30">
        <f>IF(OR(216&gt;$Z$1,NOT(OR('Your debts'!$B$13&lt;&gt;"",N('Your debts'!$C$13)&gt;0))),"",IF('Your debts'!$D$20="Avalanche",'Avalanche workings'!$AW$223,'Snowball workings'!$AW$223))</f>
      </c>
      <c r="V221" s="29">
        <f>IF(OR(216&gt;$Z$1,NOT(OR('Your debts'!$B$14&lt;&gt;"",N('Your debts'!$C$14)&gt;0))),"",IF('Your debts'!$D$20="Avalanche",'Avalanche workings'!$T$223,'Snowball workings'!$T$223)+IF('Your debts'!$D$20="Avalanche",'Avalanche workings'!$AN$223,'Snowball workings'!$AN$223))</f>
      </c>
      <c r="W221" s="30">
        <f>IF(OR(216&gt;$Z$1,NOT(OR('Your debts'!$B$14&lt;&gt;"",N('Your debts'!$C$14)&gt;0))),"",IF('Your debts'!$D$20="Avalanche",'Avalanche workings'!$AX$223,'Snowball workings'!$AX$223))</f>
      </c>
      <c r="X221" s="29">
        <f>IF(OR(216&gt;$Z$1,NOT(OR('Your debts'!$B$15&lt;&gt;"",N('Your debts'!$C$15)&gt;0))),"",IF('Your debts'!$D$20="Avalanche",'Avalanche workings'!$U$223,'Snowball workings'!$U$223)+IF('Your debts'!$D$20="Avalanche",'Avalanche workings'!$AO$223,'Snowball workings'!$AO$223))</f>
      </c>
      <c r="Y221" s="30">
        <f>IF(OR(216&gt;$Z$1,NOT(OR('Your debts'!$B$15&lt;&gt;"",N('Your debts'!$C$15)&gt;0))),"",IF('Your debts'!$D$20="Avalanche",'Avalanche workings'!$AY$223,'Snowball workings'!$AY$223))</f>
      </c>
    </row>
    <row r="222" spans="1:25" x14ac:dyDescent="0.25">
      <c r="A222" s="2">
        <f>IF(217&gt;$Z$1,"",217)</f>
      </c>
      <c r="B222" s="28">
        <f>IF(217&gt;$Z$1,"",EDATE('Your debts'!$D$21,216))</f>
      </c>
      <c r="C222" s="29">
        <f>IF(217&gt;$Z$1,"",IF('Your debts'!$D$20="Avalanche",'Avalanche workings'!$BC$224,'Snowball workings'!$BC$224))</f>
      </c>
      <c r="D222" s="29">
        <f>IF(217&gt;$Z$1,"",IF('Your debts'!$D$20="Avalanche",'Avalanche workings'!$BA$224,'Snowball workings'!$BA$224))</f>
      </c>
      <c r="E222" s="29">
        <f>IF(217&gt;$Z$1,"",IF('Your debts'!$D$20="Avalanche",'Avalanche workings'!$BB$224,'Snowball workings'!$BB$224))</f>
      </c>
      <c r="F222" s="29">
        <f>IF(OR(217&gt;$Z$1,NOT(OR('Your debts'!$B$6&lt;&gt;"",N('Your debts'!$C$6)&gt;0))),"",IF('Your debts'!$D$20="Avalanche",'Avalanche workings'!$L$224,'Snowball workings'!$L$224)+IF('Your debts'!$D$20="Avalanche",'Avalanche workings'!$AF$224,'Snowball workings'!$AF$224))</f>
      </c>
      <c r="G222" s="30">
        <f>IF(OR(217&gt;$Z$1,NOT(OR('Your debts'!$B$6&lt;&gt;"",N('Your debts'!$C$6)&gt;0))),"",IF('Your debts'!$D$20="Avalanche",'Avalanche workings'!$AP$224,'Snowball workings'!$AP$224))</f>
      </c>
      <c r="H222" s="29">
        <f>IF(OR(217&gt;$Z$1,NOT(OR('Your debts'!$B$7&lt;&gt;"",N('Your debts'!$C$7)&gt;0))),"",IF('Your debts'!$D$20="Avalanche",'Avalanche workings'!$M$224,'Snowball workings'!$M$224)+IF('Your debts'!$D$20="Avalanche",'Avalanche workings'!$AG$224,'Snowball workings'!$AG$224))</f>
      </c>
      <c r="I222" s="30">
        <f>IF(OR(217&gt;$Z$1,NOT(OR('Your debts'!$B$7&lt;&gt;"",N('Your debts'!$C$7)&gt;0))),"",IF('Your debts'!$D$20="Avalanche",'Avalanche workings'!$AQ$224,'Snowball workings'!$AQ$224))</f>
      </c>
      <c r="J222" s="29">
        <f>IF(OR(217&gt;$Z$1,NOT(OR('Your debts'!$B$8&lt;&gt;"",N('Your debts'!$C$8)&gt;0))),"",IF('Your debts'!$D$20="Avalanche",'Avalanche workings'!$N$224,'Snowball workings'!$N$224)+IF('Your debts'!$D$20="Avalanche",'Avalanche workings'!$AH$224,'Snowball workings'!$AH$224))</f>
      </c>
      <c r="K222" s="30">
        <f>IF(OR(217&gt;$Z$1,NOT(OR('Your debts'!$B$8&lt;&gt;"",N('Your debts'!$C$8)&gt;0))),"",IF('Your debts'!$D$20="Avalanche",'Avalanche workings'!$AR$224,'Snowball workings'!$AR$224))</f>
      </c>
      <c r="L222" s="29">
        <f>IF(OR(217&gt;$Z$1,NOT(OR('Your debts'!$B$9&lt;&gt;"",N('Your debts'!$C$9)&gt;0))),"",IF('Your debts'!$D$20="Avalanche",'Avalanche workings'!$O$224,'Snowball workings'!$O$224)+IF('Your debts'!$D$20="Avalanche",'Avalanche workings'!$AI$224,'Snowball workings'!$AI$224))</f>
      </c>
      <c r="M222" s="30">
        <f>IF(OR(217&gt;$Z$1,NOT(OR('Your debts'!$B$9&lt;&gt;"",N('Your debts'!$C$9)&gt;0))),"",IF('Your debts'!$D$20="Avalanche",'Avalanche workings'!$AS$224,'Snowball workings'!$AS$224))</f>
      </c>
      <c r="N222" s="29">
        <f>IF(OR(217&gt;$Z$1,NOT(OR('Your debts'!$B$10&lt;&gt;"",N('Your debts'!$C$10)&gt;0))),"",IF('Your debts'!$D$20="Avalanche",'Avalanche workings'!$P$224,'Snowball workings'!$P$224)+IF('Your debts'!$D$20="Avalanche",'Avalanche workings'!$AJ$224,'Snowball workings'!$AJ$224))</f>
      </c>
      <c r="O222" s="30">
        <f>IF(OR(217&gt;$Z$1,NOT(OR('Your debts'!$B$10&lt;&gt;"",N('Your debts'!$C$10)&gt;0))),"",IF('Your debts'!$D$20="Avalanche",'Avalanche workings'!$AT$224,'Snowball workings'!$AT$224))</f>
      </c>
      <c r="P222" s="29">
        <f>IF(OR(217&gt;$Z$1,NOT(OR('Your debts'!$B$11&lt;&gt;"",N('Your debts'!$C$11)&gt;0))),"",IF('Your debts'!$D$20="Avalanche",'Avalanche workings'!$Q$224,'Snowball workings'!$Q$224)+IF('Your debts'!$D$20="Avalanche",'Avalanche workings'!$AK$224,'Snowball workings'!$AK$224))</f>
      </c>
      <c r="Q222" s="30">
        <f>IF(OR(217&gt;$Z$1,NOT(OR('Your debts'!$B$11&lt;&gt;"",N('Your debts'!$C$11)&gt;0))),"",IF('Your debts'!$D$20="Avalanche",'Avalanche workings'!$AU$224,'Snowball workings'!$AU$224))</f>
      </c>
      <c r="R222" s="29">
        <f>IF(OR(217&gt;$Z$1,NOT(OR('Your debts'!$B$12&lt;&gt;"",N('Your debts'!$C$12)&gt;0))),"",IF('Your debts'!$D$20="Avalanche",'Avalanche workings'!$R$224,'Snowball workings'!$R$224)+IF('Your debts'!$D$20="Avalanche",'Avalanche workings'!$AL$224,'Snowball workings'!$AL$224))</f>
      </c>
      <c r="S222" s="30">
        <f>IF(OR(217&gt;$Z$1,NOT(OR('Your debts'!$B$12&lt;&gt;"",N('Your debts'!$C$12)&gt;0))),"",IF('Your debts'!$D$20="Avalanche",'Avalanche workings'!$AV$224,'Snowball workings'!$AV$224))</f>
      </c>
      <c r="T222" s="29">
        <f>IF(OR(217&gt;$Z$1,NOT(OR('Your debts'!$B$13&lt;&gt;"",N('Your debts'!$C$13)&gt;0))),"",IF('Your debts'!$D$20="Avalanche",'Avalanche workings'!$S$224,'Snowball workings'!$S$224)+IF('Your debts'!$D$20="Avalanche",'Avalanche workings'!$AM$224,'Snowball workings'!$AM$224))</f>
      </c>
      <c r="U222" s="30">
        <f>IF(OR(217&gt;$Z$1,NOT(OR('Your debts'!$B$13&lt;&gt;"",N('Your debts'!$C$13)&gt;0))),"",IF('Your debts'!$D$20="Avalanche",'Avalanche workings'!$AW$224,'Snowball workings'!$AW$224))</f>
      </c>
      <c r="V222" s="29">
        <f>IF(OR(217&gt;$Z$1,NOT(OR('Your debts'!$B$14&lt;&gt;"",N('Your debts'!$C$14)&gt;0))),"",IF('Your debts'!$D$20="Avalanche",'Avalanche workings'!$T$224,'Snowball workings'!$T$224)+IF('Your debts'!$D$20="Avalanche",'Avalanche workings'!$AN$224,'Snowball workings'!$AN$224))</f>
      </c>
      <c r="W222" s="30">
        <f>IF(OR(217&gt;$Z$1,NOT(OR('Your debts'!$B$14&lt;&gt;"",N('Your debts'!$C$14)&gt;0))),"",IF('Your debts'!$D$20="Avalanche",'Avalanche workings'!$AX$224,'Snowball workings'!$AX$224))</f>
      </c>
      <c r="X222" s="29">
        <f>IF(OR(217&gt;$Z$1,NOT(OR('Your debts'!$B$15&lt;&gt;"",N('Your debts'!$C$15)&gt;0))),"",IF('Your debts'!$D$20="Avalanche",'Avalanche workings'!$U$224,'Snowball workings'!$U$224)+IF('Your debts'!$D$20="Avalanche",'Avalanche workings'!$AO$224,'Snowball workings'!$AO$224))</f>
      </c>
      <c r="Y222" s="30">
        <f>IF(OR(217&gt;$Z$1,NOT(OR('Your debts'!$B$15&lt;&gt;"",N('Your debts'!$C$15)&gt;0))),"",IF('Your debts'!$D$20="Avalanche",'Avalanche workings'!$AY$224,'Snowball workings'!$AY$224))</f>
      </c>
    </row>
    <row r="223" spans="1:25" x14ac:dyDescent="0.25">
      <c r="A223" s="2">
        <f>IF(218&gt;$Z$1,"",218)</f>
      </c>
      <c r="B223" s="28">
        <f>IF(218&gt;$Z$1,"",EDATE('Your debts'!$D$21,217))</f>
      </c>
      <c r="C223" s="29">
        <f>IF(218&gt;$Z$1,"",IF('Your debts'!$D$20="Avalanche",'Avalanche workings'!$BC$225,'Snowball workings'!$BC$225))</f>
      </c>
      <c r="D223" s="29">
        <f>IF(218&gt;$Z$1,"",IF('Your debts'!$D$20="Avalanche",'Avalanche workings'!$BA$225,'Snowball workings'!$BA$225))</f>
      </c>
      <c r="E223" s="29">
        <f>IF(218&gt;$Z$1,"",IF('Your debts'!$D$20="Avalanche",'Avalanche workings'!$BB$225,'Snowball workings'!$BB$225))</f>
      </c>
      <c r="F223" s="29">
        <f>IF(OR(218&gt;$Z$1,NOT(OR('Your debts'!$B$6&lt;&gt;"",N('Your debts'!$C$6)&gt;0))),"",IF('Your debts'!$D$20="Avalanche",'Avalanche workings'!$L$225,'Snowball workings'!$L$225)+IF('Your debts'!$D$20="Avalanche",'Avalanche workings'!$AF$225,'Snowball workings'!$AF$225))</f>
      </c>
      <c r="G223" s="30">
        <f>IF(OR(218&gt;$Z$1,NOT(OR('Your debts'!$B$6&lt;&gt;"",N('Your debts'!$C$6)&gt;0))),"",IF('Your debts'!$D$20="Avalanche",'Avalanche workings'!$AP$225,'Snowball workings'!$AP$225))</f>
      </c>
      <c r="H223" s="29">
        <f>IF(OR(218&gt;$Z$1,NOT(OR('Your debts'!$B$7&lt;&gt;"",N('Your debts'!$C$7)&gt;0))),"",IF('Your debts'!$D$20="Avalanche",'Avalanche workings'!$M$225,'Snowball workings'!$M$225)+IF('Your debts'!$D$20="Avalanche",'Avalanche workings'!$AG$225,'Snowball workings'!$AG$225))</f>
      </c>
      <c r="I223" s="30">
        <f>IF(OR(218&gt;$Z$1,NOT(OR('Your debts'!$B$7&lt;&gt;"",N('Your debts'!$C$7)&gt;0))),"",IF('Your debts'!$D$20="Avalanche",'Avalanche workings'!$AQ$225,'Snowball workings'!$AQ$225))</f>
      </c>
      <c r="J223" s="29">
        <f>IF(OR(218&gt;$Z$1,NOT(OR('Your debts'!$B$8&lt;&gt;"",N('Your debts'!$C$8)&gt;0))),"",IF('Your debts'!$D$20="Avalanche",'Avalanche workings'!$N$225,'Snowball workings'!$N$225)+IF('Your debts'!$D$20="Avalanche",'Avalanche workings'!$AH$225,'Snowball workings'!$AH$225))</f>
      </c>
      <c r="K223" s="30">
        <f>IF(OR(218&gt;$Z$1,NOT(OR('Your debts'!$B$8&lt;&gt;"",N('Your debts'!$C$8)&gt;0))),"",IF('Your debts'!$D$20="Avalanche",'Avalanche workings'!$AR$225,'Snowball workings'!$AR$225))</f>
      </c>
      <c r="L223" s="29">
        <f>IF(OR(218&gt;$Z$1,NOT(OR('Your debts'!$B$9&lt;&gt;"",N('Your debts'!$C$9)&gt;0))),"",IF('Your debts'!$D$20="Avalanche",'Avalanche workings'!$O$225,'Snowball workings'!$O$225)+IF('Your debts'!$D$20="Avalanche",'Avalanche workings'!$AI$225,'Snowball workings'!$AI$225))</f>
      </c>
      <c r="M223" s="30">
        <f>IF(OR(218&gt;$Z$1,NOT(OR('Your debts'!$B$9&lt;&gt;"",N('Your debts'!$C$9)&gt;0))),"",IF('Your debts'!$D$20="Avalanche",'Avalanche workings'!$AS$225,'Snowball workings'!$AS$225))</f>
      </c>
      <c r="N223" s="29">
        <f>IF(OR(218&gt;$Z$1,NOT(OR('Your debts'!$B$10&lt;&gt;"",N('Your debts'!$C$10)&gt;0))),"",IF('Your debts'!$D$20="Avalanche",'Avalanche workings'!$P$225,'Snowball workings'!$P$225)+IF('Your debts'!$D$20="Avalanche",'Avalanche workings'!$AJ$225,'Snowball workings'!$AJ$225))</f>
      </c>
      <c r="O223" s="30">
        <f>IF(OR(218&gt;$Z$1,NOT(OR('Your debts'!$B$10&lt;&gt;"",N('Your debts'!$C$10)&gt;0))),"",IF('Your debts'!$D$20="Avalanche",'Avalanche workings'!$AT$225,'Snowball workings'!$AT$225))</f>
      </c>
      <c r="P223" s="29">
        <f>IF(OR(218&gt;$Z$1,NOT(OR('Your debts'!$B$11&lt;&gt;"",N('Your debts'!$C$11)&gt;0))),"",IF('Your debts'!$D$20="Avalanche",'Avalanche workings'!$Q$225,'Snowball workings'!$Q$225)+IF('Your debts'!$D$20="Avalanche",'Avalanche workings'!$AK$225,'Snowball workings'!$AK$225))</f>
      </c>
      <c r="Q223" s="30">
        <f>IF(OR(218&gt;$Z$1,NOT(OR('Your debts'!$B$11&lt;&gt;"",N('Your debts'!$C$11)&gt;0))),"",IF('Your debts'!$D$20="Avalanche",'Avalanche workings'!$AU$225,'Snowball workings'!$AU$225))</f>
      </c>
      <c r="R223" s="29">
        <f>IF(OR(218&gt;$Z$1,NOT(OR('Your debts'!$B$12&lt;&gt;"",N('Your debts'!$C$12)&gt;0))),"",IF('Your debts'!$D$20="Avalanche",'Avalanche workings'!$R$225,'Snowball workings'!$R$225)+IF('Your debts'!$D$20="Avalanche",'Avalanche workings'!$AL$225,'Snowball workings'!$AL$225))</f>
      </c>
      <c r="S223" s="30">
        <f>IF(OR(218&gt;$Z$1,NOT(OR('Your debts'!$B$12&lt;&gt;"",N('Your debts'!$C$12)&gt;0))),"",IF('Your debts'!$D$20="Avalanche",'Avalanche workings'!$AV$225,'Snowball workings'!$AV$225))</f>
      </c>
      <c r="T223" s="29">
        <f>IF(OR(218&gt;$Z$1,NOT(OR('Your debts'!$B$13&lt;&gt;"",N('Your debts'!$C$13)&gt;0))),"",IF('Your debts'!$D$20="Avalanche",'Avalanche workings'!$S$225,'Snowball workings'!$S$225)+IF('Your debts'!$D$20="Avalanche",'Avalanche workings'!$AM$225,'Snowball workings'!$AM$225))</f>
      </c>
      <c r="U223" s="30">
        <f>IF(OR(218&gt;$Z$1,NOT(OR('Your debts'!$B$13&lt;&gt;"",N('Your debts'!$C$13)&gt;0))),"",IF('Your debts'!$D$20="Avalanche",'Avalanche workings'!$AW$225,'Snowball workings'!$AW$225))</f>
      </c>
      <c r="V223" s="29">
        <f>IF(OR(218&gt;$Z$1,NOT(OR('Your debts'!$B$14&lt;&gt;"",N('Your debts'!$C$14)&gt;0))),"",IF('Your debts'!$D$20="Avalanche",'Avalanche workings'!$T$225,'Snowball workings'!$T$225)+IF('Your debts'!$D$20="Avalanche",'Avalanche workings'!$AN$225,'Snowball workings'!$AN$225))</f>
      </c>
      <c r="W223" s="30">
        <f>IF(OR(218&gt;$Z$1,NOT(OR('Your debts'!$B$14&lt;&gt;"",N('Your debts'!$C$14)&gt;0))),"",IF('Your debts'!$D$20="Avalanche",'Avalanche workings'!$AX$225,'Snowball workings'!$AX$225))</f>
      </c>
      <c r="X223" s="29">
        <f>IF(OR(218&gt;$Z$1,NOT(OR('Your debts'!$B$15&lt;&gt;"",N('Your debts'!$C$15)&gt;0))),"",IF('Your debts'!$D$20="Avalanche",'Avalanche workings'!$U$225,'Snowball workings'!$U$225)+IF('Your debts'!$D$20="Avalanche",'Avalanche workings'!$AO$225,'Snowball workings'!$AO$225))</f>
      </c>
      <c r="Y223" s="30">
        <f>IF(OR(218&gt;$Z$1,NOT(OR('Your debts'!$B$15&lt;&gt;"",N('Your debts'!$C$15)&gt;0))),"",IF('Your debts'!$D$20="Avalanche",'Avalanche workings'!$AY$225,'Snowball workings'!$AY$225))</f>
      </c>
    </row>
    <row r="224" spans="1:25" x14ac:dyDescent="0.25">
      <c r="A224" s="2">
        <f>IF(219&gt;$Z$1,"",219)</f>
      </c>
      <c r="B224" s="28">
        <f>IF(219&gt;$Z$1,"",EDATE('Your debts'!$D$21,218))</f>
      </c>
      <c r="C224" s="29">
        <f>IF(219&gt;$Z$1,"",IF('Your debts'!$D$20="Avalanche",'Avalanche workings'!$BC$226,'Snowball workings'!$BC$226))</f>
      </c>
      <c r="D224" s="29">
        <f>IF(219&gt;$Z$1,"",IF('Your debts'!$D$20="Avalanche",'Avalanche workings'!$BA$226,'Snowball workings'!$BA$226))</f>
      </c>
      <c r="E224" s="29">
        <f>IF(219&gt;$Z$1,"",IF('Your debts'!$D$20="Avalanche",'Avalanche workings'!$BB$226,'Snowball workings'!$BB$226))</f>
      </c>
      <c r="F224" s="29">
        <f>IF(OR(219&gt;$Z$1,NOT(OR('Your debts'!$B$6&lt;&gt;"",N('Your debts'!$C$6)&gt;0))),"",IF('Your debts'!$D$20="Avalanche",'Avalanche workings'!$L$226,'Snowball workings'!$L$226)+IF('Your debts'!$D$20="Avalanche",'Avalanche workings'!$AF$226,'Snowball workings'!$AF$226))</f>
      </c>
      <c r="G224" s="30">
        <f>IF(OR(219&gt;$Z$1,NOT(OR('Your debts'!$B$6&lt;&gt;"",N('Your debts'!$C$6)&gt;0))),"",IF('Your debts'!$D$20="Avalanche",'Avalanche workings'!$AP$226,'Snowball workings'!$AP$226))</f>
      </c>
      <c r="H224" s="29">
        <f>IF(OR(219&gt;$Z$1,NOT(OR('Your debts'!$B$7&lt;&gt;"",N('Your debts'!$C$7)&gt;0))),"",IF('Your debts'!$D$20="Avalanche",'Avalanche workings'!$M$226,'Snowball workings'!$M$226)+IF('Your debts'!$D$20="Avalanche",'Avalanche workings'!$AG$226,'Snowball workings'!$AG$226))</f>
      </c>
      <c r="I224" s="30">
        <f>IF(OR(219&gt;$Z$1,NOT(OR('Your debts'!$B$7&lt;&gt;"",N('Your debts'!$C$7)&gt;0))),"",IF('Your debts'!$D$20="Avalanche",'Avalanche workings'!$AQ$226,'Snowball workings'!$AQ$226))</f>
      </c>
      <c r="J224" s="29">
        <f>IF(OR(219&gt;$Z$1,NOT(OR('Your debts'!$B$8&lt;&gt;"",N('Your debts'!$C$8)&gt;0))),"",IF('Your debts'!$D$20="Avalanche",'Avalanche workings'!$N$226,'Snowball workings'!$N$226)+IF('Your debts'!$D$20="Avalanche",'Avalanche workings'!$AH$226,'Snowball workings'!$AH$226))</f>
      </c>
      <c r="K224" s="30">
        <f>IF(OR(219&gt;$Z$1,NOT(OR('Your debts'!$B$8&lt;&gt;"",N('Your debts'!$C$8)&gt;0))),"",IF('Your debts'!$D$20="Avalanche",'Avalanche workings'!$AR$226,'Snowball workings'!$AR$226))</f>
      </c>
      <c r="L224" s="29">
        <f>IF(OR(219&gt;$Z$1,NOT(OR('Your debts'!$B$9&lt;&gt;"",N('Your debts'!$C$9)&gt;0))),"",IF('Your debts'!$D$20="Avalanche",'Avalanche workings'!$O$226,'Snowball workings'!$O$226)+IF('Your debts'!$D$20="Avalanche",'Avalanche workings'!$AI$226,'Snowball workings'!$AI$226))</f>
      </c>
      <c r="M224" s="30">
        <f>IF(OR(219&gt;$Z$1,NOT(OR('Your debts'!$B$9&lt;&gt;"",N('Your debts'!$C$9)&gt;0))),"",IF('Your debts'!$D$20="Avalanche",'Avalanche workings'!$AS$226,'Snowball workings'!$AS$226))</f>
      </c>
      <c r="N224" s="29">
        <f>IF(OR(219&gt;$Z$1,NOT(OR('Your debts'!$B$10&lt;&gt;"",N('Your debts'!$C$10)&gt;0))),"",IF('Your debts'!$D$20="Avalanche",'Avalanche workings'!$P$226,'Snowball workings'!$P$226)+IF('Your debts'!$D$20="Avalanche",'Avalanche workings'!$AJ$226,'Snowball workings'!$AJ$226))</f>
      </c>
      <c r="O224" s="30">
        <f>IF(OR(219&gt;$Z$1,NOT(OR('Your debts'!$B$10&lt;&gt;"",N('Your debts'!$C$10)&gt;0))),"",IF('Your debts'!$D$20="Avalanche",'Avalanche workings'!$AT$226,'Snowball workings'!$AT$226))</f>
      </c>
      <c r="P224" s="29">
        <f>IF(OR(219&gt;$Z$1,NOT(OR('Your debts'!$B$11&lt;&gt;"",N('Your debts'!$C$11)&gt;0))),"",IF('Your debts'!$D$20="Avalanche",'Avalanche workings'!$Q$226,'Snowball workings'!$Q$226)+IF('Your debts'!$D$20="Avalanche",'Avalanche workings'!$AK$226,'Snowball workings'!$AK$226))</f>
      </c>
      <c r="Q224" s="30">
        <f>IF(OR(219&gt;$Z$1,NOT(OR('Your debts'!$B$11&lt;&gt;"",N('Your debts'!$C$11)&gt;0))),"",IF('Your debts'!$D$20="Avalanche",'Avalanche workings'!$AU$226,'Snowball workings'!$AU$226))</f>
      </c>
      <c r="R224" s="29">
        <f>IF(OR(219&gt;$Z$1,NOT(OR('Your debts'!$B$12&lt;&gt;"",N('Your debts'!$C$12)&gt;0))),"",IF('Your debts'!$D$20="Avalanche",'Avalanche workings'!$R$226,'Snowball workings'!$R$226)+IF('Your debts'!$D$20="Avalanche",'Avalanche workings'!$AL$226,'Snowball workings'!$AL$226))</f>
      </c>
      <c r="S224" s="30">
        <f>IF(OR(219&gt;$Z$1,NOT(OR('Your debts'!$B$12&lt;&gt;"",N('Your debts'!$C$12)&gt;0))),"",IF('Your debts'!$D$20="Avalanche",'Avalanche workings'!$AV$226,'Snowball workings'!$AV$226))</f>
      </c>
      <c r="T224" s="29">
        <f>IF(OR(219&gt;$Z$1,NOT(OR('Your debts'!$B$13&lt;&gt;"",N('Your debts'!$C$13)&gt;0))),"",IF('Your debts'!$D$20="Avalanche",'Avalanche workings'!$S$226,'Snowball workings'!$S$226)+IF('Your debts'!$D$20="Avalanche",'Avalanche workings'!$AM$226,'Snowball workings'!$AM$226))</f>
      </c>
      <c r="U224" s="30">
        <f>IF(OR(219&gt;$Z$1,NOT(OR('Your debts'!$B$13&lt;&gt;"",N('Your debts'!$C$13)&gt;0))),"",IF('Your debts'!$D$20="Avalanche",'Avalanche workings'!$AW$226,'Snowball workings'!$AW$226))</f>
      </c>
      <c r="V224" s="29">
        <f>IF(OR(219&gt;$Z$1,NOT(OR('Your debts'!$B$14&lt;&gt;"",N('Your debts'!$C$14)&gt;0))),"",IF('Your debts'!$D$20="Avalanche",'Avalanche workings'!$T$226,'Snowball workings'!$T$226)+IF('Your debts'!$D$20="Avalanche",'Avalanche workings'!$AN$226,'Snowball workings'!$AN$226))</f>
      </c>
      <c r="W224" s="30">
        <f>IF(OR(219&gt;$Z$1,NOT(OR('Your debts'!$B$14&lt;&gt;"",N('Your debts'!$C$14)&gt;0))),"",IF('Your debts'!$D$20="Avalanche",'Avalanche workings'!$AX$226,'Snowball workings'!$AX$226))</f>
      </c>
      <c r="X224" s="29">
        <f>IF(OR(219&gt;$Z$1,NOT(OR('Your debts'!$B$15&lt;&gt;"",N('Your debts'!$C$15)&gt;0))),"",IF('Your debts'!$D$20="Avalanche",'Avalanche workings'!$U$226,'Snowball workings'!$U$226)+IF('Your debts'!$D$20="Avalanche",'Avalanche workings'!$AO$226,'Snowball workings'!$AO$226))</f>
      </c>
      <c r="Y224" s="30">
        <f>IF(OR(219&gt;$Z$1,NOT(OR('Your debts'!$B$15&lt;&gt;"",N('Your debts'!$C$15)&gt;0))),"",IF('Your debts'!$D$20="Avalanche",'Avalanche workings'!$AY$226,'Snowball workings'!$AY$226))</f>
      </c>
    </row>
    <row r="225" spans="1:25" x14ac:dyDescent="0.25">
      <c r="A225" s="2">
        <f>IF(220&gt;$Z$1,"",220)</f>
      </c>
      <c r="B225" s="28">
        <f>IF(220&gt;$Z$1,"",EDATE('Your debts'!$D$21,219))</f>
      </c>
      <c r="C225" s="29">
        <f>IF(220&gt;$Z$1,"",IF('Your debts'!$D$20="Avalanche",'Avalanche workings'!$BC$227,'Snowball workings'!$BC$227))</f>
      </c>
      <c r="D225" s="29">
        <f>IF(220&gt;$Z$1,"",IF('Your debts'!$D$20="Avalanche",'Avalanche workings'!$BA$227,'Snowball workings'!$BA$227))</f>
      </c>
      <c r="E225" s="29">
        <f>IF(220&gt;$Z$1,"",IF('Your debts'!$D$20="Avalanche",'Avalanche workings'!$BB$227,'Snowball workings'!$BB$227))</f>
      </c>
      <c r="F225" s="29">
        <f>IF(OR(220&gt;$Z$1,NOT(OR('Your debts'!$B$6&lt;&gt;"",N('Your debts'!$C$6)&gt;0))),"",IF('Your debts'!$D$20="Avalanche",'Avalanche workings'!$L$227,'Snowball workings'!$L$227)+IF('Your debts'!$D$20="Avalanche",'Avalanche workings'!$AF$227,'Snowball workings'!$AF$227))</f>
      </c>
      <c r="G225" s="30">
        <f>IF(OR(220&gt;$Z$1,NOT(OR('Your debts'!$B$6&lt;&gt;"",N('Your debts'!$C$6)&gt;0))),"",IF('Your debts'!$D$20="Avalanche",'Avalanche workings'!$AP$227,'Snowball workings'!$AP$227))</f>
      </c>
      <c r="H225" s="29">
        <f>IF(OR(220&gt;$Z$1,NOT(OR('Your debts'!$B$7&lt;&gt;"",N('Your debts'!$C$7)&gt;0))),"",IF('Your debts'!$D$20="Avalanche",'Avalanche workings'!$M$227,'Snowball workings'!$M$227)+IF('Your debts'!$D$20="Avalanche",'Avalanche workings'!$AG$227,'Snowball workings'!$AG$227))</f>
      </c>
      <c r="I225" s="30">
        <f>IF(OR(220&gt;$Z$1,NOT(OR('Your debts'!$B$7&lt;&gt;"",N('Your debts'!$C$7)&gt;0))),"",IF('Your debts'!$D$20="Avalanche",'Avalanche workings'!$AQ$227,'Snowball workings'!$AQ$227))</f>
      </c>
      <c r="J225" s="29">
        <f>IF(OR(220&gt;$Z$1,NOT(OR('Your debts'!$B$8&lt;&gt;"",N('Your debts'!$C$8)&gt;0))),"",IF('Your debts'!$D$20="Avalanche",'Avalanche workings'!$N$227,'Snowball workings'!$N$227)+IF('Your debts'!$D$20="Avalanche",'Avalanche workings'!$AH$227,'Snowball workings'!$AH$227))</f>
      </c>
      <c r="K225" s="30">
        <f>IF(OR(220&gt;$Z$1,NOT(OR('Your debts'!$B$8&lt;&gt;"",N('Your debts'!$C$8)&gt;0))),"",IF('Your debts'!$D$20="Avalanche",'Avalanche workings'!$AR$227,'Snowball workings'!$AR$227))</f>
      </c>
      <c r="L225" s="29">
        <f>IF(OR(220&gt;$Z$1,NOT(OR('Your debts'!$B$9&lt;&gt;"",N('Your debts'!$C$9)&gt;0))),"",IF('Your debts'!$D$20="Avalanche",'Avalanche workings'!$O$227,'Snowball workings'!$O$227)+IF('Your debts'!$D$20="Avalanche",'Avalanche workings'!$AI$227,'Snowball workings'!$AI$227))</f>
      </c>
      <c r="M225" s="30">
        <f>IF(OR(220&gt;$Z$1,NOT(OR('Your debts'!$B$9&lt;&gt;"",N('Your debts'!$C$9)&gt;0))),"",IF('Your debts'!$D$20="Avalanche",'Avalanche workings'!$AS$227,'Snowball workings'!$AS$227))</f>
      </c>
      <c r="N225" s="29">
        <f>IF(OR(220&gt;$Z$1,NOT(OR('Your debts'!$B$10&lt;&gt;"",N('Your debts'!$C$10)&gt;0))),"",IF('Your debts'!$D$20="Avalanche",'Avalanche workings'!$P$227,'Snowball workings'!$P$227)+IF('Your debts'!$D$20="Avalanche",'Avalanche workings'!$AJ$227,'Snowball workings'!$AJ$227))</f>
      </c>
      <c r="O225" s="30">
        <f>IF(OR(220&gt;$Z$1,NOT(OR('Your debts'!$B$10&lt;&gt;"",N('Your debts'!$C$10)&gt;0))),"",IF('Your debts'!$D$20="Avalanche",'Avalanche workings'!$AT$227,'Snowball workings'!$AT$227))</f>
      </c>
      <c r="P225" s="29">
        <f>IF(OR(220&gt;$Z$1,NOT(OR('Your debts'!$B$11&lt;&gt;"",N('Your debts'!$C$11)&gt;0))),"",IF('Your debts'!$D$20="Avalanche",'Avalanche workings'!$Q$227,'Snowball workings'!$Q$227)+IF('Your debts'!$D$20="Avalanche",'Avalanche workings'!$AK$227,'Snowball workings'!$AK$227))</f>
      </c>
      <c r="Q225" s="30">
        <f>IF(OR(220&gt;$Z$1,NOT(OR('Your debts'!$B$11&lt;&gt;"",N('Your debts'!$C$11)&gt;0))),"",IF('Your debts'!$D$20="Avalanche",'Avalanche workings'!$AU$227,'Snowball workings'!$AU$227))</f>
      </c>
      <c r="R225" s="29">
        <f>IF(OR(220&gt;$Z$1,NOT(OR('Your debts'!$B$12&lt;&gt;"",N('Your debts'!$C$12)&gt;0))),"",IF('Your debts'!$D$20="Avalanche",'Avalanche workings'!$R$227,'Snowball workings'!$R$227)+IF('Your debts'!$D$20="Avalanche",'Avalanche workings'!$AL$227,'Snowball workings'!$AL$227))</f>
      </c>
      <c r="S225" s="30">
        <f>IF(OR(220&gt;$Z$1,NOT(OR('Your debts'!$B$12&lt;&gt;"",N('Your debts'!$C$12)&gt;0))),"",IF('Your debts'!$D$20="Avalanche",'Avalanche workings'!$AV$227,'Snowball workings'!$AV$227))</f>
      </c>
      <c r="T225" s="29">
        <f>IF(OR(220&gt;$Z$1,NOT(OR('Your debts'!$B$13&lt;&gt;"",N('Your debts'!$C$13)&gt;0))),"",IF('Your debts'!$D$20="Avalanche",'Avalanche workings'!$S$227,'Snowball workings'!$S$227)+IF('Your debts'!$D$20="Avalanche",'Avalanche workings'!$AM$227,'Snowball workings'!$AM$227))</f>
      </c>
      <c r="U225" s="30">
        <f>IF(OR(220&gt;$Z$1,NOT(OR('Your debts'!$B$13&lt;&gt;"",N('Your debts'!$C$13)&gt;0))),"",IF('Your debts'!$D$20="Avalanche",'Avalanche workings'!$AW$227,'Snowball workings'!$AW$227))</f>
      </c>
      <c r="V225" s="29">
        <f>IF(OR(220&gt;$Z$1,NOT(OR('Your debts'!$B$14&lt;&gt;"",N('Your debts'!$C$14)&gt;0))),"",IF('Your debts'!$D$20="Avalanche",'Avalanche workings'!$T$227,'Snowball workings'!$T$227)+IF('Your debts'!$D$20="Avalanche",'Avalanche workings'!$AN$227,'Snowball workings'!$AN$227))</f>
      </c>
      <c r="W225" s="30">
        <f>IF(OR(220&gt;$Z$1,NOT(OR('Your debts'!$B$14&lt;&gt;"",N('Your debts'!$C$14)&gt;0))),"",IF('Your debts'!$D$20="Avalanche",'Avalanche workings'!$AX$227,'Snowball workings'!$AX$227))</f>
      </c>
      <c r="X225" s="29">
        <f>IF(OR(220&gt;$Z$1,NOT(OR('Your debts'!$B$15&lt;&gt;"",N('Your debts'!$C$15)&gt;0))),"",IF('Your debts'!$D$20="Avalanche",'Avalanche workings'!$U$227,'Snowball workings'!$U$227)+IF('Your debts'!$D$20="Avalanche",'Avalanche workings'!$AO$227,'Snowball workings'!$AO$227))</f>
      </c>
      <c r="Y225" s="30">
        <f>IF(OR(220&gt;$Z$1,NOT(OR('Your debts'!$B$15&lt;&gt;"",N('Your debts'!$C$15)&gt;0))),"",IF('Your debts'!$D$20="Avalanche",'Avalanche workings'!$AY$227,'Snowball workings'!$AY$227))</f>
      </c>
    </row>
    <row r="226" spans="1:25" x14ac:dyDescent="0.25">
      <c r="A226" s="2">
        <f>IF(221&gt;$Z$1,"",221)</f>
      </c>
      <c r="B226" s="28">
        <f>IF(221&gt;$Z$1,"",EDATE('Your debts'!$D$21,220))</f>
      </c>
      <c r="C226" s="29">
        <f>IF(221&gt;$Z$1,"",IF('Your debts'!$D$20="Avalanche",'Avalanche workings'!$BC$228,'Snowball workings'!$BC$228))</f>
      </c>
      <c r="D226" s="29">
        <f>IF(221&gt;$Z$1,"",IF('Your debts'!$D$20="Avalanche",'Avalanche workings'!$BA$228,'Snowball workings'!$BA$228))</f>
      </c>
      <c r="E226" s="29">
        <f>IF(221&gt;$Z$1,"",IF('Your debts'!$D$20="Avalanche",'Avalanche workings'!$BB$228,'Snowball workings'!$BB$228))</f>
      </c>
      <c r="F226" s="29">
        <f>IF(OR(221&gt;$Z$1,NOT(OR('Your debts'!$B$6&lt;&gt;"",N('Your debts'!$C$6)&gt;0))),"",IF('Your debts'!$D$20="Avalanche",'Avalanche workings'!$L$228,'Snowball workings'!$L$228)+IF('Your debts'!$D$20="Avalanche",'Avalanche workings'!$AF$228,'Snowball workings'!$AF$228))</f>
      </c>
      <c r="G226" s="30">
        <f>IF(OR(221&gt;$Z$1,NOT(OR('Your debts'!$B$6&lt;&gt;"",N('Your debts'!$C$6)&gt;0))),"",IF('Your debts'!$D$20="Avalanche",'Avalanche workings'!$AP$228,'Snowball workings'!$AP$228))</f>
      </c>
      <c r="H226" s="29">
        <f>IF(OR(221&gt;$Z$1,NOT(OR('Your debts'!$B$7&lt;&gt;"",N('Your debts'!$C$7)&gt;0))),"",IF('Your debts'!$D$20="Avalanche",'Avalanche workings'!$M$228,'Snowball workings'!$M$228)+IF('Your debts'!$D$20="Avalanche",'Avalanche workings'!$AG$228,'Snowball workings'!$AG$228))</f>
      </c>
      <c r="I226" s="30">
        <f>IF(OR(221&gt;$Z$1,NOT(OR('Your debts'!$B$7&lt;&gt;"",N('Your debts'!$C$7)&gt;0))),"",IF('Your debts'!$D$20="Avalanche",'Avalanche workings'!$AQ$228,'Snowball workings'!$AQ$228))</f>
      </c>
      <c r="J226" s="29">
        <f>IF(OR(221&gt;$Z$1,NOT(OR('Your debts'!$B$8&lt;&gt;"",N('Your debts'!$C$8)&gt;0))),"",IF('Your debts'!$D$20="Avalanche",'Avalanche workings'!$N$228,'Snowball workings'!$N$228)+IF('Your debts'!$D$20="Avalanche",'Avalanche workings'!$AH$228,'Snowball workings'!$AH$228))</f>
      </c>
      <c r="K226" s="30">
        <f>IF(OR(221&gt;$Z$1,NOT(OR('Your debts'!$B$8&lt;&gt;"",N('Your debts'!$C$8)&gt;0))),"",IF('Your debts'!$D$20="Avalanche",'Avalanche workings'!$AR$228,'Snowball workings'!$AR$228))</f>
      </c>
      <c r="L226" s="29">
        <f>IF(OR(221&gt;$Z$1,NOT(OR('Your debts'!$B$9&lt;&gt;"",N('Your debts'!$C$9)&gt;0))),"",IF('Your debts'!$D$20="Avalanche",'Avalanche workings'!$O$228,'Snowball workings'!$O$228)+IF('Your debts'!$D$20="Avalanche",'Avalanche workings'!$AI$228,'Snowball workings'!$AI$228))</f>
      </c>
      <c r="M226" s="30">
        <f>IF(OR(221&gt;$Z$1,NOT(OR('Your debts'!$B$9&lt;&gt;"",N('Your debts'!$C$9)&gt;0))),"",IF('Your debts'!$D$20="Avalanche",'Avalanche workings'!$AS$228,'Snowball workings'!$AS$228))</f>
      </c>
      <c r="N226" s="29">
        <f>IF(OR(221&gt;$Z$1,NOT(OR('Your debts'!$B$10&lt;&gt;"",N('Your debts'!$C$10)&gt;0))),"",IF('Your debts'!$D$20="Avalanche",'Avalanche workings'!$P$228,'Snowball workings'!$P$228)+IF('Your debts'!$D$20="Avalanche",'Avalanche workings'!$AJ$228,'Snowball workings'!$AJ$228))</f>
      </c>
      <c r="O226" s="30">
        <f>IF(OR(221&gt;$Z$1,NOT(OR('Your debts'!$B$10&lt;&gt;"",N('Your debts'!$C$10)&gt;0))),"",IF('Your debts'!$D$20="Avalanche",'Avalanche workings'!$AT$228,'Snowball workings'!$AT$228))</f>
      </c>
      <c r="P226" s="29">
        <f>IF(OR(221&gt;$Z$1,NOT(OR('Your debts'!$B$11&lt;&gt;"",N('Your debts'!$C$11)&gt;0))),"",IF('Your debts'!$D$20="Avalanche",'Avalanche workings'!$Q$228,'Snowball workings'!$Q$228)+IF('Your debts'!$D$20="Avalanche",'Avalanche workings'!$AK$228,'Snowball workings'!$AK$228))</f>
      </c>
      <c r="Q226" s="30">
        <f>IF(OR(221&gt;$Z$1,NOT(OR('Your debts'!$B$11&lt;&gt;"",N('Your debts'!$C$11)&gt;0))),"",IF('Your debts'!$D$20="Avalanche",'Avalanche workings'!$AU$228,'Snowball workings'!$AU$228))</f>
      </c>
      <c r="R226" s="29">
        <f>IF(OR(221&gt;$Z$1,NOT(OR('Your debts'!$B$12&lt;&gt;"",N('Your debts'!$C$12)&gt;0))),"",IF('Your debts'!$D$20="Avalanche",'Avalanche workings'!$R$228,'Snowball workings'!$R$228)+IF('Your debts'!$D$20="Avalanche",'Avalanche workings'!$AL$228,'Snowball workings'!$AL$228))</f>
      </c>
      <c r="S226" s="30">
        <f>IF(OR(221&gt;$Z$1,NOT(OR('Your debts'!$B$12&lt;&gt;"",N('Your debts'!$C$12)&gt;0))),"",IF('Your debts'!$D$20="Avalanche",'Avalanche workings'!$AV$228,'Snowball workings'!$AV$228))</f>
      </c>
      <c r="T226" s="29">
        <f>IF(OR(221&gt;$Z$1,NOT(OR('Your debts'!$B$13&lt;&gt;"",N('Your debts'!$C$13)&gt;0))),"",IF('Your debts'!$D$20="Avalanche",'Avalanche workings'!$S$228,'Snowball workings'!$S$228)+IF('Your debts'!$D$20="Avalanche",'Avalanche workings'!$AM$228,'Snowball workings'!$AM$228))</f>
      </c>
      <c r="U226" s="30">
        <f>IF(OR(221&gt;$Z$1,NOT(OR('Your debts'!$B$13&lt;&gt;"",N('Your debts'!$C$13)&gt;0))),"",IF('Your debts'!$D$20="Avalanche",'Avalanche workings'!$AW$228,'Snowball workings'!$AW$228))</f>
      </c>
      <c r="V226" s="29">
        <f>IF(OR(221&gt;$Z$1,NOT(OR('Your debts'!$B$14&lt;&gt;"",N('Your debts'!$C$14)&gt;0))),"",IF('Your debts'!$D$20="Avalanche",'Avalanche workings'!$T$228,'Snowball workings'!$T$228)+IF('Your debts'!$D$20="Avalanche",'Avalanche workings'!$AN$228,'Snowball workings'!$AN$228))</f>
      </c>
      <c r="W226" s="30">
        <f>IF(OR(221&gt;$Z$1,NOT(OR('Your debts'!$B$14&lt;&gt;"",N('Your debts'!$C$14)&gt;0))),"",IF('Your debts'!$D$20="Avalanche",'Avalanche workings'!$AX$228,'Snowball workings'!$AX$228))</f>
      </c>
      <c r="X226" s="29">
        <f>IF(OR(221&gt;$Z$1,NOT(OR('Your debts'!$B$15&lt;&gt;"",N('Your debts'!$C$15)&gt;0))),"",IF('Your debts'!$D$20="Avalanche",'Avalanche workings'!$U$228,'Snowball workings'!$U$228)+IF('Your debts'!$D$20="Avalanche",'Avalanche workings'!$AO$228,'Snowball workings'!$AO$228))</f>
      </c>
      <c r="Y226" s="30">
        <f>IF(OR(221&gt;$Z$1,NOT(OR('Your debts'!$B$15&lt;&gt;"",N('Your debts'!$C$15)&gt;0))),"",IF('Your debts'!$D$20="Avalanche",'Avalanche workings'!$AY$228,'Snowball workings'!$AY$228))</f>
      </c>
    </row>
    <row r="227" spans="1:25" x14ac:dyDescent="0.25">
      <c r="A227" s="2">
        <f>IF(222&gt;$Z$1,"",222)</f>
      </c>
      <c r="B227" s="28">
        <f>IF(222&gt;$Z$1,"",EDATE('Your debts'!$D$21,221))</f>
      </c>
      <c r="C227" s="29">
        <f>IF(222&gt;$Z$1,"",IF('Your debts'!$D$20="Avalanche",'Avalanche workings'!$BC$229,'Snowball workings'!$BC$229))</f>
      </c>
      <c r="D227" s="29">
        <f>IF(222&gt;$Z$1,"",IF('Your debts'!$D$20="Avalanche",'Avalanche workings'!$BA$229,'Snowball workings'!$BA$229))</f>
      </c>
      <c r="E227" s="29">
        <f>IF(222&gt;$Z$1,"",IF('Your debts'!$D$20="Avalanche",'Avalanche workings'!$BB$229,'Snowball workings'!$BB$229))</f>
      </c>
      <c r="F227" s="29">
        <f>IF(OR(222&gt;$Z$1,NOT(OR('Your debts'!$B$6&lt;&gt;"",N('Your debts'!$C$6)&gt;0))),"",IF('Your debts'!$D$20="Avalanche",'Avalanche workings'!$L$229,'Snowball workings'!$L$229)+IF('Your debts'!$D$20="Avalanche",'Avalanche workings'!$AF$229,'Snowball workings'!$AF$229))</f>
      </c>
      <c r="G227" s="30">
        <f>IF(OR(222&gt;$Z$1,NOT(OR('Your debts'!$B$6&lt;&gt;"",N('Your debts'!$C$6)&gt;0))),"",IF('Your debts'!$D$20="Avalanche",'Avalanche workings'!$AP$229,'Snowball workings'!$AP$229))</f>
      </c>
      <c r="H227" s="29">
        <f>IF(OR(222&gt;$Z$1,NOT(OR('Your debts'!$B$7&lt;&gt;"",N('Your debts'!$C$7)&gt;0))),"",IF('Your debts'!$D$20="Avalanche",'Avalanche workings'!$M$229,'Snowball workings'!$M$229)+IF('Your debts'!$D$20="Avalanche",'Avalanche workings'!$AG$229,'Snowball workings'!$AG$229))</f>
      </c>
      <c r="I227" s="30">
        <f>IF(OR(222&gt;$Z$1,NOT(OR('Your debts'!$B$7&lt;&gt;"",N('Your debts'!$C$7)&gt;0))),"",IF('Your debts'!$D$20="Avalanche",'Avalanche workings'!$AQ$229,'Snowball workings'!$AQ$229))</f>
      </c>
      <c r="J227" s="29">
        <f>IF(OR(222&gt;$Z$1,NOT(OR('Your debts'!$B$8&lt;&gt;"",N('Your debts'!$C$8)&gt;0))),"",IF('Your debts'!$D$20="Avalanche",'Avalanche workings'!$N$229,'Snowball workings'!$N$229)+IF('Your debts'!$D$20="Avalanche",'Avalanche workings'!$AH$229,'Snowball workings'!$AH$229))</f>
      </c>
      <c r="K227" s="30">
        <f>IF(OR(222&gt;$Z$1,NOT(OR('Your debts'!$B$8&lt;&gt;"",N('Your debts'!$C$8)&gt;0))),"",IF('Your debts'!$D$20="Avalanche",'Avalanche workings'!$AR$229,'Snowball workings'!$AR$229))</f>
      </c>
      <c r="L227" s="29">
        <f>IF(OR(222&gt;$Z$1,NOT(OR('Your debts'!$B$9&lt;&gt;"",N('Your debts'!$C$9)&gt;0))),"",IF('Your debts'!$D$20="Avalanche",'Avalanche workings'!$O$229,'Snowball workings'!$O$229)+IF('Your debts'!$D$20="Avalanche",'Avalanche workings'!$AI$229,'Snowball workings'!$AI$229))</f>
      </c>
      <c r="M227" s="30">
        <f>IF(OR(222&gt;$Z$1,NOT(OR('Your debts'!$B$9&lt;&gt;"",N('Your debts'!$C$9)&gt;0))),"",IF('Your debts'!$D$20="Avalanche",'Avalanche workings'!$AS$229,'Snowball workings'!$AS$229))</f>
      </c>
      <c r="N227" s="29">
        <f>IF(OR(222&gt;$Z$1,NOT(OR('Your debts'!$B$10&lt;&gt;"",N('Your debts'!$C$10)&gt;0))),"",IF('Your debts'!$D$20="Avalanche",'Avalanche workings'!$P$229,'Snowball workings'!$P$229)+IF('Your debts'!$D$20="Avalanche",'Avalanche workings'!$AJ$229,'Snowball workings'!$AJ$229))</f>
      </c>
      <c r="O227" s="30">
        <f>IF(OR(222&gt;$Z$1,NOT(OR('Your debts'!$B$10&lt;&gt;"",N('Your debts'!$C$10)&gt;0))),"",IF('Your debts'!$D$20="Avalanche",'Avalanche workings'!$AT$229,'Snowball workings'!$AT$229))</f>
      </c>
      <c r="P227" s="29">
        <f>IF(OR(222&gt;$Z$1,NOT(OR('Your debts'!$B$11&lt;&gt;"",N('Your debts'!$C$11)&gt;0))),"",IF('Your debts'!$D$20="Avalanche",'Avalanche workings'!$Q$229,'Snowball workings'!$Q$229)+IF('Your debts'!$D$20="Avalanche",'Avalanche workings'!$AK$229,'Snowball workings'!$AK$229))</f>
      </c>
      <c r="Q227" s="30">
        <f>IF(OR(222&gt;$Z$1,NOT(OR('Your debts'!$B$11&lt;&gt;"",N('Your debts'!$C$11)&gt;0))),"",IF('Your debts'!$D$20="Avalanche",'Avalanche workings'!$AU$229,'Snowball workings'!$AU$229))</f>
      </c>
      <c r="R227" s="29">
        <f>IF(OR(222&gt;$Z$1,NOT(OR('Your debts'!$B$12&lt;&gt;"",N('Your debts'!$C$12)&gt;0))),"",IF('Your debts'!$D$20="Avalanche",'Avalanche workings'!$R$229,'Snowball workings'!$R$229)+IF('Your debts'!$D$20="Avalanche",'Avalanche workings'!$AL$229,'Snowball workings'!$AL$229))</f>
      </c>
      <c r="S227" s="30">
        <f>IF(OR(222&gt;$Z$1,NOT(OR('Your debts'!$B$12&lt;&gt;"",N('Your debts'!$C$12)&gt;0))),"",IF('Your debts'!$D$20="Avalanche",'Avalanche workings'!$AV$229,'Snowball workings'!$AV$229))</f>
      </c>
      <c r="T227" s="29">
        <f>IF(OR(222&gt;$Z$1,NOT(OR('Your debts'!$B$13&lt;&gt;"",N('Your debts'!$C$13)&gt;0))),"",IF('Your debts'!$D$20="Avalanche",'Avalanche workings'!$S$229,'Snowball workings'!$S$229)+IF('Your debts'!$D$20="Avalanche",'Avalanche workings'!$AM$229,'Snowball workings'!$AM$229))</f>
      </c>
      <c r="U227" s="30">
        <f>IF(OR(222&gt;$Z$1,NOT(OR('Your debts'!$B$13&lt;&gt;"",N('Your debts'!$C$13)&gt;0))),"",IF('Your debts'!$D$20="Avalanche",'Avalanche workings'!$AW$229,'Snowball workings'!$AW$229))</f>
      </c>
      <c r="V227" s="29">
        <f>IF(OR(222&gt;$Z$1,NOT(OR('Your debts'!$B$14&lt;&gt;"",N('Your debts'!$C$14)&gt;0))),"",IF('Your debts'!$D$20="Avalanche",'Avalanche workings'!$T$229,'Snowball workings'!$T$229)+IF('Your debts'!$D$20="Avalanche",'Avalanche workings'!$AN$229,'Snowball workings'!$AN$229))</f>
      </c>
      <c r="W227" s="30">
        <f>IF(OR(222&gt;$Z$1,NOT(OR('Your debts'!$B$14&lt;&gt;"",N('Your debts'!$C$14)&gt;0))),"",IF('Your debts'!$D$20="Avalanche",'Avalanche workings'!$AX$229,'Snowball workings'!$AX$229))</f>
      </c>
      <c r="X227" s="29">
        <f>IF(OR(222&gt;$Z$1,NOT(OR('Your debts'!$B$15&lt;&gt;"",N('Your debts'!$C$15)&gt;0))),"",IF('Your debts'!$D$20="Avalanche",'Avalanche workings'!$U$229,'Snowball workings'!$U$229)+IF('Your debts'!$D$20="Avalanche",'Avalanche workings'!$AO$229,'Snowball workings'!$AO$229))</f>
      </c>
      <c r="Y227" s="30">
        <f>IF(OR(222&gt;$Z$1,NOT(OR('Your debts'!$B$15&lt;&gt;"",N('Your debts'!$C$15)&gt;0))),"",IF('Your debts'!$D$20="Avalanche",'Avalanche workings'!$AY$229,'Snowball workings'!$AY$229))</f>
      </c>
    </row>
    <row r="228" spans="1:25" x14ac:dyDescent="0.25">
      <c r="A228" s="2">
        <f>IF(223&gt;$Z$1,"",223)</f>
      </c>
      <c r="B228" s="28">
        <f>IF(223&gt;$Z$1,"",EDATE('Your debts'!$D$21,222))</f>
      </c>
      <c r="C228" s="29">
        <f>IF(223&gt;$Z$1,"",IF('Your debts'!$D$20="Avalanche",'Avalanche workings'!$BC$230,'Snowball workings'!$BC$230))</f>
      </c>
      <c r="D228" s="29">
        <f>IF(223&gt;$Z$1,"",IF('Your debts'!$D$20="Avalanche",'Avalanche workings'!$BA$230,'Snowball workings'!$BA$230))</f>
      </c>
      <c r="E228" s="29">
        <f>IF(223&gt;$Z$1,"",IF('Your debts'!$D$20="Avalanche",'Avalanche workings'!$BB$230,'Snowball workings'!$BB$230))</f>
      </c>
      <c r="F228" s="29">
        <f>IF(OR(223&gt;$Z$1,NOT(OR('Your debts'!$B$6&lt;&gt;"",N('Your debts'!$C$6)&gt;0))),"",IF('Your debts'!$D$20="Avalanche",'Avalanche workings'!$L$230,'Snowball workings'!$L$230)+IF('Your debts'!$D$20="Avalanche",'Avalanche workings'!$AF$230,'Snowball workings'!$AF$230))</f>
      </c>
      <c r="G228" s="30">
        <f>IF(OR(223&gt;$Z$1,NOT(OR('Your debts'!$B$6&lt;&gt;"",N('Your debts'!$C$6)&gt;0))),"",IF('Your debts'!$D$20="Avalanche",'Avalanche workings'!$AP$230,'Snowball workings'!$AP$230))</f>
      </c>
      <c r="H228" s="29">
        <f>IF(OR(223&gt;$Z$1,NOT(OR('Your debts'!$B$7&lt;&gt;"",N('Your debts'!$C$7)&gt;0))),"",IF('Your debts'!$D$20="Avalanche",'Avalanche workings'!$M$230,'Snowball workings'!$M$230)+IF('Your debts'!$D$20="Avalanche",'Avalanche workings'!$AG$230,'Snowball workings'!$AG$230))</f>
      </c>
      <c r="I228" s="30">
        <f>IF(OR(223&gt;$Z$1,NOT(OR('Your debts'!$B$7&lt;&gt;"",N('Your debts'!$C$7)&gt;0))),"",IF('Your debts'!$D$20="Avalanche",'Avalanche workings'!$AQ$230,'Snowball workings'!$AQ$230))</f>
      </c>
      <c r="J228" s="29">
        <f>IF(OR(223&gt;$Z$1,NOT(OR('Your debts'!$B$8&lt;&gt;"",N('Your debts'!$C$8)&gt;0))),"",IF('Your debts'!$D$20="Avalanche",'Avalanche workings'!$N$230,'Snowball workings'!$N$230)+IF('Your debts'!$D$20="Avalanche",'Avalanche workings'!$AH$230,'Snowball workings'!$AH$230))</f>
      </c>
      <c r="K228" s="30">
        <f>IF(OR(223&gt;$Z$1,NOT(OR('Your debts'!$B$8&lt;&gt;"",N('Your debts'!$C$8)&gt;0))),"",IF('Your debts'!$D$20="Avalanche",'Avalanche workings'!$AR$230,'Snowball workings'!$AR$230))</f>
      </c>
      <c r="L228" s="29">
        <f>IF(OR(223&gt;$Z$1,NOT(OR('Your debts'!$B$9&lt;&gt;"",N('Your debts'!$C$9)&gt;0))),"",IF('Your debts'!$D$20="Avalanche",'Avalanche workings'!$O$230,'Snowball workings'!$O$230)+IF('Your debts'!$D$20="Avalanche",'Avalanche workings'!$AI$230,'Snowball workings'!$AI$230))</f>
      </c>
      <c r="M228" s="30">
        <f>IF(OR(223&gt;$Z$1,NOT(OR('Your debts'!$B$9&lt;&gt;"",N('Your debts'!$C$9)&gt;0))),"",IF('Your debts'!$D$20="Avalanche",'Avalanche workings'!$AS$230,'Snowball workings'!$AS$230))</f>
      </c>
      <c r="N228" s="29">
        <f>IF(OR(223&gt;$Z$1,NOT(OR('Your debts'!$B$10&lt;&gt;"",N('Your debts'!$C$10)&gt;0))),"",IF('Your debts'!$D$20="Avalanche",'Avalanche workings'!$P$230,'Snowball workings'!$P$230)+IF('Your debts'!$D$20="Avalanche",'Avalanche workings'!$AJ$230,'Snowball workings'!$AJ$230))</f>
      </c>
      <c r="O228" s="30">
        <f>IF(OR(223&gt;$Z$1,NOT(OR('Your debts'!$B$10&lt;&gt;"",N('Your debts'!$C$10)&gt;0))),"",IF('Your debts'!$D$20="Avalanche",'Avalanche workings'!$AT$230,'Snowball workings'!$AT$230))</f>
      </c>
      <c r="P228" s="29">
        <f>IF(OR(223&gt;$Z$1,NOT(OR('Your debts'!$B$11&lt;&gt;"",N('Your debts'!$C$11)&gt;0))),"",IF('Your debts'!$D$20="Avalanche",'Avalanche workings'!$Q$230,'Snowball workings'!$Q$230)+IF('Your debts'!$D$20="Avalanche",'Avalanche workings'!$AK$230,'Snowball workings'!$AK$230))</f>
      </c>
      <c r="Q228" s="30">
        <f>IF(OR(223&gt;$Z$1,NOT(OR('Your debts'!$B$11&lt;&gt;"",N('Your debts'!$C$11)&gt;0))),"",IF('Your debts'!$D$20="Avalanche",'Avalanche workings'!$AU$230,'Snowball workings'!$AU$230))</f>
      </c>
      <c r="R228" s="29">
        <f>IF(OR(223&gt;$Z$1,NOT(OR('Your debts'!$B$12&lt;&gt;"",N('Your debts'!$C$12)&gt;0))),"",IF('Your debts'!$D$20="Avalanche",'Avalanche workings'!$R$230,'Snowball workings'!$R$230)+IF('Your debts'!$D$20="Avalanche",'Avalanche workings'!$AL$230,'Snowball workings'!$AL$230))</f>
      </c>
      <c r="S228" s="30">
        <f>IF(OR(223&gt;$Z$1,NOT(OR('Your debts'!$B$12&lt;&gt;"",N('Your debts'!$C$12)&gt;0))),"",IF('Your debts'!$D$20="Avalanche",'Avalanche workings'!$AV$230,'Snowball workings'!$AV$230))</f>
      </c>
      <c r="T228" s="29">
        <f>IF(OR(223&gt;$Z$1,NOT(OR('Your debts'!$B$13&lt;&gt;"",N('Your debts'!$C$13)&gt;0))),"",IF('Your debts'!$D$20="Avalanche",'Avalanche workings'!$S$230,'Snowball workings'!$S$230)+IF('Your debts'!$D$20="Avalanche",'Avalanche workings'!$AM$230,'Snowball workings'!$AM$230))</f>
      </c>
      <c r="U228" s="30">
        <f>IF(OR(223&gt;$Z$1,NOT(OR('Your debts'!$B$13&lt;&gt;"",N('Your debts'!$C$13)&gt;0))),"",IF('Your debts'!$D$20="Avalanche",'Avalanche workings'!$AW$230,'Snowball workings'!$AW$230))</f>
      </c>
      <c r="V228" s="29">
        <f>IF(OR(223&gt;$Z$1,NOT(OR('Your debts'!$B$14&lt;&gt;"",N('Your debts'!$C$14)&gt;0))),"",IF('Your debts'!$D$20="Avalanche",'Avalanche workings'!$T$230,'Snowball workings'!$T$230)+IF('Your debts'!$D$20="Avalanche",'Avalanche workings'!$AN$230,'Snowball workings'!$AN$230))</f>
      </c>
      <c r="W228" s="30">
        <f>IF(OR(223&gt;$Z$1,NOT(OR('Your debts'!$B$14&lt;&gt;"",N('Your debts'!$C$14)&gt;0))),"",IF('Your debts'!$D$20="Avalanche",'Avalanche workings'!$AX$230,'Snowball workings'!$AX$230))</f>
      </c>
      <c r="X228" s="29">
        <f>IF(OR(223&gt;$Z$1,NOT(OR('Your debts'!$B$15&lt;&gt;"",N('Your debts'!$C$15)&gt;0))),"",IF('Your debts'!$D$20="Avalanche",'Avalanche workings'!$U$230,'Snowball workings'!$U$230)+IF('Your debts'!$D$20="Avalanche",'Avalanche workings'!$AO$230,'Snowball workings'!$AO$230))</f>
      </c>
      <c r="Y228" s="30">
        <f>IF(OR(223&gt;$Z$1,NOT(OR('Your debts'!$B$15&lt;&gt;"",N('Your debts'!$C$15)&gt;0))),"",IF('Your debts'!$D$20="Avalanche",'Avalanche workings'!$AY$230,'Snowball workings'!$AY$230))</f>
      </c>
    </row>
    <row r="229" spans="1:25" x14ac:dyDescent="0.25">
      <c r="A229" s="2">
        <f>IF(224&gt;$Z$1,"",224)</f>
      </c>
      <c r="B229" s="28">
        <f>IF(224&gt;$Z$1,"",EDATE('Your debts'!$D$21,223))</f>
      </c>
      <c r="C229" s="29">
        <f>IF(224&gt;$Z$1,"",IF('Your debts'!$D$20="Avalanche",'Avalanche workings'!$BC$231,'Snowball workings'!$BC$231))</f>
      </c>
      <c r="D229" s="29">
        <f>IF(224&gt;$Z$1,"",IF('Your debts'!$D$20="Avalanche",'Avalanche workings'!$BA$231,'Snowball workings'!$BA$231))</f>
      </c>
      <c r="E229" s="29">
        <f>IF(224&gt;$Z$1,"",IF('Your debts'!$D$20="Avalanche",'Avalanche workings'!$BB$231,'Snowball workings'!$BB$231))</f>
      </c>
      <c r="F229" s="29">
        <f>IF(OR(224&gt;$Z$1,NOT(OR('Your debts'!$B$6&lt;&gt;"",N('Your debts'!$C$6)&gt;0))),"",IF('Your debts'!$D$20="Avalanche",'Avalanche workings'!$L$231,'Snowball workings'!$L$231)+IF('Your debts'!$D$20="Avalanche",'Avalanche workings'!$AF$231,'Snowball workings'!$AF$231))</f>
      </c>
      <c r="G229" s="30">
        <f>IF(OR(224&gt;$Z$1,NOT(OR('Your debts'!$B$6&lt;&gt;"",N('Your debts'!$C$6)&gt;0))),"",IF('Your debts'!$D$20="Avalanche",'Avalanche workings'!$AP$231,'Snowball workings'!$AP$231))</f>
      </c>
      <c r="H229" s="29">
        <f>IF(OR(224&gt;$Z$1,NOT(OR('Your debts'!$B$7&lt;&gt;"",N('Your debts'!$C$7)&gt;0))),"",IF('Your debts'!$D$20="Avalanche",'Avalanche workings'!$M$231,'Snowball workings'!$M$231)+IF('Your debts'!$D$20="Avalanche",'Avalanche workings'!$AG$231,'Snowball workings'!$AG$231))</f>
      </c>
      <c r="I229" s="30">
        <f>IF(OR(224&gt;$Z$1,NOT(OR('Your debts'!$B$7&lt;&gt;"",N('Your debts'!$C$7)&gt;0))),"",IF('Your debts'!$D$20="Avalanche",'Avalanche workings'!$AQ$231,'Snowball workings'!$AQ$231))</f>
      </c>
      <c r="J229" s="29">
        <f>IF(OR(224&gt;$Z$1,NOT(OR('Your debts'!$B$8&lt;&gt;"",N('Your debts'!$C$8)&gt;0))),"",IF('Your debts'!$D$20="Avalanche",'Avalanche workings'!$N$231,'Snowball workings'!$N$231)+IF('Your debts'!$D$20="Avalanche",'Avalanche workings'!$AH$231,'Snowball workings'!$AH$231))</f>
      </c>
      <c r="K229" s="30">
        <f>IF(OR(224&gt;$Z$1,NOT(OR('Your debts'!$B$8&lt;&gt;"",N('Your debts'!$C$8)&gt;0))),"",IF('Your debts'!$D$20="Avalanche",'Avalanche workings'!$AR$231,'Snowball workings'!$AR$231))</f>
      </c>
      <c r="L229" s="29">
        <f>IF(OR(224&gt;$Z$1,NOT(OR('Your debts'!$B$9&lt;&gt;"",N('Your debts'!$C$9)&gt;0))),"",IF('Your debts'!$D$20="Avalanche",'Avalanche workings'!$O$231,'Snowball workings'!$O$231)+IF('Your debts'!$D$20="Avalanche",'Avalanche workings'!$AI$231,'Snowball workings'!$AI$231))</f>
      </c>
      <c r="M229" s="30">
        <f>IF(OR(224&gt;$Z$1,NOT(OR('Your debts'!$B$9&lt;&gt;"",N('Your debts'!$C$9)&gt;0))),"",IF('Your debts'!$D$20="Avalanche",'Avalanche workings'!$AS$231,'Snowball workings'!$AS$231))</f>
      </c>
      <c r="N229" s="29">
        <f>IF(OR(224&gt;$Z$1,NOT(OR('Your debts'!$B$10&lt;&gt;"",N('Your debts'!$C$10)&gt;0))),"",IF('Your debts'!$D$20="Avalanche",'Avalanche workings'!$P$231,'Snowball workings'!$P$231)+IF('Your debts'!$D$20="Avalanche",'Avalanche workings'!$AJ$231,'Snowball workings'!$AJ$231))</f>
      </c>
      <c r="O229" s="30">
        <f>IF(OR(224&gt;$Z$1,NOT(OR('Your debts'!$B$10&lt;&gt;"",N('Your debts'!$C$10)&gt;0))),"",IF('Your debts'!$D$20="Avalanche",'Avalanche workings'!$AT$231,'Snowball workings'!$AT$231))</f>
      </c>
      <c r="P229" s="29">
        <f>IF(OR(224&gt;$Z$1,NOT(OR('Your debts'!$B$11&lt;&gt;"",N('Your debts'!$C$11)&gt;0))),"",IF('Your debts'!$D$20="Avalanche",'Avalanche workings'!$Q$231,'Snowball workings'!$Q$231)+IF('Your debts'!$D$20="Avalanche",'Avalanche workings'!$AK$231,'Snowball workings'!$AK$231))</f>
      </c>
      <c r="Q229" s="30">
        <f>IF(OR(224&gt;$Z$1,NOT(OR('Your debts'!$B$11&lt;&gt;"",N('Your debts'!$C$11)&gt;0))),"",IF('Your debts'!$D$20="Avalanche",'Avalanche workings'!$AU$231,'Snowball workings'!$AU$231))</f>
      </c>
      <c r="R229" s="29">
        <f>IF(OR(224&gt;$Z$1,NOT(OR('Your debts'!$B$12&lt;&gt;"",N('Your debts'!$C$12)&gt;0))),"",IF('Your debts'!$D$20="Avalanche",'Avalanche workings'!$R$231,'Snowball workings'!$R$231)+IF('Your debts'!$D$20="Avalanche",'Avalanche workings'!$AL$231,'Snowball workings'!$AL$231))</f>
      </c>
      <c r="S229" s="30">
        <f>IF(OR(224&gt;$Z$1,NOT(OR('Your debts'!$B$12&lt;&gt;"",N('Your debts'!$C$12)&gt;0))),"",IF('Your debts'!$D$20="Avalanche",'Avalanche workings'!$AV$231,'Snowball workings'!$AV$231))</f>
      </c>
      <c r="T229" s="29">
        <f>IF(OR(224&gt;$Z$1,NOT(OR('Your debts'!$B$13&lt;&gt;"",N('Your debts'!$C$13)&gt;0))),"",IF('Your debts'!$D$20="Avalanche",'Avalanche workings'!$S$231,'Snowball workings'!$S$231)+IF('Your debts'!$D$20="Avalanche",'Avalanche workings'!$AM$231,'Snowball workings'!$AM$231))</f>
      </c>
      <c r="U229" s="30">
        <f>IF(OR(224&gt;$Z$1,NOT(OR('Your debts'!$B$13&lt;&gt;"",N('Your debts'!$C$13)&gt;0))),"",IF('Your debts'!$D$20="Avalanche",'Avalanche workings'!$AW$231,'Snowball workings'!$AW$231))</f>
      </c>
      <c r="V229" s="29">
        <f>IF(OR(224&gt;$Z$1,NOT(OR('Your debts'!$B$14&lt;&gt;"",N('Your debts'!$C$14)&gt;0))),"",IF('Your debts'!$D$20="Avalanche",'Avalanche workings'!$T$231,'Snowball workings'!$T$231)+IF('Your debts'!$D$20="Avalanche",'Avalanche workings'!$AN$231,'Snowball workings'!$AN$231))</f>
      </c>
      <c r="W229" s="30">
        <f>IF(OR(224&gt;$Z$1,NOT(OR('Your debts'!$B$14&lt;&gt;"",N('Your debts'!$C$14)&gt;0))),"",IF('Your debts'!$D$20="Avalanche",'Avalanche workings'!$AX$231,'Snowball workings'!$AX$231))</f>
      </c>
      <c r="X229" s="29">
        <f>IF(OR(224&gt;$Z$1,NOT(OR('Your debts'!$B$15&lt;&gt;"",N('Your debts'!$C$15)&gt;0))),"",IF('Your debts'!$D$20="Avalanche",'Avalanche workings'!$U$231,'Snowball workings'!$U$231)+IF('Your debts'!$D$20="Avalanche",'Avalanche workings'!$AO$231,'Snowball workings'!$AO$231))</f>
      </c>
      <c r="Y229" s="30">
        <f>IF(OR(224&gt;$Z$1,NOT(OR('Your debts'!$B$15&lt;&gt;"",N('Your debts'!$C$15)&gt;0))),"",IF('Your debts'!$D$20="Avalanche",'Avalanche workings'!$AY$231,'Snowball workings'!$AY$231))</f>
      </c>
    </row>
    <row r="230" spans="1:25" x14ac:dyDescent="0.25">
      <c r="A230" s="2">
        <f>IF(225&gt;$Z$1,"",225)</f>
      </c>
      <c r="B230" s="28">
        <f>IF(225&gt;$Z$1,"",EDATE('Your debts'!$D$21,224))</f>
      </c>
      <c r="C230" s="29">
        <f>IF(225&gt;$Z$1,"",IF('Your debts'!$D$20="Avalanche",'Avalanche workings'!$BC$232,'Snowball workings'!$BC$232))</f>
      </c>
      <c r="D230" s="29">
        <f>IF(225&gt;$Z$1,"",IF('Your debts'!$D$20="Avalanche",'Avalanche workings'!$BA$232,'Snowball workings'!$BA$232))</f>
      </c>
      <c r="E230" s="29">
        <f>IF(225&gt;$Z$1,"",IF('Your debts'!$D$20="Avalanche",'Avalanche workings'!$BB$232,'Snowball workings'!$BB$232))</f>
      </c>
      <c r="F230" s="29">
        <f>IF(OR(225&gt;$Z$1,NOT(OR('Your debts'!$B$6&lt;&gt;"",N('Your debts'!$C$6)&gt;0))),"",IF('Your debts'!$D$20="Avalanche",'Avalanche workings'!$L$232,'Snowball workings'!$L$232)+IF('Your debts'!$D$20="Avalanche",'Avalanche workings'!$AF$232,'Snowball workings'!$AF$232))</f>
      </c>
      <c r="G230" s="30">
        <f>IF(OR(225&gt;$Z$1,NOT(OR('Your debts'!$B$6&lt;&gt;"",N('Your debts'!$C$6)&gt;0))),"",IF('Your debts'!$D$20="Avalanche",'Avalanche workings'!$AP$232,'Snowball workings'!$AP$232))</f>
      </c>
      <c r="H230" s="29">
        <f>IF(OR(225&gt;$Z$1,NOT(OR('Your debts'!$B$7&lt;&gt;"",N('Your debts'!$C$7)&gt;0))),"",IF('Your debts'!$D$20="Avalanche",'Avalanche workings'!$M$232,'Snowball workings'!$M$232)+IF('Your debts'!$D$20="Avalanche",'Avalanche workings'!$AG$232,'Snowball workings'!$AG$232))</f>
      </c>
      <c r="I230" s="30">
        <f>IF(OR(225&gt;$Z$1,NOT(OR('Your debts'!$B$7&lt;&gt;"",N('Your debts'!$C$7)&gt;0))),"",IF('Your debts'!$D$20="Avalanche",'Avalanche workings'!$AQ$232,'Snowball workings'!$AQ$232))</f>
      </c>
      <c r="J230" s="29">
        <f>IF(OR(225&gt;$Z$1,NOT(OR('Your debts'!$B$8&lt;&gt;"",N('Your debts'!$C$8)&gt;0))),"",IF('Your debts'!$D$20="Avalanche",'Avalanche workings'!$N$232,'Snowball workings'!$N$232)+IF('Your debts'!$D$20="Avalanche",'Avalanche workings'!$AH$232,'Snowball workings'!$AH$232))</f>
      </c>
      <c r="K230" s="30">
        <f>IF(OR(225&gt;$Z$1,NOT(OR('Your debts'!$B$8&lt;&gt;"",N('Your debts'!$C$8)&gt;0))),"",IF('Your debts'!$D$20="Avalanche",'Avalanche workings'!$AR$232,'Snowball workings'!$AR$232))</f>
      </c>
      <c r="L230" s="29">
        <f>IF(OR(225&gt;$Z$1,NOT(OR('Your debts'!$B$9&lt;&gt;"",N('Your debts'!$C$9)&gt;0))),"",IF('Your debts'!$D$20="Avalanche",'Avalanche workings'!$O$232,'Snowball workings'!$O$232)+IF('Your debts'!$D$20="Avalanche",'Avalanche workings'!$AI$232,'Snowball workings'!$AI$232))</f>
      </c>
      <c r="M230" s="30">
        <f>IF(OR(225&gt;$Z$1,NOT(OR('Your debts'!$B$9&lt;&gt;"",N('Your debts'!$C$9)&gt;0))),"",IF('Your debts'!$D$20="Avalanche",'Avalanche workings'!$AS$232,'Snowball workings'!$AS$232))</f>
      </c>
      <c r="N230" s="29">
        <f>IF(OR(225&gt;$Z$1,NOT(OR('Your debts'!$B$10&lt;&gt;"",N('Your debts'!$C$10)&gt;0))),"",IF('Your debts'!$D$20="Avalanche",'Avalanche workings'!$P$232,'Snowball workings'!$P$232)+IF('Your debts'!$D$20="Avalanche",'Avalanche workings'!$AJ$232,'Snowball workings'!$AJ$232))</f>
      </c>
      <c r="O230" s="30">
        <f>IF(OR(225&gt;$Z$1,NOT(OR('Your debts'!$B$10&lt;&gt;"",N('Your debts'!$C$10)&gt;0))),"",IF('Your debts'!$D$20="Avalanche",'Avalanche workings'!$AT$232,'Snowball workings'!$AT$232))</f>
      </c>
      <c r="P230" s="29">
        <f>IF(OR(225&gt;$Z$1,NOT(OR('Your debts'!$B$11&lt;&gt;"",N('Your debts'!$C$11)&gt;0))),"",IF('Your debts'!$D$20="Avalanche",'Avalanche workings'!$Q$232,'Snowball workings'!$Q$232)+IF('Your debts'!$D$20="Avalanche",'Avalanche workings'!$AK$232,'Snowball workings'!$AK$232))</f>
      </c>
      <c r="Q230" s="30">
        <f>IF(OR(225&gt;$Z$1,NOT(OR('Your debts'!$B$11&lt;&gt;"",N('Your debts'!$C$11)&gt;0))),"",IF('Your debts'!$D$20="Avalanche",'Avalanche workings'!$AU$232,'Snowball workings'!$AU$232))</f>
      </c>
      <c r="R230" s="29">
        <f>IF(OR(225&gt;$Z$1,NOT(OR('Your debts'!$B$12&lt;&gt;"",N('Your debts'!$C$12)&gt;0))),"",IF('Your debts'!$D$20="Avalanche",'Avalanche workings'!$R$232,'Snowball workings'!$R$232)+IF('Your debts'!$D$20="Avalanche",'Avalanche workings'!$AL$232,'Snowball workings'!$AL$232))</f>
      </c>
      <c r="S230" s="30">
        <f>IF(OR(225&gt;$Z$1,NOT(OR('Your debts'!$B$12&lt;&gt;"",N('Your debts'!$C$12)&gt;0))),"",IF('Your debts'!$D$20="Avalanche",'Avalanche workings'!$AV$232,'Snowball workings'!$AV$232))</f>
      </c>
      <c r="T230" s="29">
        <f>IF(OR(225&gt;$Z$1,NOT(OR('Your debts'!$B$13&lt;&gt;"",N('Your debts'!$C$13)&gt;0))),"",IF('Your debts'!$D$20="Avalanche",'Avalanche workings'!$S$232,'Snowball workings'!$S$232)+IF('Your debts'!$D$20="Avalanche",'Avalanche workings'!$AM$232,'Snowball workings'!$AM$232))</f>
      </c>
      <c r="U230" s="30">
        <f>IF(OR(225&gt;$Z$1,NOT(OR('Your debts'!$B$13&lt;&gt;"",N('Your debts'!$C$13)&gt;0))),"",IF('Your debts'!$D$20="Avalanche",'Avalanche workings'!$AW$232,'Snowball workings'!$AW$232))</f>
      </c>
      <c r="V230" s="29">
        <f>IF(OR(225&gt;$Z$1,NOT(OR('Your debts'!$B$14&lt;&gt;"",N('Your debts'!$C$14)&gt;0))),"",IF('Your debts'!$D$20="Avalanche",'Avalanche workings'!$T$232,'Snowball workings'!$T$232)+IF('Your debts'!$D$20="Avalanche",'Avalanche workings'!$AN$232,'Snowball workings'!$AN$232))</f>
      </c>
      <c r="W230" s="30">
        <f>IF(OR(225&gt;$Z$1,NOT(OR('Your debts'!$B$14&lt;&gt;"",N('Your debts'!$C$14)&gt;0))),"",IF('Your debts'!$D$20="Avalanche",'Avalanche workings'!$AX$232,'Snowball workings'!$AX$232))</f>
      </c>
      <c r="X230" s="29">
        <f>IF(OR(225&gt;$Z$1,NOT(OR('Your debts'!$B$15&lt;&gt;"",N('Your debts'!$C$15)&gt;0))),"",IF('Your debts'!$D$20="Avalanche",'Avalanche workings'!$U$232,'Snowball workings'!$U$232)+IF('Your debts'!$D$20="Avalanche",'Avalanche workings'!$AO$232,'Snowball workings'!$AO$232))</f>
      </c>
      <c r="Y230" s="30">
        <f>IF(OR(225&gt;$Z$1,NOT(OR('Your debts'!$B$15&lt;&gt;"",N('Your debts'!$C$15)&gt;0))),"",IF('Your debts'!$D$20="Avalanche",'Avalanche workings'!$AY$232,'Snowball workings'!$AY$232))</f>
      </c>
    </row>
    <row r="231" spans="1:25" x14ac:dyDescent="0.25">
      <c r="A231" s="2">
        <f>IF(226&gt;$Z$1,"",226)</f>
      </c>
      <c r="B231" s="28">
        <f>IF(226&gt;$Z$1,"",EDATE('Your debts'!$D$21,225))</f>
      </c>
      <c r="C231" s="29">
        <f>IF(226&gt;$Z$1,"",IF('Your debts'!$D$20="Avalanche",'Avalanche workings'!$BC$233,'Snowball workings'!$BC$233))</f>
      </c>
      <c r="D231" s="29">
        <f>IF(226&gt;$Z$1,"",IF('Your debts'!$D$20="Avalanche",'Avalanche workings'!$BA$233,'Snowball workings'!$BA$233))</f>
      </c>
      <c r="E231" s="29">
        <f>IF(226&gt;$Z$1,"",IF('Your debts'!$D$20="Avalanche",'Avalanche workings'!$BB$233,'Snowball workings'!$BB$233))</f>
      </c>
      <c r="F231" s="29">
        <f>IF(OR(226&gt;$Z$1,NOT(OR('Your debts'!$B$6&lt;&gt;"",N('Your debts'!$C$6)&gt;0))),"",IF('Your debts'!$D$20="Avalanche",'Avalanche workings'!$L$233,'Snowball workings'!$L$233)+IF('Your debts'!$D$20="Avalanche",'Avalanche workings'!$AF$233,'Snowball workings'!$AF$233))</f>
      </c>
      <c r="G231" s="30">
        <f>IF(OR(226&gt;$Z$1,NOT(OR('Your debts'!$B$6&lt;&gt;"",N('Your debts'!$C$6)&gt;0))),"",IF('Your debts'!$D$20="Avalanche",'Avalanche workings'!$AP$233,'Snowball workings'!$AP$233))</f>
      </c>
      <c r="H231" s="29">
        <f>IF(OR(226&gt;$Z$1,NOT(OR('Your debts'!$B$7&lt;&gt;"",N('Your debts'!$C$7)&gt;0))),"",IF('Your debts'!$D$20="Avalanche",'Avalanche workings'!$M$233,'Snowball workings'!$M$233)+IF('Your debts'!$D$20="Avalanche",'Avalanche workings'!$AG$233,'Snowball workings'!$AG$233))</f>
      </c>
      <c r="I231" s="30">
        <f>IF(OR(226&gt;$Z$1,NOT(OR('Your debts'!$B$7&lt;&gt;"",N('Your debts'!$C$7)&gt;0))),"",IF('Your debts'!$D$20="Avalanche",'Avalanche workings'!$AQ$233,'Snowball workings'!$AQ$233))</f>
      </c>
      <c r="J231" s="29">
        <f>IF(OR(226&gt;$Z$1,NOT(OR('Your debts'!$B$8&lt;&gt;"",N('Your debts'!$C$8)&gt;0))),"",IF('Your debts'!$D$20="Avalanche",'Avalanche workings'!$N$233,'Snowball workings'!$N$233)+IF('Your debts'!$D$20="Avalanche",'Avalanche workings'!$AH$233,'Snowball workings'!$AH$233))</f>
      </c>
      <c r="K231" s="30">
        <f>IF(OR(226&gt;$Z$1,NOT(OR('Your debts'!$B$8&lt;&gt;"",N('Your debts'!$C$8)&gt;0))),"",IF('Your debts'!$D$20="Avalanche",'Avalanche workings'!$AR$233,'Snowball workings'!$AR$233))</f>
      </c>
      <c r="L231" s="29">
        <f>IF(OR(226&gt;$Z$1,NOT(OR('Your debts'!$B$9&lt;&gt;"",N('Your debts'!$C$9)&gt;0))),"",IF('Your debts'!$D$20="Avalanche",'Avalanche workings'!$O$233,'Snowball workings'!$O$233)+IF('Your debts'!$D$20="Avalanche",'Avalanche workings'!$AI$233,'Snowball workings'!$AI$233))</f>
      </c>
      <c r="M231" s="30">
        <f>IF(OR(226&gt;$Z$1,NOT(OR('Your debts'!$B$9&lt;&gt;"",N('Your debts'!$C$9)&gt;0))),"",IF('Your debts'!$D$20="Avalanche",'Avalanche workings'!$AS$233,'Snowball workings'!$AS$233))</f>
      </c>
      <c r="N231" s="29">
        <f>IF(OR(226&gt;$Z$1,NOT(OR('Your debts'!$B$10&lt;&gt;"",N('Your debts'!$C$10)&gt;0))),"",IF('Your debts'!$D$20="Avalanche",'Avalanche workings'!$P$233,'Snowball workings'!$P$233)+IF('Your debts'!$D$20="Avalanche",'Avalanche workings'!$AJ$233,'Snowball workings'!$AJ$233))</f>
      </c>
      <c r="O231" s="30">
        <f>IF(OR(226&gt;$Z$1,NOT(OR('Your debts'!$B$10&lt;&gt;"",N('Your debts'!$C$10)&gt;0))),"",IF('Your debts'!$D$20="Avalanche",'Avalanche workings'!$AT$233,'Snowball workings'!$AT$233))</f>
      </c>
      <c r="P231" s="29">
        <f>IF(OR(226&gt;$Z$1,NOT(OR('Your debts'!$B$11&lt;&gt;"",N('Your debts'!$C$11)&gt;0))),"",IF('Your debts'!$D$20="Avalanche",'Avalanche workings'!$Q$233,'Snowball workings'!$Q$233)+IF('Your debts'!$D$20="Avalanche",'Avalanche workings'!$AK$233,'Snowball workings'!$AK$233))</f>
      </c>
      <c r="Q231" s="30">
        <f>IF(OR(226&gt;$Z$1,NOT(OR('Your debts'!$B$11&lt;&gt;"",N('Your debts'!$C$11)&gt;0))),"",IF('Your debts'!$D$20="Avalanche",'Avalanche workings'!$AU$233,'Snowball workings'!$AU$233))</f>
      </c>
      <c r="R231" s="29">
        <f>IF(OR(226&gt;$Z$1,NOT(OR('Your debts'!$B$12&lt;&gt;"",N('Your debts'!$C$12)&gt;0))),"",IF('Your debts'!$D$20="Avalanche",'Avalanche workings'!$R$233,'Snowball workings'!$R$233)+IF('Your debts'!$D$20="Avalanche",'Avalanche workings'!$AL$233,'Snowball workings'!$AL$233))</f>
      </c>
      <c r="S231" s="30">
        <f>IF(OR(226&gt;$Z$1,NOT(OR('Your debts'!$B$12&lt;&gt;"",N('Your debts'!$C$12)&gt;0))),"",IF('Your debts'!$D$20="Avalanche",'Avalanche workings'!$AV$233,'Snowball workings'!$AV$233))</f>
      </c>
      <c r="T231" s="29">
        <f>IF(OR(226&gt;$Z$1,NOT(OR('Your debts'!$B$13&lt;&gt;"",N('Your debts'!$C$13)&gt;0))),"",IF('Your debts'!$D$20="Avalanche",'Avalanche workings'!$S$233,'Snowball workings'!$S$233)+IF('Your debts'!$D$20="Avalanche",'Avalanche workings'!$AM$233,'Snowball workings'!$AM$233))</f>
      </c>
      <c r="U231" s="30">
        <f>IF(OR(226&gt;$Z$1,NOT(OR('Your debts'!$B$13&lt;&gt;"",N('Your debts'!$C$13)&gt;0))),"",IF('Your debts'!$D$20="Avalanche",'Avalanche workings'!$AW$233,'Snowball workings'!$AW$233))</f>
      </c>
      <c r="V231" s="29">
        <f>IF(OR(226&gt;$Z$1,NOT(OR('Your debts'!$B$14&lt;&gt;"",N('Your debts'!$C$14)&gt;0))),"",IF('Your debts'!$D$20="Avalanche",'Avalanche workings'!$T$233,'Snowball workings'!$T$233)+IF('Your debts'!$D$20="Avalanche",'Avalanche workings'!$AN$233,'Snowball workings'!$AN$233))</f>
      </c>
      <c r="W231" s="30">
        <f>IF(OR(226&gt;$Z$1,NOT(OR('Your debts'!$B$14&lt;&gt;"",N('Your debts'!$C$14)&gt;0))),"",IF('Your debts'!$D$20="Avalanche",'Avalanche workings'!$AX$233,'Snowball workings'!$AX$233))</f>
      </c>
      <c r="X231" s="29">
        <f>IF(OR(226&gt;$Z$1,NOT(OR('Your debts'!$B$15&lt;&gt;"",N('Your debts'!$C$15)&gt;0))),"",IF('Your debts'!$D$20="Avalanche",'Avalanche workings'!$U$233,'Snowball workings'!$U$233)+IF('Your debts'!$D$20="Avalanche",'Avalanche workings'!$AO$233,'Snowball workings'!$AO$233))</f>
      </c>
      <c r="Y231" s="30">
        <f>IF(OR(226&gt;$Z$1,NOT(OR('Your debts'!$B$15&lt;&gt;"",N('Your debts'!$C$15)&gt;0))),"",IF('Your debts'!$D$20="Avalanche",'Avalanche workings'!$AY$233,'Snowball workings'!$AY$233))</f>
      </c>
    </row>
    <row r="232" spans="1:25" x14ac:dyDescent="0.25">
      <c r="A232" s="2">
        <f>IF(227&gt;$Z$1,"",227)</f>
      </c>
      <c r="B232" s="28">
        <f>IF(227&gt;$Z$1,"",EDATE('Your debts'!$D$21,226))</f>
      </c>
      <c r="C232" s="29">
        <f>IF(227&gt;$Z$1,"",IF('Your debts'!$D$20="Avalanche",'Avalanche workings'!$BC$234,'Snowball workings'!$BC$234))</f>
      </c>
      <c r="D232" s="29">
        <f>IF(227&gt;$Z$1,"",IF('Your debts'!$D$20="Avalanche",'Avalanche workings'!$BA$234,'Snowball workings'!$BA$234))</f>
      </c>
      <c r="E232" s="29">
        <f>IF(227&gt;$Z$1,"",IF('Your debts'!$D$20="Avalanche",'Avalanche workings'!$BB$234,'Snowball workings'!$BB$234))</f>
      </c>
      <c r="F232" s="29">
        <f>IF(OR(227&gt;$Z$1,NOT(OR('Your debts'!$B$6&lt;&gt;"",N('Your debts'!$C$6)&gt;0))),"",IF('Your debts'!$D$20="Avalanche",'Avalanche workings'!$L$234,'Snowball workings'!$L$234)+IF('Your debts'!$D$20="Avalanche",'Avalanche workings'!$AF$234,'Snowball workings'!$AF$234))</f>
      </c>
      <c r="G232" s="30">
        <f>IF(OR(227&gt;$Z$1,NOT(OR('Your debts'!$B$6&lt;&gt;"",N('Your debts'!$C$6)&gt;0))),"",IF('Your debts'!$D$20="Avalanche",'Avalanche workings'!$AP$234,'Snowball workings'!$AP$234))</f>
      </c>
      <c r="H232" s="29">
        <f>IF(OR(227&gt;$Z$1,NOT(OR('Your debts'!$B$7&lt;&gt;"",N('Your debts'!$C$7)&gt;0))),"",IF('Your debts'!$D$20="Avalanche",'Avalanche workings'!$M$234,'Snowball workings'!$M$234)+IF('Your debts'!$D$20="Avalanche",'Avalanche workings'!$AG$234,'Snowball workings'!$AG$234))</f>
      </c>
      <c r="I232" s="30">
        <f>IF(OR(227&gt;$Z$1,NOT(OR('Your debts'!$B$7&lt;&gt;"",N('Your debts'!$C$7)&gt;0))),"",IF('Your debts'!$D$20="Avalanche",'Avalanche workings'!$AQ$234,'Snowball workings'!$AQ$234))</f>
      </c>
      <c r="J232" s="29">
        <f>IF(OR(227&gt;$Z$1,NOT(OR('Your debts'!$B$8&lt;&gt;"",N('Your debts'!$C$8)&gt;0))),"",IF('Your debts'!$D$20="Avalanche",'Avalanche workings'!$N$234,'Snowball workings'!$N$234)+IF('Your debts'!$D$20="Avalanche",'Avalanche workings'!$AH$234,'Snowball workings'!$AH$234))</f>
      </c>
      <c r="K232" s="30">
        <f>IF(OR(227&gt;$Z$1,NOT(OR('Your debts'!$B$8&lt;&gt;"",N('Your debts'!$C$8)&gt;0))),"",IF('Your debts'!$D$20="Avalanche",'Avalanche workings'!$AR$234,'Snowball workings'!$AR$234))</f>
      </c>
      <c r="L232" s="29">
        <f>IF(OR(227&gt;$Z$1,NOT(OR('Your debts'!$B$9&lt;&gt;"",N('Your debts'!$C$9)&gt;0))),"",IF('Your debts'!$D$20="Avalanche",'Avalanche workings'!$O$234,'Snowball workings'!$O$234)+IF('Your debts'!$D$20="Avalanche",'Avalanche workings'!$AI$234,'Snowball workings'!$AI$234))</f>
      </c>
      <c r="M232" s="30">
        <f>IF(OR(227&gt;$Z$1,NOT(OR('Your debts'!$B$9&lt;&gt;"",N('Your debts'!$C$9)&gt;0))),"",IF('Your debts'!$D$20="Avalanche",'Avalanche workings'!$AS$234,'Snowball workings'!$AS$234))</f>
      </c>
      <c r="N232" s="29">
        <f>IF(OR(227&gt;$Z$1,NOT(OR('Your debts'!$B$10&lt;&gt;"",N('Your debts'!$C$10)&gt;0))),"",IF('Your debts'!$D$20="Avalanche",'Avalanche workings'!$P$234,'Snowball workings'!$P$234)+IF('Your debts'!$D$20="Avalanche",'Avalanche workings'!$AJ$234,'Snowball workings'!$AJ$234))</f>
      </c>
      <c r="O232" s="30">
        <f>IF(OR(227&gt;$Z$1,NOT(OR('Your debts'!$B$10&lt;&gt;"",N('Your debts'!$C$10)&gt;0))),"",IF('Your debts'!$D$20="Avalanche",'Avalanche workings'!$AT$234,'Snowball workings'!$AT$234))</f>
      </c>
      <c r="P232" s="29">
        <f>IF(OR(227&gt;$Z$1,NOT(OR('Your debts'!$B$11&lt;&gt;"",N('Your debts'!$C$11)&gt;0))),"",IF('Your debts'!$D$20="Avalanche",'Avalanche workings'!$Q$234,'Snowball workings'!$Q$234)+IF('Your debts'!$D$20="Avalanche",'Avalanche workings'!$AK$234,'Snowball workings'!$AK$234))</f>
      </c>
      <c r="Q232" s="30">
        <f>IF(OR(227&gt;$Z$1,NOT(OR('Your debts'!$B$11&lt;&gt;"",N('Your debts'!$C$11)&gt;0))),"",IF('Your debts'!$D$20="Avalanche",'Avalanche workings'!$AU$234,'Snowball workings'!$AU$234))</f>
      </c>
      <c r="R232" s="29">
        <f>IF(OR(227&gt;$Z$1,NOT(OR('Your debts'!$B$12&lt;&gt;"",N('Your debts'!$C$12)&gt;0))),"",IF('Your debts'!$D$20="Avalanche",'Avalanche workings'!$R$234,'Snowball workings'!$R$234)+IF('Your debts'!$D$20="Avalanche",'Avalanche workings'!$AL$234,'Snowball workings'!$AL$234))</f>
      </c>
      <c r="S232" s="30">
        <f>IF(OR(227&gt;$Z$1,NOT(OR('Your debts'!$B$12&lt;&gt;"",N('Your debts'!$C$12)&gt;0))),"",IF('Your debts'!$D$20="Avalanche",'Avalanche workings'!$AV$234,'Snowball workings'!$AV$234))</f>
      </c>
      <c r="T232" s="29">
        <f>IF(OR(227&gt;$Z$1,NOT(OR('Your debts'!$B$13&lt;&gt;"",N('Your debts'!$C$13)&gt;0))),"",IF('Your debts'!$D$20="Avalanche",'Avalanche workings'!$S$234,'Snowball workings'!$S$234)+IF('Your debts'!$D$20="Avalanche",'Avalanche workings'!$AM$234,'Snowball workings'!$AM$234))</f>
      </c>
      <c r="U232" s="30">
        <f>IF(OR(227&gt;$Z$1,NOT(OR('Your debts'!$B$13&lt;&gt;"",N('Your debts'!$C$13)&gt;0))),"",IF('Your debts'!$D$20="Avalanche",'Avalanche workings'!$AW$234,'Snowball workings'!$AW$234))</f>
      </c>
      <c r="V232" s="29">
        <f>IF(OR(227&gt;$Z$1,NOT(OR('Your debts'!$B$14&lt;&gt;"",N('Your debts'!$C$14)&gt;0))),"",IF('Your debts'!$D$20="Avalanche",'Avalanche workings'!$T$234,'Snowball workings'!$T$234)+IF('Your debts'!$D$20="Avalanche",'Avalanche workings'!$AN$234,'Snowball workings'!$AN$234))</f>
      </c>
      <c r="W232" s="30">
        <f>IF(OR(227&gt;$Z$1,NOT(OR('Your debts'!$B$14&lt;&gt;"",N('Your debts'!$C$14)&gt;0))),"",IF('Your debts'!$D$20="Avalanche",'Avalanche workings'!$AX$234,'Snowball workings'!$AX$234))</f>
      </c>
      <c r="X232" s="29">
        <f>IF(OR(227&gt;$Z$1,NOT(OR('Your debts'!$B$15&lt;&gt;"",N('Your debts'!$C$15)&gt;0))),"",IF('Your debts'!$D$20="Avalanche",'Avalanche workings'!$U$234,'Snowball workings'!$U$234)+IF('Your debts'!$D$20="Avalanche",'Avalanche workings'!$AO$234,'Snowball workings'!$AO$234))</f>
      </c>
      <c r="Y232" s="30">
        <f>IF(OR(227&gt;$Z$1,NOT(OR('Your debts'!$B$15&lt;&gt;"",N('Your debts'!$C$15)&gt;0))),"",IF('Your debts'!$D$20="Avalanche",'Avalanche workings'!$AY$234,'Snowball workings'!$AY$234))</f>
      </c>
    </row>
    <row r="233" spans="1:25" x14ac:dyDescent="0.25">
      <c r="A233" s="2">
        <f>IF(228&gt;$Z$1,"",228)</f>
      </c>
      <c r="B233" s="28">
        <f>IF(228&gt;$Z$1,"",EDATE('Your debts'!$D$21,227))</f>
      </c>
      <c r="C233" s="29">
        <f>IF(228&gt;$Z$1,"",IF('Your debts'!$D$20="Avalanche",'Avalanche workings'!$BC$235,'Snowball workings'!$BC$235))</f>
      </c>
      <c r="D233" s="29">
        <f>IF(228&gt;$Z$1,"",IF('Your debts'!$D$20="Avalanche",'Avalanche workings'!$BA$235,'Snowball workings'!$BA$235))</f>
      </c>
      <c r="E233" s="29">
        <f>IF(228&gt;$Z$1,"",IF('Your debts'!$D$20="Avalanche",'Avalanche workings'!$BB$235,'Snowball workings'!$BB$235))</f>
      </c>
      <c r="F233" s="29">
        <f>IF(OR(228&gt;$Z$1,NOT(OR('Your debts'!$B$6&lt;&gt;"",N('Your debts'!$C$6)&gt;0))),"",IF('Your debts'!$D$20="Avalanche",'Avalanche workings'!$L$235,'Snowball workings'!$L$235)+IF('Your debts'!$D$20="Avalanche",'Avalanche workings'!$AF$235,'Snowball workings'!$AF$235))</f>
      </c>
      <c r="G233" s="30">
        <f>IF(OR(228&gt;$Z$1,NOT(OR('Your debts'!$B$6&lt;&gt;"",N('Your debts'!$C$6)&gt;0))),"",IF('Your debts'!$D$20="Avalanche",'Avalanche workings'!$AP$235,'Snowball workings'!$AP$235))</f>
      </c>
      <c r="H233" s="29">
        <f>IF(OR(228&gt;$Z$1,NOT(OR('Your debts'!$B$7&lt;&gt;"",N('Your debts'!$C$7)&gt;0))),"",IF('Your debts'!$D$20="Avalanche",'Avalanche workings'!$M$235,'Snowball workings'!$M$235)+IF('Your debts'!$D$20="Avalanche",'Avalanche workings'!$AG$235,'Snowball workings'!$AG$235))</f>
      </c>
      <c r="I233" s="30">
        <f>IF(OR(228&gt;$Z$1,NOT(OR('Your debts'!$B$7&lt;&gt;"",N('Your debts'!$C$7)&gt;0))),"",IF('Your debts'!$D$20="Avalanche",'Avalanche workings'!$AQ$235,'Snowball workings'!$AQ$235))</f>
      </c>
      <c r="J233" s="29">
        <f>IF(OR(228&gt;$Z$1,NOT(OR('Your debts'!$B$8&lt;&gt;"",N('Your debts'!$C$8)&gt;0))),"",IF('Your debts'!$D$20="Avalanche",'Avalanche workings'!$N$235,'Snowball workings'!$N$235)+IF('Your debts'!$D$20="Avalanche",'Avalanche workings'!$AH$235,'Snowball workings'!$AH$235))</f>
      </c>
      <c r="K233" s="30">
        <f>IF(OR(228&gt;$Z$1,NOT(OR('Your debts'!$B$8&lt;&gt;"",N('Your debts'!$C$8)&gt;0))),"",IF('Your debts'!$D$20="Avalanche",'Avalanche workings'!$AR$235,'Snowball workings'!$AR$235))</f>
      </c>
      <c r="L233" s="29">
        <f>IF(OR(228&gt;$Z$1,NOT(OR('Your debts'!$B$9&lt;&gt;"",N('Your debts'!$C$9)&gt;0))),"",IF('Your debts'!$D$20="Avalanche",'Avalanche workings'!$O$235,'Snowball workings'!$O$235)+IF('Your debts'!$D$20="Avalanche",'Avalanche workings'!$AI$235,'Snowball workings'!$AI$235))</f>
      </c>
      <c r="M233" s="30">
        <f>IF(OR(228&gt;$Z$1,NOT(OR('Your debts'!$B$9&lt;&gt;"",N('Your debts'!$C$9)&gt;0))),"",IF('Your debts'!$D$20="Avalanche",'Avalanche workings'!$AS$235,'Snowball workings'!$AS$235))</f>
      </c>
      <c r="N233" s="29">
        <f>IF(OR(228&gt;$Z$1,NOT(OR('Your debts'!$B$10&lt;&gt;"",N('Your debts'!$C$10)&gt;0))),"",IF('Your debts'!$D$20="Avalanche",'Avalanche workings'!$P$235,'Snowball workings'!$P$235)+IF('Your debts'!$D$20="Avalanche",'Avalanche workings'!$AJ$235,'Snowball workings'!$AJ$235))</f>
      </c>
      <c r="O233" s="30">
        <f>IF(OR(228&gt;$Z$1,NOT(OR('Your debts'!$B$10&lt;&gt;"",N('Your debts'!$C$10)&gt;0))),"",IF('Your debts'!$D$20="Avalanche",'Avalanche workings'!$AT$235,'Snowball workings'!$AT$235))</f>
      </c>
      <c r="P233" s="29">
        <f>IF(OR(228&gt;$Z$1,NOT(OR('Your debts'!$B$11&lt;&gt;"",N('Your debts'!$C$11)&gt;0))),"",IF('Your debts'!$D$20="Avalanche",'Avalanche workings'!$Q$235,'Snowball workings'!$Q$235)+IF('Your debts'!$D$20="Avalanche",'Avalanche workings'!$AK$235,'Snowball workings'!$AK$235))</f>
      </c>
      <c r="Q233" s="30">
        <f>IF(OR(228&gt;$Z$1,NOT(OR('Your debts'!$B$11&lt;&gt;"",N('Your debts'!$C$11)&gt;0))),"",IF('Your debts'!$D$20="Avalanche",'Avalanche workings'!$AU$235,'Snowball workings'!$AU$235))</f>
      </c>
      <c r="R233" s="29">
        <f>IF(OR(228&gt;$Z$1,NOT(OR('Your debts'!$B$12&lt;&gt;"",N('Your debts'!$C$12)&gt;0))),"",IF('Your debts'!$D$20="Avalanche",'Avalanche workings'!$R$235,'Snowball workings'!$R$235)+IF('Your debts'!$D$20="Avalanche",'Avalanche workings'!$AL$235,'Snowball workings'!$AL$235))</f>
      </c>
      <c r="S233" s="30">
        <f>IF(OR(228&gt;$Z$1,NOT(OR('Your debts'!$B$12&lt;&gt;"",N('Your debts'!$C$12)&gt;0))),"",IF('Your debts'!$D$20="Avalanche",'Avalanche workings'!$AV$235,'Snowball workings'!$AV$235))</f>
      </c>
      <c r="T233" s="29">
        <f>IF(OR(228&gt;$Z$1,NOT(OR('Your debts'!$B$13&lt;&gt;"",N('Your debts'!$C$13)&gt;0))),"",IF('Your debts'!$D$20="Avalanche",'Avalanche workings'!$S$235,'Snowball workings'!$S$235)+IF('Your debts'!$D$20="Avalanche",'Avalanche workings'!$AM$235,'Snowball workings'!$AM$235))</f>
      </c>
      <c r="U233" s="30">
        <f>IF(OR(228&gt;$Z$1,NOT(OR('Your debts'!$B$13&lt;&gt;"",N('Your debts'!$C$13)&gt;0))),"",IF('Your debts'!$D$20="Avalanche",'Avalanche workings'!$AW$235,'Snowball workings'!$AW$235))</f>
      </c>
      <c r="V233" s="29">
        <f>IF(OR(228&gt;$Z$1,NOT(OR('Your debts'!$B$14&lt;&gt;"",N('Your debts'!$C$14)&gt;0))),"",IF('Your debts'!$D$20="Avalanche",'Avalanche workings'!$T$235,'Snowball workings'!$T$235)+IF('Your debts'!$D$20="Avalanche",'Avalanche workings'!$AN$235,'Snowball workings'!$AN$235))</f>
      </c>
      <c r="W233" s="30">
        <f>IF(OR(228&gt;$Z$1,NOT(OR('Your debts'!$B$14&lt;&gt;"",N('Your debts'!$C$14)&gt;0))),"",IF('Your debts'!$D$20="Avalanche",'Avalanche workings'!$AX$235,'Snowball workings'!$AX$235))</f>
      </c>
      <c r="X233" s="29">
        <f>IF(OR(228&gt;$Z$1,NOT(OR('Your debts'!$B$15&lt;&gt;"",N('Your debts'!$C$15)&gt;0))),"",IF('Your debts'!$D$20="Avalanche",'Avalanche workings'!$U$235,'Snowball workings'!$U$235)+IF('Your debts'!$D$20="Avalanche",'Avalanche workings'!$AO$235,'Snowball workings'!$AO$235))</f>
      </c>
      <c r="Y233" s="30">
        <f>IF(OR(228&gt;$Z$1,NOT(OR('Your debts'!$B$15&lt;&gt;"",N('Your debts'!$C$15)&gt;0))),"",IF('Your debts'!$D$20="Avalanche",'Avalanche workings'!$AY$235,'Snowball workings'!$AY$235))</f>
      </c>
    </row>
    <row r="234" spans="1:25" x14ac:dyDescent="0.25">
      <c r="A234" s="2">
        <f>IF(229&gt;$Z$1,"",229)</f>
      </c>
      <c r="B234" s="28">
        <f>IF(229&gt;$Z$1,"",EDATE('Your debts'!$D$21,228))</f>
      </c>
      <c r="C234" s="29">
        <f>IF(229&gt;$Z$1,"",IF('Your debts'!$D$20="Avalanche",'Avalanche workings'!$BC$236,'Snowball workings'!$BC$236))</f>
      </c>
      <c r="D234" s="29">
        <f>IF(229&gt;$Z$1,"",IF('Your debts'!$D$20="Avalanche",'Avalanche workings'!$BA$236,'Snowball workings'!$BA$236))</f>
      </c>
      <c r="E234" s="29">
        <f>IF(229&gt;$Z$1,"",IF('Your debts'!$D$20="Avalanche",'Avalanche workings'!$BB$236,'Snowball workings'!$BB$236))</f>
      </c>
      <c r="F234" s="29">
        <f>IF(OR(229&gt;$Z$1,NOT(OR('Your debts'!$B$6&lt;&gt;"",N('Your debts'!$C$6)&gt;0))),"",IF('Your debts'!$D$20="Avalanche",'Avalanche workings'!$L$236,'Snowball workings'!$L$236)+IF('Your debts'!$D$20="Avalanche",'Avalanche workings'!$AF$236,'Snowball workings'!$AF$236))</f>
      </c>
      <c r="G234" s="30">
        <f>IF(OR(229&gt;$Z$1,NOT(OR('Your debts'!$B$6&lt;&gt;"",N('Your debts'!$C$6)&gt;0))),"",IF('Your debts'!$D$20="Avalanche",'Avalanche workings'!$AP$236,'Snowball workings'!$AP$236))</f>
      </c>
      <c r="H234" s="29">
        <f>IF(OR(229&gt;$Z$1,NOT(OR('Your debts'!$B$7&lt;&gt;"",N('Your debts'!$C$7)&gt;0))),"",IF('Your debts'!$D$20="Avalanche",'Avalanche workings'!$M$236,'Snowball workings'!$M$236)+IF('Your debts'!$D$20="Avalanche",'Avalanche workings'!$AG$236,'Snowball workings'!$AG$236))</f>
      </c>
      <c r="I234" s="30">
        <f>IF(OR(229&gt;$Z$1,NOT(OR('Your debts'!$B$7&lt;&gt;"",N('Your debts'!$C$7)&gt;0))),"",IF('Your debts'!$D$20="Avalanche",'Avalanche workings'!$AQ$236,'Snowball workings'!$AQ$236))</f>
      </c>
      <c r="J234" s="29">
        <f>IF(OR(229&gt;$Z$1,NOT(OR('Your debts'!$B$8&lt;&gt;"",N('Your debts'!$C$8)&gt;0))),"",IF('Your debts'!$D$20="Avalanche",'Avalanche workings'!$N$236,'Snowball workings'!$N$236)+IF('Your debts'!$D$20="Avalanche",'Avalanche workings'!$AH$236,'Snowball workings'!$AH$236))</f>
      </c>
      <c r="K234" s="30">
        <f>IF(OR(229&gt;$Z$1,NOT(OR('Your debts'!$B$8&lt;&gt;"",N('Your debts'!$C$8)&gt;0))),"",IF('Your debts'!$D$20="Avalanche",'Avalanche workings'!$AR$236,'Snowball workings'!$AR$236))</f>
      </c>
      <c r="L234" s="29">
        <f>IF(OR(229&gt;$Z$1,NOT(OR('Your debts'!$B$9&lt;&gt;"",N('Your debts'!$C$9)&gt;0))),"",IF('Your debts'!$D$20="Avalanche",'Avalanche workings'!$O$236,'Snowball workings'!$O$236)+IF('Your debts'!$D$20="Avalanche",'Avalanche workings'!$AI$236,'Snowball workings'!$AI$236))</f>
      </c>
      <c r="M234" s="30">
        <f>IF(OR(229&gt;$Z$1,NOT(OR('Your debts'!$B$9&lt;&gt;"",N('Your debts'!$C$9)&gt;0))),"",IF('Your debts'!$D$20="Avalanche",'Avalanche workings'!$AS$236,'Snowball workings'!$AS$236))</f>
      </c>
      <c r="N234" s="29">
        <f>IF(OR(229&gt;$Z$1,NOT(OR('Your debts'!$B$10&lt;&gt;"",N('Your debts'!$C$10)&gt;0))),"",IF('Your debts'!$D$20="Avalanche",'Avalanche workings'!$P$236,'Snowball workings'!$P$236)+IF('Your debts'!$D$20="Avalanche",'Avalanche workings'!$AJ$236,'Snowball workings'!$AJ$236))</f>
      </c>
      <c r="O234" s="30">
        <f>IF(OR(229&gt;$Z$1,NOT(OR('Your debts'!$B$10&lt;&gt;"",N('Your debts'!$C$10)&gt;0))),"",IF('Your debts'!$D$20="Avalanche",'Avalanche workings'!$AT$236,'Snowball workings'!$AT$236))</f>
      </c>
      <c r="P234" s="29">
        <f>IF(OR(229&gt;$Z$1,NOT(OR('Your debts'!$B$11&lt;&gt;"",N('Your debts'!$C$11)&gt;0))),"",IF('Your debts'!$D$20="Avalanche",'Avalanche workings'!$Q$236,'Snowball workings'!$Q$236)+IF('Your debts'!$D$20="Avalanche",'Avalanche workings'!$AK$236,'Snowball workings'!$AK$236))</f>
      </c>
      <c r="Q234" s="30">
        <f>IF(OR(229&gt;$Z$1,NOT(OR('Your debts'!$B$11&lt;&gt;"",N('Your debts'!$C$11)&gt;0))),"",IF('Your debts'!$D$20="Avalanche",'Avalanche workings'!$AU$236,'Snowball workings'!$AU$236))</f>
      </c>
      <c r="R234" s="29">
        <f>IF(OR(229&gt;$Z$1,NOT(OR('Your debts'!$B$12&lt;&gt;"",N('Your debts'!$C$12)&gt;0))),"",IF('Your debts'!$D$20="Avalanche",'Avalanche workings'!$R$236,'Snowball workings'!$R$236)+IF('Your debts'!$D$20="Avalanche",'Avalanche workings'!$AL$236,'Snowball workings'!$AL$236))</f>
      </c>
      <c r="S234" s="30">
        <f>IF(OR(229&gt;$Z$1,NOT(OR('Your debts'!$B$12&lt;&gt;"",N('Your debts'!$C$12)&gt;0))),"",IF('Your debts'!$D$20="Avalanche",'Avalanche workings'!$AV$236,'Snowball workings'!$AV$236))</f>
      </c>
      <c r="T234" s="29">
        <f>IF(OR(229&gt;$Z$1,NOT(OR('Your debts'!$B$13&lt;&gt;"",N('Your debts'!$C$13)&gt;0))),"",IF('Your debts'!$D$20="Avalanche",'Avalanche workings'!$S$236,'Snowball workings'!$S$236)+IF('Your debts'!$D$20="Avalanche",'Avalanche workings'!$AM$236,'Snowball workings'!$AM$236))</f>
      </c>
      <c r="U234" s="30">
        <f>IF(OR(229&gt;$Z$1,NOT(OR('Your debts'!$B$13&lt;&gt;"",N('Your debts'!$C$13)&gt;0))),"",IF('Your debts'!$D$20="Avalanche",'Avalanche workings'!$AW$236,'Snowball workings'!$AW$236))</f>
      </c>
      <c r="V234" s="29">
        <f>IF(OR(229&gt;$Z$1,NOT(OR('Your debts'!$B$14&lt;&gt;"",N('Your debts'!$C$14)&gt;0))),"",IF('Your debts'!$D$20="Avalanche",'Avalanche workings'!$T$236,'Snowball workings'!$T$236)+IF('Your debts'!$D$20="Avalanche",'Avalanche workings'!$AN$236,'Snowball workings'!$AN$236))</f>
      </c>
      <c r="W234" s="30">
        <f>IF(OR(229&gt;$Z$1,NOT(OR('Your debts'!$B$14&lt;&gt;"",N('Your debts'!$C$14)&gt;0))),"",IF('Your debts'!$D$20="Avalanche",'Avalanche workings'!$AX$236,'Snowball workings'!$AX$236))</f>
      </c>
      <c r="X234" s="29">
        <f>IF(OR(229&gt;$Z$1,NOT(OR('Your debts'!$B$15&lt;&gt;"",N('Your debts'!$C$15)&gt;0))),"",IF('Your debts'!$D$20="Avalanche",'Avalanche workings'!$U$236,'Snowball workings'!$U$236)+IF('Your debts'!$D$20="Avalanche",'Avalanche workings'!$AO$236,'Snowball workings'!$AO$236))</f>
      </c>
      <c r="Y234" s="30">
        <f>IF(OR(229&gt;$Z$1,NOT(OR('Your debts'!$B$15&lt;&gt;"",N('Your debts'!$C$15)&gt;0))),"",IF('Your debts'!$D$20="Avalanche",'Avalanche workings'!$AY$236,'Snowball workings'!$AY$236))</f>
      </c>
    </row>
    <row r="235" spans="1:25" x14ac:dyDescent="0.25">
      <c r="A235" s="2">
        <f>IF(230&gt;$Z$1,"",230)</f>
      </c>
      <c r="B235" s="28">
        <f>IF(230&gt;$Z$1,"",EDATE('Your debts'!$D$21,229))</f>
      </c>
      <c r="C235" s="29">
        <f>IF(230&gt;$Z$1,"",IF('Your debts'!$D$20="Avalanche",'Avalanche workings'!$BC$237,'Snowball workings'!$BC$237))</f>
      </c>
      <c r="D235" s="29">
        <f>IF(230&gt;$Z$1,"",IF('Your debts'!$D$20="Avalanche",'Avalanche workings'!$BA$237,'Snowball workings'!$BA$237))</f>
      </c>
      <c r="E235" s="29">
        <f>IF(230&gt;$Z$1,"",IF('Your debts'!$D$20="Avalanche",'Avalanche workings'!$BB$237,'Snowball workings'!$BB$237))</f>
      </c>
      <c r="F235" s="29">
        <f>IF(OR(230&gt;$Z$1,NOT(OR('Your debts'!$B$6&lt;&gt;"",N('Your debts'!$C$6)&gt;0))),"",IF('Your debts'!$D$20="Avalanche",'Avalanche workings'!$L$237,'Snowball workings'!$L$237)+IF('Your debts'!$D$20="Avalanche",'Avalanche workings'!$AF$237,'Snowball workings'!$AF$237))</f>
      </c>
      <c r="G235" s="30">
        <f>IF(OR(230&gt;$Z$1,NOT(OR('Your debts'!$B$6&lt;&gt;"",N('Your debts'!$C$6)&gt;0))),"",IF('Your debts'!$D$20="Avalanche",'Avalanche workings'!$AP$237,'Snowball workings'!$AP$237))</f>
      </c>
      <c r="H235" s="29">
        <f>IF(OR(230&gt;$Z$1,NOT(OR('Your debts'!$B$7&lt;&gt;"",N('Your debts'!$C$7)&gt;0))),"",IF('Your debts'!$D$20="Avalanche",'Avalanche workings'!$M$237,'Snowball workings'!$M$237)+IF('Your debts'!$D$20="Avalanche",'Avalanche workings'!$AG$237,'Snowball workings'!$AG$237))</f>
      </c>
      <c r="I235" s="30">
        <f>IF(OR(230&gt;$Z$1,NOT(OR('Your debts'!$B$7&lt;&gt;"",N('Your debts'!$C$7)&gt;0))),"",IF('Your debts'!$D$20="Avalanche",'Avalanche workings'!$AQ$237,'Snowball workings'!$AQ$237))</f>
      </c>
      <c r="J235" s="29">
        <f>IF(OR(230&gt;$Z$1,NOT(OR('Your debts'!$B$8&lt;&gt;"",N('Your debts'!$C$8)&gt;0))),"",IF('Your debts'!$D$20="Avalanche",'Avalanche workings'!$N$237,'Snowball workings'!$N$237)+IF('Your debts'!$D$20="Avalanche",'Avalanche workings'!$AH$237,'Snowball workings'!$AH$237))</f>
      </c>
      <c r="K235" s="30">
        <f>IF(OR(230&gt;$Z$1,NOT(OR('Your debts'!$B$8&lt;&gt;"",N('Your debts'!$C$8)&gt;0))),"",IF('Your debts'!$D$20="Avalanche",'Avalanche workings'!$AR$237,'Snowball workings'!$AR$237))</f>
      </c>
      <c r="L235" s="29">
        <f>IF(OR(230&gt;$Z$1,NOT(OR('Your debts'!$B$9&lt;&gt;"",N('Your debts'!$C$9)&gt;0))),"",IF('Your debts'!$D$20="Avalanche",'Avalanche workings'!$O$237,'Snowball workings'!$O$237)+IF('Your debts'!$D$20="Avalanche",'Avalanche workings'!$AI$237,'Snowball workings'!$AI$237))</f>
      </c>
      <c r="M235" s="30">
        <f>IF(OR(230&gt;$Z$1,NOT(OR('Your debts'!$B$9&lt;&gt;"",N('Your debts'!$C$9)&gt;0))),"",IF('Your debts'!$D$20="Avalanche",'Avalanche workings'!$AS$237,'Snowball workings'!$AS$237))</f>
      </c>
      <c r="N235" s="29">
        <f>IF(OR(230&gt;$Z$1,NOT(OR('Your debts'!$B$10&lt;&gt;"",N('Your debts'!$C$10)&gt;0))),"",IF('Your debts'!$D$20="Avalanche",'Avalanche workings'!$P$237,'Snowball workings'!$P$237)+IF('Your debts'!$D$20="Avalanche",'Avalanche workings'!$AJ$237,'Snowball workings'!$AJ$237))</f>
      </c>
      <c r="O235" s="30">
        <f>IF(OR(230&gt;$Z$1,NOT(OR('Your debts'!$B$10&lt;&gt;"",N('Your debts'!$C$10)&gt;0))),"",IF('Your debts'!$D$20="Avalanche",'Avalanche workings'!$AT$237,'Snowball workings'!$AT$237))</f>
      </c>
      <c r="P235" s="29">
        <f>IF(OR(230&gt;$Z$1,NOT(OR('Your debts'!$B$11&lt;&gt;"",N('Your debts'!$C$11)&gt;0))),"",IF('Your debts'!$D$20="Avalanche",'Avalanche workings'!$Q$237,'Snowball workings'!$Q$237)+IF('Your debts'!$D$20="Avalanche",'Avalanche workings'!$AK$237,'Snowball workings'!$AK$237))</f>
      </c>
      <c r="Q235" s="30">
        <f>IF(OR(230&gt;$Z$1,NOT(OR('Your debts'!$B$11&lt;&gt;"",N('Your debts'!$C$11)&gt;0))),"",IF('Your debts'!$D$20="Avalanche",'Avalanche workings'!$AU$237,'Snowball workings'!$AU$237))</f>
      </c>
      <c r="R235" s="29">
        <f>IF(OR(230&gt;$Z$1,NOT(OR('Your debts'!$B$12&lt;&gt;"",N('Your debts'!$C$12)&gt;0))),"",IF('Your debts'!$D$20="Avalanche",'Avalanche workings'!$R$237,'Snowball workings'!$R$237)+IF('Your debts'!$D$20="Avalanche",'Avalanche workings'!$AL$237,'Snowball workings'!$AL$237))</f>
      </c>
      <c r="S235" s="30">
        <f>IF(OR(230&gt;$Z$1,NOT(OR('Your debts'!$B$12&lt;&gt;"",N('Your debts'!$C$12)&gt;0))),"",IF('Your debts'!$D$20="Avalanche",'Avalanche workings'!$AV$237,'Snowball workings'!$AV$237))</f>
      </c>
      <c r="T235" s="29">
        <f>IF(OR(230&gt;$Z$1,NOT(OR('Your debts'!$B$13&lt;&gt;"",N('Your debts'!$C$13)&gt;0))),"",IF('Your debts'!$D$20="Avalanche",'Avalanche workings'!$S$237,'Snowball workings'!$S$237)+IF('Your debts'!$D$20="Avalanche",'Avalanche workings'!$AM$237,'Snowball workings'!$AM$237))</f>
      </c>
      <c r="U235" s="30">
        <f>IF(OR(230&gt;$Z$1,NOT(OR('Your debts'!$B$13&lt;&gt;"",N('Your debts'!$C$13)&gt;0))),"",IF('Your debts'!$D$20="Avalanche",'Avalanche workings'!$AW$237,'Snowball workings'!$AW$237))</f>
      </c>
      <c r="V235" s="29">
        <f>IF(OR(230&gt;$Z$1,NOT(OR('Your debts'!$B$14&lt;&gt;"",N('Your debts'!$C$14)&gt;0))),"",IF('Your debts'!$D$20="Avalanche",'Avalanche workings'!$T$237,'Snowball workings'!$T$237)+IF('Your debts'!$D$20="Avalanche",'Avalanche workings'!$AN$237,'Snowball workings'!$AN$237))</f>
      </c>
      <c r="W235" s="30">
        <f>IF(OR(230&gt;$Z$1,NOT(OR('Your debts'!$B$14&lt;&gt;"",N('Your debts'!$C$14)&gt;0))),"",IF('Your debts'!$D$20="Avalanche",'Avalanche workings'!$AX$237,'Snowball workings'!$AX$237))</f>
      </c>
      <c r="X235" s="29">
        <f>IF(OR(230&gt;$Z$1,NOT(OR('Your debts'!$B$15&lt;&gt;"",N('Your debts'!$C$15)&gt;0))),"",IF('Your debts'!$D$20="Avalanche",'Avalanche workings'!$U$237,'Snowball workings'!$U$237)+IF('Your debts'!$D$20="Avalanche",'Avalanche workings'!$AO$237,'Snowball workings'!$AO$237))</f>
      </c>
      <c r="Y235" s="30">
        <f>IF(OR(230&gt;$Z$1,NOT(OR('Your debts'!$B$15&lt;&gt;"",N('Your debts'!$C$15)&gt;0))),"",IF('Your debts'!$D$20="Avalanche",'Avalanche workings'!$AY$237,'Snowball workings'!$AY$237))</f>
      </c>
    </row>
    <row r="236" spans="1:25" x14ac:dyDescent="0.25">
      <c r="A236" s="2">
        <f>IF(231&gt;$Z$1,"",231)</f>
      </c>
      <c r="B236" s="28">
        <f>IF(231&gt;$Z$1,"",EDATE('Your debts'!$D$21,230))</f>
      </c>
      <c r="C236" s="29">
        <f>IF(231&gt;$Z$1,"",IF('Your debts'!$D$20="Avalanche",'Avalanche workings'!$BC$238,'Snowball workings'!$BC$238))</f>
      </c>
      <c r="D236" s="29">
        <f>IF(231&gt;$Z$1,"",IF('Your debts'!$D$20="Avalanche",'Avalanche workings'!$BA$238,'Snowball workings'!$BA$238))</f>
      </c>
      <c r="E236" s="29">
        <f>IF(231&gt;$Z$1,"",IF('Your debts'!$D$20="Avalanche",'Avalanche workings'!$BB$238,'Snowball workings'!$BB$238))</f>
      </c>
      <c r="F236" s="29">
        <f>IF(OR(231&gt;$Z$1,NOT(OR('Your debts'!$B$6&lt;&gt;"",N('Your debts'!$C$6)&gt;0))),"",IF('Your debts'!$D$20="Avalanche",'Avalanche workings'!$L$238,'Snowball workings'!$L$238)+IF('Your debts'!$D$20="Avalanche",'Avalanche workings'!$AF$238,'Snowball workings'!$AF$238))</f>
      </c>
      <c r="G236" s="30">
        <f>IF(OR(231&gt;$Z$1,NOT(OR('Your debts'!$B$6&lt;&gt;"",N('Your debts'!$C$6)&gt;0))),"",IF('Your debts'!$D$20="Avalanche",'Avalanche workings'!$AP$238,'Snowball workings'!$AP$238))</f>
      </c>
      <c r="H236" s="29">
        <f>IF(OR(231&gt;$Z$1,NOT(OR('Your debts'!$B$7&lt;&gt;"",N('Your debts'!$C$7)&gt;0))),"",IF('Your debts'!$D$20="Avalanche",'Avalanche workings'!$M$238,'Snowball workings'!$M$238)+IF('Your debts'!$D$20="Avalanche",'Avalanche workings'!$AG$238,'Snowball workings'!$AG$238))</f>
      </c>
      <c r="I236" s="30">
        <f>IF(OR(231&gt;$Z$1,NOT(OR('Your debts'!$B$7&lt;&gt;"",N('Your debts'!$C$7)&gt;0))),"",IF('Your debts'!$D$20="Avalanche",'Avalanche workings'!$AQ$238,'Snowball workings'!$AQ$238))</f>
      </c>
      <c r="J236" s="29">
        <f>IF(OR(231&gt;$Z$1,NOT(OR('Your debts'!$B$8&lt;&gt;"",N('Your debts'!$C$8)&gt;0))),"",IF('Your debts'!$D$20="Avalanche",'Avalanche workings'!$N$238,'Snowball workings'!$N$238)+IF('Your debts'!$D$20="Avalanche",'Avalanche workings'!$AH$238,'Snowball workings'!$AH$238))</f>
      </c>
      <c r="K236" s="30">
        <f>IF(OR(231&gt;$Z$1,NOT(OR('Your debts'!$B$8&lt;&gt;"",N('Your debts'!$C$8)&gt;0))),"",IF('Your debts'!$D$20="Avalanche",'Avalanche workings'!$AR$238,'Snowball workings'!$AR$238))</f>
      </c>
      <c r="L236" s="29">
        <f>IF(OR(231&gt;$Z$1,NOT(OR('Your debts'!$B$9&lt;&gt;"",N('Your debts'!$C$9)&gt;0))),"",IF('Your debts'!$D$20="Avalanche",'Avalanche workings'!$O$238,'Snowball workings'!$O$238)+IF('Your debts'!$D$20="Avalanche",'Avalanche workings'!$AI$238,'Snowball workings'!$AI$238))</f>
      </c>
      <c r="M236" s="30">
        <f>IF(OR(231&gt;$Z$1,NOT(OR('Your debts'!$B$9&lt;&gt;"",N('Your debts'!$C$9)&gt;0))),"",IF('Your debts'!$D$20="Avalanche",'Avalanche workings'!$AS$238,'Snowball workings'!$AS$238))</f>
      </c>
      <c r="N236" s="29">
        <f>IF(OR(231&gt;$Z$1,NOT(OR('Your debts'!$B$10&lt;&gt;"",N('Your debts'!$C$10)&gt;0))),"",IF('Your debts'!$D$20="Avalanche",'Avalanche workings'!$P$238,'Snowball workings'!$P$238)+IF('Your debts'!$D$20="Avalanche",'Avalanche workings'!$AJ$238,'Snowball workings'!$AJ$238))</f>
      </c>
      <c r="O236" s="30">
        <f>IF(OR(231&gt;$Z$1,NOT(OR('Your debts'!$B$10&lt;&gt;"",N('Your debts'!$C$10)&gt;0))),"",IF('Your debts'!$D$20="Avalanche",'Avalanche workings'!$AT$238,'Snowball workings'!$AT$238))</f>
      </c>
      <c r="P236" s="29">
        <f>IF(OR(231&gt;$Z$1,NOT(OR('Your debts'!$B$11&lt;&gt;"",N('Your debts'!$C$11)&gt;0))),"",IF('Your debts'!$D$20="Avalanche",'Avalanche workings'!$Q$238,'Snowball workings'!$Q$238)+IF('Your debts'!$D$20="Avalanche",'Avalanche workings'!$AK$238,'Snowball workings'!$AK$238))</f>
      </c>
      <c r="Q236" s="30">
        <f>IF(OR(231&gt;$Z$1,NOT(OR('Your debts'!$B$11&lt;&gt;"",N('Your debts'!$C$11)&gt;0))),"",IF('Your debts'!$D$20="Avalanche",'Avalanche workings'!$AU$238,'Snowball workings'!$AU$238))</f>
      </c>
      <c r="R236" s="29">
        <f>IF(OR(231&gt;$Z$1,NOT(OR('Your debts'!$B$12&lt;&gt;"",N('Your debts'!$C$12)&gt;0))),"",IF('Your debts'!$D$20="Avalanche",'Avalanche workings'!$R$238,'Snowball workings'!$R$238)+IF('Your debts'!$D$20="Avalanche",'Avalanche workings'!$AL$238,'Snowball workings'!$AL$238))</f>
      </c>
      <c r="S236" s="30">
        <f>IF(OR(231&gt;$Z$1,NOT(OR('Your debts'!$B$12&lt;&gt;"",N('Your debts'!$C$12)&gt;0))),"",IF('Your debts'!$D$20="Avalanche",'Avalanche workings'!$AV$238,'Snowball workings'!$AV$238))</f>
      </c>
      <c r="T236" s="29">
        <f>IF(OR(231&gt;$Z$1,NOT(OR('Your debts'!$B$13&lt;&gt;"",N('Your debts'!$C$13)&gt;0))),"",IF('Your debts'!$D$20="Avalanche",'Avalanche workings'!$S$238,'Snowball workings'!$S$238)+IF('Your debts'!$D$20="Avalanche",'Avalanche workings'!$AM$238,'Snowball workings'!$AM$238))</f>
      </c>
      <c r="U236" s="30">
        <f>IF(OR(231&gt;$Z$1,NOT(OR('Your debts'!$B$13&lt;&gt;"",N('Your debts'!$C$13)&gt;0))),"",IF('Your debts'!$D$20="Avalanche",'Avalanche workings'!$AW$238,'Snowball workings'!$AW$238))</f>
      </c>
      <c r="V236" s="29">
        <f>IF(OR(231&gt;$Z$1,NOT(OR('Your debts'!$B$14&lt;&gt;"",N('Your debts'!$C$14)&gt;0))),"",IF('Your debts'!$D$20="Avalanche",'Avalanche workings'!$T$238,'Snowball workings'!$T$238)+IF('Your debts'!$D$20="Avalanche",'Avalanche workings'!$AN$238,'Snowball workings'!$AN$238))</f>
      </c>
      <c r="W236" s="30">
        <f>IF(OR(231&gt;$Z$1,NOT(OR('Your debts'!$B$14&lt;&gt;"",N('Your debts'!$C$14)&gt;0))),"",IF('Your debts'!$D$20="Avalanche",'Avalanche workings'!$AX$238,'Snowball workings'!$AX$238))</f>
      </c>
      <c r="X236" s="29">
        <f>IF(OR(231&gt;$Z$1,NOT(OR('Your debts'!$B$15&lt;&gt;"",N('Your debts'!$C$15)&gt;0))),"",IF('Your debts'!$D$20="Avalanche",'Avalanche workings'!$U$238,'Snowball workings'!$U$238)+IF('Your debts'!$D$20="Avalanche",'Avalanche workings'!$AO$238,'Snowball workings'!$AO$238))</f>
      </c>
      <c r="Y236" s="30">
        <f>IF(OR(231&gt;$Z$1,NOT(OR('Your debts'!$B$15&lt;&gt;"",N('Your debts'!$C$15)&gt;0))),"",IF('Your debts'!$D$20="Avalanche",'Avalanche workings'!$AY$238,'Snowball workings'!$AY$238))</f>
      </c>
    </row>
    <row r="237" spans="1:25" x14ac:dyDescent="0.25">
      <c r="A237" s="2">
        <f>IF(232&gt;$Z$1,"",232)</f>
      </c>
      <c r="B237" s="28">
        <f>IF(232&gt;$Z$1,"",EDATE('Your debts'!$D$21,231))</f>
      </c>
      <c r="C237" s="29">
        <f>IF(232&gt;$Z$1,"",IF('Your debts'!$D$20="Avalanche",'Avalanche workings'!$BC$239,'Snowball workings'!$BC$239))</f>
      </c>
      <c r="D237" s="29">
        <f>IF(232&gt;$Z$1,"",IF('Your debts'!$D$20="Avalanche",'Avalanche workings'!$BA$239,'Snowball workings'!$BA$239))</f>
      </c>
      <c r="E237" s="29">
        <f>IF(232&gt;$Z$1,"",IF('Your debts'!$D$20="Avalanche",'Avalanche workings'!$BB$239,'Snowball workings'!$BB$239))</f>
      </c>
      <c r="F237" s="29">
        <f>IF(OR(232&gt;$Z$1,NOT(OR('Your debts'!$B$6&lt;&gt;"",N('Your debts'!$C$6)&gt;0))),"",IF('Your debts'!$D$20="Avalanche",'Avalanche workings'!$L$239,'Snowball workings'!$L$239)+IF('Your debts'!$D$20="Avalanche",'Avalanche workings'!$AF$239,'Snowball workings'!$AF$239))</f>
      </c>
      <c r="G237" s="30">
        <f>IF(OR(232&gt;$Z$1,NOT(OR('Your debts'!$B$6&lt;&gt;"",N('Your debts'!$C$6)&gt;0))),"",IF('Your debts'!$D$20="Avalanche",'Avalanche workings'!$AP$239,'Snowball workings'!$AP$239))</f>
      </c>
      <c r="H237" s="29">
        <f>IF(OR(232&gt;$Z$1,NOT(OR('Your debts'!$B$7&lt;&gt;"",N('Your debts'!$C$7)&gt;0))),"",IF('Your debts'!$D$20="Avalanche",'Avalanche workings'!$M$239,'Snowball workings'!$M$239)+IF('Your debts'!$D$20="Avalanche",'Avalanche workings'!$AG$239,'Snowball workings'!$AG$239))</f>
      </c>
      <c r="I237" s="30">
        <f>IF(OR(232&gt;$Z$1,NOT(OR('Your debts'!$B$7&lt;&gt;"",N('Your debts'!$C$7)&gt;0))),"",IF('Your debts'!$D$20="Avalanche",'Avalanche workings'!$AQ$239,'Snowball workings'!$AQ$239))</f>
      </c>
      <c r="J237" s="29">
        <f>IF(OR(232&gt;$Z$1,NOT(OR('Your debts'!$B$8&lt;&gt;"",N('Your debts'!$C$8)&gt;0))),"",IF('Your debts'!$D$20="Avalanche",'Avalanche workings'!$N$239,'Snowball workings'!$N$239)+IF('Your debts'!$D$20="Avalanche",'Avalanche workings'!$AH$239,'Snowball workings'!$AH$239))</f>
      </c>
      <c r="K237" s="30">
        <f>IF(OR(232&gt;$Z$1,NOT(OR('Your debts'!$B$8&lt;&gt;"",N('Your debts'!$C$8)&gt;0))),"",IF('Your debts'!$D$20="Avalanche",'Avalanche workings'!$AR$239,'Snowball workings'!$AR$239))</f>
      </c>
      <c r="L237" s="29">
        <f>IF(OR(232&gt;$Z$1,NOT(OR('Your debts'!$B$9&lt;&gt;"",N('Your debts'!$C$9)&gt;0))),"",IF('Your debts'!$D$20="Avalanche",'Avalanche workings'!$O$239,'Snowball workings'!$O$239)+IF('Your debts'!$D$20="Avalanche",'Avalanche workings'!$AI$239,'Snowball workings'!$AI$239))</f>
      </c>
      <c r="M237" s="30">
        <f>IF(OR(232&gt;$Z$1,NOT(OR('Your debts'!$B$9&lt;&gt;"",N('Your debts'!$C$9)&gt;0))),"",IF('Your debts'!$D$20="Avalanche",'Avalanche workings'!$AS$239,'Snowball workings'!$AS$239))</f>
      </c>
      <c r="N237" s="29">
        <f>IF(OR(232&gt;$Z$1,NOT(OR('Your debts'!$B$10&lt;&gt;"",N('Your debts'!$C$10)&gt;0))),"",IF('Your debts'!$D$20="Avalanche",'Avalanche workings'!$P$239,'Snowball workings'!$P$239)+IF('Your debts'!$D$20="Avalanche",'Avalanche workings'!$AJ$239,'Snowball workings'!$AJ$239))</f>
      </c>
      <c r="O237" s="30">
        <f>IF(OR(232&gt;$Z$1,NOT(OR('Your debts'!$B$10&lt;&gt;"",N('Your debts'!$C$10)&gt;0))),"",IF('Your debts'!$D$20="Avalanche",'Avalanche workings'!$AT$239,'Snowball workings'!$AT$239))</f>
      </c>
      <c r="P237" s="29">
        <f>IF(OR(232&gt;$Z$1,NOT(OR('Your debts'!$B$11&lt;&gt;"",N('Your debts'!$C$11)&gt;0))),"",IF('Your debts'!$D$20="Avalanche",'Avalanche workings'!$Q$239,'Snowball workings'!$Q$239)+IF('Your debts'!$D$20="Avalanche",'Avalanche workings'!$AK$239,'Snowball workings'!$AK$239))</f>
      </c>
      <c r="Q237" s="30">
        <f>IF(OR(232&gt;$Z$1,NOT(OR('Your debts'!$B$11&lt;&gt;"",N('Your debts'!$C$11)&gt;0))),"",IF('Your debts'!$D$20="Avalanche",'Avalanche workings'!$AU$239,'Snowball workings'!$AU$239))</f>
      </c>
      <c r="R237" s="29">
        <f>IF(OR(232&gt;$Z$1,NOT(OR('Your debts'!$B$12&lt;&gt;"",N('Your debts'!$C$12)&gt;0))),"",IF('Your debts'!$D$20="Avalanche",'Avalanche workings'!$R$239,'Snowball workings'!$R$239)+IF('Your debts'!$D$20="Avalanche",'Avalanche workings'!$AL$239,'Snowball workings'!$AL$239))</f>
      </c>
      <c r="S237" s="30">
        <f>IF(OR(232&gt;$Z$1,NOT(OR('Your debts'!$B$12&lt;&gt;"",N('Your debts'!$C$12)&gt;0))),"",IF('Your debts'!$D$20="Avalanche",'Avalanche workings'!$AV$239,'Snowball workings'!$AV$239))</f>
      </c>
      <c r="T237" s="29">
        <f>IF(OR(232&gt;$Z$1,NOT(OR('Your debts'!$B$13&lt;&gt;"",N('Your debts'!$C$13)&gt;0))),"",IF('Your debts'!$D$20="Avalanche",'Avalanche workings'!$S$239,'Snowball workings'!$S$239)+IF('Your debts'!$D$20="Avalanche",'Avalanche workings'!$AM$239,'Snowball workings'!$AM$239))</f>
      </c>
      <c r="U237" s="30">
        <f>IF(OR(232&gt;$Z$1,NOT(OR('Your debts'!$B$13&lt;&gt;"",N('Your debts'!$C$13)&gt;0))),"",IF('Your debts'!$D$20="Avalanche",'Avalanche workings'!$AW$239,'Snowball workings'!$AW$239))</f>
      </c>
      <c r="V237" s="29">
        <f>IF(OR(232&gt;$Z$1,NOT(OR('Your debts'!$B$14&lt;&gt;"",N('Your debts'!$C$14)&gt;0))),"",IF('Your debts'!$D$20="Avalanche",'Avalanche workings'!$T$239,'Snowball workings'!$T$239)+IF('Your debts'!$D$20="Avalanche",'Avalanche workings'!$AN$239,'Snowball workings'!$AN$239))</f>
      </c>
      <c r="W237" s="30">
        <f>IF(OR(232&gt;$Z$1,NOT(OR('Your debts'!$B$14&lt;&gt;"",N('Your debts'!$C$14)&gt;0))),"",IF('Your debts'!$D$20="Avalanche",'Avalanche workings'!$AX$239,'Snowball workings'!$AX$239))</f>
      </c>
      <c r="X237" s="29">
        <f>IF(OR(232&gt;$Z$1,NOT(OR('Your debts'!$B$15&lt;&gt;"",N('Your debts'!$C$15)&gt;0))),"",IF('Your debts'!$D$20="Avalanche",'Avalanche workings'!$U$239,'Snowball workings'!$U$239)+IF('Your debts'!$D$20="Avalanche",'Avalanche workings'!$AO$239,'Snowball workings'!$AO$239))</f>
      </c>
      <c r="Y237" s="30">
        <f>IF(OR(232&gt;$Z$1,NOT(OR('Your debts'!$B$15&lt;&gt;"",N('Your debts'!$C$15)&gt;0))),"",IF('Your debts'!$D$20="Avalanche",'Avalanche workings'!$AY$239,'Snowball workings'!$AY$239))</f>
      </c>
    </row>
    <row r="238" spans="1:25" x14ac:dyDescent="0.25">
      <c r="A238" s="2">
        <f>IF(233&gt;$Z$1,"",233)</f>
      </c>
      <c r="B238" s="28">
        <f>IF(233&gt;$Z$1,"",EDATE('Your debts'!$D$21,232))</f>
      </c>
      <c r="C238" s="29">
        <f>IF(233&gt;$Z$1,"",IF('Your debts'!$D$20="Avalanche",'Avalanche workings'!$BC$240,'Snowball workings'!$BC$240))</f>
      </c>
      <c r="D238" s="29">
        <f>IF(233&gt;$Z$1,"",IF('Your debts'!$D$20="Avalanche",'Avalanche workings'!$BA$240,'Snowball workings'!$BA$240))</f>
      </c>
      <c r="E238" s="29">
        <f>IF(233&gt;$Z$1,"",IF('Your debts'!$D$20="Avalanche",'Avalanche workings'!$BB$240,'Snowball workings'!$BB$240))</f>
      </c>
      <c r="F238" s="29">
        <f>IF(OR(233&gt;$Z$1,NOT(OR('Your debts'!$B$6&lt;&gt;"",N('Your debts'!$C$6)&gt;0))),"",IF('Your debts'!$D$20="Avalanche",'Avalanche workings'!$L$240,'Snowball workings'!$L$240)+IF('Your debts'!$D$20="Avalanche",'Avalanche workings'!$AF$240,'Snowball workings'!$AF$240))</f>
      </c>
      <c r="G238" s="30">
        <f>IF(OR(233&gt;$Z$1,NOT(OR('Your debts'!$B$6&lt;&gt;"",N('Your debts'!$C$6)&gt;0))),"",IF('Your debts'!$D$20="Avalanche",'Avalanche workings'!$AP$240,'Snowball workings'!$AP$240))</f>
      </c>
      <c r="H238" s="29">
        <f>IF(OR(233&gt;$Z$1,NOT(OR('Your debts'!$B$7&lt;&gt;"",N('Your debts'!$C$7)&gt;0))),"",IF('Your debts'!$D$20="Avalanche",'Avalanche workings'!$M$240,'Snowball workings'!$M$240)+IF('Your debts'!$D$20="Avalanche",'Avalanche workings'!$AG$240,'Snowball workings'!$AG$240))</f>
      </c>
      <c r="I238" s="30">
        <f>IF(OR(233&gt;$Z$1,NOT(OR('Your debts'!$B$7&lt;&gt;"",N('Your debts'!$C$7)&gt;0))),"",IF('Your debts'!$D$20="Avalanche",'Avalanche workings'!$AQ$240,'Snowball workings'!$AQ$240))</f>
      </c>
      <c r="J238" s="29">
        <f>IF(OR(233&gt;$Z$1,NOT(OR('Your debts'!$B$8&lt;&gt;"",N('Your debts'!$C$8)&gt;0))),"",IF('Your debts'!$D$20="Avalanche",'Avalanche workings'!$N$240,'Snowball workings'!$N$240)+IF('Your debts'!$D$20="Avalanche",'Avalanche workings'!$AH$240,'Snowball workings'!$AH$240))</f>
      </c>
      <c r="K238" s="30">
        <f>IF(OR(233&gt;$Z$1,NOT(OR('Your debts'!$B$8&lt;&gt;"",N('Your debts'!$C$8)&gt;0))),"",IF('Your debts'!$D$20="Avalanche",'Avalanche workings'!$AR$240,'Snowball workings'!$AR$240))</f>
      </c>
      <c r="L238" s="29">
        <f>IF(OR(233&gt;$Z$1,NOT(OR('Your debts'!$B$9&lt;&gt;"",N('Your debts'!$C$9)&gt;0))),"",IF('Your debts'!$D$20="Avalanche",'Avalanche workings'!$O$240,'Snowball workings'!$O$240)+IF('Your debts'!$D$20="Avalanche",'Avalanche workings'!$AI$240,'Snowball workings'!$AI$240))</f>
      </c>
      <c r="M238" s="30">
        <f>IF(OR(233&gt;$Z$1,NOT(OR('Your debts'!$B$9&lt;&gt;"",N('Your debts'!$C$9)&gt;0))),"",IF('Your debts'!$D$20="Avalanche",'Avalanche workings'!$AS$240,'Snowball workings'!$AS$240))</f>
      </c>
      <c r="N238" s="29">
        <f>IF(OR(233&gt;$Z$1,NOT(OR('Your debts'!$B$10&lt;&gt;"",N('Your debts'!$C$10)&gt;0))),"",IF('Your debts'!$D$20="Avalanche",'Avalanche workings'!$P$240,'Snowball workings'!$P$240)+IF('Your debts'!$D$20="Avalanche",'Avalanche workings'!$AJ$240,'Snowball workings'!$AJ$240))</f>
      </c>
      <c r="O238" s="30">
        <f>IF(OR(233&gt;$Z$1,NOT(OR('Your debts'!$B$10&lt;&gt;"",N('Your debts'!$C$10)&gt;0))),"",IF('Your debts'!$D$20="Avalanche",'Avalanche workings'!$AT$240,'Snowball workings'!$AT$240))</f>
      </c>
      <c r="P238" s="29">
        <f>IF(OR(233&gt;$Z$1,NOT(OR('Your debts'!$B$11&lt;&gt;"",N('Your debts'!$C$11)&gt;0))),"",IF('Your debts'!$D$20="Avalanche",'Avalanche workings'!$Q$240,'Snowball workings'!$Q$240)+IF('Your debts'!$D$20="Avalanche",'Avalanche workings'!$AK$240,'Snowball workings'!$AK$240))</f>
      </c>
      <c r="Q238" s="30">
        <f>IF(OR(233&gt;$Z$1,NOT(OR('Your debts'!$B$11&lt;&gt;"",N('Your debts'!$C$11)&gt;0))),"",IF('Your debts'!$D$20="Avalanche",'Avalanche workings'!$AU$240,'Snowball workings'!$AU$240))</f>
      </c>
      <c r="R238" s="29">
        <f>IF(OR(233&gt;$Z$1,NOT(OR('Your debts'!$B$12&lt;&gt;"",N('Your debts'!$C$12)&gt;0))),"",IF('Your debts'!$D$20="Avalanche",'Avalanche workings'!$R$240,'Snowball workings'!$R$240)+IF('Your debts'!$D$20="Avalanche",'Avalanche workings'!$AL$240,'Snowball workings'!$AL$240))</f>
      </c>
      <c r="S238" s="30">
        <f>IF(OR(233&gt;$Z$1,NOT(OR('Your debts'!$B$12&lt;&gt;"",N('Your debts'!$C$12)&gt;0))),"",IF('Your debts'!$D$20="Avalanche",'Avalanche workings'!$AV$240,'Snowball workings'!$AV$240))</f>
      </c>
      <c r="T238" s="29">
        <f>IF(OR(233&gt;$Z$1,NOT(OR('Your debts'!$B$13&lt;&gt;"",N('Your debts'!$C$13)&gt;0))),"",IF('Your debts'!$D$20="Avalanche",'Avalanche workings'!$S$240,'Snowball workings'!$S$240)+IF('Your debts'!$D$20="Avalanche",'Avalanche workings'!$AM$240,'Snowball workings'!$AM$240))</f>
      </c>
      <c r="U238" s="30">
        <f>IF(OR(233&gt;$Z$1,NOT(OR('Your debts'!$B$13&lt;&gt;"",N('Your debts'!$C$13)&gt;0))),"",IF('Your debts'!$D$20="Avalanche",'Avalanche workings'!$AW$240,'Snowball workings'!$AW$240))</f>
      </c>
      <c r="V238" s="29">
        <f>IF(OR(233&gt;$Z$1,NOT(OR('Your debts'!$B$14&lt;&gt;"",N('Your debts'!$C$14)&gt;0))),"",IF('Your debts'!$D$20="Avalanche",'Avalanche workings'!$T$240,'Snowball workings'!$T$240)+IF('Your debts'!$D$20="Avalanche",'Avalanche workings'!$AN$240,'Snowball workings'!$AN$240))</f>
      </c>
      <c r="W238" s="30">
        <f>IF(OR(233&gt;$Z$1,NOT(OR('Your debts'!$B$14&lt;&gt;"",N('Your debts'!$C$14)&gt;0))),"",IF('Your debts'!$D$20="Avalanche",'Avalanche workings'!$AX$240,'Snowball workings'!$AX$240))</f>
      </c>
      <c r="X238" s="29">
        <f>IF(OR(233&gt;$Z$1,NOT(OR('Your debts'!$B$15&lt;&gt;"",N('Your debts'!$C$15)&gt;0))),"",IF('Your debts'!$D$20="Avalanche",'Avalanche workings'!$U$240,'Snowball workings'!$U$240)+IF('Your debts'!$D$20="Avalanche",'Avalanche workings'!$AO$240,'Snowball workings'!$AO$240))</f>
      </c>
      <c r="Y238" s="30">
        <f>IF(OR(233&gt;$Z$1,NOT(OR('Your debts'!$B$15&lt;&gt;"",N('Your debts'!$C$15)&gt;0))),"",IF('Your debts'!$D$20="Avalanche",'Avalanche workings'!$AY$240,'Snowball workings'!$AY$240))</f>
      </c>
    </row>
    <row r="239" spans="1:25" x14ac:dyDescent="0.25">
      <c r="A239" s="2">
        <f>IF(234&gt;$Z$1,"",234)</f>
      </c>
      <c r="B239" s="28">
        <f>IF(234&gt;$Z$1,"",EDATE('Your debts'!$D$21,233))</f>
      </c>
      <c r="C239" s="29">
        <f>IF(234&gt;$Z$1,"",IF('Your debts'!$D$20="Avalanche",'Avalanche workings'!$BC$241,'Snowball workings'!$BC$241))</f>
      </c>
      <c r="D239" s="29">
        <f>IF(234&gt;$Z$1,"",IF('Your debts'!$D$20="Avalanche",'Avalanche workings'!$BA$241,'Snowball workings'!$BA$241))</f>
      </c>
      <c r="E239" s="29">
        <f>IF(234&gt;$Z$1,"",IF('Your debts'!$D$20="Avalanche",'Avalanche workings'!$BB$241,'Snowball workings'!$BB$241))</f>
      </c>
      <c r="F239" s="29">
        <f>IF(OR(234&gt;$Z$1,NOT(OR('Your debts'!$B$6&lt;&gt;"",N('Your debts'!$C$6)&gt;0))),"",IF('Your debts'!$D$20="Avalanche",'Avalanche workings'!$L$241,'Snowball workings'!$L$241)+IF('Your debts'!$D$20="Avalanche",'Avalanche workings'!$AF$241,'Snowball workings'!$AF$241))</f>
      </c>
      <c r="G239" s="30">
        <f>IF(OR(234&gt;$Z$1,NOT(OR('Your debts'!$B$6&lt;&gt;"",N('Your debts'!$C$6)&gt;0))),"",IF('Your debts'!$D$20="Avalanche",'Avalanche workings'!$AP$241,'Snowball workings'!$AP$241))</f>
      </c>
      <c r="H239" s="29">
        <f>IF(OR(234&gt;$Z$1,NOT(OR('Your debts'!$B$7&lt;&gt;"",N('Your debts'!$C$7)&gt;0))),"",IF('Your debts'!$D$20="Avalanche",'Avalanche workings'!$M$241,'Snowball workings'!$M$241)+IF('Your debts'!$D$20="Avalanche",'Avalanche workings'!$AG$241,'Snowball workings'!$AG$241))</f>
      </c>
      <c r="I239" s="30">
        <f>IF(OR(234&gt;$Z$1,NOT(OR('Your debts'!$B$7&lt;&gt;"",N('Your debts'!$C$7)&gt;0))),"",IF('Your debts'!$D$20="Avalanche",'Avalanche workings'!$AQ$241,'Snowball workings'!$AQ$241))</f>
      </c>
      <c r="J239" s="29">
        <f>IF(OR(234&gt;$Z$1,NOT(OR('Your debts'!$B$8&lt;&gt;"",N('Your debts'!$C$8)&gt;0))),"",IF('Your debts'!$D$20="Avalanche",'Avalanche workings'!$N$241,'Snowball workings'!$N$241)+IF('Your debts'!$D$20="Avalanche",'Avalanche workings'!$AH$241,'Snowball workings'!$AH$241))</f>
      </c>
      <c r="K239" s="30">
        <f>IF(OR(234&gt;$Z$1,NOT(OR('Your debts'!$B$8&lt;&gt;"",N('Your debts'!$C$8)&gt;0))),"",IF('Your debts'!$D$20="Avalanche",'Avalanche workings'!$AR$241,'Snowball workings'!$AR$241))</f>
      </c>
      <c r="L239" s="29">
        <f>IF(OR(234&gt;$Z$1,NOT(OR('Your debts'!$B$9&lt;&gt;"",N('Your debts'!$C$9)&gt;0))),"",IF('Your debts'!$D$20="Avalanche",'Avalanche workings'!$O$241,'Snowball workings'!$O$241)+IF('Your debts'!$D$20="Avalanche",'Avalanche workings'!$AI$241,'Snowball workings'!$AI$241))</f>
      </c>
      <c r="M239" s="30">
        <f>IF(OR(234&gt;$Z$1,NOT(OR('Your debts'!$B$9&lt;&gt;"",N('Your debts'!$C$9)&gt;0))),"",IF('Your debts'!$D$20="Avalanche",'Avalanche workings'!$AS$241,'Snowball workings'!$AS$241))</f>
      </c>
      <c r="N239" s="29">
        <f>IF(OR(234&gt;$Z$1,NOT(OR('Your debts'!$B$10&lt;&gt;"",N('Your debts'!$C$10)&gt;0))),"",IF('Your debts'!$D$20="Avalanche",'Avalanche workings'!$P$241,'Snowball workings'!$P$241)+IF('Your debts'!$D$20="Avalanche",'Avalanche workings'!$AJ$241,'Snowball workings'!$AJ$241))</f>
      </c>
      <c r="O239" s="30">
        <f>IF(OR(234&gt;$Z$1,NOT(OR('Your debts'!$B$10&lt;&gt;"",N('Your debts'!$C$10)&gt;0))),"",IF('Your debts'!$D$20="Avalanche",'Avalanche workings'!$AT$241,'Snowball workings'!$AT$241))</f>
      </c>
      <c r="P239" s="29">
        <f>IF(OR(234&gt;$Z$1,NOT(OR('Your debts'!$B$11&lt;&gt;"",N('Your debts'!$C$11)&gt;0))),"",IF('Your debts'!$D$20="Avalanche",'Avalanche workings'!$Q$241,'Snowball workings'!$Q$241)+IF('Your debts'!$D$20="Avalanche",'Avalanche workings'!$AK$241,'Snowball workings'!$AK$241))</f>
      </c>
      <c r="Q239" s="30">
        <f>IF(OR(234&gt;$Z$1,NOT(OR('Your debts'!$B$11&lt;&gt;"",N('Your debts'!$C$11)&gt;0))),"",IF('Your debts'!$D$20="Avalanche",'Avalanche workings'!$AU$241,'Snowball workings'!$AU$241))</f>
      </c>
      <c r="R239" s="29">
        <f>IF(OR(234&gt;$Z$1,NOT(OR('Your debts'!$B$12&lt;&gt;"",N('Your debts'!$C$12)&gt;0))),"",IF('Your debts'!$D$20="Avalanche",'Avalanche workings'!$R$241,'Snowball workings'!$R$241)+IF('Your debts'!$D$20="Avalanche",'Avalanche workings'!$AL$241,'Snowball workings'!$AL$241))</f>
      </c>
      <c r="S239" s="30">
        <f>IF(OR(234&gt;$Z$1,NOT(OR('Your debts'!$B$12&lt;&gt;"",N('Your debts'!$C$12)&gt;0))),"",IF('Your debts'!$D$20="Avalanche",'Avalanche workings'!$AV$241,'Snowball workings'!$AV$241))</f>
      </c>
      <c r="T239" s="29">
        <f>IF(OR(234&gt;$Z$1,NOT(OR('Your debts'!$B$13&lt;&gt;"",N('Your debts'!$C$13)&gt;0))),"",IF('Your debts'!$D$20="Avalanche",'Avalanche workings'!$S$241,'Snowball workings'!$S$241)+IF('Your debts'!$D$20="Avalanche",'Avalanche workings'!$AM$241,'Snowball workings'!$AM$241))</f>
      </c>
      <c r="U239" s="30">
        <f>IF(OR(234&gt;$Z$1,NOT(OR('Your debts'!$B$13&lt;&gt;"",N('Your debts'!$C$13)&gt;0))),"",IF('Your debts'!$D$20="Avalanche",'Avalanche workings'!$AW$241,'Snowball workings'!$AW$241))</f>
      </c>
      <c r="V239" s="29">
        <f>IF(OR(234&gt;$Z$1,NOT(OR('Your debts'!$B$14&lt;&gt;"",N('Your debts'!$C$14)&gt;0))),"",IF('Your debts'!$D$20="Avalanche",'Avalanche workings'!$T$241,'Snowball workings'!$T$241)+IF('Your debts'!$D$20="Avalanche",'Avalanche workings'!$AN$241,'Snowball workings'!$AN$241))</f>
      </c>
      <c r="W239" s="30">
        <f>IF(OR(234&gt;$Z$1,NOT(OR('Your debts'!$B$14&lt;&gt;"",N('Your debts'!$C$14)&gt;0))),"",IF('Your debts'!$D$20="Avalanche",'Avalanche workings'!$AX$241,'Snowball workings'!$AX$241))</f>
      </c>
      <c r="X239" s="29">
        <f>IF(OR(234&gt;$Z$1,NOT(OR('Your debts'!$B$15&lt;&gt;"",N('Your debts'!$C$15)&gt;0))),"",IF('Your debts'!$D$20="Avalanche",'Avalanche workings'!$U$241,'Snowball workings'!$U$241)+IF('Your debts'!$D$20="Avalanche",'Avalanche workings'!$AO$241,'Snowball workings'!$AO$241))</f>
      </c>
      <c r="Y239" s="30">
        <f>IF(OR(234&gt;$Z$1,NOT(OR('Your debts'!$B$15&lt;&gt;"",N('Your debts'!$C$15)&gt;0))),"",IF('Your debts'!$D$20="Avalanche",'Avalanche workings'!$AY$241,'Snowball workings'!$AY$241))</f>
      </c>
    </row>
    <row r="240" spans="1:25" x14ac:dyDescent="0.25">
      <c r="A240" s="2">
        <f>IF(235&gt;$Z$1,"",235)</f>
      </c>
      <c r="B240" s="28">
        <f>IF(235&gt;$Z$1,"",EDATE('Your debts'!$D$21,234))</f>
      </c>
      <c r="C240" s="29">
        <f>IF(235&gt;$Z$1,"",IF('Your debts'!$D$20="Avalanche",'Avalanche workings'!$BC$242,'Snowball workings'!$BC$242))</f>
      </c>
      <c r="D240" s="29">
        <f>IF(235&gt;$Z$1,"",IF('Your debts'!$D$20="Avalanche",'Avalanche workings'!$BA$242,'Snowball workings'!$BA$242))</f>
      </c>
      <c r="E240" s="29">
        <f>IF(235&gt;$Z$1,"",IF('Your debts'!$D$20="Avalanche",'Avalanche workings'!$BB$242,'Snowball workings'!$BB$242))</f>
      </c>
      <c r="F240" s="29">
        <f>IF(OR(235&gt;$Z$1,NOT(OR('Your debts'!$B$6&lt;&gt;"",N('Your debts'!$C$6)&gt;0))),"",IF('Your debts'!$D$20="Avalanche",'Avalanche workings'!$L$242,'Snowball workings'!$L$242)+IF('Your debts'!$D$20="Avalanche",'Avalanche workings'!$AF$242,'Snowball workings'!$AF$242))</f>
      </c>
      <c r="G240" s="30">
        <f>IF(OR(235&gt;$Z$1,NOT(OR('Your debts'!$B$6&lt;&gt;"",N('Your debts'!$C$6)&gt;0))),"",IF('Your debts'!$D$20="Avalanche",'Avalanche workings'!$AP$242,'Snowball workings'!$AP$242))</f>
      </c>
      <c r="H240" s="29">
        <f>IF(OR(235&gt;$Z$1,NOT(OR('Your debts'!$B$7&lt;&gt;"",N('Your debts'!$C$7)&gt;0))),"",IF('Your debts'!$D$20="Avalanche",'Avalanche workings'!$M$242,'Snowball workings'!$M$242)+IF('Your debts'!$D$20="Avalanche",'Avalanche workings'!$AG$242,'Snowball workings'!$AG$242))</f>
      </c>
      <c r="I240" s="30">
        <f>IF(OR(235&gt;$Z$1,NOT(OR('Your debts'!$B$7&lt;&gt;"",N('Your debts'!$C$7)&gt;0))),"",IF('Your debts'!$D$20="Avalanche",'Avalanche workings'!$AQ$242,'Snowball workings'!$AQ$242))</f>
      </c>
      <c r="J240" s="29">
        <f>IF(OR(235&gt;$Z$1,NOT(OR('Your debts'!$B$8&lt;&gt;"",N('Your debts'!$C$8)&gt;0))),"",IF('Your debts'!$D$20="Avalanche",'Avalanche workings'!$N$242,'Snowball workings'!$N$242)+IF('Your debts'!$D$20="Avalanche",'Avalanche workings'!$AH$242,'Snowball workings'!$AH$242))</f>
      </c>
      <c r="K240" s="30">
        <f>IF(OR(235&gt;$Z$1,NOT(OR('Your debts'!$B$8&lt;&gt;"",N('Your debts'!$C$8)&gt;0))),"",IF('Your debts'!$D$20="Avalanche",'Avalanche workings'!$AR$242,'Snowball workings'!$AR$242))</f>
      </c>
      <c r="L240" s="29">
        <f>IF(OR(235&gt;$Z$1,NOT(OR('Your debts'!$B$9&lt;&gt;"",N('Your debts'!$C$9)&gt;0))),"",IF('Your debts'!$D$20="Avalanche",'Avalanche workings'!$O$242,'Snowball workings'!$O$242)+IF('Your debts'!$D$20="Avalanche",'Avalanche workings'!$AI$242,'Snowball workings'!$AI$242))</f>
      </c>
      <c r="M240" s="30">
        <f>IF(OR(235&gt;$Z$1,NOT(OR('Your debts'!$B$9&lt;&gt;"",N('Your debts'!$C$9)&gt;0))),"",IF('Your debts'!$D$20="Avalanche",'Avalanche workings'!$AS$242,'Snowball workings'!$AS$242))</f>
      </c>
      <c r="N240" s="29">
        <f>IF(OR(235&gt;$Z$1,NOT(OR('Your debts'!$B$10&lt;&gt;"",N('Your debts'!$C$10)&gt;0))),"",IF('Your debts'!$D$20="Avalanche",'Avalanche workings'!$P$242,'Snowball workings'!$P$242)+IF('Your debts'!$D$20="Avalanche",'Avalanche workings'!$AJ$242,'Snowball workings'!$AJ$242))</f>
      </c>
      <c r="O240" s="30">
        <f>IF(OR(235&gt;$Z$1,NOT(OR('Your debts'!$B$10&lt;&gt;"",N('Your debts'!$C$10)&gt;0))),"",IF('Your debts'!$D$20="Avalanche",'Avalanche workings'!$AT$242,'Snowball workings'!$AT$242))</f>
      </c>
      <c r="P240" s="29">
        <f>IF(OR(235&gt;$Z$1,NOT(OR('Your debts'!$B$11&lt;&gt;"",N('Your debts'!$C$11)&gt;0))),"",IF('Your debts'!$D$20="Avalanche",'Avalanche workings'!$Q$242,'Snowball workings'!$Q$242)+IF('Your debts'!$D$20="Avalanche",'Avalanche workings'!$AK$242,'Snowball workings'!$AK$242))</f>
      </c>
      <c r="Q240" s="30">
        <f>IF(OR(235&gt;$Z$1,NOT(OR('Your debts'!$B$11&lt;&gt;"",N('Your debts'!$C$11)&gt;0))),"",IF('Your debts'!$D$20="Avalanche",'Avalanche workings'!$AU$242,'Snowball workings'!$AU$242))</f>
      </c>
      <c r="R240" s="29">
        <f>IF(OR(235&gt;$Z$1,NOT(OR('Your debts'!$B$12&lt;&gt;"",N('Your debts'!$C$12)&gt;0))),"",IF('Your debts'!$D$20="Avalanche",'Avalanche workings'!$R$242,'Snowball workings'!$R$242)+IF('Your debts'!$D$20="Avalanche",'Avalanche workings'!$AL$242,'Snowball workings'!$AL$242))</f>
      </c>
      <c r="S240" s="30">
        <f>IF(OR(235&gt;$Z$1,NOT(OR('Your debts'!$B$12&lt;&gt;"",N('Your debts'!$C$12)&gt;0))),"",IF('Your debts'!$D$20="Avalanche",'Avalanche workings'!$AV$242,'Snowball workings'!$AV$242))</f>
      </c>
      <c r="T240" s="29">
        <f>IF(OR(235&gt;$Z$1,NOT(OR('Your debts'!$B$13&lt;&gt;"",N('Your debts'!$C$13)&gt;0))),"",IF('Your debts'!$D$20="Avalanche",'Avalanche workings'!$S$242,'Snowball workings'!$S$242)+IF('Your debts'!$D$20="Avalanche",'Avalanche workings'!$AM$242,'Snowball workings'!$AM$242))</f>
      </c>
      <c r="U240" s="30">
        <f>IF(OR(235&gt;$Z$1,NOT(OR('Your debts'!$B$13&lt;&gt;"",N('Your debts'!$C$13)&gt;0))),"",IF('Your debts'!$D$20="Avalanche",'Avalanche workings'!$AW$242,'Snowball workings'!$AW$242))</f>
      </c>
      <c r="V240" s="29">
        <f>IF(OR(235&gt;$Z$1,NOT(OR('Your debts'!$B$14&lt;&gt;"",N('Your debts'!$C$14)&gt;0))),"",IF('Your debts'!$D$20="Avalanche",'Avalanche workings'!$T$242,'Snowball workings'!$T$242)+IF('Your debts'!$D$20="Avalanche",'Avalanche workings'!$AN$242,'Snowball workings'!$AN$242))</f>
      </c>
      <c r="W240" s="30">
        <f>IF(OR(235&gt;$Z$1,NOT(OR('Your debts'!$B$14&lt;&gt;"",N('Your debts'!$C$14)&gt;0))),"",IF('Your debts'!$D$20="Avalanche",'Avalanche workings'!$AX$242,'Snowball workings'!$AX$242))</f>
      </c>
      <c r="X240" s="29">
        <f>IF(OR(235&gt;$Z$1,NOT(OR('Your debts'!$B$15&lt;&gt;"",N('Your debts'!$C$15)&gt;0))),"",IF('Your debts'!$D$20="Avalanche",'Avalanche workings'!$U$242,'Snowball workings'!$U$242)+IF('Your debts'!$D$20="Avalanche",'Avalanche workings'!$AO$242,'Snowball workings'!$AO$242))</f>
      </c>
      <c r="Y240" s="30">
        <f>IF(OR(235&gt;$Z$1,NOT(OR('Your debts'!$B$15&lt;&gt;"",N('Your debts'!$C$15)&gt;0))),"",IF('Your debts'!$D$20="Avalanche",'Avalanche workings'!$AY$242,'Snowball workings'!$AY$242))</f>
      </c>
    </row>
    <row r="241" spans="1:25" x14ac:dyDescent="0.25">
      <c r="A241" s="2">
        <f>IF(236&gt;$Z$1,"",236)</f>
      </c>
      <c r="B241" s="28">
        <f>IF(236&gt;$Z$1,"",EDATE('Your debts'!$D$21,235))</f>
      </c>
      <c r="C241" s="29">
        <f>IF(236&gt;$Z$1,"",IF('Your debts'!$D$20="Avalanche",'Avalanche workings'!$BC$243,'Snowball workings'!$BC$243))</f>
      </c>
      <c r="D241" s="29">
        <f>IF(236&gt;$Z$1,"",IF('Your debts'!$D$20="Avalanche",'Avalanche workings'!$BA$243,'Snowball workings'!$BA$243))</f>
      </c>
      <c r="E241" s="29">
        <f>IF(236&gt;$Z$1,"",IF('Your debts'!$D$20="Avalanche",'Avalanche workings'!$BB$243,'Snowball workings'!$BB$243))</f>
      </c>
      <c r="F241" s="29">
        <f>IF(OR(236&gt;$Z$1,NOT(OR('Your debts'!$B$6&lt;&gt;"",N('Your debts'!$C$6)&gt;0))),"",IF('Your debts'!$D$20="Avalanche",'Avalanche workings'!$L$243,'Snowball workings'!$L$243)+IF('Your debts'!$D$20="Avalanche",'Avalanche workings'!$AF$243,'Snowball workings'!$AF$243))</f>
      </c>
      <c r="G241" s="30">
        <f>IF(OR(236&gt;$Z$1,NOT(OR('Your debts'!$B$6&lt;&gt;"",N('Your debts'!$C$6)&gt;0))),"",IF('Your debts'!$D$20="Avalanche",'Avalanche workings'!$AP$243,'Snowball workings'!$AP$243))</f>
      </c>
      <c r="H241" s="29">
        <f>IF(OR(236&gt;$Z$1,NOT(OR('Your debts'!$B$7&lt;&gt;"",N('Your debts'!$C$7)&gt;0))),"",IF('Your debts'!$D$20="Avalanche",'Avalanche workings'!$M$243,'Snowball workings'!$M$243)+IF('Your debts'!$D$20="Avalanche",'Avalanche workings'!$AG$243,'Snowball workings'!$AG$243))</f>
      </c>
      <c r="I241" s="30">
        <f>IF(OR(236&gt;$Z$1,NOT(OR('Your debts'!$B$7&lt;&gt;"",N('Your debts'!$C$7)&gt;0))),"",IF('Your debts'!$D$20="Avalanche",'Avalanche workings'!$AQ$243,'Snowball workings'!$AQ$243))</f>
      </c>
      <c r="J241" s="29">
        <f>IF(OR(236&gt;$Z$1,NOT(OR('Your debts'!$B$8&lt;&gt;"",N('Your debts'!$C$8)&gt;0))),"",IF('Your debts'!$D$20="Avalanche",'Avalanche workings'!$N$243,'Snowball workings'!$N$243)+IF('Your debts'!$D$20="Avalanche",'Avalanche workings'!$AH$243,'Snowball workings'!$AH$243))</f>
      </c>
      <c r="K241" s="30">
        <f>IF(OR(236&gt;$Z$1,NOT(OR('Your debts'!$B$8&lt;&gt;"",N('Your debts'!$C$8)&gt;0))),"",IF('Your debts'!$D$20="Avalanche",'Avalanche workings'!$AR$243,'Snowball workings'!$AR$243))</f>
      </c>
      <c r="L241" s="29">
        <f>IF(OR(236&gt;$Z$1,NOT(OR('Your debts'!$B$9&lt;&gt;"",N('Your debts'!$C$9)&gt;0))),"",IF('Your debts'!$D$20="Avalanche",'Avalanche workings'!$O$243,'Snowball workings'!$O$243)+IF('Your debts'!$D$20="Avalanche",'Avalanche workings'!$AI$243,'Snowball workings'!$AI$243))</f>
      </c>
      <c r="M241" s="30">
        <f>IF(OR(236&gt;$Z$1,NOT(OR('Your debts'!$B$9&lt;&gt;"",N('Your debts'!$C$9)&gt;0))),"",IF('Your debts'!$D$20="Avalanche",'Avalanche workings'!$AS$243,'Snowball workings'!$AS$243))</f>
      </c>
      <c r="N241" s="29">
        <f>IF(OR(236&gt;$Z$1,NOT(OR('Your debts'!$B$10&lt;&gt;"",N('Your debts'!$C$10)&gt;0))),"",IF('Your debts'!$D$20="Avalanche",'Avalanche workings'!$P$243,'Snowball workings'!$P$243)+IF('Your debts'!$D$20="Avalanche",'Avalanche workings'!$AJ$243,'Snowball workings'!$AJ$243))</f>
      </c>
      <c r="O241" s="30">
        <f>IF(OR(236&gt;$Z$1,NOT(OR('Your debts'!$B$10&lt;&gt;"",N('Your debts'!$C$10)&gt;0))),"",IF('Your debts'!$D$20="Avalanche",'Avalanche workings'!$AT$243,'Snowball workings'!$AT$243))</f>
      </c>
      <c r="P241" s="29">
        <f>IF(OR(236&gt;$Z$1,NOT(OR('Your debts'!$B$11&lt;&gt;"",N('Your debts'!$C$11)&gt;0))),"",IF('Your debts'!$D$20="Avalanche",'Avalanche workings'!$Q$243,'Snowball workings'!$Q$243)+IF('Your debts'!$D$20="Avalanche",'Avalanche workings'!$AK$243,'Snowball workings'!$AK$243))</f>
      </c>
      <c r="Q241" s="30">
        <f>IF(OR(236&gt;$Z$1,NOT(OR('Your debts'!$B$11&lt;&gt;"",N('Your debts'!$C$11)&gt;0))),"",IF('Your debts'!$D$20="Avalanche",'Avalanche workings'!$AU$243,'Snowball workings'!$AU$243))</f>
      </c>
      <c r="R241" s="29">
        <f>IF(OR(236&gt;$Z$1,NOT(OR('Your debts'!$B$12&lt;&gt;"",N('Your debts'!$C$12)&gt;0))),"",IF('Your debts'!$D$20="Avalanche",'Avalanche workings'!$R$243,'Snowball workings'!$R$243)+IF('Your debts'!$D$20="Avalanche",'Avalanche workings'!$AL$243,'Snowball workings'!$AL$243))</f>
      </c>
      <c r="S241" s="30">
        <f>IF(OR(236&gt;$Z$1,NOT(OR('Your debts'!$B$12&lt;&gt;"",N('Your debts'!$C$12)&gt;0))),"",IF('Your debts'!$D$20="Avalanche",'Avalanche workings'!$AV$243,'Snowball workings'!$AV$243))</f>
      </c>
      <c r="T241" s="29">
        <f>IF(OR(236&gt;$Z$1,NOT(OR('Your debts'!$B$13&lt;&gt;"",N('Your debts'!$C$13)&gt;0))),"",IF('Your debts'!$D$20="Avalanche",'Avalanche workings'!$S$243,'Snowball workings'!$S$243)+IF('Your debts'!$D$20="Avalanche",'Avalanche workings'!$AM$243,'Snowball workings'!$AM$243))</f>
      </c>
      <c r="U241" s="30">
        <f>IF(OR(236&gt;$Z$1,NOT(OR('Your debts'!$B$13&lt;&gt;"",N('Your debts'!$C$13)&gt;0))),"",IF('Your debts'!$D$20="Avalanche",'Avalanche workings'!$AW$243,'Snowball workings'!$AW$243))</f>
      </c>
      <c r="V241" s="29">
        <f>IF(OR(236&gt;$Z$1,NOT(OR('Your debts'!$B$14&lt;&gt;"",N('Your debts'!$C$14)&gt;0))),"",IF('Your debts'!$D$20="Avalanche",'Avalanche workings'!$T$243,'Snowball workings'!$T$243)+IF('Your debts'!$D$20="Avalanche",'Avalanche workings'!$AN$243,'Snowball workings'!$AN$243))</f>
      </c>
      <c r="W241" s="30">
        <f>IF(OR(236&gt;$Z$1,NOT(OR('Your debts'!$B$14&lt;&gt;"",N('Your debts'!$C$14)&gt;0))),"",IF('Your debts'!$D$20="Avalanche",'Avalanche workings'!$AX$243,'Snowball workings'!$AX$243))</f>
      </c>
      <c r="X241" s="29">
        <f>IF(OR(236&gt;$Z$1,NOT(OR('Your debts'!$B$15&lt;&gt;"",N('Your debts'!$C$15)&gt;0))),"",IF('Your debts'!$D$20="Avalanche",'Avalanche workings'!$U$243,'Snowball workings'!$U$243)+IF('Your debts'!$D$20="Avalanche",'Avalanche workings'!$AO$243,'Snowball workings'!$AO$243))</f>
      </c>
      <c r="Y241" s="30">
        <f>IF(OR(236&gt;$Z$1,NOT(OR('Your debts'!$B$15&lt;&gt;"",N('Your debts'!$C$15)&gt;0))),"",IF('Your debts'!$D$20="Avalanche",'Avalanche workings'!$AY$243,'Snowball workings'!$AY$243))</f>
      </c>
    </row>
    <row r="242" spans="1:25" x14ac:dyDescent="0.25">
      <c r="A242" s="2">
        <f>IF(237&gt;$Z$1,"",237)</f>
      </c>
      <c r="B242" s="28">
        <f>IF(237&gt;$Z$1,"",EDATE('Your debts'!$D$21,236))</f>
      </c>
      <c r="C242" s="29">
        <f>IF(237&gt;$Z$1,"",IF('Your debts'!$D$20="Avalanche",'Avalanche workings'!$BC$244,'Snowball workings'!$BC$244))</f>
      </c>
      <c r="D242" s="29">
        <f>IF(237&gt;$Z$1,"",IF('Your debts'!$D$20="Avalanche",'Avalanche workings'!$BA$244,'Snowball workings'!$BA$244))</f>
      </c>
      <c r="E242" s="29">
        <f>IF(237&gt;$Z$1,"",IF('Your debts'!$D$20="Avalanche",'Avalanche workings'!$BB$244,'Snowball workings'!$BB$244))</f>
      </c>
      <c r="F242" s="29">
        <f>IF(OR(237&gt;$Z$1,NOT(OR('Your debts'!$B$6&lt;&gt;"",N('Your debts'!$C$6)&gt;0))),"",IF('Your debts'!$D$20="Avalanche",'Avalanche workings'!$L$244,'Snowball workings'!$L$244)+IF('Your debts'!$D$20="Avalanche",'Avalanche workings'!$AF$244,'Snowball workings'!$AF$244))</f>
      </c>
      <c r="G242" s="30">
        <f>IF(OR(237&gt;$Z$1,NOT(OR('Your debts'!$B$6&lt;&gt;"",N('Your debts'!$C$6)&gt;0))),"",IF('Your debts'!$D$20="Avalanche",'Avalanche workings'!$AP$244,'Snowball workings'!$AP$244))</f>
      </c>
      <c r="H242" s="29">
        <f>IF(OR(237&gt;$Z$1,NOT(OR('Your debts'!$B$7&lt;&gt;"",N('Your debts'!$C$7)&gt;0))),"",IF('Your debts'!$D$20="Avalanche",'Avalanche workings'!$M$244,'Snowball workings'!$M$244)+IF('Your debts'!$D$20="Avalanche",'Avalanche workings'!$AG$244,'Snowball workings'!$AG$244))</f>
      </c>
      <c r="I242" s="30">
        <f>IF(OR(237&gt;$Z$1,NOT(OR('Your debts'!$B$7&lt;&gt;"",N('Your debts'!$C$7)&gt;0))),"",IF('Your debts'!$D$20="Avalanche",'Avalanche workings'!$AQ$244,'Snowball workings'!$AQ$244))</f>
      </c>
      <c r="J242" s="29">
        <f>IF(OR(237&gt;$Z$1,NOT(OR('Your debts'!$B$8&lt;&gt;"",N('Your debts'!$C$8)&gt;0))),"",IF('Your debts'!$D$20="Avalanche",'Avalanche workings'!$N$244,'Snowball workings'!$N$244)+IF('Your debts'!$D$20="Avalanche",'Avalanche workings'!$AH$244,'Snowball workings'!$AH$244))</f>
      </c>
      <c r="K242" s="30">
        <f>IF(OR(237&gt;$Z$1,NOT(OR('Your debts'!$B$8&lt;&gt;"",N('Your debts'!$C$8)&gt;0))),"",IF('Your debts'!$D$20="Avalanche",'Avalanche workings'!$AR$244,'Snowball workings'!$AR$244))</f>
      </c>
      <c r="L242" s="29">
        <f>IF(OR(237&gt;$Z$1,NOT(OR('Your debts'!$B$9&lt;&gt;"",N('Your debts'!$C$9)&gt;0))),"",IF('Your debts'!$D$20="Avalanche",'Avalanche workings'!$O$244,'Snowball workings'!$O$244)+IF('Your debts'!$D$20="Avalanche",'Avalanche workings'!$AI$244,'Snowball workings'!$AI$244))</f>
      </c>
      <c r="M242" s="30">
        <f>IF(OR(237&gt;$Z$1,NOT(OR('Your debts'!$B$9&lt;&gt;"",N('Your debts'!$C$9)&gt;0))),"",IF('Your debts'!$D$20="Avalanche",'Avalanche workings'!$AS$244,'Snowball workings'!$AS$244))</f>
      </c>
      <c r="N242" s="29">
        <f>IF(OR(237&gt;$Z$1,NOT(OR('Your debts'!$B$10&lt;&gt;"",N('Your debts'!$C$10)&gt;0))),"",IF('Your debts'!$D$20="Avalanche",'Avalanche workings'!$P$244,'Snowball workings'!$P$244)+IF('Your debts'!$D$20="Avalanche",'Avalanche workings'!$AJ$244,'Snowball workings'!$AJ$244))</f>
      </c>
      <c r="O242" s="30">
        <f>IF(OR(237&gt;$Z$1,NOT(OR('Your debts'!$B$10&lt;&gt;"",N('Your debts'!$C$10)&gt;0))),"",IF('Your debts'!$D$20="Avalanche",'Avalanche workings'!$AT$244,'Snowball workings'!$AT$244))</f>
      </c>
      <c r="P242" s="29">
        <f>IF(OR(237&gt;$Z$1,NOT(OR('Your debts'!$B$11&lt;&gt;"",N('Your debts'!$C$11)&gt;0))),"",IF('Your debts'!$D$20="Avalanche",'Avalanche workings'!$Q$244,'Snowball workings'!$Q$244)+IF('Your debts'!$D$20="Avalanche",'Avalanche workings'!$AK$244,'Snowball workings'!$AK$244))</f>
      </c>
      <c r="Q242" s="30">
        <f>IF(OR(237&gt;$Z$1,NOT(OR('Your debts'!$B$11&lt;&gt;"",N('Your debts'!$C$11)&gt;0))),"",IF('Your debts'!$D$20="Avalanche",'Avalanche workings'!$AU$244,'Snowball workings'!$AU$244))</f>
      </c>
      <c r="R242" s="29">
        <f>IF(OR(237&gt;$Z$1,NOT(OR('Your debts'!$B$12&lt;&gt;"",N('Your debts'!$C$12)&gt;0))),"",IF('Your debts'!$D$20="Avalanche",'Avalanche workings'!$R$244,'Snowball workings'!$R$244)+IF('Your debts'!$D$20="Avalanche",'Avalanche workings'!$AL$244,'Snowball workings'!$AL$244))</f>
      </c>
      <c r="S242" s="30">
        <f>IF(OR(237&gt;$Z$1,NOT(OR('Your debts'!$B$12&lt;&gt;"",N('Your debts'!$C$12)&gt;0))),"",IF('Your debts'!$D$20="Avalanche",'Avalanche workings'!$AV$244,'Snowball workings'!$AV$244))</f>
      </c>
      <c r="T242" s="29">
        <f>IF(OR(237&gt;$Z$1,NOT(OR('Your debts'!$B$13&lt;&gt;"",N('Your debts'!$C$13)&gt;0))),"",IF('Your debts'!$D$20="Avalanche",'Avalanche workings'!$S$244,'Snowball workings'!$S$244)+IF('Your debts'!$D$20="Avalanche",'Avalanche workings'!$AM$244,'Snowball workings'!$AM$244))</f>
      </c>
      <c r="U242" s="30">
        <f>IF(OR(237&gt;$Z$1,NOT(OR('Your debts'!$B$13&lt;&gt;"",N('Your debts'!$C$13)&gt;0))),"",IF('Your debts'!$D$20="Avalanche",'Avalanche workings'!$AW$244,'Snowball workings'!$AW$244))</f>
      </c>
      <c r="V242" s="29">
        <f>IF(OR(237&gt;$Z$1,NOT(OR('Your debts'!$B$14&lt;&gt;"",N('Your debts'!$C$14)&gt;0))),"",IF('Your debts'!$D$20="Avalanche",'Avalanche workings'!$T$244,'Snowball workings'!$T$244)+IF('Your debts'!$D$20="Avalanche",'Avalanche workings'!$AN$244,'Snowball workings'!$AN$244))</f>
      </c>
      <c r="W242" s="30">
        <f>IF(OR(237&gt;$Z$1,NOT(OR('Your debts'!$B$14&lt;&gt;"",N('Your debts'!$C$14)&gt;0))),"",IF('Your debts'!$D$20="Avalanche",'Avalanche workings'!$AX$244,'Snowball workings'!$AX$244))</f>
      </c>
      <c r="X242" s="29">
        <f>IF(OR(237&gt;$Z$1,NOT(OR('Your debts'!$B$15&lt;&gt;"",N('Your debts'!$C$15)&gt;0))),"",IF('Your debts'!$D$20="Avalanche",'Avalanche workings'!$U$244,'Snowball workings'!$U$244)+IF('Your debts'!$D$20="Avalanche",'Avalanche workings'!$AO$244,'Snowball workings'!$AO$244))</f>
      </c>
      <c r="Y242" s="30">
        <f>IF(OR(237&gt;$Z$1,NOT(OR('Your debts'!$B$15&lt;&gt;"",N('Your debts'!$C$15)&gt;0))),"",IF('Your debts'!$D$20="Avalanche",'Avalanche workings'!$AY$244,'Snowball workings'!$AY$244))</f>
      </c>
    </row>
    <row r="243" spans="1:25" x14ac:dyDescent="0.25">
      <c r="A243" s="2">
        <f>IF(238&gt;$Z$1,"",238)</f>
      </c>
      <c r="B243" s="28">
        <f>IF(238&gt;$Z$1,"",EDATE('Your debts'!$D$21,237))</f>
      </c>
      <c r="C243" s="29">
        <f>IF(238&gt;$Z$1,"",IF('Your debts'!$D$20="Avalanche",'Avalanche workings'!$BC$245,'Snowball workings'!$BC$245))</f>
      </c>
      <c r="D243" s="29">
        <f>IF(238&gt;$Z$1,"",IF('Your debts'!$D$20="Avalanche",'Avalanche workings'!$BA$245,'Snowball workings'!$BA$245))</f>
      </c>
      <c r="E243" s="29">
        <f>IF(238&gt;$Z$1,"",IF('Your debts'!$D$20="Avalanche",'Avalanche workings'!$BB$245,'Snowball workings'!$BB$245))</f>
      </c>
      <c r="F243" s="29">
        <f>IF(OR(238&gt;$Z$1,NOT(OR('Your debts'!$B$6&lt;&gt;"",N('Your debts'!$C$6)&gt;0))),"",IF('Your debts'!$D$20="Avalanche",'Avalanche workings'!$L$245,'Snowball workings'!$L$245)+IF('Your debts'!$D$20="Avalanche",'Avalanche workings'!$AF$245,'Snowball workings'!$AF$245))</f>
      </c>
      <c r="G243" s="30">
        <f>IF(OR(238&gt;$Z$1,NOT(OR('Your debts'!$B$6&lt;&gt;"",N('Your debts'!$C$6)&gt;0))),"",IF('Your debts'!$D$20="Avalanche",'Avalanche workings'!$AP$245,'Snowball workings'!$AP$245))</f>
      </c>
      <c r="H243" s="29">
        <f>IF(OR(238&gt;$Z$1,NOT(OR('Your debts'!$B$7&lt;&gt;"",N('Your debts'!$C$7)&gt;0))),"",IF('Your debts'!$D$20="Avalanche",'Avalanche workings'!$M$245,'Snowball workings'!$M$245)+IF('Your debts'!$D$20="Avalanche",'Avalanche workings'!$AG$245,'Snowball workings'!$AG$245))</f>
      </c>
      <c r="I243" s="30">
        <f>IF(OR(238&gt;$Z$1,NOT(OR('Your debts'!$B$7&lt;&gt;"",N('Your debts'!$C$7)&gt;0))),"",IF('Your debts'!$D$20="Avalanche",'Avalanche workings'!$AQ$245,'Snowball workings'!$AQ$245))</f>
      </c>
      <c r="J243" s="29">
        <f>IF(OR(238&gt;$Z$1,NOT(OR('Your debts'!$B$8&lt;&gt;"",N('Your debts'!$C$8)&gt;0))),"",IF('Your debts'!$D$20="Avalanche",'Avalanche workings'!$N$245,'Snowball workings'!$N$245)+IF('Your debts'!$D$20="Avalanche",'Avalanche workings'!$AH$245,'Snowball workings'!$AH$245))</f>
      </c>
      <c r="K243" s="30">
        <f>IF(OR(238&gt;$Z$1,NOT(OR('Your debts'!$B$8&lt;&gt;"",N('Your debts'!$C$8)&gt;0))),"",IF('Your debts'!$D$20="Avalanche",'Avalanche workings'!$AR$245,'Snowball workings'!$AR$245))</f>
      </c>
      <c r="L243" s="29">
        <f>IF(OR(238&gt;$Z$1,NOT(OR('Your debts'!$B$9&lt;&gt;"",N('Your debts'!$C$9)&gt;0))),"",IF('Your debts'!$D$20="Avalanche",'Avalanche workings'!$O$245,'Snowball workings'!$O$245)+IF('Your debts'!$D$20="Avalanche",'Avalanche workings'!$AI$245,'Snowball workings'!$AI$245))</f>
      </c>
      <c r="M243" s="30">
        <f>IF(OR(238&gt;$Z$1,NOT(OR('Your debts'!$B$9&lt;&gt;"",N('Your debts'!$C$9)&gt;0))),"",IF('Your debts'!$D$20="Avalanche",'Avalanche workings'!$AS$245,'Snowball workings'!$AS$245))</f>
      </c>
      <c r="N243" s="29">
        <f>IF(OR(238&gt;$Z$1,NOT(OR('Your debts'!$B$10&lt;&gt;"",N('Your debts'!$C$10)&gt;0))),"",IF('Your debts'!$D$20="Avalanche",'Avalanche workings'!$P$245,'Snowball workings'!$P$245)+IF('Your debts'!$D$20="Avalanche",'Avalanche workings'!$AJ$245,'Snowball workings'!$AJ$245))</f>
      </c>
      <c r="O243" s="30">
        <f>IF(OR(238&gt;$Z$1,NOT(OR('Your debts'!$B$10&lt;&gt;"",N('Your debts'!$C$10)&gt;0))),"",IF('Your debts'!$D$20="Avalanche",'Avalanche workings'!$AT$245,'Snowball workings'!$AT$245))</f>
      </c>
      <c r="P243" s="29">
        <f>IF(OR(238&gt;$Z$1,NOT(OR('Your debts'!$B$11&lt;&gt;"",N('Your debts'!$C$11)&gt;0))),"",IF('Your debts'!$D$20="Avalanche",'Avalanche workings'!$Q$245,'Snowball workings'!$Q$245)+IF('Your debts'!$D$20="Avalanche",'Avalanche workings'!$AK$245,'Snowball workings'!$AK$245))</f>
      </c>
      <c r="Q243" s="30">
        <f>IF(OR(238&gt;$Z$1,NOT(OR('Your debts'!$B$11&lt;&gt;"",N('Your debts'!$C$11)&gt;0))),"",IF('Your debts'!$D$20="Avalanche",'Avalanche workings'!$AU$245,'Snowball workings'!$AU$245))</f>
      </c>
      <c r="R243" s="29">
        <f>IF(OR(238&gt;$Z$1,NOT(OR('Your debts'!$B$12&lt;&gt;"",N('Your debts'!$C$12)&gt;0))),"",IF('Your debts'!$D$20="Avalanche",'Avalanche workings'!$R$245,'Snowball workings'!$R$245)+IF('Your debts'!$D$20="Avalanche",'Avalanche workings'!$AL$245,'Snowball workings'!$AL$245))</f>
      </c>
      <c r="S243" s="30">
        <f>IF(OR(238&gt;$Z$1,NOT(OR('Your debts'!$B$12&lt;&gt;"",N('Your debts'!$C$12)&gt;0))),"",IF('Your debts'!$D$20="Avalanche",'Avalanche workings'!$AV$245,'Snowball workings'!$AV$245))</f>
      </c>
      <c r="T243" s="29">
        <f>IF(OR(238&gt;$Z$1,NOT(OR('Your debts'!$B$13&lt;&gt;"",N('Your debts'!$C$13)&gt;0))),"",IF('Your debts'!$D$20="Avalanche",'Avalanche workings'!$S$245,'Snowball workings'!$S$245)+IF('Your debts'!$D$20="Avalanche",'Avalanche workings'!$AM$245,'Snowball workings'!$AM$245))</f>
      </c>
      <c r="U243" s="30">
        <f>IF(OR(238&gt;$Z$1,NOT(OR('Your debts'!$B$13&lt;&gt;"",N('Your debts'!$C$13)&gt;0))),"",IF('Your debts'!$D$20="Avalanche",'Avalanche workings'!$AW$245,'Snowball workings'!$AW$245))</f>
      </c>
      <c r="V243" s="29">
        <f>IF(OR(238&gt;$Z$1,NOT(OR('Your debts'!$B$14&lt;&gt;"",N('Your debts'!$C$14)&gt;0))),"",IF('Your debts'!$D$20="Avalanche",'Avalanche workings'!$T$245,'Snowball workings'!$T$245)+IF('Your debts'!$D$20="Avalanche",'Avalanche workings'!$AN$245,'Snowball workings'!$AN$245))</f>
      </c>
      <c r="W243" s="30">
        <f>IF(OR(238&gt;$Z$1,NOT(OR('Your debts'!$B$14&lt;&gt;"",N('Your debts'!$C$14)&gt;0))),"",IF('Your debts'!$D$20="Avalanche",'Avalanche workings'!$AX$245,'Snowball workings'!$AX$245))</f>
      </c>
      <c r="X243" s="29">
        <f>IF(OR(238&gt;$Z$1,NOT(OR('Your debts'!$B$15&lt;&gt;"",N('Your debts'!$C$15)&gt;0))),"",IF('Your debts'!$D$20="Avalanche",'Avalanche workings'!$U$245,'Snowball workings'!$U$245)+IF('Your debts'!$D$20="Avalanche",'Avalanche workings'!$AO$245,'Snowball workings'!$AO$245))</f>
      </c>
      <c r="Y243" s="30">
        <f>IF(OR(238&gt;$Z$1,NOT(OR('Your debts'!$B$15&lt;&gt;"",N('Your debts'!$C$15)&gt;0))),"",IF('Your debts'!$D$20="Avalanche",'Avalanche workings'!$AY$245,'Snowball workings'!$AY$245))</f>
      </c>
    </row>
    <row r="244" spans="1:25" x14ac:dyDescent="0.25">
      <c r="A244" s="2">
        <f>IF(239&gt;$Z$1,"",239)</f>
      </c>
      <c r="B244" s="28">
        <f>IF(239&gt;$Z$1,"",EDATE('Your debts'!$D$21,238))</f>
      </c>
      <c r="C244" s="29">
        <f>IF(239&gt;$Z$1,"",IF('Your debts'!$D$20="Avalanche",'Avalanche workings'!$BC$246,'Snowball workings'!$BC$246))</f>
      </c>
      <c r="D244" s="29">
        <f>IF(239&gt;$Z$1,"",IF('Your debts'!$D$20="Avalanche",'Avalanche workings'!$BA$246,'Snowball workings'!$BA$246))</f>
      </c>
      <c r="E244" s="29">
        <f>IF(239&gt;$Z$1,"",IF('Your debts'!$D$20="Avalanche",'Avalanche workings'!$BB$246,'Snowball workings'!$BB$246))</f>
      </c>
      <c r="F244" s="29">
        <f>IF(OR(239&gt;$Z$1,NOT(OR('Your debts'!$B$6&lt;&gt;"",N('Your debts'!$C$6)&gt;0))),"",IF('Your debts'!$D$20="Avalanche",'Avalanche workings'!$L$246,'Snowball workings'!$L$246)+IF('Your debts'!$D$20="Avalanche",'Avalanche workings'!$AF$246,'Snowball workings'!$AF$246))</f>
      </c>
      <c r="G244" s="30">
        <f>IF(OR(239&gt;$Z$1,NOT(OR('Your debts'!$B$6&lt;&gt;"",N('Your debts'!$C$6)&gt;0))),"",IF('Your debts'!$D$20="Avalanche",'Avalanche workings'!$AP$246,'Snowball workings'!$AP$246))</f>
      </c>
      <c r="H244" s="29">
        <f>IF(OR(239&gt;$Z$1,NOT(OR('Your debts'!$B$7&lt;&gt;"",N('Your debts'!$C$7)&gt;0))),"",IF('Your debts'!$D$20="Avalanche",'Avalanche workings'!$M$246,'Snowball workings'!$M$246)+IF('Your debts'!$D$20="Avalanche",'Avalanche workings'!$AG$246,'Snowball workings'!$AG$246))</f>
      </c>
      <c r="I244" s="30">
        <f>IF(OR(239&gt;$Z$1,NOT(OR('Your debts'!$B$7&lt;&gt;"",N('Your debts'!$C$7)&gt;0))),"",IF('Your debts'!$D$20="Avalanche",'Avalanche workings'!$AQ$246,'Snowball workings'!$AQ$246))</f>
      </c>
      <c r="J244" s="29">
        <f>IF(OR(239&gt;$Z$1,NOT(OR('Your debts'!$B$8&lt;&gt;"",N('Your debts'!$C$8)&gt;0))),"",IF('Your debts'!$D$20="Avalanche",'Avalanche workings'!$N$246,'Snowball workings'!$N$246)+IF('Your debts'!$D$20="Avalanche",'Avalanche workings'!$AH$246,'Snowball workings'!$AH$246))</f>
      </c>
      <c r="K244" s="30">
        <f>IF(OR(239&gt;$Z$1,NOT(OR('Your debts'!$B$8&lt;&gt;"",N('Your debts'!$C$8)&gt;0))),"",IF('Your debts'!$D$20="Avalanche",'Avalanche workings'!$AR$246,'Snowball workings'!$AR$246))</f>
      </c>
      <c r="L244" s="29">
        <f>IF(OR(239&gt;$Z$1,NOT(OR('Your debts'!$B$9&lt;&gt;"",N('Your debts'!$C$9)&gt;0))),"",IF('Your debts'!$D$20="Avalanche",'Avalanche workings'!$O$246,'Snowball workings'!$O$246)+IF('Your debts'!$D$20="Avalanche",'Avalanche workings'!$AI$246,'Snowball workings'!$AI$246))</f>
      </c>
      <c r="M244" s="30">
        <f>IF(OR(239&gt;$Z$1,NOT(OR('Your debts'!$B$9&lt;&gt;"",N('Your debts'!$C$9)&gt;0))),"",IF('Your debts'!$D$20="Avalanche",'Avalanche workings'!$AS$246,'Snowball workings'!$AS$246))</f>
      </c>
      <c r="N244" s="29">
        <f>IF(OR(239&gt;$Z$1,NOT(OR('Your debts'!$B$10&lt;&gt;"",N('Your debts'!$C$10)&gt;0))),"",IF('Your debts'!$D$20="Avalanche",'Avalanche workings'!$P$246,'Snowball workings'!$P$246)+IF('Your debts'!$D$20="Avalanche",'Avalanche workings'!$AJ$246,'Snowball workings'!$AJ$246))</f>
      </c>
      <c r="O244" s="30">
        <f>IF(OR(239&gt;$Z$1,NOT(OR('Your debts'!$B$10&lt;&gt;"",N('Your debts'!$C$10)&gt;0))),"",IF('Your debts'!$D$20="Avalanche",'Avalanche workings'!$AT$246,'Snowball workings'!$AT$246))</f>
      </c>
      <c r="P244" s="29">
        <f>IF(OR(239&gt;$Z$1,NOT(OR('Your debts'!$B$11&lt;&gt;"",N('Your debts'!$C$11)&gt;0))),"",IF('Your debts'!$D$20="Avalanche",'Avalanche workings'!$Q$246,'Snowball workings'!$Q$246)+IF('Your debts'!$D$20="Avalanche",'Avalanche workings'!$AK$246,'Snowball workings'!$AK$246))</f>
      </c>
      <c r="Q244" s="30">
        <f>IF(OR(239&gt;$Z$1,NOT(OR('Your debts'!$B$11&lt;&gt;"",N('Your debts'!$C$11)&gt;0))),"",IF('Your debts'!$D$20="Avalanche",'Avalanche workings'!$AU$246,'Snowball workings'!$AU$246))</f>
      </c>
      <c r="R244" s="29">
        <f>IF(OR(239&gt;$Z$1,NOT(OR('Your debts'!$B$12&lt;&gt;"",N('Your debts'!$C$12)&gt;0))),"",IF('Your debts'!$D$20="Avalanche",'Avalanche workings'!$R$246,'Snowball workings'!$R$246)+IF('Your debts'!$D$20="Avalanche",'Avalanche workings'!$AL$246,'Snowball workings'!$AL$246))</f>
      </c>
      <c r="S244" s="30">
        <f>IF(OR(239&gt;$Z$1,NOT(OR('Your debts'!$B$12&lt;&gt;"",N('Your debts'!$C$12)&gt;0))),"",IF('Your debts'!$D$20="Avalanche",'Avalanche workings'!$AV$246,'Snowball workings'!$AV$246))</f>
      </c>
      <c r="T244" s="29">
        <f>IF(OR(239&gt;$Z$1,NOT(OR('Your debts'!$B$13&lt;&gt;"",N('Your debts'!$C$13)&gt;0))),"",IF('Your debts'!$D$20="Avalanche",'Avalanche workings'!$S$246,'Snowball workings'!$S$246)+IF('Your debts'!$D$20="Avalanche",'Avalanche workings'!$AM$246,'Snowball workings'!$AM$246))</f>
      </c>
      <c r="U244" s="30">
        <f>IF(OR(239&gt;$Z$1,NOT(OR('Your debts'!$B$13&lt;&gt;"",N('Your debts'!$C$13)&gt;0))),"",IF('Your debts'!$D$20="Avalanche",'Avalanche workings'!$AW$246,'Snowball workings'!$AW$246))</f>
      </c>
      <c r="V244" s="29">
        <f>IF(OR(239&gt;$Z$1,NOT(OR('Your debts'!$B$14&lt;&gt;"",N('Your debts'!$C$14)&gt;0))),"",IF('Your debts'!$D$20="Avalanche",'Avalanche workings'!$T$246,'Snowball workings'!$T$246)+IF('Your debts'!$D$20="Avalanche",'Avalanche workings'!$AN$246,'Snowball workings'!$AN$246))</f>
      </c>
      <c r="W244" s="30">
        <f>IF(OR(239&gt;$Z$1,NOT(OR('Your debts'!$B$14&lt;&gt;"",N('Your debts'!$C$14)&gt;0))),"",IF('Your debts'!$D$20="Avalanche",'Avalanche workings'!$AX$246,'Snowball workings'!$AX$246))</f>
      </c>
      <c r="X244" s="29">
        <f>IF(OR(239&gt;$Z$1,NOT(OR('Your debts'!$B$15&lt;&gt;"",N('Your debts'!$C$15)&gt;0))),"",IF('Your debts'!$D$20="Avalanche",'Avalanche workings'!$U$246,'Snowball workings'!$U$246)+IF('Your debts'!$D$20="Avalanche",'Avalanche workings'!$AO$246,'Snowball workings'!$AO$246))</f>
      </c>
      <c r="Y244" s="30">
        <f>IF(OR(239&gt;$Z$1,NOT(OR('Your debts'!$B$15&lt;&gt;"",N('Your debts'!$C$15)&gt;0))),"",IF('Your debts'!$D$20="Avalanche",'Avalanche workings'!$AY$246,'Snowball workings'!$AY$246))</f>
      </c>
    </row>
    <row r="245" spans="1:25" x14ac:dyDescent="0.25">
      <c r="A245" s="2">
        <f>IF(240&gt;$Z$1,"",240)</f>
      </c>
      <c r="B245" s="28">
        <f>IF(240&gt;$Z$1,"",EDATE('Your debts'!$D$21,239))</f>
      </c>
      <c r="C245" s="29">
        <f>IF(240&gt;$Z$1,"",IF('Your debts'!$D$20="Avalanche",'Avalanche workings'!$BC$247,'Snowball workings'!$BC$247))</f>
      </c>
      <c r="D245" s="29">
        <f>IF(240&gt;$Z$1,"",IF('Your debts'!$D$20="Avalanche",'Avalanche workings'!$BA$247,'Snowball workings'!$BA$247))</f>
      </c>
      <c r="E245" s="29">
        <f>IF(240&gt;$Z$1,"",IF('Your debts'!$D$20="Avalanche",'Avalanche workings'!$BB$247,'Snowball workings'!$BB$247))</f>
      </c>
      <c r="F245" s="29">
        <f>IF(OR(240&gt;$Z$1,NOT(OR('Your debts'!$B$6&lt;&gt;"",N('Your debts'!$C$6)&gt;0))),"",IF('Your debts'!$D$20="Avalanche",'Avalanche workings'!$L$247,'Snowball workings'!$L$247)+IF('Your debts'!$D$20="Avalanche",'Avalanche workings'!$AF$247,'Snowball workings'!$AF$247))</f>
      </c>
      <c r="G245" s="30">
        <f>IF(OR(240&gt;$Z$1,NOT(OR('Your debts'!$B$6&lt;&gt;"",N('Your debts'!$C$6)&gt;0))),"",IF('Your debts'!$D$20="Avalanche",'Avalanche workings'!$AP$247,'Snowball workings'!$AP$247))</f>
      </c>
      <c r="H245" s="29">
        <f>IF(OR(240&gt;$Z$1,NOT(OR('Your debts'!$B$7&lt;&gt;"",N('Your debts'!$C$7)&gt;0))),"",IF('Your debts'!$D$20="Avalanche",'Avalanche workings'!$M$247,'Snowball workings'!$M$247)+IF('Your debts'!$D$20="Avalanche",'Avalanche workings'!$AG$247,'Snowball workings'!$AG$247))</f>
      </c>
      <c r="I245" s="30">
        <f>IF(OR(240&gt;$Z$1,NOT(OR('Your debts'!$B$7&lt;&gt;"",N('Your debts'!$C$7)&gt;0))),"",IF('Your debts'!$D$20="Avalanche",'Avalanche workings'!$AQ$247,'Snowball workings'!$AQ$247))</f>
      </c>
      <c r="J245" s="29">
        <f>IF(OR(240&gt;$Z$1,NOT(OR('Your debts'!$B$8&lt;&gt;"",N('Your debts'!$C$8)&gt;0))),"",IF('Your debts'!$D$20="Avalanche",'Avalanche workings'!$N$247,'Snowball workings'!$N$247)+IF('Your debts'!$D$20="Avalanche",'Avalanche workings'!$AH$247,'Snowball workings'!$AH$247))</f>
      </c>
      <c r="K245" s="30">
        <f>IF(OR(240&gt;$Z$1,NOT(OR('Your debts'!$B$8&lt;&gt;"",N('Your debts'!$C$8)&gt;0))),"",IF('Your debts'!$D$20="Avalanche",'Avalanche workings'!$AR$247,'Snowball workings'!$AR$247))</f>
      </c>
      <c r="L245" s="29">
        <f>IF(OR(240&gt;$Z$1,NOT(OR('Your debts'!$B$9&lt;&gt;"",N('Your debts'!$C$9)&gt;0))),"",IF('Your debts'!$D$20="Avalanche",'Avalanche workings'!$O$247,'Snowball workings'!$O$247)+IF('Your debts'!$D$20="Avalanche",'Avalanche workings'!$AI$247,'Snowball workings'!$AI$247))</f>
      </c>
      <c r="M245" s="30">
        <f>IF(OR(240&gt;$Z$1,NOT(OR('Your debts'!$B$9&lt;&gt;"",N('Your debts'!$C$9)&gt;0))),"",IF('Your debts'!$D$20="Avalanche",'Avalanche workings'!$AS$247,'Snowball workings'!$AS$247))</f>
      </c>
      <c r="N245" s="29">
        <f>IF(OR(240&gt;$Z$1,NOT(OR('Your debts'!$B$10&lt;&gt;"",N('Your debts'!$C$10)&gt;0))),"",IF('Your debts'!$D$20="Avalanche",'Avalanche workings'!$P$247,'Snowball workings'!$P$247)+IF('Your debts'!$D$20="Avalanche",'Avalanche workings'!$AJ$247,'Snowball workings'!$AJ$247))</f>
      </c>
      <c r="O245" s="30">
        <f>IF(OR(240&gt;$Z$1,NOT(OR('Your debts'!$B$10&lt;&gt;"",N('Your debts'!$C$10)&gt;0))),"",IF('Your debts'!$D$20="Avalanche",'Avalanche workings'!$AT$247,'Snowball workings'!$AT$247))</f>
      </c>
      <c r="P245" s="29">
        <f>IF(OR(240&gt;$Z$1,NOT(OR('Your debts'!$B$11&lt;&gt;"",N('Your debts'!$C$11)&gt;0))),"",IF('Your debts'!$D$20="Avalanche",'Avalanche workings'!$Q$247,'Snowball workings'!$Q$247)+IF('Your debts'!$D$20="Avalanche",'Avalanche workings'!$AK$247,'Snowball workings'!$AK$247))</f>
      </c>
      <c r="Q245" s="30">
        <f>IF(OR(240&gt;$Z$1,NOT(OR('Your debts'!$B$11&lt;&gt;"",N('Your debts'!$C$11)&gt;0))),"",IF('Your debts'!$D$20="Avalanche",'Avalanche workings'!$AU$247,'Snowball workings'!$AU$247))</f>
      </c>
      <c r="R245" s="29">
        <f>IF(OR(240&gt;$Z$1,NOT(OR('Your debts'!$B$12&lt;&gt;"",N('Your debts'!$C$12)&gt;0))),"",IF('Your debts'!$D$20="Avalanche",'Avalanche workings'!$R$247,'Snowball workings'!$R$247)+IF('Your debts'!$D$20="Avalanche",'Avalanche workings'!$AL$247,'Snowball workings'!$AL$247))</f>
      </c>
      <c r="S245" s="30">
        <f>IF(OR(240&gt;$Z$1,NOT(OR('Your debts'!$B$12&lt;&gt;"",N('Your debts'!$C$12)&gt;0))),"",IF('Your debts'!$D$20="Avalanche",'Avalanche workings'!$AV$247,'Snowball workings'!$AV$247))</f>
      </c>
      <c r="T245" s="29">
        <f>IF(OR(240&gt;$Z$1,NOT(OR('Your debts'!$B$13&lt;&gt;"",N('Your debts'!$C$13)&gt;0))),"",IF('Your debts'!$D$20="Avalanche",'Avalanche workings'!$S$247,'Snowball workings'!$S$247)+IF('Your debts'!$D$20="Avalanche",'Avalanche workings'!$AM$247,'Snowball workings'!$AM$247))</f>
      </c>
      <c r="U245" s="30">
        <f>IF(OR(240&gt;$Z$1,NOT(OR('Your debts'!$B$13&lt;&gt;"",N('Your debts'!$C$13)&gt;0))),"",IF('Your debts'!$D$20="Avalanche",'Avalanche workings'!$AW$247,'Snowball workings'!$AW$247))</f>
      </c>
      <c r="V245" s="29">
        <f>IF(OR(240&gt;$Z$1,NOT(OR('Your debts'!$B$14&lt;&gt;"",N('Your debts'!$C$14)&gt;0))),"",IF('Your debts'!$D$20="Avalanche",'Avalanche workings'!$T$247,'Snowball workings'!$T$247)+IF('Your debts'!$D$20="Avalanche",'Avalanche workings'!$AN$247,'Snowball workings'!$AN$247))</f>
      </c>
      <c r="W245" s="30">
        <f>IF(OR(240&gt;$Z$1,NOT(OR('Your debts'!$B$14&lt;&gt;"",N('Your debts'!$C$14)&gt;0))),"",IF('Your debts'!$D$20="Avalanche",'Avalanche workings'!$AX$247,'Snowball workings'!$AX$247))</f>
      </c>
      <c r="X245" s="29">
        <f>IF(OR(240&gt;$Z$1,NOT(OR('Your debts'!$B$15&lt;&gt;"",N('Your debts'!$C$15)&gt;0))),"",IF('Your debts'!$D$20="Avalanche",'Avalanche workings'!$U$247,'Snowball workings'!$U$247)+IF('Your debts'!$D$20="Avalanche",'Avalanche workings'!$AO$247,'Snowball workings'!$AO$247))</f>
      </c>
      <c r="Y245" s="30">
        <f>IF(OR(240&gt;$Z$1,NOT(OR('Your debts'!$B$15&lt;&gt;"",N('Your debts'!$C$15)&gt;0))),"",IF('Your debts'!$D$20="Avalanche",'Avalanche workings'!$AY$247,'Snowball workings'!$AY$247))</f>
      </c>
    </row>
    <row r="246" spans="1:25" x14ac:dyDescent="0.25">
      <c r="A246" s="2">
        <f>IF(241&gt;$Z$1,"",241)</f>
      </c>
      <c r="B246" s="28">
        <f>IF(241&gt;$Z$1,"",EDATE('Your debts'!$D$21,240))</f>
      </c>
      <c r="C246" s="29">
        <f>IF(241&gt;$Z$1,"",IF('Your debts'!$D$20="Avalanche",'Avalanche workings'!$BC$248,'Snowball workings'!$BC$248))</f>
      </c>
      <c r="D246" s="29">
        <f>IF(241&gt;$Z$1,"",IF('Your debts'!$D$20="Avalanche",'Avalanche workings'!$BA$248,'Snowball workings'!$BA$248))</f>
      </c>
      <c r="E246" s="29">
        <f>IF(241&gt;$Z$1,"",IF('Your debts'!$D$20="Avalanche",'Avalanche workings'!$BB$248,'Snowball workings'!$BB$248))</f>
      </c>
      <c r="F246" s="29">
        <f>IF(OR(241&gt;$Z$1,NOT(OR('Your debts'!$B$6&lt;&gt;"",N('Your debts'!$C$6)&gt;0))),"",IF('Your debts'!$D$20="Avalanche",'Avalanche workings'!$L$248,'Snowball workings'!$L$248)+IF('Your debts'!$D$20="Avalanche",'Avalanche workings'!$AF$248,'Snowball workings'!$AF$248))</f>
      </c>
      <c r="G246" s="30">
        <f>IF(OR(241&gt;$Z$1,NOT(OR('Your debts'!$B$6&lt;&gt;"",N('Your debts'!$C$6)&gt;0))),"",IF('Your debts'!$D$20="Avalanche",'Avalanche workings'!$AP$248,'Snowball workings'!$AP$248))</f>
      </c>
      <c r="H246" s="29">
        <f>IF(OR(241&gt;$Z$1,NOT(OR('Your debts'!$B$7&lt;&gt;"",N('Your debts'!$C$7)&gt;0))),"",IF('Your debts'!$D$20="Avalanche",'Avalanche workings'!$M$248,'Snowball workings'!$M$248)+IF('Your debts'!$D$20="Avalanche",'Avalanche workings'!$AG$248,'Snowball workings'!$AG$248))</f>
      </c>
      <c r="I246" s="30">
        <f>IF(OR(241&gt;$Z$1,NOT(OR('Your debts'!$B$7&lt;&gt;"",N('Your debts'!$C$7)&gt;0))),"",IF('Your debts'!$D$20="Avalanche",'Avalanche workings'!$AQ$248,'Snowball workings'!$AQ$248))</f>
      </c>
      <c r="J246" s="29">
        <f>IF(OR(241&gt;$Z$1,NOT(OR('Your debts'!$B$8&lt;&gt;"",N('Your debts'!$C$8)&gt;0))),"",IF('Your debts'!$D$20="Avalanche",'Avalanche workings'!$N$248,'Snowball workings'!$N$248)+IF('Your debts'!$D$20="Avalanche",'Avalanche workings'!$AH$248,'Snowball workings'!$AH$248))</f>
      </c>
      <c r="K246" s="30">
        <f>IF(OR(241&gt;$Z$1,NOT(OR('Your debts'!$B$8&lt;&gt;"",N('Your debts'!$C$8)&gt;0))),"",IF('Your debts'!$D$20="Avalanche",'Avalanche workings'!$AR$248,'Snowball workings'!$AR$248))</f>
      </c>
      <c r="L246" s="29">
        <f>IF(OR(241&gt;$Z$1,NOT(OR('Your debts'!$B$9&lt;&gt;"",N('Your debts'!$C$9)&gt;0))),"",IF('Your debts'!$D$20="Avalanche",'Avalanche workings'!$O$248,'Snowball workings'!$O$248)+IF('Your debts'!$D$20="Avalanche",'Avalanche workings'!$AI$248,'Snowball workings'!$AI$248))</f>
      </c>
      <c r="M246" s="30">
        <f>IF(OR(241&gt;$Z$1,NOT(OR('Your debts'!$B$9&lt;&gt;"",N('Your debts'!$C$9)&gt;0))),"",IF('Your debts'!$D$20="Avalanche",'Avalanche workings'!$AS$248,'Snowball workings'!$AS$248))</f>
      </c>
      <c r="N246" s="29">
        <f>IF(OR(241&gt;$Z$1,NOT(OR('Your debts'!$B$10&lt;&gt;"",N('Your debts'!$C$10)&gt;0))),"",IF('Your debts'!$D$20="Avalanche",'Avalanche workings'!$P$248,'Snowball workings'!$P$248)+IF('Your debts'!$D$20="Avalanche",'Avalanche workings'!$AJ$248,'Snowball workings'!$AJ$248))</f>
      </c>
      <c r="O246" s="30">
        <f>IF(OR(241&gt;$Z$1,NOT(OR('Your debts'!$B$10&lt;&gt;"",N('Your debts'!$C$10)&gt;0))),"",IF('Your debts'!$D$20="Avalanche",'Avalanche workings'!$AT$248,'Snowball workings'!$AT$248))</f>
      </c>
      <c r="P246" s="29">
        <f>IF(OR(241&gt;$Z$1,NOT(OR('Your debts'!$B$11&lt;&gt;"",N('Your debts'!$C$11)&gt;0))),"",IF('Your debts'!$D$20="Avalanche",'Avalanche workings'!$Q$248,'Snowball workings'!$Q$248)+IF('Your debts'!$D$20="Avalanche",'Avalanche workings'!$AK$248,'Snowball workings'!$AK$248))</f>
      </c>
      <c r="Q246" s="30">
        <f>IF(OR(241&gt;$Z$1,NOT(OR('Your debts'!$B$11&lt;&gt;"",N('Your debts'!$C$11)&gt;0))),"",IF('Your debts'!$D$20="Avalanche",'Avalanche workings'!$AU$248,'Snowball workings'!$AU$248))</f>
      </c>
      <c r="R246" s="29">
        <f>IF(OR(241&gt;$Z$1,NOT(OR('Your debts'!$B$12&lt;&gt;"",N('Your debts'!$C$12)&gt;0))),"",IF('Your debts'!$D$20="Avalanche",'Avalanche workings'!$R$248,'Snowball workings'!$R$248)+IF('Your debts'!$D$20="Avalanche",'Avalanche workings'!$AL$248,'Snowball workings'!$AL$248))</f>
      </c>
      <c r="S246" s="30">
        <f>IF(OR(241&gt;$Z$1,NOT(OR('Your debts'!$B$12&lt;&gt;"",N('Your debts'!$C$12)&gt;0))),"",IF('Your debts'!$D$20="Avalanche",'Avalanche workings'!$AV$248,'Snowball workings'!$AV$248))</f>
      </c>
      <c r="T246" s="29">
        <f>IF(OR(241&gt;$Z$1,NOT(OR('Your debts'!$B$13&lt;&gt;"",N('Your debts'!$C$13)&gt;0))),"",IF('Your debts'!$D$20="Avalanche",'Avalanche workings'!$S$248,'Snowball workings'!$S$248)+IF('Your debts'!$D$20="Avalanche",'Avalanche workings'!$AM$248,'Snowball workings'!$AM$248))</f>
      </c>
      <c r="U246" s="30">
        <f>IF(OR(241&gt;$Z$1,NOT(OR('Your debts'!$B$13&lt;&gt;"",N('Your debts'!$C$13)&gt;0))),"",IF('Your debts'!$D$20="Avalanche",'Avalanche workings'!$AW$248,'Snowball workings'!$AW$248))</f>
      </c>
      <c r="V246" s="29">
        <f>IF(OR(241&gt;$Z$1,NOT(OR('Your debts'!$B$14&lt;&gt;"",N('Your debts'!$C$14)&gt;0))),"",IF('Your debts'!$D$20="Avalanche",'Avalanche workings'!$T$248,'Snowball workings'!$T$248)+IF('Your debts'!$D$20="Avalanche",'Avalanche workings'!$AN$248,'Snowball workings'!$AN$248))</f>
      </c>
      <c r="W246" s="30">
        <f>IF(OR(241&gt;$Z$1,NOT(OR('Your debts'!$B$14&lt;&gt;"",N('Your debts'!$C$14)&gt;0))),"",IF('Your debts'!$D$20="Avalanche",'Avalanche workings'!$AX$248,'Snowball workings'!$AX$248))</f>
      </c>
      <c r="X246" s="29">
        <f>IF(OR(241&gt;$Z$1,NOT(OR('Your debts'!$B$15&lt;&gt;"",N('Your debts'!$C$15)&gt;0))),"",IF('Your debts'!$D$20="Avalanche",'Avalanche workings'!$U$248,'Snowball workings'!$U$248)+IF('Your debts'!$D$20="Avalanche",'Avalanche workings'!$AO$248,'Snowball workings'!$AO$248))</f>
      </c>
      <c r="Y246" s="30">
        <f>IF(OR(241&gt;$Z$1,NOT(OR('Your debts'!$B$15&lt;&gt;"",N('Your debts'!$C$15)&gt;0))),"",IF('Your debts'!$D$20="Avalanche",'Avalanche workings'!$AY$248,'Snowball workings'!$AY$248))</f>
      </c>
    </row>
    <row r="247" spans="1:25" x14ac:dyDescent="0.25">
      <c r="A247" s="2">
        <f>IF(242&gt;$Z$1,"",242)</f>
      </c>
      <c r="B247" s="28">
        <f>IF(242&gt;$Z$1,"",EDATE('Your debts'!$D$21,241))</f>
      </c>
      <c r="C247" s="29">
        <f>IF(242&gt;$Z$1,"",IF('Your debts'!$D$20="Avalanche",'Avalanche workings'!$BC$249,'Snowball workings'!$BC$249))</f>
      </c>
      <c r="D247" s="29">
        <f>IF(242&gt;$Z$1,"",IF('Your debts'!$D$20="Avalanche",'Avalanche workings'!$BA$249,'Snowball workings'!$BA$249))</f>
      </c>
      <c r="E247" s="29">
        <f>IF(242&gt;$Z$1,"",IF('Your debts'!$D$20="Avalanche",'Avalanche workings'!$BB$249,'Snowball workings'!$BB$249))</f>
      </c>
      <c r="F247" s="29">
        <f>IF(OR(242&gt;$Z$1,NOT(OR('Your debts'!$B$6&lt;&gt;"",N('Your debts'!$C$6)&gt;0))),"",IF('Your debts'!$D$20="Avalanche",'Avalanche workings'!$L$249,'Snowball workings'!$L$249)+IF('Your debts'!$D$20="Avalanche",'Avalanche workings'!$AF$249,'Snowball workings'!$AF$249))</f>
      </c>
      <c r="G247" s="30">
        <f>IF(OR(242&gt;$Z$1,NOT(OR('Your debts'!$B$6&lt;&gt;"",N('Your debts'!$C$6)&gt;0))),"",IF('Your debts'!$D$20="Avalanche",'Avalanche workings'!$AP$249,'Snowball workings'!$AP$249))</f>
      </c>
      <c r="H247" s="29">
        <f>IF(OR(242&gt;$Z$1,NOT(OR('Your debts'!$B$7&lt;&gt;"",N('Your debts'!$C$7)&gt;0))),"",IF('Your debts'!$D$20="Avalanche",'Avalanche workings'!$M$249,'Snowball workings'!$M$249)+IF('Your debts'!$D$20="Avalanche",'Avalanche workings'!$AG$249,'Snowball workings'!$AG$249))</f>
      </c>
      <c r="I247" s="30">
        <f>IF(OR(242&gt;$Z$1,NOT(OR('Your debts'!$B$7&lt;&gt;"",N('Your debts'!$C$7)&gt;0))),"",IF('Your debts'!$D$20="Avalanche",'Avalanche workings'!$AQ$249,'Snowball workings'!$AQ$249))</f>
      </c>
      <c r="J247" s="29">
        <f>IF(OR(242&gt;$Z$1,NOT(OR('Your debts'!$B$8&lt;&gt;"",N('Your debts'!$C$8)&gt;0))),"",IF('Your debts'!$D$20="Avalanche",'Avalanche workings'!$N$249,'Snowball workings'!$N$249)+IF('Your debts'!$D$20="Avalanche",'Avalanche workings'!$AH$249,'Snowball workings'!$AH$249))</f>
      </c>
      <c r="K247" s="30">
        <f>IF(OR(242&gt;$Z$1,NOT(OR('Your debts'!$B$8&lt;&gt;"",N('Your debts'!$C$8)&gt;0))),"",IF('Your debts'!$D$20="Avalanche",'Avalanche workings'!$AR$249,'Snowball workings'!$AR$249))</f>
      </c>
      <c r="L247" s="29">
        <f>IF(OR(242&gt;$Z$1,NOT(OR('Your debts'!$B$9&lt;&gt;"",N('Your debts'!$C$9)&gt;0))),"",IF('Your debts'!$D$20="Avalanche",'Avalanche workings'!$O$249,'Snowball workings'!$O$249)+IF('Your debts'!$D$20="Avalanche",'Avalanche workings'!$AI$249,'Snowball workings'!$AI$249))</f>
      </c>
      <c r="M247" s="30">
        <f>IF(OR(242&gt;$Z$1,NOT(OR('Your debts'!$B$9&lt;&gt;"",N('Your debts'!$C$9)&gt;0))),"",IF('Your debts'!$D$20="Avalanche",'Avalanche workings'!$AS$249,'Snowball workings'!$AS$249))</f>
      </c>
      <c r="N247" s="29">
        <f>IF(OR(242&gt;$Z$1,NOT(OR('Your debts'!$B$10&lt;&gt;"",N('Your debts'!$C$10)&gt;0))),"",IF('Your debts'!$D$20="Avalanche",'Avalanche workings'!$P$249,'Snowball workings'!$P$249)+IF('Your debts'!$D$20="Avalanche",'Avalanche workings'!$AJ$249,'Snowball workings'!$AJ$249))</f>
      </c>
      <c r="O247" s="30">
        <f>IF(OR(242&gt;$Z$1,NOT(OR('Your debts'!$B$10&lt;&gt;"",N('Your debts'!$C$10)&gt;0))),"",IF('Your debts'!$D$20="Avalanche",'Avalanche workings'!$AT$249,'Snowball workings'!$AT$249))</f>
      </c>
      <c r="P247" s="29">
        <f>IF(OR(242&gt;$Z$1,NOT(OR('Your debts'!$B$11&lt;&gt;"",N('Your debts'!$C$11)&gt;0))),"",IF('Your debts'!$D$20="Avalanche",'Avalanche workings'!$Q$249,'Snowball workings'!$Q$249)+IF('Your debts'!$D$20="Avalanche",'Avalanche workings'!$AK$249,'Snowball workings'!$AK$249))</f>
      </c>
      <c r="Q247" s="30">
        <f>IF(OR(242&gt;$Z$1,NOT(OR('Your debts'!$B$11&lt;&gt;"",N('Your debts'!$C$11)&gt;0))),"",IF('Your debts'!$D$20="Avalanche",'Avalanche workings'!$AU$249,'Snowball workings'!$AU$249))</f>
      </c>
      <c r="R247" s="29">
        <f>IF(OR(242&gt;$Z$1,NOT(OR('Your debts'!$B$12&lt;&gt;"",N('Your debts'!$C$12)&gt;0))),"",IF('Your debts'!$D$20="Avalanche",'Avalanche workings'!$R$249,'Snowball workings'!$R$249)+IF('Your debts'!$D$20="Avalanche",'Avalanche workings'!$AL$249,'Snowball workings'!$AL$249))</f>
      </c>
      <c r="S247" s="30">
        <f>IF(OR(242&gt;$Z$1,NOT(OR('Your debts'!$B$12&lt;&gt;"",N('Your debts'!$C$12)&gt;0))),"",IF('Your debts'!$D$20="Avalanche",'Avalanche workings'!$AV$249,'Snowball workings'!$AV$249))</f>
      </c>
      <c r="T247" s="29">
        <f>IF(OR(242&gt;$Z$1,NOT(OR('Your debts'!$B$13&lt;&gt;"",N('Your debts'!$C$13)&gt;0))),"",IF('Your debts'!$D$20="Avalanche",'Avalanche workings'!$S$249,'Snowball workings'!$S$249)+IF('Your debts'!$D$20="Avalanche",'Avalanche workings'!$AM$249,'Snowball workings'!$AM$249))</f>
      </c>
      <c r="U247" s="30">
        <f>IF(OR(242&gt;$Z$1,NOT(OR('Your debts'!$B$13&lt;&gt;"",N('Your debts'!$C$13)&gt;0))),"",IF('Your debts'!$D$20="Avalanche",'Avalanche workings'!$AW$249,'Snowball workings'!$AW$249))</f>
      </c>
      <c r="V247" s="29">
        <f>IF(OR(242&gt;$Z$1,NOT(OR('Your debts'!$B$14&lt;&gt;"",N('Your debts'!$C$14)&gt;0))),"",IF('Your debts'!$D$20="Avalanche",'Avalanche workings'!$T$249,'Snowball workings'!$T$249)+IF('Your debts'!$D$20="Avalanche",'Avalanche workings'!$AN$249,'Snowball workings'!$AN$249))</f>
      </c>
      <c r="W247" s="30">
        <f>IF(OR(242&gt;$Z$1,NOT(OR('Your debts'!$B$14&lt;&gt;"",N('Your debts'!$C$14)&gt;0))),"",IF('Your debts'!$D$20="Avalanche",'Avalanche workings'!$AX$249,'Snowball workings'!$AX$249))</f>
      </c>
      <c r="X247" s="29">
        <f>IF(OR(242&gt;$Z$1,NOT(OR('Your debts'!$B$15&lt;&gt;"",N('Your debts'!$C$15)&gt;0))),"",IF('Your debts'!$D$20="Avalanche",'Avalanche workings'!$U$249,'Snowball workings'!$U$249)+IF('Your debts'!$D$20="Avalanche",'Avalanche workings'!$AO$249,'Snowball workings'!$AO$249))</f>
      </c>
      <c r="Y247" s="30">
        <f>IF(OR(242&gt;$Z$1,NOT(OR('Your debts'!$B$15&lt;&gt;"",N('Your debts'!$C$15)&gt;0))),"",IF('Your debts'!$D$20="Avalanche",'Avalanche workings'!$AY$249,'Snowball workings'!$AY$249))</f>
      </c>
    </row>
    <row r="248" spans="1:25" x14ac:dyDescent="0.25">
      <c r="A248" s="2">
        <f>IF(243&gt;$Z$1,"",243)</f>
      </c>
      <c r="B248" s="28">
        <f>IF(243&gt;$Z$1,"",EDATE('Your debts'!$D$21,242))</f>
      </c>
      <c r="C248" s="29">
        <f>IF(243&gt;$Z$1,"",IF('Your debts'!$D$20="Avalanche",'Avalanche workings'!$BC$250,'Snowball workings'!$BC$250))</f>
      </c>
      <c r="D248" s="29">
        <f>IF(243&gt;$Z$1,"",IF('Your debts'!$D$20="Avalanche",'Avalanche workings'!$BA$250,'Snowball workings'!$BA$250))</f>
      </c>
      <c r="E248" s="29">
        <f>IF(243&gt;$Z$1,"",IF('Your debts'!$D$20="Avalanche",'Avalanche workings'!$BB$250,'Snowball workings'!$BB$250))</f>
      </c>
      <c r="F248" s="29">
        <f>IF(OR(243&gt;$Z$1,NOT(OR('Your debts'!$B$6&lt;&gt;"",N('Your debts'!$C$6)&gt;0))),"",IF('Your debts'!$D$20="Avalanche",'Avalanche workings'!$L$250,'Snowball workings'!$L$250)+IF('Your debts'!$D$20="Avalanche",'Avalanche workings'!$AF$250,'Snowball workings'!$AF$250))</f>
      </c>
      <c r="G248" s="30">
        <f>IF(OR(243&gt;$Z$1,NOT(OR('Your debts'!$B$6&lt;&gt;"",N('Your debts'!$C$6)&gt;0))),"",IF('Your debts'!$D$20="Avalanche",'Avalanche workings'!$AP$250,'Snowball workings'!$AP$250))</f>
      </c>
      <c r="H248" s="29">
        <f>IF(OR(243&gt;$Z$1,NOT(OR('Your debts'!$B$7&lt;&gt;"",N('Your debts'!$C$7)&gt;0))),"",IF('Your debts'!$D$20="Avalanche",'Avalanche workings'!$M$250,'Snowball workings'!$M$250)+IF('Your debts'!$D$20="Avalanche",'Avalanche workings'!$AG$250,'Snowball workings'!$AG$250))</f>
      </c>
      <c r="I248" s="30">
        <f>IF(OR(243&gt;$Z$1,NOT(OR('Your debts'!$B$7&lt;&gt;"",N('Your debts'!$C$7)&gt;0))),"",IF('Your debts'!$D$20="Avalanche",'Avalanche workings'!$AQ$250,'Snowball workings'!$AQ$250))</f>
      </c>
      <c r="J248" s="29">
        <f>IF(OR(243&gt;$Z$1,NOT(OR('Your debts'!$B$8&lt;&gt;"",N('Your debts'!$C$8)&gt;0))),"",IF('Your debts'!$D$20="Avalanche",'Avalanche workings'!$N$250,'Snowball workings'!$N$250)+IF('Your debts'!$D$20="Avalanche",'Avalanche workings'!$AH$250,'Snowball workings'!$AH$250))</f>
      </c>
      <c r="K248" s="30">
        <f>IF(OR(243&gt;$Z$1,NOT(OR('Your debts'!$B$8&lt;&gt;"",N('Your debts'!$C$8)&gt;0))),"",IF('Your debts'!$D$20="Avalanche",'Avalanche workings'!$AR$250,'Snowball workings'!$AR$250))</f>
      </c>
      <c r="L248" s="29">
        <f>IF(OR(243&gt;$Z$1,NOT(OR('Your debts'!$B$9&lt;&gt;"",N('Your debts'!$C$9)&gt;0))),"",IF('Your debts'!$D$20="Avalanche",'Avalanche workings'!$O$250,'Snowball workings'!$O$250)+IF('Your debts'!$D$20="Avalanche",'Avalanche workings'!$AI$250,'Snowball workings'!$AI$250))</f>
      </c>
      <c r="M248" s="30">
        <f>IF(OR(243&gt;$Z$1,NOT(OR('Your debts'!$B$9&lt;&gt;"",N('Your debts'!$C$9)&gt;0))),"",IF('Your debts'!$D$20="Avalanche",'Avalanche workings'!$AS$250,'Snowball workings'!$AS$250))</f>
      </c>
      <c r="N248" s="29">
        <f>IF(OR(243&gt;$Z$1,NOT(OR('Your debts'!$B$10&lt;&gt;"",N('Your debts'!$C$10)&gt;0))),"",IF('Your debts'!$D$20="Avalanche",'Avalanche workings'!$P$250,'Snowball workings'!$P$250)+IF('Your debts'!$D$20="Avalanche",'Avalanche workings'!$AJ$250,'Snowball workings'!$AJ$250))</f>
      </c>
      <c r="O248" s="30">
        <f>IF(OR(243&gt;$Z$1,NOT(OR('Your debts'!$B$10&lt;&gt;"",N('Your debts'!$C$10)&gt;0))),"",IF('Your debts'!$D$20="Avalanche",'Avalanche workings'!$AT$250,'Snowball workings'!$AT$250))</f>
      </c>
      <c r="P248" s="29">
        <f>IF(OR(243&gt;$Z$1,NOT(OR('Your debts'!$B$11&lt;&gt;"",N('Your debts'!$C$11)&gt;0))),"",IF('Your debts'!$D$20="Avalanche",'Avalanche workings'!$Q$250,'Snowball workings'!$Q$250)+IF('Your debts'!$D$20="Avalanche",'Avalanche workings'!$AK$250,'Snowball workings'!$AK$250))</f>
      </c>
      <c r="Q248" s="30">
        <f>IF(OR(243&gt;$Z$1,NOT(OR('Your debts'!$B$11&lt;&gt;"",N('Your debts'!$C$11)&gt;0))),"",IF('Your debts'!$D$20="Avalanche",'Avalanche workings'!$AU$250,'Snowball workings'!$AU$250))</f>
      </c>
      <c r="R248" s="29">
        <f>IF(OR(243&gt;$Z$1,NOT(OR('Your debts'!$B$12&lt;&gt;"",N('Your debts'!$C$12)&gt;0))),"",IF('Your debts'!$D$20="Avalanche",'Avalanche workings'!$R$250,'Snowball workings'!$R$250)+IF('Your debts'!$D$20="Avalanche",'Avalanche workings'!$AL$250,'Snowball workings'!$AL$250))</f>
      </c>
      <c r="S248" s="30">
        <f>IF(OR(243&gt;$Z$1,NOT(OR('Your debts'!$B$12&lt;&gt;"",N('Your debts'!$C$12)&gt;0))),"",IF('Your debts'!$D$20="Avalanche",'Avalanche workings'!$AV$250,'Snowball workings'!$AV$250))</f>
      </c>
      <c r="T248" s="29">
        <f>IF(OR(243&gt;$Z$1,NOT(OR('Your debts'!$B$13&lt;&gt;"",N('Your debts'!$C$13)&gt;0))),"",IF('Your debts'!$D$20="Avalanche",'Avalanche workings'!$S$250,'Snowball workings'!$S$250)+IF('Your debts'!$D$20="Avalanche",'Avalanche workings'!$AM$250,'Snowball workings'!$AM$250))</f>
      </c>
      <c r="U248" s="30">
        <f>IF(OR(243&gt;$Z$1,NOT(OR('Your debts'!$B$13&lt;&gt;"",N('Your debts'!$C$13)&gt;0))),"",IF('Your debts'!$D$20="Avalanche",'Avalanche workings'!$AW$250,'Snowball workings'!$AW$250))</f>
      </c>
      <c r="V248" s="29">
        <f>IF(OR(243&gt;$Z$1,NOT(OR('Your debts'!$B$14&lt;&gt;"",N('Your debts'!$C$14)&gt;0))),"",IF('Your debts'!$D$20="Avalanche",'Avalanche workings'!$T$250,'Snowball workings'!$T$250)+IF('Your debts'!$D$20="Avalanche",'Avalanche workings'!$AN$250,'Snowball workings'!$AN$250))</f>
      </c>
      <c r="W248" s="30">
        <f>IF(OR(243&gt;$Z$1,NOT(OR('Your debts'!$B$14&lt;&gt;"",N('Your debts'!$C$14)&gt;0))),"",IF('Your debts'!$D$20="Avalanche",'Avalanche workings'!$AX$250,'Snowball workings'!$AX$250))</f>
      </c>
      <c r="X248" s="29">
        <f>IF(OR(243&gt;$Z$1,NOT(OR('Your debts'!$B$15&lt;&gt;"",N('Your debts'!$C$15)&gt;0))),"",IF('Your debts'!$D$20="Avalanche",'Avalanche workings'!$U$250,'Snowball workings'!$U$250)+IF('Your debts'!$D$20="Avalanche",'Avalanche workings'!$AO$250,'Snowball workings'!$AO$250))</f>
      </c>
      <c r="Y248" s="30">
        <f>IF(OR(243&gt;$Z$1,NOT(OR('Your debts'!$B$15&lt;&gt;"",N('Your debts'!$C$15)&gt;0))),"",IF('Your debts'!$D$20="Avalanche",'Avalanche workings'!$AY$250,'Snowball workings'!$AY$250))</f>
      </c>
    </row>
    <row r="249" spans="1:25" x14ac:dyDescent="0.25">
      <c r="A249" s="2">
        <f>IF(244&gt;$Z$1,"",244)</f>
      </c>
      <c r="B249" s="28">
        <f>IF(244&gt;$Z$1,"",EDATE('Your debts'!$D$21,243))</f>
      </c>
      <c r="C249" s="29">
        <f>IF(244&gt;$Z$1,"",IF('Your debts'!$D$20="Avalanche",'Avalanche workings'!$BC$251,'Snowball workings'!$BC$251))</f>
      </c>
      <c r="D249" s="29">
        <f>IF(244&gt;$Z$1,"",IF('Your debts'!$D$20="Avalanche",'Avalanche workings'!$BA$251,'Snowball workings'!$BA$251))</f>
      </c>
      <c r="E249" s="29">
        <f>IF(244&gt;$Z$1,"",IF('Your debts'!$D$20="Avalanche",'Avalanche workings'!$BB$251,'Snowball workings'!$BB$251))</f>
      </c>
      <c r="F249" s="29">
        <f>IF(OR(244&gt;$Z$1,NOT(OR('Your debts'!$B$6&lt;&gt;"",N('Your debts'!$C$6)&gt;0))),"",IF('Your debts'!$D$20="Avalanche",'Avalanche workings'!$L$251,'Snowball workings'!$L$251)+IF('Your debts'!$D$20="Avalanche",'Avalanche workings'!$AF$251,'Snowball workings'!$AF$251))</f>
      </c>
      <c r="G249" s="30">
        <f>IF(OR(244&gt;$Z$1,NOT(OR('Your debts'!$B$6&lt;&gt;"",N('Your debts'!$C$6)&gt;0))),"",IF('Your debts'!$D$20="Avalanche",'Avalanche workings'!$AP$251,'Snowball workings'!$AP$251))</f>
      </c>
      <c r="H249" s="29">
        <f>IF(OR(244&gt;$Z$1,NOT(OR('Your debts'!$B$7&lt;&gt;"",N('Your debts'!$C$7)&gt;0))),"",IF('Your debts'!$D$20="Avalanche",'Avalanche workings'!$M$251,'Snowball workings'!$M$251)+IF('Your debts'!$D$20="Avalanche",'Avalanche workings'!$AG$251,'Snowball workings'!$AG$251))</f>
      </c>
      <c r="I249" s="30">
        <f>IF(OR(244&gt;$Z$1,NOT(OR('Your debts'!$B$7&lt;&gt;"",N('Your debts'!$C$7)&gt;0))),"",IF('Your debts'!$D$20="Avalanche",'Avalanche workings'!$AQ$251,'Snowball workings'!$AQ$251))</f>
      </c>
      <c r="J249" s="29">
        <f>IF(OR(244&gt;$Z$1,NOT(OR('Your debts'!$B$8&lt;&gt;"",N('Your debts'!$C$8)&gt;0))),"",IF('Your debts'!$D$20="Avalanche",'Avalanche workings'!$N$251,'Snowball workings'!$N$251)+IF('Your debts'!$D$20="Avalanche",'Avalanche workings'!$AH$251,'Snowball workings'!$AH$251))</f>
      </c>
      <c r="K249" s="30">
        <f>IF(OR(244&gt;$Z$1,NOT(OR('Your debts'!$B$8&lt;&gt;"",N('Your debts'!$C$8)&gt;0))),"",IF('Your debts'!$D$20="Avalanche",'Avalanche workings'!$AR$251,'Snowball workings'!$AR$251))</f>
      </c>
      <c r="L249" s="29">
        <f>IF(OR(244&gt;$Z$1,NOT(OR('Your debts'!$B$9&lt;&gt;"",N('Your debts'!$C$9)&gt;0))),"",IF('Your debts'!$D$20="Avalanche",'Avalanche workings'!$O$251,'Snowball workings'!$O$251)+IF('Your debts'!$D$20="Avalanche",'Avalanche workings'!$AI$251,'Snowball workings'!$AI$251))</f>
      </c>
      <c r="M249" s="30">
        <f>IF(OR(244&gt;$Z$1,NOT(OR('Your debts'!$B$9&lt;&gt;"",N('Your debts'!$C$9)&gt;0))),"",IF('Your debts'!$D$20="Avalanche",'Avalanche workings'!$AS$251,'Snowball workings'!$AS$251))</f>
      </c>
      <c r="N249" s="29">
        <f>IF(OR(244&gt;$Z$1,NOT(OR('Your debts'!$B$10&lt;&gt;"",N('Your debts'!$C$10)&gt;0))),"",IF('Your debts'!$D$20="Avalanche",'Avalanche workings'!$P$251,'Snowball workings'!$P$251)+IF('Your debts'!$D$20="Avalanche",'Avalanche workings'!$AJ$251,'Snowball workings'!$AJ$251))</f>
      </c>
      <c r="O249" s="30">
        <f>IF(OR(244&gt;$Z$1,NOT(OR('Your debts'!$B$10&lt;&gt;"",N('Your debts'!$C$10)&gt;0))),"",IF('Your debts'!$D$20="Avalanche",'Avalanche workings'!$AT$251,'Snowball workings'!$AT$251))</f>
      </c>
      <c r="P249" s="29">
        <f>IF(OR(244&gt;$Z$1,NOT(OR('Your debts'!$B$11&lt;&gt;"",N('Your debts'!$C$11)&gt;0))),"",IF('Your debts'!$D$20="Avalanche",'Avalanche workings'!$Q$251,'Snowball workings'!$Q$251)+IF('Your debts'!$D$20="Avalanche",'Avalanche workings'!$AK$251,'Snowball workings'!$AK$251))</f>
      </c>
      <c r="Q249" s="30">
        <f>IF(OR(244&gt;$Z$1,NOT(OR('Your debts'!$B$11&lt;&gt;"",N('Your debts'!$C$11)&gt;0))),"",IF('Your debts'!$D$20="Avalanche",'Avalanche workings'!$AU$251,'Snowball workings'!$AU$251))</f>
      </c>
      <c r="R249" s="29">
        <f>IF(OR(244&gt;$Z$1,NOT(OR('Your debts'!$B$12&lt;&gt;"",N('Your debts'!$C$12)&gt;0))),"",IF('Your debts'!$D$20="Avalanche",'Avalanche workings'!$R$251,'Snowball workings'!$R$251)+IF('Your debts'!$D$20="Avalanche",'Avalanche workings'!$AL$251,'Snowball workings'!$AL$251))</f>
      </c>
      <c r="S249" s="30">
        <f>IF(OR(244&gt;$Z$1,NOT(OR('Your debts'!$B$12&lt;&gt;"",N('Your debts'!$C$12)&gt;0))),"",IF('Your debts'!$D$20="Avalanche",'Avalanche workings'!$AV$251,'Snowball workings'!$AV$251))</f>
      </c>
      <c r="T249" s="29">
        <f>IF(OR(244&gt;$Z$1,NOT(OR('Your debts'!$B$13&lt;&gt;"",N('Your debts'!$C$13)&gt;0))),"",IF('Your debts'!$D$20="Avalanche",'Avalanche workings'!$S$251,'Snowball workings'!$S$251)+IF('Your debts'!$D$20="Avalanche",'Avalanche workings'!$AM$251,'Snowball workings'!$AM$251))</f>
      </c>
      <c r="U249" s="30">
        <f>IF(OR(244&gt;$Z$1,NOT(OR('Your debts'!$B$13&lt;&gt;"",N('Your debts'!$C$13)&gt;0))),"",IF('Your debts'!$D$20="Avalanche",'Avalanche workings'!$AW$251,'Snowball workings'!$AW$251))</f>
      </c>
      <c r="V249" s="29">
        <f>IF(OR(244&gt;$Z$1,NOT(OR('Your debts'!$B$14&lt;&gt;"",N('Your debts'!$C$14)&gt;0))),"",IF('Your debts'!$D$20="Avalanche",'Avalanche workings'!$T$251,'Snowball workings'!$T$251)+IF('Your debts'!$D$20="Avalanche",'Avalanche workings'!$AN$251,'Snowball workings'!$AN$251))</f>
      </c>
      <c r="W249" s="30">
        <f>IF(OR(244&gt;$Z$1,NOT(OR('Your debts'!$B$14&lt;&gt;"",N('Your debts'!$C$14)&gt;0))),"",IF('Your debts'!$D$20="Avalanche",'Avalanche workings'!$AX$251,'Snowball workings'!$AX$251))</f>
      </c>
      <c r="X249" s="29">
        <f>IF(OR(244&gt;$Z$1,NOT(OR('Your debts'!$B$15&lt;&gt;"",N('Your debts'!$C$15)&gt;0))),"",IF('Your debts'!$D$20="Avalanche",'Avalanche workings'!$U$251,'Snowball workings'!$U$251)+IF('Your debts'!$D$20="Avalanche",'Avalanche workings'!$AO$251,'Snowball workings'!$AO$251))</f>
      </c>
      <c r="Y249" s="30">
        <f>IF(OR(244&gt;$Z$1,NOT(OR('Your debts'!$B$15&lt;&gt;"",N('Your debts'!$C$15)&gt;0))),"",IF('Your debts'!$D$20="Avalanche",'Avalanche workings'!$AY$251,'Snowball workings'!$AY$251))</f>
      </c>
    </row>
    <row r="250" spans="1:25" x14ac:dyDescent="0.25">
      <c r="A250" s="2">
        <f>IF(245&gt;$Z$1,"",245)</f>
      </c>
      <c r="B250" s="28">
        <f>IF(245&gt;$Z$1,"",EDATE('Your debts'!$D$21,244))</f>
      </c>
      <c r="C250" s="29">
        <f>IF(245&gt;$Z$1,"",IF('Your debts'!$D$20="Avalanche",'Avalanche workings'!$BC$252,'Snowball workings'!$BC$252))</f>
      </c>
      <c r="D250" s="29">
        <f>IF(245&gt;$Z$1,"",IF('Your debts'!$D$20="Avalanche",'Avalanche workings'!$BA$252,'Snowball workings'!$BA$252))</f>
      </c>
      <c r="E250" s="29">
        <f>IF(245&gt;$Z$1,"",IF('Your debts'!$D$20="Avalanche",'Avalanche workings'!$BB$252,'Snowball workings'!$BB$252))</f>
      </c>
      <c r="F250" s="29">
        <f>IF(OR(245&gt;$Z$1,NOT(OR('Your debts'!$B$6&lt;&gt;"",N('Your debts'!$C$6)&gt;0))),"",IF('Your debts'!$D$20="Avalanche",'Avalanche workings'!$L$252,'Snowball workings'!$L$252)+IF('Your debts'!$D$20="Avalanche",'Avalanche workings'!$AF$252,'Snowball workings'!$AF$252))</f>
      </c>
      <c r="G250" s="30">
        <f>IF(OR(245&gt;$Z$1,NOT(OR('Your debts'!$B$6&lt;&gt;"",N('Your debts'!$C$6)&gt;0))),"",IF('Your debts'!$D$20="Avalanche",'Avalanche workings'!$AP$252,'Snowball workings'!$AP$252))</f>
      </c>
      <c r="H250" s="29">
        <f>IF(OR(245&gt;$Z$1,NOT(OR('Your debts'!$B$7&lt;&gt;"",N('Your debts'!$C$7)&gt;0))),"",IF('Your debts'!$D$20="Avalanche",'Avalanche workings'!$M$252,'Snowball workings'!$M$252)+IF('Your debts'!$D$20="Avalanche",'Avalanche workings'!$AG$252,'Snowball workings'!$AG$252))</f>
      </c>
      <c r="I250" s="30">
        <f>IF(OR(245&gt;$Z$1,NOT(OR('Your debts'!$B$7&lt;&gt;"",N('Your debts'!$C$7)&gt;0))),"",IF('Your debts'!$D$20="Avalanche",'Avalanche workings'!$AQ$252,'Snowball workings'!$AQ$252))</f>
      </c>
      <c r="J250" s="29">
        <f>IF(OR(245&gt;$Z$1,NOT(OR('Your debts'!$B$8&lt;&gt;"",N('Your debts'!$C$8)&gt;0))),"",IF('Your debts'!$D$20="Avalanche",'Avalanche workings'!$N$252,'Snowball workings'!$N$252)+IF('Your debts'!$D$20="Avalanche",'Avalanche workings'!$AH$252,'Snowball workings'!$AH$252))</f>
      </c>
      <c r="K250" s="30">
        <f>IF(OR(245&gt;$Z$1,NOT(OR('Your debts'!$B$8&lt;&gt;"",N('Your debts'!$C$8)&gt;0))),"",IF('Your debts'!$D$20="Avalanche",'Avalanche workings'!$AR$252,'Snowball workings'!$AR$252))</f>
      </c>
      <c r="L250" s="29">
        <f>IF(OR(245&gt;$Z$1,NOT(OR('Your debts'!$B$9&lt;&gt;"",N('Your debts'!$C$9)&gt;0))),"",IF('Your debts'!$D$20="Avalanche",'Avalanche workings'!$O$252,'Snowball workings'!$O$252)+IF('Your debts'!$D$20="Avalanche",'Avalanche workings'!$AI$252,'Snowball workings'!$AI$252))</f>
      </c>
      <c r="M250" s="30">
        <f>IF(OR(245&gt;$Z$1,NOT(OR('Your debts'!$B$9&lt;&gt;"",N('Your debts'!$C$9)&gt;0))),"",IF('Your debts'!$D$20="Avalanche",'Avalanche workings'!$AS$252,'Snowball workings'!$AS$252))</f>
      </c>
      <c r="N250" s="29">
        <f>IF(OR(245&gt;$Z$1,NOT(OR('Your debts'!$B$10&lt;&gt;"",N('Your debts'!$C$10)&gt;0))),"",IF('Your debts'!$D$20="Avalanche",'Avalanche workings'!$P$252,'Snowball workings'!$P$252)+IF('Your debts'!$D$20="Avalanche",'Avalanche workings'!$AJ$252,'Snowball workings'!$AJ$252))</f>
      </c>
      <c r="O250" s="30">
        <f>IF(OR(245&gt;$Z$1,NOT(OR('Your debts'!$B$10&lt;&gt;"",N('Your debts'!$C$10)&gt;0))),"",IF('Your debts'!$D$20="Avalanche",'Avalanche workings'!$AT$252,'Snowball workings'!$AT$252))</f>
      </c>
      <c r="P250" s="29">
        <f>IF(OR(245&gt;$Z$1,NOT(OR('Your debts'!$B$11&lt;&gt;"",N('Your debts'!$C$11)&gt;0))),"",IF('Your debts'!$D$20="Avalanche",'Avalanche workings'!$Q$252,'Snowball workings'!$Q$252)+IF('Your debts'!$D$20="Avalanche",'Avalanche workings'!$AK$252,'Snowball workings'!$AK$252))</f>
      </c>
      <c r="Q250" s="30">
        <f>IF(OR(245&gt;$Z$1,NOT(OR('Your debts'!$B$11&lt;&gt;"",N('Your debts'!$C$11)&gt;0))),"",IF('Your debts'!$D$20="Avalanche",'Avalanche workings'!$AU$252,'Snowball workings'!$AU$252))</f>
      </c>
      <c r="R250" s="29">
        <f>IF(OR(245&gt;$Z$1,NOT(OR('Your debts'!$B$12&lt;&gt;"",N('Your debts'!$C$12)&gt;0))),"",IF('Your debts'!$D$20="Avalanche",'Avalanche workings'!$R$252,'Snowball workings'!$R$252)+IF('Your debts'!$D$20="Avalanche",'Avalanche workings'!$AL$252,'Snowball workings'!$AL$252))</f>
      </c>
      <c r="S250" s="30">
        <f>IF(OR(245&gt;$Z$1,NOT(OR('Your debts'!$B$12&lt;&gt;"",N('Your debts'!$C$12)&gt;0))),"",IF('Your debts'!$D$20="Avalanche",'Avalanche workings'!$AV$252,'Snowball workings'!$AV$252))</f>
      </c>
      <c r="T250" s="29">
        <f>IF(OR(245&gt;$Z$1,NOT(OR('Your debts'!$B$13&lt;&gt;"",N('Your debts'!$C$13)&gt;0))),"",IF('Your debts'!$D$20="Avalanche",'Avalanche workings'!$S$252,'Snowball workings'!$S$252)+IF('Your debts'!$D$20="Avalanche",'Avalanche workings'!$AM$252,'Snowball workings'!$AM$252))</f>
      </c>
      <c r="U250" s="30">
        <f>IF(OR(245&gt;$Z$1,NOT(OR('Your debts'!$B$13&lt;&gt;"",N('Your debts'!$C$13)&gt;0))),"",IF('Your debts'!$D$20="Avalanche",'Avalanche workings'!$AW$252,'Snowball workings'!$AW$252))</f>
      </c>
      <c r="V250" s="29">
        <f>IF(OR(245&gt;$Z$1,NOT(OR('Your debts'!$B$14&lt;&gt;"",N('Your debts'!$C$14)&gt;0))),"",IF('Your debts'!$D$20="Avalanche",'Avalanche workings'!$T$252,'Snowball workings'!$T$252)+IF('Your debts'!$D$20="Avalanche",'Avalanche workings'!$AN$252,'Snowball workings'!$AN$252))</f>
      </c>
      <c r="W250" s="30">
        <f>IF(OR(245&gt;$Z$1,NOT(OR('Your debts'!$B$14&lt;&gt;"",N('Your debts'!$C$14)&gt;0))),"",IF('Your debts'!$D$20="Avalanche",'Avalanche workings'!$AX$252,'Snowball workings'!$AX$252))</f>
      </c>
      <c r="X250" s="29">
        <f>IF(OR(245&gt;$Z$1,NOT(OR('Your debts'!$B$15&lt;&gt;"",N('Your debts'!$C$15)&gt;0))),"",IF('Your debts'!$D$20="Avalanche",'Avalanche workings'!$U$252,'Snowball workings'!$U$252)+IF('Your debts'!$D$20="Avalanche",'Avalanche workings'!$AO$252,'Snowball workings'!$AO$252))</f>
      </c>
      <c r="Y250" s="30">
        <f>IF(OR(245&gt;$Z$1,NOT(OR('Your debts'!$B$15&lt;&gt;"",N('Your debts'!$C$15)&gt;0))),"",IF('Your debts'!$D$20="Avalanche",'Avalanche workings'!$AY$252,'Snowball workings'!$AY$252))</f>
      </c>
    </row>
    <row r="251" spans="1:25" x14ac:dyDescent="0.25">
      <c r="A251" s="2">
        <f>IF(246&gt;$Z$1,"",246)</f>
      </c>
      <c r="B251" s="28">
        <f>IF(246&gt;$Z$1,"",EDATE('Your debts'!$D$21,245))</f>
      </c>
      <c r="C251" s="29">
        <f>IF(246&gt;$Z$1,"",IF('Your debts'!$D$20="Avalanche",'Avalanche workings'!$BC$253,'Snowball workings'!$BC$253))</f>
      </c>
      <c r="D251" s="29">
        <f>IF(246&gt;$Z$1,"",IF('Your debts'!$D$20="Avalanche",'Avalanche workings'!$BA$253,'Snowball workings'!$BA$253))</f>
      </c>
      <c r="E251" s="29">
        <f>IF(246&gt;$Z$1,"",IF('Your debts'!$D$20="Avalanche",'Avalanche workings'!$BB$253,'Snowball workings'!$BB$253))</f>
      </c>
      <c r="F251" s="29">
        <f>IF(OR(246&gt;$Z$1,NOT(OR('Your debts'!$B$6&lt;&gt;"",N('Your debts'!$C$6)&gt;0))),"",IF('Your debts'!$D$20="Avalanche",'Avalanche workings'!$L$253,'Snowball workings'!$L$253)+IF('Your debts'!$D$20="Avalanche",'Avalanche workings'!$AF$253,'Snowball workings'!$AF$253))</f>
      </c>
      <c r="G251" s="30">
        <f>IF(OR(246&gt;$Z$1,NOT(OR('Your debts'!$B$6&lt;&gt;"",N('Your debts'!$C$6)&gt;0))),"",IF('Your debts'!$D$20="Avalanche",'Avalanche workings'!$AP$253,'Snowball workings'!$AP$253))</f>
      </c>
      <c r="H251" s="29">
        <f>IF(OR(246&gt;$Z$1,NOT(OR('Your debts'!$B$7&lt;&gt;"",N('Your debts'!$C$7)&gt;0))),"",IF('Your debts'!$D$20="Avalanche",'Avalanche workings'!$M$253,'Snowball workings'!$M$253)+IF('Your debts'!$D$20="Avalanche",'Avalanche workings'!$AG$253,'Snowball workings'!$AG$253))</f>
      </c>
      <c r="I251" s="30">
        <f>IF(OR(246&gt;$Z$1,NOT(OR('Your debts'!$B$7&lt;&gt;"",N('Your debts'!$C$7)&gt;0))),"",IF('Your debts'!$D$20="Avalanche",'Avalanche workings'!$AQ$253,'Snowball workings'!$AQ$253))</f>
      </c>
      <c r="J251" s="29">
        <f>IF(OR(246&gt;$Z$1,NOT(OR('Your debts'!$B$8&lt;&gt;"",N('Your debts'!$C$8)&gt;0))),"",IF('Your debts'!$D$20="Avalanche",'Avalanche workings'!$N$253,'Snowball workings'!$N$253)+IF('Your debts'!$D$20="Avalanche",'Avalanche workings'!$AH$253,'Snowball workings'!$AH$253))</f>
      </c>
      <c r="K251" s="30">
        <f>IF(OR(246&gt;$Z$1,NOT(OR('Your debts'!$B$8&lt;&gt;"",N('Your debts'!$C$8)&gt;0))),"",IF('Your debts'!$D$20="Avalanche",'Avalanche workings'!$AR$253,'Snowball workings'!$AR$253))</f>
      </c>
      <c r="L251" s="29">
        <f>IF(OR(246&gt;$Z$1,NOT(OR('Your debts'!$B$9&lt;&gt;"",N('Your debts'!$C$9)&gt;0))),"",IF('Your debts'!$D$20="Avalanche",'Avalanche workings'!$O$253,'Snowball workings'!$O$253)+IF('Your debts'!$D$20="Avalanche",'Avalanche workings'!$AI$253,'Snowball workings'!$AI$253))</f>
      </c>
      <c r="M251" s="30">
        <f>IF(OR(246&gt;$Z$1,NOT(OR('Your debts'!$B$9&lt;&gt;"",N('Your debts'!$C$9)&gt;0))),"",IF('Your debts'!$D$20="Avalanche",'Avalanche workings'!$AS$253,'Snowball workings'!$AS$253))</f>
      </c>
      <c r="N251" s="29">
        <f>IF(OR(246&gt;$Z$1,NOT(OR('Your debts'!$B$10&lt;&gt;"",N('Your debts'!$C$10)&gt;0))),"",IF('Your debts'!$D$20="Avalanche",'Avalanche workings'!$P$253,'Snowball workings'!$P$253)+IF('Your debts'!$D$20="Avalanche",'Avalanche workings'!$AJ$253,'Snowball workings'!$AJ$253))</f>
      </c>
      <c r="O251" s="30">
        <f>IF(OR(246&gt;$Z$1,NOT(OR('Your debts'!$B$10&lt;&gt;"",N('Your debts'!$C$10)&gt;0))),"",IF('Your debts'!$D$20="Avalanche",'Avalanche workings'!$AT$253,'Snowball workings'!$AT$253))</f>
      </c>
      <c r="P251" s="29">
        <f>IF(OR(246&gt;$Z$1,NOT(OR('Your debts'!$B$11&lt;&gt;"",N('Your debts'!$C$11)&gt;0))),"",IF('Your debts'!$D$20="Avalanche",'Avalanche workings'!$Q$253,'Snowball workings'!$Q$253)+IF('Your debts'!$D$20="Avalanche",'Avalanche workings'!$AK$253,'Snowball workings'!$AK$253))</f>
      </c>
      <c r="Q251" s="30">
        <f>IF(OR(246&gt;$Z$1,NOT(OR('Your debts'!$B$11&lt;&gt;"",N('Your debts'!$C$11)&gt;0))),"",IF('Your debts'!$D$20="Avalanche",'Avalanche workings'!$AU$253,'Snowball workings'!$AU$253))</f>
      </c>
      <c r="R251" s="29">
        <f>IF(OR(246&gt;$Z$1,NOT(OR('Your debts'!$B$12&lt;&gt;"",N('Your debts'!$C$12)&gt;0))),"",IF('Your debts'!$D$20="Avalanche",'Avalanche workings'!$R$253,'Snowball workings'!$R$253)+IF('Your debts'!$D$20="Avalanche",'Avalanche workings'!$AL$253,'Snowball workings'!$AL$253))</f>
      </c>
      <c r="S251" s="30">
        <f>IF(OR(246&gt;$Z$1,NOT(OR('Your debts'!$B$12&lt;&gt;"",N('Your debts'!$C$12)&gt;0))),"",IF('Your debts'!$D$20="Avalanche",'Avalanche workings'!$AV$253,'Snowball workings'!$AV$253))</f>
      </c>
      <c r="T251" s="29">
        <f>IF(OR(246&gt;$Z$1,NOT(OR('Your debts'!$B$13&lt;&gt;"",N('Your debts'!$C$13)&gt;0))),"",IF('Your debts'!$D$20="Avalanche",'Avalanche workings'!$S$253,'Snowball workings'!$S$253)+IF('Your debts'!$D$20="Avalanche",'Avalanche workings'!$AM$253,'Snowball workings'!$AM$253))</f>
      </c>
      <c r="U251" s="30">
        <f>IF(OR(246&gt;$Z$1,NOT(OR('Your debts'!$B$13&lt;&gt;"",N('Your debts'!$C$13)&gt;0))),"",IF('Your debts'!$D$20="Avalanche",'Avalanche workings'!$AW$253,'Snowball workings'!$AW$253))</f>
      </c>
      <c r="V251" s="29">
        <f>IF(OR(246&gt;$Z$1,NOT(OR('Your debts'!$B$14&lt;&gt;"",N('Your debts'!$C$14)&gt;0))),"",IF('Your debts'!$D$20="Avalanche",'Avalanche workings'!$T$253,'Snowball workings'!$T$253)+IF('Your debts'!$D$20="Avalanche",'Avalanche workings'!$AN$253,'Snowball workings'!$AN$253))</f>
      </c>
      <c r="W251" s="30">
        <f>IF(OR(246&gt;$Z$1,NOT(OR('Your debts'!$B$14&lt;&gt;"",N('Your debts'!$C$14)&gt;0))),"",IF('Your debts'!$D$20="Avalanche",'Avalanche workings'!$AX$253,'Snowball workings'!$AX$253))</f>
      </c>
      <c r="X251" s="29">
        <f>IF(OR(246&gt;$Z$1,NOT(OR('Your debts'!$B$15&lt;&gt;"",N('Your debts'!$C$15)&gt;0))),"",IF('Your debts'!$D$20="Avalanche",'Avalanche workings'!$U$253,'Snowball workings'!$U$253)+IF('Your debts'!$D$20="Avalanche",'Avalanche workings'!$AO$253,'Snowball workings'!$AO$253))</f>
      </c>
      <c r="Y251" s="30">
        <f>IF(OR(246&gt;$Z$1,NOT(OR('Your debts'!$B$15&lt;&gt;"",N('Your debts'!$C$15)&gt;0))),"",IF('Your debts'!$D$20="Avalanche",'Avalanche workings'!$AY$253,'Snowball workings'!$AY$253))</f>
      </c>
    </row>
    <row r="252" spans="1:25" x14ac:dyDescent="0.25">
      <c r="A252" s="2">
        <f>IF(247&gt;$Z$1,"",247)</f>
      </c>
      <c r="B252" s="28">
        <f>IF(247&gt;$Z$1,"",EDATE('Your debts'!$D$21,246))</f>
      </c>
      <c r="C252" s="29">
        <f>IF(247&gt;$Z$1,"",IF('Your debts'!$D$20="Avalanche",'Avalanche workings'!$BC$254,'Snowball workings'!$BC$254))</f>
      </c>
      <c r="D252" s="29">
        <f>IF(247&gt;$Z$1,"",IF('Your debts'!$D$20="Avalanche",'Avalanche workings'!$BA$254,'Snowball workings'!$BA$254))</f>
      </c>
      <c r="E252" s="29">
        <f>IF(247&gt;$Z$1,"",IF('Your debts'!$D$20="Avalanche",'Avalanche workings'!$BB$254,'Snowball workings'!$BB$254))</f>
      </c>
      <c r="F252" s="29">
        <f>IF(OR(247&gt;$Z$1,NOT(OR('Your debts'!$B$6&lt;&gt;"",N('Your debts'!$C$6)&gt;0))),"",IF('Your debts'!$D$20="Avalanche",'Avalanche workings'!$L$254,'Snowball workings'!$L$254)+IF('Your debts'!$D$20="Avalanche",'Avalanche workings'!$AF$254,'Snowball workings'!$AF$254))</f>
      </c>
      <c r="G252" s="30">
        <f>IF(OR(247&gt;$Z$1,NOT(OR('Your debts'!$B$6&lt;&gt;"",N('Your debts'!$C$6)&gt;0))),"",IF('Your debts'!$D$20="Avalanche",'Avalanche workings'!$AP$254,'Snowball workings'!$AP$254))</f>
      </c>
      <c r="H252" s="29">
        <f>IF(OR(247&gt;$Z$1,NOT(OR('Your debts'!$B$7&lt;&gt;"",N('Your debts'!$C$7)&gt;0))),"",IF('Your debts'!$D$20="Avalanche",'Avalanche workings'!$M$254,'Snowball workings'!$M$254)+IF('Your debts'!$D$20="Avalanche",'Avalanche workings'!$AG$254,'Snowball workings'!$AG$254))</f>
      </c>
      <c r="I252" s="30">
        <f>IF(OR(247&gt;$Z$1,NOT(OR('Your debts'!$B$7&lt;&gt;"",N('Your debts'!$C$7)&gt;0))),"",IF('Your debts'!$D$20="Avalanche",'Avalanche workings'!$AQ$254,'Snowball workings'!$AQ$254))</f>
      </c>
      <c r="J252" s="29">
        <f>IF(OR(247&gt;$Z$1,NOT(OR('Your debts'!$B$8&lt;&gt;"",N('Your debts'!$C$8)&gt;0))),"",IF('Your debts'!$D$20="Avalanche",'Avalanche workings'!$N$254,'Snowball workings'!$N$254)+IF('Your debts'!$D$20="Avalanche",'Avalanche workings'!$AH$254,'Snowball workings'!$AH$254))</f>
      </c>
      <c r="K252" s="30">
        <f>IF(OR(247&gt;$Z$1,NOT(OR('Your debts'!$B$8&lt;&gt;"",N('Your debts'!$C$8)&gt;0))),"",IF('Your debts'!$D$20="Avalanche",'Avalanche workings'!$AR$254,'Snowball workings'!$AR$254))</f>
      </c>
      <c r="L252" s="29">
        <f>IF(OR(247&gt;$Z$1,NOT(OR('Your debts'!$B$9&lt;&gt;"",N('Your debts'!$C$9)&gt;0))),"",IF('Your debts'!$D$20="Avalanche",'Avalanche workings'!$O$254,'Snowball workings'!$O$254)+IF('Your debts'!$D$20="Avalanche",'Avalanche workings'!$AI$254,'Snowball workings'!$AI$254))</f>
      </c>
      <c r="M252" s="30">
        <f>IF(OR(247&gt;$Z$1,NOT(OR('Your debts'!$B$9&lt;&gt;"",N('Your debts'!$C$9)&gt;0))),"",IF('Your debts'!$D$20="Avalanche",'Avalanche workings'!$AS$254,'Snowball workings'!$AS$254))</f>
      </c>
      <c r="N252" s="29">
        <f>IF(OR(247&gt;$Z$1,NOT(OR('Your debts'!$B$10&lt;&gt;"",N('Your debts'!$C$10)&gt;0))),"",IF('Your debts'!$D$20="Avalanche",'Avalanche workings'!$P$254,'Snowball workings'!$P$254)+IF('Your debts'!$D$20="Avalanche",'Avalanche workings'!$AJ$254,'Snowball workings'!$AJ$254))</f>
      </c>
      <c r="O252" s="30">
        <f>IF(OR(247&gt;$Z$1,NOT(OR('Your debts'!$B$10&lt;&gt;"",N('Your debts'!$C$10)&gt;0))),"",IF('Your debts'!$D$20="Avalanche",'Avalanche workings'!$AT$254,'Snowball workings'!$AT$254))</f>
      </c>
      <c r="P252" s="29">
        <f>IF(OR(247&gt;$Z$1,NOT(OR('Your debts'!$B$11&lt;&gt;"",N('Your debts'!$C$11)&gt;0))),"",IF('Your debts'!$D$20="Avalanche",'Avalanche workings'!$Q$254,'Snowball workings'!$Q$254)+IF('Your debts'!$D$20="Avalanche",'Avalanche workings'!$AK$254,'Snowball workings'!$AK$254))</f>
      </c>
      <c r="Q252" s="30">
        <f>IF(OR(247&gt;$Z$1,NOT(OR('Your debts'!$B$11&lt;&gt;"",N('Your debts'!$C$11)&gt;0))),"",IF('Your debts'!$D$20="Avalanche",'Avalanche workings'!$AU$254,'Snowball workings'!$AU$254))</f>
      </c>
      <c r="R252" s="29">
        <f>IF(OR(247&gt;$Z$1,NOT(OR('Your debts'!$B$12&lt;&gt;"",N('Your debts'!$C$12)&gt;0))),"",IF('Your debts'!$D$20="Avalanche",'Avalanche workings'!$R$254,'Snowball workings'!$R$254)+IF('Your debts'!$D$20="Avalanche",'Avalanche workings'!$AL$254,'Snowball workings'!$AL$254))</f>
      </c>
      <c r="S252" s="30">
        <f>IF(OR(247&gt;$Z$1,NOT(OR('Your debts'!$B$12&lt;&gt;"",N('Your debts'!$C$12)&gt;0))),"",IF('Your debts'!$D$20="Avalanche",'Avalanche workings'!$AV$254,'Snowball workings'!$AV$254))</f>
      </c>
      <c r="T252" s="29">
        <f>IF(OR(247&gt;$Z$1,NOT(OR('Your debts'!$B$13&lt;&gt;"",N('Your debts'!$C$13)&gt;0))),"",IF('Your debts'!$D$20="Avalanche",'Avalanche workings'!$S$254,'Snowball workings'!$S$254)+IF('Your debts'!$D$20="Avalanche",'Avalanche workings'!$AM$254,'Snowball workings'!$AM$254))</f>
      </c>
      <c r="U252" s="30">
        <f>IF(OR(247&gt;$Z$1,NOT(OR('Your debts'!$B$13&lt;&gt;"",N('Your debts'!$C$13)&gt;0))),"",IF('Your debts'!$D$20="Avalanche",'Avalanche workings'!$AW$254,'Snowball workings'!$AW$254))</f>
      </c>
      <c r="V252" s="29">
        <f>IF(OR(247&gt;$Z$1,NOT(OR('Your debts'!$B$14&lt;&gt;"",N('Your debts'!$C$14)&gt;0))),"",IF('Your debts'!$D$20="Avalanche",'Avalanche workings'!$T$254,'Snowball workings'!$T$254)+IF('Your debts'!$D$20="Avalanche",'Avalanche workings'!$AN$254,'Snowball workings'!$AN$254))</f>
      </c>
      <c r="W252" s="30">
        <f>IF(OR(247&gt;$Z$1,NOT(OR('Your debts'!$B$14&lt;&gt;"",N('Your debts'!$C$14)&gt;0))),"",IF('Your debts'!$D$20="Avalanche",'Avalanche workings'!$AX$254,'Snowball workings'!$AX$254))</f>
      </c>
      <c r="X252" s="29">
        <f>IF(OR(247&gt;$Z$1,NOT(OR('Your debts'!$B$15&lt;&gt;"",N('Your debts'!$C$15)&gt;0))),"",IF('Your debts'!$D$20="Avalanche",'Avalanche workings'!$U$254,'Snowball workings'!$U$254)+IF('Your debts'!$D$20="Avalanche",'Avalanche workings'!$AO$254,'Snowball workings'!$AO$254))</f>
      </c>
      <c r="Y252" s="30">
        <f>IF(OR(247&gt;$Z$1,NOT(OR('Your debts'!$B$15&lt;&gt;"",N('Your debts'!$C$15)&gt;0))),"",IF('Your debts'!$D$20="Avalanche",'Avalanche workings'!$AY$254,'Snowball workings'!$AY$254))</f>
      </c>
    </row>
    <row r="253" spans="1:25" x14ac:dyDescent="0.25">
      <c r="A253" s="2">
        <f>IF(248&gt;$Z$1,"",248)</f>
      </c>
      <c r="B253" s="28">
        <f>IF(248&gt;$Z$1,"",EDATE('Your debts'!$D$21,247))</f>
      </c>
      <c r="C253" s="29">
        <f>IF(248&gt;$Z$1,"",IF('Your debts'!$D$20="Avalanche",'Avalanche workings'!$BC$255,'Snowball workings'!$BC$255))</f>
      </c>
      <c r="D253" s="29">
        <f>IF(248&gt;$Z$1,"",IF('Your debts'!$D$20="Avalanche",'Avalanche workings'!$BA$255,'Snowball workings'!$BA$255))</f>
      </c>
      <c r="E253" s="29">
        <f>IF(248&gt;$Z$1,"",IF('Your debts'!$D$20="Avalanche",'Avalanche workings'!$BB$255,'Snowball workings'!$BB$255))</f>
      </c>
      <c r="F253" s="29">
        <f>IF(OR(248&gt;$Z$1,NOT(OR('Your debts'!$B$6&lt;&gt;"",N('Your debts'!$C$6)&gt;0))),"",IF('Your debts'!$D$20="Avalanche",'Avalanche workings'!$L$255,'Snowball workings'!$L$255)+IF('Your debts'!$D$20="Avalanche",'Avalanche workings'!$AF$255,'Snowball workings'!$AF$255))</f>
      </c>
      <c r="G253" s="30">
        <f>IF(OR(248&gt;$Z$1,NOT(OR('Your debts'!$B$6&lt;&gt;"",N('Your debts'!$C$6)&gt;0))),"",IF('Your debts'!$D$20="Avalanche",'Avalanche workings'!$AP$255,'Snowball workings'!$AP$255))</f>
      </c>
      <c r="H253" s="29">
        <f>IF(OR(248&gt;$Z$1,NOT(OR('Your debts'!$B$7&lt;&gt;"",N('Your debts'!$C$7)&gt;0))),"",IF('Your debts'!$D$20="Avalanche",'Avalanche workings'!$M$255,'Snowball workings'!$M$255)+IF('Your debts'!$D$20="Avalanche",'Avalanche workings'!$AG$255,'Snowball workings'!$AG$255))</f>
      </c>
      <c r="I253" s="30">
        <f>IF(OR(248&gt;$Z$1,NOT(OR('Your debts'!$B$7&lt;&gt;"",N('Your debts'!$C$7)&gt;0))),"",IF('Your debts'!$D$20="Avalanche",'Avalanche workings'!$AQ$255,'Snowball workings'!$AQ$255))</f>
      </c>
      <c r="J253" s="29">
        <f>IF(OR(248&gt;$Z$1,NOT(OR('Your debts'!$B$8&lt;&gt;"",N('Your debts'!$C$8)&gt;0))),"",IF('Your debts'!$D$20="Avalanche",'Avalanche workings'!$N$255,'Snowball workings'!$N$255)+IF('Your debts'!$D$20="Avalanche",'Avalanche workings'!$AH$255,'Snowball workings'!$AH$255))</f>
      </c>
      <c r="K253" s="30">
        <f>IF(OR(248&gt;$Z$1,NOT(OR('Your debts'!$B$8&lt;&gt;"",N('Your debts'!$C$8)&gt;0))),"",IF('Your debts'!$D$20="Avalanche",'Avalanche workings'!$AR$255,'Snowball workings'!$AR$255))</f>
      </c>
      <c r="L253" s="29">
        <f>IF(OR(248&gt;$Z$1,NOT(OR('Your debts'!$B$9&lt;&gt;"",N('Your debts'!$C$9)&gt;0))),"",IF('Your debts'!$D$20="Avalanche",'Avalanche workings'!$O$255,'Snowball workings'!$O$255)+IF('Your debts'!$D$20="Avalanche",'Avalanche workings'!$AI$255,'Snowball workings'!$AI$255))</f>
      </c>
      <c r="M253" s="30">
        <f>IF(OR(248&gt;$Z$1,NOT(OR('Your debts'!$B$9&lt;&gt;"",N('Your debts'!$C$9)&gt;0))),"",IF('Your debts'!$D$20="Avalanche",'Avalanche workings'!$AS$255,'Snowball workings'!$AS$255))</f>
      </c>
      <c r="N253" s="29">
        <f>IF(OR(248&gt;$Z$1,NOT(OR('Your debts'!$B$10&lt;&gt;"",N('Your debts'!$C$10)&gt;0))),"",IF('Your debts'!$D$20="Avalanche",'Avalanche workings'!$P$255,'Snowball workings'!$P$255)+IF('Your debts'!$D$20="Avalanche",'Avalanche workings'!$AJ$255,'Snowball workings'!$AJ$255))</f>
      </c>
      <c r="O253" s="30">
        <f>IF(OR(248&gt;$Z$1,NOT(OR('Your debts'!$B$10&lt;&gt;"",N('Your debts'!$C$10)&gt;0))),"",IF('Your debts'!$D$20="Avalanche",'Avalanche workings'!$AT$255,'Snowball workings'!$AT$255))</f>
      </c>
      <c r="P253" s="29">
        <f>IF(OR(248&gt;$Z$1,NOT(OR('Your debts'!$B$11&lt;&gt;"",N('Your debts'!$C$11)&gt;0))),"",IF('Your debts'!$D$20="Avalanche",'Avalanche workings'!$Q$255,'Snowball workings'!$Q$255)+IF('Your debts'!$D$20="Avalanche",'Avalanche workings'!$AK$255,'Snowball workings'!$AK$255))</f>
      </c>
      <c r="Q253" s="30">
        <f>IF(OR(248&gt;$Z$1,NOT(OR('Your debts'!$B$11&lt;&gt;"",N('Your debts'!$C$11)&gt;0))),"",IF('Your debts'!$D$20="Avalanche",'Avalanche workings'!$AU$255,'Snowball workings'!$AU$255))</f>
      </c>
      <c r="R253" s="29">
        <f>IF(OR(248&gt;$Z$1,NOT(OR('Your debts'!$B$12&lt;&gt;"",N('Your debts'!$C$12)&gt;0))),"",IF('Your debts'!$D$20="Avalanche",'Avalanche workings'!$R$255,'Snowball workings'!$R$255)+IF('Your debts'!$D$20="Avalanche",'Avalanche workings'!$AL$255,'Snowball workings'!$AL$255))</f>
      </c>
      <c r="S253" s="30">
        <f>IF(OR(248&gt;$Z$1,NOT(OR('Your debts'!$B$12&lt;&gt;"",N('Your debts'!$C$12)&gt;0))),"",IF('Your debts'!$D$20="Avalanche",'Avalanche workings'!$AV$255,'Snowball workings'!$AV$255))</f>
      </c>
      <c r="T253" s="29">
        <f>IF(OR(248&gt;$Z$1,NOT(OR('Your debts'!$B$13&lt;&gt;"",N('Your debts'!$C$13)&gt;0))),"",IF('Your debts'!$D$20="Avalanche",'Avalanche workings'!$S$255,'Snowball workings'!$S$255)+IF('Your debts'!$D$20="Avalanche",'Avalanche workings'!$AM$255,'Snowball workings'!$AM$255))</f>
      </c>
      <c r="U253" s="30">
        <f>IF(OR(248&gt;$Z$1,NOT(OR('Your debts'!$B$13&lt;&gt;"",N('Your debts'!$C$13)&gt;0))),"",IF('Your debts'!$D$20="Avalanche",'Avalanche workings'!$AW$255,'Snowball workings'!$AW$255))</f>
      </c>
      <c r="V253" s="29">
        <f>IF(OR(248&gt;$Z$1,NOT(OR('Your debts'!$B$14&lt;&gt;"",N('Your debts'!$C$14)&gt;0))),"",IF('Your debts'!$D$20="Avalanche",'Avalanche workings'!$T$255,'Snowball workings'!$T$255)+IF('Your debts'!$D$20="Avalanche",'Avalanche workings'!$AN$255,'Snowball workings'!$AN$255))</f>
      </c>
      <c r="W253" s="30">
        <f>IF(OR(248&gt;$Z$1,NOT(OR('Your debts'!$B$14&lt;&gt;"",N('Your debts'!$C$14)&gt;0))),"",IF('Your debts'!$D$20="Avalanche",'Avalanche workings'!$AX$255,'Snowball workings'!$AX$255))</f>
      </c>
      <c r="X253" s="29">
        <f>IF(OR(248&gt;$Z$1,NOT(OR('Your debts'!$B$15&lt;&gt;"",N('Your debts'!$C$15)&gt;0))),"",IF('Your debts'!$D$20="Avalanche",'Avalanche workings'!$U$255,'Snowball workings'!$U$255)+IF('Your debts'!$D$20="Avalanche",'Avalanche workings'!$AO$255,'Snowball workings'!$AO$255))</f>
      </c>
      <c r="Y253" s="30">
        <f>IF(OR(248&gt;$Z$1,NOT(OR('Your debts'!$B$15&lt;&gt;"",N('Your debts'!$C$15)&gt;0))),"",IF('Your debts'!$D$20="Avalanche",'Avalanche workings'!$AY$255,'Snowball workings'!$AY$255))</f>
      </c>
    </row>
    <row r="254" spans="1:25" x14ac:dyDescent="0.25">
      <c r="A254" s="2">
        <f>IF(249&gt;$Z$1,"",249)</f>
      </c>
      <c r="B254" s="28">
        <f>IF(249&gt;$Z$1,"",EDATE('Your debts'!$D$21,248))</f>
      </c>
      <c r="C254" s="29">
        <f>IF(249&gt;$Z$1,"",IF('Your debts'!$D$20="Avalanche",'Avalanche workings'!$BC$256,'Snowball workings'!$BC$256))</f>
      </c>
      <c r="D254" s="29">
        <f>IF(249&gt;$Z$1,"",IF('Your debts'!$D$20="Avalanche",'Avalanche workings'!$BA$256,'Snowball workings'!$BA$256))</f>
      </c>
      <c r="E254" s="29">
        <f>IF(249&gt;$Z$1,"",IF('Your debts'!$D$20="Avalanche",'Avalanche workings'!$BB$256,'Snowball workings'!$BB$256))</f>
      </c>
      <c r="F254" s="29">
        <f>IF(OR(249&gt;$Z$1,NOT(OR('Your debts'!$B$6&lt;&gt;"",N('Your debts'!$C$6)&gt;0))),"",IF('Your debts'!$D$20="Avalanche",'Avalanche workings'!$L$256,'Snowball workings'!$L$256)+IF('Your debts'!$D$20="Avalanche",'Avalanche workings'!$AF$256,'Snowball workings'!$AF$256))</f>
      </c>
      <c r="G254" s="30">
        <f>IF(OR(249&gt;$Z$1,NOT(OR('Your debts'!$B$6&lt;&gt;"",N('Your debts'!$C$6)&gt;0))),"",IF('Your debts'!$D$20="Avalanche",'Avalanche workings'!$AP$256,'Snowball workings'!$AP$256))</f>
      </c>
      <c r="H254" s="29">
        <f>IF(OR(249&gt;$Z$1,NOT(OR('Your debts'!$B$7&lt;&gt;"",N('Your debts'!$C$7)&gt;0))),"",IF('Your debts'!$D$20="Avalanche",'Avalanche workings'!$M$256,'Snowball workings'!$M$256)+IF('Your debts'!$D$20="Avalanche",'Avalanche workings'!$AG$256,'Snowball workings'!$AG$256))</f>
      </c>
      <c r="I254" s="30">
        <f>IF(OR(249&gt;$Z$1,NOT(OR('Your debts'!$B$7&lt;&gt;"",N('Your debts'!$C$7)&gt;0))),"",IF('Your debts'!$D$20="Avalanche",'Avalanche workings'!$AQ$256,'Snowball workings'!$AQ$256))</f>
      </c>
      <c r="J254" s="29">
        <f>IF(OR(249&gt;$Z$1,NOT(OR('Your debts'!$B$8&lt;&gt;"",N('Your debts'!$C$8)&gt;0))),"",IF('Your debts'!$D$20="Avalanche",'Avalanche workings'!$N$256,'Snowball workings'!$N$256)+IF('Your debts'!$D$20="Avalanche",'Avalanche workings'!$AH$256,'Snowball workings'!$AH$256))</f>
      </c>
      <c r="K254" s="30">
        <f>IF(OR(249&gt;$Z$1,NOT(OR('Your debts'!$B$8&lt;&gt;"",N('Your debts'!$C$8)&gt;0))),"",IF('Your debts'!$D$20="Avalanche",'Avalanche workings'!$AR$256,'Snowball workings'!$AR$256))</f>
      </c>
      <c r="L254" s="29">
        <f>IF(OR(249&gt;$Z$1,NOT(OR('Your debts'!$B$9&lt;&gt;"",N('Your debts'!$C$9)&gt;0))),"",IF('Your debts'!$D$20="Avalanche",'Avalanche workings'!$O$256,'Snowball workings'!$O$256)+IF('Your debts'!$D$20="Avalanche",'Avalanche workings'!$AI$256,'Snowball workings'!$AI$256))</f>
      </c>
      <c r="M254" s="30">
        <f>IF(OR(249&gt;$Z$1,NOT(OR('Your debts'!$B$9&lt;&gt;"",N('Your debts'!$C$9)&gt;0))),"",IF('Your debts'!$D$20="Avalanche",'Avalanche workings'!$AS$256,'Snowball workings'!$AS$256))</f>
      </c>
      <c r="N254" s="29">
        <f>IF(OR(249&gt;$Z$1,NOT(OR('Your debts'!$B$10&lt;&gt;"",N('Your debts'!$C$10)&gt;0))),"",IF('Your debts'!$D$20="Avalanche",'Avalanche workings'!$P$256,'Snowball workings'!$P$256)+IF('Your debts'!$D$20="Avalanche",'Avalanche workings'!$AJ$256,'Snowball workings'!$AJ$256))</f>
      </c>
      <c r="O254" s="30">
        <f>IF(OR(249&gt;$Z$1,NOT(OR('Your debts'!$B$10&lt;&gt;"",N('Your debts'!$C$10)&gt;0))),"",IF('Your debts'!$D$20="Avalanche",'Avalanche workings'!$AT$256,'Snowball workings'!$AT$256))</f>
      </c>
      <c r="P254" s="29">
        <f>IF(OR(249&gt;$Z$1,NOT(OR('Your debts'!$B$11&lt;&gt;"",N('Your debts'!$C$11)&gt;0))),"",IF('Your debts'!$D$20="Avalanche",'Avalanche workings'!$Q$256,'Snowball workings'!$Q$256)+IF('Your debts'!$D$20="Avalanche",'Avalanche workings'!$AK$256,'Snowball workings'!$AK$256))</f>
      </c>
      <c r="Q254" s="30">
        <f>IF(OR(249&gt;$Z$1,NOT(OR('Your debts'!$B$11&lt;&gt;"",N('Your debts'!$C$11)&gt;0))),"",IF('Your debts'!$D$20="Avalanche",'Avalanche workings'!$AU$256,'Snowball workings'!$AU$256))</f>
      </c>
      <c r="R254" s="29">
        <f>IF(OR(249&gt;$Z$1,NOT(OR('Your debts'!$B$12&lt;&gt;"",N('Your debts'!$C$12)&gt;0))),"",IF('Your debts'!$D$20="Avalanche",'Avalanche workings'!$R$256,'Snowball workings'!$R$256)+IF('Your debts'!$D$20="Avalanche",'Avalanche workings'!$AL$256,'Snowball workings'!$AL$256))</f>
      </c>
      <c r="S254" s="30">
        <f>IF(OR(249&gt;$Z$1,NOT(OR('Your debts'!$B$12&lt;&gt;"",N('Your debts'!$C$12)&gt;0))),"",IF('Your debts'!$D$20="Avalanche",'Avalanche workings'!$AV$256,'Snowball workings'!$AV$256))</f>
      </c>
      <c r="T254" s="29">
        <f>IF(OR(249&gt;$Z$1,NOT(OR('Your debts'!$B$13&lt;&gt;"",N('Your debts'!$C$13)&gt;0))),"",IF('Your debts'!$D$20="Avalanche",'Avalanche workings'!$S$256,'Snowball workings'!$S$256)+IF('Your debts'!$D$20="Avalanche",'Avalanche workings'!$AM$256,'Snowball workings'!$AM$256))</f>
      </c>
      <c r="U254" s="30">
        <f>IF(OR(249&gt;$Z$1,NOT(OR('Your debts'!$B$13&lt;&gt;"",N('Your debts'!$C$13)&gt;0))),"",IF('Your debts'!$D$20="Avalanche",'Avalanche workings'!$AW$256,'Snowball workings'!$AW$256))</f>
      </c>
      <c r="V254" s="29">
        <f>IF(OR(249&gt;$Z$1,NOT(OR('Your debts'!$B$14&lt;&gt;"",N('Your debts'!$C$14)&gt;0))),"",IF('Your debts'!$D$20="Avalanche",'Avalanche workings'!$T$256,'Snowball workings'!$T$256)+IF('Your debts'!$D$20="Avalanche",'Avalanche workings'!$AN$256,'Snowball workings'!$AN$256))</f>
      </c>
      <c r="W254" s="30">
        <f>IF(OR(249&gt;$Z$1,NOT(OR('Your debts'!$B$14&lt;&gt;"",N('Your debts'!$C$14)&gt;0))),"",IF('Your debts'!$D$20="Avalanche",'Avalanche workings'!$AX$256,'Snowball workings'!$AX$256))</f>
      </c>
      <c r="X254" s="29">
        <f>IF(OR(249&gt;$Z$1,NOT(OR('Your debts'!$B$15&lt;&gt;"",N('Your debts'!$C$15)&gt;0))),"",IF('Your debts'!$D$20="Avalanche",'Avalanche workings'!$U$256,'Snowball workings'!$U$256)+IF('Your debts'!$D$20="Avalanche",'Avalanche workings'!$AO$256,'Snowball workings'!$AO$256))</f>
      </c>
      <c r="Y254" s="30">
        <f>IF(OR(249&gt;$Z$1,NOT(OR('Your debts'!$B$15&lt;&gt;"",N('Your debts'!$C$15)&gt;0))),"",IF('Your debts'!$D$20="Avalanche",'Avalanche workings'!$AY$256,'Snowball workings'!$AY$256))</f>
      </c>
    </row>
    <row r="255" spans="1:25" x14ac:dyDescent="0.25">
      <c r="A255" s="2">
        <f>IF(250&gt;$Z$1,"",250)</f>
      </c>
      <c r="B255" s="28">
        <f>IF(250&gt;$Z$1,"",EDATE('Your debts'!$D$21,249))</f>
      </c>
      <c r="C255" s="29">
        <f>IF(250&gt;$Z$1,"",IF('Your debts'!$D$20="Avalanche",'Avalanche workings'!$BC$257,'Snowball workings'!$BC$257))</f>
      </c>
      <c r="D255" s="29">
        <f>IF(250&gt;$Z$1,"",IF('Your debts'!$D$20="Avalanche",'Avalanche workings'!$BA$257,'Snowball workings'!$BA$257))</f>
      </c>
      <c r="E255" s="29">
        <f>IF(250&gt;$Z$1,"",IF('Your debts'!$D$20="Avalanche",'Avalanche workings'!$BB$257,'Snowball workings'!$BB$257))</f>
      </c>
      <c r="F255" s="29">
        <f>IF(OR(250&gt;$Z$1,NOT(OR('Your debts'!$B$6&lt;&gt;"",N('Your debts'!$C$6)&gt;0))),"",IF('Your debts'!$D$20="Avalanche",'Avalanche workings'!$L$257,'Snowball workings'!$L$257)+IF('Your debts'!$D$20="Avalanche",'Avalanche workings'!$AF$257,'Snowball workings'!$AF$257))</f>
      </c>
      <c r="G255" s="30">
        <f>IF(OR(250&gt;$Z$1,NOT(OR('Your debts'!$B$6&lt;&gt;"",N('Your debts'!$C$6)&gt;0))),"",IF('Your debts'!$D$20="Avalanche",'Avalanche workings'!$AP$257,'Snowball workings'!$AP$257))</f>
      </c>
      <c r="H255" s="29">
        <f>IF(OR(250&gt;$Z$1,NOT(OR('Your debts'!$B$7&lt;&gt;"",N('Your debts'!$C$7)&gt;0))),"",IF('Your debts'!$D$20="Avalanche",'Avalanche workings'!$M$257,'Snowball workings'!$M$257)+IF('Your debts'!$D$20="Avalanche",'Avalanche workings'!$AG$257,'Snowball workings'!$AG$257))</f>
      </c>
      <c r="I255" s="30">
        <f>IF(OR(250&gt;$Z$1,NOT(OR('Your debts'!$B$7&lt;&gt;"",N('Your debts'!$C$7)&gt;0))),"",IF('Your debts'!$D$20="Avalanche",'Avalanche workings'!$AQ$257,'Snowball workings'!$AQ$257))</f>
      </c>
      <c r="J255" s="29">
        <f>IF(OR(250&gt;$Z$1,NOT(OR('Your debts'!$B$8&lt;&gt;"",N('Your debts'!$C$8)&gt;0))),"",IF('Your debts'!$D$20="Avalanche",'Avalanche workings'!$N$257,'Snowball workings'!$N$257)+IF('Your debts'!$D$20="Avalanche",'Avalanche workings'!$AH$257,'Snowball workings'!$AH$257))</f>
      </c>
      <c r="K255" s="30">
        <f>IF(OR(250&gt;$Z$1,NOT(OR('Your debts'!$B$8&lt;&gt;"",N('Your debts'!$C$8)&gt;0))),"",IF('Your debts'!$D$20="Avalanche",'Avalanche workings'!$AR$257,'Snowball workings'!$AR$257))</f>
      </c>
      <c r="L255" s="29">
        <f>IF(OR(250&gt;$Z$1,NOT(OR('Your debts'!$B$9&lt;&gt;"",N('Your debts'!$C$9)&gt;0))),"",IF('Your debts'!$D$20="Avalanche",'Avalanche workings'!$O$257,'Snowball workings'!$O$257)+IF('Your debts'!$D$20="Avalanche",'Avalanche workings'!$AI$257,'Snowball workings'!$AI$257))</f>
      </c>
      <c r="M255" s="30">
        <f>IF(OR(250&gt;$Z$1,NOT(OR('Your debts'!$B$9&lt;&gt;"",N('Your debts'!$C$9)&gt;0))),"",IF('Your debts'!$D$20="Avalanche",'Avalanche workings'!$AS$257,'Snowball workings'!$AS$257))</f>
      </c>
      <c r="N255" s="29">
        <f>IF(OR(250&gt;$Z$1,NOT(OR('Your debts'!$B$10&lt;&gt;"",N('Your debts'!$C$10)&gt;0))),"",IF('Your debts'!$D$20="Avalanche",'Avalanche workings'!$P$257,'Snowball workings'!$P$257)+IF('Your debts'!$D$20="Avalanche",'Avalanche workings'!$AJ$257,'Snowball workings'!$AJ$257))</f>
      </c>
      <c r="O255" s="30">
        <f>IF(OR(250&gt;$Z$1,NOT(OR('Your debts'!$B$10&lt;&gt;"",N('Your debts'!$C$10)&gt;0))),"",IF('Your debts'!$D$20="Avalanche",'Avalanche workings'!$AT$257,'Snowball workings'!$AT$257))</f>
      </c>
      <c r="P255" s="29">
        <f>IF(OR(250&gt;$Z$1,NOT(OR('Your debts'!$B$11&lt;&gt;"",N('Your debts'!$C$11)&gt;0))),"",IF('Your debts'!$D$20="Avalanche",'Avalanche workings'!$Q$257,'Snowball workings'!$Q$257)+IF('Your debts'!$D$20="Avalanche",'Avalanche workings'!$AK$257,'Snowball workings'!$AK$257))</f>
      </c>
      <c r="Q255" s="30">
        <f>IF(OR(250&gt;$Z$1,NOT(OR('Your debts'!$B$11&lt;&gt;"",N('Your debts'!$C$11)&gt;0))),"",IF('Your debts'!$D$20="Avalanche",'Avalanche workings'!$AU$257,'Snowball workings'!$AU$257))</f>
      </c>
      <c r="R255" s="29">
        <f>IF(OR(250&gt;$Z$1,NOT(OR('Your debts'!$B$12&lt;&gt;"",N('Your debts'!$C$12)&gt;0))),"",IF('Your debts'!$D$20="Avalanche",'Avalanche workings'!$R$257,'Snowball workings'!$R$257)+IF('Your debts'!$D$20="Avalanche",'Avalanche workings'!$AL$257,'Snowball workings'!$AL$257))</f>
      </c>
      <c r="S255" s="30">
        <f>IF(OR(250&gt;$Z$1,NOT(OR('Your debts'!$B$12&lt;&gt;"",N('Your debts'!$C$12)&gt;0))),"",IF('Your debts'!$D$20="Avalanche",'Avalanche workings'!$AV$257,'Snowball workings'!$AV$257))</f>
      </c>
      <c r="T255" s="29">
        <f>IF(OR(250&gt;$Z$1,NOT(OR('Your debts'!$B$13&lt;&gt;"",N('Your debts'!$C$13)&gt;0))),"",IF('Your debts'!$D$20="Avalanche",'Avalanche workings'!$S$257,'Snowball workings'!$S$257)+IF('Your debts'!$D$20="Avalanche",'Avalanche workings'!$AM$257,'Snowball workings'!$AM$257))</f>
      </c>
      <c r="U255" s="30">
        <f>IF(OR(250&gt;$Z$1,NOT(OR('Your debts'!$B$13&lt;&gt;"",N('Your debts'!$C$13)&gt;0))),"",IF('Your debts'!$D$20="Avalanche",'Avalanche workings'!$AW$257,'Snowball workings'!$AW$257))</f>
      </c>
      <c r="V255" s="29">
        <f>IF(OR(250&gt;$Z$1,NOT(OR('Your debts'!$B$14&lt;&gt;"",N('Your debts'!$C$14)&gt;0))),"",IF('Your debts'!$D$20="Avalanche",'Avalanche workings'!$T$257,'Snowball workings'!$T$257)+IF('Your debts'!$D$20="Avalanche",'Avalanche workings'!$AN$257,'Snowball workings'!$AN$257))</f>
      </c>
      <c r="W255" s="30">
        <f>IF(OR(250&gt;$Z$1,NOT(OR('Your debts'!$B$14&lt;&gt;"",N('Your debts'!$C$14)&gt;0))),"",IF('Your debts'!$D$20="Avalanche",'Avalanche workings'!$AX$257,'Snowball workings'!$AX$257))</f>
      </c>
      <c r="X255" s="29">
        <f>IF(OR(250&gt;$Z$1,NOT(OR('Your debts'!$B$15&lt;&gt;"",N('Your debts'!$C$15)&gt;0))),"",IF('Your debts'!$D$20="Avalanche",'Avalanche workings'!$U$257,'Snowball workings'!$U$257)+IF('Your debts'!$D$20="Avalanche",'Avalanche workings'!$AO$257,'Snowball workings'!$AO$257))</f>
      </c>
      <c r="Y255" s="30">
        <f>IF(OR(250&gt;$Z$1,NOT(OR('Your debts'!$B$15&lt;&gt;"",N('Your debts'!$C$15)&gt;0))),"",IF('Your debts'!$D$20="Avalanche",'Avalanche workings'!$AY$257,'Snowball workings'!$AY$257))</f>
      </c>
    </row>
    <row r="256" spans="1:25" x14ac:dyDescent="0.25">
      <c r="A256" s="2">
        <f>IF(251&gt;$Z$1,"",251)</f>
      </c>
      <c r="B256" s="28">
        <f>IF(251&gt;$Z$1,"",EDATE('Your debts'!$D$21,250))</f>
      </c>
      <c r="C256" s="29">
        <f>IF(251&gt;$Z$1,"",IF('Your debts'!$D$20="Avalanche",'Avalanche workings'!$BC$258,'Snowball workings'!$BC$258))</f>
      </c>
      <c r="D256" s="29">
        <f>IF(251&gt;$Z$1,"",IF('Your debts'!$D$20="Avalanche",'Avalanche workings'!$BA$258,'Snowball workings'!$BA$258))</f>
      </c>
      <c r="E256" s="29">
        <f>IF(251&gt;$Z$1,"",IF('Your debts'!$D$20="Avalanche",'Avalanche workings'!$BB$258,'Snowball workings'!$BB$258))</f>
      </c>
      <c r="F256" s="29">
        <f>IF(OR(251&gt;$Z$1,NOT(OR('Your debts'!$B$6&lt;&gt;"",N('Your debts'!$C$6)&gt;0))),"",IF('Your debts'!$D$20="Avalanche",'Avalanche workings'!$L$258,'Snowball workings'!$L$258)+IF('Your debts'!$D$20="Avalanche",'Avalanche workings'!$AF$258,'Snowball workings'!$AF$258))</f>
      </c>
      <c r="G256" s="30">
        <f>IF(OR(251&gt;$Z$1,NOT(OR('Your debts'!$B$6&lt;&gt;"",N('Your debts'!$C$6)&gt;0))),"",IF('Your debts'!$D$20="Avalanche",'Avalanche workings'!$AP$258,'Snowball workings'!$AP$258))</f>
      </c>
      <c r="H256" s="29">
        <f>IF(OR(251&gt;$Z$1,NOT(OR('Your debts'!$B$7&lt;&gt;"",N('Your debts'!$C$7)&gt;0))),"",IF('Your debts'!$D$20="Avalanche",'Avalanche workings'!$M$258,'Snowball workings'!$M$258)+IF('Your debts'!$D$20="Avalanche",'Avalanche workings'!$AG$258,'Snowball workings'!$AG$258))</f>
      </c>
      <c r="I256" s="30">
        <f>IF(OR(251&gt;$Z$1,NOT(OR('Your debts'!$B$7&lt;&gt;"",N('Your debts'!$C$7)&gt;0))),"",IF('Your debts'!$D$20="Avalanche",'Avalanche workings'!$AQ$258,'Snowball workings'!$AQ$258))</f>
      </c>
      <c r="J256" s="29">
        <f>IF(OR(251&gt;$Z$1,NOT(OR('Your debts'!$B$8&lt;&gt;"",N('Your debts'!$C$8)&gt;0))),"",IF('Your debts'!$D$20="Avalanche",'Avalanche workings'!$N$258,'Snowball workings'!$N$258)+IF('Your debts'!$D$20="Avalanche",'Avalanche workings'!$AH$258,'Snowball workings'!$AH$258))</f>
      </c>
      <c r="K256" s="30">
        <f>IF(OR(251&gt;$Z$1,NOT(OR('Your debts'!$B$8&lt;&gt;"",N('Your debts'!$C$8)&gt;0))),"",IF('Your debts'!$D$20="Avalanche",'Avalanche workings'!$AR$258,'Snowball workings'!$AR$258))</f>
      </c>
      <c r="L256" s="29">
        <f>IF(OR(251&gt;$Z$1,NOT(OR('Your debts'!$B$9&lt;&gt;"",N('Your debts'!$C$9)&gt;0))),"",IF('Your debts'!$D$20="Avalanche",'Avalanche workings'!$O$258,'Snowball workings'!$O$258)+IF('Your debts'!$D$20="Avalanche",'Avalanche workings'!$AI$258,'Snowball workings'!$AI$258))</f>
      </c>
      <c r="M256" s="30">
        <f>IF(OR(251&gt;$Z$1,NOT(OR('Your debts'!$B$9&lt;&gt;"",N('Your debts'!$C$9)&gt;0))),"",IF('Your debts'!$D$20="Avalanche",'Avalanche workings'!$AS$258,'Snowball workings'!$AS$258))</f>
      </c>
      <c r="N256" s="29">
        <f>IF(OR(251&gt;$Z$1,NOT(OR('Your debts'!$B$10&lt;&gt;"",N('Your debts'!$C$10)&gt;0))),"",IF('Your debts'!$D$20="Avalanche",'Avalanche workings'!$P$258,'Snowball workings'!$P$258)+IF('Your debts'!$D$20="Avalanche",'Avalanche workings'!$AJ$258,'Snowball workings'!$AJ$258))</f>
      </c>
      <c r="O256" s="30">
        <f>IF(OR(251&gt;$Z$1,NOT(OR('Your debts'!$B$10&lt;&gt;"",N('Your debts'!$C$10)&gt;0))),"",IF('Your debts'!$D$20="Avalanche",'Avalanche workings'!$AT$258,'Snowball workings'!$AT$258))</f>
      </c>
      <c r="P256" s="29">
        <f>IF(OR(251&gt;$Z$1,NOT(OR('Your debts'!$B$11&lt;&gt;"",N('Your debts'!$C$11)&gt;0))),"",IF('Your debts'!$D$20="Avalanche",'Avalanche workings'!$Q$258,'Snowball workings'!$Q$258)+IF('Your debts'!$D$20="Avalanche",'Avalanche workings'!$AK$258,'Snowball workings'!$AK$258))</f>
      </c>
      <c r="Q256" s="30">
        <f>IF(OR(251&gt;$Z$1,NOT(OR('Your debts'!$B$11&lt;&gt;"",N('Your debts'!$C$11)&gt;0))),"",IF('Your debts'!$D$20="Avalanche",'Avalanche workings'!$AU$258,'Snowball workings'!$AU$258))</f>
      </c>
      <c r="R256" s="29">
        <f>IF(OR(251&gt;$Z$1,NOT(OR('Your debts'!$B$12&lt;&gt;"",N('Your debts'!$C$12)&gt;0))),"",IF('Your debts'!$D$20="Avalanche",'Avalanche workings'!$R$258,'Snowball workings'!$R$258)+IF('Your debts'!$D$20="Avalanche",'Avalanche workings'!$AL$258,'Snowball workings'!$AL$258))</f>
      </c>
      <c r="S256" s="30">
        <f>IF(OR(251&gt;$Z$1,NOT(OR('Your debts'!$B$12&lt;&gt;"",N('Your debts'!$C$12)&gt;0))),"",IF('Your debts'!$D$20="Avalanche",'Avalanche workings'!$AV$258,'Snowball workings'!$AV$258))</f>
      </c>
      <c r="T256" s="29">
        <f>IF(OR(251&gt;$Z$1,NOT(OR('Your debts'!$B$13&lt;&gt;"",N('Your debts'!$C$13)&gt;0))),"",IF('Your debts'!$D$20="Avalanche",'Avalanche workings'!$S$258,'Snowball workings'!$S$258)+IF('Your debts'!$D$20="Avalanche",'Avalanche workings'!$AM$258,'Snowball workings'!$AM$258))</f>
      </c>
      <c r="U256" s="30">
        <f>IF(OR(251&gt;$Z$1,NOT(OR('Your debts'!$B$13&lt;&gt;"",N('Your debts'!$C$13)&gt;0))),"",IF('Your debts'!$D$20="Avalanche",'Avalanche workings'!$AW$258,'Snowball workings'!$AW$258))</f>
      </c>
      <c r="V256" s="29">
        <f>IF(OR(251&gt;$Z$1,NOT(OR('Your debts'!$B$14&lt;&gt;"",N('Your debts'!$C$14)&gt;0))),"",IF('Your debts'!$D$20="Avalanche",'Avalanche workings'!$T$258,'Snowball workings'!$T$258)+IF('Your debts'!$D$20="Avalanche",'Avalanche workings'!$AN$258,'Snowball workings'!$AN$258))</f>
      </c>
      <c r="W256" s="30">
        <f>IF(OR(251&gt;$Z$1,NOT(OR('Your debts'!$B$14&lt;&gt;"",N('Your debts'!$C$14)&gt;0))),"",IF('Your debts'!$D$20="Avalanche",'Avalanche workings'!$AX$258,'Snowball workings'!$AX$258))</f>
      </c>
      <c r="X256" s="29">
        <f>IF(OR(251&gt;$Z$1,NOT(OR('Your debts'!$B$15&lt;&gt;"",N('Your debts'!$C$15)&gt;0))),"",IF('Your debts'!$D$20="Avalanche",'Avalanche workings'!$U$258,'Snowball workings'!$U$258)+IF('Your debts'!$D$20="Avalanche",'Avalanche workings'!$AO$258,'Snowball workings'!$AO$258))</f>
      </c>
      <c r="Y256" s="30">
        <f>IF(OR(251&gt;$Z$1,NOT(OR('Your debts'!$B$15&lt;&gt;"",N('Your debts'!$C$15)&gt;0))),"",IF('Your debts'!$D$20="Avalanche",'Avalanche workings'!$AY$258,'Snowball workings'!$AY$258))</f>
      </c>
    </row>
    <row r="257" spans="1:25" x14ac:dyDescent="0.25">
      <c r="A257" s="2">
        <f>IF(252&gt;$Z$1,"",252)</f>
      </c>
      <c r="B257" s="28">
        <f>IF(252&gt;$Z$1,"",EDATE('Your debts'!$D$21,251))</f>
      </c>
      <c r="C257" s="29">
        <f>IF(252&gt;$Z$1,"",IF('Your debts'!$D$20="Avalanche",'Avalanche workings'!$BC$259,'Snowball workings'!$BC$259))</f>
      </c>
      <c r="D257" s="29">
        <f>IF(252&gt;$Z$1,"",IF('Your debts'!$D$20="Avalanche",'Avalanche workings'!$BA$259,'Snowball workings'!$BA$259))</f>
      </c>
      <c r="E257" s="29">
        <f>IF(252&gt;$Z$1,"",IF('Your debts'!$D$20="Avalanche",'Avalanche workings'!$BB$259,'Snowball workings'!$BB$259))</f>
      </c>
      <c r="F257" s="29">
        <f>IF(OR(252&gt;$Z$1,NOT(OR('Your debts'!$B$6&lt;&gt;"",N('Your debts'!$C$6)&gt;0))),"",IF('Your debts'!$D$20="Avalanche",'Avalanche workings'!$L$259,'Snowball workings'!$L$259)+IF('Your debts'!$D$20="Avalanche",'Avalanche workings'!$AF$259,'Snowball workings'!$AF$259))</f>
      </c>
      <c r="G257" s="30">
        <f>IF(OR(252&gt;$Z$1,NOT(OR('Your debts'!$B$6&lt;&gt;"",N('Your debts'!$C$6)&gt;0))),"",IF('Your debts'!$D$20="Avalanche",'Avalanche workings'!$AP$259,'Snowball workings'!$AP$259))</f>
      </c>
      <c r="H257" s="29">
        <f>IF(OR(252&gt;$Z$1,NOT(OR('Your debts'!$B$7&lt;&gt;"",N('Your debts'!$C$7)&gt;0))),"",IF('Your debts'!$D$20="Avalanche",'Avalanche workings'!$M$259,'Snowball workings'!$M$259)+IF('Your debts'!$D$20="Avalanche",'Avalanche workings'!$AG$259,'Snowball workings'!$AG$259))</f>
      </c>
      <c r="I257" s="30">
        <f>IF(OR(252&gt;$Z$1,NOT(OR('Your debts'!$B$7&lt;&gt;"",N('Your debts'!$C$7)&gt;0))),"",IF('Your debts'!$D$20="Avalanche",'Avalanche workings'!$AQ$259,'Snowball workings'!$AQ$259))</f>
      </c>
      <c r="J257" s="29">
        <f>IF(OR(252&gt;$Z$1,NOT(OR('Your debts'!$B$8&lt;&gt;"",N('Your debts'!$C$8)&gt;0))),"",IF('Your debts'!$D$20="Avalanche",'Avalanche workings'!$N$259,'Snowball workings'!$N$259)+IF('Your debts'!$D$20="Avalanche",'Avalanche workings'!$AH$259,'Snowball workings'!$AH$259))</f>
      </c>
      <c r="K257" s="30">
        <f>IF(OR(252&gt;$Z$1,NOT(OR('Your debts'!$B$8&lt;&gt;"",N('Your debts'!$C$8)&gt;0))),"",IF('Your debts'!$D$20="Avalanche",'Avalanche workings'!$AR$259,'Snowball workings'!$AR$259))</f>
      </c>
      <c r="L257" s="29">
        <f>IF(OR(252&gt;$Z$1,NOT(OR('Your debts'!$B$9&lt;&gt;"",N('Your debts'!$C$9)&gt;0))),"",IF('Your debts'!$D$20="Avalanche",'Avalanche workings'!$O$259,'Snowball workings'!$O$259)+IF('Your debts'!$D$20="Avalanche",'Avalanche workings'!$AI$259,'Snowball workings'!$AI$259))</f>
      </c>
      <c r="M257" s="30">
        <f>IF(OR(252&gt;$Z$1,NOT(OR('Your debts'!$B$9&lt;&gt;"",N('Your debts'!$C$9)&gt;0))),"",IF('Your debts'!$D$20="Avalanche",'Avalanche workings'!$AS$259,'Snowball workings'!$AS$259))</f>
      </c>
      <c r="N257" s="29">
        <f>IF(OR(252&gt;$Z$1,NOT(OR('Your debts'!$B$10&lt;&gt;"",N('Your debts'!$C$10)&gt;0))),"",IF('Your debts'!$D$20="Avalanche",'Avalanche workings'!$P$259,'Snowball workings'!$P$259)+IF('Your debts'!$D$20="Avalanche",'Avalanche workings'!$AJ$259,'Snowball workings'!$AJ$259))</f>
      </c>
      <c r="O257" s="30">
        <f>IF(OR(252&gt;$Z$1,NOT(OR('Your debts'!$B$10&lt;&gt;"",N('Your debts'!$C$10)&gt;0))),"",IF('Your debts'!$D$20="Avalanche",'Avalanche workings'!$AT$259,'Snowball workings'!$AT$259))</f>
      </c>
      <c r="P257" s="29">
        <f>IF(OR(252&gt;$Z$1,NOT(OR('Your debts'!$B$11&lt;&gt;"",N('Your debts'!$C$11)&gt;0))),"",IF('Your debts'!$D$20="Avalanche",'Avalanche workings'!$Q$259,'Snowball workings'!$Q$259)+IF('Your debts'!$D$20="Avalanche",'Avalanche workings'!$AK$259,'Snowball workings'!$AK$259))</f>
      </c>
      <c r="Q257" s="30">
        <f>IF(OR(252&gt;$Z$1,NOT(OR('Your debts'!$B$11&lt;&gt;"",N('Your debts'!$C$11)&gt;0))),"",IF('Your debts'!$D$20="Avalanche",'Avalanche workings'!$AU$259,'Snowball workings'!$AU$259))</f>
      </c>
      <c r="R257" s="29">
        <f>IF(OR(252&gt;$Z$1,NOT(OR('Your debts'!$B$12&lt;&gt;"",N('Your debts'!$C$12)&gt;0))),"",IF('Your debts'!$D$20="Avalanche",'Avalanche workings'!$R$259,'Snowball workings'!$R$259)+IF('Your debts'!$D$20="Avalanche",'Avalanche workings'!$AL$259,'Snowball workings'!$AL$259))</f>
      </c>
      <c r="S257" s="30">
        <f>IF(OR(252&gt;$Z$1,NOT(OR('Your debts'!$B$12&lt;&gt;"",N('Your debts'!$C$12)&gt;0))),"",IF('Your debts'!$D$20="Avalanche",'Avalanche workings'!$AV$259,'Snowball workings'!$AV$259))</f>
      </c>
      <c r="T257" s="29">
        <f>IF(OR(252&gt;$Z$1,NOT(OR('Your debts'!$B$13&lt;&gt;"",N('Your debts'!$C$13)&gt;0))),"",IF('Your debts'!$D$20="Avalanche",'Avalanche workings'!$S$259,'Snowball workings'!$S$259)+IF('Your debts'!$D$20="Avalanche",'Avalanche workings'!$AM$259,'Snowball workings'!$AM$259))</f>
      </c>
      <c r="U257" s="30">
        <f>IF(OR(252&gt;$Z$1,NOT(OR('Your debts'!$B$13&lt;&gt;"",N('Your debts'!$C$13)&gt;0))),"",IF('Your debts'!$D$20="Avalanche",'Avalanche workings'!$AW$259,'Snowball workings'!$AW$259))</f>
      </c>
      <c r="V257" s="29">
        <f>IF(OR(252&gt;$Z$1,NOT(OR('Your debts'!$B$14&lt;&gt;"",N('Your debts'!$C$14)&gt;0))),"",IF('Your debts'!$D$20="Avalanche",'Avalanche workings'!$T$259,'Snowball workings'!$T$259)+IF('Your debts'!$D$20="Avalanche",'Avalanche workings'!$AN$259,'Snowball workings'!$AN$259))</f>
      </c>
      <c r="W257" s="30">
        <f>IF(OR(252&gt;$Z$1,NOT(OR('Your debts'!$B$14&lt;&gt;"",N('Your debts'!$C$14)&gt;0))),"",IF('Your debts'!$D$20="Avalanche",'Avalanche workings'!$AX$259,'Snowball workings'!$AX$259))</f>
      </c>
      <c r="X257" s="29">
        <f>IF(OR(252&gt;$Z$1,NOT(OR('Your debts'!$B$15&lt;&gt;"",N('Your debts'!$C$15)&gt;0))),"",IF('Your debts'!$D$20="Avalanche",'Avalanche workings'!$U$259,'Snowball workings'!$U$259)+IF('Your debts'!$D$20="Avalanche",'Avalanche workings'!$AO$259,'Snowball workings'!$AO$259))</f>
      </c>
      <c r="Y257" s="30">
        <f>IF(OR(252&gt;$Z$1,NOT(OR('Your debts'!$B$15&lt;&gt;"",N('Your debts'!$C$15)&gt;0))),"",IF('Your debts'!$D$20="Avalanche",'Avalanche workings'!$AY$259,'Snowball workings'!$AY$259))</f>
      </c>
    </row>
    <row r="258" spans="1:25" x14ac:dyDescent="0.25">
      <c r="A258" s="2">
        <f>IF(253&gt;$Z$1,"",253)</f>
      </c>
      <c r="B258" s="28">
        <f>IF(253&gt;$Z$1,"",EDATE('Your debts'!$D$21,252))</f>
      </c>
      <c r="C258" s="29">
        <f>IF(253&gt;$Z$1,"",IF('Your debts'!$D$20="Avalanche",'Avalanche workings'!$BC$260,'Snowball workings'!$BC$260))</f>
      </c>
      <c r="D258" s="29">
        <f>IF(253&gt;$Z$1,"",IF('Your debts'!$D$20="Avalanche",'Avalanche workings'!$BA$260,'Snowball workings'!$BA$260))</f>
      </c>
      <c r="E258" s="29">
        <f>IF(253&gt;$Z$1,"",IF('Your debts'!$D$20="Avalanche",'Avalanche workings'!$BB$260,'Snowball workings'!$BB$260))</f>
      </c>
      <c r="F258" s="29">
        <f>IF(OR(253&gt;$Z$1,NOT(OR('Your debts'!$B$6&lt;&gt;"",N('Your debts'!$C$6)&gt;0))),"",IF('Your debts'!$D$20="Avalanche",'Avalanche workings'!$L$260,'Snowball workings'!$L$260)+IF('Your debts'!$D$20="Avalanche",'Avalanche workings'!$AF$260,'Snowball workings'!$AF$260))</f>
      </c>
      <c r="G258" s="30">
        <f>IF(OR(253&gt;$Z$1,NOT(OR('Your debts'!$B$6&lt;&gt;"",N('Your debts'!$C$6)&gt;0))),"",IF('Your debts'!$D$20="Avalanche",'Avalanche workings'!$AP$260,'Snowball workings'!$AP$260))</f>
      </c>
      <c r="H258" s="29">
        <f>IF(OR(253&gt;$Z$1,NOT(OR('Your debts'!$B$7&lt;&gt;"",N('Your debts'!$C$7)&gt;0))),"",IF('Your debts'!$D$20="Avalanche",'Avalanche workings'!$M$260,'Snowball workings'!$M$260)+IF('Your debts'!$D$20="Avalanche",'Avalanche workings'!$AG$260,'Snowball workings'!$AG$260))</f>
      </c>
      <c r="I258" s="30">
        <f>IF(OR(253&gt;$Z$1,NOT(OR('Your debts'!$B$7&lt;&gt;"",N('Your debts'!$C$7)&gt;0))),"",IF('Your debts'!$D$20="Avalanche",'Avalanche workings'!$AQ$260,'Snowball workings'!$AQ$260))</f>
      </c>
      <c r="J258" s="29">
        <f>IF(OR(253&gt;$Z$1,NOT(OR('Your debts'!$B$8&lt;&gt;"",N('Your debts'!$C$8)&gt;0))),"",IF('Your debts'!$D$20="Avalanche",'Avalanche workings'!$N$260,'Snowball workings'!$N$260)+IF('Your debts'!$D$20="Avalanche",'Avalanche workings'!$AH$260,'Snowball workings'!$AH$260))</f>
      </c>
      <c r="K258" s="30">
        <f>IF(OR(253&gt;$Z$1,NOT(OR('Your debts'!$B$8&lt;&gt;"",N('Your debts'!$C$8)&gt;0))),"",IF('Your debts'!$D$20="Avalanche",'Avalanche workings'!$AR$260,'Snowball workings'!$AR$260))</f>
      </c>
      <c r="L258" s="29">
        <f>IF(OR(253&gt;$Z$1,NOT(OR('Your debts'!$B$9&lt;&gt;"",N('Your debts'!$C$9)&gt;0))),"",IF('Your debts'!$D$20="Avalanche",'Avalanche workings'!$O$260,'Snowball workings'!$O$260)+IF('Your debts'!$D$20="Avalanche",'Avalanche workings'!$AI$260,'Snowball workings'!$AI$260))</f>
      </c>
      <c r="M258" s="30">
        <f>IF(OR(253&gt;$Z$1,NOT(OR('Your debts'!$B$9&lt;&gt;"",N('Your debts'!$C$9)&gt;0))),"",IF('Your debts'!$D$20="Avalanche",'Avalanche workings'!$AS$260,'Snowball workings'!$AS$260))</f>
      </c>
      <c r="N258" s="29">
        <f>IF(OR(253&gt;$Z$1,NOT(OR('Your debts'!$B$10&lt;&gt;"",N('Your debts'!$C$10)&gt;0))),"",IF('Your debts'!$D$20="Avalanche",'Avalanche workings'!$P$260,'Snowball workings'!$P$260)+IF('Your debts'!$D$20="Avalanche",'Avalanche workings'!$AJ$260,'Snowball workings'!$AJ$260))</f>
      </c>
      <c r="O258" s="30">
        <f>IF(OR(253&gt;$Z$1,NOT(OR('Your debts'!$B$10&lt;&gt;"",N('Your debts'!$C$10)&gt;0))),"",IF('Your debts'!$D$20="Avalanche",'Avalanche workings'!$AT$260,'Snowball workings'!$AT$260))</f>
      </c>
      <c r="P258" s="29">
        <f>IF(OR(253&gt;$Z$1,NOT(OR('Your debts'!$B$11&lt;&gt;"",N('Your debts'!$C$11)&gt;0))),"",IF('Your debts'!$D$20="Avalanche",'Avalanche workings'!$Q$260,'Snowball workings'!$Q$260)+IF('Your debts'!$D$20="Avalanche",'Avalanche workings'!$AK$260,'Snowball workings'!$AK$260))</f>
      </c>
      <c r="Q258" s="30">
        <f>IF(OR(253&gt;$Z$1,NOT(OR('Your debts'!$B$11&lt;&gt;"",N('Your debts'!$C$11)&gt;0))),"",IF('Your debts'!$D$20="Avalanche",'Avalanche workings'!$AU$260,'Snowball workings'!$AU$260))</f>
      </c>
      <c r="R258" s="29">
        <f>IF(OR(253&gt;$Z$1,NOT(OR('Your debts'!$B$12&lt;&gt;"",N('Your debts'!$C$12)&gt;0))),"",IF('Your debts'!$D$20="Avalanche",'Avalanche workings'!$R$260,'Snowball workings'!$R$260)+IF('Your debts'!$D$20="Avalanche",'Avalanche workings'!$AL$260,'Snowball workings'!$AL$260))</f>
      </c>
      <c r="S258" s="30">
        <f>IF(OR(253&gt;$Z$1,NOT(OR('Your debts'!$B$12&lt;&gt;"",N('Your debts'!$C$12)&gt;0))),"",IF('Your debts'!$D$20="Avalanche",'Avalanche workings'!$AV$260,'Snowball workings'!$AV$260))</f>
      </c>
      <c r="T258" s="29">
        <f>IF(OR(253&gt;$Z$1,NOT(OR('Your debts'!$B$13&lt;&gt;"",N('Your debts'!$C$13)&gt;0))),"",IF('Your debts'!$D$20="Avalanche",'Avalanche workings'!$S$260,'Snowball workings'!$S$260)+IF('Your debts'!$D$20="Avalanche",'Avalanche workings'!$AM$260,'Snowball workings'!$AM$260))</f>
      </c>
      <c r="U258" s="30">
        <f>IF(OR(253&gt;$Z$1,NOT(OR('Your debts'!$B$13&lt;&gt;"",N('Your debts'!$C$13)&gt;0))),"",IF('Your debts'!$D$20="Avalanche",'Avalanche workings'!$AW$260,'Snowball workings'!$AW$260))</f>
      </c>
      <c r="V258" s="29">
        <f>IF(OR(253&gt;$Z$1,NOT(OR('Your debts'!$B$14&lt;&gt;"",N('Your debts'!$C$14)&gt;0))),"",IF('Your debts'!$D$20="Avalanche",'Avalanche workings'!$T$260,'Snowball workings'!$T$260)+IF('Your debts'!$D$20="Avalanche",'Avalanche workings'!$AN$260,'Snowball workings'!$AN$260))</f>
      </c>
      <c r="W258" s="30">
        <f>IF(OR(253&gt;$Z$1,NOT(OR('Your debts'!$B$14&lt;&gt;"",N('Your debts'!$C$14)&gt;0))),"",IF('Your debts'!$D$20="Avalanche",'Avalanche workings'!$AX$260,'Snowball workings'!$AX$260))</f>
      </c>
      <c r="X258" s="29">
        <f>IF(OR(253&gt;$Z$1,NOT(OR('Your debts'!$B$15&lt;&gt;"",N('Your debts'!$C$15)&gt;0))),"",IF('Your debts'!$D$20="Avalanche",'Avalanche workings'!$U$260,'Snowball workings'!$U$260)+IF('Your debts'!$D$20="Avalanche",'Avalanche workings'!$AO$260,'Snowball workings'!$AO$260))</f>
      </c>
      <c r="Y258" s="30">
        <f>IF(OR(253&gt;$Z$1,NOT(OR('Your debts'!$B$15&lt;&gt;"",N('Your debts'!$C$15)&gt;0))),"",IF('Your debts'!$D$20="Avalanche",'Avalanche workings'!$AY$260,'Snowball workings'!$AY$260))</f>
      </c>
    </row>
    <row r="259" spans="1:25" x14ac:dyDescent="0.25">
      <c r="A259" s="2">
        <f>IF(254&gt;$Z$1,"",254)</f>
      </c>
      <c r="B259" s="28">
        <f>IF(254&gt;$Z$1,"",EDATE('Your debts'!$D$21,253))</f>
      </c>
      <c r="C259" s="29">
        <f>IF(254&gt;$Z$1,"",IF('Your debts'!$D$20="Avalanche",'Avalanche workings'!$BC$261,'Snowball workings'!$BC$261))</f>
      </c>
      <c r="D259" s="29">
        <f>IF(254&gt;$Z$1,"",IF('Your debts'!$D$20="Avalanche",'Avalanche workings'!$BA$261,'Snowball workings'!$BA$261))</f>
      </c>
      <c r="E259" s="29">
        <f>IF(254&gt;$Z$1,"",IF('Your debts'!$D$20="Avalanche",'Avalanche workings'!$BB$261,'Snowball workings'!$BB$261))</f>
      </c>
      <c r="F259" s="29">
        <f>IF(OR(254&gt;$Z$1,NOT(OR('Your debts'!$B$6&lt;&gt;"",N('Your debts'!$C$6)&gt;0))),"",IF('Your debts'!$D$20="Avalanche",'Avalanche workings'!$L$261,'Snowball workings'!$L$261)+IF('Your debts'!$D$20="Avalanche",'Avalanche workings'!$AF$261,'Snowball workings'!$AF$261))</f>
      </c>
      <c r="G259" s="30">
        <f>IF(OR(254&gt;$Z$1,NOT(OR('Your debts'!$B$6&lt;&gt;"",N('Your debts'!$C$6)&gt;0))),"",IF('Your debts'!$D$20="Avalanche",'Avalanche workings'!$AP$261,'Snowball workings'!$AP$261))</f>
      </c>
      <c r="H259" s="29">
        <f>IF(OR(254&gt;$Z$1,NOT(OR('Your debts'!$B$7&lt;&gt;"",N('Your debts'!$C$7)&gt;0))),"",IF('Your debts'!$D$20="Avalanche",'Avalanche workings'!$M$261,'Snowball workings'!$M$261)+IF('Your debts'!$D$20="Avalanche",'Avalanche workings'!$AG$261,'Snowball workings'!$AG$261))</f>
      </c>
      <c r="I259" s="30">
        <f>IF(OR(254&gt;$Z$1,NOT(OR('Your debts'!$B$7&lt;&gt;"",N('Your debts'!$C$7)&gt;0))),"",IF('Your debts'!$D$20="Avalanche",'Avalanche workings'!$AQ$261,'Snowball workings'!$AQ$261))</f>
      </c>
      <c r="J259" s="29">
        <f>IF(OR(254&gt;$Z$1,NOT(OR('Your debts'!$B$8&lt;&gt;"",N('Your debts'!$C$8)&gt;0))),"",IF('Your debts'!$D$20="Avalanche",'Avalanche workings'!$N$261,'Snowball workings'!$N$261)+IF('Your debts'!$D$20="Avalanche",'Avalanche workings'!$AH$261,'Snowball workings'!$AH$261))</f>
      </c>
      <c r="K259" s="30">
        <f>IF(OR(254&gt;$Z$1,NOT(OR('Your debts'!$B$8&lt;&gt;"",N('Your debts'!$C$8)&gt;0))),"",IF('Your debts'!$D$20="Avalanche",'Avalanche workings'!$AR$261,'Snowball workings'!$AR$261))</f>
      </c>
      <c r="L259" s="29">
        <f>IF(OR(254&gt;$Z$1,NOT(OR('Your debts'!$B$9&lt;&gt;"",N('Your debts'!$C$9)&gt;0))),"",IF('Your debts'!$D$20="Avalanche",'Avalanche workings'!$O$261,'Snowball workings'!$O$261)+IF('Your debts'!$D$20="Avalanche",'Avalanche workings'!$AI$261,'Snowball workings'!$AI$261))</f>
      </c>
      <c r="M259" s="30">
        <f>IF(OR(254&gt;$Z$1,NOT(OR('Your debts'!$B$9&lt;&gt;"",N('Your debts'!$C$9)&gt;0))),"",IF('Your debts'!$D$20="Avalanche",'Avalanche workings'!$AS$261,'Snowball workings'!$AS$261))</f>
      </c>
      <c r="N259" s="29">
        <f>IF(OR(254&gt;$Z$1,NOT(OR('Your debts'!$B$10&lt;&gt;"",N('Your debts'!$C$10)&gt;0))),"",IF('Your debts'!$D$20="Avalanche",'Avalanche workings'!$P$261,'Snowball workings'!$P$261)+IF('Your debts'!$D$20="Avalanche",'Avalanche workings'!$AJ$261,'Snowball workings'!$AJ$261))</f>
      </c>
      <c r="O259" s="30">
        <f>IF(OR(254&gt;$Z$1,NOT(OR('Your debts'!$B$10&lt;&gt;"",N('Your debts'!$C$10)&gt;0))),"",IF('Your debts'!$D$20="Avalanche",'Avalanche workings'!$AT$261,'Snowball workings'!$AT$261))</f>
      </c>
      <c r="P259" s="29">
        <f>IF(OR(254&gt;$Z$1,NOT(OR('Your debts'!$B$11&lt;&gt;"",N('Your debts'!$C$11)&gt;0))),"",IF('Your debts'!$D$20="Avalanche",'Avalanche workings'!$Q$261,'Snowball workings'!$Q$261)+IF('Your debts'!$D$20="Avalanche",'Avalanche workings'!$AK$261,'Snowball workings'!$AK$261))</f>
      </c>
      <c r="Q259" s="30">
        <f>IF(OR(254&gt;$Z$1,NOT(OR('Your debts'!$B$11&lt;&gt;"",N('Your debts'!$C$11)&gt;0))),"",IF('Your debts'!$D$20="Avalanche",'Avalanche workings'!$AU$261,'Snowball workings'!$AU$261))</f>
      </c>
      <c r="R259" s="29">
        <f>IF(OR(254&gt;$Z$1,NOT(OR('Your debts'!$B$12&lt;&gt;"",N('Your debts'!$C$12)&gt;0))),"",IF('Your debts'!$D$20="Avalanche",'Avalanche workings'!$R$261,'Snowball workings'!$R$261)+IF('Your debts'!$D$20="Avalanche",'Avalanche workings'!$AL$261,'Snowball workings'!$AL$261))</f>
      </c>
      <c r="S259" s="30">
        <f>IF(OR(254&gt;$Z$1,NOT(OR('Your debts'!$B$12&lt;&gt;"",N('Your debts'!$C$12)&gt;0))),"",IF('Your debts'!$D$20="Avalanche",'Avalanche workings'!$AV$261,'Snowball workings'!$AV$261))</f>
      </c>
      <c r="T259" s="29">
        <f>IF(OR(254&gt;$Z$1,NOT(OR('Your debts'!$B$13&lt;&gt;"",N('Your debts'!$C$13)&gt;0))),"",IF('Your debts'!$D$20="Avalanche",'Avalanche workings'!$S$261,'Snowball workings'!$S$261)+IF('Your debts'!$D$20="Avalanche",'Avalanche workings'!$AM$261,'Snowball workings'!$AM$261))</f>
      </c>
      <c r="U259" s="30">
        <f>IF(OR(254&gt;$Z$1,NOT(OR('Your debts'!$B$13&lt;&gt;"",N('Your debts'!$C$13)&gt;0))),"",IF('Your debts'!$D$20="Avalanche",'Avalanche workings'!$AW$261,'Snowball workings'!$AW$261))</f>
      </c>
      <c r="V259" s="29">
        <f>IF(OR(254&gt;$Z$1,NOT(OR('Your debts'!$B$14&lt;&gt;"",N('Your debts'!$C$14)&gt;0))),"",IF('Your debts'!$D$20="Avalanche",'Avalanche workings'!$T$261,'Snowball workings'!$T$261)+IF('Your debts'!$D$20="Avalanche",'Avalanche workings'!$AN$261,'Snowball workings'!$AN$261))</f>
      </c>
      <c r="W259" s="30">
        <f>IF(OR(254&gt;$Z$1,NOT(OR('Your debts'!$B$14&lt;&gt;"",N('Your debts'!$C$14)&gt;0))),"",IF('Your debts'!$D$20="Avalanche",'Avalanche workings'!$AX$261,'Snowball workings'!$AX$261))</f>
      </c>
      <c r="X259" s="29">
        <f>IF(OR(254&gt;$Z$1,NOT(OR('Your debts'!$B$15&lt;&gt;"",N('Your debts'!$C$15)&gt;0))),"",IF('Your debts'!$D$20="Avalanche",'Avalanche workings'!$U$261,'Snowball workings'!$U$261)+IF('Your debts'!$D$20="Avalanche",'Avalanche workings'!$AO$261,'Snowball workings'!$AO$261))</f>
      </c>
      <c r="Y259" s="30">
        <f>IF(OR(254&gt;$Z$1,NOT(OR('Your debts'!$B$15&lt;&gt;"",N('Your debts'!$C$15)&gt;0))),"",IF('Your debts'!$D$20="Avalanche",'Avalanche workings'!$AY$261,'Snowball workings'!$AY$261))</f>
      </c>
    </row>
    <row r="260" spans="1:25" x14ac:dyDescent="0.25">
      <c r="A260" s="2">
        <f>IF(255&gt;$Z$1,"",255)</f>
      </c>
      <c r="B260" s="28">
        <f>IF(255&gt;$Z$1,"",EDATE('Your debts'!$D$21,254))</f>
      </c>
      <c r="C260" s="29">
        <f>IF(255&gt;$Z$1,"",IF('Your debts'!$D$20="Avalanche",'Avalanche workings'!$BC$262,'Snowball workings'!$BC$262))</f>
      </c>
      <c r="D260" s="29">
        <f>IF(255&gt;$Z$1,"",IF('Your debts'!$D$20="Avalanche",'Avalanche workings'!$BA$262,'Snowball workings'!$BA$262))</f>
      </c>
      <c r="E260" s="29">
        <f>IF(255&gt;$Z$1,"",IF('Your debts'!$D$20="Avalanche",'Avalanche workings'!$BB$262,'Snowball workings'!$BB$262))</f>
      </c>
      <c r="F260" s="29">
        <f>IF(OR(255&gt;$Z$1,NOT(OR('Your debts'!$B$6&lt;&gt;"",N('Your debts'!$C$6)&gt;0))),"",IF('Your debts'!$D$20="Avalanche",'Avalanche workings'!$L$262,'Snowball workings'!$L$262)+IF('Your debts'!$D$20="Avalanche",'Avalanche workings'!$AF$262,'Snowball workings'!$AF$262))</f>
      </c>
      <c r="G260" s="30">
        <f>IF(OR(255&gt;$Z$1,NOT(OR('Your debts'!$B$6&lt;&gt;"",N('Your debts'!$C$6)&gt;0))),"",IF('Your debts'!$D$20="Avalanche",'Avalanche workings'!$AP$262,'Snowball workings'!$AP$262))</f>
      </c>
      <c r="H260" s="29">
        <f>IF(OR(255&gt;$Z$1,NOT(OR('Your debts'!$B$7&lt;&gt;"",N('Your debts'!$C$7)&gt;0))),"",IF('Your debts'!$D$20="Avalanche",'Avalanche workings'!$M$262,'Snowball workings'!$M$262)+IF('Your debts'!$D$20="Avalanche",'Avalanche workings'!$AG$262,'Snowball workings'!$AG$262))</f>
      </c>
      <c r="I260" s="30">
        <f>IF(OR(255&gt;$Z$1,NOT(OR('Your debts'!$B$7&lt;&gt;"",N('Your debts'!$C$7)&gt;0))),"",IF('Your debts'!$D$20="Avalanche",'Avalanche workings'!$AQ$262,'Snowball workings'!$AQ$262))</f>
      </c>
      <c r="J260" s="29">
        <f>IF(OR(255&gt;$Z$1,NOT(OR('Your debts'!$B$8&lt;&gt;"",N('Your debts'!$C$8)&gt;0))),"",IF('Your debts'!$D$20="Avalanche",'Avalanche workings'!$N$262,'Snowball workings'!$N$262)+IF('Your debts'!$D$20="Avalanche",'Avalanche workings'!$AH$262,'Snowball workings'!$AH$262))</f>
      </c>
      <c r="K260" s="30">
        <f>IF(OR(255&gt;$Z$1,NOT(OR('Your debts'!$B$8&lt;&gt;"",N('Your debts'!$C$8)&gt;0))),"",IF('Your debts'!$D$20="Avalanche",'Avalanche workings'!$AR$262,'Snowball workings'!$AR$262))</f>
      </c>
      <c r="L260" s="29">
        <f>IF(OR(255&gt;$Z$1,NOT(OR('Your debts'!$B$9&lt;&gt;"",N('Your debts'!$C$9)&gt;0))),"",IF('Your debts'!$D$20="Avalanche",'Avalanche workings'!$O$262,'Snowball workings'!$O$262)+IF('Your debts'!$D$20="Avalanche",'Avalanche workings'!$AI$262,'Snowball workings'!$AI$262))</f>
      </c>
      <c r="M260" s="30">
        <f>IF(OR(255&gt;$Z$1,NOT(OR('Your debts'!$B$9&lt;&gt;"",N('Your debts'!$C$9)&gt;0))),"",IF('Your debts'!$D$20="Avalanche",'Avalanche workings'!$AS$262,'Snowball workings'!$AS$262))</f>
      </c>
      <c r="N260" s="29">
        <f>IF(OR(255&gt;$Z$1,NOT(OR('Your debts'!$B$10&lt;&gt;"",N('Your debts'!$C$10)&gt;0))),"",IF('Your debts'!$D$20="Avalanche",'Avalanche workings'!$P$262,'Snowball workings'!$P$262)+IF('Your debts'!$D$20="Avalanche",'Avalanche workings'!$AJ$262,'Snowball workings'!$AJ$262))</f>
      </c>
      <c r="O260" s="30">
        <f>IF(OR(255&gt;$Z$1,NOT(OR('Your debts'!$B$10&lt;&gt;"",N('Your debts'!$C$10)&gt;0))),"",IF('Your debts'!$D$20="Avalanche",'Avalanche workings'!$AT$262,'Snowball workings'!$AT$262))</f>
      </c>
      <c r="P260" s="29">
        <f>IF(OR(255&gt;$Z$1,NOT(OR('Your debts'!$B$11&lt;&gt;"",N('Your debts'!$C$11)&gt;0))),"",IF('Your debts'!$D$20="Avalanche",'Avalanche workings'!$Q$262,'Snowball workings'!$Q$262)+IF('Your debts'!$D$20="Avalanche",'Avalanche workings'!$AK$262,'Snowball workings'!$AK$262))</f>
      </c>
      <c r="Q260" s="30">
        <f>IF(OR(255&gt;$Z$1,NOT(OR('Your debts'!$B$11&lt;&gt;"",N('Your debts'!$C$11)&gt;0))),"",IF('Your debts'!$D$20="Avalanche",'Avalanche workings'!$AU$262,'Snowball workings'!$AU$262))</f>
      </c>
      <c r="R260" s="29">
        <f>IF(OR(255&gt;$Z$1,NOT(OR('Your debts'!$B$12&lt;&gt;"",N('Your debts'!$C$12)&gt;0))),"",IF('Your debts'!$D$20="Avalanche",'Avalanche workings'!$R$262,'Snowball workings'!$R$262)+IF('Your debts'!$D$20="Avalanche",'Avalanche workings'!$AL$262,'Snowball workings'!$AL$262))</f>
      </c>
      <c r="S260" s="30">
        <f>IF(OR(255&gt;$Z$1,NOT(OR('Your debts'!$B$12&lt;&gt;"",N('Your debts'!$C$12)&gt;0))),"",IF('Your debts'!$D$20="Avalanche",'Avalanche workings'!$AV$262,'Snowball workings'!$AV$262))</f>
      </c>
      <c r="T260" s="29">
        <f>IF(OR(255&gt;$Z$1,NOT(OR('Your debts'!$B$13&lt;&gt;"",N('Your debts'!$C$13)&gt;0))),"",IF('Your debts'!$D$20="Avalanche",'Avalanche workings'!$S$262,'Snowball workings'!$S$262)+IF('Your debts'!$D$20="Avalanche",'Avalanche workings'!$AM$262,'Snowball workings'!$AM$262))</f>
      </c>
      <c r="U260" s="30">
        <f>IF(OR(255&gt;$Z$1,NOT(OR('Your debts'!$B$13&lt;&gt;"",N('Your debts'!$C$13)&gt;0))),"",IF('Your debts'!$D$20="Avalanche",'Avalanche workings'!$AW$262,'Snowball workings'!$AW$262))</f>
      </c>
      <c r="V260" s="29">
        <f>IF(OR(255&gt;$Z$1,NOT(OR('Your debts'!$B$14&lt;&gt;"",N('Your debts'!$C$14)&gt;0))),"",IF('Your debts'!$D$20="Avalanche",'Avalanche workings'!$T$262,'Snowball workings'!$T$262)+IF('Your debts'!$D$20="Avalanche",'Avalanche workings'!$AN$262,'Snowball workings'!$AN$262))</f>
      </c>
      <c r="W260" s="30">
        <f>IF(OR(255&gt;$Z$1,NOT(OR('Your debts'!$B$14&lt;&gt;"",N('Your debts'!$C$14)&gt;0))),"",IF('Your debts'!$D$20="Avalanche",'Avalanche workings'!$AX$262,'Snowball workings'!$AX$262))</f>
      </c>
      <c r="X260" s="29">
        <f>IF(OR(255&gt;$Z$1,NOT(OR('Your debts'!$B$15&lt;&gt;"",N('Your debts'!$C$15)&gt;0))),"",IF('Your debts'!$D$20="Avalanche",'Avalanche workings'!$U$262,'Snowball workings'!$U$262)+IF('Your debts'!$D$20="Avalanche",'Avalanche workings'!$AO$262,'Snowball workings'!$AO$262))</f>
      </c>
      <c r="Y260" s="30">
        <f>IF(OR(255&gt;$Z$1,NOT(OR('Your debts'!$B$15&lt;&gt;"",N('Your debts'!$C$15)&gt;0))),"",IF('Your debts'!$D$20="Avalanche",'Avalanche workings'!$AY$262,'Snowball workings'!$AY$262))</f>
      </c>
    </row>
    <row r="261" spans="1:25" x14ac:dyDescent="0.25">
      <c r="A261" s="2">
        <f>IF(256&gt;$Z$1,"",256)</f>
      </c>
      <c r="B261" s="28">
        <f>IF(256&gt;$Z$1,"",EDATE('Your debts'!$D$21,255))</f>
      </c>
      <c r="C261" s="29">
        <f>IF(256&gt;$Z$1,"",IF('Your debts'!$D$20="Avalanche",'Avalanche workings'!$BC$263,'Snowball workings'!$BC$263))</f>
      </c>
      <c r="D261" s="29">
        <f>IF(256&gt;$Z$1,"",IF('Your debts'!$D$20="Avalanche",'Avalanche workings'!$BA$263,'Snowball workings'!$BA$263))</f>
      </c>
      <c r="E261" s="29">
        <f>IF(256&gt;$Z$1,"",IF('Your debts'!$D$20="Avalanche",'Avalanche workings'!$BB$263,'Snowball workings'!$BB$263))</f>
      </c>
      <c r="F261" s="29">
        <f>IF(OR(256&gt;$Z$1,NOT(OR('Your debts'!$B$6&lt;&gt;"",N('Your debts'!$C$6)&gt;0))),"",IF('Your debts'!$D$20="Avalanche",'Avalanche workings'!$L$263,'Snowball workings'!$L$263)+IF('Your debts'!$D$20="Avalanche",'Avalanche workings'!$AF$263,'Snowball workings'!$AF$263))</f>
      </c>
      <c r="G261" s="30">
        <f>IF(OR(256&gt;$Z$1,NOT(OR('Your debts'!$B$6&lt;&gt;"",N('Your debts'!$C$6)&gt;0))),"",IF('Your debts'!$D$20="Avalanche",'Avalanche workings'!$AP$263,'Snowball workings'!$AP$263))</f>
      </c>
      <c r="H261" s="29">
        <f>IF(OR(256&gt;$Z$1,NOT(OR('Your debts'!$B$7&lt;&gt;"",N('Your debts'!$C$7)&gt;0))),"",IF('Your debts'!$D$20="Avalanche",'Avalanche workings'!$M$263,'Snowball workings'!$M$263)+IF('Your debts'!$D$20="Avalanche",'Avalanche workings'!$AG$263,'Snowball workings'!$AG$263))</f>
      </c>
      <c r="I261" s="30">
        <f>IF(OR(256&gt;$Z$1,NOT(OR('Your debts'!$B$7&lt;&gt;"",N('Your debts'!$C$7)&gt;0))),"",IF('Your debts'!$D$20="Avalanche",'Avalanche workings'!$AQ$263,'Snowball workings'!$AQ$263))</f>
      </c>
      <c r="J261" s="29">
        <f>IF(OR(256&gt;$Z$1,NOT(OR('Your debts'!$B$8&lt;&gt;"",N('Your debts'!$C$8)&gt;0))),"",IF('Your debts'!$D$20="Avalanche",'Avalanche workings'!$N$263,'Snowball workings'!$N$263)+IF('Your debts'!$D$20="Avalanche",'Avalanche workings'!$AH$263,'Snowball workings'!$AH$263))</f>
      </c>
      <c r="K261" s="30">
        <f>IF(OR(256&gt;$Z$1,NOT(OR('Your debts'!$B$8&lt;&gt;"",N('Your debts'!$C$8)&gt;0))),"",IF('Your debts'!$D$20="Avalanche",'Avalanche workings'!$AR$263,'Snowball workings'!$AR$263))</f>
      </c>
      <c r="L261" s="29">
        <f>IF(OR(256&gt;$Z$1,NOT(OR('Your debts'!$B$9&lt;&gt;"",N('Your debts'!$C$9)&gt;0))),"",IF('Your debts'!$D$20="Avalanche",'Avalanche workings'!$O$263,'Snowball workings'!$O$263)+IF('Your debts'!$D$20="Avalanche",'Avalanche workings'!$AI$263,'Snowball workings'!$AI$263))</f>
      </c>
      <c r="M261" s="30">
        <f>IF(OR(256&gt;$Z$1,NOT(OR('Your debts'!$B$9&lt;&gt;"",N('Your debts'!$C$9)&gt;0))),"",IF('Your debts'!$D$20="Avalanche",'Avalanche workings'!$AS$263,'Snowball workings'!$AS$263))</f>
      </c>
      <c r="N261" s="29">
        <f>IF(OR(256&gt;$Z$1,NOT(OR('Your debts'!$B$10&lt;&gt;"",N('Your debts'!$C$10)&gt;0))),"",IF('Your debts'!$D$20="Avalanche",'Avalanche workings'!$P$263,'Snowball workings'!$P$263)+IF('Your debts'!$D$20="Avalanche",'Avalanche workings'!$AJ$263,'Snowball workings'!$AJ$263))</f>
      </c>
      <c r="O261" s="30">
        <f>IF(OR(256&gt;$Z$1,NOT(OR('Your debts'!$B$10&lt;&gt;"",N('Your debts'!$C$10)&gt;0))),"",IF('Your debts'!$D$20="Avalanche",'Avalanche workings'!$AT$263,'Snowball workings'!$AT$263))</f>
      </c>
      <c r="P261" s="29">
        <f>IF(OR(256&gt;$Z$1,NOT(OR('Your debts'!$B$11&lt;&gt;"",N('Your debts'!$C$11)&gt;0))),"",IF('Your debts'!$D$20="Avalanche",'Avalanche workings'!$Q$263,'Snowball workings'!$Q$263)+IF('Your debts'!$D$20="Avalanche",'Avalanche workings'!$AK$263,'Snowball workings'!$AK$263))</f>
      </c>
      <c r="Q261" s="30">
        <f>IF(OR(256&gt;$Z$1,NOT(OR('Your debts'!$B$11&lt;&gt;"",N('Your debts'!$C$11)&gt;0))),"",IF('Your debts'!$D$20="Avalanche",'Avalanche workings'!$AU$263,'Snowball workings'!$AU$263))</f>
      </c>
      <c r="R261" s="29">
        <f>IF(OR(256&gt;$Z$1,NOT(OR('Your debts'!$B$12&lt;&gt;"",N('Your debts'!$C$12)&gt;0))),"",IF('Your debts'!$D$20="Avalanche",'Avalanche workings'!$R$263,'Snowball workings'!$R$263)+IF('Your debts'!$D$20="Avalanche",'Avalanche workings'!$AL$263,'Snowball workings'!$AL$263))</f>
      </c>
      <c r="S261" s="30">
        <f>IF(OR(256&gt;$Z$1,NOT(OR('Your debts'!$B$12&lt;&gt;"",N('Your debts'!$C$12)&gt;0))),"",IF('Your debts'!$D$20="Avalanche",'Avalanche workings'!$AV$263,'Snowball workings'!$AV$263))</f>
      </c>
      <c r="T261" s="29">
        <f>IF(OR(256&gt;$Z$1,NOT(OR('Your debts'!$B$13&lt;&gt;"",N('Your debts'!$C$13)&gt;0))),"",IF('Your debts'!$D$20="Avalanche",'Avalanche workings'!$S$263,'Snowball workings'!$S$263)+IF('Your debts'!$D$20="Avalanche",'Avalanche workings'!$AM$263,'Snowball workings'!$AM$263))</f>
      </c>
      <c r="U261" s="30">
        <f>IF(OR(256&gt;$Z$1,NOT(OR('Your debts'!$B$13&lt;&gt;"",N('Your debts'!$C$13)&gt;0))),"",IF('Your debts'!$D$20="Avalanche",'Avalanche workings'!$AW$263,'Snowball workings'!$AW$263))</f>
      </c>
      <c r="V261" s="29">
        <f>IF(OR(256&gt;$Z$1,NOT(OR('Your debts'!$B$14&lt;&gt;"",N('Your debts'!$C$14)&gt;0))),"",IF('Your debts'!$D$20="Avalanche",'Avalanche workings'!$T$263,'Snowball workings'!$T$263)+IF('Your debts'!$D$20="Avalanche",'Avalanche workings'!$AN$263,'Snowball workings'!$AN$263))</f>
      </c>
      <c r="W261" s="30">
        <f>IF(OR(256&gt;$Z$1,NOT(OR('Your debts'!$B$14&lt;&gt;"",N('Your debts'!$C$14)&gt;0))),"",IF('Your debts'!$D$20="Avalanche",'Avalanche workings'!$AX$263,'Snowball workings'!$AX$263))</f>
      </c>
      <c r="X261" s="29">
        <f>IF(OR(256&gt;$Z$1,NOT(OR('Your debts'!$B$15&lt;&gt;"",N('Your debts'!$C$15)&gt;0))),"",IF('Your debts'!$D$20="Avalanche",'Avalanche workings'!$U$263,'Snowball workings'!$U$263)+IF('Your debts'!$D$20="Avalanche",'Avalanche workings'!$AO$263,'Snowball workings'!$AO$263))</f>
      </c>
      <c r="Y261" s="30">
        <f>IF(OR(256&gt;$Z$1,NOT(OR('Your debts'!$B$15&lt;&gt;"",N('Your debts'!$C$15)&gt;0))),"",IF('Your debts'!$D$20="Avalanche",'Avalanche workings'!$AY$263,'Snowball workings'!$AY$263))</f>
      </c>
    </row>
    <row r="262" spans="1:25" x14ac:dyDescent="0.25">
      <c r="A262" s="2">
        <f>IF(257&gt;$Z$1,"",257)</f>
      </c>
      <c r="B262" s="28">
        <f>IF(257&gt;$Z$1,"",EDATE('Your debts'!$D$21,256))</f>
      </c>
      <c r="C262" s="29">
        <f>IF(257&gt;$Z$1,"",IF('Your debts'!$D$20="Avalanche",'Avalanche workings'!$BC$264,'Snowball workings'!$BC$264))</f>
      </c>
      <c r="D262" s="29">
        <f>IF(257&gt;$Z$1,"",IF('Your debts'!$D$20="Avalanche",'Avalanche workings'!$BA$264,'Snowball workings'!$BA$264))</f>
      </c>
      <c r="E262" s="29">
        <f>IF(257&gt;$Z$1,"",IF('Your debts'!$D$20="Avalanche",'Avalanche workings'!$BB$264,'Snowball workings'!$BB$264))</f>
      </c>
      <c r="F262" s="29">
        <f>IF(OR(257&gt;$Z$1,NOT(OR('Your debts'!$B$6&lt;&gt;"",N('Your debts'!$C$6)&gt;0))),"",IF('Your debts'!$D$20="Avalanche",'Avalanche workings'!$L$264,'Snowball workings'!$L$264)+IF('Your debts'!$D$20="Avalanche",'Avalanche workings'!$AF$264,'Snowball workings'!$AF$264))</f>
      </c>
      <c r="G262" s="30">
        <f>IF(OR(257&gt;$Z$1,NOT(OR('Your debts'!$B$6&lt;&gt;"",N('Your debts'!$C$6)&gt;0))),"",IF('Your debts'!$D$20="Avalanche",'Avalanche workings'!$AP$264,'Snowball workings'!$AP$264))</f>
      </c>
      <c r="H262" s="29">
        <f>IF(OR(257&gt;$Z$1,NOT(OR('Your debts'!$B$7&lt;&gt;"",N('Your debts'!$C$7)&gt;0))),"",IF('Your debts'!$D$20="Avalanche",'Avalanche workings'!$M$264,'Snowball workings'!$M$264)+IF('Your debts'!$D$20="Avalanche",'Avalanche workings'!$AG$264,'Snowball workings'!$AG$264))</f>
      </c>
      <c r="I262" s="30">
        <f>IF(OR(257&gt;$Z$1,NOT(OR('Your debts'!$B$7&lt;&gt;"",N('Your debts'!$C$7)&gt;0))),"",IF('Your debts'!$D$20="Avalanche",'Avalanche workings'!$AQ$264,'Snowball workings'!$AQ$264))</f>
      </c>
      <c r="J262" s="29">
        <f>IF(OR(257&gt;$Z$1,NOT(OR('Your debts'!$B$8&lt;&gt;"",N('Your debts'!$C$8)&gt;0))),"",IF('Your debts'!$D$20="Avalanche",'Avalanche workings'!$N$264,'Snowball workings'!$N$264)+IF('Your debts'!$D$20="Avalanche",'Avalanche workings'!$AH$264,'Snowball workings'!$AH$264))</f>
      </c>
      <c r="K262" s="30">
        <f>IF(OR(257&gt;$Z$1,NOT(OR('Your debts'!$B$8&lt;&gt;"",N('Your debts'!$C$8)&gt;0))),"",IF('Your debts'!$D$20="Avalanche",'Avalanche workings'!$AR$264,'Snowball workings'!$AR$264))</f>
      </c>
      <c r="L262" s="29">
        <f>IF(OR(257&gt;$Z$1,NOT(OR('Your debts'!$B$9&lt;&gt;"",N('Your debts'!$C$9)&gt;0))),"",IF('Your debts'!$D$20="Avalanche",'Avalanche workings'!$O$264,'Snowball workings'!$O$264)+IF('Your debts'!$D$20="Avalanche",'Avalanche workings'!$AI$264,'Snowball workings'!$AI$264))</f>
      </c>
      <c r="M262" s="30">
        <f>IF(OR(257&gt;$Z$1,NOT(OR('Your debts'!$B$9&lt;&gt;"",N('Your debts'!$C$9)&gt;0))),"",IF('Your debts'!$D$20="Avalanche",'Avalanche workings'!$AS$264,'Snowball workings'!$AS$264))</f>
      </c>
      <c r="N262" s="29">
        <f>IF(OR(257&gt;$Z$1,NOT(OR('Your debts'!$B$10&lt;&gt;"",N('Your debts'!$C$10)&gt;0))),"",IF('Your debts'!$D$20="Avalanche",'Avalanche workings'!$P$264,'Snowball workings'!$P$264)+IF('Your debts'!$D$20="Avalanche",'Avalanche workings'!$AJ$264,'Snowball workings'!$AJ$264))</f>
      </c>
      <c r="O262" s="30">
        <f>IF(OR(257&gt;$Z$1,NOT(OR('Your debts'!$B$10&lt;&gt;"",N('Your debts'!$C$10)&gt;0))),"",IF('Your debts'!$D$20="Avalanche",'Avalanche workings'!$AT$264,'Snowball workings'!$AT$264))</f>
      </c>
      <c r="P262" s="29">
        <f>IF(OR(257&gt;$Z$1,NOT(OR('Your debts'!$B$11&lt;&gt;"",N('Your debts'!$C$11)&gt;0))),"",IF('Your debts'!$D$20="Avalanche",'Avalanche workings'!$Q$264,'Snowball workings'!$Q$264)+IF('Your debts'!$D$20="Avalanche",'Avalanche workings'!$AK$264,'Snowball workings'!$AK$264))</f>
      </c>
      <c r="Q262" s="30">
        <f>IF(OR(257&gt;$Z$1,NOT(OR('Your debts'!$B$11&lt;&gt;"",N('Your debts'!$C$11)&gt;0))),"",IF('Your debts'!$D$20="Avalanche",'Avalanche workings'!$AU$264,'Snowball workings'!$AU$264))</f>
      </c>
      <c r="R262" s="29">
        <f>IF(OR(257&gt;$Z$1,NOT(OR('Your debts'!$B$12&lt;&gt;"",N('Your debts'!$C$12)&gt;0))),"",IF('Your debts'!$D$20="Avalanche",'Avalanche workings'!$R$264,'Snowball workings'!$R$264)+IF('Your debts'!$D$20="Avalanche",'Avalanche workings'!$AL$264,'Snowball workings'!$AL$264))</f>
      </c>
      <c r="S262" s="30">
        <f>IF(OR(257&gt;$Z$1,NOT(OR('Your debts'!$B$12&lt;&gt;"",N('Your debts'!$C$12)&gt;0))),"",IF('Your debts'!$D$20="Avalanche",'Avalanche workings'!$AV$264,'Snowball workings'!$AV$264))</f>
      </c>
      <c r="T262" s="29">
        <f>IF(OR(257&gt;$Z$1,NOT(OR('Your debts'!$B$13&lt;&gt;"",N('Your debts'!$C$13)&gt;0))),"",IF('Your debts'!$D$20="Avalanche",'Avalanche workings'!$S$264,'Snowball workings'!$S$264)+IF('Your debts'!$D$20="Avalanche",'Avalanche workings'!$AM$264,'Snowball workings'!$AM$264))</f>
      </c>
      <c r="U262" s="30">
        <f>IF(OR(257&gt;$Z$1,NOT(OR('Your debts'!$B$13&lt;&gt;"",N('Your debts'!$C$13)&gt;0))),"",IF('Your debts'!$D$20="Avalanche",'Avalanche workings'!$AW$264,'Snowball workings'!$AW$264))</f>
      </c>
      <c r="V262" s="29">
        <f>IF(OR(257&gt;$Z$1,NOT(OR('Your debts'!$B$14&lt;&gt;"",N('Your debts'!$C$14)&gt;0))),"",IF('Your debts'!$D$20="Avalanche",'Avalanche workings'!$T$264,'Snowball workings'!$T$264)+IF('Your debts'!$D$20="Avalanche",'Avalanche workings'!$AN$264,'Snowball workings'!$AN$264))</f>
      </c>
      <c r="W262" s="30">
        <f>IF(OR(257&gt;$Z$1,NOT(OR('Your debts'!$B$14&lt;&gt;"",N('Your debts'!$C$14)&gt;0))),"",IF('Your debts'!$D$20="Avalanche",'Avalanche workings'!$AX$264,'Snowball workings'!$AX$264))</f>
      </c>
      <c r="X262" s="29">
        <f>IF(OR(257&gt;$Z$1,NOT(OR('Your debts'!$B$15&lt;&gt;"",N('Your debts'!$C$15)&gt;0))),"",IF('Your debts'!$D$20="Avalanche",'Avalanche workings'!$U$264,'Snowball workings'!$U$264)+IF('Your debts'!$D$20="Avalanche",'Avalanche workings'!$AO$264,'Snowball workings'!$AO$264))</f>
      </c>
      <c r="Y262" s="30">
        <f>IF(OR(257&gt;$Z$1,NOT(OR('Your debts'!$B$15&lt;&gt;"",N('Your debts'!$C$15)&gt;0))),"",IF('Your debts'!$D$20="Avalanche",'Avalanche workings'!$AY$264,'Snowball workings'!$AY$264))</f>
      </c>
    </row>
    <row r="263" spans="1:25" x14ac:dyDescent="0.25">
      <c r="A263" s="2">
        <f>IF(258&gt;$Z$1,"",258)</f>
      </c>
      <c r="B263" s="28">
        <f>IF(258&gt;$Z$1,"",EDATE('Your debts'!$D$21,257))</f>
      </c>
      <c r="C263" s="29">
        <f>IF(258&gt;$Z$1,"",IF('Your debts'!$D$20="Avalanche",'Avalanche workings'!$BC$265,'Snowball workings'!$BC$265))</f>
      </c>
      <c r="D263" s="29">
        <f>IF(258&gt;$Z$1,"",IF('Your debts'!$D$20="Avalanche",'Avalanche workings'!$BA$265,'Snowball workings'!$BA$265))</f>
      </c>
      <c r="E263" s="29">
        <f>IF(258&gt;$Z$1,"",IF('Your debts'!$D$20="Avalanche",'Avalanche workings'!$BB$265,'Snowball workings'!$BB$265))</f>
      </c>
      <c r="F263" s="29">
        <f>IF(OR(258&gt;$Z$1,NOT(OR('Your debts'!$B$6&lt;&gt;"",N('Your debts'!$C$6)&gt;0))),"",IF('Your debts'!$D$20="Avalanche",'Avalanche workings'!$L$265,'Snowball workings'!$L$265)+IF('Your debts'!$D$20="Avalanche",'Avalanche workings'!$AF$265,'Snowball workings'!$AF$265))</f>
      </c>
      <c r="G263" s="30">
        <f>IF(OR(258&gt;$Z$1,NOT(OR('Your debts'!$B$6&lt;&gt;"",N('Your debts'!$C$6)&gt;0))),"",IF('Your debts'!$D$20="Avalanche",'Avalanche workings'!$AP$265,'Snowball workings'!$AP$265))</f>
      </c>
      <c r="H263" s="29">
        <f>IF(OR(258&gt;$Z$1,NOT(OR('Your debts'!$B$7&lt;&gt;"",N('Your debts'!$C$7)&gt;0))),"",IF('Your debts'!$D$20="Avalanche",'Avalanche workings'!$M$265,'Snowball workings'!$M$265)+IF('Your debts'!$D$20="Avalanche",'Avalanche workings'!$AG$265,'Snowball workings'!$AG$265))</f>
      </c>
      <c r="I263" s="30">
        <f>IF(OR(258&gt;$Z$1,NOT(OR('Your debts'!$B$7&lt;&gt;"",N('Your debts'!$C$7)&gt;0))),"",IF('Your debts'!$D$20="Avalanche",'Avalanche workings'!$AQ$265,'Snowball workings'!$AQ$265))</f>
      </c>
      <c r="J263" s="29">
        <f>IF(OR(258&gt;$Z$1,NOT(OR('Your debts'!$B$8&lt;&gt;"",N('Your debts'!$C$8)&gt;0))),"",IF('Your debts'!$D$20="Avalanche",'Avalanche workings'!$N$265,'Snowball workings'!$N$265)+IF('Your debts'!$D$20="Avalanche",'Avalanche workings'!$AH$265,'Snowball workings'!$AH$265))</f>
      </c>
      <c r="K263" s="30">
        <f>IF(OR(258&gt;$Z$1,NOT(OR('Your debts'!$B$8&lt;&gt;"",N('Your debts'!$C$8)&gt;0))),"",IF('Your debts'!$D$20="Avalanche",'Avalanche workings'!$AR$265,'Snowball workings'!$AR$265))</f>
      </c>
      <c r="L263" s="29">
        <f>IF(OR(258&gt;$Z$1,NOT(OR('Your debts'!$B$9&lt;&gt;"",N('Your debts'!$C$9)&gt;0))),"",IF('Your debts'!$D$20="Avalanche",'Avalanche workings'!$O$265,'Snowball workings'!$O$265)+IF('Your debts'!$D$20="Avalanche",'Avalanche workings'!$AI$265,'Snowball workings'!$AI$265))</f>
      </c>
      <c r="M263" s="30">
        <f>IF(OR(258&gt;$Z$1,NOT(OR('Your debts'!$B$9&lt;&gt;"",N('Your debts'!$C$9)&gt;0))),"",IF('Your debts'!$D$20="Avalanche",'Avalanche workings'!$AS$265,'Snowball workings'!$AS$265))</f>
      </c>
      <c r="N263" s="29">
        <f>IF(OR(258&gt;$Z$1,NOT(OR('Your debts'!$B$10&lt;&gt;"",N('Your debts'!$C$10)&gt;0))),"",IF('Your debts'!$D$20="Avalanche",'Avalanche workings'!$P$265,'Snowball workings'!$P$265)+IF('Your debts'!$D$20="Avalanche",'Avalanche workings'!$AJ$265,'Snowball workings'!$AJ$265))</f>
      </c>
      <c r="O263" s="30">
        <f>IF(OR(258&gt;$Z$1,NOT(OR('Your debts'!$B$10&lt;&gt;"",N('Your debts'!$C$10)&gt;0))),"",IF('Your debts'!$D$20="Avalanche",'Avalanche workings'!$AT$265,'Snowball workings'!$AT$265))</f>
      </c>
      <c r="P263" s="29">
        <f>IF(OR(258&gt;$Z$1,NOT(OR('Your debts'!$B$11&lt;&gt;"",N('Your debts'!$C$11)&gt;0))),"",IF('Your debts'!$D$20="Avalanche",'Avalanche workings'!$Q$265,'Snowball workings'!$Q$265)+IF('Your debts'!$D$20="Avalanche",'Avalanche workings'!$AK$265,'Snowball workings'!$AK$265))</f>
      </c>
      <c r="Q263" s="30">
        <f>IF(OR(258&gt;$Z$1,NOT(OR('Your debts'!$B$11&lt;&gt;"",N('Your debts'!$C$11)&gt;0))),"",IF('Your debts'!$D$20="Avalanche",'Avalanche workings'!$AU$265,'Snowball workings'!$AU$265))</f>
      </c>
      <c r="R263" s="29">
        <f>IF(OR(258&gt;$Z$1,NOT(OR('Your debts'!$B$12&lt;&gt;"",N('Your debts'!$C$12)&gt;0))),"",IF('Your debts'!$D$20="Avalanche",'Avalanche workings'!$R$265,'Snowball workings'!$R$265)+IF('Your debts'!$D$20="Avalanche",'Avalanche workings'!$AL$265,'Snowball workings'!$AL$265))</f>
      </c>
      <c r="S263" s="30">
        <f>IF(OR(258&gt;$Z$1,NOT(OR('Your debts'!$B$12&lt;&gt;"",N('Your debts'!$C$12)&gt;0))),"",IF('Your debts'!$D$20="Avalanche",'Avalanche workings'!$AV$265,'Snowball workings'!$AV$265))</f>
      </c>
      <c r="T263" s="29">
        <f>IF(OR(258&gt;$Z$1,NOT(OR('Your debts'!$B$13&lt;&gt;"",N('Your debts'!$C$13)&gt;0))),"",IF('Your debts'!$D$20="Avalanche",'Avalanche workings'!$S$265,'Snowball workings'!$S$265)+IF('Your debts'!$D$20="Avalanche",'Avalanche workings'!$AM$265,'Snowball workings'!$AM$265))</f>
      </c>
      <c r="U263" s="30">
        <f>IF(OR(258&gt;$Z$1,NOT(OR('Your debts'!$B$13&lt;&gt;"",N('Your debts'!$C$13)&gt;0))),"",IF('Your debts'!$D$20="Avalanche",'Avalanche workings'!$AW$265,'Snowball workings'!$AW$265))</f>
      </c>
      <c r="V263" s="29">
        <f>IF(OR(258&gt;$Z$1,NOT(OR('Your debts'!$B$14&lt;&gt;"",N('Your debts'!$C$14)&gt;0))),"",IF('Your debts'!$D$20="Avalanche",'Avalanche workings'!$T$265,'Snowball workings'!$T$265)+IF('Your debts'!$D$20="Avalanche",'Avalanche workings'!$AN$265,'Snowball workings'!$AN$265))</f>
      </c>
      <c r="W263" s="30">
        <f>IF(OR(258&gt;$Z$1,NOT(OR('Your debts'!$B$14&lt;&gt;"",N('Your debts'!$C$14)&gt;0))),"",IF('Your debts'!$D$20="Avalanche",'Avalanche workings'!$AX$265,'Snowball workings'!$AX$265))</f>
      </c>
      <c r="X263" s="29">
        <f>IF(OR(258&gt;$Z$1,NOT(OR('Your debts'!$B$15&lt;&gt;"",N('Your debts'!$C$15)&gt;0))),"",IF('Your debts'!$D$20="Avalanche",'Avalanche workings'!$U$265,'Snowball workings'!$U$265)+IF('Your debts'!$D$20="Avalanche",'Avalanche workings'!$AO$265,'Snowball workings'!$AO$265))</f>
      </c>
      <c r="Y263" s="30">
        <f>IF(OR(258&gt;$Z$1,NOT(OR('Your debts'!$B$15&lt;&gt;"",N('Your debts'!$C$15)&gt;0))),"",IF('Your debts'!$D$20="Avalanche",'Avalanche workings'!$AY$265,'Snowball workings'!$AY$265))</f>
      </c>
    </row>
    <row r="264" spans="1:25" x14ac:dyDescent="0.25">
      <c r="A264" s="2">
        <f>IF(259&gt;$Z$1,"",259)</f>
      </c>
      <c r="B264" s="28">
        <f>IF(259&gt;$Z$1,"",EDATE('Your debts'!$D$21,258))</f>
      </c>
      <c r="C264" s="29">
        <f>IF(259&gt;$Z$1,"",IF('Your debts'!$D$20="Avalanche",'Avalanche workings'!$BC$266,'Snowball workings'!$BC$266))</f>
      </c>
      <c r="D264" s="29">
        <f>IF(259&gt;$Z$1,"",IF('Your debts'!$D$20="Avalanche",'Avalanche workings'!$BA$266,'Snowball workings'!$BA$266))</f>
      </c>
      <c r="E264" s="29">
        <f>IF(259&gt;$Z$1,"",IF('Your debts'!$D$20="Avalanche",'Avalanche workings'!$BB$266,'Snowball workings'!$BB$266))</f>
      </c>
      <c r="F264" s="29">
        <f>IF(OR(259&gt;$Z$1,NOT(OR('Your debts'!$B$6&lt;&gt;"",N('Your debts'!$C$6)&gt;0))),"",IF('Your debts'!$D$20="Avalanche",'Avalanche workings'!$L$266,'Snowball workings'!$L$266)+IF('Your debts'!$D$20="Avalanche",'Avalanche workings'!$AF$266,'Snowball workings'!$AF$266))</f>
      </c>
      <c r="G264" s="30">
        <f>IF(OR(259&gt;$Z$1,NOT(OR('Your debts'!$B$6&lt;&gt;"",N('Your debts'!$C$6)&gt;0))),"",IF('Your debts'!$D$20="Avalanche",'Avalanche workings'!$AP$266,'Snowball workings'!$AP$266))</f>
      </c>
      <c r="H264" s="29">
        <f>IF(OR(259&gt;$Z$1,NOT(OR('Your debts'!$B$7&lt;&gt;"",N('Your debts'!$C$7)&gt;0))),"",IF('Your debts'!$D$20="Avalanche",'Avalanche workings'!$M$266,'Snowball workings'!$M$266)+IF('Your debts'!$D$20="Avalanche",'Avalanche workings'!$AG$266,'Snowball workings'!$AG$266))</f>
      </c>
      <c r="I264" s="30">
        <f>IF(OR(259&gt;$Z$1,NOT(OR('Your debts'!$B$7&lt;&gt;"",N('Your debts'!$C$7)&gt;0))),"",IF('Your debts'!$D$20="Avalanche",'Avalanche workings'!$AQ$266,'Snowball workings'!$AQ$266))</f>
      </c>
      <c r="J264" s="29">
        <f>IF(OR(259&gt;$Z$1,NOT(OR('Your debts'!$B$8&lt;&gt;"",N('Your debts'!$C$8)&gt;0))),"",IF('Your debts'!$D$20="Avalanche",'Avalanche workings'!$N$266,'Snowball workings'!$N$266)+IF('Your debts'!$D$20="Avalanche",'Avalanche workings'!$AH$266,'Snowball workings'!$AH$266))</f>
      </c>
      <c r="K264" s="30">
        <f>IF(OR(259&gt;$Z$1,NOT(OR('Your debts'!$B$8&lt;&gt;"",N('Your debts'!$C$8)&gt;0))),"",IF('Your debts'!$D$20="Avalanche",'Avalanche workings'!$AR$266,'Snowball workings'!$AR$266))</f>
      </c>
      <c r="L264" s="29">
        <f>IF(OR(259&gt;$Z$1,NOT(OR('Your debts'!$B$9&lt;&gt;"",N('Your debts'!$C$9)&gt;0))),"",IF('Your debts'!$D$20="Avalanche",'Avalanche workings'!$O$266,'Snowball workings'!$O$266)+IF('Your debts'!$D$20="Avalanche",'Avalanche workings'!$AI$266,'Snowball workings'!$AI$266))</f>
      </c>
      <c r="M264" s="30">
        <f>IF(OR(259&gt;$Z$1,NOT(OR('Your debts'!$B$9&lt;&gt;"",N('Your debts'!$C$9)&gt;0))),"",IF('Your debts'!$D$20="Avalanche",'Avalanche workings'!$AS$266,'Snowball workings'!$AS$266))</f>
      </c>
      <c r="N264" s="29">
        <f>IF(OR(259&gt;$Z$1,NOT(OR('Your debts'!$B$10&lt;&gt;"",N('Your debts'!$C$10)&gt;0))),"",IF('Your debts'!$D$20="Avalanche",'Avalanche workings'!$P$266,'Snowball workings'!$P$266)+IF('Your debts'!$D$20="Avalanche",'Avalanche workings'!$AJ$266,'Snowball workings'!$AJ$266))</f>
      </c>
      <c r="O264" s="30">
        <f>IF(OR(259&gt;$Z$1,NOT(OR('Your debts'!$B$10&lt;&gt;"",N('Your debts'!$C$10)&gt;0))),"",IF('Your debts'!$D$20="Avalanche",'Avalanche workings'!$AT$266,'Snowball workings'!$AT$266))</f>
      </c>
      <c r="P264" s="29">
        <f>IF(OR(259&gt;$Z$1,NOT(OR('Your debts'!$B$11&lt;&gt;"",N('Your debts'!$C$11)&gt;0))),"",IF('Your debts'!$D$20="Avalanche",'Avalanche workings'!$Q$266,'Snowball workings'!$Q$266)+IF('Your debts'!$D$20="Avalanche",'Avalanche workings'!$AK$266,'Snowball workings'!$AK$266))</f>
      </c>
      <c r="Q264" s="30">
        <f>IF(OR(259&gt;$Z$1,NOT(OR('Your debts'!$B$11&lt;&gt;"",N('Your debts'!$C$11)&gt;0))),"",IF('Your debts'!$D$20="Avalanche",'Avalanche workings'!$AU$266,'Snowball workings'!$AU$266))</f>
      </c>
      <c r="R264" s="29">
        <f>IF(OR(259&gt;$Z$1,NOT(OR('Your debts'!$B$12&lt;&gt;"",N('Your debts'!$C$12)&gt;0))),"",IF('Your debts'!$D$20="Avalanche",'Avalanche workings'!$R$266,'Snowball workings'!$R$266)+IF('Your debts'!$D$20="Avalanche",'Avalanche workings'!$AL$266,'Snowball workings'!$AL$266))</f>
      </c>
      <c r="S264" s="30">
        <f>IF(OR(259&gt;$Z$1,NOT(OR('Your debts'!$B$12&lt;&gt;"",N('Your debts'!$C$12)&gt;0))),"",IF('Your debts'!$D$20="Avalanche",'Avalanche workings'!$AV$266,'Snowball workings'!$AV$266))</f>
      </c>
      <c r="T264" s="29">
        <f>IF(OR(259&gt;$Z$1,NOT(OR('Your debts'!$B$13&lt;&gt;"",N('Your debts'!$C$13)&gt;0))),"",IF('Your debts'!$D$20="Avalanche",'Avalanche workings'!$S$266,'Snowball workings'!$S$266)+IF('Your debts'!$D$20="Avalanche",'Avalanche workings'!$AM$266,'Snowball workings'!$AM$266))</f>
      </c>
      <c r="U264" s="30">
        <f>IF(OR(259&gt;$Z$1,NOT(OR('Your debts'!$B$13&lt;&gt;"",N('Your debts'!$C$13)&gt;0))),"",IF('Your debts'!$D$20="Avalanche",'Avalanche workings'!$AW$266,'Snowball workings'!$AW$266))</f>
      </c>
      <c r="V264" s="29">
        <f>IF(OR(259&gt;$Z$1,NOT(OR('Your debts'!$B$14&lt;&gt;"",N('Your debts'!$C$14)&gt;0))),"",IF('Your debts'!$D$20="Avalanche",'Avalanche workings'!$T$266,'Snowball workings'!$T$266)+IF('Your debts'!$D$20="Avalanche",'Avalanche workings'!$AN$266,'Snowball workings'!$AN$266))</f>
      </c>
      <c r="W264" s="30">
        <f>IF(OR(259&gt;$Z$1,NOT(OR('Your debts'!$B$14&lt;&gt;"",N('Your debts'!$C$14)&gt;0))),"",IF('Your debts'!$D$20="Avalanche",'Avalanche workings'!$AX$266,'Snowball workings'!$AX$266))</f>
      </c>
      <c r="X264" s="29">
        <f>IF(OR(259&gt;$Z$1,NOT(OR('Your debts'!$B$15&lt;&gt;"",N('Your debts'!$C$15)&gt;0))),"",IF('Your debts'!$D$20="Avalanche",'Avalanche workings'!$U$266,'Snowball workings'!$U$266)+IF('Your debts'!$D$20="Avalanche",'Avalanche workings'!$AO$266,'Snowball workings'!$AO$266))</f>
      </c>
      <c r="Y264" s="30">
        <f>IF(OR(259&gt;$Z$1,NOT(OR('Your debts'!$B$15&lt;&gt;"",N('Your debts'!$C$15)&gt;0))),"",IF('Your debts'!$D$20="Avalanche",'Avalanche workings'!$AY$266,'Snowball workings'!$AY$266))</f>
      </c>
    </row>
    <row r="265" spans="1:25" x14ac:dyDescent="0.25">
      <c r="A265" s="2">
        <f>IF(260&gt;$Z$1,"",260)</f>
      </c>
      <c r="B265" s="28">
        <f>IF(260&gt;$Z$1,"",EDATE('Your debts'!$D$21,259))</f>
      </c>
      <c r="C265" s="29">
        <f>IF(260&gt;$Z$1,"",IF('Your debts'!$D$20="Avalanche",'Avalanche workings'!$BC$267,'Snowball workings'!$BC$267))</f>
      </c>
      <c r="D265" s="29">
        <f>IF(260&gt;$Z$1,"",IF('Your debts'!$D$20="Avalanche",'Avalanche workings'!$BA$267,'Snowball workings'!$BA$267))</f>
      </c>
      <c r="E265" s="29">
        <f>IF(260&gt;$Z$1,"",IF('Your debts'!$D$20="Avalanche",'Avalanche workings'!$BB$267,'Snowball workings'!$BB$267))</f>
      </c>
      <c r="F265" s="29">
        <f>IF(OR(260&gt;$Z$1,NOT(OR('Your debts'!$B$6&lt;&gt;"",N('Your debts'!$C$6)&gt;0))),"",IF('Your debts'!$D$20="Avalanche",'Avalanche workings'!$L$267,'Snowball workings'!$L$267)+IF('Your debts'!$D$20="Avalanche",'Avalanche workings'!$AF$267,'Snowball workings'!$AF$267))</f>
      </c>
      <c r="G265" s="30">
        <f>IF(OR(260&gt;$Z$1,NOT(OR('Your debts'!$B$6&lt;&gt;"",N('Your debts'!$C$6)&gt;0))),"",IF('Your debts'!$D$20="Avalanche",'Avalanche workings'!$AP$267,'Snowball workings'!$AP$267))</f>
      </c>
      <c r="H265" s="29">
        <f>IF(OR(260&gt;$Z$1,NOT(OR('Your debts'!$B$7&lt;&gt;"",N('Your debts'!$C$7)&gt;0))),"",IF('Your debts'!$D$20="Avalanche",'Avalanche workings'!$M$267,'Snowball workings'!$M$267)+IF('Your debts'!$D$20="Avalanche",'Avalanche workings'!$AG$267,'Snowball workings'!$AG$267))</f>
      </c>
      <c r="I265" s="30">
        <f>IF(OR(260&gt;$Z$1,NOT(OR('Your debts'!$B$7&lt;&gt;"",N('Your debts'!$C$7)&gt;0))),"",IF('Your debts'!$D$20="Avalanche",'Avalanche workings'!$AQ$267,'Snowball workings'!$AQ$267))</f>
      </c>
      <c r="J265" s="29">
        <f>IF(OR(260&gt;$Z$1,NOT(OR('Your debts'!$B$8&lt;&gt;"",N('Your debts'!$C$8)&gt;0))),"",IF('Your debts'!$D$20="Avalanche",'Avalanche workings'!$N$267,'Snowball workings'!$N$267)+IF('Your debts'!$D$20="Avalanche",'Avalanche workings'!$AH$267,'Snowball workings'!$AH$267))</f>
      </c>
      <c r="K265" s="30">
        <f>IF(OR(260&gt;$Z$1,NOT(OR('Your debts'!$B$8&lt;&gt;"",N('Your debts'!$C$8)&gt;0))),"",IF('Your debts'!$D$20="Avalanche",'Avalanche workings'!$AR$267,'Snowball workings'!$AR$267))</f>
      </c>
      <c r="L265" s="29">
        <f>IF(OR(260&gt;$Z$1,NOT(OR('Your debts'!$B$9&lt;&gt;"",N('Your debts'!$C$9)&gt;0))),"",IF('Your debts'!$D$20="Avalanche",'Avalanche workings'!$O$267,'Snowball workings'!$O$267)+IF('Your debts'!$D$20="Avalanche",'Avalanche workings'!$AI$267,'Snowball workings'!$AI$267))</f>
      </c>
      <c r="M265" s="30">
        <f>IF(OR(260&gt;$Z$1,NOT(OR('Your debts'!$B$9&lt;&gt;"",N('Your debts'!$C$9)&gt;0))),"",IF('Your debts'!$D$20="Avalanche",'Avalanche workings'!$AS$267,'Snowball workings'!$AS$267))</f>
      </c>
      <c r="N265" s="29">
        <f>IF(OR(260&gt;$Z$1,NOT(OR('Your debts'!$B$10&lt;&gt;"",N('Your debts'!$C$10)&gt;0))),"",IF('Your debts'!$D$20="Avalanche",'Avalanche workings'!$P$267,'Snowball workings'!$P$267)+IF('Your debts'!$D$20="Avalanche",'Avalanche workings'!$AJ$267,'Snowball workings'!$AJ$267))</f>
      </c>
      <c r="O265" s="30">
        <f>IF(OR(260&gt;$Z$1,NOT(OR('Your debts'!$B$10&lt;&gt;"",N('Your debts'!$C$10)&gt;0))),"",IF('Your debts'!$D$20="Avalanche",'Avalanche workings'!$AT$267,'Snowball workings'!$AT$267))</f>
      </c>
      <c r="P265" s="29">
        <f>IF(OR(260&gt;$Z$1,NOT(OR('Your debts'!$B$11&lt;&gt;"",N('Your debts'!$C$11)&gt;0))),"",IF('Your debts'!$D$20="Avalanche",'Avalanche workings'!$Q$267,'Snowball workings'!$Q$267)+IF('Your debts'!$D$20="Avalanche",'Avalanche workings'!$AK$267,'Snowball workings'!$AK$267))</f>
      </c>
      <c r="Q265" s="30">
        <f>IF(OR(260&gt;$Z$1,NOT(OR('Your debts'!$B$11&lt;&gt;"",N('Your debts'!$C$11)&gt;0))),"",IF('Your debts'!$D$20="Avalanche",'Avalanche workings'!$AU$267,'Snowball workings'!$AU$267))</f>
      </c>
      <c r="R265" s="29">
        <f>IF(OR(260&gt;$Z$1,NOT(OR('Your debts'!$B$12&lt;&gt;"",N('Your debts'!$C$12)&gt;0))),"",IF('Your debts'!$D$20="Avalanche",'Avalanche workings'!$R$267,'Snowball workings'!$R$267)+IF('Your debts'!$D$20="Avalanche",'Avalanche workings'!$AL$267,'Snowball workings'!$AL$267))</f>
      </c>
      <c r="S265" s="30">
        <f>IF(OR(260&gt;$Z$1,NOT(OR('Your debts'!$B$12&lt;&gt;"",N('Your debts'!$C$12)&gt;0))),"",IF('Your debts'!$D$20="Avalanche",'Avalanche workings'!$AV$267,'Snowball workings'!$AV$267))</f>
      </c>
      <c r="T265" s="29">
        <f>IF(OR(260&gt;$Z$1,NOT(OR('Your debts'!$B$13&lt;&gt;"",N('Your debts'!$C$13)&gt;0))),"",IF('Your debts'!$D$20="Avalanche",'Avalanche workings'!$S$267,'Snowball workings'!$S$267)+IF('Your debts'!$D$20="Avalanche",'Avalanche workings'!$AM$267,'Snowball workings'!$AM$267))</f>
      </c>
      <c r="U265" s="30">
        <f>IF(OR(260&gt;$Z$1,NOT(OR('Your debts'!$B$13&lt;&gt;"",N('Your debts'!$C$13)&gt;0))),"",IF('Your debts'!$D$20="Avalanche",'Avalanche workings'!$AW$267,'Snowball workings'!$AW$267))</f>
      </c>
      <c r="V265" s="29">
        <f>IF(OR(260&gt;$Z$1,NOT(OR('Your debts'!$B$14&lt;&gt;"",N('Your debts'!$C$14)&gt;0))),"",IF('Your debts'!$D$20="Avalanche",'Avalanche workings'!$T$267,'Snowball workings'!$T$267)+IF('Your debts'!$D$20="Avalanche",'Avalanche workings'!$AN$267,'Snowball workings'!$AN$267))</f>
      </c>
      <c r="W265" s="30">
        <f>IF(OR(260&gt;$Z$1,NOT(OR('Your debts'!$B$14&lt;&gt;"",N('Your debts'!$C$14)&gt;0))),"",IF('Your debts'!$D$20="Avalanche",'Avalanche workings'!$AX$267,'Snowball workings'!$AX$267))</f>
      </c>
      <c r="X265" s="29">
        <f>IF(OR(260&gt;$Z$1,NOT(OR('Your debts'!$B$15&lt;&gt;"",N('Your debts'!$C$15)&gt;0))),"",IF('Your debts'!$D$20="Avalanche",'Avalanche workings'!$U$267,'Snowball workings'!$U$267)+IF('Your debts'!$D$20="Avalanche",'Avalanche workings'!$AO$267,'Snowball workings'!$AO$267))</f>
      </c>
      <c r="Y265" s="30">
        <f>IF(OR(260&gt;$Z$1,NOT(OR('Your debts'!$B$15&lt;&gt;"",N('Your debts'!$C$15)&gt;0))),"",IF('Your debts'!$D$20="Avalanche",'Avalanche workings'!$AY$267,'Snowball workings'!$AY$267))</f>
      </c>
    </row>
    <row r="266" spans="1:25" x14ac:dyDescent="0.25">
      <c r="A266" s="2">
        <f>IF(261&gt;$Z$1,"",261)</f>
      </c>
      <c r="B266" s="28">
        <f>IF(261&gt;$Z$1,"",EDATE('Your debts'!$D$21,260))</f>
      </c>
      <c r="C266" s="29">
        <f>IF(261&gt;$Z$1,"",IF('Your debts'!$D$20="Avalanche",'Avalanche workings'!$BC$268,'Snowball workings'!$BC$268))</f>
      </c>
      <c r="D266" s="29">
        <f>IF(261&gt;$Z$1,"",IF('Your debts'!$D$20="Avalanche",'Avalanche workings'!$BA$268,'Snowball workings'!$BA$268))</f>
      </c>
      <c r="E266" s="29">
        <f>IF(261&gt;$Z$1,"",IF('Your debts'!$D$20="Avalanche",'Avalanche workings'!$BB$268,'Snowball workings'!$BB$268))</f>
      </c>
      <c r="F266" s="29">
        <f>IF(OR(261&gt;$Z$1,NOT(OR('Your debts'!$B$6&lt;&gt;"",N('Your debts'!$C$6)&gt;0))),"",IF('Your debts'!$D$20="Avalanche",'Avalanche workings'!$L$268,'Snowball workings'!$L$268)+IF('Your debts'!$D$20="Avalanche",'Avalanche workings'!$AF$268,'Snowball workings'!$AF$268))</f>
      </c>
      <c r="G266" s="30">
        <f>IF(OR(261&gt;$Z$1,NOT(OR('Your debts'!$B$6&lt;&gt;"",N('Your debts'!$C$6)&gt;0))),"",IF('Your debts'!$D$20="Avalanche",'Avalanche workings'!$AP$268,'Snowball workings'!$AP$268))</f>
      </c>
      <c r="H266" s="29">
        <f>IF(OR(261&gt;$Z$1,NOT(OR('Your debts'!$B$7&lt;&gt;"",N('Your debts'!$C$7)&gt;0))),"",IF('Your debts'!$D$20="Avalanche",'Avalanche workings'!$M$268,'Snowball workings'!$M$268)+IF('Your debts'!$D$20="Avalanche",'Avalanche workings'!$AG$268,'Snowball workings'!$AG$268))</f>
      </c>
      <c r="I266" s="30">
        <f>IF(OR(261&gt;$Z$1,NOT(OR('Your debts'!$B$7&lt;&gt;"",N('Your debts'!$C$7)&gt;0))),"",IF('Your debts'!$D$20="Avalanche",'Avalanche workings'!$AQ$268,'Snowball workings'!$AQ$268))</f>
      </c>
      <c r="J266" s="29">
        <f>IF(OR(261&gt;$Z$1,NOT(OR('Your debts'!$B$8&lt;&gt;"",N('Your debts'!$C$8)&gt;0))),"",IF('Your debts'!$D$20="Avalanche",'Avalanche workings'!$N$268,'Snowball workings'!$N$268)+IF('Your debts'!$D$20="Avalanche",'Avalanche workings'!$AH$268,'Snowball workings'!$AH$268))</f>
      </c>
      <c r="K266" s="30">
        <f>IF(OR(261&gt;$Z$1,NOT(OR('Your debts'!$B$8&lt;&gt;"",N('Your debts'!$C$8)&gt;0))),"",IF('Your debts'!$D$20="Avalanche",'Avalanche workings'!$AR$268,'Snowball workings'!$AR$268))</f>
      </c>
      <c r="L266" s="29">
        <f>IF(OR(261&gt;$Z$1,NOT(OR('Your debts'!$B$9&lt;&gt;"",N('Your debts'!$C$9)&gt;0))),"",IF('Your debts'!$D$20="Avalanche",'Avalanche workings'!$O$268,'Snowball workings'!$O$268)+IF('Your debts'!$D$20="Avalanche",'Avalanche workings'!$AI$268,'Snowball workings'!$AI$268))</f>
      </c>
      <c r="M266" s="30">
        <f>IF(OR(261&gt;$Z$1,NOT(OR('Your debts'!$B$9&lt;&gt;"",N('Your debts'!$C$9)&gt;0))),"",IF('Your debts'!$D$20="Avalanche",'Avalanche workings'!$AS$268,'Snowball workings'!$AS$268))</f>
      </c>
      <c r="N266" s="29">
        <f>IF(OR(261&gt;$Z$1,NOT(OR('Your debts'!$B$10&lt;&gt;"",N('Your debts'!$C$10)&gt;0))),"",IF('Your debts'!$D$20="Avalanche",'Avalanche workings'!$P$268,'Snowball workings'!$P$268)+IF('Your debts'!$D$20="Avalanche",'Avalanche workings'!$AJ$268,'Snowball workings'!$AJ$268))</f>
      </c>
      <c r="O266" s="30">
        <f>IF(OR(261&gt;$Z$1,NOT(OR('Your debts'!$B$10&lt;&gt;"",N('Your debts'!$C$10)&gt;0))),"",IF('Your debts'!$D$20="Avalanche",'Avalanche workings'!$AT$268,'Snowball workings'!$AT$268))</f>
      </c>
      <c r="P266" s="29">
        <f>IF(OR(261&gt;$Z$1,NOT(OR('Your debts'!$B$11&lt;&gt;"",N('Your debts'!$C$11)&gt;0))),"",IF('Your debts'!$D$20="Avalanche",'Avalanche workings'!$Q$268,'Snowball workings'!$Q$268)+IF('Your debts'!$D$20="Avalanche",'Avalanche workings'!$AK$268,'Snowball workings'!$AK$268))</f>
      </c>
      <c r="Q266" s="30">
        <f>IF(OR(261&gt;$Z$1,NOT(OR('Your debts'!$B$11&lt;&gt;"",N('Your debts'!$C$11)&gt;0))),"",IF('Your debts'!$D$20="Avalanche",'Avalanche workings'!$AU$268,'Snowball workings'!$AU$268))</f>
      </c>
      <c r="R266" s="29">
        <f>IF(OR(261&gt;$Z$1,NOT(OR('Your debts'!$B$12&lt;&gt;"",N('Your debts'!$C$12)&gt;0))),"",IF('Your debts'!$D$20="Avalanche",'Avalanche workings'!$R$268,'Snowball workings'!$R$268)+IF('Your debts'!$D$20="Avalanche",'Avalanche workings'!$AL$268,'Snowball workings'!$AL$268))</f>
      </c>
      <c r="S266" s="30">
        <f>IF(OR(261&gt;$Z$1,NOT(OR('Your debts'!$B$12&lt;&gt;"",N('Your debts'!$C$12)&gt;0))),"",IF('Your debts'!$D$20="Avalanche",'Avalanche workings'!$AV$268,'Snowball workings'!$AV$268))</f>
      </c>
      <c r="T266" s="29">
        <f>IF(OR(261&gt;$Z$1,NOT(OR('Your debts'!$B$13&lt;&gt;"",N('Your debts'!$C$13)&gt;0))),"",IF('Your debts'!$D$20="Avalanche",'Avalanche workings'!$S$268,'Snowball workings'!$S$268)+IF('Your debts'!$D$20="Avalanche",'Avalanche workings'!$AM$268,'Snowball workings'!$AM$268))</f>
      </c>
      <c r="U266" s="30">
        <f>IF(OR(261&gt;$Z$1,NOT(OR('Your debts'!$B$13&lt;&gt;"",N('Your debts'!$C$13)&gt;0))),"",IF('Your debts'!$D$20="Avalanche",'Avalanche workings'!$AW$268,'Snowball workings'!$AW$268))</f>
      </c>
      <c r="V266" s="29">
        <f>IF(OR(261&gt;$Z$1,NOT(OR('Your debts'!$B$14&lt;&gt;"",N('Your debts'!$C$14)&gt;0))),"",IF('Your debts'!$D$20="Avalanche",'Avalanche workings'!$T$268,'Snowball workings'!$T$268)+IF('Your debts'!$D$20="Avalanche",'Avalanche workings'!$AN$268,'Snowball workings'!$AN$268))</f>
      </c>
      <c r="W266" s="30">
        <f>IF(OR(261&gt;$Z$1,NOT(OR('Your debts'!$B$14&lt;&gt;"",N('Your debts'!$C$14)&gt;0))),"",IF('Your debts'!$D$20="Avalanche",'Avalanche workings'!$AX$268,'Snowball workings'!$AX$268))</f>
      </c>
      <c r="X266" s="29">
        <f>IF(OR(261&gt;$Z$1,NOT(OR('Your debts'!$B$15&lt;&gt;"",N('Your debts'!$C$15)&gt;0))),"",IF('Your debts'!$D$20="Avalanche",'Avalanche workings'!$U$268,'Snowball workings'!$U$268)+IF('Your debts'!$D$20="Avalanche",'Avalanche workings'!$AO$268,'Snowball workings'!$AO$268))</f>
      </c>
      <c r="Y266" s="30">
        <f>IF(OR(261&gt;$Z$1,NOT(OR('Your debts'!$B$15&lt;&gt;"",N('Your debts'!$C$15)&gt;0))),"",IF('Your debts'!$D$20="Avalanche",'Avalanche workings'!$AY$268,'Snowball workings'!$AY$268))</f>
      </c>
    </row>
    <row r="267" spans="1:25" x14ac:dyDescent="0.25">
      <c r="A267" s="2">
        <f>IF(262&gt;$Z$1,"",262)</f>
      </c>
      <c r="B267" s="28">
        <f>IF(262&gt;$Z$1,"",EDATE('Your debts'!$D$21,261))</f>
      </c>
      <c r="C267" s="29">
        <f>IF(262&gt;$Z$1,"",IF('Your debts'!$D$20="Avalanche",'Avalanche workings'!$BC$269,'Snowball workings'!$BC$269))</f>
      </c>
      <c r="D267" s="29">
        <f>IF(262&gt;$Z$1,"",IF('Your debts'!$D$20="Avalanche",'Avalanche workings'!$BA$269,'Snowball workings'!$BA$269))</f>
      </c>
      <c r="E267" s="29">
        <f>IF(262&gt;$Z$1,"",IF('Your debts'!$D$20="Avalanche",'Avalanche workings'!$BB$269,'Snowball workings'!$BB$269))</f>
      </c>
      <c r="F267" s="29">
        <f>IF(OR(262&gt;$Z$1,NOT(OR('Your debts'!$B$6&lt;&gt;"",N('Your debts'!$C$6)&gt;0))),"",IF('Your debts'!$D$20="Avalanche",'Avalanche workings'!$L$269,'Snowball workings'!$L$269)+IF('Your debts'!$D$20="Avalanche",'Avalanche workings'!$AF$269,'Snowball workings'!$AF$269))</f>
      </c>
      <c r="G267" s="30">
        <f>IF(OR(262&gt;$Z$1,NOT(OR('Your debts'!$B$6&lt;&gt;"",N('Your debts'!$C$6)&gt;0))),"",IF('Your debts'!$D$20="Avalanche",'Avalanche workings'!$AP$269,'Snowball workings'!$AP$269))</f>
      </c>
      <c r="H267" s="29">
        <f>IF(OR(262&gt;$Z$1,NOT(OR('Your debts'!$B$7&lt;&gt;"",N('Your debts'!$C$7)&gt;0))),"",IF('Your debts'!$D$20="Avalanche",'Avalanche workings'!$M$269,'Snowball workings'!$M$269)+IF('Your debts'!$D$20="Avalanche",'Avalanche workings'!$AG$269,'Snowball workings'!$AG$269))</f>
      </c>
      <c r="I267" s="30">
        <f>IF(OR(262&gt;$Z$1,NOT(OR('Your debts'!$B$7&lt;&gt;"",N('Your debts'!$C$7)&gt;0))),"",IF('Your debts'!$D$20="Avalanche",'Avalanche workings'!$AQ$269,'Snowball workings'!$AQ$269))</f>
      </c>
      <c r="J267" s="29">
        <f>IF(OR(262&gt;$Z$1,NOT(OR('Your debts'!$B$8&lt;&gt;"",N('Your debts'!$C$8)&gt;0))),"",IF('Your debts'!$D$20="Avalanche",'Avalanche workings'!$N$269,'Snowball workings'!$N$269)+IF('Your debts'!$D$20="Avalanche",'Avalanche workings'!$AH$269,'Snowball workings'!$AH$269))</f>
      </c>
      <c r="K267" s="30">
        <f>IF(OR(262&gt;$Z$1,NOT(OR('Your debts'!$B$8&lt;&gt;"",N('Your debts'!$C$8)&gt;0))),"",IF('Your debts'!$D$20="Avalanche",'Avalanche workings'!$AR$269,'Snowball workings'!$AR$269))</f>
      </c>
      <c r="L267" s="29">
        <f>IF(OR(262&gt;$Z$1,NOT(OR('Your debts'!$B$9&lt;&gt;"",N('Your debts'!$C$9)&gt;0))),"",IF('Your debts'!$D$20="Avalanche",'Avalanche workings'!$O$269,'Snowball workings'!$O$269)+IF('Your debts'!$D$20="Avalanche",'Avalanche workings'!$AI$269,'Snowball workings'!$AI$269))</f>
      </c>
      <c r="M267" s="30">
        <f>IF(OR(262&gt;$Z$1,NOT(OR('Your debts'!$B$9&lt;&gt;"",N('Your debts'!$C$9)&gt;0))),"",IF('Your debts'!$D$20="Avalanche",'Avalanche workings'!$AS$269,'Snowball workings'!$AS$269))</f>
      </c>
      <c r="N267" s="29">
        <f>IF(OR(262&gt;$Z$1,NOT(OR('Your debts'!$B$10&lt;&gt;"",N('Your debts'!$C$10)&gt;0))),"",IF('Your debts'!$D$20="Avalanche",'Avalanche workings'!$P$269,'Snowball workings'!$P$269)+IF('Your debts'!$D$20="Avalanche",'Avalanche workings'!$AJ$269,'Snowball workings'!$AJ$269))</f>
      </c>
      <c r="O267" s="30">
        <f>IF(OR(262&gt;$Z$1,NOT(OR('Your debts'!$B$10&lt;&gt;"",N('Your debts'!$C$10)&gt;0))),"",IF('Your debts'!$D$20="Avalanche",'Avalanche workings'!$AT$269,'Snowball workings'!$AT$269))</f>
      </c>
      <c r="P267" s="29">
        <f>IF(OR(262&gt;$Z$1,NOT(OR('Your debts'!$B$11&lt;&gt;"",N('Your debts'!$C$11)&gt;0))),"",IF('Your debts'!$D$20="Avalanche",'Avalanche workings'!$Q$269,'Snowball workings'!$Q$269)+IF('Your debts'!$D$20="Avalanche",'Avalanche workings'!$AK$269,'Snowball workings'!$AK$269))</f>
      </c>
      <c r="Q267" s="30">
        <f>IF(OR(262&gt;$Z$1,NOT(OR('Your debts'!$B$11&lt;&gt;"",N('Your debts'!$C$11)&gt;0))),"",IF('Your debts'!$D$20="Avalanche",'Avalanche workings'!$AU$269,'Snowball workings'!$AU$269))</f>
      </c>
      <c r="R267" s="29">
        <f>IF(OR(262&gt;$Z$1,NOT(OR('Your debts'!$B$12&lt;&gt;"",N('Your debts'!$C$12)&gt;0))),"",IF('Your debts'!$D$20="Avalanche",'Avalanche workings'!$R$269,'Snowball workings'!$R$269)+IF('Your debts'!$D$20="Avalanche",'Avalanche workings'!$AL$269,'Snowball workings'!$AL$269))</f>
      </c>
      <c r="S267" s="30">
        <f>IF(OR(262&gt;$Z$1,NOT(OR('Your debts'!$B$12&lt;&gt;"",N('Your debts'!$C$12)&gt;0))),"",IF('Your debts'!$D$20="Avalanche",'Avalanche workings'!$AV$269,'Snowball workings'!$AV$269))</f>
      </c>
      <c r="T267" s="29">
        <f>IF(OR(262&gt;$Z$1,NOT(OR('Your debts'!$B$13&lt;&gt;"",N('Your debts'!$C$13)&gt;0))),"",IF('Your debts'!$D$20="Avalanche",'Avalanche workings'!$S$269,'Snowball workings'!$S$269)+IF('Your debts'!$D$20="Avalanche",'Avalanche workings'!$AM$269,'Snowball workings'!$AM$269))</f>
      </c>
      <c r="U267" s="30">
        <f>IF(OR(262&gt;$Z$1,NOT(OR('Your debts'!$B$13&lt;&gt;"",N('Your debts'!$C$13)&gt;0))),"",IF('Your debts'!$D$20="Avalanche",'Avalanche workings'!$AW$269,'Snowball workings'!$AW$269))</f>
      </c>
      <c r="V267" s="29">
        <f>IF(OR(262&gt;$Z$1,NOT(OR('Your debts'!$B$14&lt;&gt;"",N('Your debts'!$C$14)&gt;0))),"",IF('Your debts'!$D$20="Avalanche",'Avalanche workings'!$T$269,'Snowball workings'!$T$269)+IF('Your debts'!$D$20="Avalanche",'Avalanche workings'!$AN$269,'Snowball workings'!$AN$269))</f>
      </c>
      <c r="W267" s="30">
        <f>IF(OR(262&gt;$Z$1,NOT(OR('Your debts'!$B$14&lt;&gt;"",N('Your debts'!$C$14)&gt;0))),"",IF('Your debts'!$D$20="Avalanche",'Avalanche workings'!$AX$269,'Snowball workings'!$AX$269))</f>
      </c>
      <c r="X267" s="29">
        <f>IF(OR(262&gt;$Z$1,NOT(OR('Your debts'!$B$15&lt;&gt;"",N('Your debts'!$C$15)&gt;0))),"",IF('Your debts'!$D$20="Avalanche",'Avalanche workings'!$U$269,'Snowball workings'!$U$269)+IF('Your debts'!$D$20="Avalanche",'Avalanche workings'!$AO$269,'Snowball workings'!$AO$269))</f>
      </c>
      <c r="Y267" s="30">
        <f>IF(OR(262&gt;$Z$1,NOT(OR('Your debts'!$B$15&lt;&gt;"",N('Your debts'!$C$15)&gt;0))),"",IF('Your debts'!$D$20="Avalanche",'Avalanche workings'!$AY$269,'Snowball workings'!$AY$269))</f>
      </c>
    </row>
    <row r="268" spans="1:25" x14ac:dyDescent="0.25">
      <c r="A268" s="2">
        <f>IF(263&gt;$Z$1,"",263)</f>
      </c>
      <c r="B268" s="28">
        <f>IF(263&gt;$Z$1,"",EDATE('Your debts'!$D$21,262))</f>
      </c>
      <c r="C268" s="29">
        <f>IF(263&gt;$Z$1,"",IF('Your debts'!$D$20="Avalanche",'Avalanche workings'!$BC$270,'Snowball workings'!$BC$270))</f>
      </c>
      <c r="D268" s="29">
        <f>IF(263&gt;$Z$1,"",IF('Your debts'!$D$20="Avalanche",'Avalanche workings'!$BA$270,'Snowball workings'!$BA$270))</f>
      </c>
      <c r="E268" s="29">
        <f>IF(263&gt;$Z$1,"",IF('Your debts'!$D$20="Avalanche",'Avalanche workings'!$BB$270,'Snowball workings'!$BB$270))</f>
      </c>
      <c r="F268" s="29">
        <f>IF(OR(263&gt;$Z$1,NOT(OR('Your debts'!$B$6&lt;&gt;"",N('Your debts'!$C$6)&gt;0))),"",IF('Your debts'!$D$20="Avalanche",'Avalanche workings'!$L$270,'Snowball workings'!$L$270)+IF('Your debts'!$D$20="Avalanche",'Avalanche workings'!$AF$270,'Snowball workings'!$AF$270))</f>
      </c>
      <c r="G268" s="30">
        <f>IF(OR(263&gt;$Z$1,NOT(OR('Your debts'!$B$6&lt;&gt;"",N('Your debts'!$C$6)&gt;0))),"",IF('Your debts'!$D$20="Avalanche",'Avalanche workings'!$AP$270,'Snowball workings'!$AP$270))</f>
      </c>
      <c r="H268" s="29">
        <f>IF(OR(263&gt;$Z$1,NOT(OR('Your debts'!$B$7&lt;&gt;"",N('Your debts'!$C$7)&gt;0))),"",IF('Your debts'!$D$20="Avalanche",'Avalanche workings'!$M$270,'Snowball workings'!$M$270)+IF('Your debts'!$D$20="Avalanche",'Avalanche workings'!$AG$270,'Snowball workings'!$AG$270))</f>
      </c>
      <c r="I268" s="30">
        <f>IF(OR(263&gt;$Z$1,NOT(OR('Your debts'!$B$7&lt;&gt;"",N('Your debts'!$C$7)&gt;0))),"",IF('Your debts'!$D$20="Avalanche",'Avalanche workings'!$AQ$270,'Snowball workings'!$AQ$270))</f>
      </c>
      <c r="J268" s="29">
        <f>IF(OR(263&gt;$Z$1,NOT(OR('Your debts'!$B$8&lt;&gt;"",N('Your debts'!$C$8)&gt;0))),"",IF('Your debts'!$D$20="Avalanche",'Avalanche workings'!$N$270,'Snowball workings'!$N$270)+IF('Your debts'!$D$20="Avalanche",'Avalanche workings'!$AH$270,'Snowball workings'!$AH$270))</f>
      </c>
      <c r="K268" s="30">
        <f>IF(OR(263&gt;$Z$1,NOT(OR('Your debts'!$B$8&lt;&gt;"",N('Your debts'!$C$8)&gt;0))),"",IF('Your debts'!$D$20="Avalanche",'Avalanche workings'!$AR$270,'Snowball workings'!$AR$270))</f>
      </c>
      <c r="L268" s="29">
        <f>IF(OR(263&gt;$Z$1,NOT(OR('Your debts'!$B$9&lt;&gt;"",N('Your debts'!$C$9)&gt;0))),"",IF('Your debts'!$D$20="Avalanche",'Avalanche workings'!$O$270,'Snowball workings'!$O$270)+IF('Your debts'!$D$20="Avalanche",'Avalanche workings'!$AI$270,'Snowball workings'!$AI$270))</f>
      </c>
      <c r="M268" s="30">
        <f>IF(OR(263&gt;$Z$1,NOT(OR('Your debts'!$B$9&lt;&gt;"",N('Your debts'!$C$9)&gt;0))),"",IF('Your debts'!$D$20="Avalanche",'Avalanche workings'!$AS$270,'Snowball workings'!$AS$270))</f>
      </c>
      <c r="N268" s="29">
        <f>IF(OR(263&gt;$Z$1,NOT(OR('Your debts'!$B$10&lt;&gt;"",N('Your debts'!$C$10)&gt;0))),"",IF('Your debts'!$D$20="Avalanche",'Avalanche workings'!$P$270,'Snowball workings'!$P$270)+IF('Your debts'!$D$20="Avalanche",'Avalanche workings'!$AJ$270,'Snowball workings'!$AJ$270))</f>
      </c>
      <c r="O268" s="30">
        <f>IF(OR(263&gt;$Z$1,NOT(OR('Your debts'!$B$10&lt;&gt;"",N('Your debts'!$C$10)&gt;0))),"",IF('Your debts'!$D$20="Avalanche",'Avalanche workings'!$AT$270,'Snowball workings'!$AT$270))</f>
      </c>
      <c r="P268" s="29">
        <f>IF(OR(263&gt;$Z$1,NOT(OR('Your debts'!$B$11&lt;&gt;"",N('Your debts'!$C$11)&gt;0))),"",IF('Your debts'!$D$20="Avalanche",'Avalanche workings'!$Q$270,'Snowball workings'!$Q$270)+IF('Your debts'!$D$20="Avalanche",'Avalanche workings'!$AK$270,'Snowball workings'!$AK$270))</f>
      </c>
      <c r="Q268" s="30">
        <f>IF(OR(263&gt;$Z$1,NOT(OR('Your debts'!$B$11&lt;&gt;"",N('Your debts'!$C$11)&gt;0))),"",IF('Your debts'!$D$20="Avalanche",'Avalanche workings'!$AU$270,'Snowball workings'!$AU$270))</f>
      </c>
      <c r="R268" s="29">
        <f>IF(OR(263&gt;$Z$1,NOT(OR('Your debts'!$B$12&lt;&gt;"",N('Your debts'!$C$12)&gt;0))),"",IF('Your debts'!$D$20="Avalanche",'Avalanche workings'!$R$270,'Snowball workings'!$R$270)+IF('Your debts'!$D$20="Avalanche",'Avalanche workings'!$AL$270,'Snowball workings'!$AL$270))</f>
      </c>
      <c r="S268" s="30">
        <f>IF(OR(263&gt;$Z$1,NOT(OR('Your debts'!$B$12&lt;&gt;"",N('Your debts'!$C$12)&gt;0))),"",IF('Your debts'!$D$20="Avalanche",'Avalanche workings'!$AV$270,'Snowball workings'!$AV$270))</f>
      </c>
      <c r="T268" s="29">
        <f>IF(OR(263&gt;$Z$1,NOT(OR('Your debts'!$B$13&lt;&gt;"",N('Your debts'!$C$13)&gt;0))),"",IF('Your debts'!$D$20="Avalanche",'Avalanche workings'!$S$270,'Snowball workings'!$S$270)+IF('Your debts'!$D$20="Avalanche",'Avalanche workings'!$AM$270,'Snowball workings'!$AM$270))</f>
      </c>
      <c r="U268" s="30">
        <f>IF(OR(263&gt;$Z$1,NOT(OR('Your debts'!$B$13&lt;&gt;"",N('Your debts'!$C$13)&gt;0))),"",IF('Your debts'!$D$20="Avalanche",'Avalanche workings'!$AW$270,'Snowball workings'!$AW$270))</f>
      </c>
      <c r="V268" s="29">
        <f>IF(OR(263&gt;$Z$1,NOT(OR('Your debts'!$B$14&lt;&gt;"",N('Your debts'!$C$14)&gt;0))),"",IF('Your debts'!$D$20="Avalanche",'Avalanche workings'!$T$270,'Snowball workings'!$T$270)+IF('Your debts'!$D$20="Avalanche",'Avalanche workings'!$AN$270,'Snowball workings'!$AN$270))</f>
      </c>
      <c r="W268" s="30">
        <f>IF(OR(263&gt;$Z$1,NOT(OR('Your debts'!$B$14&lt;&gt;"",N('Your debts'!$C$14)&gt;0))),"",IF('Your debts'!$D$20="Avalanche",'Avalanche workings'!$AX$270,'Snowball workings'!$AX$270))</f>
      </c>
      <c r="X268" s="29">
        <f>IF(OR(263&gt;$Z$1,NOT(OR('Your debts'!$B$15&lt;&gt;"",N('Your debts'!$C$15)&gt;0))),"",IF('Your debts'!$D$20="Avalanche",'Avalanche workings'!$U$270,'Snowball workings'!$U$270)+IF('Your debts'!$D$20="Avalanche",'Avalanche workings'!$AO$270,'Snowball workings'!$AO$270))</f>
      </c>
      <c r="Y268" s="30">
        <f>IF(OR(263&gt;$Z$1,NOT(OR('Your debts'!$B$15&lt;&gt;"",N('Your debts'!$C$15)&gt;0))),"",IF('Your debts'!$D$20="Avalanche",'Avalanche workings'!$AY$270,'Snowball workings'!$AY$270))</f>
      </c>
    </row>
    <row r="269" spans="1:25" x14ac:dyDescent="0.25">
      <c r="A269" s="2">
        <f>IF(264&gt;$Z$1,"",264)</f>
      </c>
      <c r="B269" s="28">
        <f>IF(264&gt;$Z$1,"",EDATE('Your debts'!$D$21,263))</f>
      </c>
      <c r="C269" s="29">
        <f>IF(264&gt;$Z$1,"",IF('Your debts'!$D$20="Avalanche",'Avalanche workings'!$BC$271,'Snowball workings'!$BC$271))</f>
      </c>
      <c r="D269" s="29">
        <f>IF(264&gt;$Z$1,"",IF('Your debts'!$D$20="Avalanche",'Avalanche workings'!$BA$271,'Snowball workings'!$BA$271))</f>
      </c>
      <c r="E269" s="29">
        <f>IF(264&gt;$Z$1,"",IF('Your debts'!$D$20="Avalanche",'Avalanche workings'!$BB$271,'Snowball workings'!$BB$271))</f>
      </c>
      <c r="F269" s="29">
        <f>IF(OR(264&gt;$Z$1,NOT(OR('Your debts'!$B$6&lt;&gt;"",N('Your debts'!$C$6)&gt;0))),"",IF('Your debts'!$D$20="Avalanche",'Avalanche workings'!$L$271,'Snowball workings'!$L$271)+IF('Your debts'!$D$20="Avalanche",'Avalanche workings'!$AF$271,'Snowball workings'!$AF$271))</f>
      </c>
      <c r="G269" s="30">
        <f>IF(OR(264&gt;$Z$1,NOT(OR('Your debts'!$B$6&lt;&gt;"",N('Your debts'!$C$6)&gt;0))),"",IF('Your debts'!$D$20="Avalanche",'Avalanche workings'!$AP$271,'Snowball workings'!$AP$271))</f>
      </c>
      <c r="H269" s="29">
        <f>IF(OR(264&gt;$Z$1,NOT(OR('Your debts'!$B$7&lt;&gt;"",N('Your debts'!$C$7)&gt;0))),"",IF('Your debts'!$D$20="Avalanche",'Avalanche workings'!$M$271,'Snowball workings'!$M$271)+IF('Your debts'!$D$20="Avalanche",'Avalanche workings'!$AG$271,'Snowball workings'!$AG$271))</f>
      </c>
      <c r="I269" s="30">
        <f>IF(OR(264&gt;$Z$1,NOT(OR('Your debts'!$B$7&lt;&gt;"",N('Your debts'!$C$7)&gt;0))),"",IF('Your debts'!$D$20="Avalanche",'Avalanche workings'!$AQ$271,'Snowball workings'!$AQ$271))</f>
      </c>
      <c r="J269" s="29">
        <f>IF(OR(264&gt;$Z$1,NOT(OR('Your debts'!$B$8&lt;&gt;"",N('Your debts'!$C$8)&gt;0))),"",IF('Your debts'!$D$20="Avalanche",'Avalanche workings'!$N$271,'Snowball workings'!$N$271)+IF('Your debts'!$D$20="Avalanche",'Avalanche workings'!$AH$271,'Snowball workings'!$AH$271))</f>
      </c>
      <c r="K269" s="30">
        <f>IF(OR(264&gt;$Z$1,NOT(OR('Your debts'!$B$8&lt;&gt;"",N('Your debts'!$C$8)&gt;0))),"",IF('Your debts'!$D$20="Avalanche",'Avalanche workings'!$AR$271,'Snowball workings'!$AR$271))</f>
      </c>
      <c r="L269" s="29">
        <f>IF(OR(264&gt;$Z$1,NOT(OR('Your debts'!$B$9&lt;&gt;"",N('Your debts'!$C$9)&gt;0))),"",IF('Your debts'!$D$20="Avalanche",'Avalanche workings'!$O$271,'Snowball workings'!$O$271)+IF('Your debts'!$D$20="Avalanche",'Avalanche workings'!$AI$271,'Snowball workings'!$AI$271))</f>
      </c>
      <c r="M269" s="30">
        <f>IF(OR(264&gt;$Z$1,NOT(OR('Your debts'!$B$9&lt;&gt;"",N('Your debts'!$C$9)&gt;0))),"",IF('Your debts'!$D$20="Avalanche",'Avalanche workings'!$AS$271,'Snowball workings'!$AS$271))</f>
      </c>
      <c r="N269" s="29">
        <f>IF(OR(264&gt;$Z$1,NOT(OR('Your debts'!$B$10&lt;&gt;"",N('Your debts'!$C$10)&gt;0))),"",IF('Your debts'!$D$20="Avalanche",'Avalanche workings'!$P$271,'Snowball workings'!$P$271)+IF('Your debts'!$D$20="Avalanche",'Avalanche workings'!$AJ$271,'Snowball workings'!$AJ$271))</f>
      </c>
      <c r="O269" s="30">
        <f>IF(OR(264&gt;$Z$1,NOT(OR('Your debts'!$B$10&lt;&gt;"",N('Your debts'!$C$10)&gt;0))),"",IF('Your debts'!$D$20="Avalanche",'Avalanche workings'!$AT$271,'Snowball workings'!$AT$271))</f>
      </c>
      <c r="P269" s="29">
        <f>IF(OR(264&gt;$Z$1,NOT(OR('Your debts'!$B$11&lt;&gt;"",N('Your debts'!$C$11)&gt;0))),"",IF('Your debts'!$D$20="Avalanche",'Avalanche workings'!$Q$271,'Snowball workings'!$Q$271)+IF('Your debts'!$D$20="Avalanche",'Avalanche workings'!$AK$271,'Snowball workings'!$AK$271))</f>
      </c>
      <c r="Q269" s="30">
        <f>IF(OR(264&gt;$Z$1,NOT(OR('Your debts'!$B$11&lt;&gt;"",N('Your debts'!$C$11)&gt;0))),"",IF('Your debts'!$D$20="Avalanche",'Avalanche workings'!$AU$271,'Snowball workings'!$AU$271))</f>
      </c>
      <c r="R269" s="29">
        <f>IF(OR(264&gt;$Z$1,NOT(OR('Your debts'!$B$12&lt;&gt;"",N('Your debts'!$C$12)&gt;0))),"",IF('Your debts'!$D$20="Avalanche",'Avalanche workings'!$R$271,'Snowball workings'!$R$271)+IF('Your debts'!$D$20="Avalanche",'Avalanche workings'!$AL$271,'Snowball workings'!$AL$271))</f>
      </c>
      <c r="S269" s="30">
        <f>IF(OR(264&gt;$Z$1,NOT(OR('Your debts'!$B$12&lt;&gt;"",N('Your debts'!$C$12)&gt;0))),"",IF('Your debts'!$D$20="Avalanche",'Avalanche workings'!$AV$271,'Snowball workings'!$AV$271))</f>
      </c>
      <c r="T269" s="29">
        <f>IF(OR(264&gt;$Z$1,NOT(OR('Your debts'!$B$13&lt;&gt;"",N('Your debts'!$C$13)&gt;0))),"",IF('Your debts'!$D$20="Avalanche",'Avalanche workings'!$S$271,'Snowball workings'!$S$271)+IF('Your debts'!$D$20="Avalanche",'Avalanche workings'!$AM$271,'Snowball workings'!$AM$271))</f>
      </c>
      <c r="U269" s="30">
        <f>IF(OR(264&gt;$Z$1,NOT(OR('Your debts'!$B$13&lt;&gt;"",N('Your debts'!$C$13)&gt;0))),"",IF('Your debts'!$D$20="Avalanche",'Avalanche workings'!$AW$271,'Snowball workings'!$AW$271))</f>
      </c>
      <c r="V269" s="29">
        <f>IF(OR(264&gt;$Z$1,NOT(OR('Your debts'!$B$14&lt;&gt;"",N('Your debts'!$C$14)&gt;0))),"",IF('Your debts'!$D$20="Avalanche",'Avalanche workings'!$T$271,'Snowball workings'!$T$271)+IF('Your debts'!$D$20="Avalanche",'Avalanche workings'!$AN$271,'Snowball workings'!$AN$271))</f>
      </c>
      <c r="W269" s="30">
        <f>IF(OR(264&gt;$Z$1,NOT(OR('Your debts'!$B$14&lt;&gt;"",N('Your debts'!$C$14)&gt;0))),"",IF('Your debts'!$D$20="Avalanche",'Avalanche workings'!$AX$271,'Snowball workings'!$AX$271))</f>
      </c>
      <c r="X269" s="29">
        <f>IF(OR(264&gt;$Z$1,NOT(OR('Your debts'!$B$15&lt;&gt;"",N('Your debts'!$C$15)&gt;0))),"",IF('Your debts'!$D$20="Avalanche",'Avalanche workings'!$U$271,'Snowball workings'!$U$271)+IF('Your debts'!$D$20="Avalanche",'Avalanche workings'!$AO$271,'Snowball workings'!$AO$271))</f>
      </c>
      <c r="Y269" s="30">
        <f>IF(OR(264&gt;$Z$1,NOT(OR('Your debts'!$B$15&lt;&gt;"",N('Your debts'!$C$15)&gt;0))),"",IF('Your debts'!$D$20="Avalanche",'Avalanche workings'!$AY$271,'Snowball workings'!$AY$271))</f>
      </c>
    </row>
    <row r="270" spans="1:25" x14ac:dyDescent="0.25">
      <c r="A270" s="2">
        <f>IF(265&gt;$Z$1,"",265)</f>
      </c>
      <c r="B270" s="28">
        <f>IF(265&gt;$Z$1,"",EDATE('Your debts'!$D$21,264))</f>
      </c>
      <c r="C270" s="29">
        <f>IF(265&gt;$Z$1,"",IF('Your debts'!$D$20="Avalanche",'Avalanche workings'!$BC$272,'Snowball workings'!$BC$272))</f>
      </c>
      <c r="D270" s="29">
        <f>IF(265&gt;$Z$1,"",IF('Your debts'!$D$20="Avalanche",'Avalanche workings'!$BA$272,'Snowball workings'!$BA$272))</f>
      </c>
      <c r="E270" s="29">
        <f>IF(265&gt;$Z$1,"",IF('Your debts'!$D$20="Avalanche",'Avalanche workings'!$BB$272,'Snowball workings'!$BB$272))</f>
      </c>
      <c r="F270" s="29">
        <f>IF(OR(265&gt;$Z$1,NOT(OR('Your debts'!$B$6&lt;&gt;"",N('Your debts'!$C$6)&gt;0))),"",IF('Your debts'!$D$20="Avalanche",'Avalanche workings'!$L$272,'Snowball workings'!$L$272)+IF('Your debts'!$D$20="Avalanche",'Avalanche workings'!$AF$272,'Snowball workings'!$AF$272))</f>
      </c>
      <c r="G270" s="30">
        <f>IF(OR(265&gt;$Z$1,NOT(OR('Your debts'!$B$6&lt;&gt;"",N('Your debts'!$C$6)&gt;0))),"",IF('Your debts'!$D$20="Avalanche",'Avalanche workings'!$AP$272,'Snowball workings'!$AP$272))</f>
      </c>
      <c r="H270" s="29">
        <f>IF(OR(265&gt;$Z$1,NOT(OR('Your debts'!$B$7&lt;&gt;"",N('Your debts'!$C$7)&gt;0))),"",IF('Your debts'!$D$20="Avalanche",'Avalanche workings'!$M$272,'Snowball workings'!$M$272)+IF('Your debts'!$D$20="Avalanche",'Avalanche workings'!$AG$272,'Snowball workings'!$AG$272))</f>
      </c>
      <c r="I270" s="30">
        <f>IF(OR(265&gt;$Z$1,NOT(OR('Your debts'!$B$7&lt;&gt;"",N('Your debts'!$C$7)&gt;0))),"",IF('Your debts'!$D$20="Avalanche",'Avalanche workings'!$AQ$272,'Snowball workings'!$AQ$272))</f>
      </c>
      <c r="J270" s="29">
        <f>IF(OR(265&gt;$Z$1,NOT(OR('Your debts'!$B$8&lt;&gt;"",N('Your debts'!$C$8)&gt;0))),"",IF('Your debts'!$D$20="Avalanche",'Avalanche workings'!$N$272,'Snowball workings'!$N$272)+IF('Your debts'!$D$20="Avalanche",'Avalanche workings'!$AH$272,'Snowball workings'!$AH$272))</f>
      </c>
      <c r="K270" s="30">
        <f>IF(OR(265&gt;$Z$1,NOT(OR('Your debts'!$B$8&lt;&gt;"",N('Your debts'!$C$8)&gt;0))),"",IF('Your debts'!$D$20="Avalanche",'Avalanche workings'!$AR$272,'Snowball workings'!$AR$272))</f>
      </c>
      <c r="L270" s="29">
        <f>IF(OR(265&gt;$Z$1,NOT(OR('Your debts'!$B$9&lt;&gt;"",N('Your debts'!$C$9)&gt;0))),"",IF('Your debts'!$D$20="Avalanche",'Avalanche workings'!$O$272,'Snowball workings'!$O$272)+IF('Your debts'!$D$20="Avalanche",'Avalanche workings'!$AI$272,'Snowball workings'!$AI$272))</f>
      </c>
      <c r="M270" s="30">
        <f>IF(OR(265&gt;$Z$1,NOT(OR('Your debts'!$B$9&lt;&gt;"",N('Your debts'!$C$9)&gt;0))),"",IF('Your debts'!$D$20="Avalanche",'Avalanche workings'!$AS$272,'Snowball workings'!$AS$272))</f>
      </c>
      <c r="N270" s="29">
        <f>IF(OR(265&gt;$Z$1,NOT(OR('Your debts'!$B$10&lt;&gt;"",N('Your debts'!$C$10)&gt;0))),"",IF('Your debts'!$D$20="Avalanche",'Avalanche workings'!$P$272,'Snowball workings'!$P$272)+IF('Your debts'!$D$20="Avalanche",'Avalanche workings'!$AJ$272,'Snowball workings'!$AJ$272))</f>
      </c>
      <c r="O270" s="30">
        <f>IF(OR(265&gt;$Z$1,NOT(OR('Your debts'!$B$10&lt;&gt;"",N('Your debts'!$C$10)&gt;0))),"",IF('Your debts'!$D$20="Avalanche",'Avalanche workings'!$AT$272,'Snowball workings'!$AT$272))</f>
      </c>
      <c r="P270" s="29">
        <f>IF(OR(265&gt;$Z$1,NOT(OR('Your debts'!$B$11&lt;&gt;"",N('Your debts'!$C$11)&gt;0))),"",IF('Your debts'!$D$20="Avalanche",'Avalanche workings'!$Q$272,'Snowball workings'!$Q$272)+IF('Your debts'!$D$20="Avalanche",'Avalanche workings'!$AK$272,'Snowball workings'!$AK$272))</f>
      </c>
      <c r="Q270" s="30">
        <f>IF(OR(265&gt;$Z$1,NOT(OR('Your debts'!$B$11&lt;&gt;"",N('Your debts'!$C$11)&gt;0))),"",IF('Your debts'!$D$20="Avalanche",'Avalanche workings'!$AU$272,'Snowball workings'!$AU$272))</f>
      </c>
      <c r="R270" s="29">
        <f>IF(OR(265&gt;$Z$1,NOT(OR('Your debts'!$B$12&lt;&gt;"",N('Your debts'!$C$12)&gt;0))),"",IF('Your debts'!$D$20="Avalanche",'Avalanche workings'!$R$272,'Snowball workings'!$R$272)+IF('Your debts'!$D$20="Avalanche",'Avalanche workings'!$AL$272,'Snowball workings'!$AL$272))</f>
      </c>
      <c r="S270" s="30">
        <f>IF(OR(265&gt;$Z$1,NOT(OR('Your debts'!$B$12&lt;&gt;"",N('Your debts'!$C$12)&gt;0))),"",IF('Your debts'!$D$20="Avalanche",'Avalanche workings'!$AV$272,'Snowball workings'!$AV$272))</f>
      </c>
      <c r="T270" s="29">
        <f>IF(OR(265&gt;$Z$1,NOT(OR('Your debts'!$B$13&lt;&gt;"",N('Your debts'!$C$13)&gt;0))),"",IF('Your debts'!$D$20="Avalanche",'Avalanche workings'!$S$272,'Snowball workings'!$S$272)+IF('Your debts'!$D$20="Avalanche",'Avalanche workings'!$AM$272,'Snowball workings'!$AM$272))</f>
      </c>
      <c r="U270" s="30">
        <f>IF(OR(265&gt;$Z$1,NOT(OR('Your debts'!$B$13&lt;&gt;"",N('Your debts'!$C$13)&gt;0))),"",IF('Your debts'!$D$20="Avalanche",'Avalanche workings'!$AW$272,'Snowball workings'!$AW$272))</f>
      </c>
      <c r="V270" s="29">
        <f>IF(OR(265&gt;$Z$1,NOT(OR('Your debts'!$B$14&lt;&gt;"",N('Your debts'!$C$14)&gt;0))),"",IF('Your debts'!$D$20="Avalanche",'Avalanche workings'!$T$272,'Snowball workings'!$T$272)+IF('Your debts'!$D$20="Avalanche",'Avalanche workings'!$AN$272,'Snowball workings'!$AN$272))</f>
      </c>
      <c r="W270" s="30">
        <f>IF(OR(265&gt;$Z$1,NOT(OR('Your debts'!$B$14&lt;&gt;"",N('Your debts'!$C$14)&gt;0))),"",IF('Your debts'!$D$20="Avalanche",'Avalanche workings'!$AX$272,'Snowball workings'!$AX$272))</f>
      </c>
      <c r="X270" s="29">
        <f>IF(OR(265&gt;$Z$1,NOT(OR('Your debts'!$B$15&lt;&gt;"",N('Your debts'!$C$15)&gt;0))),"",IF('Your debts'!$D$20="Avalanche",'Avalanche workings'!$U$272,'Snowball workings'!$U$272)+IF('Your debts'!$D$20="Avalanche",'Avalanche workings'!$AO$272,'Snowball workings'!$AO$272))</f>
      </c>
      <c r="Y270" s="30">
        <f>IF(OR(265&gt;$Z$1,NOT(OR('Your debts'!$B$15&lt;&gt;"",N('Your debts'!$C$15)&gt;0))),"",IF('Your debts'!$D$20="Avalanche",'Avalanche workings'!$AY$272,'Snowball workings'!$AY$272))</f>
      </c>
    </row>
    <row r="271" spans="1:25" x14ac:dyDescent="0.25">
      <c r="A271" s="2">
        <f>IF(266&gt;$Z$1,"",266)</f>
      </c>
      <c r="B271" s="28">
        <f>IF(266&gt;$Z$1,"",EDATE('Your debts'!$D$21,265))</f>
      </c>
      <c r="C271" s="29">
        <f>IF(266&gt;$Z$1,"",IF('Your debts'!$D$20="Avalanche",'Avalanche workings'!$BC$273,'Snowball workings'!$BC$273))</f>
      </c>
      <c r="D271" s="29">
        <f>IF(266&gt;$Z$1,"",IF('Your debts'!$D$20="Avalanche",'Avalanche workings'!$BA$273,'Snowball workings'!$BA$273))</f>
      </c>
      <c r="E271" s="29">
        <f>IF(266&gt;$Z$1,"",IF('Your debts'!$D$20="Avalanche",'Avalanche workings'!$BB$273,'Snowball workings'!$BB$273))</f>
      </c>
      <c r="F271" s="29">
        <f>IF(OR(266&gt;$Z$1,NOT(OR('Your debts'!$B$6&lt;&gt;"",N('Your debts'!$C$6)&gt;0))),"",IF('Your debts'!$D$20="Avalanche",'Avalanche workings'!$L$273,'Snowball workings'!$L$273)+IF('Your debts'!$D$20="Avalanche",'Avalanche workings'!$AF$273,'Snowball workings'!$AF$273))</f>
      </c>
      <c r="G271" s="30">
        <f>IF(OR(266&gt;$Z$1,NOT(OR('Your debts'!$B$6&lt;&gt;"",N('Your debts'!$C$6)&gt;0))),"",IF('Your debts'!$D$20="Avalanche",'Avalanche workings'!$AP$273,'Snowball workings'!$AP$273))</f>
      </c>
      <c r="H271" s="29">
        <f>IF(OR(266&gt;$Z$1,NOT(OR('Your debts'!$B$7&lt;&gt;"",N('Your debts'!$C$7)&gt;0))),"",IF('Your debts'!$D$20="Avalanche",'Avalanche workings'!$M$273,'Snowball workings'!$M$273)+IF('Your debts'!$D$20="Avalanche",'Avalanche workings'!$AG$273,'Snowball workings'!$AG$273))</f>
      </c>
      <c r="I271" s="30">
        <f>IF(OR(266&gt;$Z$1,NOT(OR('Your debts'!$B$7&lt;&gt;"",N('Your debts'!$C$7)&gt;0))),"",IF('Your debts'!$D$20="Avalanche",'Avalanche workings'!$AQ$273,'Snowball workings'!$AQ$273))</f>
      </c>
      <c r="J271" s="29">
        <f>IF(OR(266&gt;$Z$1,NOT(OR('Your debts'!$B$8&lt;&gt;"",N('Your debts'!$C$8)&gt;0))),"",IF('Your debts'!$D$20="Avalanche",'Avalanche workings'!$N$273,'Snowball workings'!$N$273)+IF('Your debts'!$D$20="Avalanche",'Avalanche workings'!$AH$273,'Snowball workings'!$AH$273))</f>
      </c>
      <c r="K271" s="30">
        <f>IF(OR(266&gt;$Z$1,NOT(OR('Your debts'!$B$8&lt;&gt;"",N('Your debts'!$C$8)&gt;0))),"",IF('Your debts'!$D$20="Avalanche",'Avalanche workings'!$AR$273,'Snowball workings'!$AR$273))</f>
      </c>
      <c r="L271" s="29">
        <f>IF(OR(266&gt;$Z$1,NOT(OR('Your debts'!$B$9&lt;&gt;"",N('Your debts'!$C$9)&gt;0))),"",IF('Your debts'!$D$20="Avalanche",'Avalanche workings'!$O$273,'Snowball workings'!$O$273)+IF('Your debts'!$D$20="Avalanche",'Avalanche workings'!$AI$273,'Snowball workings'!$AI$273))</f>
      </c>
      <c r="M271" s="30">
        <f>IF(OR(266&gt;$Z$1,NOT(OR('Your debts'!$B$9&lt;&gt;"",N('Your debts'!$C$9)&gt;0))),"",IF('Your debts'!$D$20="Avalanche",'Avalanche workings'!$AS$273,'Snowball workings'!$AS$273))</f>
      </c>
      <c r="N271" s="29">
        <f>IF(OR(266&gt;$Z$1,NOT(OR('Your debts'!$B$10&lt;&gt;"",N('Your debts'!$C$10)&gt;0))),"",IF('Your debts'!$D$20="Avalanche",'Avalanche workings'!$P$273,'Snowball workings'!$P$273)+IF('Your debts'!$D$20="Avalanche",'Avalanche workings'!$AJ$273,'Snowball workings'!$AJ$273))</f>
      </c>
      <c r="O271" s="30">
        <f>IF(OR(266&gt;$Z$1,NOT(OR('Your debts'!$B$10&lt;&gt;"",N('Your debts'!$C$10)&gt;0))),"",IF('Your debts'!$D$20="Avalanche",'Avalanche workings'!$AT$273,'Snowball workings'!$AT$273))</f>
      </c>
      <c r="P271" s="29">
        <f>IF(OR(266&gt;$Z$1,NOT(OR('Your debts'!$B$11&lt;&gt;"",N('Your debts'!$C$11)&gt;0))),"",IF('Your debts'!$D$20="Avalanche",'Avalanche workings'!$Q$273,'Snowball workings'!$Q$273)+IF('Your debts'!$D$20="Avalanche",'Avalanche workings'!$AK$273,'Snowball workings'!$AK$273))</f>
      </c>
      <c r="Q271" s="30">
        <f>IF(OR(266&gt;$Z$1,NOT(OR('Your debts'!$B$11&lt;&gt;"",N('Your debts'!$C$11)&gt;0))),"",IF('Your debts'!$D$20="Avalanche",'Avalanche workings'!$AU$273,'Snowball workings'!$AU$273))</f>
      </c>
      <c r="R271" s="29">
        <f>IF(OR(266&gt;$Z$1,NOT(OR('Your debts'!$B$12&lt;&gt;"",N('Your debts'!$C$12)&gt;0))),"",IF('Your debts'!$D$20="Avalanche",'Avalanche workings'!$R$273,'Snowball workings'!$R$273)+IF('Your debts'!$D$20="Avalanche",'Avalanche workings'!$AL$273,'Snowball workings'!$AL$273))</f>
      </c>
      <c r="S271" s="30">
        <f>IF(OR(266&gt;$Z$1,NOT(OR('Your debts'!$B$12&lt;&gt;"",N('Your debts'!$C$12)&gt;0))),"",IF('Your debts'!$D$20="Avalanche",'Avalanche workings'!$AV$273,'Snowball workings'!$AV$273))</f>
      </c>
      <c r="T271" s="29">
        <f>IF(OR(266&gt;$Z$1,NOT(OR('Your debts'!$B$13&lt;&gt;"",N('Your debts'!$C$13)&gt;0))),"",IF('Your debts'!$D$20="Avalanche",'Avalanche workings'!$S$273,'Snowball workings'!$S$273)+IF('Your debts'!$D$20="Avalanche",'Avalanche workings'!$AM$273,'Snowball workings'!$AM$273))</f>
      </c>
      <c r="U271" s="30">
        <f>IF(OR(266&gt;$Z$1,NOT(OR('Your debts'!$B$13&lt;&gt;"",N('Your debts'!$C$13)&gt;0))),"",IF('Your debts'!$D$20="Avalanche",'Avalanche workings'!$AW$273,'Snowball workings'!$AW$273))</f>
      </c>
      <c r="V271" s="29">
        <f>IF(OR(266&gt;$Z$1,NOT(OR('Your debts'!$B$14&lt;&gt;"",N('Your debts'!$C$14)&gt;0))),"",IF('Your debts'!$D$20="Avalanche",'Avalanche workings'!$T$273,'Snowball workings'!$T$273)+IF('Your debts'!$D$20="Avalanche",'Avalanche workings'!$AN$273,'Snowball workings'!$AN$273))</f>
      </c>
      <c r="W271" s="30">
        <f>IF(OR(266&gt;$Z$1,NOT(OR('Your debts'!$B$14&lt;&gt;"",N('Your debts'!$C$14)&gt;0))),"",IF('Your debts'!$D$20="Avalanche",'Avalanche workings'!$AX$273,'Snowball workings'!$AX$273))</f>
      </c>
      <c r="X271" s="29">
        <f>IF(OR(266&gt;$Z$1,NOT(OR('Your debts'!$B$15&lt;&gt;"",N('Your debts'!$C$15)&gt;0))),"",IF('Your debts'!$D$20="Avalanche",'Avalanche workings'!$U$273,'Snowball workings'!$U$273)+IF('Your debts'!$D$20="Avalanche",'Avalanche workings'!$AO$273,'Snowball workings'!$AO$273))</f>
      </c>
      <c r="Y271" s="30">
        <f>IF(OR(266&gt;$Z$1,NOT(OR('Your debts'!$B$15&lt;&gt;"",N('Your debts'!$C$15)&gt;0))),"",IF('Your debts'!$D$20="Avalanche",'Avalanche workings'!$AY$273,'Snowball workings'!$AY$273))</f>
      </c>
    </row>
    <row r="272" spans="1:25" x14ac:dyDescent="0.25">
      <c r="A272" s="2">
        <f>IF(267&gt;$Z$1,"",267)</f>
      </c>
      <c r="B272" s="28">
        <f>IF(267&gt;$Z$1,"",EDATE('Your debts'!$D$21,266))</f>
      </c>
      <c r="C272" s="29">
        <f>IF(267&gt;$Z$1,"",IF('Your debts'!$D$20="Avalanche",'Avalanche workings'!$BC$274,'Snowball workings'!$BC$274))</f>
      </c>
      <c r="D272" s="29">
        <f>IF(267&gt;$Z$1,"",IF('Your debts'!$D$20="Avalanche",'Avalanche workings'!$BA$274,'Snowball workings'!$BA$274))</f>
      </c>
      <c r="E272" s="29">
        <f>IF(267&gt;$Z$1,"",IF('Your debts'!$D$20="Avalanche",'Avalanche workings'!$BB$274,'Snowball workings'!$BB$274))</f>
      </c>
      <c r="F272" s="29">
        <f>IF(OR(267&gt;$Z$1,NOT(OR('Your debts'!$B$6&lt;&gt;"",N('Your debts'!$C$6)&gt;0))),"",IF('Your debts'!$D$20="Avalanche",'Avalanche workings'!$L$274,'Snowball workings'!$L$274)+IF('Your debts'!$D$20="Avalanche",'Avalanche workings'!$AF$274,'Snowball workings'!$AF$274))</f>
      </c>
      <c r="G272" s="30">
        <f>IF(OR(267&gt;$Z$1,NOT(OR('Your debts'!$B$6&lt;&gt;"",N('Your debts'!$C$6)&gt;0))),"",IF('Your debts'!$D$20="Avalanche",'Avalanche workings'!$AP$274,'Snowball workings'!$AP$274))</f>
      </c>
      <c r="H272" s="29">
        <f>IF(OR(267&gt;$Z$1,NOT(OR('Your debts'!$B$7&lt;&gt;"",N('Your debts'!$C$7)&gt;0))),"",IF('Your debts'!$D$20="Avalanche",'Avalanche workings'!$M$274,'Snowball workings'!$M$274)+IF('Your debts'!$D$20="Avalanche",'Avalanche workings'!$AG$274,'Snowball workings'!$AG$274))</f>
      </c>
      <c r="I272" s="30">
        <f>IF(OR(267&gt;$Z$1,NOT(OR('Your debts'!$B$7&lt;&gt;"",N('Your debts'!$C$7)&gt;0))),"",IF('Your debts'!$D$20="Avalanche",'Avalanche workings'!$AQ$274,'Snowball workings'!$AQ$274))</f>
      </c>
      <c r="J272" s="29">
        <f>IF(OR(267&gt;$Z$1,NOT(OR('Your debts'!$B$8&lt;&gt;"",N('Your debts'!$C$8)&gt;0))),"",IF('Your debts'!$D$20="Avalanche",'Avalanche workings'!$N$274,'Snowball workings'!$N$274)+IF('Your debts'!$D$20="Avalanche",'Avalanche workings'!$AH$274,'Snowball workings'!$AH$274))</f>
      </c>
      <c r="K272" s="30">
        <f>IF(OR(267&gt;$Z$1,NOT(OR('Your debts'!$B$8&lt;&gt;"",N('Your debts'!$C$8)&gt;0))),"",IF('Your debts'!$D$20="Avalanche",'Avalanche workings'!$AR$274,'Snowball workings'!$AR$274))</f>
      </c>
      <c r="L272" s="29">
        <f>IF(OR(267&gt;$Z$1,NOT(OR('Your debts'!$B$9&lt;&gt;"",N('Your debts'!$C$9)&gt;0))),"",IF('Your debts'!$D$20="Avalanche",'Avalanche workings'!$O$274,'Snowball workings'!$O$274)+IF('Your debts'!$D$20="Avalanche",'Avalanche workings'!$AI$274,'Snowball workings'!$AI$274))</f>
      </c>
      <c r="M272" s="30">
        <f>IF(OR(267&gt;$Z$1,NOT(OR('Your debts'!$B$9&lt;&gt;"",N('Your debts'!$C$9)&gt;0))),"",IF('Your debts'!$D$20="Avalanche",'Avalanche workings'!$AS$274,'Snowball workings'!$AS$274))</f>
      </c>
      <c r="N272" s="29">
        <f>IF(OR(267&gt;$Z$1,NOT(OR('Your debts'!$B$10&lt;&gt;"",N('Your debts'!$C$10)&gt;0))),"",IF('Your debts'!$D$20="Avalanche",'Avalanche workings'!$P$274,'Snowball workings'!$P$274)+IF('Your debts'!$D$20="Avalanche",'Avalanche workings'!$AJ$274,'Snowball workings'!$AJ$274))</f>
      </c>
      <c r="O272" s="30">
        <f>IF(OR(267&gt;$Z$1,NOT(OR('Your debts'!$B$10&lt;&gt;"",N('Your debts'!$C$10)&gt;0))),"",IF('Your debts'!$D$20="Avalanche",'Avalanche workings'!$AT$274,'Snowball workings'!$AT$274))</f>
      </c>
      <c r="P272" s="29">
        <f>IF(OR(267&gt;$Z$1,NOT(OR('Your debts'!$B$11&lt;&gt;"",N('Your debts'!$C$11)&gt;0))),"",IF('Your debts'!$D$20="Avalanche",'Avalanche workings'!$Q$274,'Snowball workings'!$Q$274)+IF('Your debts'!$D$20="Avalanche",'Avalanche workings'!$AK$274,'Snowball workings'!$AK$274))</f>
      </c>
      <c r="Q272" s="30">
        <f>IF(OR(267&gt;$Z$1,NOT(OR('Your debts'!$B$11&lt;&gt;"",N('Your debts'!$C$11)&gt;0))),"",IF('Your debts'!$D$20="Avalanche",'Avalanche workings'!$AU$274,'Snowball workings'!$AU$274))</f>
      </c>
      <c r="R272" s="29">
        <f>IF(OR(267&gt;$Z$1,NOT(OR('Your debts'!$B$12&lt;&gt;"",N('Your debts'!$C$12)&gt;0))),"",IF('Your debts'!$D$20="Avalanche",'Avalanche workings'!$R$274,'Snowball workings'!$R$274)+IF('Your debts'!$D$20="Avalanche",'Avalanche workings'!$AL$274,'Snowball workings'!$AL$274))</f>
      </c>
      <c r="S272" s="30">
        <f>IF(OR(267&gt;$Z$1,NOT(OR('Your debts'!$B$12&lt;&gt;"",N('Your debts'!$C$12)&gt;0))),"",IF('Your debts'!$D$20="Avalanche",'Avalanche workings'!$AV$274,'Snowball workings'!$AV$274))</f>
      </c>
      <c r="T272" s="29">
        <f>IF(OR(267&gt;$Z$1,NOT(OR('Your debts'!$B$13&lt;&gt;"",N('Your debts'!$C$13)&gt;0))),"",IF('Your debts'!$D$20="Avalanche",'Avalanche workings'!$S$274,'Snowball workings'!$S$274)+IF('Your debts'!$D$20="Avalanche",'Avalanche workings'!$AM$274,'Snowball workings'!$AM$274))</f>
      </c>
      <c r="U272" s="30">
        <f>IF(OR(267&gt;$Z$1,NOT(OR('Your debts'!$B$13&lt;&gt;"",N('Your debts'!$C$13)&gt;0))),"",IF('Your debts'!$D$20="Avalanche",'Avalanche workings'!$AW$274,'Snowball workings'!$AW$274))</f>
      </c>
      <c r="V272" s="29">
        <f>IF(OR(267&gt;$Z$1,NOT(OR('Your debts'!$B$14&lt;&gt;"",N('Your debts'!$C$14)&gt;0))),"",IF('Your debts'!$D$20="Avalanche",'Avalanche workings'!$T$274,'Snowball workings'!$T$274)+IF('Your debts'!$D$20="Avalanche",'Avalanche workings'!$AN$274,'Snowball workings'!$AN$274))</f>
      </c>
      <c r="W272" s="30">
        <f>IF(OR(267&gt;$Z$1,NOT(OR('Your debts'!$B$14&lt;&gt;"",N('Your debts'!$C$14)&gt;0))),"",IF('Your debts'!$D$20="Avalanche",'Avalanche workings'!$AX$274,'Snowball workings'!$AX$274))</f>
      </c>
      <c r="X272" s="29">
        <f>IF(OR(267&gt;$Z$1,NOT(OR('Your debts'!$B$15&lt;&gt;"",N('Your debts'!$C$15)&gt;0))),"",IF('Your debts'!$D$20="Avalanche",'Avalanche workings'!$U$274,'Snowball workings'!$U$274)+IF('Your debts'!$D$20="Avalanche",'Avalanche workings'!$AO$274,'Snowball workings'!$AO$274))</f>
      </c>
      <c r="Y272" s="30">
        <f>IF(OR(267&gt;$Z$1,NOT(OR('Your debts'!$B$15&lt;&gt;"",N('Your debts'!$C$15)&gt;0))),"",IF('Your debts'!$D$20="Avalanche",'Avalanche workings'!$AY$274,'Snowball workings'!$AY$274))</f>
      </c>
    </row>
    <row r="273" spans="1:25" x14ac:dyDescent="0.25">
      <c r="A273" s="2">
        <f>IF(268&gt;$Z$1,"",268)</f>
      </c>
      <c r="B273" s="28">
        <f>IF(268&gt;$Z$1,"",EDATE('Your debts'!$D$21,267))</f>
      </c>
      <c r="C273" s="29">
        <f>IF(268&gt;$Z$1,"",IF('Your debts'!$D$20="Avalanche",'Avalanche workings'!$BC$275,'Snowball workings'!$BC$275))</f>
      </c>
      <c r="D273" s="29">
        <f>IF(268&gt;$Z$1,"",IF('Your debts'!$D$20="Avalanche",'Avalanche workings'!$BA$275,'Snowball workings'!$BA$275))</f>
      </c>
      <c r="E273" s="29">
        <f>IF(268&gt;$Z$1,"",IF('Your debts'!$D$20="Avalanche",'Avalanche workings'!$BB$275,'Snowball workings'!$BB$275))</f>
      </c>
      <c r="F273" s="29">
        <f>IF(OR(268&gt;$Z$1,NOT(OR('Your debts'!$B$6&lt;&gt;"",N('Your debts'!$C$6)&gt;0))),"",IF('Your debts'!$D$20="Avalanche",'Avalanche workings'!$L$275,'Snowball workings'!$L$275)+IF('Your debts'!$D$20="Avalanche",'Avalanche workings'!$AF$275,'Snowball workings'!$AF$275))</f>
      </c>
      <c r="G273" s="30">
        <f>IF(OR(268&gt;$Z$1,NOT(OR('Your debts'!$B$6&lt;&gt;"",N('Your debts'!$C$6)&gt;0))),"",IF('Your debts'!$D$20="Avalanche",'Avalanche workings'!$AP$275,'Snowball workings'!$AP$275))</f>
      </c>
      <c r="H273" s="29">
        <f>IF(OR(268&gt;$Z$1,NOT(OR('Your debts'!$B$7&lt;&gt;"",N('Your debts'!$C$7)&gt;0))),"",IF('Your debts'!$D$20="Avalanche",'Avalanche workings'!$M$275,'Snowball workings'!$M$275)+IF('Your debts'!$D$20="Avalanche",'Avalanche workings'!$AG$275,'Snowball workings'!$AG$275))</f>
      </c>
      <c r="I273" s="30">
        <f>IF(OR(268&gt;$Z$1,NOT(OR('Your debts'!$B$7&lt;&gt;"",N('Your debts'!$C$7)&gt;0))),"",IF('Your debts'!$D$20="Avalanche",'Avalanche workings'!$AQ$275,'Snowball workings'!$AQ$275))</f>
      </c>
      <c r="J273" s="29">
        <f>IF(OR(268&gt;$Z$1,NOT(OR('Your debts'!$B$8&lt;&gt;"",N('Your debts'!$C$8)&gt;0))),"",IF('Your debts'!$D$20="Avalanche",'Avalanche workings'!$N$275,'Snowball workings'!$N$275)+IF('Your debts'!$D$20="Avalanche",'Avalanche workings'!$AH$275,'Snowball workings'!$AH$275))</f>
      </c>
      <c r="K273" s="30">
        <f>IF(OR(268&gt;$Z$1,NOT(OR('Your debts'!$B$8&lt;&gt;"",N('Your debts'!$C$8)&gt;0))),"",IF('Your debts'!$D$20="Avalanche",'Avalanche workings'!$AR$275,'Snowball workings'!$AR$275))</f>
      </c>
      <c r="L273" s="29">
        <f>IF(OR(268&gt;$Z$1,NOT(OR('Your debts'!$B$9&lt;&gt;"",N('Your debts'!$C$9)&gt;0))),"",IF('Your debts'!$D$20="Avalanche",'Avalanche workings'!$O$275,'Snowball workings'!$O$275)+IF('Your debts'!$D$20="Avalanche",'Avalanche workings'!$AI$275,'Snowball workings'!$AI$275))</f>
      </c>
      <c r="M273" s="30">
        <f>IF(OR(268&gt;$Z$1,NOT(OR('Your debts'!$B$9&lt;&gt;"",N('Your debts'!$C$9)&gt;0))),"",IF('Your debts'!$D$20="Avalanche",'Avalanche workings'!$AS$275,'Snowball workings'!$AS$275))</f>
      </c>
      <c r="N273" s="29">
        <f>IF(OR(268&gt;$Z$1,NOT(OR('Your debts'!$B$10&lt;&gt;"",N('Your debts'!$C$10)&gt;0))),"",IF('Your debts'!$D$20="Avalanche",'Avalanche workings'!$P$275,'Snowball workings'!$P$275)+IF('Your debts'!$D$20="Avalanche",'Avalanche workings'!$AJ$275,'Snowball workings'!$AJ$275))</f>
      </c>
      <c r="O273" s="30">
        <f>IF(OR(268&gt;$Z$1,NOT(OR('Your debts'!$B$10&lt;&gt;"",N('Your debts'!$C$10)&gt;0))),"",IF('Your debts'!$D$20="Avalanche",'Avalanche workings'!$AT$275,'Snowball workings'!$AT$275))</f>
      </c>
      <c r="P273" s="29">
        <f>IF(OR(268&gt;$Z$1,NOT(OR('Your debts'!$B$11&lt;&gt;"",N('Your debts'!$C$11)&gt;0))),"",IF('Your debts'!$D$20="Avalanche",'Avalanche workings'!$Q$275,'Snowball workings'!$Q$275)+IF('Your debts'!$D$20="Avalanche",'Avalanche workings'!$AK$275,'Snowball workings'!$AK$275))</f>
      </c>
      <c r="Q273" s="30">
        <f>IF(OR(268&gt;$Z$1,NOT(OR('Your debts'!$B$11&lt;&gt;"",N('Your debts'!$C$11)&gt;0))),"",IF('Your debts'!$D$20="Avalanche",'Avalanche workings'!$AU$275,'Snowball workings'!$AU$275))</f>
      </c>
      <c r="R273" s="29">
        <f>IF(OR(268&gt;$Z$1,NOT(OR('Your debts'!$B$12&lt;&gt;"",N('Your debts'!$C$12)&gt;0))),"",IF('Your debts'!$D$20="Avalanche",'Avalanche workings'!$R$275,'Snowball workings'!$R$275)+IF('Your debts'!$D$20="Avalanche",'Avalanche workings'!$AL$275,'Snowball workings'!$AL$275))</f>
      </c>
      <c r="S273" s="30">
        <f>IF(OR(268&gt;$Z$1,NOT(OR('Your debts'!$B$12&lt;&gt;"",N('Your debts'!$C$12)&gt;0))),"",IF('Your debts'!$D$20="Avalanche",'Avalanche workings'!$AV$275,'Snowball workings'!$AV$275))</f>
      </c>
      <c r="T273" s="29">
        <f>IF(OR(268&gt;$Z$1,NOT(OR('Your debts'!$B$13&lt;&gt;"",N('Your debts'!$C$13)&gt;0))),"",IF('Your debts'!$D$20="Avalanche",'Avalanche workings'!$S$275,'Snowball workings'!$S$275)+IF('Your debts'!$D$20="Avalanche",'Avalanche workings'!$AM$275,'Snowball workings'!$AM$275))</f>
      </c>
      <c r="U273" s="30">
        <f>IF(OR(268&gt;$Z$1,NOT(OR('Your debts'!$B$13&lt;&gt;"",N('Your debts'!$C$13)&gt;0))),"",IF('Your debts'!$D$20="Avalanche",'Avalanche workings'!$AW$275,'Snowball workings'!$AW$275))</f>
      </c>
      <c r="V273" s="29">
        <f>IF(OR(268&gt;$Z$1,NOT(OR('Your debts'!$B$14&lt;&gt;"",N('Your debts'!$C$14)&gt;0))),"",IF('Your debts'!$D$20="Avalanche",'Avalanche workings'!$T$275,'Snowball workings'!$T$275)+IF('Your debts'!$D$20="Avalanche",'Avalanche workings'!$AN$275,'Snowball workings'!$AN$275))</f>
      </c>
      <c r="W273" s="30">
        <f>IF(OR(268&gt;$Z$1,NOT(OR('Your debts'!$B$14&lt;&gt;"",N('Your debts'!$C$14)&gt;0))),"",IF('Your debts'!$D$20="Avalanche",'Avalanche workings'!$AX$275,'Snowball workings'!$AX$275))</f>
      </c>
      <c r="X273" s="29">
        <f>IF(OR(268&gt;$Z$1,NOT(OR('Your debts'!$B$15&lt;&gt;"",N('Your debts'!$C$15)&gt;0))),"",IF('Your debts'!$D$20="Avalanche",'Avalanche workings'!$U$275,'Snowball workings'!$U$275)+IF('Your debts'!$D$20="Avalanche",'Avalanche workings'!$AO$275,'Snowball workings'!$AO$275))</f>
      </c>
      <c r="Y273" s="30">
        <f>IF(OR(268&gt;$Z$1,NOT(OR('Your debts'!$B$15&lt;&gt;"",N('Your debts'!$C$15)&gt;0))),"",IF('Your debts'!$D$20="Avalanche",'Avalanche workings'!$AY$275,'Snowball workings'!$AY$275))</f>
      </c>
    </row>
    <row r="274" spans="1:25" x14ac:dyDescent="0.25">
      <c r="A274" s="2">
        <f>IF(269&gt;$Z$1,"",269)</f>
      </c>
      <c r="B274" s="28">
        <f>IF(269&gt;$Z$1,"",EDATE('Your debts'!$D$21,268))</f>
      </c>
      <c r="C274" s="29">
        <f>IF(269&gt;$Z$1,"",IF('Your debts'!$D$20="Avalanche",'Avalanche workings'!$BC$276,'Snowball workings'!$BC$276))</f>
      </c>
      <c r="D274" s="29">
        <f>IF(269&gt;$Z$1,"",IF('Your debts'!$D$20="Avalanche",'Avalanche workings'!$BA$276,'Snowball workings'!$BA$276))</f>
      </c>
      <c r="E274" s="29">
        <f>IF(269&gt;$Z$1,"",IF('Your debts'!$D$20="Avalanche",'Avalanche workings'!$BB$276,'Snowball workings'!$BB$276))</f>
      </c>
      <c r="F274" s="29">
        <f>IF(OR(269&gt;$Z$1,NOT(OR('Your debts'!$B$6&lt;&gt;"",N('Your debts'!$C$6)&gt;0))),"",IF('Your debts'!$D$20="Avalanche",'Avalanche workings'!$L$276,'Snowball workings'!$L$276)+IF('Your debts'!$D$20="Avalanche",'Avalanche workings'!$AF$276,'Snowball workings'!$AF$276))</f>
      </c>
      <c r="G274" s="30">
        <f>IF(OR(269&gt;$Z$1,NOT(OR('Your debts'!$B$6&lt;&gt;"",N('Your debts'!$C$6)&gt;0))),"",IF('Your debts'!$D$20="Avalanche",'Avalanche workings'!$AP$276,'Snowball workings'!$AP$276))</f>
      </c>
      <c r="H274" s="29">
        <f>IF(OR(269&gt;$Z$1,NOT(OR('Your debts'!$B$7&lt;&gt;"",N('Your debts'!$C$7)&gt;0))),"",IF('Your debts'!$D$20="Avalanche",'Avalanche workings'!$M$276,'Snowball workings'!$M$276)+IF('Your debts'!$D$20="Avalanche",'Avalanche workings'!$AG$276,'Snowball workings'!$AG$276))</f>
      </c>
      <c r="I274" s="30">
        <f>IF(OR(269&gt;$Z$1,NOT(OR('Your debts'!$B$7&lt;&gt;"",N('Your debts'!$C$7)&gt;0))),"",IF('Your debts'!$D$20="Avalanche",'Avalanche workings'!$AQ$276,'Snowball workings'!$AQ$276))</f>
      </c>
      <c r="J274" s="29">
        <f>IF(OR(269&gt;$Z$1,NOT(OR('Your debts'!$B$8&lt;&gt;"",N('Your debts'!$C$8)&gt;0))),"",IF('Your debts'!$D$20="Avalanche",'Avalanche workings'!$N$276,'Snowball workings'!$N$276)+IF('Your debts'!$D$20="Avalanche",'Avalanche workings'!$AH$276,'Snowball workings'!$AH$276))</f>
      </c>
      <c r="K274" s="30">
        <f>IF(OR(269&gt;$Z$1,NOT(OR('Your debts'!$B$8&lt;&gt;"",N('Your debts'!$C$8)&gt;0))),"",IF('Your debts'!$D$20="Avalanche",'Avalanche workings'!$AR$276,'Snowball workings'!$AR$276))</f>
      </c>
      <c r="L274" s="29">
        <f>IF(OR(269&gt;$Z$1,NOT(OR('Your debts'!$B$9&lt;&gt;"",N('Your debts'!$C$9)&gt;0))),"",IF('Your debts'!$D$20="Avalanche",'Avalanche workings'!$O$276,'Snowball workings'!$O$276)+IF('Your debts'!$D$20="Avalanche",'Avalanche workings'!$AI$276,'Snowball workings'!$AI$276))</f>
      </c>
      <c r="M274" s="30">
        <f>IF(OR(269&gt;$Z$1,NOT(OR('Your debts'!$B$9&lt;&gt;"",N('Your debts'!$C$9)&gt;0))),"",IF('Your debts'!$D$20="Avalanche",'Avalanche workings'!$AS$276,'Snowball workings'!$AS$276))</f>
      </c>
      <c r="N274" s="29">
        <f>IF(OR(269&gt;$Z$1,NOT(OR('Your debts'!$B$10&lt;&gt;"",N('Your debts'!$C$10)&gt;0))),"",IF('Your debts'!$D$20="Avalanche",'Avalanche workings'!$P$276,'Snowball workings'!$P$276)+IF('Your debts'!$D$20="Avalanche",'Avalanche workings'!$AJ$276,'Snowball workings'!$AJ$276))</f>
      </c>
      <c r="O274" s="30">
        <f>IF(OR(269&gt;$Z$1,NOT(OR('Your debts'!$B$10&lt;&gt;"",N('Your debts'!$C$10)&gt;0))),"",IF('Your debts'!$D$20="Avalanche",'Avalanche workings'!$AT$276,'Snowball workings'!$AT$276))</f>
      </c>
      <c r="P274" s="29">
        <f>IF(OR(269&gt;$Z$1,NOT(OR('Your debts'!$B$11&lt;&gt;"",N('Your debts'!$C$11)&gt;0))),"",IF('Your debts'!$D$20="Avalanche",'Avalanche workings'!$Q$276,'Snowball workings'!$Q$276)+IF('Your debts'!$D$20="Avalanche",'Avalanche workings'!$AK$276,'Snowball workings'!$AK$276))</f>
      </c>
      <c r="Q274" s="30">
        <f>IF(OR(269&gt;$Z$1,NOT(OR('Your debts'!$B$11&lt;&gt;"",N('Your debts'!$C$11)&gt;0))),"",IF('Your debts'!$D$20="Avalanche",'Avalanche workings'!$AU$276,'Snowball workings'!$AU$276))</f>
      </c>
      <c r="R274" s="29">
        <f>IF(OR(269&gt;$Z$1,NOT(OR('Your debts'!$B$12&lt;&gt;"",N('Your debts'!$C$12)&gt;0))),"",IF('Your debts'!$D$20="Avalanche",'Avalanche workings'!$R$276,'Snowball workings'!$R$276)+IF('Your debts'!$D$20="Avalanche",'Avalanche workings'!$AL$276,'Snowball workings'!$AL$276))</f>
      </c>
      <c r="S274" s="30">
        <f>IF(OR(269&gt;$Z$1,NOT(OR('Your debts'!$B$12&lt;&gt;"",N('Your debts'!$C$12)&gt;0))),"",IF('Your debts'!$D$20="Avalanche",'Avalanche workings'!$AV$276,'Snowball workings'!$AV$276))</f>
      </c>
      <c r="T274" s="29">
        <f>IF(OR(269&gt;$Z$1,NOT(OR('Your debts'!$B$13&lt;&gt;"",N('Your debts'!$C$13)&gt;0))),"",IF('Your debts'!$D$20="Avalanche",'Avalanche workings'!$S$276,'Snowball workings'!$S$276)+IF('Your debts'!$D$20="Avalanche",'Avalanche workings'!$AM$276,'Snowball workings'!$AM$276))</f>
      </c>
      <c r="U274" s="30">
        <f>IF(OR(269&gt;$Z$1,NOT(OR('Your debts'!$B$13&lt;&gt;"",N('Your debts'!$C$13)&gt;0))),"",IF('Your debts'!$D$20="Avalanche",'Avalanche workings'!$AW$276,'Snowball workings'!$AW$276))</f>
      </c>
      <c r="V274" s="29">
        <f>IF(OR(269&gt;$Z$1,NOT(OR('Your debts'!$B$14&lt;&gt;"",N('Your debts'!$C$14)&gt;0))),"",IF('Your debts'!$D$20="Avalanche",'Avalanche workings'!$T$276,'Snowball workings'!$T$276)+IF('Your debts'!$D$20="Avalanche",'Avalanche workings'!$AN$276,'Snowball workings'!$AN$276))</f>
      </c>
      <c r="W274" s="30">
        <f>IF(OR(269&gt;$Z$1,NOT(OR('Your debts'!$B$14&lt;&gt;"",N('Your debts'!$C$14)&gt;0))),"",IF('Your debts'!$D$20="Avalanche",'Avalanche workings'!$AX$276,'Snowball workings'!$AX$276))</f>
      </c>
      <c r="X274" s="29">
        <f>IF(OR(269&gt;$Z$1,NOT(OR('Your debts'!$B$15&lt;&gt;"",N('Your debts'!$C$15)&gt;0))),"",IF('Your debts'!$D$20="Avalanche",'Avalanche workings'!$U$276,'Snowball workings'!$U$276)+IF('Your debts'!$D$20="Avalanche",'Avalanche workings'!$AO$276,'Snowball workings'!$AO$276))</f>
      </c>
      <c r="Y274" s="30">
        <f>IF(OR(269&gt;$Z$1,NOT(OR('Your debts'!$B$15&lt;&gt;"",N('Your debts'!$C$15)&gt;0))),"",IF('Your debts'!$D$20="Avalanche",'Avalanche workings'!$AY$276,'Snowball workings'!$AY$276))</f>
      </c>
    </row>
    <row r="275" spans="1:25" x14ac:dyDescent="0.25">
      <c r="A275" s="2">
        <f>IF(270&gt;$Z$1,"",270)</f>
      </c>
      <c r="B275" s="28">
        <f>IF(270&gt;$Z$1,"",EDATE('Your debts'!$D$21,269))</f>
      </c>
      <c r="C275" s="29">
        <f>IF(270&gt;$Z$1,"",IF('Your debts'!$D$20="Avalanche",'Avalanche workings'!$BC$277,'Snowball workings'!$BC$277))</f>
      </c>
      <c r="D275" s="29">
        <f>IF(270&gt;$Z$1,"",IF('Your debts'!$D$20="Avalanche",'Avalanche workings'!$BA$277,'Snowball workings'!$BA$277))</f>
      </c>
      <c r="E275" s="29">
        <f>IF(270&gt;$Z$1,"",IF('Your debts'!$D$20="Avalanche",'Avalanche workings'!$BB$277,'Snowball workings'!$BB$277))</f>
      </c>
      <c r="F275" s="29">
        <f>IF(OR(270&gt;$Z$1,NOT(OR('Your debts'!$B$6&lt;&gt;"",N('Your debts'!$C$6)&gt;0))),"",IF('Your debts'!$D$20="Avalanche",'Avalanche workings'!$L$277,'Snowball workings'!$L$277)+IF('Your debts'!$D$20="Avalanche",'Avalanche workings'!$AF$277,'Snowball workings'!$AF$277))</f>
      </c>
      <c r="G275" s="30">
        <f>IF(OR(270&gt;$Z$1,NOT(OR('Your debts'!$B$6&lt;&gt;"",N('Your debts'!$C$6)&gt;0))),"",IF('Your debts'!$D$20="Avalanche",'Avalanche workings'!$AP$277,'Snowball workings'!$AP$277))</f>
      </c>
      <c r="H275" s="29">
        <f>IF(OR(270&gt;$Z$1,NOT(OR('Your debts'!$B$7&lt;&gt;"",N('Your debts'!$C$7)&gt;0))),"",IF('Your debts'!$D$20="Avalanche",'Avalanche workings'!$M$277,'Snowball workings'!$M$277)+IF('Your debts'!$D$20="Avalanche",'Avalanche workings'!$AG$277,'Snowball workings'!$AG$277))</f>
      </c>
      <c r="I275" s="30">
        <f>IF(OR(270&gt;$Z$1,NOT(OR('Your debts'!$B$7&lt;&gt;"",N('Your debts'!$C$7)&gt;0))),"",IF('Your debts'!$D$20="Avalanche",'Avalanche workings'!$AQ$277,'Snowball workings'!$AQ$277))</f>
      </c>
      <c r="J275" s="29">
        <f>IF(OR(270&gt;$Z$1,NOT(OR('Your debts'!$B$8&lt;&gt;"",N('Your debts'!$C$8)&gt;0))),"",IF('Your debts'!$D$20="Avalanche",'Avalanche workings'!$N$277,'Snowball workings'!$N$277)+IF('Your debts'!$D$20="Avalanche",'Avalanche workings'!$AH$277,'Snowball workings'!$AH$277))</f>
      </c>
      <c r="K275" s="30">
        <f>IF(OR(270&gt;$Z$1,NOT(OR('Your debts'!$B$8&lt;&gt;"",N('Your debts'!$C$8)&gt;0))),"",IF('Your debts'!$D$20="Avalanche",'Avalanche workings'!$AR$277,'Snowball workings'!$AR$277))</f>
      </c>
      <c r="L275" s="29">
        <f>IF(OR(270&gt;$Z$1,NOT(OR('Your debts'!$B$9&lt;&gt;"",N('Your debts'!$C$9)&gt;0))),"",IF('Your debts'!$D$20="Avalanche",'Avalanche workings'!$O$277,'Snowball workings'!$O$277)+IF('Your debts'!$D$20="Avalanche",'Avalanche workings'!$AI$277,'Snowball workings'!$AI$277))</f>
      </c>
      <c r="M275" s="30">
        <f>IF(OR(270&gt;$Z$1,NOT(OR('Your debts'!$B$9&lt;&gt;"",N('Your debts'!$C$9)&gt;0))),"",IF('Your debts'!$D$20="Avalanche",'Avalanche workings'!$AS$277,'Snowball workings'!$AS$277))</f>
      </c>
      <c r="N275" s="29">
        <f>IF(OR(270&gt;$Z$1,NOT(OR('Your debts'!$B$10&lt;&gt;"",N('Your debts'!$C$10)&gt;0))),"",IF('Your debts'!$D$20="Avalanche",'Avalanche workings'!$P$277,'Snowball workings'!$P$277)+IF('Your debts'!$D$20="Avalanche",'Avalanche workings'!$AJ$277,'Snowball workings'!$AJ$277))</f>
      </c>
      <c r="O275" s="30">
        <f>IF(OR(270&gt;$Z$1,NOT(OR('Your debts'!$B$10&lt;&gt;"",N('Your debts'!$C$10)&gt;0))),"",IF('Your debts'!$D$20="Avalanche",'Avalanche workings'!$AT$277,'Snowball workings'!$AT$277))</f>
      </c>
      <c r="P275" s="29">
        <f>IF(OR(270&gt;$Z$1,NOT(OR('Your debts'!$B$11&lt;&gt;"",N('Your debts'!$C$11)&gt;0))),"",IF('Your debts'!$D$20="Avalanche",'Avalanche workings'!$Q$277,'Snowball workings'!$Q$277)+IF('Your debts'!$D$20="Avalanche",'Avalanche workings'!$AK$277,'Snowball workings'!$AK$277))</f>
      </c>
      <c r="Q275" s="30">
        <f>IF(OR(270&gt;$Z$1,NOT(OR('Your debts'!$B$11&lt;&gt;"",N('Your debts'!$C$11)&gt;0))),"",IF('Your debts'!$D$20="Avalanche",'Avalanche workings'!$AU$277,'Snowball workings'!$AU$277))</f>
      </c>
      <c r="R275" s="29">
        <f>IF(OR(270&gt;$Z$1,NOT(OR('Your debts'!$B$12&lt;&gt;"",N('Your debts'!$C$12)&gt;0))),"",IF('Your debts'!$D$20="Avalanche",'Avalanche workings'!$R$277,'Snowball workings'!$R$277)+IF('Your debts'!$D$20="Avalanche",'Avalanche workings'!$AL$277,'Snowball workings'!$AL$277))</f>
      </c>
      <c r="S275" s="30">
        <f>IF(OR(270&gt;$Z$1,NOT(OR('Your debts'!$B$12&lt;&gt;"",N('Your debts'!$C$12)&gt;0))),"",IF('Your debts'!$D$20="Avalanche",'Avalanche workings'!$AV$277,'Snowball workings'!$AV$277))</f>
      </c>
      <c r="T275" s="29">
        <f>IF(OR(270&gt;$Z$1,NOT(OR('Your debts'!$B$13&lt;&gt;"",N('Your debts'!$C$13)&gt;0))),"",IF('Your debts'!$D$20="Avalanche",'Avalanche workings'!$S$277,'Snowball workings'!$S$277)+IF('Your debts'!$D$20="Avalanche",'Avalanche workings'!$AM$277,'Snowball workings'!$AM$277))</f>
      </c>
      <c r="U275" s="30">
        <f>IF(OR(270&gt;$Z$1,NOT(OR('Your debts'!$B$13&lt;&gt;"",N('Your debts'!$C$13)&gt;0))),"",IF('Your debts'!$D$20="Avalanche",'Avalanche workings'!$AW$277,'Snowball workings'!$AW$277))</f>
      </c>
      <c r="V275" s="29">
        <f>IF(OR(270&gt;$Z$1,NOT(OR('Your debts'!$B$14&lt;&gt;"",N('Your debts'!$C$14)&gt;0))),"",IF('Your debts'!$D$20="Avalanche",'Avalanche workings'!$T$277,'Snowball workings'!$T$277)+IF('Your debts'!$D$20="Avalanche",'Avalanche workings'!$AN$277,'Snowball workings'!$AN$277))</f>
      </c>
      <c r="W275" s="30">
        <f>IF(OR(270&gt;$Z$1,NOT(OR('Your debts'!$B$14&lt;&gt;"",N('Your debts'!$C$14)&gt;0))),"",IF('Your debts'!$D$20="Avalanche",'Avalanche workings'!$AX$277,'Snowball workings'!$AX$277))</f>
      </c>
      <c r="X275" s="29">
        <f>IF(OR(270&gt;$Z$1,NOT(OR('Your debts'!$B$15&lt;&gt;"",N('Your debts'!$C$15)&gt;0))),"",IF('Your debts'!$D$20="Avalanche",'Avalanche workings'!$U$277,'Snowball workings'!$U$277)+IF('Your debts'!$D$20="Avalanche",'Avalanche workings'!$AO$277,'Snowball workings'!$AO$277))</f>
      </c>
      <c r="Y275" s="30">
        <f>IF(OR(270&gt;$Z$1,NOT(OR('Your debts'!$B$15&lt;&gt;"",N('Your debts'!$C$15)&gt;0))),"",IF('Your debts'!$D$20="Avalanche",'Avalanche workings'!$AY$277,'Snowball workings'!$AY$277))</f>
      </c>
    </row>
    <row r="276" spans="1:25" x14ac:dyDescent="0.25">
      <c r="A276" s="2">
        <f>IF(271&gt;$Z$1,"",271)</f>
      </c>
      <c r="B276" s="28">
        <f>IF(271&gt;$Z$1,"",EDATE('Your debts'!$D$21,270))</f>
      </c>
      <c r="C276" s="29">
        <f>IF(271&gt;$Z$1,"",IF('Your debts'!$D$20="Avalanche",'Avalanche workings'!$BC$278,'Snowball workings'!$BC$278))</f>
      </c>
      <c r="D276" s="29">
        <f>IF(271&gt;$Z$1,"",IF('Your debts'!$D$20="Avalanche",'Avalanche workings'!$BA$278,'Snowball workings'!$BA$278))</f>
      </c>
      <c r="E276" s="29">
        <f>IF(271&gt;$Z$1,"",IF('Your debts'!$D$20="Avalanche",'Avalanche workings'!$BB$278,'Snowball workings'!$BB$278))</f>
      </c>
      <c r="F276" s="29">
        <f>IF(OR(271&gt;$Z$1,NOT(OR('Your debts'!$B$6&lt;&gt;"",N('Your debts'!$C$6)&gt;0))),"",IF('Your debts'!$D$20="Avalanche",'Avalanche workings'!$L$278,'Snowball workings'!$L$278)+IF('Your debts'!$D$20="Avalanche",'Avalanche workings'!$AF$278,'Snowball workings'!$AF$278))</f>
      </c>
      <c r="G276" s="30">
        <f>IF(OR(271&gt;$Z$1,NOT(OR('Your debts'!$B$6&lt;&gt;"",N('Your debts'!$C$6)&gt;0))),"",IF('Your debts'!$D$20="Avalanche",'Avalanche workings'!$AP$278,'Snowball workings'!$AP$278))</f>
      </c>
      <c r="H276" s="29">
        <f>IF(OR(271&gt;$Z$1,NOT(OR('Your debts'!$B$7&lt;&gt;"",N('Your debts'!$C$7)&gt;0))),"",IF('Your debts'!$D$20="Avalanche",'Avalanche workings'!$M$278,'Snowball workings'!$M$278)+IF('Your debts'!$D$20="Avalanche",'Avalanche workings'!$AG$278,'Snowball workings'!$AG$278))</f>
      </c>
      <c r="I276" s="30">
        <f>IF(OR(271&gt;$Z$1,NOT(OR('Your debts'!$B$7&lt;&gt;"",N('Your debts'!$C$7)&gt;0))),"",IF('Your debts'!$D$20="Avalanche",'Avalanche workings'!$AQ$278,'Snowball workings'!$AQ$278))</f>
      </c>
      <c r="J276" s="29">
        <f>IF(OR(271&gt;$Z$1,NOT(OR('Your debts'!$B$8&lt;&gt;"",N('Your debts'!$C$8)&gt;0))),"",IF('Your debts'!$D$20="Avalanche",'Avalanche workings'!$N$278,'Snowball workings'!$N$278)+IF('Your debts'!$D$20="Avalanche",'Avalanche workings'!$AH$278,'Snowball workings'!$AH$278))</f>
      </c>
      <c r="K276" s="30">
        <f>IF(OR(271&gt;$Z$1,NOT(OR('Your debts'!$B$8&lt;&gt;"",N('Your debts'!$C$8)&gt;0))),"",IF('Your debts'!$D$20="Avalanche",'Avalanche workings'!$AR$278,'Snowball workings'!$AR$278))</f>
      </c>
      <c r="L276" s="29">
        <f>IF(OR(271&gt;$Z$1,NOT(OR('Your debts'!$B$9&lt;&gt;"",N('Your debts'!$C$9)&gt;0))),"",IF('Your debts'!$D$20="Avalanche",'Avalanche workings'!$O$278,'Snowball workings'!$O$278)+IF('Your debts'!$D$20="Avalanche",'Avalanche workings'!$AI$278,'Snowball workings'!$AI$278))</f>
      </c>
      <c r="M276" s="30">
        <f>IF(OR(271&gt;$Z$1,NOT(OR('Your debts'!$B$9&lt;&gt;"",N('Your debts'!$C$9)&gt;0))),"",IF('Your debts'!$D$20="Avalanche",'Avalanche workings'!$AS$278,'Snowball workings'!$AS$278))</f>
      </c>
      <c r="N276" s="29">
        <f>IF(OR(271&gt;$Z$1,NOT(OR('Your debts'!$B$10&lt;&gt;"",N('Your debts'!$C$10)&gt;0))),"",IF('Your debts'!$D$20="Avalanche",'Avalanche workings'!$P$278,'Snowball workings'!$P$278)+IF('Your debts'!$D$20="Avalanche",'Avalanche workings'!$AJ$278,'Snowball workings'!$AJ$278))</f>
      </c>
      <c r="O276" s="30">
        <f>IF(OR(271&gt;$Z$1,NOT(OR('Your debts'!$B$10&lt;&gt;"",N('Your debts'!$C$10)&gt;0))),"",IF('Your debts'!$D$20="Avalanche",'Avalanche workings'!$AT$278,'Snowball workings'!$AT$278))</f>
      </c>
      <c r="P276" s="29">
        <f>IF(OR(271&gt;$Z$1,NOT(OR('Your debts'!$B$11&lt;&gt;"",N('Your debts'!$C$11)&gt;0))),"",IF('Your debts'!$D$20="Avalanche",'Avalanche workings'!$Q$278,'Snowball workings'!$Q$278)+IF('Your debts'!$D$20="Avalanche",'Avalanche workings'!$AK$278,'Snowball workings'!$AK$278))</f>
      </c>
      <c r="Q276" s="30">
        <f>IF(OR(271&gt;$Z$1,NOT(OR('Your debts'!$B$11&lt;&gt;"",N('Your debts'!$C$11)&gt;0))),"",IF('Your debts'!$D$20="Avalanche",'Avalanche workings'!$AU$278,'Snowball workings'!$AU$278))</f>
      </c>
      <c r="R276" s="29">
        <f>IF(OR(271&gt;$Z$1,NOT(OR('Your debts'!$B$12&lt;&gt;"",N('Your debts'!$C$12)&gt;0))),"",IF('Your debts'!$D$20="Avalanche",'Avalanche workings'!$R$278,'Snowball workings'!$R$278)+IF('Your debts'!$D$20="Avalanche",'Avalanche workings'!$AL$278,'Snowball workings'!$AL$278))</f>
      </c>
      <c r="S276" s="30">
        <f>IF(OR(271&gt;$Z$1,NOT(OR('Your debts'!$B$12&lt;&gt;"",N('Your debts'!$C$12)&gt;0))),"",IF('Your debts'!$D$20="Avalanche",'Avalanche workings'!$AV$278,'Snowball workings'!$AV$278))</f>
      </c>
      <c r="T276" s="29">
        <f>IF(OR(271&gt;$Z$1,NOT(OR('Your debts'!$B$13&lt;&gt;"",N('Your debts'!$C$13)&gt;0))),"",IF('Your debts'!$D$20="Avalanche",'Avalanche workings'!$S$278,'Snowball workings'!$S$278)+IF('Your debts'!$D$20="Avalanche",'Avalanche workings'!$AM$278,'Snowball workings'!$AM$278))</f>
      </c>
      <c r="U276" s="30">
        <f>IF(OR(271&gt;$Z$1,NOT(OR('Your debts'!$B$13&lt;&gt;"",N('Your debts'!$C$13)&gt;0))),"",IF('Your debts'!$D$20="Avalanche",'Avalanche workings'!$AW$278,'Snowball workings'!$AW$278))</f>
      </c>
      <c r="V276" s="29">
        <f>IF(OR(271&gt;$Z$1,NOT(OR('Your debts'!$B$14&lt;&gt;"",N('Your debts'!$C$14)&gt;0))),"",IF('Your debts'!$D$20="Avalanche",'Avalanche workings'!$T$278,'Snowball workings'!$T$278)+IF('Your debts'!$D$20="Avalanche",'Avalanche workings'!$AN$278,'Snowball workings'!$AN$278))</f>
      </c>
      <c r="W276" s="30">
        <f>IF(OR(271&gt;$Z$1,NOT(OR('Your debts'!$B$14&lt;&gt;"",N('Your debts'!$C$14)&gt;0))),"",IF('Your debts'!$D$20="Avalanche",'Avalanche workings'!$AX$278,'Snowball workings'!$AX$278))</f>
      </c>
      <c r="X276" s="29">
        <f>IF(OR(271&gt;$Z$1,NOT(OR('Your debts'!$B$15&lt;&gt;"",N('Your debts'!$C$15)&gt;0))),"",IF('Your debts'!$D$20="Avalanche",'Avalanche workings'!$U$278,'Snowball workings'!$U$278)+IF('Your debts'!$D$20="Avalanche",'Avalanche workings'!$AO$278,'Snowball workings'!$AO$278))</f>
      </c>
      <c r="Y276" s="30">
        <f>IF(OR(271&gt;$Z$1,NOT(OR('Your debts'!$B$15&lt;&gt;"",N('Your debts'!$C$15)&gt;0))),"",IF('Your debts'!$D$20="Avalanche",'Avalanche workings'!$AY$278,'Snowball workings'!$AY$278))</f>
      </c>
    </row>
    <row r="277" spans="1:25" x14ac:dyDescent="0.25">
      <c r="A277" s="2">
        <f>IF(272&gt;$Z$1,"",272)</f>
      </c>
      <c r="B277" s="28">
        <f>IF(272&gt;$Z$1,"",EDATE('Your debts'!$D$21,271))</f>
      </c>
      <c r="C277" s="29">
        <f>IF(272&gt;$Z$1,"",IF('Your debts'!$D$20="Avalanche",'Avalanche workings'!$BC$279,'Snowball workings'!$BC$279))</f>
      </c>
      <c r="D277" s="29">
        <f>IF(272&gt;$Z$1,"",IF('Your debts'!$D$20="Avalanche",'Avalanche workings'!$BA$279,'Snowball workings'!$BA$279))</f>
      </c>
      <c r="E277" s="29">
        <f>IF(272&gt;$Z$1,"",IF('Your debts'!$D$20="Avalanche",'Avalanche workings'!$BB$279,'Snowball workings'!$BB$279))</f>
      </c>
      <c r="F277" s="29">
        <f>IF(OR(272&gt;$Z$1,NOT(OR('Your debts'!$B$6&lt;&gt;"",N('Your debts'!$C$6)&gt;0))),"",IF('Your debts'!$D$20="Avalanche",'Avalanche workings'!$L$279,'Snowball workings'!$L$279)+IF('Your debts'!$D$20="Avalanche",'Avalanche workings'!$AF$279,'Snowball workings'!$AF$279))</f>
      </c>
      <c r="G277" s="30">
        <f>IF(OR(272&gt;$Z$1,NOT(OR('Your debts'!$B$6&lt;&gt;"",N('Your debts'!$C$6)&gt;0))),"",IF('Your debts'!$D$20="Avalanche",'Avalanche workings'!$AP$279,'Snowball workings'!$AP$279))</f>
      </c>
      <c r="H277" s="29">
        <f>IF(OR(272&gt;$Z$1,NOT(OR('Your debts'!$B$7&lt;&gt;"",N('Your debts'!$C$7)&gt;0))),"",IF('Your debts'!$D$20="Avalanche",'Avalanche workings'!$M$279,'Snowball workings'!$M$279)+IF('Your debts'!$D$20="Avalanche",'Avalanche workings'!$AG$279,'Snowball workings'!$AG$279))</f>
      </c>
      <c r="I277" s="30">
        <f>IF(OR(272&gt;$Z$1,NOT(OR('Your debts'!$B$7&lt;&gt;"",N('Your debts'!$C$7)&gt;0))),"",IF('Your debts'!$D$20="Avalanche",'Avalanche workings'!$AQ$279,'Snowball workings'!$AQ$279))</f>
      </c>
      <c r="J277" s="29">
        <f>IF(OR(272&gt;$Z$1,NOT(OR('Your debts'!$B$8&lt;&gt;"",N('Your debts'!$C$8)&gt;0))),"",IF('Your debts'!$D$20="Avalanche",'Avalanche workings'!$N$279,'Snowball workings'!$N$279)+IF('Your debts'!$D$20="Avalanche",'Avalanche workings'!$AH$279,'Snowball workings'!$AH$279))</f>
      </c>
      <c r="K277" s="30">
        <f>IF(OR(272&gt;$Z$1,NOT(OR('Your debts'!$B$8&lt;&gt;"",N('Your debts'!$C$8)&gt;0))),"",IF('Your debts'!$D$20="Avalanche",'Avalanche workings'!$AR$279,'Snowball workings'!$AR$279))</f>
      </c>
      <c r="L277" s="29">
        <f>IF(OR(272&gt;$Z$1,NOT(OR('Your debts'!$B$9&lt;&gt;"",N('Your debts'!$C$9)&gt;0))),"",IF('Your debts'!$D$20="Avalanche",'Avalanche workings'!$O$279,'Snowball workings'!$O$279)+IF('Your debts'!$D$20="Avalanche",'Avalanche workings'!$AI$279,'Snowball workings'!$AI$279))</f>
      </c>
      <c r="M277" s="30">
        <f>IF(OR(272&gt;$Z$1,NOT(OR('Your debts'!$B$9&lt;&gt;"",N('Your debts'!$C$9)&gt;0))),"",IF('Your debts'!$D$20="Avalanche",'Avalanche workings'!$AS$279,'Snowball workings'!$AS$279))</f>
      </c>
      <c r="N277" s="29">
        <f>IF(OR(272&gt;$Z$1,NOT(OR('Your debts'!$B$10&lt;&gt;"",N('Your debts'!$C$10)&gt;0))),"",IF('Your debts'!$D$20="Avalanche",'Avalanche workings'!$P$279,'Snowball workings'!$P$279)+IF('Your debts'!$D$20="Avalanche",'Avalanche workings'!$AJ$279,'Snowball workings'!$AJ$279))</f>
      </c>
      <c r="O277" s="30">
        <f>IF(OR(272&gt;$Z$1,NOT(OR('Your debts'!$B$10&lt;&gt;"",N('Your debts'!$C$10)&gt;0))),"",IF('Your debts'!$D$20="Avalanche",'Avalanche workings'!$AT$279,'Snowball workings'!$AT$279))</f>
      </c>
      <c r="P277" s="29">
        <f>IF(OR(272&gt;$Z$1,NOT(OR('Your debts'!$B$11&lt;&gt;"",N('Your debts'!$C$11)&gt;0))),"",IF('Your debts'!$D$20="Avalanche",'Avalanche workings'!$Q$279,'Snowball workings'!$Q$279)+IF('Your debts'!$D$20="Avalanche",'Avalanche workings'!$AK$279,'Snowball workings'!$AK$279))</f>
      </c>
      <c r="Q277" s="30">
        <f>IF(OR(272&gt;$Z$1,NOT(OR('Your debts'!$B$11&lt;&gt;"",N('Your debts'!$C$11)&gt;0))),"",IF('Your debts'!$D$20="Avalanche",'Avalanche workings'!$AU$279,'Snowball workings'!$AU$279))</f>
      </c>
      <c r="R277" s="29">
        <f>IF(OR(272&gt;$Z$1,NOT(OR('Your debts'!$B$12&lt;&gt;"",N('Your debts'!$C$12)&gt;0))),"",IF('Your debts'!$D$20="Avalanche",'Avalanche workings'!$R$279,'Snowball workings'!$R$279)+IF('Your debts'!$D$20="Avalanche",'Avalanche workings'!$AL$279,'Snowball workings'!$AL$279))</f>
      </c>
      <c r="S277" s="30">
        <f>IF(OR(272&gt;$Z$1,NOT(OR('Your debts'!$B$12&lt;&gt;"",N('Your debts'!$C$12)&gt;0))),"",IF('Your debts'!$D$20="Avalanche",'Avalanche workings'!$AV$279,'Snowball workings'!$AV$279))</f>
      </c>
      <c r="T277" s="29">
        <f>IF(OR(272&gt;$Z$1,NOT(OR('Your debts'!$B$13&lt;&gt;"",N('Your debts'!$C$13)&gt;0))),"",IF('Your debts'!$D$20="Avalanche",'Avalanche workings'!$S$279,'Snowball workings'!$S$279)+IF('Your debts'!$D$20="Avalanche",'Avalanche workings'!$AM$279,'Snowball workings'!$AM$279))</f>
      </c>
      <c r="U277" s="30">
        <f>IF(OR(272&gt;$Z$1,NOT(OR('Your debts'!$B$13&lt;&gt;"",N('Your debts'!$C$13)&gt;0))),"",IF('Your debts'!$D$20="Avalanche",'Avalanche workings'!$AW$279,'Snowball workings'!$AW$279))</f>
      </c>
      <c r="V277" s="29">
        <f>IF(OR(272&gt;$Z$1,NOT(OR('Your debts'!$B$14&lt;&gt;"",N('Your debts'!$C$14)&gt;0))),"",IF('Your debts'!$D$20="Avalanche",'Avalanche workings'!$T$279,'Snowball workings'!$T$279)+IF('Your debts'!$D$20="Avalanche",'Avalanche workings'!$AN$279,'Snowball workings'!$AN$279))</f>
      </c>
      <c r="W277" s="30">
        <f>IF(OR(272&gt;$Z$1,NOT(OR('Your debts'!$B$14&lt;&gt;"",N('Your debts'!$C$14)&gt;0))),"",IF('Your debts'!$D$20="Avalanche",'Avalanche workings'!$AX$279,'Snowball workings'!$AX$279))</f>
      </c>
      <c r="X277" s="29">
        <f>IF(OR(272&gt;$Z$1,NOT(OR('Your debts'!$B$15&lt;&gt;"",N('Your debts'!$C$15)&gt;0))),"",IF('Your debts'!$D$20="Avalanche",'Avalanche workings'!$U$279,'Snowball workings'!$U$279)+IF('Your debts'!$D$20="Avalanche",'Avalanche workings'!$AO$279,'Snowball workings'!$AO$279))</f>
      </c>
      <c r="Y277" s="30">
        <f>IF(OR(272&gt;$Z$1,NOT(OR('Your debts'!$B$15&lt;&gt;"",N('Your debts'!$C$15)&gt;0))),"",IF('Your debts'!$D$20="Avalanche",'Avalanche workings'!$AY$279,'Snowball workings'!$AY$279))</f>
      </c>
    </row>
    <row r="278" spans="1:25" x14ac:dyDescent="0.25">
      <c r="A278" s="2">
        <f>IF(273&gt;$Z$1,"",273)</f>
      </c>
      <c r="B278" s="28">
        <f>IF(273&gt;$Z$1,"",EDATE('Your debts'!$D$21,272))</f>
      </c>
      <c r="C278" s="29">
        <f>IF(273&gt;$Z$1,"",IF('Your debts'!$D$20="Avalanche",'Avalanche workings'!$BC$280,'Snowball workings'!$BC$280))</f>
      </c>
      <c r="D278" s="29">
        <f>IF(273&gt;$Z$1,"",IF('Your debts'!$D$20="Avalanche",'Avalanche workings'!$BA$280,'Snowball workings'!$BA$280))</f>
      </c>
      <c r="E278" s="29">
        <f>IF(273&gt;$Z$1,"",IF('Your debts'!$D$20="Avalanche",'Avalanche workings'!$BB$280,'Snowball workings'!$BB$280))</f>
      </c>
      <c r="F278" s="29">
        <f>IF(OR(273&gt;$Z$1,NOT(OR('Your debts'!$B$6&lt;&gt;"",N('Your debts'!$C$6)&gt;0))),"",IF('Your debts'!$D$20="Avalanche",'Avalanche workings'!$L$280,'Snowball workings'!$L$280)+IF('Your debts'!$D$20="Avalanche",'Avalanche workings'!$AF$280,'Snowball workings'!$AF$280))</f>
      </c>
      <c r="G278" s="30">
        <f>IF(OR(273&gt;$Z$1,NOT(OR('Your debts'!$B$6&lt;&gt;"",N('Your debts'!$C$6)&gt;0))),"",IF('Your debts'!$D$20="Avalanche",'Avalanche workings'!$AP$280,'Snowball workings'!$AP$280))</f>
      </c>
      <c r="H278" s="29">
        <f>IF(OR(273&gt;$Z$1,NOT(OR('Your debts'!$B$7&lt;&gt;"",N('Your debts'!$C$7)&gt;0))),"",IF('Your debts'!$D$20="Avalanche",'Avalanche workings'!$M$280,'Snowball workings'!$M$280)+IF('Your debts'!$D$20="Avalanche",'Avalanche workings'!$AG$280,'Snowball workings'!$AG$280))</f>
      </c>
      <c r="I278" s="30">
        <f>IF(OR(273&gt;$Z$1,NOT(OR('Your debts'!$B$7&lt;&gt;"",N('Your debts'!$C$7)&gt;0))),"",IF('Your debts'!$D$20="Avalanche",'Avalanche workings'!$AQ$280,'Snowball workings'!$AQ$280))</f>
      </c>
      <c r="J278" s="29">
        <f>IF(OR(273&gt;$Z$1,NOT(OR('Your debts'!$B$8&lt;&gt;"",N('Your debts'!$C$8)&gt;0))),"",IF('Your debts'!$D$20="Avalanche",'Avalanche workings'!$N$280,'Snowball workings'!$N$280)+IF('Your debts'!$D$20="Avalanche",'Avalanche workings'!$AH$280,'Snowball workings'!$AH$280))</f>
      </c>
      <c r="K278" s="30">
        <f>IF(OR(273&gt;$Z$1,NOT(OR('Your debts'!$B$8&lt;&gt;"",N('Your debts'!$C$8)&gt;0))),"",IF('Your debts'!$D$20="Avalanche",'Avalanche workings'!$AR$280,'Snowball workings'!$AR$280))</f>
      </c>
      <c r="L278" s="29">
        <f>IF(OR(273&gt;$Z$1,NOT(OR('Your debts'!$B$9&lt;&gt;"",N('Your debts'!$C$9)&gt;0))),"",IF('Your debts'!$D$20="Avalanche",'Avalanche workings'!$O$280,'Snowball workings'!$O$280)+IF('Your debts'!$D$20="Avalanche",'Avalanche workings'!$AI$280,'Snowball workings'!$AI$280))</f>
      </c>
      <c r="M278" s="30">
        <f>IF(OR(273&gt;$Z$1,NOT(OR('Your debts'!$B$9&lt;&gt;"",N('Your debts'!$C$9)&gt;0))),"",IF('Your debts'!$D$20="Avalanche",'Avalanche workings'!$AS$280,'Snowball workings'!$AS$280))</f>
      </c>
      <c r="N278" s="29">
        <f>IF(OR(273&gt;$Z$1,NOT(OR('Your debts'!$B$10&lt;&gt;"",N('Your debts'!$C$10)&gt;0))),"",IF('Your debts'!$D$20="Avalanche",'Avalanche workings'!$P$280,'Snowball workings'!$P$280)+IF('Your debts'!$D$20="Avalanche",'Avalanche workings'!$AJ$280,'Snowball workings'!$AJ$280))</f>
      </c>
      <c r="O278" s="30">
        <f>IF(OR(273&gt;$Z$1,NOT(OR('Your debts'!$B$10&lt;&gt;"",N('Your debts'!$C$10)&gt;0))),"",IF('Your debts'!$D$20="Avalanche",'Avalanche workings'!$AT$280,'Snowball workings'!$AT$280))</f>
      </c>
      <c r="P278" s="29">
        <f>IF(OR(273&gt;$Z$1,NOT(OR('Your debts'!$B$11&lt;&gt;"",N('Your debts'!$C$11)&gt;0))),"",IF('Your debts'!$D$20="Avalanche",'Avalanche workings'!$Q$280,'Snowball workings'!$Q$280)+IF('Your debts'!$D$20="Avalanche",'Avalanche workings'!$AK$280,'Snowball workings'!$AK$280))</f>
      </c>
      <c r="Q278" s="30">
        <f>IF(OR(273&gt;$Z$1,NOT(OR('Your debts'!$B$11&lt;&gt;"",N('Your debts'!$C$11)&gt;0))),"",IF('Your debts'!$D$20="Avalanche",'Avalanche workings'!$AU$280,'Snowball workings'!$AU$280))</f>
      </c>
      <c r="R278" s="29">
        <f>IF(OR(273&gt;$Z$1,NOT(OR('Your debts'!$B$12&lt;&gt;"",N('Your debts'!$C$12)&gt;0))),"",IF('Your debts'!$D$20="Avalanche",'Avalanche workings'!$R$280,'Snowball workings'!$R$280)+IF('Your debts'!$D$20="Avalanche",'Avalanche workings'!$AL$280,'Snowball workings'!$AL$280))</f>
      </c>
      <c r="S278" s="30">
        <f>IF(OR(273&gt;$Z$1,NOT(OR('Your debts'!$B$12&lt;&gt;"",N('Your debts'!$C$12)&gt;0))),"",IF('Your debts'!$D$20="Avalanche",'Avalanche workings'!$AV$280,'Snowball workings'!$AV$280))</f>
      </c>
      <c r="T278" s="29">
        <f>IF(OR(273&gt;$Z$1,NOT(OR('Your debts'!$B$13&lt;&gt;"",N('Your debts'!$C$13)&gt;0))),"",IF('Your debts'!$D$20="Avalanche",'Avalanche workings'!$S$280,'Snowball workings'!$S$280)+IF('Your debts'!$D$20="Avalanche",'Avalanche workings'!$AM$280,'Snowball workings'!$AM$280))</f>
      </c>
      <c r="U278" s="30">
        <f>IF(OR(273&gt;$Z$1,NOT(OR('Your debts'!$B$13&lt;&gt;"",N('Your debts'!$C$13)&gt;0))),"",IF('Your debts'!$D$20="Avalanche",'Avalanche workings'!$AW$280,'Snowball workings'!$AW$280))</f>
      </c>
      <c r="V278" s="29">
        <f>IF(OR(273&gt;$Z$1,NOT(OR('Your debts'!$B$14&lt;&gt;"",N('Your debts'!$C$14)&gt;0))),"",IF('Your debts'!$D$20="Avalanche",'Avalanche workings'!$T$280,'Snowball workings'!$T$280)+IF('Your debts'!$D$20="Avalanche",'Avalanche workings'!$AN$280,'Snowball workings'!$AN$280))</f>
      </c>
      <c r="W278" s="30">
        <f>IF(OR(273&gt;$Z$1,NOT(OR('Your debts'!$B$14&lt;&gt;"",N('Your debts'!$C$14)&gt;0))),"",IF('Your debts'!$D$20="Avalanche",'Avalanche workings'!$AX$280,'Snowball workings'!$AX$280))</f>
      </c>
      <c r="X278" s="29">
        <f>IF(OR(273&gt;$Z$1,NOT(OR('Your debts'!$B$15&lt;&gt;"",N('Your debts'!$C$15)&gt;0))),"",IF('Your debts'!$D$20="Avalanche",'Avalanche workings'!$U$280,'Snowball workings'!$U$280)+IF('Your debts'!$D$20="Avalanche",'Avalanche workings'!$AO$280,'Snowball workings'!$AO$280))</f>
      </c>
      <c r="Y278" s="30">
        <f>IF(OR(273&gt;$Z$1,NOT(OR('Your debts'!$B$15&lt;&gt;"",N('Your debts'!$C$15)&gt;0))),"",IF('Your debts'!$D$20="Avalanche",'Avalanche workings'!$AY$280,'Snowball workings'!$AY$280))</f>
      </c>
    </row>
    <row r="279" spans="1:25" x14ac:dyDescent="0.25">
      <c r="A279" s="2">
        <f>IF(274&gt;$Z$1,"",274)</f>
      </c>
      <c r="B279" s="28">
        <f>IF(274&gt;$Z$1,"",EDATE('Your debts'!$D$21,273))</f>
      </c>
      <c r="C279" s="29">
        <f>IF(274&gt;$Z$1,"",IF('Your debts'!$D$20="Avalanche",'Avalanche workings'!$BC$281,'Snowball workings'!$BC$281))</f>
      </c>
      <c r="D279" s="29">
        <f>IF(274&gt;$Z$1,"",IF('Your debts'!$D$20="Avalanche",'Avalanche workings'!$BA$281,'Snowball workings'!$BA$281))</f>
      </c>
      <c r="E279" s="29">
        <f>IF(274&gt;$Z$1,"",IF('Your debts'!$D$20="Avalanche",'Avalanche workings'!$BB$281,'Snowball workings'!$BB$281))</f>
      </c>
      <c r="F279" s="29">
        <f>IF(OR(274&gt;$Z$1,NOT(OR('Your debts'!$B$6&lt;&gt;"",N('Your debts'!$C$6)&gt;0))),"",IF('Your debts'!$D$20="Avalanche",'Avalanche workings'!$L$281,'Snowball workings'!$L$281)+IF('Your debts'!$D$20="Avalanche",'Avalanche workings'!$AF$281,'Snowball workings'!$AF$281))</f>
      </c>
      <c r="G279" s="30">
        <f>IF(OR(274&gt;$Z$1,NOT(OR('Your debts'!$B$6&lt;&gt;"",N('Your debts'!$C$6)&gt;0))),"",IF('Your debts'!$D$20="Avalanche",'Avalanche workings'!$AP$281,'Snowball workings'!$AP$281))</f>
      </c>
      <c r="H279" s="29">
        <f>IF(OR(274&gt;$Z$1,NOT(OR('Your debts'!$B$7&lt;&gt;"",N('Your debts'!$C$7)&gt;0))),"",IF('Your debts'!$D$20="Avalanche",'Avalanche workings'!$M$281,'Snowball workings'!$M$281)+IF('Your debts'!$D$20="Avalanche",'Avalanche workings'!$AG$281,'Snowball workings'!$AG$281))</f>
      </c>
      <c r="I279" s="30">
        <f>IF(OR(274&gt;$Z$1,NOT(OR('Your debts'!$B$7&lt;&gt;"",N('Your debts'!$C$7)&gt;0))),"",IF('Your debts'!$D$20="Avalanche",'Avalanche workings'!$AQ$281,'Snowball workings'!$AQ$281))</f>
      </c>
      <c r="J279" s="29">
        <f>IF(OR(274&gt;$Z$1,NOT(OR('Your debts'!$B$8&lt;&gt;"",N('Your debts'!$C$8)&gt;0))),"",IF('Your debts'!$D$20="Avalanche",'Avalanche workings'!$N$281,'Snowball workings'!$N$281)+IF('Your debts'!$D$20="Avalanche",'Avalanche workings'!$AH$281,'Snowball workings'!$AH$281))</f>
      </c>
      <c r="K279" s="30">
        <f>IF(OR(274&gt;$Z$1,NOT(OR('Your debts'!$B$8&lt;&gt;"",N('Your debts'!$C$8)&gt;0))),"",IF('Your debts'!$D$20="Avalanche",'Avalanche workings'!$AR$281,'Snowball workings'!$AR$281))</f>
      </c>
      <c r="L279" s="29">
        <f>IF(OR(274&gt;$Z$1,NOT(OR('Your debts'!$B$9&lt;&gt;"",N('Your debts'!$C$9)&gt;0))),"",IF('Your debts'!$D$20="Avalanche",'Avalanche workings'!$O$281,'Snowball workings'!$O$281)+IF('Your debts'!$D$20="Avalanche",'Avalanche workings'!$AI$281,'Snowball workings'!$AI$281))</f>
      </c>
      <c r="M279" s="30">
        <f>IF(OR(274&gt;$Z$1,NOT(OR('Your debts'!$B$9&lt;&gt;"",N('Your debts'!$C$9)&gt;0))),"",IF('Your debts'!$D$20="Avalanche",'Avalanche workings'!$AS$281,'Snowball workings'!$AS$281))</f>
      </c>
      <c r="N279" s="29">
        <f>IF(OR(274&gt;$Z$1,NOT(OR('Your debts'!$B$10&lt;&gt;"",N('Your debts'!$C$10)&gt;0))),"",IF('Your debts'!$D$20="Avalanche",'Avalanche workings'!$P$281,'Snowball workings'!$P$281)+IF('Your debts'!$D$20="Avalanche",'Avalanche workings'!$AJ$281,'Snowball workings'!$AJ$281))</f>
      </c>
      <c r="O279" s="30">
        <f>IF(OR(274&gt;$Z$1,NOT(OR('Your debts'!$B$10&lt;&gt;"",N('Your debts'!$C$10)&gt;0))),"",IF('Your debts'!$D$20="Avalanche",'Avalanche workings'!$AT$281,'Snowball workings'!$AT$281))</f>
      </c>
      <c r="P279" s="29">
        <f>IF(OR(274&gt;$Z$1,NOT(OR('Your debts'!$B$11&lt;&gt;"",N('Your debts'!$C$11)&gt;0))),"",IF('Your debts'!$D$20="Avalanche",'Avalanche workings'!$Q$281,'Snowball workings'!$Q$281)+IF('Your debts'!$D$20="Avalanche",'Avalanche workings'!$AK$281,'Snowball workings'!$AK$281))</f>
      </c>
      <c r="Q279" s="30">
        <f>IF(OR(274&gt;$Z$1,NOT(OR('Your debts'!$B$11&lt;&gt;"",N('Your debts'!$C$11)&gt;0))),"",IF('Your debts'!$D$20="Avalanche",'Avalanche workings'!$AU$281,'Snowball workings'!$AU$281))</f>
      </c>
      <c r="R279" s="29">
        <f>IF(OR(274&gt;$Z$1,NOT(OR('Your debts'!$B$12&lt;&gt;"",N('Your debts'!$C$12)&gt;0))),"",IF('Your debts'!$D$20="Avalanche",'Avalanche workings'!$R$281,'Snowball workings'!$R$281)+IF('Your debts'!$D$20="Avalanche",'Avalanche workings'!$AL$281,'Snowball workings'!$AL$281))</f>
      </c>
      <c r="S279" s="30">
        <f>IF(OR(274&gt;$Z$1,NOT(OR('Your debts'!$B$12&lt;&gt;"",N('Your debts'!$C$12)&gt;0))),"",IF('Your debts'!$D$20="Avalanche",'Avalanche workings'!$AV$281,'Snowball workings'!$AV$281))</f>
      </c>
      <c r="T279" s="29">
        <f>IF(OR(274&gt;$Z$1,NOT(OR('Your debts'!$B$13&lt;&gt;"",N('Your debts'!$C$13)&gt;0))),"",IF('Your debts'!$D$20="Avalanche",'Avalanche workings'!$S$281,'Snowball workings'!$S$281)+IF('Your debts'!$D$20="Avalanche",'Avalanche workings'!$AM$281,'Snowball workings'!$AM$281))</f>
      </c>
      <c r="U279" s="30">
        <f>IF(OR(274&gt;$Z$1,NOT(OR('Your debts'!$B$13&lt;&gt;"",N('Your debts'!$C$13)&gt;0))),"",IF('Your debts'!$D$20="Avalanche",'Avalanche workings'!$AW$281,'Snowball workings'!$AW$281))</f>
      </c>
      <c r="V279" s="29">
        <f>IF(OR(274&gt;$Z$1,NOT(OR('Your debts'!$B$14&lt;&gt;"",N('Your debts'!$C$14)&gt;0))),"",IF('Your debts'!$D$20="Avalanche",'Avalanche workings'!$T$281,'Snowball workings'!$T$281)+IF('Your debts'!$D$20="Avalanche",'Avalanche workings'!$AN$281,'Snowball workings'!$AN$281))</f>
      </c>
      <c r="W279" s="30">
        <f>IF(OR(274&gt;$Z$1,NOT(OR('Your debts'!$B$14&lt;&gt;"",N('Your debts'!$C$14)&gt;0))),"",IF('Your debts'!$D$20="Avalanche",'Avalanche workings'!$AX$281,'Snowball workings'!$AX$281))</f>
      </c>
      <c r="X279" s="29">
        <f>IF(OR(274&gt;$Z$1,NOT(OR('Your debts'!$B$15&lt;&gt;"",N('Your debts'!$C$15)&gt;0))),"",IF('Your debts'!$D$20="Avalanche",'Avalanche workings'!$U$281,'Snowball workings'!$U$281)+IF('Your debts'!$D$20="Avalanche",'Avalanche workings'!$AO$281,'Snowball workings'!$AO$281))</f>
      </c>
      <c r="Y279" s="30">
        <f>IF(OR(274&gt;$Z$1,NOT(OR('Your debts'!$B$15&lt;&gt;"",N('Your debts'!$C$15)&gt;0))),"",IF('Your debts'!$D$20="Avalanche",'Avalanche workings'!$AY$281,'Snowball workings'!$AY$281))</f>
      </c>
    </row>
    <row r="280" spans="1:25" x14ac:dyDescent="0.25">
      <c r="A280" s="2">
        <f>IF(275&gt;$Z$1,"",275)</f>
      </c>
      <c r="B280" s="28">
        <f>IF(275&gt;$Z$1,"",EDATE('Your debts'!$D$21,274))</f>
      </c>
      <c r="C280" s="29">
        <f>IF(275&gt;$Z$1,"",IF('Your debts'!$D$20="Avalanche",'Avalanche workings'!$BC$282,'Snowball workings'!$BC$282))</f>
      </c>
      <c r="D280" s="29">
        <f>IF(275&gt;$Z$1,"",IF('Your debts'!$D$20="Avalanche",'Avalanche workings'!$BA$282,'Snowball workings'!$BA$282))</f>
      </c>
      <c r="E280" s="29">
        <f>IF(275&gt;$Z$1,"",IF('Your debts'!$D$20="Avalanche",'Avalanche workings'!$BB$282,'Snowball workings'!$BB$282))</f>
      </c>
      <c r="F280" s="29">
        <f>IF(OR(275&gt;$Z$1,NOT(OR('Your debts'!$B$6&lt;&gt;"",N('Your debts'!$C$6)&gt;0))),"",IF('Your debts'!$D$20="Avalanche",'Avalanche workings'!$L$282,'Snowball workings'!$L$282)+IF('Your debts'!$D$20="Avalanche",'Avalanche workings'!$AF$282,'Snowball workings'!$AF$282))</f>
      </c>
      <c r="G280" s="30">
        <f>IF(OR(275&gt;$Z$1,NOT(OR('Your debts'!$B$6&lt;&gt;"",N('Your debts'!$C$6)&gt;0))),"",IF('Your debts'!$D$20="Avalanche",'Avalanche workings'!$AP$282,'Snowball workings'!$AP$282))</f>
      </c>
      <c r="H280" s="29">
        <f>IF(OR(275&gt;$Z$1,NOT(OR('Your debts'!$B$7&lt;&gt;"",N('Your debts'!$C$7)&gt;0))),"",IF('Your debts'!$D$20="Avalanche",'Avalanche workings'!$M$282,'Snowball workings'!$M$282)+IF('Your debts'!$D$20="Avalanche",'Avalanche workings'!$AG$282,'Snowball workings'!$AG$282))</f>
      </c>
      <c r="I280" s="30">
        <f>IF(OR(275&gt;$Z$1,NOT(OR('Your debts'!$B$7&lt;&gt;"",N('Your debts'!$C$7)&gt;0))),"",IF('Your debts'!$D$20="Avalanche",'Avalanche workings'!$AQ$282,'Snowball workings'!$AQ$282))</f>
      </c>
      <c r="J280" s="29">
        <f>IF(OR(275&gt;$Z$1,NOT(OR('Your debts'!$B$8&lt;&gt;"",N('Your debts'!$C$8)&gt;0))),"",IF('Your debts'!$D$20="Avalanche",'Avalanche workings'!$N$282,'Snowball workings'!$N$282)+IF('Your debts'!$D$20="Avalanche",'Avalanche workings'!$AH$282,'Snowball workings'!$AH$282))</f>
      </c>
      <c r="K280" s="30">
        <f>IF(OR(275&gt;$Z$1,NOT(OR('Your debts'!$B$8&lt;&gt;"",N('Your debts'!$C$8)&gt;0))),"",IF('Your debts'!$D$20="Avalanche",'Avalanche workings'!$AR$282,'Snowball workings'!$AR$282))</f>
      </c>
      <c r="L280" s="29">
        <f>IF(OR(275&gt;$Z$1,NOT(OR('Your debts'!$B$9&lt;&gt;"",N('Your debts'!$C$9)&gt;0))),"",IF('Your debts'!$D$20="Avalanche",'Avalanche workings'!$O$282,'Snowball workings'!$O$282)+IF('Your debts'!$D$20="Avalanche",'Avalanche workings'!$AI$282,'Snowball workings'!$AI$282))</f>
      </c>
      <c r="M280" s="30">
        <f>IF(OR(275&gt;$Z$1,NOT(OR('Your debts'!$B$9&lt;&gt;"",N('Your debts'!$C$9)&gt;0))),"",IF('Your debts'!$D$20="Avalanche",'Avalanche workings'!$AS$282,'Snowball workings'!$AS$282))</f>
      </c>
      <c r="N280" s="29">
        <f>IF(OR(275&gt;$Z$1,NOT(OR('Your debts'!$B$10&lt;&gt;"",N('Your debts'!$C$10)&gt;0))),"",IF('Your debts'!$D$20="Avalanche",'Avalanche workings'!$P$282,'Snowball workings'!$P$282)+IF('Your debts'!$D$20="Avalanche",'Avalanche workings'!$AJ$282,'Snowball workings'!$AJ$282))</f>
      </c>
      <c r="O280" s="30">
        <f>IF(OR(275&gt;$Z$1,NOT(OR('Your debts'!$B$10&lt;&gt;"",N('Your debts'!$C$10)&gt;0))),"",IF('Your debts'!$D$20="Avalanche",'Avalanche workings'!$AT$282,'Snowball workings'!$AT$282))</f>
      </c>
      <c r="P280" s="29">
        <f>IF(OR(275&gt;$Z$1,NOT(OR('Your debts'!$B$11&lt;&gt;"",N('Your debts'!$C$11)&gt;0))),"",IF('Your debts'!$D$20="Avalanche",'Avalanche workings'!$Q$282,'Snowball workings'!$Q$282)+IF('Your debts'!$D$20="Avalanche",'Avalanche workings'!$AK$282,'Snowball workings'!$AK$282))</f>
      </c>
      <c r="Q280" s="30">
        <f>IF(OR(275&gt;$Z$1,NOT(OR('Your debts'!$B$11&lt;&gt;"",N('Your debts'!$C$11)&gt;0))),"",IF('Your debts'!$D$20="Avalanche",'Avalanche workings'!$AU$282,'Snowball workings'!$AU$282))</f>
      </c>
      <c r="R280" s="29">
        <f>IF(OR(275&gt;$Z$1,NOT(OR('Your debts'!$B$12&lt;&gt;"",N('Your debts'!$C$12)&gt;0))),"",IF('Your debts'!$D$20="Avalanche",'Avalanche workings'!$R$282,'Snowball workings'!$R$282)+IF('Your debts'!$D$20="Avalanche",'Avalanche workings'!$AL$282,'Snowball workings'!$AL$282))</f>
      </c>
      <c r="S280" s="30">
        <f>IF(OR(275&gt;$Z$1,NOT(OR('Your debts'!$B$12&lt;&gt;"",N('Your debts'!$C$12)&gt;0))),"",IF('Your debts'!$D$20="Avalanche",'Avalanche workings'!$AV$282,'Snowball workings'!$AV$282))</f>
      </c>
      <c r="T280" s="29">
        <f>IF(OR(275&gt;$Z$1,NOT(OR('Your debts'!$B$13&lt;&gt;"",N('Your debts'!$C$13)&gt;0))),"",IF('Your debts'!$D$20="Avalanche",'Avalanche workings'!$S$282,'Snowball workings'!$S$282)+IF('Your debts'!$D$20="Avalanche",'Avalanche workings'!$AM$282,'Snowball workings'!$AM$282))</f>
      </c>
      <c r="U280" s="30">
        <f>IF(OR(275&gt;$Z$1,NOT(OR('Your debts'!$B$13&lt;&gt;"",N('Your debts'!$C$13)&gt;0))),"",IF('Your debts'!$D$20="Avalanche",'Avalanche workings'!$AW$282,'Snowball workings'!$AW$282))</f>
      </c>
      <c r="V280" s="29">
        <f>IF(OR(275&gt;$Z$1,NOT(OR('Your debts'!$B$14&lt;&gt;"",N('Your debts'!$C$14)&gt;0))),"",IF('Your debts'!$D$20="Avalanche",'Avalanche workings'!$T$282,'Snowball workings'!$T$282)+IF('Your debts'!$D$20="Avalanche",'Avalanche workings'!$AN$282,'Snowball workings'!$AN$282))</f>
      </c>
      <c r="W280" s="30">
        <f>IF(OR(275&gt;$Z$1,NOT(OR('Your debts'!$B$14&lt;&gt;"",N('Your debts'!$C$14)&gt;0))),"",IF('Your debts'!$D$20="Avalanche",'Avalanche workings'!$AX$282,'Snowball workings'!$AX$282))</f>
      </c>
      <c r="X280" s="29">
        <f>IF(OR(275&gt;$Z$1,NOT(OR('Your debts'!$B$15&lt;&gt;"",N('Your debts'!$C$15)&gt;0))),"",IF('Your debts'!$D$20="Avalanche",'Avalanche workings'!$U$282,'Snowball workings'!$U$282)+IF('Your debts'!$D$20="Avalanche",'Avalanche workings'!$AO$282,'Snowball workings'!$AO$282))</f>
      </c>
      <c r="Y280" s="30">
        <f>IF(OR(275&gt;$Z$1,NOT(OR('Your debts'!$B$15&lt;&gt;"",N('Your debts'!$C$15)&gt;0))),"",IF('Your debts'!$D$20="Avalanche",'Avalanche workings'!$AY$282,'Snowball workings'!$AY$282))</f>
      </c>
    </row>
    <row r="281" spans="1:25" x14ac:dyDescent="0.25">
      <c r="A281" s="2">
        <f>IF(276&gt;$Z$1,"",276)</f>
      </c>
      <c r="B281" s="28">
        <f>IF(276&gt;$Z$1,"",EDATE('Your debts'!$D$21,275))</f>
      </c>
      <c r="C281" s="29">
        <f>IF(276&gt;$Z$1,"",IF('Your debts'!$D$20="Avalanche",'Avalanche workings'!$BC$283,'Snowball workings'!$BC$283))</f>
      </c>
      <c r="D281" s="29">
        <f>IF(276&gt;$Z$1,"",IF('Your debts'!$D$20="Avalanche",'Avalanche workings'!$BA$283,'Snowball workings'!$BA$283))</f>
      </c>
      <c r="E281" s="29">
        <f>IF(276&gt;$Z$1,"",IF('Your debts'!$D$20="Avalanche",'Avalanche workings'!$BB$283,'Snowball workings'!$BB$283))</f>
      </c>
      <c r="F281" s="29">
        <f>IF(OR(276&gt;$Z$1,NOT(OR('Your debts'!$B$6&lt;&gt;"",N('Your debts'!$C$6)&gt;0))),"",IF('Your debts'!$D$20="Avalanche",'Avalanche workings'!$L$283,'Snowball workings'!$L$283)+IF('Your debts'!$D$20="Avalanche",'Avalanche workings'!$AF$283,'Snowball workings'!$AF$283))</f>
      </c>
      <c r="G281" s="30">
        <f>IF(OR(276&gt;$Z$1,NOT(OR('Your debts'!$B$6&lt;&gt;"",N('Your debts'!$C$6)&gt;0))),"",IF('Your debts'!$D$20="Avalanche",'Avalanche workings'!$AP$283,'Snowball workings'!$AP$283))</f>
      </c>
      <c r="H281" s="29">
        <f>IF(OR(276&gt;$Z$1,NOT(OR('Your debts'!$B$7&lt;&gt;"",N('Your debts'!$C$7)&gt;0))),"",IF('Your debts'!$D$20="Avalanche",'Avalanche workings'!$M$283,'Snowball workings'!$M$283)+IF('Your debts'!$D$20="Avalanche",'Avalanche workings'!$AG$283,'Snowball workings'!$AG$283))</f>
      </c>
      <c r="I281" s="30">
        <f>IF(OR(276&gt;$Z$1,NOT(OR('Your debts'!$B$7&lt;&gt;"",N('Your debts'!$C$7)&gt;0))),"",IF('Your debts'!$D$20="Avalanche",'Avalanche workings'!$AQ$283,'Snowball workings'!$AQ$283))</f>
      </c>
      <c r="J281" s="29">
        <f>IF(OR(276&gt;$Z$1,NOT(OR('Your debts'!$B$8&lt;&gt;"",N('Your debts'!$C$8)&gt;0))),"",IF('Your debts'!$D$20="Avalanche",'Avalanche workings'!$N$283,'Snowball workings'!$N$283)+IF('Your debts'!$D$20="Avalanche",'Avalanche workings'!$AH$283,'Snowball workings'!$AH$283))</f>
      </c>
      <c r="K281" s="30">
        <f>IF(OR(276&gt;$Z$1,NOT(OR('Your debts'!$B$8&lt;&gt;"",N('Your debts'!$C$8)&gt;0))),"",IF('Your debts'!$D$20="Avalanche",'Avalanche workings'!$AR$283,'Snowball workings'!$AR$283))</f>
      </c>
      <c r="L281" s="29">
        <f>IF(OR(276&gt;$Z$1,NOT(OR('Your debts'!$B$9&lt;&gt;"",N('Your debts'!$C$9)&gt;0))),"",IF('Your debts'!$D$20="Avalanche",'Avalanche workings'!$O$283,'Snowball workings'!$O$283)+IF('Your debts'!$D$20="Avalanche",'Avalanche workings'!$AI$283,'Snowball workings'!$AI$283))</f>
      </c>
      <c r="M281" s="30">
        <f>IF(OR(276&gt;$Z$1,NOT(OR('Your debts'!$B$9&lt;&gt;"",N('Your debts'!$C$9)&gt;0))),"",IF('Your debts'!$D$20="Avalanche",'Avalanche workings'!$AS$283,'Snowball workings'!$AS$283))</f>
      </c>
      <c r="N281" s="29">
        <f>IF(OR(276&gt;$Z$1,NOT(OR('Your debts'!$B$10&lt;&gt;"",N('Your debts'!$C$10)&gt;0))),"",IF('Your debts'!$D$20="Avalanche",'Avalanche workings'!$P$283,'Snowball workings'!$P$283)+IF('Your debts'!$D$20="Avalanche",'Avalanche workings'!$AJ$283,'Snowball workings'!$AJ$283))</f>
      </c>
      <c r="O281" s="30">
        <f>IF(OR(276&gt;$Z$1,NOT(OR('Your debts'!$B$10&lt;&gt;"",N('Your debts'!$C$10)&gt;0))),"",IF('Your debts'!$D$20="Avalanche",'Avalanche workings'!$AT$283,'Snowball workings'!$AT$283))</f>
      </c>
      <c r="P281" s="29">
        <f>IF(OR(276&gt;$Z$1,NOT(OR('Your debts'!$B$11&lt;&gt;"",N('Your debts'!$C$11)&gt;0))),"",IF('Your debts'!$D$20="Avalanche",'Avalanche workings'!$Q$283,'Snowball workings'!$Q$283)+IF('Your debts'!$D$20="Avalanche",'Avalanche workings'!$AK$283,'Snowball workings'!$AK$283))</f>
      </c>
      <c r="Q281" s="30">
        <f>IF(OR(276&gt;$Z$1,NOT(OR('Your debts'!$B$11&lt;&gt;"",N('Your debts'!$C$11)&gt;0))),"",IF('Your debts'!$D$20="Avalanche",'Avalanche workings'!$AU$283,'Snowball workings'!$AU$283))</f>
      </c>
      <c r="R281" s="29">
        <f>IF(OR(276&gt;$Z$1,NOT(OR('Your debts'!$B$12&lt;&gt;"",N('Your debts'!$C$12)&gt;0))),"",IF('Your debts'!$D$20="Avalanche",'Avalanche workings'!$R$283,'Snowball workings'!$R$283)+IF('Your debts'!$D$20="Avalanche",'Avalanche workings'!$AL$283,'Snowball workings'!$AL$283))</f>
      </c>
      <c r="S281" s="30">
        <f>IF(OR(276&gt;$Z$1,NOT(OR('Your debts'!$B$12&lt;&gt;"",N('Your debts'!$C$12)&gt;0))),"",IF('Your debts'!$D$20="Avalanche",'Avalanche workings'!$AV$283,'Snowball workings'!$AV$283))</f>
      </c>
      <c r="T281" s="29">
        <f>IF(OR(276&gt;$Z$1,NOT(OR('Your debts'!$B$13&lt;&gt;"",N('Your debts'!$C$13)&gt;0))),"",IF('Your debts'!$D$20="Avalanche",'Avalanche workings'!$S$283,'Snowball workings'!$S$283)+IF('Your debts'!$D$20="Avalanche",'Avalanche workings'!$AM$283,'Snowball workings'!$AM$283))</f>
      </c>
      <c r="U281" s="30">
        <f>IF(OR(276&gt;$Z$1,NOT(OR('Your debts'!$B$13&lt;&gt;"",N('Your debts'!$C$13)&gt;0))),"",IF('Your debts'!$D$20="Avalanche",'Avalanche workings'!$AW$283,'Snowball workings'!$AW$283))</f>
      </c>
      <c r="V281" s="29">
        <f>IF(OR(276&gt;$Z$1,NOT(OR('Your debts'!$B$14&lt;&gt;"",N('Your debts'!$C$14)&gt;0))),"",IF('Your debts'!$D$20="Avalanche",'Avalanche workings'!$T$283,'Snowball workings'!$T$283)+IF('Your debts'!$D$20="Avalanche",'Avalanche workings'!$AN$283,'Snowball workings'!$AN$283))</f>
      </c>
      <c r="W281" s="30">
        <f>IF(OR(276&gt;$Z$1,NOT(OR('Your debts'!$B$14&lt;&gt;"",N('Your debts'!$C$14)&gt;0))),"",IF('Your debts'!$D$20="Avalanche",'Avalanche workings'!$AX$283,'Snowball workings'!$AX$283))</f>
      </c>
      <c r="X281" s="29">
        <f>IF(OR(276&gt;$Z$1,NOT(OR('Your debts'!$B$15&lt;&gt;"",N('Your debts'!$C$15)&gt;0))),"",IF('Your debts'!$D$20="Avalanche",'Avalanche workings'!$U$283,'Snowball workings'!$U$283)+IF('Your debts'!$D$20="Avalanche",'Avalanche workings'!$AO$283,'Snowball workings'!$AO$283))</f>
      </c>
      <c r="Y281" s="30">
        <f>IF(OR(276&gt;$Z$1,NOT(OR('Your debts'!$B$15&lt;&gt;"",N('Your debts'!$C$15)&gt;0))),"",IF('Your debts'!$D$20="Avalanche",'Avalanche workings'!$AY$283,'Snowball workings'!$AY$283))</f>
      </c>
    </row>
    <row r="282" spans="1:25" x14ac:dyDescent="0.25">
      <c r="A282" s="2">
        <f>IF(277&gt;$Z$1,"",277)</f>
      </c>
      <c r="B282" s="28">
        <f>IF(277&gt;$Z$1,"",EDATE('Your debts'!$D$21,276))</f>
      </c>
      <c r="C282" s="29">
        <f>IF(277&gt;$Z$1,"",IF('Your debts'!$D$20="Avalanche",'Avalanche workings'!$BC$284,'Snowball workings'!$BC$284))</f>
      </c>
      <c r="D282" s="29">
        <f>IF(277&gt;$Z$1,"",IF('Your debts'!$D$20="Avalanche",'Avalanche workings'!$BA$284,'Snowball workings'!$BA$284))</f>
      </c>
      <c r="E282" s="29">
        <f>IF(277&gt;$Z$1,"",IF('Your debts'!$D$20="Avalanche",'Avalanche workings'!$BB$284,'Snowball workings'!$BB$284))</f>
      </c>
      <c r="F282" s="29">
        <f>IF(OR(277&gt;$Z$1,NOT(OR('Your debts'!$B$6&lt;&gt;"",N('Your debts'!$C$6)&gt;0))),"",IF('Your debts'!$D$20="Avalanche",'Avalanche workings'!$L$284,'Snowball workings'!$L$284)+IF('Your debts'!$D$20="Avalanche",'Avalanche workings'!$AF$284,'Snowball workings'!$AF$284))</f>
      </c>
      <c r="G282" s="30">
        <f>IF(OR(277&gt;$Z$1,NOT(OR('Your debts'!$B$6&lt;&gt;"",N('Your debts'!$C$6)&gt;0))),"",IF('Your debts'!$D$20="Avalanche",'Avalanche workings'!$AP$284,'Snowball workings'!$AP$284))</f>
      </c>
      <c r="H282" s="29">
        <f>IF(OR(277&gt;$Z$1,NOT(OR('Your debts'!$B$7&lt;&gt;"",N('Your debts'!$C$7)&gt;0))),"",IF('Your debts'!$D$20="Avalanche",'Avalanche workings'!$M$284,'Snowball workings'!$M$284)+IF('Your debts'!$D$20="Avalanche",'Avalanche workings'!$AG$284,'Snowball workings'!$AG$284))</f>
      </c>
      <c r="I282" s="30">
        <f>IF(OR(277&gt;$Z$1,NOT(OR('Your debts'!$B$7&lt;&gt;"",N('Your debts'!$C$7)&gt;0))),"",IF('Your debts'!$D$20="Avalanche",'Avalanche workings'!$AQ$284,'Snowball workings'!$AQ$284))</f>
      </c>
      <c r="J282" s="29">
        <f>IF(OR(277&gt;$Z$1,NOT(OR('Your debts'!$B$8&lt;&gt;"",N('Your debts'!$C$8)&gt;0))),"",IF('Your debts'!$D$20="Avalanche",'Avalanche workings'!$N$284,'Snowball workings'!$N$284)+IF('Your debts'!$D$20="Avalanche",'Avalanche workings'!$AH$284,'Snowball workings'!$AH$284))</f>
      </c>
      <c r="K282" s="30">
        <f>IF(OR(277&gt;$Z$1,NOT(OR('Your debts'!$B$8&lt;&gt;"",N('Your debts'!$C$8)&gt;0))),"",IF('Your debts'!$D$20="Avalanche",'Avalanche workings'!$AR$284,'Snowball workings'!$AR$284))</f>
      </c>
      <c r="L282" s="29">
        <f>IF(OR(277&gt;$Z$1,NOT(OR('Your debts'!$B$9&lt;&gt;"",N('Your debts'!$C$9)&gt;0))),"",IF('Your debts'!$D$20="Avalanche",'Avalanche workings'!$O$284,'Snowball workings'!$O$284)+IF('Your debts'!$D$20="Avalanche",'Avalanche workings'!$AI$284,'Snowball workings'!$AI$284))</f>
      </c>
      <c r="M282" s="30">
        <f>IF(OR(277&gt;$Z$1,NOT(OR('Your debts'!$B$9&lt;&gt;"",N('Your debts'!$C$9)&gt;0))),"",IF('Your debts'!$D$20="Avalanche",'Avalanche workings'!$AS$284,'Snowball workings'!$AS$284))</f>
      </c>
      <c r="N282" s="29">
        <f>IF(OR(277&gt;$Z$1,NOT(OR('Your debts'!$B$10&lt;&gt;"",N('Your debts'!$C$10)&gt;0))),"",IF('Your debts'!$D$20="Avalanche",'Avalanche workings'!$P$284,'Snowball workings'!$P$284)+IF('Your debts'!$D$20="Avalanche",'Avalanche workings'!$AJ$284,'Snowball workings'!$AJ$284))</f>
      </c>
      <c r="O282" s="30">
        <f>IF(OR(277&gt;$Z$1,NOT(OR('Your debts'!$B$10&lt;&gt;"",N('Your debts'!$C$10)&gt;0))),"",IF('Your debts'!$D$20="Avalanche",'Avalanche workings'!$AT$284,'Snowball workings'!$AT$284))</f>
      </c>
      <c r="P282" s="29">
        <f>IF(OR(277&gt;$Z$1,NOT(OR('Your debts'!$B$11&lt;&gt;"",N('Your debts'!$C$11)&gt;0))),"",IF('Your debts'!$D$20="Avalanche",'Avalanche workings'!$Q$284,'Snowball workings'!$Q$284)+IF('Your debts'!$D$20="Avalanche",'Avalanche workings'!$AK$284,'Snowball workings'!$AK$284))</f>
      </c>
      <c r="Q282" s="30">
        <f>IF(OR(277&gt;$Z$1,NOT(OR('Your debts'!$B$11&lt;&gt;"",N('Your debts'!$C$11)&gt;0))),"",IF('Your debts'!$D$20="Avalanche",'Avalanche workings'!$AU$284,'Snowball workings'!$AU$284))</f>
      </c>
      <c r="R282" s="29">
        <f>IF(OR(277&gt;$Z$1,NOT(OR('Your debts'!$B$12&lt;&gt;"",N('Your debts'!$C$12)&gt;0))),"",IF('Your debts'!$D$20="Avalanche",'Avalanche workings'!$R$284,'Snowball workings'!$R$284)+IF('Your debts'!$D$20="Avalanche",'Avalanche workings'!$AL$284,'Snowball workings'!$AL$284))</f>
      </c>
      <c r="S282" s="30">
        <f>IF(OR(277&gt;$Z$1,NOT(OR('Your debts'!$B$12&lt;&gt;"",N('Your debts'!$C$12)&gt;0))),"",IF('Your debts'!$D$20="Avalanche",'Avalanche workings'!$AV$284,'Snowball workings'!$AV$284))</f>
      </c>
      <c r="T282" s="29">
        <f>IF(OR(277&gt;$Z$1,NOT(OR('Your debts'!$B$13&lt;&gt;"",N('Your debts'!$C$13)&gt;0))),"",IF('Your debts'!$D$20="Avalanche",'Avalanche workings'!$S$284,'Snowball workings'!$S$284)+IF('Your debts'!$D$20="Avalanche",'Avalanche workings'!$AM$284,'Snowball workings'!$AM$284))</f>
      </c>
      <c r="U282" s="30">
        <f>IF(OR(277&gt;$Z$1,NOT(OR('Your debts'!$B$13&lt;&gt;"",N('Your debts'!$C$13)&gt;0))),"",IF('Your debts'!$D$20="Avalanche",'Avalanche workings'!$AW$284,'Snowball workings'!$AW$284))</f>
      </c>
      <c r="V282" s="29">
        <f>IF(OR(277&gt;$Z$1,NOT(OR('Your debts'!$B$14&lt;&gt;"",N('Your debts'!$C$14)&gt;0))),"",IF('Your debts'!$D$20="Avalanche",'Avalanche workings'!$T$284,'Snowball workings'!$T$284)+IF('Your debts'!$D$20="Avalanche",'Avalanche workings'!$AN$284,'Snowball workings'!$AN$284))</f>
      </c>
      <c r="W282" s="30">
        <f>IF(OR(277&gt;$Z$1,NOT(OR('Your debts'!$B$14&lt;&gt;"",N('Your debts'!$C$14)&gt;0))),"",IF('Your debts'!$D$20="Avalanche",'Avalanche workings'!$AX$284,'Snowball workings'!$AX$284))</f>
      </c>
      <c r="X282" s="29">
        <f>IF(OR(277&gt;$Z$1,NOT(OR('Your debts'!$B$15&lt;&gt;"",N('Your debts'!$C$15)&gt;0))),"",IF('Your debts'!$D$20="Avalanche",'Avalanche workings'!$U$284,'Snowball workings'!$U$284)+IF('Your debts'!$D$20="Avalanche",'Avalanche workings'!$AO$284,'Snowball workings'!$AO$284))</f>
      </c>
      <c r="Y282" s="30">
        <f>IF(OR(277&gt;$Z$1,NOT(OR('Your debts'!$B$15&lt;&gt;"",N('Your debts'!$C$15)&gt;0))),"",IF('Your debts'!$D$20="Avalanche",'Avalanche workings'!$AY$284,'Snowball workings'!$AY$284))</f>
      </c>
    </row>
    <row r="283" spans="1:25" x14ac:dyDescent="0.25">
      <c r="A283" s="2">
        <f>IF(278&gt;$Z$1,"",278)</f>
      </c>
      <c r="B283" s="28">
        <f>IF(278&gt;$Z$1,"",EDATE('Your debts'!$D$21,277))</f>
      </c>
      <c r="C283" s="29">
        <f>IF(278&gt;$Z$1,"",IF('Your debts'!$D$20="Avalanche",'Avalanche workings'!$BC$285,'Snowball workings'!$BC$285))</f>
      </c>
      <c r="D283" s="29">
        <f>IF(278&gt;$Z$1,"",IF('Your debts'!$D$20="Avalanche",'Avalanche workings'!$BA$285,'Snowball workings'!$BA$285))</f>
      </c>
      <c r="E283" s="29">
        <f>IF(278&gt;$Z$1,"",IF('Your debts'!$D$20="Avalanche",'Avalanche workings'!$BB$285,'Snowball workings'!$BB$285))</f>
      </c>
      <c r="F283" s="29">
        <f>IF(OR(278&gt;$Z$1,NOT(OR('Your debts'!$B$6&lt;&gt;"",N('Your debts'!$C$6)&gt;0))),"",IF('Your debts'!$D$20="Avalanche",'Avalanche workings'!$L$285,'Snowball workings'!$L$285)+IF('Your debts'!$D$20="Avalanche",'Avalanche workings'!$AF$285,'Snowball workings'!$AF$285))</f>
      </c>
      <c r="G283" s="30">
        <f>IF(OR(278&gt;$Z$1,NOT(OR('Your debts'!$B$6&lt;&gt;"",N('Your debts'!$C$6)&gt;0))),"",IF('Your debts'!$D$20="Avalanche",'Avalanche workings'!$AP$285,'Snowball workings'!$AP$285))</f>
      </c>
      <c r="H283" s="29">
        <f>IF(OR(278&gt;$Z$1,NOT(OR('Your debts'!$B$7&lt;&gt;"",N('Your debts'!$C$7)&gt;0))),"",IF('Your debts'!$D$20="Avalanche",'Avalanche workings'!$M$285,'Snowball workings'!$M$285)+IF('Your debts'!$D$20="Avalanche",'Avalanche workings'!$AG$285,'Snowball workings'!$AG$285))</f>
      </c>
      <c r="I283" s="30">
        <f>IF(OR(278&gt;$Z$1,NOT(OR('Your debts'!$B$7&lt;&gt;"",N('Your debts'!$C$7)&gt;0))),"",IF('Your debts'!$D$20="Avalanche",'Avalanche workings'!$AQ$285,'Snowball workings'!$AQ$285))</f>
      </c>
      <c r="J283" s="29">
        <f>IF(OR(278&gt;$Z$1,NOT(OR('Your debts'!$B$8&lt;&gt;"",N('Your debts'!$C$8)&gt;0))),"",IF('Your debts'!$D$20="Avalanche",'Avalanche workings'!$N$285,'Snowball workings'!$N$285)+IF('Your debts'!$D$20="Avalanche",'Avalanche workings'!$AH$285,'Snowball workings'!$AH$285))</f>
      </c>
      <c r="K283" s="30">
        <f>IF(OR(278&gt;$Z$1,NOT(OR('Your debts'!$B$8&lt;&gt;"",N('Your debts'!$C$8)&gt;0))),"",IF('Your debts'!$D$20="Avalanche",'Avalanche workings'!$AR$285,'Snowball workings'!$AR$285))</f>
      </c>
      <c r="L283" s="29">
        <f>IF(OR(278&gt;$Z$1,NOT(OR('Your debts'!$B$9&lt;&gt;"",N('Your debts'!$C$9)&gt;0))),"",IF('Your debts'!$D$20="Avalanche",'Avalanche workings'!$O$285,'Snowball workings'!$O$285)+IF('Your debts'!$D$20="Avalanche",'Avalanche workings'!$AI$285,'Snowball workings'!$AI$285))</f>
      </c>
      <c r="M283" s="30">
        <f>IF(OR(278&gt;$Z$1,NOT(OR('Your debts'!$B$9&lt;&gt;"",N('Your debts'!$C$9)&gt;0))),"",IF('Your debts'!$D$20="Avalanche",'Avalanche workings'!$AS$285,'Snowball workings'!$AS$285))</f>
      </c>
      <c r="N283" s="29">
        <f>IF(OR(278&gt;$Z$1,NOT(OR('Your debts'!$B$10&lt;&gt;"",N('Your debts'!$C$10)&gt;0))),"",IF('Your debts'!$D$20="Avalanche",'Avalanche workings'!$P$285,'Snowball workings'!$P$285)+IF('Your debts'!$D$20="Avalanche",'Avalanche workings'!$AJ$285,'Snowball workings'!$AJ$285))</f>
      </c>
      <c r="O283" s="30">
        <f>IF(OR(278&gt;$Z$1,NOT(OR('Your debts'!$B$10&lt;&gt;"",N('Your debts'!$C$10)&gt;0))),"",IF('Your debts'!$D$20="Avalanche",'Avalanche workings'!$AT$285,'Snowball workings'!$AT$285))</f>
      </c>
      <c r="P283" s="29">
        <f>IF(OR(278&gt;$Z$1,NOT(OR('Your debts'!$B$11&lt;&gt;"",N('Your debts'!$C$11)&gt;0))),"",IF('Your debts'!$D$20="Avalanche",'Avalanche workings'!$Q$285,'Snowball workings'!$Q$285)+IF('Your debts'!$D$20="Avalanche",'Avalanche workings'!$AK$285,'Snowball workings'!$AK$285))</f>
      </c>
      <c r="Q283" s="30">
        <f>IF(OR(278&gt;$Z$1,NOT(OR('Your debts'!$B$11&lt;&gt;"",N('Your debts'!$C$11)&gt;0))),"",IF('Your debts'!$D$20="Avalanche",'Avalanche workings'!$AU$285,'Snowball workings'!$AU$285))</f>
      </c>
      <c r="R283" s="29">
        <f>IF(OR(278&gt;$Z$1,NOT(OR('Your debts'!$B$12&lt;&gt;"",N('Your debts'!$C$12)&gt;0))),"",IF('Your debts'!$D$20="Avalanche",'Avalanche workings'!$R$285,'Snowball workings'!$R$285)+IF('Your debts'!$D$20="Avalanche",'Avalanche workings'!$AL$285,'Snowball workings'!$AL$285))</f>
      </c>
      <c r="S283" s="30">
        <f>IF(OR(278&gt;$Z$1,NOT(OR('Your debts'!$B$12&lt;&gt;"",N('Your debts'!$C$12)&gt;0))),"",IF('Your debts'!$D$20="Avalanche",'Avalanche workings'!$AV$285,'Snowball workings'!$AV$285))</f>
      </c>
      <c r="T283" s="29">
        <f>IF(OR(278&gt;$Z$1,NOT(OR('Your debts'!$B$13&lt;&gt;"",N('Your debts'!$C$13)&gt;0))),"",IF('Your debts'!$D$20="Avalanche",'Avalanche workings'!$S$285,'Snowball workings'!$S$285)+IF('Your debts'!$D$20="Avalanche",'Avalanche workings'!$AM$285,'Snowball workings'!$AM$285))</f>
      </c>
      <c r="U283" s="30">
        <f>IF(OR(278&gt;$Z$1,NOT(OR('Your debts'!$B$13&lt;&gt;"",N('Your debts'!$C$13)&gt;0))),"",IF('Your debts'!$D$20="Avalanche",'Avalanche workings'!$AW$285,'Snowball workings'!$AW$285))</f>
      </c>
      <c r="V283" s="29">
        <f>IF(OR(278&gt;$Z$1,NOT(OR('Your debts'!$B$14&lt;&gt;"",N('Your debts'!$C$14)&gt;0))),"",IF('Your debts'!$D$20="Avalanche",'Avalanche workings'!$T$285,'Snowball workings'!$T$285)+IF('Your debts'!$D$20="Avalanche",'Avalanche workings'!$AN$285,'Snowball workings'!$AN$285))</f>
      </c>
      <c r="W283" s="30">
        <f>IF(OR(278&gt;$Z$1,NOT(OR('Your debts'!$B$14&lt;&gt;"",N('Your debts'!$C$14)&gt;0))),"",IF('Your debts'!$D$20="Avalanche",'Avalanche workings'!$AX$285,'Snowball workings'!$AX$285))</f>
      </c>
      <c r="X283" s="29">
        <f>IF(OR(278&gt;$Z$1,NOT(OR('Your debts'!$B$15&lt;&gt;"",N('Your debts'!$C$15)&gt;0))),"",IF('Your debts'!$D$20="Avalanche",'Avalanche workings'!$U$285,'Snowball workings'!$U$285)+IF('Your debts'!$D$20="Avalanche",'Avalanche workings'!$AO$285,'Snowball workings'!$AO$285))</f>
      </c>
      <c r="Y283" s="30">
        <f>IF(OR(278&gt;$Z$1,NOT(OR('Your debts'!$B$15&lt;&gt;"",N('Your debts'!$C$15)&gt;0))),"",IF('Your debts'!$D$20="Avalanche",'Avalanche workings'!$AY$285,'Snowball workings'!$AY$285))</f>
      </c>
    </row>
    <row r="284" spans="1:25" x14ac:dyDescent="0.25">
      <c r="A284" s="2">
        <f>IF(279&gt;$Z$1,"",279)</f>
      </c>
      <c r="B284" s="28">
        <f>IF(279&gt;$Z$1,"",EDATE('Your debts'!$D$21,278))</f>
      </c>
      <c r="C284" s="29">
        <f>IF(279&gt;$Z$1,"",IF('Your debts'!$D$20="Avalanche",'Avalanche workings'!$BC$286,'Snowball workings'!$BC$286))</f>
      </c>
      <c r="D284" s="29">
        <f>IF(279&gt;$Z$1,"",IF('Your debts'!$D$20="Avalanche",'Avalanche workings'!$BA$286,'Snowball workings'!$BA$286))</f>
      </c>
      <c r="E284" s="29">
        <f>IF(279&gt;$Z$1,"",IF('Your debts'!$D$20="Avalanche",'Avalanche workings'!$BB$286,'Snowball workings'!$BB$286))</f>
      </c>
      <c r="F284" s="29">
        <f>IF(OR(279&gt;$Z$1,NOT(OR('Your debts'!$B$6&lt;&gt;"",N('Your debts'!$C$6)&gt;0))),"",IF('Your debts'!$D$20="Avalanche",'Avalanche workings'!$L$286,'Snowball workings'!$L$286)+IF('Your debts'!$D$20="Avalanche",'Avalanche workings'!$AF$286,'Snowball workings'!$AF$286))</f>
      </c>
      <c r="G284" s="30">
        <f>IF(OR(279&gt;$Z$1,NOT(OR('Your debts'!$B$6&lt;&gt;"",N('Your debts'!$C$6)&gt;0))),"",IF('Your debts'!$D$20="Avalanche",'Avalanche workings'!$AP$286,'Snowball workings'!$AP$286))</f>
      </c>
      <c r="H284" s="29">
        <f>IF(OR(279&gt;$Z$1,NOT(OR('Your debts'!$B$7&lt;&gt;"",N('Your debts'!$C$7)&gt;0))),"",IF('Your debts'!$D$20="Avalanche",'Avalanche workings'!$M$286,'Snowball workings'!$M$286)+IF('Your debts'!$D$20="Avalanche",'Avalanche workings'!$AG$286,'Snowball workings'!$AG$286))</f>
      </c>
      <c r="I284" s="30">
        <f>IF(OR(279&gt;$Z$1,NOT(OR('Your debts'!$B$7&lt;&gt;"",N('Your debts'!$C$7)&gt;0))),"",IF('Your debts'!$D$20="Avalanche",'Avalanche workings'!$AQ$286,'Snowball workings'!$AQ$286))</f>
      </c>
      <c r="J284" s="29">
        <f>IF(OR(279&gt;$Z$1,NOT(OR('Your debts'!$B$8&lt;&gt;"",N('Your debts'!$C$8)&gt;0))),"",IF('Your debts'!$D$20="Avalanche",'Avalanche workings'!$N$286,'Snowball workings'!$N$286)+IF('Your debts'!$D$20="Avalanche",'Avalanche workings'!$AH$286,'Snowball workings'!$AH$286))</f>
      </c>
      <c r="K284" s="30">
        <f>IF(OR(279&gt;$Z$1,NOT(OR('Your debts'!$B$8&lt;&gt;"",N('Your debts'!$C$8)&gt;0))),"",IF('Your debts'!$D$20="Avalanche",'Avalanche workings'!$AR$286,'Snowball workings'!$AR$286))</f>
      </c>
      <c r="L284" s="29">
        <f>IF(OR(279&gt;$Z$1,NOT(OR('Your debts'!$B$9&lt;&gt;"",N('Your debts'!$C$9)&gt;0))),"",IF('Your debts'!$D$20="Avalanche",'Avalanche workings'!$O$286,'Snowball workings'!$O$286)+IF('Your debts'!$D$20="Avalanche",'Avalanche workings'!$AI$286,'Snowball workings'!$AI$286))</f>
      </c>
      <c r="M284" s="30">
        <f>IF(OR(279&gt;$Z$1,NOT(OR('Your debts'!$B$9&lt;&gt;"",N('Your debts'!$C$9)&gt;0))),"",IF('Your debts'!$D$20="Avalanche",'Avalanche workings'!$AS$286,'Snowball workings'!$AS$286))</f>
      </c>
      <c r="N284" s="29">
        <f>IF(OR(279&gt;$Z$1,NOT(OR('Your debts'!$B$10&lt;&gt;"",N('Your debts'!$C$10)&gt;0))),"",IF('Your debts'!$D$20="Avalanche",'Avalanche workings'!$P$286,'Snowball workings'!$P$286)+IF('Your debts'!$D$20="Avalanche",'Avalanche workings'!$AJ$286,'Snowball workings'!$AJ$286))</f>
      </c>
      <c r="O284" s="30">
        <f>IF(OR(279&gt;$Z$1,NOT(OR('Your debts'!$B$10&lt;&gt;"",N('Your debts'!$C$10)&gt;0))),"",IF('Your debts'!$D$20="Avalanche",'Avalanche workings'!$AT$286,'Snowball workings'!$AT$286))</f>
      </c>
      <c r="P284" s="29">
        <f>IF(OR(279&gt;$Z$1,NOT(OR('Your debts'!$B$11&lt;&gt;"",N('Your debts'!$C$11)&gt;0))),"",IF('Your debts'!$D$20="Avalanche",'Avalanche workings'!$Q$286,'Snowball workings'!$Q$286)+IF('Your debts'!$D$20="Avalanche",'Avalanche workings'!$AK$286,'Snowball workings'!$AK$286))</f>
      </c>
      <c r="Q284" s="30">
        <f>IF(OR(279&gt;$Z$1,NOT(OR('Your debts'!$B$11&lt;&gt;"",N('Your debts'!$C$11)&gt;0))),"",IF('Your debts'!$D$20="Avalanche",'Avalanche workings'!$AU$286,'Snowball workings'!$AU$286))</f>
      </c>
      <c r="R284" s="29">
        <f>IF(OR(279&gt;$Z$1,NOT(OR('Your debts'!$B$12&lt;&gt;"",N('Your debts'!$C$12)&gt;0))),"",IF('Your debts'!$D$20="Avalanche",'Avalanche workings'!$R$286,'Snowball workings'!$R$286)+IF('Your debts'!$D$20="Avalanche",'Avalanche workings'!$AL$286,'Snowball workings'!$AL$286))</f>
      </c>
      <c r="S284" s="30">
        <f>IF(OR(279&gt;$Z$1,NOT(OR('Your debts'!$B$12&lt;&gt;"",N('Your debts'!$C$12)&gt;0))),"",IF('Your debts'!$D$20="Avalanche",'Avalanche workings'!$AV$286,'Snowball workings'!$AV$286))</f>
      </c>
      <c r="T284" s="29">
        <f>IF(OR(279&gt;$Z$1,NOT(OR('Your debts'!$B$13&lt;&gt;"",N('Your debts'!$C$13)&gt;0))),"",IF('Your debts'!$D$20="Avalanche",'Avalanche workings'!$S$286,'Snowball workings'!$S$286)+IF('Your debts'!$D$20="Avalanche",'Avalanche workings'!$AM$286,'Snowball workings'!$AM$286))</f>
      </c>
      <c r="U284" s="30">
        <f>IF(OR(279&gt;$Z$1,NOT(OR('Your debts'!$B$13&lt;&gt;"",N('Your debts'!$C$13)&gt;0))),"",IF('Your debts'!$D$20="Avalanche",'Avalanche workings'!$AW$286,'Snowball workings'!$AW$286))</f>
      </c>
      <c r="V284" s="29">
        <f>IF(OR(279&gt;$Z$1,NOT(OR('Your debts'!$B$14&lt;&gt;"",N('Your debts'!$C$14)&gt;0))),"",IF('Your debts'!$D$20="Avalanche",'Avalanche workings'!$T$286,'Snowball workings'!$T$286)+IF('Your debts'!$D$20="Avalanche",'Avalanche workings'!$AN$286,'Snowball workings'!$AN$286))</f>
      </c>
      <c r="W284" s="30">
        <f>IF(OR(279&gt;$Z$1,NOT(OR('Your debts'!$B$14&lt;&gt;"",N('Your debts'!$C$14)&gt;0))),"",IF('Your debts'!$D$20="Avalanche",'Avalanche workings'!$AX$286,'Snowball workings'!$AX$286))</f>
      </c>
      <c r="X284" s="29">
        <f>IF(OR(279&gt;$Z$1,NOT(OR('Your debts'!$B$15&lt;&gt;"",N('Your debts'!$C$15)&gt;0))),"",IF('Your debts'!$D$20="Avalanche",'Avalanche workings'!$U$286,'Snowball workings'!$U$286)+IF('Your debts'!$D$20="Avalanche",'Avalanche workings'!$AO$286,'Snowball workings'!$AO$286))</f>
      </c>
      <c r="Y284" s="30">
        <f>IF(OR(279&gt;$Z$1,NOT(OR('Your debts'!$B$15&lt;&gt;"",N('Your debts'!$C$15)&gt;0))),"",IF('Your debts'!$D$20="Avalanche",'Avalanche workings'!$AY$286,'Snowball workings'!$AY$286))</f>
      </c>
    </row>
    <row r="285" spans="1:25" x14ac:dyDescent="0.25">
      <c r="A285" s="2">
        <f>IF(280&gt;$Z$1,"",280)</f>
      </c>
      <c r="B285" s="28">
        <f>IF(280&gt;$Z$1,"",EDATE('Your debts'!$D$21,279))</f>
      </c>
      <c r="C285" s="29">
        <f>IF(280&gt;$Z$1,"",IF('Your debts'!$D$20="Avalanche",'Avalanche workings'!$BC$287,'Snowball workings'!$BC$287))</f>
      </c>
      <c r="D285" s="29">
        <f>IF(280&gt;$Z$1,"",IF('Your debts'!$D$20="Avalanche",'Avalanche workings'!$BA$287,'Snowball workings'!$BA$287))</f>
      </c>
      <c r="E285" s="29">
        <f>IF(280&gt;$Z$1,"",IF('Your debts'!$D$20="Avalanche",'Avalanche workings'!$BB$287,'Snowball workings'!$BB$287))</f>
      </c>
      <c r="F285" s="29">
        <f>IF(OR(280&gt;$Z$1,NOT(OR('Your debts'!$B$6&lt;&gt;"",N('Your debts'!$C$6)&gt;0))),"",IF('Your debts'!$D$20="Avalanche",'Avalanche workings'!$L$287,'Snowball workings'!$L$287)+IF('Your debts'!$D$20="Avalanche",'Avalanche workings'!$AF$287,'Snowball workings'!$AF$287))</f>
      </c>
      <c r="G285" s="30">
        <f>IF(OR(280&gt;$Z$1,NOT(OR('Your debts'!$B$6&lt;&gt;"",N('Your debts'!$C$6)&gt;0))),"",IF('Your debts'!$D$20="Avalanche",'Avalanche workings'!$AP$287,'Snowball workings'!$AP$287))</f>
      </c>
      <c r="H285" s="29">
        <f>IF(OR(280&gt;$Z$1,NOT(OR('Your debts'!$B$7&lt;&gt;"",N('Your debts'!$C$7)&gt;0))),"",IF('Your debts'!$D$20="Avalanche",'Avalanche workings'!$M$287,'Snowball workings'!$M$287)+IF('Your debts'!$D$20="Avalanche",'Avalanche workings'!$AG$287,'Snowball workings'!$AG$287))</f>
      </c>
      <c r="I285" s="30">
        <f>IF(OR(280&gt;$Z$1,NOT(OR('Your debts'!$B$7&lt;&gt;"",N('Your debts'!$C$7)&gt;0))),"",IF('Your debts'!$D$20="Avalanche",'Avalanche workings'!$AQ$287,'Snowball workings'!$AQ$287))</f>
      </c>
      <c r="J285" s="29">
        <f>IF(OR(280&gt;$Z$1,NOT(OR('Your debts'!$B$8&lt;&gt;"",N('Your debts'!$C$8)&gt;0))),"",IF('Your debts'!$D$20="Avalanche",'Avalanche workings'!$N$287,'Snowball workings'!$N$287)+IF('Your debts'!$D$20="Avalanche",'Avalanche workings'!$AH$287,'Snowball workings'!$AH$287))</f>
      </c>
      <c r="K285" s="30">
        <f>IF(OR(280&gt;$Z$1,NOT(OR('Your debts'!$B$8&lt;&gt;"",N('Your debts'!$C$8)&gt;0))),"",IF('Your debts'!$D$20="Avalanche",'Avalanche workings'!$AR$287,'Snowball workings'!$AR$287))</f>
      </c>
      <c r="L285" s="29">
        <f>IF(OR(280&gt;$Z$1,NOT(OR('Your debts'!$B$9&lt;&gt;"",N('Your debts'!$C$9)&gt;0))),"",IF('Your debts'!$D$20="Avalanche",'Avalanche workings'!$O$287,'Snowball workings'!$O$287)+IF('Your debts'!$D$20="Avalanche",'Avalanche workings'!$AI$287,'Snowball workings'!$AI$287))</f>
      </c>
      <c r="M285" s="30">
        <f>IF(OR(280&gt;$Z$1,NOT(OR('Your debts'!$B$9&lt;&gt;"",N('Your debts'!$C$9)&gt;0))),"",IF('Your debts'!$D$20="Avalanche",'Avalanche workings'!$AS$287,'Snowball workings'!$AS$287))</f>
      </c>
      <c r="N285" s="29">
        <f>IF(OR(280&gt;$Z$1,NOT(OR('Your debts'!$B$10&lt;&gt;"",N('Your debts'!$C$10)&gt;0))),"",IF('Your debts'!$D$20="Avalanche",'Avalanche workings'!$P$287,'Snowball workings'!$P$287)+IF('Your debts'!$D$20="Avalanche",'Avalanche workings'!$AJ$287,'Snowball workings'!$AJ$287))</f>
      </c>
      <c r="O285" s="30">
        <f>IF(OR(280&gt;$Z$1,NOT(OR('Your debts'!$B$10&lt;&gt;"",N('Your debts'!$C$10)&gt;0))),"",IF('Your debts'!$D$20="Avalanche",'Avalanche workings'!$AT$287,'Snowball workings'!$AT$287))</f>
      </c>
      <c r="P285" s="29">
        <f>IF(OR(280&gt;$Z$1,NOT(OR('Your debts'!$B$11&lt;&gt;"",N('Your debts'!$C$11)&gt;0))),"",IF('Your debts'!$D$20="Avalanche",'Avalanche workings'!$Q$287,'Snowball workings'!$Q$287)+IF('Your debts'!$D$20="Avalanche",'Avalanche workings'!$AK$287,'Snowball workings'!$AK$287))</f>
      </c>
      <c r="Q285" s="30">
        <f>IF(OR(280&gt;$Z$1,NOT(OR('Your debts'!$B$11&lt;&gt;"",N('Your debts'!$C$11)&gt;0))),"",IF('Your debts'!$D$20="Avalanche",'Avalanche workings'!$AU$287,'Snowball workings'!$AU$287))</f>
      </c>
      <c r="R285" s="29">
        <f>IF(OR(280&gt;$Z$1,NOT(OR('Your debts'!$B$12&lt;&gt;"",N('Your debts'!$C$12)&gt;0))),"",IF('Your debts'!$D$20="Avalanche",'Avalanche workings'!$R$287,'Snowball workings'!$R$287)+IF('Your debts'!$D$20="Avalanche",'Avalanche workings'!$AL$287,'Snowball workings'!$AL$287))</f>
      </c>
      <c r="S285" s="30">
        <f>IF(OR(280&gt;$Z$1,NOT(OR('Your debts'!$B$12&lt;&gt;"",N('Your debts'!$C$12)&gt;0))),"",IF('Your debts'!$D$20="Avalanche",'Avalanche workings'!$AV$287,'Snowball workings'!$AV$287))</f>
      </c>
      <c r="T285" s="29">
        <f>IF(OR(280&gt;$Z$1,NOT(OR('Your debts'!$B$13&lt;&gt;"",N('Your debts'!$C$13)&gt;0))),"",IF('Your debts'!$D$20="Avalanche",'Avalanche workings'!$S$287,'Snowball workings'!$S$287)+IF('Your debts'!$D$20="Avalanche",'Avalanche workings'!$AM$287,'Snowball workings'!$AM$287))</f>
      </c>
      <c r="U285" s="30">
        <f>IF(OR(280&gt;$Z$1,NOT(OR('Your debts'!$B$13&lt;&gt;"",N('Your debts'!$C$13)&gt;0))),"",IF('Your debts'!$D$20="Avalanche",'Avalanche workings'!$AW$287,'Snowball workings'!$AW$287))</f>
      </c>
      <c r="V285" s="29">
        <f>IF(OR(280&gt;$Z$1,NOT(OR('Your debts'!$B$14&lt;&gt;"",N('Your debts'!$C$14)&gt;0))),"",IF('Your debts'!$D$20="Avalanche",'Avalanche workings'!$T$287,'Snowball workings'!$T$287)+IF('Your debts'!$D$20="Avalanche",'Avalanche workings'!$AN$287,'Snowball workings'!$AN$287))</f>
      </c>
      <c r="W285" s="30">
        <f>IF(OR(280&gt;$Z$1,NOT(OR('Your debts'!$B$14&lt;&gt;"",N('Your debts'!$C$14)&gt;0))),"",IF('Your debts'!$D$20="Avalanche",'Avalanche workings'!$AX$287,'Snowball workings'!$AX$287))</f>
      </c>
      <c r="X285" s="29">
        <f>IF(OR(280&gt;$Z$1,NOT(OR('Your debts'!$B$15&lt;&gt;"",N('Your debts'!$C$15)&gt;0))),"",IF('Your debts'!$D$20="Avalanche",'Avalanche workings'!$U$287,'Snowball workings'!$U$287)+IF('Your debts'!$D$20="Avalanche",'Avalanche workings'!$AO$287,'Snowball workings'!$AO$287))</f>
      </c>
      <c r="Y285" s="30">
        <f>IF(OR(280&gt;$Z$1,NOT(OR('Your debts'!$B$15&lt;&gt;"",N('Your debts'!$C$15)&gt;0))),"",IF('Your debts'!$D$20="Avalanche",'Avalanche workings'!$AY$287,'Snowball workings'!$AY$287))</f>
      </c>
    </row>
    <row r="286" spans="1:25" x14ac:dyDescent="0.25">
      <c r="A286" s="2">
        <f>IF(281&gt;$Z$1,"",281)</f>
      </c>
      <c r="B286" s="28">
        <f>IF(281&gt;$Z$1,"",EDATE('Your debts'!$D$21,280))</f>
      </c>
      <c r="C286" s="29">
        <f>IF(281&gt;$Z$1,"",IF('Your debts'!$D$20="Avalanche",'Avalanche workings'!$BC$288,'Snowball workings'!$BC$288))</f>
      </c>
      <c r="D286" s="29">
        <f>IF(281&gt;$Z$1,"",IF('Your debts'!$D$20="Avalanche",'Avalanche workings'!$BA$288,'Snowball workings'!$BA$288))</f>
      </c>
      <c r="E286" s="29">
        <f>IF(281&gt;$Z$1,"",IF('Your debts'!$D$20="Avalanche",'Avalanche workings'!$BB$288,'Snowball workings'!$BB$288))</f>
      </c>
      <c r="F286" s="29">
        <f>IF(OR(281&gt;$Z$1,NOT(OR('Your debts'!$B$6&lt;&gt;"",N('Your debts'!$C$6)&gt;0))),"",IF('Your debts'!$D$20="Avalanche",'Avalanche workings'!$L$288,'Snowball workings'!$L$288)+IF('Your debts'!$D$20="Avalanche",'Avalanche workings'!$AF$288,'Snowball workings'!$AF$288))</f>
      </c>
      <c r="G286" s="30">
        <f>IF(OR(281&gt;$Z$1,NOT(OR('Your debts'!$B$6&lt;&gt;"",N('Your debts'!$C$6)&gt;0))),"",IF('Your debts'!$D$20="Avalanche",'Avalanche workings'!$AP$288,'Snowball workings'!$AP$288))</f>
      </c>
      <c r="H286" s="29">
        <f>IF(OR(281&gt;$Z$1,NOT(OR('Your debts'!$B$7&lt;&gt;"",N('Your debts'!$C$7)&gt;0))),"",IF('Your debts'!$D$20="Avalanche",'Avalanche workings'!$M$288,'Snowball workings'!$M$288)+IF('Your debts'!$D$20="Avalanche",'Avalanche workings'!$AG$288,'Snowball workings'!$AG$288))</f>
      </c>
      <c r="I286" s="30">
        <f>IF(OR(281&gt;$Z$1,NOT(OR('Your debts'!$B$7&lt;&gt;"",N('Your debts'!$C$7)&gt;0))),"",IF('Your debts'!$D$20="Avalanche",'Avalanche workings'!$AQ$288,'Snowball workings'!$AQ$288))</f>
      </c>
      <c r="J286" s="29">
        <f>IF(OR(281&gt;$Z$1,NOT(OR('Your debts'!$B$8&lt;&gt;"",N('Your debts'!$C$8)&gt;0))),"",IF('Your debts'!$D$20="Avalanche",'Avalanche workings'!$N$288,'Snowball workings'!$N$288)+IF('Your debts'!$D$20="Avalanche",'Avalanche workings'!$AH$288,'Snowball workings'!$AH$288))</f>
      </c>
      <c r="K286" s="30">
        <f>IF(OR(281&gt;$Z$1,NOT(OR('Your debts'!$B$8&lt;&gt;"",N('Your debts'!$C$8)&gt;0))),"",IF('Your debts'!$D$20="Avalanche",'Avalanche workings'!$AR$288,'Snowball workings'!$AR$288))</f>
      </c>
      <c r="L286" s="29">
        <f>IF(OR(281&gt;$Z$1,NOT(OR('Your debts'!$B$9&lt;&gt;"",N('Your debts'!$C$9)&gt;0))),"",IF('Your debts'!$D$20="Avalanche",'Avalanche workings'!$O$288,'Snowball workings'!$O$288)+IF('Your debts'!$D$20="Avalanche",'Avalanche workings'!$AI$288,'Snowball workings'!$AI$288))</f>
      </c>
      <c r="M286" s="30">
        <f>IF(OR(281&gt;$Z$1,NOT(OR('Your debts'!$B$9&lt;&gt;"",N('Your debts'!$C$9)&gt;0))),"",IF('Your debts'!$D$20="Avalanche",'Avalanche workings'!$AS$288,'Snowball workings'!$AS$288))</f>
      </c>
      <c r="N286" s="29">
        <f>IF(OR(281&gt;$Z$1,NOT(OR('Your debts'!$B$10&lt;&gt;"",N('Your debts'!$C$10)&gt;0))),"",IF('Your debts'!$D$20="Avalanche",'Avalanche workings'!$P$288,'Snowball workings'!$P$288)+IF('Your debts'!$D$20="Avalanche",'Avalanche workings'!$AJ$288,'Snowball workings'!$AJ$288))</f>
      </c>
      <c r="O286" s="30">
        <f>IF(OR(281&gt;$Z$1,NOT(OR('Your debts'!$B$10&lt;&gt;"",N('Your debts'!$C$10)&gt;0))),"",IF('Your debts'!$D$20="Avalanche",'Avalanche workings'!$AT$288,'Snowball workings'!$AT$288))</f>
      </c>
      <c r="P286" s="29">
        <f>IF(OR(281&gt;$Z$1,NOT(OR('Your debts'!$B$11&lt;&gt;"",N('Your debts'!$C$11)&gt;0))),"",IF('Your debts'!$D$20="Avalanche",'Avalanche workings'!$Q$288,'Snowball workings'!$Q$288)+IF('Your debts'!$D$20="Avalanche",'Avalanche workings'!$AK$288,'Snowball workings'!$AK$288))</f>
      </c>
      <c r="Q286" s="30">
        <f>IF(OR(281&gt;$Z$1,NOT(OR('Your debts'!$B$11&lt;&gt;"",N('Your debts'!$C$11)&gt;0))),"",IF('Your debts'!$D$20="Avalanche",'Avalanche workings'!$AU$288,'Snowball workings'!$AU$288))</f>
      </c>
      <c r="R286" s="29">
        <f>IF(OR(281&gt;$Z$1,NOT(OR('Your debts'!$B$12&lt;&gt;"",N('Your debts'!$C$12)&gt;0))),"",IF('Your debts'!$D$20="Avalanche",'Avalanche workings'!$R$288,'Snowball workings'!$R$288)+IF('Your debts'!$D$20="Avalanche",'Avalanche workings'!$AL$288,'Snowball workings'!$AL$288))</f>
      </c>
      <c r="S286" s="30">
        <f>IF(OR(281&gt;$Z$1,NOT(OR('Your debts'!$B$12&lt;&gt;"",N('Your debts'!$C$12)&gt;0))),"",IF('Your debts'!$D$20="Avalanche",'Avalanche workings'!$AV$288,'Snowball workings'!$AV$288))</f>
      </c>
      <c r="T286" s="29">
        <f>IF(OR(281&gt;$Z$1,NOT(OR('Your debts'!$B$13&lt;&gt;"",N('Your debts'!$C$13)&gt;0))),"",IF('Your debts'!$D$20="Avalanche",'Avalanche workings'!$S$288,'Snowball workings'!$S$288)+IF('Your debts'!$D$20="Avalanche",'Avalanche workings'!$AM$288,'Snowball workings'!$AM$288))</f>
      </c>
      <c r="U286" s="30">
        <f>IF(OR(281&gt;$Z$1,NOT(OR('Your debts'!$B$13&lt;&gt;"",N('Your debts'!$C$13)&gt;0))),"",IF('Your debts'!$D$20="Avalanche",'Avalanche workings'!$AW$288,'Snowball workings'!$AW$288))</f>
      </c>
      <c r="V286" s="29">
        <f>IF(OR(281&gt;$Z$1,NOT(OR('Your debts'!$B$14&lt;&gt;"",N('Your debts'!$C$14)&gt;0))),"",IF('Your debts'!$D$20="Avalanche",'Avalanche workings'!$T$288,'Snowball workings'!$T$288)+IF('Your debts'!$D$20="Avalanche",'Avalanche workings'!$AN$288,'Snowball workings'!$AN$288))</f>
      </c>
      <c r="W286" s="30">
        <f>IF(OR(281&gt;$Z$1,NOT(OR('Your debts'!$B$14&lt;&gt;"",N('Your debts'!$C$14)&gt;0))),"",IF('Your debts'!$D$20="Avalanche",'Avalanche workings'!$AX$288,'Snowball workings'!$AX$288))</f>
      </c>
      <c r="X286" s="29">
        <f>IF(OR(281&gt;$Z$1,NOT(OR('Your debts'!$B$15&lt;&gt;"",N('Your debts'!$C$15)&gt;0))),"",IF('Your debts'!$D$20="Avalanche",'Avalanche workings'!$U$288,'Snowball workings'!$U$288)+IF('Your debts'!$D$20="Avalanche",'Avalanche workings'!$AO$288,'Snowball workings'!$AO$288))</f>
      </c>
      <c r="Y286" s="30">
        <f>IF(OR(281&gt;$Z$1,NOT(OR('Your debts'!$B$15&lt;&gt;"",N('Your debts'!$C$15)&gt;0))),"",IF('Your debts'!$D$20="Avalanche",'Avalanche workings'!$AY$288,'Snowball workings'!$AY$288))</f>
      </c>
    </row>
    <row r="287" spans="1:25" x14ac:dyDescent="0.25">
      <c r="A287" s="2">
        <f>IF(282&gt;$Z$1,"",282)</f>
      </c>
      <c r="B287" s="28">
        <f>IF(282&gt;$Z$1,"",EDATE('Your debts'!$D$21,281))</f>
      </c>
      <c r="C287" s="29">
        <f>IF(282&gt;$Z$1,"",IF('Your debts'!$D$20="Avalanche",'Avalanche workings'!$BC$289,'Snowball workings'!$BC$289))</f>
      </c>
      <c r="D287" s="29">
        <f>IF(282&gt;$Z$1,"",IF('Your debts'!$D$20="Avalanche",'Avalanche workings'!$BA$289,'Snowball workings'!$BA$289))</f>
      </c>
      <c r="E287" s="29">
        <f>IF(282&gt;$Z$1,"",IF('Your debts'!$D$20="Avalanche",'Avalanche workings'!$BB$289,'Snowball workings'!$BB$289))</f>
      </c>
      <c r="F287" s="29">
        <f>IF(OR(282&gt;$Z$1,NOT(OR('Your debts'!$B$6&lt;&gt;"",N('Your debts'!$C$6)&gt;0))),"",IF('Your debts'!$D$20="Avalanche",'Avalanche workings'!$L$289,'Snowball workings'!$L$289)+IF('Your debts'!$D$20="Avalanche",'Avalanche workings'!$AF$289,'Snowball workings'!$AF$289))</f>
      </c>
      <c r="G287" s="30">
        <f>IF(OR(282&gt;$Z$1,NOT(OR('Your debts'!$B$6&lt;&gt;"",N('Your debts'!$C$6)&gt;0))),"",IF('Your debts'!$D$20="Avalanche",'Avalanche workings'!$AP$289,'Snowball workings'!$AP$289))</f>
      </c>
      <c r="H287" s="29">
        <f>IF(OR(282&gt;$Z$1,NOT(OR('Your debts'!$B$7&lt;&gt;"",N('Your debts'!$C$7)&gt;0))),"",IF('Your debts'!$D$20="Avalanche",'Avalanche workings'!$M$289,'Snowball workings'!$M$289)+IF('Your debts'!$D$20="Avalanche",'Avalanche workings'!$AG$289,'Snowball workings'!$AG$289))</f>
      </c>
      <c r="I287" s="30">
        <f>IF(OR(282&gt;$Z$1,NOT(OR('Your debts'!$B$7&lt;&gt;"",N('Your debts'!$C$7)&gt;0))),"",IF('Your debts'!$D$20="Avalanche",'Avalanche workings'!$AQ$289,'Snowball workings'!$AQ$289))</f>
      </c>
      <c r="J287" s="29">
        <f>IF(OR(282&gt;$Z$1,NOT(OR('Your debts'!$B$8&lt;&gt;"",N('Your debts'!$C$8)&gt;0))),"",IF('Your debts'!$D$20="Avalanche",'Avalanche workings'!$N$289,'Snowball workings'!$N$289)+IF('Your debts'!$D$20="Avalanche",'Avalanche workings'!$AH$289,'Snowball workings'!$AH$289))</f>
      </c>
      <c r="K287" s="30">
        <f>IF(OR(282&gt;$Z$1,NOT(OR('Your debts'!$B$8&lt;&gt;"",N('Your debts'!$C$8)&gt;0))),"",IF('Your debts'!$D$20="Avalanche",'Avalanche workings'!$AR$289,'Snowball workings'!$AR$289))</f>
      </c>
      <c r="L287" s="29">
        <f>IF(OR(282&gt;$Z$1,NOT(OR('Your debts'!$B$9&lt;&gt;"",N('Your debts'!$C$9)&gt;0))),"",IF('Your debts'!$D$20="Avalanche",'Avalanche workings'!$O$289,'Snowball workings'!$O$289)+IF('Your debts'!$D$20="Avalanche",'Avalanche workings'!$AI$289,'Snowball workings'!$AI$289))</f>
      </c>
      <c r="M287" s="30">
        <f>IF(OR(282&gt;$Z$1,NOT(OR('Your debts'!$B$9&lt;&gt;"",N('Your debts'!$C$9)&gt;0))),"",IF('Your debts'!$D$20="Avalanche",'Avalanche workings'!$AS$289,'Snowball workings'!$AS$289))</f>
      </c>
      <c r="N287" s="29">
        <f>IF(OR(282&gt;$Z$1,NOT(OR('Your debts'!$B$10&lt;&gt;"",N('Your debts'!$C$10)&gt;0))),"",IF('Your debts'!$D$20="Avalanche",'Avalanche workings'!$P$289,'Snowball workings'!$P$289)+IF('Your debts'!$D$20="Avalanche",'Avalanche workings'!$AJ$289,'Snowball workings'!$AJ$289))</f>
      </c>
      <c r="O287" s="30">
        <f>IF(OR(282&gt;$Z$1,NOT(OR('Your debts'!$B$10&lt;&gt;"",N('Your debts'!$C$10)&gt;0))),"",IF('Your debts'!$D$20="Avalanche",'Avalanche workings'!$AT$289,'Snowball workings'!$AT$289))</f>
      </c>
      <c r="P287" s="29">
        <f>IF(OR(282&gt;$Z$1,NOT(OR('Your debts'!$B$11&lt;&gt;"",N('Your debts'!$C$11)&gt;0))),"",IF('Your debts'!$D$20="Avalanche",'Avalanche workings'!$Q$289,'Snowball workings'!$Q$289)+IF('Your debts'!$D$20="Avalanche",'Avalanche workings'!$AK$289,'Snowball workings'!$AK$289))</f>
      </c>
      <c r="Q287" s="30">
        <f>IF(OR(282&gt;$Z$1,NOT(OR('Your debts'!$B$11&lt;&gt;"",N('Your debts'!$C$11)&gt;0))),"",IF('Your debts'!$D$20="Avalanche",'Avalanche workings'!$AU$289,'Snowball workings'!$AU$289))</f>
      </c>
      <c r="R287" s="29">
        <f>IF(OR(282&gt;$Z$1,NOT(OR('Your debts'!$B$12&lt;&gt;"",N('Your debts'!$C$12)&gt;0))),"",IF('Your debts'!$D$20="Avalanche",'Avalanche workings'!$R$289,'Snowball workings'!$R$289)+IF('Your debts'!$D$20="Avalanche",'Avalanche workings'!$AL$289,'Snowball workings'!$AL$289))</f>
      </c>
      <c r="S287" s="30">
        <f>IF(OR(282&gt;$Z$1,NOT(OR('Your debts'!$B$12&lt;&gt;"",N('Your debts'!$C$12)&gt;0))),"",IF('Your debts'!$D$20="Avalanche",'Avalanche workings'!$AV$289,'Snowball workings'!$AV$289))</f>
      </c>
      <c r="T287" s="29">
        <f>IF(OR(282&gt;$Z$1,NOT(OR('Your debts'!$B$13&lt;&gt;"",N('Your debts'!$C$13)&gt;0))),"",IF('Your debts'!$D$20="Avalanche",'Avalanche workings'!$S$289,'Snowball workings'!$S$289)+IF('Your debts'!$D$20="Avalanche",'Avalanche workings'!$AM$289,'Snowball workings'!$AM$289))</f>
      </c>
      <c r="U287" s="30">
        <f>IF(OR(282&gt;$Z$1,NOT(OR('Your debts'!$B$13&lt;&gt;"",N('Your debts'!$C$13)&gt;0))),"",IF('Your debts'!$D$20="Avalanche",'Avalanche workings'!$AW$289,'Snowball workings'!$AW$289))</f>
      </c>
      <c r="V287" s="29">
        <f>IF(OR(282&gt;$Z$1,NOT(OR('Your debts'!$B$14&lt;&gt;"",N('Your debts'!$C$14)&gt;0))),"",IF('Your debts'!$D$20="Avalanche",'Avalanche workings'!$T$289,'Snowball workings'!$T$289)+IF('Your debts'!$D$20="Avalanche",'Avalanche workings'!$AN$289,'Snowball workings'!$AN$289))</f>
      </c>
      <c r="W287" s="30">
        <f>IF(OR(282&gt;$Z$1,NOT(OR('Your debts'!$B$14&lt;&gt;"",N('Your debts'!$C$14)&gt;0))),"",IF('Your debts'!$D$20="Avalanche",'Avalanche workings'!$AX$289,'Snowball workings'!$AX$289))</f>
      </c>
      <c r="X287" s="29">
        <f>IF(OR(282&gt;$Z$1,NOT(OR('Your debts'!$B$15&lt;&gt;"",N('Your debts'!$C$15)&gt;0))),"",IF('Your debts'!$D$20="Avalanche",'Avalanche workings'!$U$289,'Snowball workings'!$U$289)+IF('Your debts'!$D$20="Avalanche",'Avalanche workings'!$AO$289,'Snowball workings'!$AO$289))</f>
      </c>
      <c r="Y287" s="30">
        <f>IF(OR(282&gt;$Z$1,NOT(OR('Your debts'!$B$15&lt;&gt;"",N('Your debts'!$C$15)&gt;0))),"",IF('Your debts'!$D$20="Avalanche",'Avalanche workings'!$AY$289,'Snowball workings'!$AY$289))</f>
      </c>
    </row>
    <row r="288" spans="1:25" x14ac:dyDescent="0.25">
      <c r="A288" s="2">
        <f>IF(283&gt;$Z$1,"",283)</f>
      </c>
      <c r="B288" s="28">
        <f>IF(283&gt;$Z$1,"",EDATE('Your debts'!$D$21,282))</f>
      </c>
      <c r="C288" s="29">
        <f>IF(283&gt;$Z$1,"",IF('Your debts'!$D$20="Avalanche",'Avalanche workings'!$BC$290,'Snowball workings'!$BC$290))</f>
      </c>
      <c r="D288" s="29">
        <f>IF(283&gt;$Z$1,"",IF('Your debts'!$D$20="Avalanche",'Avalanche workings'!$BA$290,'Snowball workings'!$BA$290))</f>
      </c>
      <c r="E288" s="29">
        <f>IF(283&gt;$Z$1,"",IF('Your debts'!$D$20="Avalanche",'Avalanche workings'!$BB$290,'Snowball workings'!$BB$290))</f>
      </c>
      <c r="F288" s="29">
        <f>IF(OR(283&gt;$Z$1,NOT(OR('Your debts'!$B$6&lt;&gt;"",N('Your debts'!$C$6)&gt;0))),"",IF('Your debts'!$D$20="Avalanche",'Avalanche workings'!$L$290,'Snowball workings'!$L$290)+IF('Your debts'!$D$20="Avalanche",'Avalanche workings'!$AF$290,'Snowball workings'!$AF$290))</f>
      </c>
      <c r="G288" s="30">
        <f>IF(OR(283&gt;$Z$1,NOT(OR('Your debts'!$B$6&lt;&gt;"",N('Your debts'!$C$6)&gt;0))),"",IF('Your debts'!$D$20="Avalanche",'Avalanche workings'!$AP$290,'Snowball workings'!$AP$290))</f>
      </c>
      <c r="H288" s="29">
        <f>IF(OR(283&gt;$Z$1,NOT(OR('Your debts'!$B$7&lt;&gt;"",N('Your debts'!$C$7)&gt;0))),"",IF('Your debts'!$D$20="Avalanche",'Avalanche workings'!$M$290,'Snowball workings'!$M$290)+IF('Your debts'!$D$20="Avalanche",'Avalanche workings'!$AG$290,'Snowball workings'!$AG$290))</f>
      </c>
      <c r="I288" s="30">
        <f>IF(OR(283&gt;$Z$1,NOT(OR('Your debts'!$B$7&lt;&gt;"",N('Your debts'!$C$7)&gt;0))),"",IF('Your debts'!$D$20="Avalanche",'Avalanche workings'!$AQ$290,'Snowball workings'!$AQ$290))</f>
      </c>
      <c r="J288" s="29">
        <f>IF(OR(283&gt;$Z$1,NOT(OR('Your debts'!$B$8&lt;&gt;"",N('Your debts'!$C$8)&gt;0))),"",IF('Your debts'!$D$20="Avalanche",'Avalanche workings'!$N$290,'Snowball workings'!$N$290)+IF('Your debts'!$D$20="Avalanche",'Avalanche workings'!$AH$290,'Snowball workings'!$AH$290))</f>
      </c>
      <c r="K288" s="30">
        <f>IF(OR(283&gt;$Z$1,NOT(OR('Your debts'!$B$8&lt;&gt;"",N('Your debts'!$C$8)&gt;0))),"",IF('Your debts'!$D$20="Avalanche",'Avalanche workings'!$AR$290,'Snowball workings'!$AR$290))</f>
      </c>
      <c r="L288" s="29">
        <f>IF(OR(283&gt;$Z$1,NOT(OR('Your debts'!$B$9&lt;&gt;"",N('Your debts'!$C$9)&gt;0))),"",IF('Your debts'!$D$20="Avalanche",'Avalanche workings'!$O$290,'Snowball workings'!$O$290)+IF('Your debts'!$D$20="Avalanche",'Avalanche workings'!$AI$290,'Snowball workings'!$AI$290))</f>
      </c>
      <c r="M288" s="30">
        <f>IF(OR(283&gt;$Z$1,NOT(OR('Your debts'!$B$9&lt;&gt;"",N('Your debts'!$C$9)&gt;0))),"",IF('Your debts'!$D$20="Avalanche",'Avalanche workings'!$AS$290,'Snowball workings'!$AS$290))</f>
      </c>
      <c r="N288" s="29">
        <f>IF(OR(283&gt;$Z$1,NOT(OR('Your debts'!$B$10&lt;&gt;"",N('Your debts'!$C$10)&gt;0))),"",IF('Your debts'!$D$20="Avalanche",'Avalanche workings'!$P$290,'Snowball workings'!$P$290)+IF('Your debts'!$D$20="Avalanche",'Avalanche workings'!$AJ$290,'Snowball workings'!$AJ$290))</f>
      </c>
      <c r="O288" s="30">
        <f>IF(OR(283&gt;$Z$1,NOT(OR('Your debts'!$B$10&lt;&gt;"",N('Your debts'!$C$10)&gt;0))),"",IF('Your debts'!$D$20="Avalanche",'Avalanche workings'!$AT$290,'Snowball workings'!$AT$290))</f>
      </c>
      <c r="P288" s="29">
        <f>IF(OR(283&gt;$Z$1,NOT(OR('Your debts'!$B$11&lt;&gt;"",N('Your debts'!$C$11)&gt;0))),"",IF('Your debts'!$D$20="Avalanche",'Avalanche workings'!$Q$290,'Snowball workings'!$Q$290)+IF('Your debts'!$D$20="Avalanche",'Avalanche workings'!$AK$290,'Snowball workings'!$AK$290))</f>
      </c>
      <c r="Q288" s="30">
        <f>IF(OR(283&gt;$Z$1,NOT(OR('Your debts'!$B$11&lt;&gt;"",N('Your debts'!$C$11)&gt;0))),"",IF('Your debts'!$D$20="Avalanche",'Avalanche workings'!$AU$290,'Snowball workings'!$AU$290))</f>
      </c>
      <c r="R288" s="29">
        <f>IF(OR(283&gt;$Z$1,NOT(OR('Your debts'!$B$12&lt;&gt;"",N('Your debts'!$C$12)&gt;0))),"",IF('Your debts'!$D$20="Avalanche",'Avalanche workings'!$R$290,'Snowball workings'!$R$290)+IF('Your debts'!$D$20="Avalanche",'Avalanche workings'!$AL$290,'Snowball workings'!$AL$290))</f>
      </c>
      <c r="S288" s="30">
        <f>IF(OR(283&gt;$Z$1,NOT(OR('Your debts'!$B$12&lt;&gt;"",N('Your debts'!$C$12)&gt;0))),"",IF('Your debts'!$D$20="Avalanche",'Avalanche workings'!$AV$290,'Snowball workings'!$AV$290))</f>
      </c>
      <c r="T288" s="29">
        <f>IF(OR(283&gt;$Z$1,NOT(OR('Your debts'!$B$13&lt;&gt;"",N('Your debts'!$C$13)&gt;0))),"",IF('Your debts'!$D$20="Avalanche",'Avalanche workings'!$S$290,'Snowball workings'!$S$290)+IF('Your debts'!$D$20="Avalanche",'Avalanche workings'!$AM$290,'Snowball workings'!$AM$290))</f>
      </c>
      <c r="U288" s="30">
        <f>IF(OR(283&gt;$Z$1,NOT(OR('Your debts'!$B$13&lt;&gt;"",N('Your debts'!$C$13)&gt;0))),"",IF('Your debts'!$D$20="Avalanche",'Avalanche workings'!$AW$290,'Snowball workings'!$AW$290))</f>
      </c>
      <c r="V288" s="29">
        <f>IF(OR(283&gt;$Z$1,NOT(OR('Your debts'!$B$14&lt;&gt;"",N('Your debts'!$C$14)&gt;0))),"",IF('Your debts'!$D$20="Avalanche",'Avalanche workings'!$T$290,'Snowball workings'!$T$290)+IF('Your debts'!$D$20="Avalanche",'Avalanche workings'!$AN$290,'Snowball workings'!$AN$290))</f>
      </c>
      <c r="W288" s="30">
        <f>IF(OR(283&gt;$Z$1,NOT(OR('Your debts'!$B$14&lt;&gt;"",N('Your debts'!$C$14)&gt;0))),"",IF('Your debts'!$D$20="Avalanche",'Avalanche workings'!$AX$290,'Snowball workings'!$AX$290))</f>
      </c>
      <c r="X288" s="29">
        <f>IF(OR(283&gt;$Z$1,NOT(OR('Your debts'!$B$15&lt;&gt;"",N('Your debts'!$C$15)&gt;0))),"",IF('Your debts'!$D$20="Avalanche",'Avalanche workings'!$U$290,'Snowball workings'!$U$290)+IF('Your debts'!$D$20="Avalanche",'Avalanche workings'!$AO$290,'Snowball workings'!$AO$290))</f>
      </c>
      <c r="Y288" s="30">
        <f>IF(OR(283&gt;$Z$1,NOT(OR('Your debts'!$B$15&lt;&gt;"",N('Your debts'!$C$15)&gt;0))),"",IF('Your debts'!$D$20="Avalanche",'Avalanche workings'!$AY$290,'Snowball workings'!$AY$290))</f>
      </c>
    </row>
    <row r="289" spans="1:25" x14ac:dyDescent="0.25">
      <c r="A289" s="2">
        <f>IF(284&gt;$Z$1,"",284)</f>
      </c>
      <c r="B289" s="28">
        <f>IF(284&gt;$Z$1,"",EDATE('Your debts'!$D$21,283))</f>
      </c>
      <c r="C289" s="29">
        <f>IF(284&gt;$Z$1,"",IF('Your debts'!$D$20="Avalanche",'Avalanche workings'!$BC$291,'Snowball workings'!$BC$291))</f>
      </c>
      <c r="D289" s="29">
        <f>IF(284&gt;$Z$1,"",IF('Your debts'!$D$20="Avalanche",'Avalanche workings'!$BA$291,'Snowball workings'!$BA$291))</f>
      </c>
      <c r="E289" s="29">
        <f>IF(284&gt;$Z$1,"",IF('Your debts'!$D$20="Avalanche",'Avalanche workings'!$BB$291,'Snowball workings'!$BB$291))</f>
      </c>
      <c r="F289" s="29">
        <f>IF(OR(284&gt;$Z$1,NOT(OR('Your debts'!$B$6&lt;&gt;"",N('Your debts'!$C$6)&gt;0))),"",IF('Your debts'!$D$20="Avalanche",'Avalanche workings'!$L$291,'Snowball workings'!$L$291)+IF('Your debts'!$D$20="Avalanche",'Avalanche workings'!$AF$291,'Snowball workings'!$AF$291))</f>
      </c>
      <c r="G289" s="30">
        <f>IF(OR(284&gt;$Z$1,NOT(OR('Your debts'!$B$6&lt;&gt;"",N('Your debts'!$C$6)&gt;0))),"",IF('Your debts'!$D$20="Avalanche",'Avalanche workings'!$AP$291,'Snowball workings'!$AP$291))</f>
      </c>
      <c r="H289" s="29">
        <f>IF(OR(284&gt;$Z$1,NOT(OR('Your debts'!$B$7&lt;&gt;"",N('Your debts'!$C$7)&gt;0))),"",IF('Your debts'!$D$20="Avalanche",'Avalanche workings'!$M$291,'Snowball workings'!$M$291)+IF('Your debts'!$D$20="Avalanche",'Avalanche workings'!$AG$291,'Snowball workings'!$AG$291))</f>
      </c>
      <c r="I289" s="30">
        <f>IF(OR(284&gt;$Z$1,NOT(OR('Your debts'!$B$7&lt;&gt;"",N('Your debts'!$C$7)&gt;0))),"",IF('Your debts'!$D$20="Avalanche",'Avalanche workings'!$AQ$291,'Snowball workings'!$AQ$291))</f>
      </c>
      <c r="J289" s="29">
        <f>IF(OR(284&gt;$Z$1,NOT(OR('Your debts'!$B$8&lt;&gt;"",N('Your debts'!$C$8)&gt;0))),"",IF('Your debts'!$D$20="Avalanche",'Avalanche workings'!$N$291,'Snowball workings'!$N$291)+IF('Your debts'!$D$20="Avalanche",'Avalanche workings'!$AH$291,'Snowball workings'!$AH$291))</f>
      </c>
      <c r="K289" s="30">
        <f>IF(OR(284&gt;$Z$1,NOT(OR('Your debts'!$B$8&lt;&gt;"",N('Your debts'!$C$8)&gt;0))),"",IF('Your debts'!$D$20="Avalanche",'Avalanche workings'!$AR$291,'Snowball workings'!$AR$291))</f>
      </c>
      <c r="L289" s="29">
        <f>IF(OR(284&gt;$Z$1,NOT(OR('Your debts'!$B$9&lt;&gt;"",N('Your debts'!$C$9)&gt;0))),"",IF('Your debts'!$D$20="Avalanche",'Avalanche workings'!$O$291,'Snowball workings'!$O$291)+IF('Your debts'!$D$20="Avalanche",'Avalanche workings'!$AI$291,'Snowball workings'!$AI$291))</f>
      </c>
      <c r="M289" s="30">
        <f>IF(OR(284&gt;$Z$1,NOT(OR('Your debts'!$B$9&lt;&gt;"",N('Your debts'!$C$9)&gt;0))),"",IF('Your debts'!$D$20="Avalanche",'Avalanche workings'!$AS$291,'Snowball workings'!$AS$291))</f>
      </c>
      <c r="N289" s="29">
        <f>IF(OR(284&gt;$Z$1,NOT(OR('Your debts'!$B$10&lt;&gt;"",N('Your debts'!$C$10)&gt;0))),"",IF('Your debts'!$D$20="Avalanche",'Avalanche workings'!$P$291,'Snowball workings'!$P$291)+IF('Your debts'!$D$20="Avalanche",'Avalanche workings'!$AJ$291,'Snowball workings'!$AJ$291))</f>
      </c>
      <c r="O289" s="30">
        <f>IF(OR(284&gt;$Z$1,NOT(OR('Your debts'!$B$10&lt;&gt;"",N('Your debts'!$C$10)&gt;0))),"",IF('Your debts'!$D$20="Avalanche",'Avalanche workings'!$AT$291,'Snowball workings'!$AT$291))</f>
      </c>
      <c r="P289" s="29">
        <f>IF(OR(284&gt;$Z$1,NOT(OR('Your debts'!$B$11&lt;&gt;"",N('Your debts'!$C$11)&gt;0))),"",IF('Your debts'!$D$20="Avalanche",'Avalanche workings'!$Q$291,'Snowball workings'!$Q$291)+IF('Your debts'!$D$20="Avalanche",'Avalanche workings'!$AK$291,'Snowball workings'!$AK$291))</f>
      </c>
      <c r="Q289" s="30">
        <f>IF(OR(284&gt;$Z$1,NOT(OR('Your debts'!$B$11&lt;&gt;"",N('Your debts'!$C$11)&gt;0))),"",IF('Your debts'!$D$20="Avalanche",'Avalanche workings'!$AU$291,'Snowball workings'!$AU$291))</f>
      </c>
      <c r="R289" s="29">
        <f>IF(OR(284&gt;$Z$1,NOT(OR('Your debts'!$B$12&lt;&gt;"",N('Your debts'!$C$12)&gt;0))),"",IF('Your debts'!$D$20="Avalanche",'Avalanche workings'!$R$291,'Snowball workings'!$R$291)+IF('Your debts'!$D$20="Avalanche",'Avalanche workings'!$AL$291,'Snowball workings'!$AL$291))</f>
      </c>
      <c r="S289" s="30">
        <f>IF(OR(284&gt;$Z$1,NOT(OR('Your debts'!$B$12&lt;&gt;"",N('Your debts'!$C$12)&gt;0))),"",IF('Your debts'!$D$20="Avalanche",'Avalanche workings'!$AV$291,'Snowball workings'!$AV$291))</f>
      </c>
      <c r="T289" s="29">
        <f>IF(OR(284&gt;$Z$1,NOT(OR('Your debts'!$B$13&lt;&gt;"",N('Your debts'!$C$13)&gt;0))),"",IF('Your debts'!$D$20="Avalanche",'Avalanche workings'!$S$291,'Snowball workings'!$S$291)+IF('Your debts'!$D$20="Avalanche",'Avalanche workings'!$AM$291,'Snowball workings'!$AM$291))</f>
      </c>
      <c r="U289" s="30">
        <f>IF(OR(284&gt;$Z$1,NOT(OR('Your debts'!$B$13&lt;&gt;"",N('Your debts'!$C$13)&gt;0))),"",IF('Your debts'!$D$20="Avalanche",'Avalanche workings'!$AW$291,'Snowball workings'!$AW$291))</f>
      </c>
      <c r="V289" s="29">
        <f>IF(OR(284&gt;$Z$1,NOT(OR('Your debts'!$B$14&lt;&gt;"",N('Your debts'!$C$14)&gt;0))),"",IF('Your debts'!$D$20="Avalanche",'Avalanche workings'!$T$291,'Snowball workings'!$T$291)+IF('Your debts'!$D$20="Avalanche",'Avalanche workings'!$AN$291,'Snowball workings'!$AN$291))</f>
      </c>
      <c r="W289" s="30">
        <f>IF(OR(284&gt;$Z$1,NOT(OR('Your debts'!$B$14&lt;&gt;"",N('Your debts'!$C$14)&gt;0))),"",IF('Your debts'!$D$20="Avalanche",'Avalanche workings'!$AX$291,'Snowball workings'!$AX$291))</f>
      </c>
      <c r="X289" s="29">
        <f>IF(OR(284&gt;$Z$1,NOT(OR('Your debts'!$B$15&lt;&gt;"",N('Your debts'!$C$15)&gt;0))),"",IF('Your debts'!$D$20="Avalanche",'Avalanche workings'!$U$291,'Snowball workings'!$U$291)+IF('Your debts'!$D$20="Avalanche",'Avalanche workings'!$AO$291,'Snowball workings'!$AO$291))</f>
      </c>
      <c r="Y289" s="30">
        <f>IF(OR(284&gt;$Z$1,NOT(OR('Your debts'!$B$15&lt;&gt;"",N('Your debts'!$C$15)&gt;0))),"",IF('Your debts'!$D$20="Avalanche",'Avalanche workings'!$AY$291,'Snowball workings'!$AY$291))</f>
      </c>
    </row>
    <row r="290" spans="1:25" x14ac:dyDescent="0.25">
      <c r="A290" s="2">
        <f>IF(285&gt;$Z$1,"",285)</f>
      </c>
      <c r="B290" s="28">
        <f>IF(285&gt;$Z$1,"",EDATE('Your debts'!$D$21,284))</f>
      </c>
      <c r="C290" s="29">
        <f>IF(285&gt;$Z$1,"",IF('Your debts'!$D$20="Avalanche",'Avalanche workings'!$BC$292,'Snowball workings'!$BC$292))</f>
      </c>
      <c r="D290" s="29">
        <f>IF(285&gt;$Z$1,"",IF('Your debts'!$D$20="Avalanche",'Avalanche workings'!$BA$292,'Snowball workings'!$BA$292))</f>
      </c>
      <c r="E290" s="29">
        <f>IF(285&gt;$Z$1,"",IF('Your debts'!$D$20="Avalanche",'Avalanche workings'!$BB$292,'Snowball workings'!$BB$292))</f>
      </c>
      <c r="F290" s="29">
        <f>IF(OR(285&gt;$Z$1,NOT(OR('Your debts'!$B$6&lt;&gt;"",N('Your debts'!$C$6)&gt;0))),"",IF('Your debts'!$D$20="Avalanche",'Avalanche workings'!$L$292,'Snowball workings'!$L$292)+IF('Your debts'!$D$20="Avalanche",'Avalanche workings'!$AF$292,'Snowball workings'!$AF$292))</f>
      </c>
      <c r="G290" s="30">
        <f>IF(OR(285&gt;$Z$1,NOT(OR('Your debts'!$B$6&lt;&gt;"",N('Your debts'!$C$6)&gt;0))),"",IF('Your debts'!$D$20="Avalanche",'Avalanche workings'!$AP$292,'Snowball workings'!$AP$292))</f>
      </c>
      <c r="H290" s="29">
        <f>IF(OR(285&gt;$Z$1,NOT(OR('Your debts'!$B$7&lt;&gt;"",N('Your debts'!$C$7)&gt;0))),"",IF('Your debts'!$D$20="Avalanche",'Avalanche workings'!$M$292,'Snowball workings'!$M$292)+IF('Your debts'!$D$20="Avalanche",'Avalanche workings'!$AG$292,'Snowball workings'!$AG$292))</f>
      </c>
      <c r="I290" s="30">
        <f>IF(OR(285&gt;$Z$1,NOT(OR('Your debts'!$B$7&lt;&gt;"",N('Your debts'!$C$7)&gt;0))),"",IF('Your debts'!$D$20="Avalanche",'Avalanche workings'!$AQ$292,'Snowball workings'!$AQ$292))</f>
      </c>
      <c r="J290" s="29">
        <f>IF(OR(285&gt;$Z$1,NOT(OR('Your debts'!$B$8&lt;&gt;"",N('Your debts'!$C$8)&gt;0))),"",IF('Your debts'!$D$20="Avalanche",'Avalanche workings'!$N$292,'Snowball workings'!$N$292)+IF('Your debts'!$D$20="Avalanche",'Avalanche workings'!$AH$292,'Snowball workings'!$AH$292))</f>
      </c>
      <c r="K290" s="30">
        <f>IF(OR(285&gt;$Z$1,NOT(OR('Your debts'!$B$8&lt;&gt;"",N('Your debts'!$C$8)&gt;0))),"",IF('Your debts'!$D$20="Avalanche",'Avalanche workings'!$AR$292,'Snowball workings'!$AR$292))</f>
      </c>
      <c r="L290" s="29">
        <f>IF(OR(285&gt;$Z$1,NOT(OR('Your debts'!$B$9&lt;&gt;"",N('Your debts'!$C$9)&gt;0))),"",IF('Your debts'!$D$20="Avalanche",'Avalanche workings'!$O$292,'Snowball workings'!$O$292)+IF('Your debts'!$D$20="Avalanche",'Avalanche workings'!$AI$292,'Snowball workings'!$AI$292))</f>
      </c>
      <c r="M290" s="30">
        <f>IF(OR(285&gt;$Z$1,NOT(OR('Your debts'!$B$9&lt;&gt;"",N('Your debts'!$C$9)&gt;0))),"",IF('Your debts'!$D$20="Avalanche",'Avalanche workings'!$AS$292,'Snowball workings'!$AS$292))</f>
      </c>
      <c r="N290" s="29">
        <f>IF(OR(285&gt;$Z$1,NOT(OR('Your debts'!$B$10&lt;&gt;"",N('Your debts'!$C$10)&gt;0))),"",IF('Your debts'!$D$20="Avalanche",'Avalanche workings'!$P$292,'Snowball workings'!$P$292)+IF('Your debts'!$D$20="Avalanche",'Avalanche workings'!$AJ$292,'Snowball workings'!$AJ$292))</f>
      </c>
      <c r="O290" s="30">
        <f>IF(OR(285&gt;$Z$1,NOT(OR('Your debts'!$B$10&lt;&gt;"",N('Your debts'!$C$10)&gt;0))),"",IF('Your debts'!$D$20="Avalanche",'Avalanche workings'!$AT$292,'Snowball workings'!$AT$292))</f>
      </c>
      <c r="P290" s="29">
        <f>IF(OR(285&gt;$Z$1,NOT(OR('Your debts'!$B$11&lt;&gt;"",N('Your debts'!$C$11)&gt;0))),"",IF('Your debts'!$D$20="Avalanche",'Avalanche workings'!$Q$292,'Snowball workings'!$Q$292)+IF('Your debts'!$D$20="Avalanche",'Avalanche workings'!$AK$292,'Snowball workings'!$AK$292))</f>
      </c>
      <c r="Q290" s="30">
        <f>IF(OR(285&gt;$Z$1,NOT(OR('Your debts'!$B$11&lt;&gt;"",N('Your debts'!$C$11)&gt;0))),"",IF('Your debts'!$D$20="Avalanche",'Avalanche workings'!$AU$292,'Snowball workings'!$AU$292))</f>
      </c>
      <c r="R290" s="29">
        <f>IF(OR(285&gt;$Z$1,NOT(OR('Your debts'!$B$12&lt;&gt;"",N('Your debts'!$C$12)&gt;0))),"",IF('Your debts'!$D$20="Avalanche",'Avalanche workings'!$R$292,'Snowball workings'!$R$292)+IF('Your debts'!$D$20="Avalanche",'Avalanche workings'!$AL$292,'Snowball workings'!$AL$292))</f>
      </c>
      <c r="S290" s="30">
        <f>IF(OR(285&gt;$Z$1,NOT(OR('Your debts'!$B$12&lt;&gt;"",N('Your debts'!$C$12)&gt;0))),"",IF('Your debts'!$D$20="Avalanche",'Avalanche workings'!$AV$292,'Snowball workings'!$AV$292))</f>
      </c>
      <c r="T290" s="29">
        <f>IF(OR(285&gt;$Z$1,NOT(OR('Your debts'!$B$13&lt;&gt;"",N('Your debts'!$C$13)&gt;0))),"",IF('Your debts'!$D$20="Avalanche",'Avalanche workings'!$S$292,'Snowball workings'!$S$292)+IF('Your debts'!$D$20="Avalanche",'Avalanche workings'!$AM$292,'Snowball workings'!$AM$292))</f>
      </c>
      <c r="U290" s="30">
        <f>IF(OR(285&gt;$Z$1,NOT(OR('Your debts'!$B$13&lt;&gt;"",N('Your debts'!$C$13)&gt;0))),"",IF('Your debts'!$D$20="Avalanche",'Avalanche workings'!$AW$292,'Snowball workings'!$AW$292))</f>
      </c>
      <c r="V290" s="29">
        <f>IF(OR(285&gt;$Z$1,NOT(OR('Your debts'!$B$14&lt;&gt;"",N('Your debts'!$C$14)&gt;0))),"",IF('Your debts'!$D$20="Avalanche",'Avalanche workings'!$T$292,'Snowball workings'!$T$292)+IF('Your debts'!$D$20="Avalanche",'Avalanche workings'!$AN$292,'Snowball workings'!$AN$292))</f>
      </c>
      <c r="W290" s="30">
        <f>IF(OR(285&gt;$Z$1,NOT(OR('Your debts'!$B$14&lt;&gt;"",N('Your debts'!$C$14)&gt;0))),"",IF('Your debts'!$D$20="Avalanche",'Avalanche workings'!$AX$292,'Snowball workings'!$AX$292))</f>
      </c>
      <c r="X290" s="29">
        <f>IF(OR(285&gt;$Z$1,NOT(OR('Your debts'!$B$15&lt;&gt;"",N('Your debts'!$C$15)&gt;0))),"",IF('Your debts'!$D$20="Avalanche",'Avalanche workings'!$U$292,'Snowball workings'!$U$292)+IF('Your debts'!$D$20="Avalanche",'Avalanche workings'!$AO$292,'Snowball workings'!$AO$292))</f>
      </c>
      <c r="Y290" s="30">
        <f>IF(OR(285&gt;$Z$1,NOT(OR('Your debts'!$B$15&lt;&gt;"",N('Your debts'!$C$15)&gt;0))),"",IF('Your debts'!$D$20="Avalanche",'Avalanche workings'!$AY$292,'Snowball workings'!$AY$292))</f>
      </c>
    </row>
    <row r="291" spans="1:25" x14ac:dyDescent="0.25">
      <c r="A291" s="2">
        <f>IF(286&gt;$Z$1,"",286)</f>
      </c>
      <c r="B291" s="28">
        <f>IF(286&gt;$Z$1,"",EDATE('Your debts'!$D$21,285))</f>
      </c>
      <c r="C291" s="29">
        <f>IF(286&gt;$Z$1,"",IF('Your debts'!$D$20="Avalanche",'Avalanche workings'!$BC$293,'Snowball workings'!$BC$293))</f>
      </c>
      <c r="D291" s="29">
        <f>IF(286&gt;$Z$1,"",IF('Your debts'!$D$20="Avalanche",'Avalanche workings'!$BA$293,'Snowball workings'!$BA$293))</f>
      </c>
      <c r="E291" s="29">
        <f>IF(286&gt;$Z$1,"",IF('Your debts'!$D$20="Avalanche",'Avalanche workings'!$BB$293,'Snowball workings'!$BB$293))</f>
      </c>
      <c r="F291" s="29">
        <f>IF(OR(286&gt;$Z$1,NOT(OR('Your debts'!$B$6&lt;&gt;"",N('Your debts'!$C$6)&gt;0))),"",IF('Your debts'!$D$20="Avalanche",'Avalanche workings'!$L$293,'Snowball workings'!$L$293)+IF('Your debts'!$D$20="Avalanche",'Avalanche workings'!$AF$293,'Snowball workings'!$AF$293))</f>
      </c>
      <c r="G291" s="30">
        <f>IF(OR(286&gt;$Z$1,NOT(OR('Your debts'!$B$6&lt;&gt;"",N('Your debts'!$C$6)&gt;0))),"",IF('Your debts'!$D$20="Avalanche",'Avalanche workings'!$AP$293,'Snowball workings'!$AP$293))</f>
      </c>
      <c r="H291" s="29">
        <f>IF(OR(286&gt;$Z$1,NOT(OR('Your debts'!$B$7&lt;&gt;"",N('Your debts'!$C$7)&gt;0))),"",IF('Your debts'!$D$20="Avalanche",'Avalanche workings'!$M$293,'Snowball workings'!$M$293)+IF('Your debts'!$D$20="Avalanche",'Avalanche workings'!$AG$293,'Snowball workings'!$AG$293))</f>
      </c>
      <c r="I291" s="30">
        <f>IF(OR(286&gt;$Z$1,NOT(OR('Your debts'!$B$7&lt;&gt;"",N('Your debts'!$C$7)&gt;0))),"",IF('Your debts'!$D$20="Avalanche",'Avalanche workings'!$AQ$293,'Snowball workings'!$AQ$293))</f>
      </c>
      <c r="J291" s="29">
        <f>IF(OR(286&gt;$Z$1,NOT(OR('Your debts'!$B$8&lt;&gt;"",N('Your debts'!$C$8)&gt;0))),"",IF('Your debts'!$D$20="Avalanche",'Avalanche workings'!$N$293,'Snowball workings'!$N$293)+IF('Your debts'!$D$20="Avalanche",'Avalanche workings'!$AH$293,'Snowball workings'!$AH$293))</f>
      </c>
      <c r="K291" s="30">
        <f>IF(OR(286&gt;$Z$1,NOT(OR('Your debts'!$B$8&lt;&gt;"",N('Your debts'!$C$8)&gt;0))),"",IF('Your debts'!$D$20="Avalanche",'Avalanche workings'!$AR$293,'Snowball workings'!$AR$293))</f>
      </c>
      <c r="L291" s="29">
        <f>IF(OR(286&gt;$Z$1,NOT(OR('Your debts'!$B$9&lt;&gt;"",N('Your debts'!$C$9)&gt;0))),"",IF('Your debts'!$D$20="Avalanche",'Avalanche workings'!$O$293,'Snowball workings'!$O$293)+IF('Your debts'!$D$20="Avalanche",'Avalanche workings'!$AI$293,'Snowball workings'!$AI$293))</f>
      </c>
      <c r="M291" s="30">
        <f>IF(OR(286&gt;$Z$1,NOT(OR('Your debts'!$B$9&lt;&gt;"",N('Your debts'!$C$9)&gt;0))),"",IF('Your debts'!$D$20="Avalanche",'Avalanche workings'!$AS$293,'Snowball workings'!$AS$293))</f>
      </c>
      <c r="N291" s="29">
        <f>IF(OR(286&gt;$Z$1,NOT(OR('Your debts'!$B$10&lt;&gt;"",N('Your debts'!$C$10)&gt;0))),"",IF('Your debts'!$D$20="Avalanche",'Avalanche workings'!$P$293,'Snowball workings'!$P$293)+IF('Your debts'!$D$20="Avalanche",'Avalanche workings'!$AJ$293,'Snowball workings'!$AJ$293))</f>
      </c>
      <c r="O291" s="30">
        <f>IF(OR(286&gt;$Z$1,NOT(OR('Your debts'!$B$10&lt;&gt;"",N('Your debts'!$C$10)&gt;0))),"",IF('Your debts'!$D$20="Avalanche",'Avalanche workings'!$AT$293,'Snowball workings'!$AT$293))</f>
      </c>
      <c r="P291" s="29">
        <f>IF(OR(286&gt;$Z$1,NOT(OR('Your debts'!$B$11&lt;&gt;"",N('Your debts'!$C$11)&gt;0))),"",IF('Your debts'!$D$20="Avalanche",'Avalanche workings'!$Q$293,'Snowball workings'!$Q$293)+IF('Your debts'!$D$20="Avalanche",'Avalanche workings'!$AK$293,'Snowball workings'!$AK$293))</f>
      </c>
      <c r="Q291" s="30">
        <f>IF(OR(286&gt;$Z$1,NOT(OR('Your debts'!$B$11&lt;&gt;"",N('Your debts'!$C$11)&gt;0))),"",IF('Your debts'!$D$20="Avalanche",'Avalanche workings'!$AU$293,'Snowball workings'!$AU$293))</f>
      </c>
      <c r="R291" s="29">
        <f>IF(OR(286&gt;$Z$1,NOT(OR('Your debts'!$B$12&lt;&gt;"",N('Your debts'!$C$12)&gt;0))),"",IF('Your debts'!$D$20="Avalanche",'Avalanche workings'!$R$293,'Snowball workings'!$R$293)+IF('Your debts'!$D$20="Avalanche",'Avalanche workings'!$AL$293,'Snowball workings'!$AL$293))</f>
      </c>
      <c r="S291" s="30">
        <f>IF(OR(286&gt;$Z$1,NOT(OR('Your debts'!$B$12&lt;&gt;"",N('Your debts'!$C$12)&gt;0))),"",IF('Your debts'!$D$20="Avalanche",'Avalanche workings'!$AV$293,'Snowball workings'!$AV$293))</f>
      </c>
      <c r="T291" s="29">
        <f>IF(OR(286&gt;$Z$1,NOT(OR('Your debts'!$B$13&lt;&gt;"",N('Your debts'!$C$13)&gt;0))),"",IF('Your debts'!$D$20="Avalanche",'Avalanche workings'!$S$293,'Snowball workings'!$S$293)+IF('Your debts'!$D$20="Avalanche",'Avalanche workings'!$AM$293,'Snowball workings'!$AM$293))</f>
      </c>
      <c r="U291" s="30">
        <f>IF(OR(286&gt;$Z$1,NOT(OR('Your debts'!$B$13&lt;&gt;"",N('Your debts'!$C$13)&gt;0))),"",IF('Your debts'!$D$20="Avalanche",'Avalanche workings'!$AW$293,'Snowball workings'!$AW$293))</f>
      </c>
      <c r="V291" s="29">
        <f>IF(OR(286&gt;$Z$1,NOT(OR('Your debts'!$B$14&lt;&gt;"",N('Your debts'!$C$14)&gt;0))),"",IF('Your debts'!$D$20="Avalanche",'Avalanche workings'!$T$293,'Snowball workings'!$T$293)+IF('Your debts'!$D$20="Avalanche",'Avalanche workings'!$AN$293,'Snowball workings'!$AN$293))</f>
      </c>
      <c r="W291" s="30">
        <f>IF(OR(286&gt;$Z$1,NOT(OR('Your debts'!$B$14&lt;&gt;"",N('Your debts'!$C$14)&gt;0))),"",IF('Your debts'!$D$20="Avalanche",'Avalanche workings'!$AX$293,'Snowball workings'!$AX$293))</f>
      </c>
      <c r="X291" s="29">
        <f>IF(OR(286&gt;$Z$1,NOT(OR('Your debts'!$B$15&lt;&gt;"",N('Your debts'!$C$15)&gt;0))),"",IF('Your debts'!$D$20="Avalanche",'Avalanche workings'!$U$293,'Snowball workings'!$U$293)+IF('Your debts'!$D$20="Avalanche",'Avalanche workings'!$AO$293,'Snowball workings'!$AO$293))</f>
      </c>
      <c r="Y291" s="30">
        <f>IF(OR(286&gt;$Z$1,NOT(OR('Your debts'!$B$15&lt;&gt;"",N('Your debts'!$C$15)&gt;0))),"",IF('Your debts'!$D$20="Avalanche",'Avalanche workings'!$AY$293,'Snowball workings'!$AY$293))</f>
      </c>
    </row>
    <row r="292" spans="1:25" x14ac:dyDescent="0.25">
      <c r="A292" s="2">
        <f>IF(287&gt;$Z$1,"",287)</f>
      </c>
      <c r="B292" s="28">
        <f>IF(287&gt;$Z$1,"",EDATE('Your debts'!$D$21,286))</f>
      </c>
      <c r="C292" s="29">
        <f>IF(287&gt;$Z$1,"",IF('Your debts'!$D$20="Avalanche",'Avalanche workings'!$BC$294,'Snowball workings'!$BC$294))</f>
      </c>
      <c r="D292" s="29">
        <f>IF(287&gt;$Z$1,"",IF('Your debts'!$D$20="Avalanche",'Avalanche workings'!$BA$294,'Snowball workings'!$BA$294))</f>
      </c>
      <c r="E292" s="29">
        <f>IF(287&gt;$Z$1,"",IF('Your debts'!$D$20="Avalanche",'Avalanche workings'!$BB$294,'Snowball workings'!$BB$294))</f>
      </c>
      <c r="F292" s="29">
        <f>IF(OR(287&gt;$Z$1,NOT(OR('Your debts'!$B$6&lt;&gt;"",N('Your debts'!$C$6)&gt;0))),"",IF('Your debts'!$D$20="Avalanche",'Avalanche workings'!$L$294,'Snowball workings'!$L$294)+IF('Your debts'!$D$20="Avalanche",'Avalanche workings'!$AF$294,'Snowball workings'!$AF$294))</f>
      </c>
      <c r="G292" s="30">
        <f>IF(OR(287&gt;$Z$1,NOT(OR('Your debts'!$B$6&lt;&gt;"",N('Your debts'!$C$6)&gt;0))),"",IF('Your debts'!$D$20="Avalanche",'Avalanche workings'!$AP$294,'Snowball workings'!$AP$294))</f>
      </c>
      <c r="H292" s="29">
        <f>IF(OR(287&gt;$Z$1,NOT(OR('Your debts'!$B$7&lt;&gt;"",N('Your debts'!$C$7)&gt;0))),"",IF('Your debts'!$D$20="Avalanche",'Avalanche workings'!$M$294,'Snowball workings'!$M$294)+IF('Your debts'!$D$20="Avalanche",'Avalanche workings'!$AG$294,'Snowball workings'!$AG$294))</f>
      </c>
      <c r="I292" s="30">
        <f>IF(OR(287&gt;$Z$1,NOT(OR('Your debts'!$B$7&lt;&gt;"",N('Your debts'!$C$7)&gt;0))),"",IF('Your debts'!$D$20="Avalanche",'Avalanche workings'!$AQ$294,'Snowball workings'!$AQ$294))</f>
      </c>
      <c r="J292" s="29">
        <f>IF(OR(287&gt;$Z$1,NOT(OR('Your debts'!$B$8&lt;&gt;"",N('Your debts'!$C$8)&gt;0))),"",IF('Your debts'!$D$20="Avalanche",'Avalanche workings'!$N$294,'Snowball workings'!$N$294)+IF('Your debts'!$D$20="Avalanche",'Avalanche workings'!$AH$294,'Snowball workings'!$AH$294))</f>
      </c>
      <c r="K292" s="30">
        <f>IF(OR(287&gt;$Z$1,NOT(OR('Your debts'!$B$8&lt;&gt;"",N('Your debts'!$C$8)&gt;0))),"",IF('Your debts'!$D$20="Avalanche",'Avalanche workings'!$AR$294,'Snowball workings'!$AR$294))</f>
      </c>
      <c r="L292" s="29">
        <f>IF(OR(287&gt;$Z$1,NOT(OR('Your debts'!$B$9&lt;&gt;"",N('Your debts'!$C$9)&gt;0))),"",IF('Your debts'!$D$20="Avalanche",'Avalanche workings'!$O$294,'Snowball workings'!$O$294)+IF('Your debts'!$D$20="Avalanche",'Avalanche workings'!$AI$294,'Snowball workings'!$AI$294))</f>
      </c>
      <c r="M292" s="30">
        <f>IF(OR(287&gt;$Z$1,NOT(OR('Your debts'!$B$9&lt;&gt;"",N('Your debts'!$C$9)&gt;0))),"",IF('Your debts'!$D$20="Avalanche",'Avalanche workings'!$AS$294,'Snowball workings'!$AS$294))</f>
      </c>
      <c r="N292" s="29">
        <f>IF(OR(287&gt;$Z$1,NOT(OR('Your debts'!$B$10&lt;&gt;"",N('Your debts'!$C$10)&gt;0))),"",IF('Your debts'!$D$20="Avalanche",'Avalanche workings'!$P$294,'Snowball workings'!$P$294)+IF('Your debts'!$D$20="Avalanche",'Avalanche workings'!$AJ$294,'Snowball workings'!$AJ$294))</f>
      </c>
      <c r="O292" s="30">
        <f>IF(OR(287&gt;$Z$1,NOT(OR('Your debts'!$B$10&lt;&gt;"",N('Your debts'!$C$10)&gt;0))),"",IF('Your debts'!$D$20="Avalanche",'Avalanche workings'!$AT$294,'Snowball workings'!$AT$294))</f>
      </c>
      <c r="P292" s="29">
        <f>IF(OR(287&gt;$Z$1,NOT(OR('Your debts'!$B$11&lt;&gt;"",N('Your debts'!$C$11)&gt;0))),"",IF('Your debts'!$D$20="Avalanche",'Avalanche workings'!$Q$294,'Snowball workings'!$Q$294)+IF('Your debts'!$D$20="Avalanche",'Avalanche workings'!$AK$294,'Snowball workings'!$AK$294))</f>
      </c>
      <c r="Q292" s="30">
        <f>IF(OR(287&gt;$Z$1,NOT(OR('Your debts'!$B$11&lt;&gt;"",N('Your debts'!$C$11)&gt;0))),"",IF('Your debts'!$D$20="Avalanche",'Avalanche workings'!$AU$294,'Snowball workings'!$AU$294))</f>
      </c>
      <c r="R292" s="29">
        <f>IF(OR(287&gt;$Z$1,NOT(OR('Your debts'!$B$12&lt;&gt;"",N('Your debts'!$C$12)&gt;0))),"",IF('Your debts'!$D$20="Avalanche",'Avalanche workings'!$R$294,'Snowball workings'!$R$294)+IF('Your debts'!$D$20="Avalanche",'Avalanche workings'!$AL$294,'Snowball workings'!$AL$294))</f>
      </c>
      <c r="S292" s="30">
        <f>IF(OR(287&gt;$Z$1,NOT(OR('Your debts'!$B$12&lt;&gt;"",N('Your debts'!$C$12)&gt;0))),"",IF('Your debts'!$D$20="Avalanche",'Avalanche workings'!$AV$294,'Snowball workings'!$AV$294))</f>
      </c>
      <c r="T292" s="29">
        <f>IF(OR(287&gt;$Z$1,NOT(OR('Your debts'!$B$13&lt;&gt;"",N('Your debts'!$C$13)&gt;0))),"",IF('Your debts'!$D$20="Avalanche",'Avalanche workings'!$S$294,'Snowball workings'!$S$294)+IF('Your debts'!$D$20="Avalanche",'Avalanche workings'!$AM$294,'Snowball workings'!$AM$294))</f>
      </c>
      <c r="U292" s="30">
        <f>IF(OR(287&gt;$Z$1,NOT(OR('Your debts'!$B$13&lt;&gt;"",N('Your debts'!$C$13)&gt;0))),"",IF('Your debts'!$D$20="Avalanche",'Avalanche workings'!$AW$294,'Snowball workings'!$AW$294))</f>
      </c>
      <c r="V292" s="29">
        <f>IF(OR(287&gt;$Z$1,NOT(OR('Your debts'!$B$14&lt;&gt;"",N('Your debts'!$C$14)&gt;0))),"",IF('Your debts'!$D$20="Avalanche",'Avalanche workings'!$T$294,'Snowball workings'!$T$294)+IF('Your debts'!$D$20="Avalanche",'Avalanche workings'!$AN$294,'Snowball workings'!$AN$294))</f>
      </c>
      <c r="W292" s="30">
        <f>IF(OR(287&gt;$Z$1,NOT(OR('Your debts'!$B$14&lt;&gt;"",N('Your debts'!$C$14)&gt;0))),"",IF('Your debts'!$D$20="Avalanche",'Avalanche workings'!$AX$294,'Snowball workings'!$AX$294))</f>
      </c>
      <c r="X292" s="29">
        <f>IF(OR(287&gt;$Z$1,NOT(OR('Your debts'!$B$15&lt;&gt;"",N('Your debts'!$C$15)&gt;0))),"",IF('Your debts'!$D$20="Avalanche",'Avalanche workings'!$U$294,'Snowball workings'!$U$294)+IF('Your debts'!$D$20="Avalanche",'Avalanche workings'!$AO$294,'Snowball workings'!$AO$294))</f>
      </c>
      <c r="Y292" s="30">
        <f>IF(OR(287&gt;$Z$1,NOT(OR('Your debts'!$B$15&lt;&gt;"",N('Your debts'!$C$15)&gt;0))),"",IF('Your debts'!$D$20="Avalanche",'Avalanche workings'!$AY$294,'Snowball workings'!$AY$294))</f>
      </c>
    </row>
    <row r="293" spans="1:25" x14ac:dyDescent="0.25">
      <c r="A293" s="2">
        <f>IF(288&gt;$Z$1,"",288)</f>
      </c>
      <c r="B293" s="28">
        <f>IF(288&gt;$Z$1,"",EDATE('Your debts'!$D$21,287))</f>
      </c>
      <c r="C293" s="29">
        <f>IF(288&gt;$Z$1,"",IF('Your debts'!$D$20="Avalanche",'Avalanche workings'!$BC$295,'Snowball workings'!$BC$295))</f>
      </c>
      <c r="D293" s="29">
        <f>IF(288&gt;$Z$1,"",IF('Your debts'!$D$20="Avalanche",'Avalanche workings'!$BA$295,'Snowball workings'!$BA$295))</f>
      </c>
      <c r="E293" s="29">
        <f>IF(288&gt;$Z$1,"",IF('Your debts'!$D$20="Avalanche",'Avalanche workings'!$BB$295,'Snowball workings'!$BB$295))</f>
      </c>
      <c r="F293" s="29">
        <f>IF(OR(288&gt;$Z$1,NOT(OR('Your debts'!$B$6&lt;&gt;"",N('Your debts'!$C$6)&gt;0))),"",IF('Your debts'!$D$20="Avalanche",'Avalanche workings'!$L$295,'Snowball workings'!$L$295)+IF('Your debts'!$D$20="Avalanche",'Avalanche workings'!$AF$295,'Snowball workings'!$AF$295))</f>
      </c>
      <c r="G293" s="30">
        <f>IF(OR(288&gt;$Z$1,NOT(OR('Your debts'!$B$6&lt;&gt;"",N('Your debts'!$C$6)&gt;0))),"",IF('Your debts'!$D$20="Avalanche",'Avalanche workings'!$AP$295,'Snowball workings'!$AP$295))</f>
      </c>
      <c r="H293" s="29">
        <f>IF(OR(288&gt;$Z$1,NOT(OR('Your debts'!$B$7&lt;&gt;"",N('Your debts'!$C$7)&gt;0))),"",IF('Your debts'!$D$20="Avalanche",'Avalanche workings'!$M$295,'Snowball workings'!$M$295)+IF('Your debts'!$D$20="Avalanche",'Avalanche workings'!$AG$295,'Snowball workings'!$AG$295))</f>
      </c>
      <c r="I293" s="30">
        <f>IF(OR(288&gt;$Z$1,NOT(OR('Your debts'!$B$7&lt;&gt;"",N('Your debts'!$C$7)&gt;0))),"",IF('Your debts'!$D$20="Avalanche",'Avalanche workings'!$AQ$295,'Snowball workings'!$AQ$295))</f>
      </c>
      <c r="J293" s="29">
        <f>IF(OR(288&gt;$Z$1,NOT(OR('Your debts'!$B$8&lt;&gt;"",N('Your debts'!$C$8)&gt;0))),"",IF('Your debts'!$D$20="Avalanche",'Avalanche workings'!$N$295,'Snowball workings'!$N$295)+IF('Your debts'!$D$20="Avalanche",'Avalanche workings'!$AH$295,'Snowball workings'!$AH$295))</f>
      </c>
      <c r="K293" s="30">
        <f>IF(OR(288&gt;$Z$1,NOT(OR('Your debts'!$B$8&lt;&gt;"",N('Your debts'!$C$8)&gt;0))),"",IF('Your debts'!$D$20="Avalanche",'Avalanche workings'!$AR$295,'Snowball workings'!$AR$295))</f>
      </c>
      <c r="L293" s="29">
        <f>IF(OR(288&gt;$Z$1,NOT(OR('Your debts'!$B$9&lt;&gt;"",N('Your debts'!$C$9)&gt;0))),"",IF('Your debts'!$D$20="Avalanche",'Avalanche workings'!$O$295,'Snowball workings'!$O$295)+IF('Your debts'!$D$20="Avalanche",'Avalanche workings'!$AI$295,'Snowball workings'!$AI$295))</f>
      </c>
      <c r="M293" s="30">
        <f>IF(OR(288&gt;$Z$1,NOT(OR('Your debts'!$B$9&lt;&gt;"",N('Your debts'!$C$9)&gt;0))),"",IF('Your debts'!$D$20="Avalanche",'Avalanche workings'!$AS$295,'Snowball workings'!$AS$295))</f>
      </c>
      <c r="N293" s="29">
        <f>IF(OR(288&gt;$Z$1,NOT(OR('Your debts'!$B$10&lt;&gt;"",N('Your debts'!$C$10)&gt;0))),"",IF('Your debts'!$D$20="Avalanche",'Avalanche workings'!$P$295,'Snowball workings'!$P$295)+IF('Your debts'!$D$20="Avalanche",'Avalanche workings'!$AJ$295,'Snowball workings'!$AJ$295))</f>
      </c>
      <c r="O293" s="30">
        <f>IF(OR(288&gt;$Z$1,NOT(OR('Your debts'!$B$10&lt;&gt;"",N('Your debts'!$C$10)&gt;0))),"",IF('Your debts'!$D$20="Avalanche",'Avalanche workings'!$AT$295,'Snowball workings'!$AT$295))</f>
      </c>
      <c r="P293" s="29">
        <f>IF(OR(288&gt;$Z$1,NOT(OR('Your debts'!$B$11&lt;&gt;"",N('Your debts'!$C$11)&gt;0))),"",IF('Your debts'!$D$20="Avalanche",'Avalanche workings'!$Q$295,'Snowball workings'!$Q$295)+IF('Your debts'!$D$20="Avalanche",'Avalanche workings'!$AK$295,'Snowball workings'!$AK$295))</f>
      </c>
      <c r="Q293" s="30">
        <f>IF(OR(288&gt;$Z$1,NOT(OR('Your debts'!$B$11&lt;&gt;"",N('Your debts'!$C$11)&gt;0))),"",IF('Your debts'!$D$20="Avalanche",'Avalanche workings'!$AU$295,'Snowball workings'!$AU$295))</f>
      </c>
      <c r="R293" s="29">
        <f>IF(OR(288&gt;$Z$1,NOT(OR('Your debts'!$B$12&lt;&gt;"",N('Your debts'!$C$12)&gt;0))),"",IF('Your debts'!$D$20="Avalanche",'Avalanche workings'!$R$295,'Snowball workings'!$R$295)+IF('Your debts'!$D$20="Avalanche",'Avalanche workings'!$AL$295,'Snowball workings'!$AL$295))</f>
      </c>
      <c r="S293" s="30">
        <f>IF(OR(288&gt;$Z$1,NOT(OR('Your debts'!$B$12&lt;&gt;"",N('Your debts'!$C$12)&gt;0))),"",IF('Your debts'!$D$20="Avalanche",'Avalanche workings'!$AV$295,'Snowball workings'!$AV$295))</f>
      </c>
      <c r="T293" s="29">
        <f>IF(OR(288&gt;$Z$1,NOT(OR('Your debts'!$B$13&lt;&gt;"",N('Your debts'!$C$13)&gt;0))),"",IF('Your debts'!$D$20="Avalanche",'Avalanche workings'!$S$295,'Snowball workings'!$S$295)+IF('Your debts'!$D$20="Avalanche",'Avalanche workings'!$AM$295,'Snowball workings'!$AM$295))</f>
      </c>
      <c r="U293" s="30">
        <f>IF(OR(288&gt;$Z$1,NOT(OR('Your debts'!$B$13&lt;&gt;"",N('Your debts'!$C$13)&gt;0))),"",IF('Your debts'!$D$20="Avalanche",'Avalanche workings'!$AW$295,'Snowball workings'!$AW$295))</f>
      </c>
      <c r="V293" s="29">
        <f>IF(OR(288&gt;$Z$1,NOT(OR('Your debts'!$B$14&lt;&gt;"",N('Your debts'!$C$14)&gt;0))),"",IF('Your debts'!$D$20="Avalanche",'Avalanche workings'!$T$295,'Snowball workings'!$T$295)+IF('Your debts'!$D$20="Avalanche",'Avalanche workings'!$AN$295,'Snowball workings'!$AN$295))</f>
      </c>
      <c r="W293" s="30">
        <f>IF(OR(288&gt;$Z$1,NOT(OR('Your debts'!$B$14&lt;&gt;"",N('Your debts'!$C$14)&gt;0))),"",IF('Your debts'!$D$20="Avalanche",'Avalanche workings'!$AX$295,'Snowball workings'!$AX$295))</f>
      </c>
      <c r="X293" s="29">
        <f>IF(OR(288&gt;$Z$1,NOT(OR('Your debts'!$B$15&lt;&gt;"",N('Your debts'!$C$15)&gt;0))),"",IF('Your debts'!$D$20="Avalanche",'Avalanche workings'!$U$295,'Snowball workings'!$U$295)+IF('Your debts'!$D$20="Avalanche",'Avalanche workings'!$AO$295,'Snowball workings'!$AO$295))</f>
      </c>
      <c r="Y293" s="30">
        <f>IF(OR(288&gt;$Z$1,NOT(OR('Your debts'!$B$15&lt;&gt;"",N('Your debts'!$C$15)&gt;0))),"",IF('Your debts'!$D$20="Avalanche",'Avalanche workings'!$AY$295,'Snowball workings'!$AY$295))</f>
      </c>
    </row>
    <row r="294" spans="1:25" x14ac:dyDescent="0.25">
      <c r="A294" s="2">
        <f>IF(289&gt;$Z$1,"",289)</f>
      </c>
      <c r="B294" s="28">
        <f>IF(289&gt;$Z$1,"",EDATE('Your debts'!$D$21,288))</f>
      </c>
      <c r="C294" s="29">
        <f>IF(289&gt;$Z$1,"",IF('Your debts'!$D$20="Avalanche",'Avalanche workings'!$BC$296,'Snowball workings'!$BC$296))</f>
      </c>
      <c r="D294" s="29">
        <f>IF(289&gt;$Z$1,"",IF('Your debts'!$D$20="Avalanche",'Avalanche workings'!$BA$296,'Snowball workings'!$BA$296))</f>
      </c>
      <c r="E294" s="29">
        <f>IF(289&gt;$Z$1,"",IF('Your debts'!$D$20="Avalanche",'Avalanche workings'!$BB$296,'Snowball workings'!$BB$296))</f>
      </c>
      <c r="F294" s="29">
        <f>IF(OR(289&gt;$Z$1,NOT(OR('Your debts'!$B$6&lt;&gt;"",N('Your debts'!$C$6)&gt;0))),"",IF('Your debts'!$D$20="Avalanche",'Avalanche workings'!$L$296,'Snowball workings'!$L$296)+IF('Your debts'!$D$20="Avalanche",'Avalanche workings'!$AF$296,'Snowball workings'!$AF$296))</f>
      </c>
      <c r="G294" s="30">
        <f>IF(OR(289&gt;$Z$1,NOT(OR('Your debts'!$B$6&lt;&gt;"",N('Your debts'!$C$6)&gt;0))),"",IF('Your debts'!$D$20="Avalanche",'Avalanche workings'!$AP$296,'Snowball workings'!$AP$296))</f>
      </c>
      <c r="H294" s="29">
        <f>IF(OR(289&gt;$Z$1,NOT(OR('Your debts'!$B$7&lt;&gt;"",N('Your debts'!$C$7)&gt;0))),"",IF('Your debts'!$D$20="Avalanche",'Avalanche workings'!$M$296,'Snowball workings'!$M$296)+IF('Your debts'!$D$20="Avalanche",'Avalanche workings'!$AG$296,'Snowball workings'!$AG$296))</f>
      </c>
      <c r="I294" s="30">
        <f>IF(OR(289&gt;$Z$1,NOT(OR('Your debts'!$B$7&lt;&gt;"",N('Your debts'!$C$7)&gt;0))),"",IF('Your debts'!$D$20="Avalanche",'Avalanche workings'!$AQ$296,'Snowball workings'!$AQ$296))</f>
      </c>
      <c r="J294" s="29">
        <f>IF(OR(289&gt;$Z$1,NOT(OR('Your debts'!$B$8&lt;&gt;"",N('Your debts'!$C$8)&gt;0))),"",IF('Your debts'!$D$20="Avalanche",'Avalanche workings'!$N$296,'Snowball workings'!$N$296)+IF('Your debts'!$D$20="Avalanche",'Avalanche workings'!$AH$296,'Snowball workings'!$AH$296))</f>
      </c>
      <c r="K294" s="30">
        <f>IF(OR(289&gt;$Z$1,NOT(OR('Your debts'!$B$8&lt;&gt;"",N('Your debts'!$C$8)&gt;0))),"",IF('Your debts'!$D$20="Avalanche",'Avalanche workings'!$AR$296,'Snowball workings'!$AR$296))</f>
      </c>
      <c r="L294" s="29">
        <f>IF(OR(289&gt;$Z$1,NOT(OR('Your debts'!$B$9&lt;&gt;"",N('Your debts'!$C$9)&gt;0))),"",IF('Your debts'!$D$20="Avalanche",'Avalanche workings'!$O$296,'Snowball workings'!$O$296)+IF('Your debts'!$D$20="Avalanche",'Avalanche workings'!$AI$296,'Snowball workings'!$AI$296))</f>
      </c>
      <c r="M294" s="30">
        <f>IF(OR(289&gt;$Z$1,NOT(OR('Your debts'!$B$9&lt;&gt;"",N('Your debts'!$C$9)&gt;0))),"",IF('Your debts'!$D$20="Avalanche",'Avalanche workings'!$AS$296,'Snowball workings'!$AS$296))</f>
      </c>
      <c r="N294" s="29">
        <f>IF(OR(289&gt;$Z$1,NOT(OR('Your debts'!$B$10&lt;&gt;"",N('Your debts'!$C$10)&gt;0))),"",IF('Your debts'!$D$20="Avalanche",'Avalanche workings'!$P$296,'Snowball workings'!$P$296)+IF('Your debts'!$D$20="Avalanche",'Avalanche workings'!$AJ$296,'Snowball workings'!$AJ$296))</f>
      </c>
      <c r="O294" s="30">
        <f>IF(OR(289&gt;$Z$1,NOT(OR('Your debts'!$B$10&lt;&gt;"",N('Your debts'!$C$10)&gt;0))),"",IF('Your debts'!$D$20="Avalanche",'Avalanche workings'!$AT$296,'Snowball workings'!$AT$296))</f>
      </c>
      <c r="P294" s="29">
        <f>IF(OR(289&gt;$Z$1,NOT(OR('Your debts'!$B$11&lt;&gt;"",N('Your debts'!$C$11)&gt;0))),"",IF('Your debts'!$D$20="Avalanche",'Avalanche workings'!$Q$296,'Snowball workings'!$Q$296)+IF('Your debts'!$D$20="Avalanche",'Avalanche workings'!$AK$296,'Snowball workings'!$AK$296))</f>
      </c>
      <c r="Q294" s="30">
        <f>IF(OR(289&gt;$Z$1,NOT(OR('Your debts'!$B$11&lt;&gt;"",N('Your debts'!$C$11)&gt;0))),"",IF('Your debts'!$D$20="Avalanche",'Avalanche workings'!$AU$296,'Snowball workings'!$AU$296))</f>
      </c>
      <c r="R294" s="29">
        <f>IF(OR(289&gt;$Z$1,NOT(OR('Your debts'!$B$12&lt;&gt;"",N('Your debts'!$C$12)&gt;0))),"",IF('Your debts'!$D$20="Avalanche",'Avalanche workings'!$R$296,'Snowball workings'!$R$296)+IF('Your debts'!$D$20="Avalanche",'Avalanche workings'!$AL$296,'Snowball workings'!$AL$296))</f>
      </c>
      <c r="S294" s="30">
        <f>IF(OR(289&gt;$Z$1,NOT(OR('Your debts'!$B$12&lt;&gt;"",N('Your debts'!$C$12)&gt;0))),"",IF('Your debts'!$D$20="Avalanche",'Avalanche workings'!$AV$296,'Snowball workings'!$AV$296))</f>
      </c>
      <c r="T294" s="29">
        <f>IF(OR(289&gt;$Z$1,NOT(OR('Your debts'!$B$13&lt;&gt;"",N('Your debts'!$C$13)&gt;0))),"",IF('Your debts'!$D$20="Avalanche",'Avalanche workings'!$S$296,'Snowball workings'!$S$296)+IF('Your debts'!$D$20="Avalanche",'Avalanche workings'!$AM$296,'Snowball workings'!$AM$296))</f>
      </c>
      <c r="U294" s="30">
        <f>IF(OR(289&gt;$Z$1,NOT(OR('Your debts'!$B$13&lt;&gt;"",N('Your debts'!$C$13)&gt;0))),"",IF('Your debts'!$D$20="Avalanche",'Avalanche workings'!$AW$296,'Snowball workings'!$AW$296))</f>
      </c>
      <c r="V294" s="29">
        <f>IF(OR(289&gt;$Z$1,NOT(OR('Your debts'!$B$14&lt;&gt;"",N('Your debts'!$C$14)&gt;0))),"",IF('Your debts'!$D$20="Avalanche",'Avalanche workings'!$T$296,'Snowball workings'!$T$296)+IF('Your debts'!$D$20="Avalanche",'Avalanche workings'!$AN$296,'Snowball workings'!$AN$296))</f>
      </c>
      <c r="W294" s="30">
        <f>IF(OR(289&gt;$Z$1,NOT(OR('Your debts'!$B$14&lt;&gt;"",N('Your debts'!$C$14)&gt;0))),"",IF('Your debts'!$D$20="Avalanche",'Avalanche workings'!$AX$296,'Snowball workings'!$AX$296))</f>
      </c>
      <c r="X294" s="29">
        <f>IF(OR(289&gt;$Z$1,NOT(OR('Your debts'!$B$15&lt;&gt;"",N('Your debts'!$C$15)&gt;0))),"",IF('Your debts'!$D$20="Avalanche",'Avalanche workings'!$U$296,'Snowball workings'!$U$296)+IF('Your debts'!$D$20="Avalanche",'Avalanche workings'!$AO$296,'Snowball workings'!$AO$296))</f>
      </c>
      <c r="Y294" s="30">
        <f>IF(OR(289&gt;$Z$1,NOT(OR('Your debts'!$B$15&lt;&gt;"",N('Your debts'!$C$15)&gt;0))),"",IF('Your debts'!$D$20="Avalanche",'Avalanche workings'!$AY$296,'Snowball workings'!$AY$296))</f>
      </c>
    </row>
    <row r="295" spans="1:25" x14ac:dyDescent="0.25">
      <c r="A295" s="2">
        <f>IF(290&gt;$Z$1,"",290)</f>
      </c>
      <c r="B295" s="28">
        <f>IF(290&gt;$Z$1,"",EDATE('Your debts'!$D$21,289))</f>
      </c>
      <c r="C295" s="29">
        <f>IF(290&gt;$Z$1,"",IF('Your debts'!$D$20="Avalanche",'Avalanche workings'!$BC$297,'Snowball workings'!$BC$297))</f>
      </c>
      <c r="D295" s="29">
        <f>IF(290&gt;$Z$1,"",IF('Your debts'!$D$20="Avalanche",'Avalanche workings'!$BA$297,'Snowball workings'!$BA$297))</f>
      </c>
      <c r="E295" s="29">
        <f>IF(290&gt;$Z$1,"",IF('Your debts'!$D$20="Avalanche",'Avalanche workings'!$BB$297,'Snowball workings'!$BB$297))</f>
      </c>
      <c r="F295" s="29">
        <f>IF(OR(290&gt;$Z$1,NOT(OR('Your debts'!$B$6&lt;&gt;"",N('Your debts'!$C$6)&gt;0))),"",IF('Your debts'!$D$20="Avalanche",'Avalanche workings'!$L$297,'Snowball workings'!$L$297)+IF('Your debts'!$D$20="Avalanche",'Avalanche workings'!$AF$297,'Snowball workings'!$AF$297))</f>
      </c>
      <c r="G295" s="30">
        <f>IF(OR(290&gt;$Z$1,NOT(OR('Your debts'!$B$6&lt;&gt;"",N('Your debts'!$C$6)&gt;0))),"",IF('Your debts'!$D$20="Avalanche",'Avalanche workings'!$AP$297,'Snowball workings'!$AP$297))</f>
      </c>
      <c r="H295" s="29">
        <f>IF(OR(290&gt;$Z$1,NOT(OR('Your debts'!$B$7&lt;&gt;"",N('Your debts'!$C$7)&gt;0))),"",IF('Your debts'!$D$20="Avalanche",'Avalanche workings'!$M$297,'Snowball workings'!$M$297)+IF('Your debts'!$D$20="Avalanche",'Avalanche workings'!$AG$297,'Snowball workings'!$AG$297))</f>
      </c>
      <c r="I295" s="30">
        <f>IF(OR(290&gt;$Z$1,NOT(OR('Your debts'!$B$7&lt;&gt;"",N('Your debts'!$C$7)&gt;0))),"",IF('Your debts'!$D$20="Avalanche",'Avalanche workings'!$AQ$297,'Snowball workings'!$AQ$297))</f>
      </c>
      <c r="J295" s="29">
        <f>IF(OR(290&gt;$Z$1,NOT(OR('Your debts'!$B$8&lt;&gt;"",N('Your debts'!$C$8)&gt;0))),"",IF('Your debts'!$D$20="Avalanche",'Avalanche workings'!$N$297,'Snowball workings'!$N$297)+IF('Your debts'!$D$20="Avalanche",'Avalanche workings'!$AH$297,'Snowball workings'!$AH$297))</f>
      </c>
      <c r="K295" s="30">
        <f>IF(OR(290&gt;$Z$1,NOT(OR('Your debts'!$B$8&lt;&gt;"",N('Your debts'!$C$8)&gt;0))),"",IF('Your debts'!$D$20="Avalanche",'Avalanche workings'!$AR$297,'Snowball workings'!$AR$297))</f>
      </c>
      <c r="L295" s="29">
        <f>IF(OR(290&gt;$Z$1,NOT(OR('Your debts'!$B$9&lt;&gt;"",N('Your debts'!$C$9)&gt;0))),"",IF('Your debts'!$D$20="Avalanche",'Avalanche workings'!$O$297,'Snowball workings'!$O$297)+IF('Your debts'!$D$20="Avalanche",'Avalanche workings'!$AI$297,'Snowball workings'!$AI$297))</f>
      </c>
      <c r="M295" s="30">
        <f>IF(OR(290&gt;$Z$1,NOT(OR('Your debts'!$B$9&lt;&gt;"",N('Your debts'!$C$9)&gt;0))),"",IF('Your debts'!$D$20="Avalanche",'Avalanche workings'!$AS$297,'Snowball workings'!$AS$297))</f>
      </c>
      <c r="N295" s="29">
        <f>IF(OR(290&gt;$Z$1,NOT(OR('Your debts'!$B$10&lt;&gt;"",N('Your debts'!$C$10)&gt;0))),"",IF('Your debts'!$D$20="Avalanche",'Avalanche workings'!$P$297,'Snowball workings'!$P$297)+IF('Your debts'!$D$20="Avalanche",'Avalanche workings'!$AJ$297,'Snowball workings'!$AJ$297))</f>
      </c>
      <c r="O295" s="30">
        <f>IF(OR(290&gt;$Z$1,NOT(OR('Your debts'!$B$10&lt;&gt;"",N('Your debts'!$C$10)&gt;0))),"",IF('Your debts'!$D$20="Avalanche",'Avalanche workings'!$AT$297,'Snowball workings'!$AT$297))</f>
      </c>
      <c r="P295" s="29">
        <f>IF(OR(290&gt;$Z$1,NOT(OR('Your debts'!$B$11&lt;&gt;"",N('Your debts'!$C$11)&gt;0))),"",IF('Your debts'!$D$20="Avalanche",'Avalanche workings'!$Q$297,'Snowball workings'!$Q$297)+IF('Your debts'!$D$20="Avalanche",'Avalanche workings'!$AK$297,'Snowball workings'!$AK$297))</f>
      </c>
      <c r="Q295" s="30">
        <f>IF(OR(290&gt;$Z$1,NOT(OR('Your debts'!$B$11&lt;&gt;"",N('Your debts'!$C$11)&gt;0))),"",IF('Your debts'!$D$20="Avalanche",'Avalanche workings'!$AU$297,'Snowball workings'!$AU$297))</f>
      </c>
      <c r="R295" s="29">
        <f>IF(OR(290&gt;$Z$1,NOT(OR('Your debts'!$B$12&lt;&gt;"",N('Your debts'!$C$12)&gt;0))),"",IF('Your debts'!$D$20="Avalanche",'Avalanche workings'!$R$297,'Snowball workings'!$R$297)+IF('Your debts'!$D$20="Avalanche",'Avalanche workings'!$AL$297,'Snowball workings'!$AL$297))</f>
      </c>
      <c r="S295" s="30">
        <f>IF(OR(290&gt;$Z$1,NOT(OR('Your debts'!$B$12&lt;&gt;"",N('Your debts'!$C$12)&gt;0))),"",IF('Your debts'!$D$20="Avalanche",'Avalanche workings'!$AV$297,'Snowball workings'!$AV$297))</f>
      </c>
      <c r="T295" s="29">
        <f>IF(OR(290&gt;$Z$1,NOT(OR('Your debts'!$B$13&lt;&gt;"",N('Your debts'!$C$13)&gt;0))),"",IF('Your debts'!$D$20="Avalanche",'Avalanche workings'!$S$297,'Snowball workings'!$S$297)+IF('Your debts'!$D$20="Avalanche",'Avalanche workings'!$AM$297,'Snowball workings'!$AM$297))</f>
      </c>
      <c r="U295" s="30">
        <f>IF(OR(290&gt;$Z$1,NOT(OR('Your debts'!$B$13&lt;&gt;"",N('Your debts'!$C$13)&gt;0))),"",IF('Your debts'!$D$20="Avalanche",'Avalanche workings'!$AW$297,'Snowball workings'!$AW$297))</f>
      </c>
      <c r="V295" s="29">
        <f>IF(OR(290&gt;$Z$1,NOT(OR('Your debts'!$B$14&lt;&gt;"",N('Your debts'!$C$14)&gt;0))),"",IF('Your debts'!$D$20="Avalanche",'Avalanche workings'!$T$297,'Snowball workings'!$T$297)+IF('Your debts'!$D$20="Avalanche",'Avalanche workings'!$AN$297,'Snowball workings'!$AN$297))</f>
      </c>
      <c r="W295" s="30">
        <f>IF(OR(290&gt;$Z$1,NOT(OR('Your debts'!$B$14&lt;&gt;"",N('Your debts'!$C$14)&gt;0))),"",IF('Your debts'!$D$20="Avalanche",'Avalanche workings'!$AX$297,'Snowball workings'!$AX$297))</f>
      </c>
      <c r="X295" s="29">
        <f>IF(OR(290&gt;$Z$1,NOT(OR('Your debts'!$B$15&lt;&gt;"",N('Your debts'!$C$15)&gt;0))),"",IF('Your debts'!$D$20="Avalanche",'Avalanche workings'!$U$297,'Snowball workings'!$U$297)+IF('Your debts'!$D$20="Avalanche",'Avalanche workings'!$AO$297,'Snowball workings'!$AO$297))</f>
      </c>
      <c r="Y295" s="30">
        <f>IF(OR(290&gt;$Z$1,NOT(OR('Your debts'!$B$15&lt;&gt;"",N('Your debts'!$C$15)&gt;0))),"",IF('Your debts'!$D$20="Avalanche",'Avalanche workings'!$AY$297,'Snowball workings'!$AY$297))</f>
      </c>
    </row>
    <row r="296" spans="1:25" x14ac:dyDescent="0.25">
      <c r="A296" s="2">
        <f>IF(291&gt;$Z$1,"",291)</f>
      </c>
      <c r="B296" s="28">
        <f>IF(291&gt;$Z$1,"",EDATE('Your debts'!$D$21,290))</f>
      </c>
      <c r="C296" s="29">
        <f>IF(291&gt;$Z$1,"",IF('Your debts'!$D$20="Avalanche",'Avalanche workings'!$BC$298,'Snowball workings'!$BC$298))</f>
      </c>
      <c r="D296" s="29">
        <f>IF(291&gt;$Z$1,"",IF('Your debts'!$D$20="Avalanche",'Avalanche workings'!$BA$298,'Snowball workings'!$BA$298))</f>
      </c>
      <c r="E296" s="29">
        <f>IF(291&gt;$Z$1,"",IF('Your debts'!$D$20="Avalanche",'Avalanche workings'!$BB$298,'Snowball workings'!$BB$298))</f>
      </c>
      <c r="F296" s="29">
        <f>IF(OR(291&gt;$Z$1,NOT(OR('Your debts'!$B$6&lt;&gt;"",N('Your debts'!$C$6)&gt;0))),"",IF('Your debts'!$D$20="Avalanche",'Avalanche workings'!$L$298,'Snowball workings'!$L$298)+IF('Your debts'!$D$20="Avalanche",'Avalanche workings'!$AF$298,'Snowball workings'!$AF$298))</f>
      </c>
      <c r="G296" s="30">
        <f>IF(OR(291&gt;$Z$1,NOT(OR('Your debts'!$B$6&lt;&gt;"",N('Your debts'!$C$6)&gt;0))),"",IF('Your debts'!$D$20="Avalanche",'Avalanche workings'!$AP$298,'Snowball workings'!$AP$298))</f>
      </c>
      <c r="H296" s="29">
        <f>IF(OR(291&gt;$Z$1,NOT(OR('Your debts'!$B$7&lt;&gt;"",N('Your debts'!$C$7)&gt;0))),"",IF('Your debts'!$D$20="Avalanche",'Avalanche workings'!$M$298,'Snowball workings'!$M$298)+IF('Your debts'!$D$20="Avalanche",'Avalanche workings'!$AG$298,'Snowball workings'!$AG$298))</f>
      </c>
      <c r="I296" s="30">
        <f>IF(OR(291&gt;$Z$1,NOT(OR('Your debts'!$B$7&lt;&gt;"",N('Your debts'!$C$7)&gt;0))),"",IF('Your debts'!$D$20="Avalanche",'Avalanche workings'!$AQ$298,'Snowball workings'!$AQ$298))</f>
      </c>
      <c r="J296" s="29">
        <f>IF(OR(291&gt;$Z$1,NOT(OR('Your debts'!$B$8&lt;&gt;"",N('Your debts'!$C$8)&gt;0))),"",IF('Your debts'!$D$20="Avalanche",'Avalanche workings'!$N$298,'Snowball workings'!$N$298)+IF('Your debts'!$D$20="Avalanche",'Avalanche workings'!$AH$298,'Snowball workings'!$AH$298))</f>
      </c>
      <c r="K296" s="30">
        <f>IF(OR(291&gt;$Z$1,NOT(OR('Your debts'!$B$8&lt;&gt;"",N('Your debts'!$C$8)&gt;0))),"",IF('Your debts'!$D$20="Avalanche",'Avalanche workings'!$AR$298,'Snowball workings'!$AR$298))</f>
      </c>
      <c r="L296" s="29">
        <f>IF(OR(291&gt;$Z$1,NOT(OR('Your debts'!$B$9&lt;&gt;"",N('Your debts'!$C$9)&gt;0))),"",IF('Your debts'!$D$20="Avalanche",'Avalanche workings'!$O$298,'Snowball workings'!$O$298)+IF('Your debts'!$D$20="Avalanche",'Avalanche workings'!$AI$298,'Snowball workings'!$AI$298))</f>
      </c>
      <c r="M296" s="30">
        <f>IF(OR(291&gt;$Z$1,NOT(OR('Your debts'!$B$9&lt;&gt;"",N('Your debts'!$C$9)&gt;0))),"",IF('Your debts'!$D$20="Avalanche",'Avalanche workings'!$AS$298,'Snowball workings'!$AS$298))</f>
      </c>
      <c r="N296" s="29">
        <f>IF(OR(291&gt;$Z$1,NOT(OR('Your debts'!$B$10&lt;&gt;"",N('Your debts'!$C$10)&gt;0))),"",IF('Your debts'!$D$20="Avalanche",'Avalanche workings'!$P$298,'Snowball workings'!$P$298)+IF('Your debts'!$D$20="Avalanche",'Avalanche workings'!$AJ$298,'Snowball workings'!$AJ$298))</f>
      </c>
      <c r="O296" s="30">
        <f>IF(OR(291&gt;$Z$1,NOT(OR('Your debts'!$B$10&lt;&gt;"",N('Your debts'!$C$10)&gt;0))),"",IF('Your debts'!$D$20="Avalanche",'Avalanche workings'!$AT$298,'Snowball workings'!$AT$298))</f>
      </c>
      <c r="P296" s="29">
        <f>IF(OR(291&gt;$Z$1,NOT(OR('Your debts'!$B$11&lt;&gt;"",N('Your debts'!$C$11)&gt;0))),"",IF('Your debts'!$D$20="Avalanche",'Avalanche workings'!$Q$298,'Snowball workings'!$Q$298)+IF('Your debts'!$D$20="Avalanche",'Avalanche workings'!$AK$298,'Snowball workings'!$AK$298))</f>
      </c>
      <c r="Q296" s="30">
        <f>IF(OR(291&gt;$Z$1,NOT(OR('Your debts'!$B$11&lt;&gt;"",N('Your debts'!$C$11)&gt;0))),"",IF('Your debts'!$D$20="Avalanche",'Avalanche workings'!$AU$298,'Snowball workings'!$AU$298))</f>
      </c>
      <c r="R296" s="29">
        <f>IF(OR(291&gt;$Z$1,NOT(OR('Your debts'!$B$12&lt;&gt;"",N('Your debts'!$C$12)&gt;0))),"",IF('Your debts'!$D$20="Avalanche",'Avalanche workings'!$R$298,'Snowball workings'!$R$298)+IF('Your debts'!$D$20="Avalanche",'Avalanche workings'!$AL$298,'Snowball workings'!$AL$298))</f>
      </c>
      <c r="S296" s="30">
        <f>IF(OR(291&gt;$Z$1,NOT(OR('Your debts'!$B$12&lt;&gt;"",N('Your debts'!$C$12)&gt;0))),"",IF('Your debts'!$D$20="Avalanche",'Avalanche workings'!$AV$298,'Snowball workings'!$AV$298))</f>
      </c>
      <c r="T296" s="29">
        <f>IF(OR(291&gt;$Z$1,NOT(OR('Your debts'!$B$13&lt;&gt;"",N('Your debts'!$C$13)&gt;0))),"",IF('Your debts'!$D$20="Avalanche",'Avalanche workings'!$S$298,'Snowball workings'!$S$298)+IF('Your debts'!$D$20="Avalanche",'Avalanche workings'!$AM$298,'Snowball workings'!$AM$298))</f>
      </c>
      <c r="U296" s="30">
        <f>IF(OR(291&gt;$Z$1,NOT(OR('Your debts'!$B$13&lt;&gt;"",N('Your debts'!$C$13)&gt;0))),"",IF('Your debts'!$D$20="Avalanche",'Avalanche workings'!$AW$298,'Snowball workings'!$AW$298))</f>
      </c>
      <c r="V296" s="29">
        <f>IF(OR(291&gt;$Z$1,NOT(OR('Your debts'!$B$14&lt;&gt;"",N('Your debts'!$C$14)&gt;0))),"",IF('Your debts'!$D$20="Avalanche",'Avalanche workings'!$T$298,'Snowball workings'!$T$298)+IF('Your debts'!$D$20="Avalanche",'Avalanche workings'!$AN$298,'Snowball workings'!$AN$298))</f>
      </c>
      <c r="W296" s="30">
        <f>IF(OR(291&gt;$Z$1,NOT(OR('Your debts'!$B$14&lt;&gt;"",N('Your debts'!$C$14)&gt;0))),"",IF('Your debts'!$D$20="Avalanche",'Avalanche workings'!$AX$298,'Snowball workings'!$AX$298))</f>
      </c>
      <c r="X296" s="29">
        <f>IF(OR(291&gt;$Z$1,NOT(OR('Your debts'!$B$15&lt;&gt;"",N('Your debts'!$C$15)&gt;0))),"",IF('Your debts'!$D$20="Avalanche",'Avalanche workings'!$U$298,'Snowball workings'!$U$298)+IF('Your debts'!$D$20="Avalanche",'Avalanche workings'!$AO$298,'Snowball workings'!$AO$298))</f>
      </c>
      <c r="Y296" s="30">
        <f>IF(OR(291&gt;$Z$1,NOT(OR('Your debts'!$B$15&lt;&gt;"",N('Your debts'!$C$15)&gt;0))),"",IF('Your debts'!$D$20="Avalanche",'Avalanche workings'!$AY$298,'Snowball workings'!$AY$298))</f>
      </c>
    </row>
    <row r="297" spans="1:25" x14ac:dyDescent="0.25">
      <c r="A297" s="2">
        <f>IF(292&gt;$Z$1,"",292)</f>
      </c>
      <c r="B297" s="28">
        <f>IF(292&gt;$Z$1,"",EDATE('Your debts'!$D$21,291))</f>
      </c>
      <c r="C297" s="29">
        <f>IF(292&gt;$Z$1,"",IF('Your debts'!$D$20="Avalanche",'Avalanche workings'!$BC$299,'Snowball workings'!$BC$299))</f>
      </c>
      <c r="D297" s="29">
        <f>IF(292&gt;$Z$1,"",IF('Your debts'!$D$20="Avalanche",'Avalanche workings'!$BA$299,'Snowball workings'!$BA$299))</f>
      </c>
      <c r="E297" s="29">
        <f>IF(292&gt;$Z$1,"",IF('Your debts'!$D$20="Avalanche",'Avalanche workings'!$BB$299,'Snowball workings'!$BB$299))</f>
      </c>
      <c r="F297" s="29">
        <f>IF(OR(292&gt;$Z$1,NOT(OR('Your debts'!$B$6&lt;&gt;"",N('Your debts'!$C$6)&gt;0))),"",IF('Your debts'!$D$20="Avalanche",'Avalanche workings'!$L$299,'Snowball workings'!$L$299)+IF('Your debts'!$D$20="Avalanche",'Avalanche workings'!$AF$299,'Snowball workings'!$AF$299))</f>
      </c>
      <c r="G297" s="30">
        <f>IF(OR(292&gt;$Z$1,NOT(OR('Your debts'!$B$6&lt;&gt;"",N('Your debts'!$C$6)&gt;0))),"",IF('Your debts'!$D$20="Avalanche",'Avalanche workings'!$AP$299,'Snowball workings'!$AP$299))</f>
      </c>
      <c r="H297" s="29">
        <f>IF(OR(292&gt;$Z$1,NOT(OR('Your debts'!$B$7&lt;&gt;"",N('Your debts'!$C$7)&gt;0))),"",IF('Your debts'!$D$20="Avalanche",'Avalanche workings'!$M$299,'Snowball workings'!$M$299)+IF('Your debts'!$D$20="Avalanche",'Avalanche workings'!$AG$299,'Snowball workings'!$AG$299))</f>
      </c>
      <c r="I297" s="30">
        <f>IF(OR(292&gt;$Z$1,NOT(OR('Your debts'!$B$7&lt;&gt;"",N('Your debts'!$C$7)&gt;0))),"",IF('Your debts'!$D$20="Avalanche",'Avalanche workings'!$AQ$299,'Snowball workings'!$AQ$299))</f>
      </c>
      <c r="J297" s="29">
        <f>IF(OR(292&gt;$Z$1,NOT(OR('Your debts'!$B$8&lt;&gt;"",N('Your debts'!$C$8)&gt;0))),"",IF('Your debts'!$D$20="Avalanche",'Avalanche workings'!$N$299,'Snowball workings'!$N$299)+IF('Your debts'!$D$20="Avalanche",'Avalanche workings'!$AH$299,'Snowball workings'!$AH$299))</f>
      </c>
      <c r="K297" s="30">
        <f>IF(OR(292&gt;$Z$1,NOT(OR('Your debts'!$B$8&lt;&gt;"",N('Your debts'!$C$8)&gt;0))),"",IF('Your debts'!$D$20="Avalanche",'Avalanche workings'!$AR$299,'Snowball workings'!$AR$299))</f>
      </c>
      <c r="L297" s="29">
        <f>IF(OR(292&gt;$Z$1,NOT(OR('Your debts'!$B$9&lt;&gt;"",N('Your debts'!$C$9)&gt;0))),"",IF('Your debts'!$D$20="Avalanche",'Avalanche workings'!$O$299,'Snowball workings'!$O$299)+IF('Your debts'!$D$20="Avalanche",'Avalanche workings'!$AI$299,'Snowball workings'!$AI$299))</f>
      </c>
      <c r="M297" s="30">
        <f>IF(OR(292&gt;$Z$1,NOT(OR('Your debts'!$B$9&lt;&gt;"",N('Your debts'!$C$9)&gt;0))),"",IF('Your debts'!$D$20="Avalanche",'Avalanche workings'!$AS$299,'Snowball workings'!$AS$299))</f>
      </c>
      <c r="N297" s="29">
        <f>IF(OR(292&gt;$Z$1,NOT(OR('Your debts'!$B$10&lt;&gt;"",N('Your debts'!$C$10)&gt;0))),"",IF('Your debts'!$D$20="Avalanche",'Avalanche workings'!$P$299,'Snowball workings'!$P$299)+IF('Your debts'!$D$20="Avalanche",'Avalanche workings'!$AJ$299,'Snowball workings'!$AJ$299))</f>
      </c>
      <c r="O297" s="30">
        <f>IF(OR(292&gt;$Z$1,NOT(OR('Your debts'!$B$10&lt;&gt;"",N('Your debts'!$C$10)&gt;0))),"",IF('Your debts'!$D$20="Avalanche",'Avalanche workings'!$AT$299,'Snowball workings'!$AT$299))</f>
      </c>
      <c r="P297" s="29">
        <f>IF(OR(292&gt;$Z$1,NOT(OR('Your debts'!$B$11&lt;&gt;"",N('Your debts'!$C$11)&gt;0))),"",IF('Your debts'!$D$20="Avalanche",'Avalanche workings'!$Q$299,'Snowball workings'!$Q$299)+IF('Your debts'!$D$20="Avalanche",'Avalanche workings'!$AK$299,'Snowball workings'!$AK$299))</f>
      </c>
      <c r="Q297" s="30">
        <f>IF(OR(292&gt;$Z$1,NOT(OR('Your debts'!$B$11&lt;&gt;"",N('Your debts'!$C$11)&gt;0))),"",IF('Your debts'!$D$20="Avalanche",'Avalanche workings'!$AU$299,'Snowball workings'!$AU$299))</f>
      </c>
      <c r="R297" s="29">
        <f>IF(OR(292&gt;$Z$1,NOT(OR('Your debts'!$B$12&lt;&gt;"",N('Your debts'!$C$12)&gt;0))),"",IF('Your debts'!$D$20="Avalanche",'Avalanche workings'!$R$299,'Snowball workings'!$R$299)+IF('Your debts'!$D$20="Avalanche",'Avalanche workings'!$AL$299,'Snowball workings'!$AL$299))</f>
      </c>
      <c r="S297" s="30">
        <f>IF(OR(292&gt;$Z$1,NOT(OR('Your debts'!$B$12&lt;&gt;"",N('Your debts'!$C$12)&gt;0))),"",IF('Your debts'!$D$20="Avalanche",'Avalanche workings'!$AV$299,'Snowball workings'!$AV$299))</f>
      </c>
      <c r="T297" s="29">
        <f>IF(OR(292&gt;$Z$1,NOT(OR('Your debts'!$B$13&lt;&gt;"",N('Your debts'!$C$13)&gt;0))),"",IF('Your debts'!$D$20="Avalanche",'Avalanche workings'!$S$299,'Snowball workings'!$S$299)+IF('Your debts'!$D$20="Avalanche",'Avalanche workings'!$AM$299,'Snowball workings'!$AM$299))</f>
      </c>
      <c r="U297" s="30">
        <f>IF(OR(292&gt;$Z$1,NOT(OR('Your debts'!$B$13&lt;&gt;"",N('Your debts'!$C$13)&gt;0))),"",IF('Your debts'!$D$20="Avalanche",'Avalanche workings'!$AW$299,'Snowball workings'!$AW$299))</f>
      </c>
      <c r="V297" s="29">
        <f>IF(OR(292&gt;$Z$1,NOT(OR('Your debts'!$B$14&lt;&gt;"",N('Your debts'!$C$14)&gt;0))),"",IF('Your debts'!$D$20="Avalanche",'Avalanche workings'!$T$299,'Snowball workings'!$T$299)+IF('Your debts'!$D$20="Avalanche",'Avalanche workings'!$AN$299,'Snowball workings'!$AN$299))</f>
      </c>
      <c r="W297" s="30">
        <f>IF(OR(292&gt;$Z$1,NOT(OR('Your debts'!$B$14&lt;&gt;"",N('Your debts'!$C$14)&gt;0))),"",IF('Your debts'!$D$20="Avalanche",'Avalanche workings'!$AX$299,'Snowball workings'!$AX$299))</f>
      </c>
      <c r="X297" s="29">
        <f>IF(OR(292&gt;$Z$1,NOT(OR('Your debts'!$B$15&lt;&gt;"",N('Your debts'!$C$15)&gt;0))),"",IF('Your debts'!$D$20="Avalanche",'Avalanche workings'!$U$299,'Snowball workings'!$U$299)+IF('Your debts'!$D$20="Avalanche",'Avalanche workings'!$AO$299,'Snowball workings'!$AO$299))</f>
      </c>
      <c r="Y297" s="30">
        <f>IF(OR(292&gt;$Z$1,NOT(OR('Your debts'!$B$15&lt;&gt;"",N('Your debts'!$C$15)&gt;0))),"",IF('Your debts'!$D$20="Avalanche",'Avalanche workings'!$AY$299,'Snowball workings'!$AY$299))</f>
      </c>
    </row>
    <row r="298" spans="1:25" x14ac:dyDescent="0.25">
      <c r="A298" s="2">
        <f>IF(293&gt;$Z$1,"",293)</f>
      </c>
      <c r="B298" s="28">
        <f>IF(293&gt;$Z$1,"",EDATE('Your debts'!$D$21,292))</f>
      </c>
      <c r="C298" s="29">
        <f>IF(293&gt;$Z$1,"",IF('Your debts'!$D$20="Avalanche",'Avalanche workings'!$BC$300,'Snowball workings'!$BC$300))</f>
      </c>
      <c r="D298" s="29">
        <f>IF(293&gt;$Z$1,"",IF('Your debts'!$D$20="Avalanche",'Avalanche workings'!$BA$300,'Snowball workings'!$BA$300))</f>
      </c>
      <c r="E298" s="29">
        <f>IF(293&gt;$Z$1,"",IF('Your debts'!$D$20="Avalanche",'Avalanche workings'!$BB$300,'Snowball workings'!$BB$300))</f>
      </c>
      <c r="F298" s="29">
        <f>IF(OR(293&gt;$Z$1,NOT(OR('Your debts'!$B$6&lt;&gt;"",N('Your debts'!$C$6)&gt;0))),"",IF('Your debts'!$D$20="Avalanche",'Avalanche workings'!$L$300,'Snowball workings'!$L$300)+IF('Your debts'!$D$20="Avalanche",'Avalanche workings'!$AF$300,'Snowball workings'!$AF$300))</f>
      </c>
      <c r="G298" s="30">
        <f>IF(OR(293&gt;$Z$1,NOT(OR('Your debts'!$B$6&lt;&gt;"",N('Your debts'!$C$6)&gt;0))),"",IF('Your debts'!$D$20="Avalanche",'Avalanche workings'!$AP$300,'Snowball workings'!$AP$300))</f>
      </c>
      <c r="H298" s="29">
        <f>IF(OR(293&gt;$Z$1,NOT(OR('Your debts'!$B$7&lt;&gt;"",N('Your debts'!$C$7)&gt;0))),"",IF('Your debts'!$D$20="Avalanche",'Avalanche workings'!$M$300,'Snowball workings'!$M$300)+IF('Your debts'!$D$20="Avalanche",'Avalanche workings'!$AG$300,'Snowball workings'!$AG$300))</f>
      </c>
      <c r="I298" s="30">
        <f>IF(OR(293&gt;$Z$1,NOT(OR('Your debts'!$B$7&lt;&gt;"",N('Your debts'!$C$7)&gt;0))),"",IF('Your debts'!$D$20="Avalanche",'Avalanche workings'!$AQ$300,'Snowball workings'!$AQ$300))</f>
      </c>
      <c r="J298" s="29">
        <f>IF(OR(293&gt;$Z$1,NOT(OR('Your debts'!$B$8&lt;&gt;"",N('Your debts'!$C$8)&gt;0))),"",IF('Your debts'!$D$20="Avalanche",'Avalanche workings'!$N$300,'Snowball workings'!$N$300)+IF('Your debts'!$D$20="Avalanche",'Avalanche workings'!$AH$300,'Snowball workings'!$AH$300))</f>
      </c>
      <c r="K298" s="30">
        <f>IF(OR(293&gt;$Z$1,NOT(OR('Your debts'!$B$8&lt;&gt;"",N('Your debts'!$C$8)&gt;0))),"",IF('Your debts'!$D$20="Avalanche",'Avalanche workings'!$AR$300,'Snowball workings'!$AR$300))</f>
      </c>
      <c r="L298" s="29">
        <f>IF(OR(293&gt;$Z$1,NOT(OR('Your debts'!$B$9&lt;&gt;"",N('Your debts'!$C$9)&gt;0))),"",IF('Your debts'!$D$20="Avalanche",'Avalanche workings'!$O$300,'Snowball workings'!$O$300)+IF('Your debts'!$D$20="Avalanche",'Avalanche workings'!$AI$300,'Snowball workings'!$AI$300))</f>
      </c>
      <c r="M298" s="30">
        <f>IF(OR(293&gt;$Z$1,NOT(OR('Your debts'!$B$9&lt;&gt;"",N('Your debts'!$C$9)&gt;0))),"",IF('Your debts'!$D$20="Avalanche",'Avalanche workings'!$AS$300,'Snowball workings'!$AS$300))</f>
      </c>
      <c r="N298" s="29">
        <f>IF(OR(293&gt;$Z$1,NOT(OR('Your debts'!$B$10&lt;&gt;"",N('Your debts'!$C$10)&gt;0))),"",IF('Your debts'!$D$20="Avalanche",'Avalanche workings'!$P$300,'Snowball workings'!$P$300)+IF('Your debts'!$D$20="Avalanche",'Avalanche workings'!$AJ$300,'Snowball workings'!$AJ$300))</f>
      </c>
      <c r="O298" s="30">
        <f>IF(OR(293&gt;$Z$1,NOT(OR('Your debts'!$B$10&lt;&gt;"",N('Your debts'!$C$10)&gt;0))),"",IF('Your debts'!$D$20="Avalanche",'Avalanche workings'!$AT$300,'Snowball workings'!$AT$300))</f>
      </c>
      <c r="P298" s="29">
        <f>IF(OR(293&gt;$Z$1,NOT(OR('Your debts'!$B$11&lt;&gt;"",N('Your debts'!$C$11)&gt;0))),"",IF('Your debts'!$D$20="Avalanche",'Avalanche workings'!$Q$300,'Snowball workings'!$Q$300)+IF('Your debts'!$D$20="Avalanche",'Avalanche workings'!$AK$300,'Snowball workings'!$AK$300))</f>
      </c>
      <c r="Q298" s="30">
        <f>IF(OR(293&gt;$Z$1,NOT(OR('Your debts'!$B$11&lt;&gt;"",N('Your debts'!$C$11)&gt;0))),"",IF('Your debts'!$D$20="Avalanche",'Avalanche workings'!$AU$300,'Snowball workings'!$AU$300))</f>
      </c>
      <c r="R298" s="29">
        <f>IF(OR(293&gt;$Z$1,NOT(OR('Your debts'!$B$12&lt;&gt;"",N('Your debts'!$C$12)&gt;0))),"",IF('Your debts'!$D$20="Avalanche",'Avalanche workings'!$R$300,'Snowball workings'!$R$300)+IF('Your debts'!$D$20="Avalanche",'Avalanche workings'!$AL$300,'Snowball workings'!$AL$300))</f>
      </c>
      <c r="S298" s="30">
        <f>IF(OR(293&gt;$Z$1,NOT(OR('Your debts'!$B$12&lt;&gt;"",N('Your debts'!$C$12)&gt;0))),"",IF('Your debts'!$D$20="Avalanche",'Avalanche workings'!$AV$300,'Snowball workings'!$AV$300))</f>
      </c>
      <c r="T298" s="29">
        <f>IF(OR(293&gt;$Z$1,NOT(OR('Your debts'!$B$13&lt;&gt;"",N('Your debts'!$C$13)&gt;0))),"",IF('Your debts'!$D$20="Avalanche",'Avalanche workings'!$S$300,'Snowball workings'!$S$300)+IF('Your debts'!$D$20="Avalanche",'Avalanche workings'!$AM$300,'Snowball workings'!$AM$300))</f>
      </c>
      <c r="U298" s="30">
        <f>IF(OR(293&gt;$Z$1,NOT(OR('Your debts'!$B$13&lt;&gt;"",N('Your debts'!$C$13)&gt;0))),"",IF('Your debts'!$D$20="Avalanche",'Avalanche workings'!$AW$300,'Snowball workings'!$AW$300))</f>
      </c>
      <c r="V298" s="29">
        <f>IF(OR(293&gt;$Z$1,NOT(OR('Your debts'!$B$14&lt;&gt;"",N('Your debts'!$C$14)&gt;0))),"",IF('Your debts'!$D$20="Avalanche",'Avalanche workings'!$T$300,'Snowball workings'!$T$300)+IF('Your debts'!$D$20="Avalanche",'Avalanche workings'!$AN$300,'Snowball workings'!$AN$300))</f>
      </c>
      <c r="W298" s="30">
        <f>IF(OR(293&gt;$Z$1,NOT(OR('Your debts'!$B$14&lt;&gt;"",N('Your debts'!$C$14)&gt;0))),"",IF('Your debts'!$D$20="Avalanche",'Avalanche workings'!$AX$300,'Snowball workings'!$AX$300))</f>
      </c>
      <c r="X298" s="29">
        <f>IF(OR(293&gt;$Z$1,NOT(OR('Your debts'!$B$15&lt;&gt;"",N('Your debts'!$C$15)&gt;0))),"",IF('Your debts'!$D$20="Avalanche",'Avalanche workings'!$U$300,'Snowball workings'!$U$300)+IF('Your debts'!$D$20="Avalanche",'Avalanche workings'!$AO$300,'Snowball workings'!$AO$300))</f>
      </c>
      <c r="Y298" s="30">
        <f>IF(OR(293&gt;$Z$1,NOT(OR('Your debts'!$B$15&lt;&gt;"",N('Your debts'!$C$15)&gt;0))),"",IF('Your debts'!$D$20="Avalanche",'Avalanche workings'!$AY$300,'Snowball workings'!$AY$300))</f>
      </c>
    </row>
    <row r="299" spans="1:25" x14ac:dyDescent="0.25">
      <c r="A299" s="2">
        <f>IF(294&gt;$Z$1,"",294)</f>
      </c>
      <c r="B299" s="28">
        <f>IF(294&gt;$Z$1,"",EDATE('Your debts'!$D$21,293))</f>
      </c>
      <c r="C299" s="29">
        <f>IF(294&gt;$Z$1,"",IF('Your debts'!$D$20="Avalanche",'Avalanche workings'!$BC$301,'Snowball workings'!$BC$301))</f>
      </c>
      <c r="D299" s="29">
        <f>IF(294&gt;$Z$1,"",IF('Your debts'!$D$20="Avalanche",'Avalanche workings'!$BA$301,'Snowball workings'!$BA$301))</f>
      </c>
      <c r="E299" s="29">
        <f>IF(294&gt;$Z$1,"",IF('Your debts'!$D$20="Avalanche",'Avalanche workings'!$BB$301,'Snowball workings'!$BB$301))</f>
      </c>
      <c r="F299" s="29">
        <f>IF(OR(294&gt;$Z$1,NOT(OR('Your debts'!$B$6&lt;&gt;"",N('Your debts'!$C$6)&gt;0))),"",IF('Your debts'!$D$20="Avalanche",'Avalanche workings'!$L$301,'Snowball workings'!$L$301)+IF('Your debts'!$D$20="Avalanche",'Avalanche workings'!$AF$301,'Snowball workings'!$AF$301))</f>
      </c>
      <c r="G299" s="30">
        <f>IF(OR(294&gt;$Z$1,NOT(OR('Your debts'!$B$6&lt;&gt;"",N('Your debts'!$C$6)&gt;0))),"",IF('Your debts'!$D$20="Avalanche",'Avalanche workings'!$AP$301,'Snowball workings'!$AP$301))</f>
      </c>
      <c r="H299" s="29">
        <f>IF(OR(294&gt;$Z$1,NOT(OR('Your debts'!$B$7&lt;&gt;"",N('Your debts'!$C$7)&gt;0))),"",IF('Your debts'!$D$20="Avalanche",'Avalanche workings'!$M$301,'Snowball workings'!$M$301)+IF('Your debts'!$D$20="Avalanche",'Avalanche workings'!$AG$301,'Snowball workings'!$AG$301))</f>
      </c>
      <c r="I299" s="30">
        <f>IF(OR(294&gt;$Z$1,NOT(OR('Your debts'!$B$7&lt;&gt;"",N('Your debts'!$C$7)&gt;0))),"",IF('Your debts'!$D$20="Avalanche",'Avalanche workings'!$AQ$301,'Snowball workings'!$AQ$301))</f>
      </c>
      <c r="J299" s="29">
        <f>IF(OR(294&gt;$Z$1,NOT(OR('Your debts'!$B$8&lt;&gt;"",N('Your debts'!$C$8)&gt;0))),"",IF('Your debts'!$D$20="Avalanche",'Avalanche workings'!$N$301,'Snowball workings'!$N$301)+IF('Your debts'!$D$20="Avalanche",'Avalanche workings'!$AH$301,'Snowball workings'!$AH$301))</f>
      </c>
      <c r="K299" s="30">
        <f>IF(OR(294&gt;$Z$1,NOT(OR('Your debts'!$B$8&lt;&gt;"",N('Your debts'!$C$8)&gt;0))),"",IF('Your debts'!$D$20="Avalanche",'Avalanche workings'!$AR$301,'Snowball workings'!$AR$301))</f>
      </c>
      <c r="L299" s="29">
        <f>IF(OR(294&gt;$Z$1,NOT(OR('Your debts'!$B$9&lt;&gt;"",N('Your debts'!$C$9)&gt;0))),"",IF('Your debts'!$D$20="Avalanche",'Avalanche workings'!$O$301,'Snowball workings'!$O$301)+IF('Your debts'!$D$20="Avalanche",'Avalanche workings'!$AI$301,'Snowball workings'!$AI$301))</f>
      </c>
      <c r="M299" s="30">
        <f>IF(OR(294&gt;$Z$1,NOT(OR('Your debts'!$B$9&lt;&gt;"",N('Your debts'!$C$9)&gt;0))),"",IF('Your debts'!$D$20="Avalanche",'Avalanche workings'!$AS$301,'Snowball workings'!$AS$301))</f>
      </c>
      <c r="N299" s="29">
        <f>IF(OR(294&gt;$Z$1,NOT(OR('Your debts'!$B$10&lt;&gt;"",N('Your debts'!$C$10)&gt;0))),"",IF('Your debts'!$D$20="Avalanche",'Avalanche workings'!$P$301,'Snowball workings'!$P$301)+IF('Your debts'!$D$20="Avalanche",'Avalanche workings'!$AJ$301,'Snowball workings'!$AJ$301))</f>
      </c>
      <c r="O299" s="30">
        <f>IF(OR(294&gt;$Z$1,NOT(OR('Your debts'!$B$10&lt;&gt;"",N('Your debts'!$C$10)&gt;0))),"",IF('Your debts'!$D$20="Avalanche",'Avalanche workings'!$AT$301,'Snowball workings'!$AT$301))</f>
      </c>
      <c r="P299" s="29">
        <f>IF(OR(294&gt;$Z$1,NOT(OR('Your debts'!$B$11&lt;&gt;"",N('Your debts'!$C$11)&gt;0))),"",IF('Your debts'!$D$20="Avalanche",'Avalanche workings'!$Q$301,'Snowball workings'!$Q$301)+IF('Your debts'!$D$20="Avalanche",'Avalanche workings'!$AK$301,'Snowball workings'!$AK$301))</f>
      </c>
      <c r="Q299" s="30">
        <f>IF(OR(294&gt;$Z$1,NOT(OR('Your debts'!$B$11&lt;&gt;"",N('Your debts'!$C$11)&gt;0))),"",IF('Your debts'!$D$20="Avalanche",'Avalanche workings'!$AU$301,'Snowball workings'!$AU$301))</f>
      </c>
      <c r="R299" s="29">
        <f>IF(OR(294&gt;$Z$1,NOT(OR('Your debts'!$B$12&lt;&gt;"",N('Your debts'!$C$12)&gt;0))),"",IF('Your debts'!$D$20="Avalanche",'Avalanche workings'!$R$301,'Snowball workings'!$R$301)+IF('Your debts'!$D$20="Avalanche",'Avalanche workings'!$AL$301,'Snowball workings'!$AL$301))</f>
      </c>
      <c r="S299" s="30">
        <f>IF(OR(294&gt;$Z$1,NOT(OR('Your debts'!$B$12&lt;&gt;"",N('Your debts'!$C$12)&gt;0))),"",IF('Your debts'!$D$20="Avalanche",'Avalanche workings'!$AV$301,'Snowball workings'!$AV$301))</f>
      </c>
      <c r="T299" s="29">
        <f>IF(OR(294&gt;$Z$1,NOT(OR('Your debts'!$B$13&lt;&gt;"",N('Your debts'!$C$13)&gt;0))),"",IF('Your debts'!$D$20="Avalanche",'Avalanche workings'!$S$301,'Snowball workings'!$S$301)+IF('Your debts'!$D$20="Avalanche",'Avalanche workings'!$AM$301,'Snowball workings'!$AM$301))</f>
      </c>
      <c r="U299" s="30">
        <f>IF(OR(294&gt;$Z$1,NOT(OR('Your debts'!$B$13&lt;&gt;"",N('Your debts'!$C$13)&gt;0))),"",IF('Your debts'!$D$20="Avalanche",'Avalanche workings'!$AW$301,'Snowball workings'!$AW$301))</f>
      </c>
      <c r="V299" s="29">
        <f>IF(OR(294&gt;$Z$1,NOT(OR('Your debts'!$B$14&lt;&gt;"",N('Your debts'!$C$14)&gt;0))),"",IF('Your debts'!$D$20="Avalanche",'Avalanche workings'!$T$301,'Snowball workings'!$T$301)+IF('Your debts'!$D$20="Avalanche",'Avalanche workings'!$AN$301,'Snowball workings'!$AN$301))</f>
      </c>
      <c r="W299" s="30">
        <f>IF(OR(294&gt;$Z$1,NOT(OR('Your debts'!$B$14&lt;&gt;"",N('Your debts'!$C$14)&gt;0))),"",IF('Your debts'!$D$20="Avalanche",'Avalanche workings'!$AX$301,'Snowball workings'!$AX$301))</f>
      </c>
      <c r="X299" s="29">
        <f>IF(OR(294&gt;$Z$1,NOT(OR('Your debts'!$B$15&lt;&gt;"",N('Your debts'!$C$15)&gt;0))),"",IF('Your debts'!$D$20="Avalanche",'Avalanche workings'!$U$301,'Snowball workings'!$U$301)+IF('Your debts'!$D$20="Avalanche",'Avalanche workings'!$AO$301,'Snowball workings'!$AO$301))</f>
      </c>
      <c r="Y299" s="30">
        <f>IF(OR(294&gt;$Z$1,NOT(OR('Your debts'!$B$15&lt;&gt;"",N('Your debts'!$C$15)&gt;0))),"",IF('Your debts'!$D$20="Avalanche",'Avalanche workings'!$AY$301,'Snowball workings'!$AY$301))</f>
      </c>
    </row>
    <row r="300" spans="1:25" x14ac:dyDescent="0.25">
      <c r="A300" s="2">
        <f>IF(295&gt;$Z$1,"",295)</f>
      </c>
      <c r="B300" s="28">
        <f>IF(295&gt;$Z$1,"",EDATE('Your debts'!$D$21,294))</f>
      </c>
      <c r="C300" s="29">
        <f>IF(295&gt;$Z$1,"",IF('Your debts'!$D$20="Avalanche",'Avalanche workings'!$BC$302,'Snowball workings'!$BC$302))</f>
      </c>
      <c r="D300" s="29">
        <f>IF(295&gt;$Z$1,"",IF('Your debts'!$D$20="Avalanche",'Avalanche workings'!$BA$302,'Snowball workings'!$BA$302))</f>
      </c>
      <c r="E300" s="29">
        <f>IF(295&gt;$Z$1,"",IF('Your debts'!$D$20="Avalanche",'Avalanche workings'!$BB$302,'Snowball workings'!$BB$302))</f>
      </c>
      <c r="F300" s="29">
        <f>IF(OR(295&gt;$Z$1,NOT(OR('Your debts'!$B$6&lt;&gt;"",N('Your debts'!$C$6)&gt;0))),"",IF('Your debts'!$D$20="Avalanche",'Avalanche workings'!$L$302,'Snowball workings'!$L$302)+IF('Your debts'!$D$20="Avalanche",'Avalanche workings'!$AF$302,'Snowball workings'!$AF$302))</f>
      </c>
      <c r="G300" s="30">
        <f>IF(OR(295&gt;$Z$1,NOT(OR('Your debts'!$B$6&lt;&gt;"",N('Your debts'!$C$6)&gt;0))),"",IF('Your debts'!$D$20="Avalanche",'Avalanche workings'!$AP$302,'Snowball workings'!$AP$302))</f>
      </c>
      <c r="H300" s="29">
        <f>IF(OR(295&gt;$Z$1,NOT(OR('Your debts'!$B$7&lt;&gt;"",N('Your debts'!$C$7)&gt;0))),"",IF('Your debts'!$D$20="Avalanche",'Avalanche workings'!$M$302,'Snowball workings'!$M$302)+IF('Your debts'!$D$20="Avalanche",'Avalanche workings'!$AG$302,'Snowball workings'!$AG$302))</f>
      </c>
      <c r="I300" s="30">
        <f>IF(OR(295&gt;$Z$1,NOT(OR('Your debts'!$B$7&lt;&gt;"",N('Your debts'!$C$7)&gt;0))),"",IF('Your debts'!$D$20="Avalanche",'Avalanche workings'!$AQ$302,'Snowball workings'!$AQ$302))</f>
      </c>
      <c r="J300" s="29">
        <f>IF(OR(295&gt;$Z$1,NOT(OR('Your debts'!$B$8&lt;&gt;"",N('Your debts'!$C$8)&gt;0))),"",IF('Your debts'!$D$20="Avalanche",'Avalanche workings'!$N$302,'Snowball workings'!$N$302)+IF('Your debts'!$D$20="Avalanche",'Avalanche workings'!$AH$302,'Snowball workings'!$AH$302))</f>
      </c>
      <c r="K300" s="30">
        <f>IF(OR(295&gt;$Z$1,NOT(OR('Your debts'!$B$8&lt;&gt;"",N('Your debts'!$C$8)&gt;0))),"",IF('Your debts'!$D$20="Avalanche",'Avalanche workings'!$AR$302,'Snowball workings'!$AR$302))</f>
      </c>
      <c r="L300" s="29">
        <f>IF(OR(295&gt;$Z$1,NOT(OR('Your debts'!$B$9&lt;&gt;"",N('Your debts'!$C$9)&gt;0))),"",IF('Your debts'!$D$20="Avalanche",'Avalanche workings'!$O$302,'Snowball workings'!$O$302)+IF('Your debts'!$D$20="Avalanche",'Avalanche workings'!$AI$302,'Snowball workings'!$AI$302))</f>
      </c>
      <c r="M300" s="30">
        <f>IF(OR(295&gt;$Z$1,NOT(OR('Your debts'!$B$9&lt;&gt;"",N('Your debts'!$C$9)&gt;0))),"",IF('Your debts'!$D$20="Avalanche",'Avalanche workings'!$AS$302,'Snowball workings'!$AS$302))</f>
      </c>
      <c r="N300" s="29">
        <f>IF(OR(295&gt;$Z$1,NOT(OR('Your debts'!$B$10&lt;&gt;"",N('Your debts'!$C$10)&gt;0))),"",IF('Your debts'!$D$20="Avalanche",'Avalanche workings'!$P$302,'Snowball workings'!$P$302)+IF('Your debts'!$D$20="Avalanche",'Avalanche workings'!$AJ$302,'Snowball workings'!$AJ$302))</f>
      </c>
      <c r="O300" s="30">
        <f>IF(OR(295&gt;$Z$1,NOT(OR('Your debts'!$B$10&lt;&gt;"",N('Your debts'!$C$10)&gt;0))),"",IF('Your debts'!$D$20="Avalanche",'Avalanche workings'!$AT$302,'Snowball workings'!$AT$302))</f>
      </c>
      <c r="P300" s="29">
        <f>IF(OR(295&gt;$Z$1,NOT(OR('Your debts'!$B$11&lt;&gt;"",N('Your debts'!$C$11)&gt;0))),"",IF('Your debts'!$D$20="Avalanche",'Avalanche workings'!$Q$302,'Snowball workings'!$Q$302)+IF('Your debts'!$D$20="Avalanche",'Avalanche workings'!$AK$302,'Snowball workings'!$AK$302))</f>
      </c>
      <c r="Q300" s="30">
        <f>IF(OR(295&gt;$Z$1,NOT(OR('Your debts'!$B$11&lt;&gt;"",N('Your debts'!$C$11)&gt;0))),"",IF('Your debts'!$D$20="Avalanche",'Avalanche workings'!$AU$302,'Snowball workings'!$AU$302))</f>
      </c>
      <c r="R300" s="29">
        <f>IF(OR(295&gt;$Z$1,NOT(OR('Your debts'!$B$12&lt;&gt;"",N('Your debts'!$C$12)&gt;0))),"",IF('Your debts'!$D$20="Avalanche",'Avalanche workings'!$R$302,'Snowball workings'!$R$302)+IF('Your debts'!$D$20="Avalanche",'Avalanche workings'!$AL$302,'Snowball workings'!$AL$302))</f>
      </c>
      <c r="S300" s="30">
        <f>IF(OR(295&gt;$Z$1,NOT(OR('Your debts'!$B$12&lt;&gt;"",N('Your debts'!$C$12)&gt;0))),"",IF('Your debts'!$D$20="Avalanche",'Avalanche workings'!$AV$302,'Snowball workings'!$AV$302))</f>
      </c>
      <c r="T300" s="29">
        <f>IF(OR(295&gt;$Z$1,NOT(OR('Your debts'!$B$13&lt;&gt;"",N('Your debts'!$C$13)&gt;0))),"",IF('Your debts'!$D$20="Avalanche",'Avalanche workings'!$S$302,'Snowball workings'!$S$302)+IF('Your debts'!$D$20="Avalanche",'Avalanche workings'!$AM$302,'Snowball workings'!$AM$302))</f>
      </c>
      <c r="U300" s="30">
        <f>IF(OR(295&gt;$Z$1,NOT(OR('Your debts'!$B$13&lt;&gt;"",N('Your debts'!$C$13)&gt;0))),"",IF('Your debts'!$D$20="Avalanche",'Avalanche workings'!$AW$302,'Snowball workings'!$AW$302))</f>
      </c>
      <c r="V300" s="29">
        <f>IF(OR(295&gt;$Z$1,NOT(OR('Your debts'!$B$14&lt;&gt;"",N('Your debts'!$C$14)&gt;0))),"",IF('Your debts'!$D$20="Avalanche",'Avalanche workings'!$T$302,'Snowball workings'!$T$302)+IF('Your debts'!$D$20="Avalanche",'Avalanche workings'!$AN$302,'Snowball workings'!$AN$302))</f>
      </c>
      <c r="W300" s="30">
        <f>IF(OR(295&gt;$Z$1,NOT(OR('Your debts'!$B$14&lt;&gt;"",N('Your debts'!$C$14)&gt;0))),"",IF('Your debts'!$D$20="Avalanche",'Avalanche workings'!$AX$302,'Snowball workings'!$AX$302))</f>
      </c>
      <c r="X300" s="29">
        <f>IF(OR(295&gt;$Z$1,NOT(OR('Your debts'!$B$15&lt;&gt;"",N('Your debts'!$C$15)&gt;0))),"",IF('Your debts'!$D$20="Avalanche",'Avalanche workings'!$U$302,'Snowball workings'!$U$302)+IF('Your debts'!$D$20="Avalanche",'Avalanche workings'!$AO$302,'Snowball workings'!$AO$302))</f>
      </c>
      <c r="Y300" s="30">
        <f>IF(OR(295&gt;$Z$1,NOT(OR('Your debts'!$B$15&lt;&gt;"",N('Your debts'!$C$15)&gt;0))),"",IF('Your debts'!$D$20="Avalanche",'Avalanche workings'!$AY$302,'Snowball workings'!$AY$302))</f>
      </c>
    </row>
    <row r="301" spans="1:25" x14ac:dyDescent="0.25">
      <c r="A301" s="2">
        <f>IF(296&gt;$Z$1,"",296)</f>
      </c>
      <c r="B301" s="28">
        <f>IF(296&gt;$Z$1,"",EDATE('Your debts'!$D$21,295))</f>
      </c>
      <c r="C301" s="29">
        <f>IF(296&gt;$Z$1,"",IF('Your debts'!$D$20="Avalanche",'Avalanche workings'!$BC$303,'Snowball workings'!$BC$303))</f>
      </c>
      <c r="D301" s="29">
        <f>IF(296&gt;$Z$1,"",IF('Your debts'!$D$20="Avalanche",'Avalanche workings'!$BA$303,'Snowball workings'!$BA$303))</f>
      </c>
      <c r="E301" s="29">
        <f>IF(296&gt;$Z$1,"",IF('Your debts'!$D$20="Avalanche",'Avalanche workings'!$BB$303,'Snowball workings'!$BB$303))</f>
      </c>
      <c r="F301" s="29">
        <f>IF(OR(296&gt;$Z$1,NOT(OR('Your debts'!$B$6&lt;&gt;"",N('Your debts'!$C$6)&gt;0))),"",IF('Your debts'!$D$20="Avalanche",'Avalanche workings'!$L$303,'Snowball workings'!$L$303)+IF('Your debts'!$D$20="Avalanche",'Avalanche workings'!$AF$303,'Snowball workings'!$AF$303))</f>
      </c>
      <c r="G301" s="30">
        <f>IF(OR(296&gt;$Z$1,NOT(OR('Your debts'!$B$6&lt;&gt;"",N('Your debts'!$C$6)&gt;0))),"",IF('Your debts'!$D$20="Avalanche",'Avalanche workings'!$AP$303,'Snowball workings'!$AP$303))</f>
      </c>
      <c r="H301" s="29">
        <f>IF(OR(296&gt;$Z$1,NOT(OR('Your debts'!$B$7&lt;&gt;"",N('Your debts'!$C$7)&gt;0))),"",IF('Your debts'!$D$20="Avalanche",'Avalanche workings'!$M$303,'Snowball workings'!$M$303)+IF('Your debts'!$D$20="Avalanche",'Avalanche workings'!$AG$303,'Snowball workings'!$AG$303))</f>
      </c>
      <c r="I301" s="30">
        <f>IF(OR(296&gt;$Z$1,NOT(OR('Your debts'!$B$7&lt;&gt;"",N('Your debts'!$C$7)&gt;0))),"",IF('Your debts'!$D$20="Avalanche",'Avalanche workings'!$AQ$303,'Snowball workings'!$AQ$303))</f>
      </c>
      <c r="J301" s="29">
        <f>IF(OR(296&gt;$Z$1,NOT(OR('Your debts'!$B$8&lt;&gt;"",N('Your debts'!$C$8)&gt;0))),"",IF('Your debts'!$D$20="Avalanche",'Avalanche workings'!$N$303,'Snowball workings'!$N$303)+IF('Your debts'!$D$20="Avalanche",'Avalanche workings'!$AH$303,'Snowball workings'!$AH$303))</f>
      </c>
      <c r="K301" s="30">
        <f>IF(OR(296&gt;$Z$1,NOT(OR('Your debts'!$B$8&lt;&gt;"",N('Your debts'!$C$8)&gt;0))),"",IF('Your debts'!$D$20="Avalanche",'Avalanche workings'!$AR$303,'Snowball workings'!$AR$303))</f>
      </c>
      <c r="L301" s="29">
        <f>IF(OR(296&gt;$Z$1,NOT(OR('Your debts'!$B$9&lt;&gt;"",N('Your debts'!$C$9)&gt;0))),"",IF('Your debts'!$D$20="Avalanche",'Avalanche workings'!$O$303,'Snowball workings'!$O$303)+IF('Your debts'!$D$20="Avalanche",'Avalanche workings'!$AI$303,'Snowball workings'!$AI$303))</f>
      </c>
      <c r="M301" s="30">
        <f>IF(OR(296&gt;$Z$1,NOT(OR('Your debts'!$B$9&lt;&gt;"",N('Your debts'!$C$9)&gt;0))),"",IF('Your debts'!$D$20="Avalanche",'Avalanche workings'!$AS$303,'Snowball workings'!$AS$303))</f>
      </c>
      <c r="N301" s="29">
        <f>IF(OR(296&gt;$Z$1,NOT(OR('Your debts'!$B$10&lt;&gt;"",N('Your debts'!$C$10)&gt;0))),"",IF('Your debts'!$D$20="Avalanche",'Avalanche workings'!$P$303,'Snowball workings'!$P$303)+IF('Your debts'!$D$20="Avalanche",'Avalanche workings'!$AJ$303,'Snowball workings'!$AJ$303))</f>
      </c>
      <c r="O301" s="30">
        <f>IF(OR(296&gt;$Z$1,NOT(OR('Your debts'!$B$10&lt;&gt;"",N('Your debts'!$C$10)&gt;0))),"",IF('Your debts'!$D$20="Avalanche",'Avalanche workings'!$AT$303,'Snowball workings'!$AT$303))</f>
      </c>
      <c r="P301" s="29">
        <f>IF(OR(296&gt;$Z$1,NOT(OR('Your debts'!$B$11&lt;&gt;"",N('Your debts'!$C$11)&gt;0))),"",IF('Your debts'!$D$20="Avalanche",'Avalanche workings'!$Q$303,'Snowball workings'!$Q$303)+IF('Your debts'!$D$20="Avalanche",'Avalanche workings'!$AK$303,'Snowball workings'!$AK$303))</f>
      </c>
      <c r="Q301" s="30">
        <f>IF(OR(296&gt;$Z$1,NOT(OR('Your debts'!$B$11&lt;&gt;"",N('Your debts'!$C$11)&gt;0))),"",IF('Your debts'!$D$20="Avalanche",'Avalanche workings'!$AU$303,'Snowball workings'!$AU$303))</f>
      </c>
      <c r="R301" s="29">
        <f>IF(OR(296&gt;$Z$1,NOT(OR('Your debts'!$B$12&lt;&gt;"",N('Your debts'!$C$12)&gt;0))),"",IF('Your debts'!$D$20="Avalanche",'Avalanche workings'!$R$303,'Snowball workings'!$R$303)+IF('Your debts'!$D$20="Avalanche",'Avalanche workings'!$AL$303,'Snowball workings'!$AL$303))</f>
      </c>
      <c r="S301" s="30">
        <f>IF(OR(296&gt;$Z$1,NOT(OR('Your debts'!$B$12&lt;&gt;"",N('Your debts'!$C$12)&gt;0))),"",IF('Your debts'!$D$20="Avalanche",'Avalanche workings'!$AV$303,'Snowball workings'!$AV$303))</f>
      </c>
      <c r="T301" s="29">
        <f>IF(OR(296&gt;$Z$1,NOT(OR('Your debts'!$B$13&lt;&gt;"",N('Your debts'!$C$13)&gt;0))),"",IF('Your debts'!$D$20="Avalanche",'Avalanche workings'!$S$303,'Snowball workings'!$S$303)+IF('Your debts'!$D$20="Avalanche",'Avalanche workings'!$AM$303,'Snowball workings'!$AM$303))</f>
      </c>
      <c r="U301" s="30">
        <f>IF(OR(296&gt;$Z$1,NOT(OR('Your debts'!$B$13&lt;&gt;"",N('Your debts'!$C$13)&gt;0))),"",IF('Your debts'!$D$20="Avalanche",'Avalanche workings'!$AW$303,'Snowball workings'!$AW$303))</f>
      </c>
      <c r="V301" s="29">
        <f>IF(OR(296&gt;$Z$1,NOT(OR('Your debts'!$B$14&lt;&gt;"",N('Your debts'!$C$14)&gt;0))),"",IF('Your debts'!$D$20="Avalanche",'Avalanche workings'!$T$303,'Snowball workings'!$T$303)+IF('Your debts'!$D$20="Avalanche",'Avalanche workings'!$AN$303,'Snowball workings'!$AN$303))</f>
      </c>
      <c r="W301" s="30">
        <f>IF(OR(296&gt;$Z$1,NOT(OR('Your debts'!$B$14&lt;&gt;"",N('Your debts'!$C$14)&gt;0))),"",IF('Your debts'!$D$20="Avalanche",'Avalanche workings'!$AX$303,'Snowball workings'!$AX$303))</f>
      </c>
      <c r="X301" s="29">
        <f>IF(OR(296&gt;$Z$1,NOT(OR('Your debts'!$B$15&lt;&gt;"",N('Your debts'!$C$15)&gt;0))),"",IF('Your debts'!$D$20="Avalanche",'Avalanche workings'!$U$303,'Snowball workings'!$U$303)+IF('Your debts'!$D$20="Avalanche",'Avalanche workings'!$AO$303,'Snowball workings'!$AO$303))</f>
      </c>
      <c r="Y301" s="30">
        <f>IF(OR(296&gt;$Z$1,NOT(OR('Your debts'!$B$15&lt;&gt;"",N('Your debts'!$C$15)&gt;0))),"",IF('Your debts'!$D$20="Avalanche",'Avalanche workings'!$AY$303,'Snowball workings'!$AY$303))</f>
      </c>
    </row>
    <row r="302" spans="1:25" x14ac:dyDescent="0.25">
      <c r="A302" s="2">
        <f>IF(297&gt;$Z$1,"",297)</f>
      </c>
      <c r="B302" s="28">
        <f>IF(297&gt;$Z$1,"",EDATE('Your debts'!$D$21,296))</f>
      </c>
      <c r="C302" s="29">
        <f>IF(297&gt;$Z$1,"",IF('Your debts'!$D$20="Avalanche",'Avalanche workings'!$BC$304,'Snowball workings'!$BC$304))</f>
      </c>
      <c r="D302" s="29">
        <f>IF(297&gt;$Z$1,"",IF('Your debts'!$D$20="Avalanche",'Avalanche workings'!$BA$304,'Snowball workings'!$BA$304))</f>
      </c>
      <c r="E302" s="29">
        <f>IF(297&gt;$Z$1,"",IF('Your debts'!$D$20="Avalanche",'Avalanche workings'!$BB$304,'Snowball workings'!$BB$304))</f>
      </c>
      <c r="F302" s="29">
        <f>IF(OR(297&gt;$Z$1,NOT(OR('Your debts'!$B$6&lt;&gt;"",N('Your debts'!$C$6)&gt;0))),"",IF('Your debts'!$D$20="Avalanche",'Avalanche workings'!$L$304,'Snowball workings'!$L$304)+IF('Your debts'!$D$20="Avalanche",'Avalanche workings'!$AF$304,'Snowball workings'!$AF$304))</f>
      </c>
      <c r="G302" s="30">
        <f>IF(OR(297&gt;$Z$1,NOT(OR('Your debts'!$B$6&lt;&gt;"",N('Your debts'!$C$6)&gt;0))),"",IF('Your debts'!$D$20="Avalanche",'Avalanche workings'!$AP$304,'Snowball workings'!$AP$304))</f>
      </c>
      <c r="H302" s="29">
        <f>IF(OR(297&gt;$Z$1,NOT(OR('Your debts'!$B$7&lt;&gt;"",N('Your debts'!$C$7)&gt;0))),"",IF('Your debts'!$D$20="Avalanche",'Avalanche workings'!$M$304,'Snowball workings'!$M$304)+IF('Your debts'!$D$20="Avalanche",'Avalanche workings'!$AG$304,'Snowball workings'!$AG$304))</f>
      </c>
      <c r="I302" s="30">
        <f>IF(OR(297&gt;$Z$1,NOT(OR('Your debts'!$B$7&lt;&gt;"",N('Your debts'!$C$7)&gt;0))),"",IF('Your debts'!$D$20="Avalanche",'Avalanche workings'!$AQ$304,'Snowball workings'!$AQ$304))</f>
      </c>
      <c r="J302" s="29">
        <f>IF(OR(297&gt;$Z$1,NOT(OR('Your debts'!$B$8&lt;&gt;"",N('Your debts'!$C$8)&gt;0))),"",IF('Your debts'!$D$20="Avalanche",'Avalanche workings'!$N$304,'Snowball workings'!$N$304)+IF('Your debts'!$D$20="Avalanche",'Avalanche workings'!$AH$304,'Snowball workings'!$AH$304))</f>
      </c>
      <c r="K302" s="30">
        <f>IF(OR(297&gt;$Z$1,NOT(OR('Your debts'!$B$8&lt;&gt;"",N('Your debts'!$C$8)&gt;0))),"",IF('Your debts'!$D$20="Avalanche",'Avalanche workings'!$AR$304,'Snowball workings'!$AR$304))</f>
      </c>
      <c r="L302" s="29">
        <f>IF(OR(297&gt;$Z$1,NOT(OR('Your debts'!$B$9&lt;&gt;"",N('Your debts'!$C$9)&gt;0))),"",IF('Your debts'!$D$20="Avalanche",'Avalanche workings'!$O$304,'Snowball workings'!$O$304)+IF('Your debts'!$D$20="Avalanche",'Avalanche workings'!$AI$304,'Snowball workings'!$AI$304))</f>
      </c>
      <c r="M302" s="30">
        <f>IF(OR(297&gt;$Z$1,NOT(OR('Your debts'!$B$9&lt;&gt;"",N('Your debts'!$C$9)&gt;0))),"",IF('Your debts'!$D$20="Avalanche",'Avalanche workings'!$AS$304,'Snowball workings'!$AS$304))</f>
      </c>
      <c r="N302" s="29">
        <f>IF(OR(297&gt;$Z$1,NOT(OR('Your debts'!$B$10&lt;&gt;"",N('Your debts'!$C$10)&gt;0))),"",IF('Your debts'!$D$20="Avalanche",'Avalanche workings'!$P$304,'Snowball workings'!$P$304)+IF('Your debts'!$D$20="Avalanche",'Avalanche workings'!$AJ$304,'Snowball workings'!$AJ$304))</f>
      </c>
      <c r="O302" s="30">
        <f>IF(OR(297&gt;$Z$1,NOT(OR('Your debts'!$B$10&lt;&gt;"",N('Your debts'!$C$10)&gt;0))),"",IF('Your debts'!$D$20="Avalanche",'Avalanche workings'!$AT$304,'Snowball workings'!$AT$304))</f>
      </c>
      <c r="P302" s="29">
        <f>IF(OR(297&gt;$Z$1,NOT(OR('Your debts'!$B$11&lt;&gt;"",N('Your debts'!$C$11)&gt;0))),"",IF('Your debts'!$D$20="Avalanche",'Avalanche workings'!$Q$304,'Snowball workings'!$Q$304)+IF('Your debts'!$D$20="Avalanche",'Avalanche workings'!$AK$304,'Snowball workings'!$AK$304))</f>
      </c>
      <c r="Q302" s="30">
        <f>IF(OR(297&gt;$Z$1,NOT(OR('Your debts'!$B$11&lt;&gt;"",N('Your debts'!$C$11)&gt;0))),"",IF('Your debts'!$D$20="Avalanche",'Avalanche workings'!$AU$304,'Snowball workings'!$AU$304))</f>
      </c>
      <c r="R302" s="29">
        <f>IF(OR(297&gt;$Z$1,NOT(OR('Your debts'!$B$12&lt;&gt;"",N('Your debts'!$C$12)&gt;0))),"",IF('Your debts'!$D$20="Avalanche",'Avalanche workings'!$R$304,'Snowball workings'!$R$304)+IF('Your debts'!$D$20="Avalanche",'Avalanche workings'!$AL$304,'Snowball workings'!$AL$304))</f>
      </c>
      <c r="S302" s="30">
        <f>IF(OR(297&gt;$Z$1,NOT(OR('Your debts'!$B$12&lt;&gt;"",N('Your debts'!$C$12)&gt;0))),"",IF('Your debts'!$D$20="Avalanche",'Avalanche workings'!$AV$304,'Snowball workings'!$AV$304))</f>
      </c>
      <c r="T302" s="29">
        <f>IF(OR(297&gt;$Z$1,NOT(OR('Your debts'!$B$13&lt;&gt;"",N('Your debts'!$C$13)&gt;0))),"",IF('Your debts'!$D$20="Avalanche",'Avalanche workings'!$S$304,'Snowball workings'!$S$304)+IF('Your debts'!$D$20="Avalanche",'Avalanche workings'!$AM$304,'Snowball workings'!$AM$304))</f>
      </c>
      <c r="U302" s="30">
        <f>IF(OR(297&gt;$Z$1,NOT(OR('Your debts'!$B$13&lt;&gt;"",N('Your debts'!$C$13)&gt;0))),"",IF('Your debts'!$D$20="Avalanche",'Avalanche workings'!$AW$304,'Snowball workings'!$AW$304))</f>
      </c>
      <c r="V302" s="29">
        <f>IF(OR(297&gt;$Z$1,NOT(OR('Your debts'!$B$14&lt;&gt;"",N('Your debts'!$C$14)&gt;0))),"",IF('Your debts'!$D$20="Avalanche",'Avalanche workings'!$T$304,'Snowball workings'!$T$304)+IF('Your debts'!$D$20="Avalanche",'Avalanche workings'!$AN$304,'Snowball workings'!$AN$304))</f>
      </c>
      <c r="W302" s="30">
        <f>IF(OR(297&gt;$Z$1,NOT(OR('Your debts'!$B$14&lt;&gt;"",N('Your debts'!$C$14)&gt;0))),"",IF('Your debts'!$D$20="Avalanche",'Avalanche workings'!$AX$304,'Snowball workings'!$AX$304))</f>
      </c>
      <c r="X302" s="29">
        <f>IF(OR(297&gt;$Z$1,NOT(OR('Your debts'!$B$15&lt;&gt;"",N('Your debts'!$C$15)&gt;0))),"",IF('Your debts'!$D$20="Avalanche",'Avalanche workings'!$U$304,'Snowball workings'!$U$304)+IF('Your debts'!$D$20="Avalanche",'Avalanche workings'!$AO$304,'Snowball workings'!$AO$304))</f>
      </c>
      <c r="Y302" s="30">
        <f>IF(OR(297&gt;$Z$1,NOT(OR('Your debts'!$B$15&lt;&gt;"",N('Your debts'!$C$15)&gt;0))),"",IF('Your debts'!$D$20="Avalanche",'Avalanche workings'!$AY$304,'Snowball workings'!$AY$304))</f>
      </c>
    </row>
    <row r="303" spans="1:25" x14ac:dyDescent="0.25">
      <c r="A303" s="2">
        <f>IF(298&gt;$Z$1,"",298)</f>
      </c>
      <c r="B303" s="28">
        <f>IF(298&gt;$Z$1,"",EDATE('Your debts'!$D$21,297))</f>
      </c>
      <c r="C303" s="29">
        <f>IF(298&gt;$Z$1,"",IF('Your debts'!$D$20="Avalanche",'Avalanche workings'!$BC$305,'Snowball workings'!$BC$305))</f>
      </c>
      <c r="D303" s="29">
        <f>IF(298&gt;$Z$1,"",IF('Your debts'!$D$20="Avalanche",'Avalanche workings'!$BA$305,'Snowball workings'!$BA$305))</f>
      </c>
      <c r="E303" s="29">
        <f>IF(298&gt;$Z$1,"",IF('Your debts'!$D$20="Avalanche",'Avalanche workings'!$BB$305,'Snowball workings'!$BB$305))</f>
      </c>
      <c r="F303" s="29">
        <f>IF(OR(298&gt;$Z$1,NOT(OR('Your debts'!$B$6&lt;&gt;"",N('Your debts'!$C$6)&gt;0))),"",IF('Your debts'!$D$20="Avalanche",'Avalanche workings'!$L$305,'Snowball workings'!$L$305)+IF('Your debts'!$D$20="Avalanche",'Avalanche workings'!$AF$305,'Snowball workings'!$AF$305))</f>
      </c>
      <c r="G303" s="30">
        <f>IF(OR(298&gt;$Z$1,NOT(OR('Your debts'!$B$6&lt;&gt;"",N('Your debts'!$C$6)&gt;0))),"",IF('Your debts'!$D$20="Avalanche",'Avalanche workings'!$AP$305,'Snowball workings'!$AP$305))</f>
      </c>
      <c r="H303" s="29">
        <f>IF(OR(298&gt;$Z$1,NOT(OR('Your debts'!$B$7&lt;&gt;"",N('Your debts'!$C$7)&gt;0))),"",IF('Your debts'!$D$20="Avalanche",'Avalanche workings'!$M$305,'Snowball workings'!$M$305)+IF('Your debts'!$D$20="Avalanche",'Avalanche workings'!$AG$305,'Snowball workings'!$AG$305))</f>
      </c>
      <c r="I303" s="30">
        <f>IF(OR(298&gt;$Z$1,NOT(OR('Your debts'!$B$7&lt;&gt;"",N('Your debts'!$C$7)&gt;0))),"",IF('Your debts'!$D$20="Avalanche",'Avalanche workings'!$AQ$305,'Snowball workings'!$AQ$305))</f>
      </c>
      <c r="J303" s="29">
        <f>IF(OR(298&gt;$Z$1,NOT(OR('Your debts'!$B$8&lt;&gt;"",N('Your debts'!$C$8)&gt;0))),"",IF('Your debts'!$D$20="Avalanche",'Avalanche workings'!$N$305,'Snowball workings'!$N$305)+IF('Your debts'!$D$20="Avalanche",'Avalanche workings'!$AH$305,'Snowball workings'!$AH$305))</f>
      </c>
      <c r="K303" s="30">
        <f>IF(OR(298&gt;$Z$1,NOT(OR('Your debts'!$B$8&lt;&gt;"",N('Your debts'!$C$8)&gt;0))),"",IF('Your debts'!$D$20="Avalanche",'Avalanche workings'!$AR$305,'Snowball workings'!$AR$305))</f>
      </c>
      <c r="L303" s="29">
        <f>IF(OR(298&gt;$Z$1,NOT(OR('Your debts'!$B$9&lt;&gt;"",N('Your debts'!$C$9)&gt;0))),"",IF('Your debts'!$D$20="Avalanche",'Avalanche workings'!$O$305,'Snowball workings'!$O$305)+IF('Your debts'!$D$20="Avalanche",'Avalanche workings'!$AI$305,'Snowball workings'!$AI$305))</f>
      </c>
      <c r="M303" s="30">
        <f>IF(OR(298&gt;$Z$1,NOT(OR('Your debts'!$B$9&lt;&gt;"",N('Your debts'!$C$9)&gt;0))),"",IF('Your debts'!$D$20="Avalanche",'Avalanche workings'!$AS$305,'Snowball workings'!$AS$305))</f>
      </c>
      <c r="N303" s="29">
        <f>IF(OR(298&gt;$Z$1,NOT(OR('Your debts'!$B$10&lt;&gt;"",N('Your debts'!$C$10)&gt;0))),"",IF('Your debts'!$D$20="Avalanche",'Avalanche workings'!$P$305,'Snowball workings'!$P$305)+IF('Your debts'!$D$20="Avalanche",'Avalanche workings'!$AJ$305,'Snowball workings'!$AJ$305))</f>
      </c>
      <c r="O303" s="30">
        <f>IF(OR(298&gt;$Z$1,NOT(OR('Your debts'!$B$10&lt;&gt;"",N('Your debts'!$C$10)&gt;0))),"",IF('Your debts'!$D$20="Avalanche",'Avalanche workings'!$AT$305,'Snowball workings'!$AT$305))</f>
      </c>
      <c r="P303" s="29">
        <f>IF(OR(298&gt;$Z$1,NOT(OR('Your debts'!$B$11&lt;&gt;"",N('Your debts'!$C$11)&gt;0))),"",IF('Your debts'!$D$20="Avalanche",'Avalanche workings'!$Q$305,'Snowball workings'!$Q$305)+IF('Your debts'!$D$20="Avalanche",'Avalanche workings'!$AK$305,'Snowball workings'!$AK$305))</f>
      </c>
      <c r="Q303" s="30">
        <f>IF(OR(298&gt;$Z$1,NOT(OR('Your debts'!$B$11&lt;&gt;"",N('Your debts'!$C$11)&gt;0))),"",IF('Your debts'!$D$20="Avalanche",'Avalanche workings'!$AU$305,'Snowball workings'!$AU$305))</f>
      </c>
      <c r="R303" s="29">
        <f>IF(OR(298&gt;$Z$1,NOT(OR('Your debts'!$B$12&lt;&gt;"",N('Your debts'!$C$12)&gt;0))),"",IF('Your debts'!$D$20="Avalanche",'Avalanche workings'!$R$305,'Snowball workings'!$R$305)+IF('Your debts'!$D$20="Avalanche",'Avalanche workings'!$AL$305,'Snowball workings'!$AL$305))</f>
      </c>
      <c r="S303" s="30">
        <f>IF(OR(298&gt;$Z$1,NOT(OR('Your debts'!$B$12&lt;&gt;"",N('Your debts'!$C$12)&gt;0))),"",IF('Your debts'!$D$20="Avalanche",'Avalanche workings'!$AV$305,'Snowball workings'!$AV$305))</f>
      </c>
      <c r="T303" s="29">
        <f>IF(OR(298&gt;$Z$1,NOT(OR('Your debts'!$B$13&lt;&gt;"",N('Your debts'!$C$13)&gt;0))),"",IF('Your debts'!$D$20="Avalanche",'Avalanche workings'!$S$305,'Snowball workings'!$S$305)+IF('Your debts'!$D$20="Avalanche",'Avalanche workings'!$AM$305,'Snowball workings'!$AM$305))</f>
      </c>
      <c r="U303" s="30">
        <f>IF(OR(298&gt;$Z$1,NOT(OR('Your debts'!$B$13&lt;&gt;"",N('Your debts'!$C$13)&gt;0))),"",IF('Your debts'!$D$20="Avalanche",'Avalanche workings'!$AW$305,'Snowball workings'!$AW$305))</f>
      </c>
      <c r="V303" s="29">
        <f>IF(OR(298&gt;$Z$1,NOT(OR('Your debts'!$B$14&lt;&gt;"",N('Your debts'!$C$14)&gt;0))),"",IF('Your debts'!$D$20="Avalanche",'Avalanche workings'!$T$305,'Snowball workings'!$T$305)+IF('Your debts'!$D$20="Avalanche",'Avalanche workings'!$AN$305,'Snowball workings'!$AN$305))</f>
      </c>
      <c r="W303" s="30">
        <f>IF(OR(298&gt;$Z$1,NOT(OR('Your debts'!$B$14&lt;&gt;"",N('Your debts'!$C$14)&gt;0))),"",IF('Your debts'!$D$20="Avalanche",'Avalanche workings'!$AX$305,'Snowball workings'!$AX$305))</f>
      </c>
      <c r="X303" s="29">
        <f>IF(OR(298&gt;$Z$1,NOT(OR('Your debts'!$B$15&lt;&gt;"",N('Your debts'!$C$15)&gt;0))),"",IF('Your debts'!$D$20="Avalanche",'Avalanche workings'!$U$305,'Snowball workings'!$U$305)+IF('Your debts'!$D$20="Avalanche",'Avalanche workings'!$AO$305,'Snowball workings'!$AO$305))</f>
      </c>
      <c r="Y303" s="30">
        <f>IF(OR(298&gt;$Z$1,NOT(OR('Your debts'!$B$15&lt;&gt;"",N('Your debts'!$C$15)&gt;0))),"",IF('Your debts'!$D$20="Avalanche",'Avalanche workings'!$AY$305,'Snowball workings'!$AY$305))</f>
      </c>
    </row>
    <row r="304" spans="1:25" x14ac:dyDescent="0.25">
      <c r="A304" s="2">
        <f>IF(299&gt;$Z$1,"",299)</f>
      </c>
      <c r="B304" s="28">
        <f>IF(299&gt;$Z$1,"",EDATE('Your debts'!$D$21,298))</f>
      </c>
      <c r="C304" s="29">
        <f>IF(299&gt;$Z$1,"",IF('Your debts'!$D$20="Avalanche",'Avalanche workings'!$BC$306,'Snowball workings'!$BC$306))</f>
      </c>
      <c r="D304" s="29">
        <f>IF(299&gt;$Z$1,"",IF('Your debts'!$D$20="Avalanche",'Avalanche workings'!$BA$306,'Snowball workings'!$BA$306))</f>
      </c>
      <c r="E304" s="29">
        <f>IF(299&gt;$Z$1,"",IF('Your debts'!$D$20="Avalanche",'Avalanche workings'!$BB$306,'Snowball workings'!$BB$306))</f>
      </c>
      <c r="F304" s="29">
        <f>IF(OR(299&gt;$Z$1,NOT(OR('Your debts'!$B$6&lt;&gt;"",N('Your debts'!$C$6)&gt;0))),"",IF('Your debts'!$D$20="Avalanche",'Avalanche workings'!$L$306,'Snowball workings'!$L$306)+IF('Your debts'!$D$20="Avalanche",'Avalanche workings'!$AF$306,'Snowball workings'!$AF$306))</f>
      </c>
      <c r="G304" s="30">
        <f>IF(OR(299&gt;$Z$1,NOT(OR('Your debts'!$B$6&lt;&gt;"",N('Your debts'!$C$6)&gt;0))),"",IF('Your debts'!$D$20="Avalanche",'Avalanche workings'!$AP$306,'Snowball workings'!$AP$306))</f>
      </c>
      <c r="H304" s="29">
        <f>IF(OR(299&gt;$Z$1,NOT(OR('Your debts'!$B$7&lt;&gt;"",N('Your debts'!$C$7)&gt;0))),"",IF('Your debts'!$D$20="Avalanche",'Avalanche workings'!$M$306,'Snowball workings'!$M$306)+IF('Your debts'!$D$20="Avalanche",'Avalanche workings'!$AG$306,'Snowball workings'!$AG$306))</f>
      </c>
      <c r="I304" s="30">
        <f>IF(OR(299&gt;$Z$1,NOT(OR('Your debts'!$B$7&lt;&gt;"",N('Your debts'!$C$7)&gt;0))),"",IF('Your debts'!$D$20="Avalanche",'Avalanche workings'!$AQ$306,'Snowball workings'!$AQ$306))</f>
      </c>
      <c r="J304" s="29">
        <f>IF(OR(299&gt;$Z$1,NOT(OR('Your debts'!$B$8&lt;&gt;"",N('Your debts'!$C$8)&gt;0))),"",IF('Your debts'!$D$20="Avalanche",'Avalanche workings'!$N$306,'Snowball workings'!$N$306)+IF('Your debts'!$D$20="Avalanche",'Avalanche workings'!$AH$306,'Snowball workings'!$AH$306))</f>
      </c>
      <c r="K304" s="30">
        <f>IF(OR(299&gt;$Z$1,NOT(OR('Your debts'!$B$8&lt;&gt;"",N('Your debts'!$C$8)&gt;0))),"",IF('Your debts'!$D$20="Avalanche",'Avalanche workings'!$AR$306,'Snowball workings'!$AR$306))</f>
      </c>
      <c r="L304" s="29">
        <f>IF(OR(299&gt;$Z$1,NOT(OR('Your debts'!$B$9&lt;&gt;"",N('Your debts'!$C$9)&gt;0))),"",IF('Your debts'!$D$20="Avalanche",'Avalanche workings'!$O$306,'Snowball workings'!$O$306)+IF('Your debts'!$D$20="Avalanche",'Avalanche workings'!$AI$306,'Snowball workings'!$AI$306))</f>
      </c>
      <c r="M304" s="30">
        <f>IF(OR(299&gt;$Z$1,NOT(OR('Your debts'!$B$9&lt;&gt;"",N('Your debts'!$C$9)&gt;0))),"",IF('Your debts'!$D$20="Avalanche",'Avalanche workings'!$AS$306,'Snowball workings'!$AS$306))</f>
      </c>
      <c r="N304" s="29">
        <f>IF(OR(299&gt;$Z$1,NOT(OR('Your debts'!$B$10&lt;&gt;"",N('Your debts'!$C$10)&gt;0))),"",IF('Your debts'!$D$20="Avalanche",'Avalanche workings'!$P$306,'Snowball workings'!$P$306)+IF('Your debts'!$D$20="Avalanche",'Avalanche workings'!$AJ$306,'Snowball workings'!$AJ$306))</f>
      </c>
      <c r="O304" s="30">
        <f>IF(OR(299&gt;$Z$1,NOT(OR('Your debts'!$B$10&lt;&gt;"",N('Your debts'!$C$10)&gt;0))),"",IF('Your debts'!$D$20="Avalanche",'Avalanche workings'!$AT$306,'Snowball workings'!$AT$306))</f>
      </c>
      <c r="P304" s="29">
        <f>IF(OR(299&gt;$Z$1,NOT(OR('Your debts'!$B$11&lt;&gt;"",N('Your debts'!$C$11)&gt;0))),"",IF('Your debts'!$D$20="Avalanche",'Avalanche workings'!$Q$306,'Snowball workings'!$Q$306)+IF('Your debts'!$D$20="Avalanche",'Avalanche workings'!$AK$306,'Snowball workings'!$AK$306))</f>
      </c>
      <c r="Q304" s="30">
        <f>IF(OR(299&gt;$Z$1,NOT(OR('Your debts'!$B$11&lt;&gt;"",N('Your debts'!$C$11)&gt;0))),"",IF('Your debts'!$D$20="Avalanche",'Avalanche workings'!$AU$306,'Snowball workings'!$AU$306))</f>
      </c>
      <c r="R304" s="29">
        <f>IF(OR(299&gt;$Z$1,NOT(OR('Your debts'!$B$12&lt;&gt;"",N('Your debts'!$C$12)&gt;0))),"",IF('Your debts'!$D$20="Avalanche",'Avalanche workings'!$R$306,'Snowball workings'!$R$306)+IF('Your debts'!$D$20="Avalanche",'Avalanche workings'!$AL$306,'Snowball workings'!$AL$306))</f>
      </c>
      <c r="S304" s="30">
        <f>IF(OR(299&gt;$Z$1,NOT(OR('Your debts'!$B$12&lt;&gt;"",N('Your debts'!$C$12)&gt;0))),"",IF('Your debts'!$D$20="Avalanche",'Avalanche workings'!$AV$306,'Snowball workings'!$AV$306))</f>
      </c>
      <c r="T304" s="29">
        <f>IF(OR(299&gt;$Z$1,NOT(OR('Your debts'!$B$13&lt;&gt;"",N('Your debts'!$C$13)&gt;0))),"",IF('Your debts'!$D$20="Avalanche",'Avalanche workings'!$S$306,'Snowball workings'!$S$306)+IF('Your debts'!$D$20="Avalanche",'Avalanche workings'!$AM$306,'Snowball workings'!$AM$306))</f>
      </c>
      <c r="U304" s="30">
        <f>IF(OR(299&gt;$Z$1,NOT(OR('Your debts'!$B$13&lt;&gt;"",N('Your debts'!$C$13)&gt;0))),"",IF('Your debts'!$D$20="Avalanche",'Avalanche workings'!$AW$306,'Snowball workings'!$AW$306))</f>
      </c>
      <c r="V304" s="29">
        <f>IF(OR(299&gt;$Z$1,NOT(OR('Your debts'!$B$14&lt;&gt;"",N('Your debts'!$C$14)&gt;0))),"",IF('Your debts'!$D$20="Avalanche",'Avalanche workings'!$T$306,'Snowball workings'!$T$306)+IF('Your debts'!$D$20="Avalanche",'Avalanche workings'!$AN$306,'Snowball workings'!$AN$306))</f>
      </c>
      <c r="W304" s="30">
        <f>IF(OR(299&gt;$Z$1,NOT(OR('Your debts'!$B$14&lt;&gt;"",N('Your debts'!$C$14)&gt;0))),"",IF('Your debts'!$D$20="Avalanche",'Avalanche workings'!$AX$306,'Snowball workings'!$AX$306))</f>
      </c>
      <c r="X304" s="29">
        <f>IF(OR(299&gt;$Z$1,NOT(OR('Your debts'!$B$15&lt;&gt;"",N('Your debts'!$C$15)&gt;0))),"",IF('Your debts'!$D$20="Avalanche",'Avalanche workings'!$U$306,'Snowball workings'!$U$306)+IF('Your debts'!$D$20="Avalanche",'Avalanche workings'!$AO$306,'Snowball workings'!$AO$306))</f>
      </c>
      <c r="Y304" s="30">
        <f>IF(OR(299&gt;$Z$1,NOT(OR('Your debts'!$B$15&lt;&gt;"",N('Your debts'!$C$15)&gt;0))),"",IF('Your debts'!$D$20="Avalanche",'Avalanche workings'!$AY$306,'Snowball workings'!$AY$306))</f>
      </c>
    </row>
    <row r="305" spans="1:25" x14ac:dyDescent="0.25">
      <c r="A305" s="2">
        <f>IF(300&gt;$Z$1,"",300)</f>
      </c>
      <c r="B305" s="28">
        <f>IF(300&gt;$Z$1,"",EDATE('Your debts'!$D$21,299))</f>
      </c>
      <c r="C305" s="29">
        <f>IF(300&gt;$Z$1,"",IF('Your debts'!$D$20="Avalanche",'Avalanche workings'!$BC$307,'Snowball workings'!$BC$307))</f>
      </c>
      <c r="D305" s="29">
        <f>IF(300&gt;$Z$1,"",IF('Your debts'!$D$20="Avalanche",'Avalanche workings'!$BA$307,'Snowball workings'!$BA$307))</f>
      </c>
      <c r="E305" s="29">
        <f>IF(300&gt;$Z$1,"",IF('Your debts'!$D$20="Avalanche",'Avalanche workings'!$BB$307,'Snowball workings'!$BB$307))</f>
      </c>
      <c r="F305" s="29">
        <f>IF(OR(300&gt;$Z$1,NOT(OR('Your debts'!$B$6&lt;&gt;"",N('Your debts'!$C$6)&gt;0))),"",IF('Your debts'!$D$20="Avalanche",'Avalanche workings'!$L$307,'Snowball workings'!$L$307)+IF('Your debts'!$D$20="Avalanche",'Avalanche workings'!$AF$307,'Snowball workings'!$AF$307))</f>
      </c>
      <c r="G305" s="30">
        <f>IF(OR(300&gt;$Z$1,NOT(OR('Your debts'!$B$6&lt;&gt;"",N('Your debts'!$C$6)&gt;0))),"",IF('Your debts'!$D$20="Avalanche",'Avalanche workings'!$AP$307,'Snowball workings'!$AP$307))</f>
      </c>
      <c r="H305" s="29">
        <f>IF(OR(300&gt;$Z$1,NOT(OR('Your debts'!$B$7&lt;&gt;"",N('Your debts'!$C$7)&gt;0))),"",IF('Your debts'!$D$20="Avalanche",'Avalanche workings'!$M$307,'Snowball workings'!$M$307)+IF('Your debts'!$D$20="Avalanche",'Avalanche workings'!$AG$307,'Snowball workings'!$AG$307))</f>
      </c>
      <c r="I305" s="30">
        <f>IF(OR(300&gt;$Z$1,NOT(OR('Your debts'!$B$7&lt;&gt;"",N('Your debts'!$C$7)&gt;0))),"",IF('Your debts'!$D$20="Avalanche",'Avalanche workings'!$AQ$307,'Snowball workings'!$AQ$307))</f>
      </c>
      <c r="J305" s="29">
        <f>IF(OR(300&gt;$Z$1,NOT(OR('Your debts'!$B$8&lt;&gt;"",N('Your debts'!$C$8)&gt;0))),"",IF('Your debts'!$D$20="Avalanche",'Avalanche workings'!$N$307,'Snowball workings'!$N$307)+IF('Your debts'!$D$20="Avalanche",'Avalanche workings'!$AH$307,'Snowball workings'!$AH$307))</f>
      </c>
      <c r="K305" s="30">
        <f>IF(OR(300&gt;$Z$1,NOT(OR('Your debts'!$B$8&lt;&gt;"",N('Your debts'!$C$8)&gt;0))),"",IF('Your debts'!$D$20="Avalanche",'Avalanche workings'!$AR$307,'Snowball workings'!$AR$307))</f>
      </c>
      <c r="L305" s="29">
        <f>IF(OR(300&gt;$Z$1,NOT(OR('Your debts'!$B$9&lt;&gt;"",N('Your debts'!$C$9)&gt;0))),"",IF('Your debts'!$D$20="Avalanche",'Avalanche workings'!$O$307,'Snowball workings'!$O$307)+IF('Your debts'!$D$20="Avalanche",'Avalanche workings'!$AI$307,'Snowball workings'!$AI$307))</f>
      </c>
      <c r="M305" s="30">
        <f>IF(OR(300&gt;$Z$1,NOT(OR('Your debts'!$B$9&lt;&gt;"",N('Your debts'!$C$9)&gt;0))),"",IF('Your debts'!$D$20="Avalanche",'Avalanche workings'!$AS$307,'Snowball workings'!$AS$307))</f>
      </c>
      <c r="N305" s="29">
        <f>IF(OR(300&gt;$Z$1,NOT(OR('Your debts'!$B$10&lt;&gt;"",N('Your debts'!$C$10)&gt;0))),"",IF('Your debts'!$D$20="Avalanche",'Avalanche workings'!$P$307,'Snowball workings'!$P$307)+IF('Your debts'!$D$20="Avalanche",'Avalanche workings'!$AJ$307,'Snowball workings'!$AJ$307))</f>
      </c>
      <c r="O305" s="30">
        <f>IF(OR(300&gt;$Z$1,NOT(OR('Your debts'!$B$10&lt;&gt;"",N('Your debts'!$C$10)&gt;0))),"",IF('Your debts'!$D$20="Avalanche",'Avalanche workings'!$AT$307,'Snowball workings'!$AT$307))</f>
      </c>
      <c r="P305" s="29">
        <f>IF(OR(300&gt;$Z$1,NOT(OR('Your debts'!$B$11&lt;&gt;"",N('Your debts'!$C$11)&gt;0))),"",IF('Your debts'!$D$20="Avalanche",'Avalanche workings'!$Q$307,'Snowball workings'!$Q$307)+IF('Your debts'!$D$20="Avalanche",'Avalanche workings'!$AK$307,'Snowball workings'!$AK$307))</f>
      </c>
      <c r="Q305" s="30">
        <f>IF(OR(300&gt;$Z$1,NOT(OR('Your debts'!$B$11&lt;&gt;"",N('Your debts'!$C$11)&gt;0))),"",IF('Your debts'!$D$20="Avalanche",'Avalanche workings'!$AU$307,'Snowball workings'!$AU$307))</f>
      </c>
      <c r="R305" s="29">
        <f>IF(OR(300&gt;$Z$1,NOT(OR('Your debts'!$B$12&lt;&gt;"",N('Your debts'!$C$12)&gt;0))),"",IF('Your debts'!$D$20="Avalanche",'Avalanche workings'!$R$307,'Snowball workings'!$R$307)+IF('Your debts'!$D$20="Avalanche",'Avalanche workings'!$AL$307,'Snowball workings'!$AL$307))</f>
      </c>
      <c r="S305" s="30">
        <f>IF(OR(300&gt;$Z$1,NOT(OR('Your debts'!$B$12&lt;&gt;"",N('Your debts'!$C$12)&gt;0))),"",IF('Your debts'!$D$20="Avalanche",'Avalanche workings'!$AV$307,'Snowball workings'!$AV$307))</f>
      </c>
      <c r="T305" s="29">
        <f>IF(OR(300&gt;$Z$1,NOT(OR('Your debts'!$B$13&lt;&gt;"",N('Your debts'!$C$13)&gt;0))),"",IF('Your debts'!$D$20="Avalanche",'Avalanche workings'!$S$307,'Snowball workings'!$S$307)+IF('Your debts'!$D$20="Avalanche",'Avalanche workings'!$AM$307,'Snowball workings'!$AM$307))</f>
      </c>
      <c r="U305" s="30">
        <f>IF(OR(300&gt;$Z$1,NOT(OR('Your debts'!$B$13&lt;&gt;"",N('Your debts'!$C$13)&gt;0))),"",IF('Your debts'!$D$20="Avalanche",'Avalanche workings'!$AW$307,'Snowball workings'!$AW$307))</f>
      </c>
      <c r="V305" s="29">
        <f>IF(OR(300&gt;$Z$1,NOT(OR('Your debts'!$B$14&lt;&gt;"",N('Your debts'!$C$14)&gt;0))),"",IF('Your debts'!$D$20="Avalanche",'Avalanche workings'!$T$307,'Snowball workings'!$T$307)+IF('Your debts'!$D$20="Avalanche",'Avalanche workings'!$AN$307,'Snowball workings'!$AN$307))</f>
      </c>
      <c r="W305" s="30">
        <f>IF(OR(300&gt;$Z$1,NOT(OR('Your debts'!$B$14&lt;&gt;"",N('Your debts'!$C$14)&gt;0))),"",IF('Your debts'!$D$20="Avalanche",'Avalanche workings'!$AX$307,'Snowball workings'!$AX$307))</f>
      </c>
      <c r="X305" s="29">
        <f>IF(OR(300&gt;$Z$1,NOT(OR('Your debts'!$B$15&lt;&gt;"",N('Your debts'!$C$15)&gt;0))),"",IF('Your debts'!$D$20="Avalanche",'Avalanche workings'!$U$307,'Snowball workings'!$U$307)+IF('Your debts'!$D$20="Avalanche",'Avalanche workings'!$AO$307,'Snowball workings'!$AO$307))</f>
      </c>
      <c r="Y305" s="30">
        <f>IF(OR(300&gt;$Z$1,NOT(OR('Your debts'!$B$15&lt;&gt;"",N('Your debts'!$C$15)&gt;0))),"",IF('Your debts'!$D$20="Avalanche",'Avalanche workings'!$AY$307,'Snowball workings'!$AY$307))</f>
      </c>
    </row>
    <row r="306" spans="1:25" x14ac:dyDescent="0.25">
      <c r="A306" s="2">
        <f>IF(301&gt;$Z$1,"",301)</f>
      </c>
      <c r="B306" s="28">
        <f>IF(301&gt;$Z$1,"",EDATE('Your debts'!$D$21,300))</f>
      </c>
      <c r="C306" s="29">
        <f>IF(301&gt;$Z$1,"",IF('Your debts'!$D$20="Avalanche",'Avalanche workings'!$BC$308,'Snowball workings'!$BC$308))</f>
      </c>
      <c r="D306" s="29">
        <f>IF(301&gt;$Z$1,"",IF('Your debts'!$D$20="Avalanche",'Avalanche workings'!$BA$308,'Snowball workings'!$BA$308))</f>
      </c>
      <c r="E306" s="29">
        <f>IF(301&gt;$Z$1,"",IF('Your debts'!$D$20="Avalanche",'Avalanche workings'!$BB$308,'Snowball workings'!$BB$308))</f>
      </c>
      <c r="F306" s="29">
        <f>IF(OR(301&gt;$Z$1,NOT(OR('Your debts'!$B$6&lt;&gt;"",N('Your debts'!$C$6)&gt;0))),"",IF('Your debts'!$D$20="Avalanche",'Avalanche workings'!$L$308,'Snowball workings'!$L$308)+IF('Your debts'!$D$20="Avalanche",'Avalanche workings'!$AF$308,'Snowball workings'!$AF$308))</f>
      </c>
      <c r="G306" s="30">
        <f>IF(OR(301&gt;$Z$1,NOT(OR('Your debts'!$B$6&lt;&gt;"",N('Your debts'!$C$6)&gt;0))),"",IF('Your debts'!$D$20="Avalanche",'Avalanche workings'!$AP$308,'Snowball workings'!$AP$308))</f>
      </c>
      <c r="H306" s="29">
        <f>IF(OR(301&gt;$Z$1,NOT(OR('Your debts'!$B$7&lt;&gt;"",N('Your debts'!$C$7)&gt;0))),"",IF('Your debts'!$D$20="Avalanche",'Avalanche workings'!$M$308,'Snowball workings'!$M$308)+IF('Your debts'!$D$20="Avalanche",'Avalanche workings'!$AG$308,'Snowball workings'!$AG$308))</f>
      </c>
      <c r="I306" s="30">
        <f>IF(OR(301&gt;$Z$1,NOT(OR('Your debts'!$B$7&lt;&gt;"",N('Your debts'!$C$7)&gt;0))),"",IF('Your debts'!$D$20="Avalanche",'Avalanche workings'!$AQ$308,'Snowball workings'!$AQ$308))</f>
      </c>
      <c r="J306" s="29">
        <f>IF(OR(301&gt;$Z$1,NOT(OR('Your debts'!$B$8&lt;&gt;"",N('Your debts'!$C$8)&gt;0))),"",IF('Your debts'!$D$20="Avalanche",'Avalanche workings'!$N$308,'Snowball workings'!$N$308)+IF('Your debts'!$D$20="Avalanche",'Avalanche workings'!$AH$308,'Snowball workings'!$AH$308))</f>
      </c>
      <c r="K306" s="30">
        <f>IF(OR(301&gt;$Z$1,NOT(OR('Your debts'!$B$8&lt;&gt;"",N('Your debts'!$C$8)&gt;0))),"",IF('Your debts'!$D$20="Avalanche",'Avalanche workings'!$AR$308,'Snowball workings'!$AR$308))</f>
      </c>
      <c r="L306" s="29">
        <f>IF(OR(301&gt;$Z$1,NOT(OR('Your debts'!$B$9&lt;&gt;"",N('Your debts'!$C$9)&gt;0))),"",IF('Your debts'!$D$20="Avalanche",'Avalanche workings'!$O$308,'Snowball workings'!$O$308)+IF('Your debts'!$D$20="Avalanche",'Avalanche workings'!$AI$308,'Snowball workings'!$AI$308))</f>
      </c>
      <c r="M306" s="30">
        <f>IF(OR(301&gt;$Z$1,NOT(OR('Your debts'!$B$9&lt;&gt;"",N('Your debts'!$C$9)&gt;0))),"",IF('Your debts'!$D$20="Avalanche",'Avalanche workings'!$AS$308,'Snowball workings'!$AS$308))</f>
      </c>
      <c r="N306" s="29">
        <f>IF(OR(301&gt;$Z$1,NOT(OR('Your debts'!$B$10&lt;&gt;"",N('Your debts'!$C$10)&gt;0))),"",IF('Your debts'!$D$20="Avalanche",'Avalanche workings'!$P$308,'Snowball workings'!$P$308)+IF('Your debts'!$D$20="Avalanche",'Avalanche workings'!$AJ$308,'Snowball workings'!$AJ$308))</f>
      </c>
      <c r="O306" s="30">
        <f>IF(OR(301&gt;$Z$1,NOT(OR('Your debts'!$B$10&lt;&gt;"",N('Your debts'!$C$10)&gt;0))),"",IF('Your debts'!$D$20="Avalanche",'Avalanche workings'!$AT$308,'Snowball workings'!$AT$308))</f>
      </c>
      <c r="P306" s="29">
        <f>IF(OR(301&gt;$Z$1,NOT(OR('Your debts'!$B$11&lt;&gt;"",N('Your debts'!$C$11)&gt;0))),"",IF('Your debts'!$D$20="Avalanche",'Avalanche workings'!$Q$308,'Snowball workings'!$Q$308)+IF('Your debts'!$D$20="Avalanche",'Avalanche workings'!$AK$308,'Snowball workings'!$AK$308))</f>
      </c>
      <c r="Q306" s="30">
        <f>IF(OR(301&gt;$Z$1,NOT(OR('Your debts'!$B$11&lt;&gt;"",N('Your debts'!$C$11)&gt;0))),"",IF('Your debts'!$D$20="Avalanche",'Avalanche workings'!$AU$308,'Snowball workings'!$AU$308))</f>
      </c>
      <c r="R306" s="29">
        <f>IF(OR(301&gt;$Z$1,NOT(OR('Your debts'!$B$12&lt;&gt;"",N('Your debts'!$C$12)&gt;0))),"",IF('Your debts'!$D$20="Avalanche",'Avalanche workings'!$R$308,'Snowball workings'!$R$308)+IF('Your debts'!$D$20="Avalanche",'Avalanche workings'!$AL$308,'Snowball workings'!$AL$308))</f>
      </c>
      <c r="S306" s="30">
        <f>IF(OR(301&gt;$Z$1,NOT(OR('Your debts'!$B$12&lt;&gt;"",N('Your debts'!$C$12)&gt;0))),"",IF('Your debts'!$D$20="Avalanche",'Avalanche workings'!$AV$308,'Snowball workings'!$AV$308))</f>
      </c>
      <c r="T306" s="29">
        <f>IF(OR(301&gt;$Z$1,NOT(OR('Your debts'!$B$13&lt;&gt;"",N('Your debts'!$C$13)&gt;0))),"",IF('Your debts'!$D$20="Avalanche",'Avalanche workings'!$S$308,'Snowball workings'!$S$308)+IF('Your debts'!$D$20="Avalanche",'Avalanche workings'!$AM$308,'Snowball workings'!$AM$308))</f>
      </c>
      <c r="U306" s="30">
        <f>IF(OR(301&gt;$Z$1,NOT(OR('Your debts'!$B$13&lt;&gt;"",N('Your debts'!$C$13)&gt;0))),"",IF('Your debts'!$D$20="Avalanche",'Avalanche workings'!$AW$308,'Snowball workings'!$AW$308))</f>
      </c>
      <c r="V306" s="29">
        <f>IF(OR(301&gt;$Z$1,NOT(OR('Your debts'!$B$14&lt;&gt;"",N('Your debts'!$C$14)&gt;0))),"",IF('Your debts'!$D$20="Avalanche",'Avalanche workings'!$T$308,'Snowball workings'!$T$308)+IF('Your debts'!$D$20="Avalanche",'Avalanche workings'!$AN$308,'Snowball workings'!$AN$308))</f>
      </c>
      <c r="W306" s="30">
        <f>IF(OR(301&gt;$Z$1,NOT(OR('Your debts'!$B$14&lt;&gt;"",N('Your debts'!$C$14)&gt;0))),"",IF('Your debts'!$D$20="Avalanche",'Avalanche workings'!$AX$308,'Snowball workings'!$AX$308))</f>
      </c>
      <c r="X306" s="29">
        <f>IF(OR(301&gt;$Z$1,NOT(OR('Your debts'!$B$15&lt;&gt;"",N('Your debts'!$C$15)&gt;0))),"",IF('Your debts'!$D$20="Avalanche",'Avalanche workings'!$U$308,'Snowball workings'!$U$308)+IF('Your debts'!$D$20="Avalanche",'Avalanche workings'!$AO$308,'Snowball workings'!$AO$308))</f>
      </c>
      <c r="Y306" s="30">
        <f>IF(OR(301&gt;$Z$1,NOT(OR('Your debts'!$B$15&lt;&gt;"",N('Your debts'!$C$15)&gt;0))),"",IF('Your debts'!$D$20="Avalanche",'Avalanche workings'!$AY$308,'Snowball workings'!$AY$308))</f>
      </c>
    </row>
    <row r="307" spans="1:25" x14ac:dyDescent="0.25">
      <c r="A307" s="2">
        <f>IF(302&gt;$Z$1,"",302)</f>
      </c>
      <c r="B307" s="28">
        <f>IF(302&gt;$Z$1,"",EDATE('Your debts'!$D$21,301))</f>
      </c>
      <c r="C307" s="29">
        <f>IF(302&gt;$Z$1,"",IF('Your debts'!$D$20="Avalanche",'Avalanche workings'!$BC$309,'Snowball workings'!$BC$309))</f>
      </c>
      <c r="D307" s="29">
        <f>IF(302&gt;$Z$1,"",IF('Your debts'!$D$20="Avalanche",'Avalanche workings'!$BA$309,'Snowball workings'!$BA$309))</f>
      </c>
      <c r="E307" s="29">
        <f>IF(302&gt;$Z$1,"",IF('Your debts'!$D$20="Avalanche",'Avalanche workings'!$BB$309,'Snowball workings'!$BB$309))</f>
      </c>
      <c r="F307" s="29">
        <f>IF(OR(302&gt;$Z$1,NOT(OR('Your debts'!$B$6&lt;&gt;"",N('Your debts'!$C$6)&gt;0))),"",IF('Your debts'!$D$20="Avalanche",'Avalanche workings'!$L$309,'Snowball workings'!$L$309)+IF('Your debts'!$D$20="Avalanche",'Avalanche workings'!$AF$309,'Snowball workings'!$AF$309))</f>
      </c>
      <c r="G307" s="30">
        <f>IF(OR(302&gt;$Z$1,NOT(OR('Your debts'!$B$6&lt;&gt;"",N('Your debts'!$C$6)&gt;0))),"",IF('Your debts'!$D$20="Avalanche",'Avalanche workings'!$AP$309,'Snowball workings'!$AP$309))</f>
      </c>
      <c r="H307" s="29">
        <f>IF(OR(302&gt;$Z$1,NOT(OR('Your debts'!$B$7&lt;&gt;"",N('Your debts'!$C$7)&gt;0))),"",IF('Your debts'!$D$20="Avalanche",'Avalanche workings'!$M$309,'Snowball workings'!$M$309)+IF('Your debts'!$D$20="Avalanche",'Avalanche workings'!$AG$309,'Snowball workings'!$AG$309))</f>
      </c>
      <c r="I307" s="30">
        <f>IF(OR(302&gt;$Z$1,NOT(OR('Your debts'!$B$7&lt;&gt;"",N('Your debts'!$C$7)&gt;0))),"",IF('Your debts'!$D$20="Avalanche",'Avalanche workings'!$AQ$309,'Snowball workings'!$AQ$309))</f>
      </c>
      <c r="J307" s="29">
        <f>IF(OR(302&gt;$Z$1,NOT(OR('Your debts'!$B$8&lt;&gt;"",N('Your debts'!$C$8)&gt;0))),"",IF('Your debts'!$D$20="Avalanche",'Avalanche workings'!$N$309,'Snowball workings'!$N$309)+IF('Your debts'!$D$20="Avalanche",'Avalanche workings'!$AH$309,'Snowball workings'!$AH$309))</f>
      </c>
      <c r="K307" s="30">
        <f>IF(OR(302&gt;$Z$1,NOT(OR('Your debts'!$B$8&lt;&gt;"",N('Your debts'!$C$8)&gt;0))),"",IF('Your debts'!$D$20="Avalanche",'Avalanche workings'!$AR$309,'Snowball workings'!$AR$309))</f>
      </c>
      <c r="L307" s="29">
        <f>IF(OR(302&gt;$Z$1,NOT(OR('Your debts'!$B$9&lt;&gt;"",N('Your debts'!$C$9)&gt;0))),"",IF('Your debts'!$D$20="Avalanche",'Avalanche workings'!$O$309,'Snowball workings'!$O$309)+IF('Your debts'!$D$20="Avalanche",'Avalanche workings'!$AI$309,'Snowball workings'!$AI$309))</f>
      </c>
      <c r="M307" s="30">
        <f>IF(OR(302&gt;$Z$1,NOT(OR('Your debts'!$B$9&lt;&gt;"",N('Your debts'!$C$9)&gt;0))),"",IF('Your debts'!$D$20="Avalanche",'Avalanche workings'!$AS$309,'Snowball workings'!$AS$309))</f>
      </c>
      <c r="N307" s="29">
        <f>IF(OR(302&gt;$Z$1,NOT(OR('Your debts'!$B$10&lt;&gt;"",N('Your debts'!$C$10)&gt;0))),"",IF('Your debts'!$D$20="Avalanche",'Avalanche workings'!$P$309,'Snowball workings'!$P$309)+IF('Your debts'!$D$20="Avalanche",'Avalanche workings'!$AJ$309,'Snowball workings'!$AJ$309))</f>
      </c>
      <c r="O307" s="30">
        <f>IF(OR(302&gt;$Z$1,NOT(OR('Your debts'!$B$10&lt;&gt;"",N('Your debts'!$C$10)&gt;0))),"",IF('Your debts'!$D$20="Avalanche",'Avalanche workings'!$AT$309,'Snowball workings'!$AT$309))</f>
      </c>
      <c r="P307" s="29">
        <f>IF(OR(302&gt;$Z$1,NOT(OR('Your debts'!$B$11&lt;&gt;"",N('Your debts'!$C$11)&gt;0))),"",IF('Your debts'!$D$20="Avalanche",'Avalanche workings'!$Q$309,'Snowball workings'!$Q$309)+IF('Your debts'!$D$20="Avalanche",'Avalanche workings'!$AK$309,'Snowball workings'!$AK$309))</f>
      </c>
      <c r="Q307" s="30">
        <f>IF(OR(302&gt;$Z$1,NOT(OR('Your debts'!$B$11&lt;&gt;"",N('Your debts'!$C$11)&gt;0))),"",IF('Your debts'!$D$20="Avalanche",'Avalanche workings'!$AU$309,'Snowball workings'!$AU$309))</f>
      </c>
      <c r="R307" s="29">
        <f>IF(OR(302&gt;$Z$1,NOT(OR('Your debts'!$B$12&lt;&gt;"",N('Your debts'!$C$12)&gt;0))),"",IF('Your debts'!$D$20="Avalanche",'Avalanche workings'!$R$309,'Snowball workings'!$R$309)+IF('Your debts'!$D$20="Avalanche",'Avalanche workings'!$AL$309,'Snowball workings'!$AL$309))</f>
      </c>
      <c r="S307" s="30">
        <f>IF(OR(302&gt;$Z$1,NOT(OR('Your debts'!$B$12&lt;&gt;"",N('Your debts'!$C$12)&gt;0))),"",IF('Your debts'!$D$20="Avalanche",'Avalanche workings'!$AV$309,'Snowball workings'!$AV$309))</f>
      </c>
      <c r="T307" s="29">
        <f>IF(OR(302&gt;$Z$1,NOT(OR('Your debts'!$B$13&lt;&gt;"",N('Your debts'!$C$13)&gt;0))),"",IF('Your debts'!$D$20="Avalanche",'Avalanche workings'!$S$309,'Snowball workings'!$S$309)+IF('Your debts'!$D$20="Avalanche",'Avalanche workings'!$AM$309,'Snowball workings'!$AM$309))</f>
      </c>
      <c r="U307" s="30">
        <f>IF(OR(302&gt;$Z$1,NOT(OR('Your debts'!$B$13&lt;&gt;"",N('Your debts'!$C$13)&gt;0))),"",IF('Your debts'!$D$20="Avalanche",'Avalanche workings'!$AW$309,'Snowball workings'!$AW$309))</f>
      </c>
      <c r="V307" s="29">
        <f>IF(OR(302&gt;$Z$1,NOT(OR('Your debts'!$B$14&lt;&gt;"",N('Your debts'!$C$14)&gt;0))),"",IF('Your debts'!$D$20="Avalanche",'Avalanche workings'!$T$309,'Snowball workings'!$T$309)+IF('Your debts'!$D$20="Avalanche",'Avalanche workings'!$AN$309,'Snowball workings'!$AN$309))</f>
      </c>
      <c r="W307" s="30">
        <f>IF(OR(302&gt;$Z$1,NOT(OR('Your debts'!$B$14&lt;&gt;"",N('Your debts'!$C$14)&gt;0))),"",IF('Your debts'!$D$20="Avalanche",'Avalanche workings'!$AX$309,'Snowball workings'!$AX$309))</f>
      </c>
      <c r="X307" s="29">
        <f>IF(OR(302&gt;$Z$1,NOT(OR('Your debts'!$B$15&lt;&gt;"",N('Your debts'!$C$15)&gt;0))),"",IF('Your debts'!$D$20="Avalanche",'Avalanche workings'!$U$309,'Snowball workings'!$U$309)+IF('Your debts'!$D$20="Avalanche",'Avalanche workings'!$AO$309,'Snowball workings'!$AO$309))</f>
      </c>
      <c r="Y307" s="30">
        <f>IF(OR(302&gt;$Z$1,NOT(OR('Your debts'!$B$15&lt;&gt;"",N('Your debts'!$C$15)&gt;0))),"",IF('Your debts'!$D$20="Avalanche",'Avalanche workings'!$AY$309,'Snowball workings'!$AY$309))</f>
      </c>
    </row>
    <row r="308" spans="1:25" x14ac:dyDescent="0.25">
      <c r="A308" s="2">
        <f>IF(303&gt;$Z$1,"",303)</f>
      </c>
      <c r="B308" s="28">
        <f>IF(303&gt;$Z$1,"",EDATE('Your debts'!$D$21,302))</f>
      </c>
      <c r="C308" s="29">
        <f>IF(303&gt;$Z$1,"",IF('Your debts'!$D$20="Avalanche",'Avalanche workings'!$BC$310,'Snowball workings'!$BC$310))</f>
      </c>
      <c r="D308" s="29">
        <f>IF(303&gt;$Z$1,"",IF('Your debts'!$D$20="Avalanche",'Avalanche workings'!$BA$310,'Snowball workings'!$BA$310))</f>
      </c>
      <c r="E308" s="29">
        <f>IF(303&gt;$Z$1,"",IF('Your debts'!$D$20="Avalanche",'Avalanche workings'!$BB$310,'Snowball workings'!$BB$310))</f>
      </c>
      <c r="F308" s="29">
        <f>IF(OR(303&gt;$Z$1,NOT(OR('Your debts'!$B$6&lt;&gt;"",N('Your debts'!$C$6)&gt;0))),"",IF('Your debts'!$D$20="Avalanche",'Avalanche workings'!$L$310,'Snowball workings'!$L$310)+IF('Your debts'!$D$20="Avalanche",'Avalanche workings'!$AF$310,'Snowball workings'!$AF$310))</f>
      </c>
      <c r="G308" s="30">
        <f>IF(OR(303&gt;$Z$1,NOT(OR('Your debts'!$B$6&lt;&gt;"",N('Your debts'!$C$6)&gt;0))),"",IF('Your debts'!$D$20="Avalanche",'Avalanche workings'!$AP$310,'Snowball workings'!$AP$310))</f>
      </c>
      <c r="H308" s="29">
        <f>IF(OR(303&gt;$Z$1,NOT(OR('Your debts'!$B$7&lt;&gt;"",N('Your debts'!$C$7)&gt;0))),"",IF('Your debts'!$D$20="Avalanche",'Avalanche workings'!$M$310,'Snowball workings'!$M$310)+IF('Your debts'!$D$20="Avalanche",'Avalanche workings'!$AG$310,'Snowball workings'!$AG$310))</f>
      </c>
      <c r="I308" s="30">
        <f>IF(OR(303&gt;$Z$1,NOT(OR('Your debts'!$B$7&lt;&gt;"",N('Your debts'!$C$7)&gt;0))),"",IF('Your debts'!$D$20="Avalanche",'Avalanche workings'!$AQ$310,'Snowball workings'!$AQ$310))</f>
      </c>
      <c r="J308" s="29">
        <f>IF(OR(303&gt;$Z$1,NOT(OR('Your debts'!$B$8&lt;&gt;"",N('Your debts'!$C$8)&gt;0))),"",IF('Your debts'!$D$20="Avalanche",'Avalanche workings'!$N$310,'Snowball workings'!$N$310)+IF('Your debts'!$D$20="Avalanche",'Avalanche workings'!$AH$310,'Snowball workings'!$AH$310))</f>
      </c>
      <c r="K308" s="30">
        <f>IF(OR(303&gt;$Z$1,NOT(OR('Your debts'!$B$8&lt;&gt;"",N('Your debts'!$C$8)&gt;0))),"",IF('Your debts'!$D$20="Avalanche",'Avalanche workings'!$AR$310,'Snowball workings'!$AR$310))</f>
      </c>
      <c r="L308" s="29">
        <f>IF(OR(303&gt;$Z$1,NOT(OR('Your debts'!$B$9&lt;&gt;"",N('Your debts'!$C$9)&gt;0))),"",IF('Your debts'!$D$20="Avalanche",'Avalanche workings'!$O$310,'Snowball workings'!$O$310)+IF('Your debts'!$D$20="Avalanche",'Avalanche workings'!$AI$310,'Snowball workings'!$AI$310))</f>
      </c>
      <c r="M308" s="30">
        <f>IF(OR(303&gt;$Z$1,NOT(OR('Your debts'!$B$9&lt;&gt;"",N('Your debts'!$C$9)&gt;0))),"",IF('Your debts'!$D$20="Avalanche",'Avalanche workings'!$AS$310,'Snowball workings'!$AS$310))</f>
      </c>
      <c r="N308" s="29">
        <f>IF(OR(303&gt;$Z$1,NOT(OR('Your debts'!$B$10&lt;&gt;"",N('Your debts'!$C$10)&gt;0))),"",IF('Your debts'!$D$20="Avalanche",'Avalanche workings'!$P$310,'Snowball workings'!$P$310)+IF('Your debts'!$D$20="Avalanche",'Avalanche workings'!$AJ$310,'Snowball workings'!$AJ$310))</f>
      </c>
      <c r="O308" s="30">
        <f>IF(OR(303&gt;$Z$1,NOT(OR('Your debts'!$B$10&lt;&gt;"",N('Your debts'!$C$10)&gt;0))),"",IF('Your debts'!$D$20="Avalanche",'Avalanche workings'!$AT$310,'Snowball workings'!$AT$310))</f>
      </c>
      <c r="P308" s="29">
        <f>IF(OR(303&gt;$Z$1,NOT(OR('Your debts'!$B$11&lt;&gt;"",N('Your debts'!$C$11)&gt;0))),"",IF('Your debts'!$D$20="Avalanche",'Avalanche workings'!$Q$310,'Snowball workings'!$Q$310)+IF('Your debts'!$D$20="Avalanche",'Avalanche workings'!$AK$310,'Snowball workings'!$AK$310))</f>
      </c>
      <c r="Q308" s="30">
        <f>IF(OR(303&gt;$Z$1,NOT(OR('Your debts'!$B$11&lt;&gt;"",N('Your debts'!$C$11)&gt;0))),"",IF('Your debts'!$D$20="Avalanche",'Avalanche workings'!$AU$310,'Snowball workings'!$AU$310))</f>
      </c>
      <c r="R308" s="29">
        <f>IF(OR(303&gt;$Z$1,NOT(OR('Your debts'!$B$12&lt;&gt;"",N('Your debts'!$C$12)&gt;0))),"",IF('Your debts'!$D$20="Avalanche",'Avalanche workings'!$R$310,'Snowball workings'!$R$310)+IF('Your debts'!$D$20="Avalanche",'Avalanche workings'!$AL$310,'Snowball workings'!$AL$310))</f>
      </c>
      <c r="S308" s="30">
        <f>IF(OR(303&gt;$Z$1,NOT(OR('Your debts'!$B$12&lt;&gt;"",N('Your debts'!$C$12)&gt;0))),"",IF('Your debts'!$D$20="Avalanche",'Avalanche workings'!$AV$310,'Snowball workings'!$AV$310))</f>
      </c>
      <c r="T308" s="29">
        <f>IF(OR(303&gt;$Z$1,NOT(OR('Your debts'!$B$13&lt;&gt;"",N('Your debts'!$C$13)&gt;0))),"",IF('Your debts'!$D$20="Avalanche",'Avalanche workings'!$S$310,'Snowball workings'!$S$310)+IF('Your debts'!$D$20="Avalanche",'Avalanche workings'!$AM$310,'Snowball workings'!$AM$310))</f>
      </c>
      <c r="U308" s="30">
        <f>IF(OR(303&gt;$Z$1,NOT(OR('Your debts'!$B$13&lt;&gt;"",N('Your debts'!$C$13)&gt;0))),"",IF('Your debts'!$D$20="Avalanche",'Avalanche workings'!$AW$310,'Snowball workings'!$AW$310))</f>
      </c>
      <c r="V308" s="29">
        <f>IF(OR(303&gt;$Z$1,NOT(OR('Your debts'!$B$14&lt;&gt;"",N('Your debts'!$C$14)&gt;0))),"",IF('Your debts'!$D$20="Avalanche",'Avalanche workings'!$T$310,'Snowball workings'!$T$310)+IF('Your debts'!$D$20="Avalanche",'Avalanche workings'!$AN$310,'Snowball workings'!$AN$310))</f>
      </c>
      <c r="W308" s="30">
        <f>IF(OR(303&gt;$Z$1,NOT(OR('Your debts'!$B$14&lt;&gt;"",N('Your debts'!$C$14)&gt;0))),"",IF('Your debts'!$D$20="Avalanche",'Avalanche workings'!$AX$310,'Snowball workings'!$AX$310))</f>
      </c>
      <c r="X308" s="29">
        <f>IF(OR(303&gt;$Z$1,NOT(OR('Your debts'!$B$15&lt;&gt;"",N('Your debts'!$C$15)&gt;0))),"",IF('Your debts'!$D$20="Avalanche",'Avalanche workings'!$U$310,'Snowball workings'!$U$310)+IF('Your debts'!$D$20="Avalanche",'Avalanche workings'!$AO$310,'Snowball workings'!$AO$310))</f>
      </c>
      <c r="Y308" s="30">
        <f>IF(OR(303&gt;$Z$1,NOT(OR('Your debts'!$B$15&lt;&gt;"",N('Your debts'!$C$15)&gt;0))),"",IF('Your debts'!$D$20="Avalanche",'Avalanche workings'!$AY$310,'Snowball workings'!$AY$310))</f>
      </c>
    </row>
    <row r="309" spans="1:25" x14ac:dyDescent="0.25">
      <c r="A309" s="2">
        <f>IF(304&gt;$Z$1,"",304)</f>
      </c>
      <c r="B309" s="28">
        <f>IF(304&gt;$Z$1,"",EDATE('Your debts'!$D$21,303))</f>
      </c>
      <c r="C309" s="29">
        <f>IF(304&gt;$Z$1,"",IF('Your debts'!$D$20="Avalanche",'Avalanche workings'!$BC$311,'Snowball workings'!$BC$311))</f>
      </c>
      <c r="D309" s="29">
        <f>IF(304&gt;$Z$1,"",IF('Your debts'!$D$20="Avalanche",'Avalanche workings'!$BA$311,'Snowball workings'!$BA$311))</f>
      </c>
      <c r="E309" s="29">
        <f>IF(304&gt;$Z$1,"",IF('Your debts'!$D$20="Avalanche",'Avalanche workings'!$BB$311,'Snowball workings'!$BB$311))</f>
      </c>
      <c r="F309" s="29">
        <f>IF(OR(304&gt;$Z$1,NOT(OR('Your debts'!$B$6&lt;&gt;"",N('Your debts'!$C$6)&gt;0))),"",IF('Your debts'!$D$20="Avalanche",'Avalanche workings'!$L$311,'Snowball workings'!$L$311)+IF('Your debts'!$D$20="Avalanche",'Avalanche workings'!$AF$311,'Snowball workings'!$AF$311))</f>
      </c>
      <c r="G309" s="30">
        <f>IF(OR(304&gt;$Z$1,NOT(OR('Your debts'!$B$6&lt;&gt;"",N('Your debts'!$C$6)&gt;0))),"",IF('Your debts'!$D$20="Avalanche",'Avalanche workings'!$AP$311,'Snowball workings'!$AP$311))</f>
      </c>
      <c r="H309" s="29">
        <f>IF(OR(304&gt;$Z$1,NOT(OR('Your debts'!$B$7&lt;&gt;"",N('Your debts'!$C$7)&gt;0))),"",IF('Your debts'!$D$20="Avalanche",'Avalanche workings'!$M$311,'Snowball workings'!$M$311)+IF('Your debts'!$D$20="Avalanche",'Avalanche workings'!$AG$311,'Snowball workings'!$AG$311))</f>
      </c>
      <c r="I309" s="30">
        <f>IF(OR(304&gt;$Z$1,NOT(OR('Your debts'!$B$7&lt;&gt;"",N('Your debts'!$C$7)&gt;0))),"",IF('Your debts'!$D$20="Avalanche",'Avalanche workings'!$AQ$311,'Snowball workings'!$AQ$311))</f>
      </c>
      <c r="J309" s="29">
        <f>IF(OR(304&gt;$Z$1,NOT(OR('Your debts'!$B$8&lt;&gt;"",N('Your debts'!$C$8)&gt;0))),"",IF('Your debts'!$D$20="Avalanche",'Avalanche workings'!$N$311,'Snowball workings'!$N$311)+IF('Your debts'!$D$20="Avalanche",'Avalanche workings'!$AH$311,'Snowball workings'!$AH$311))</f>
      </c>
      <c r="K309" s="30">
        <f>IF(OR(304&gt;$Z$1,NOT(OR('Your debts'!$B$8&lt;&gt;"",N('Your debts'!$C$8)&gt;0))),"",IF('Your debts'!$D$20="Avalanche",'Avalanche workings'!$AR$311,'Snowball workings'!$AR$311))</f>
      </c>
      <c r="L309" s="29">
        <f>IF(OR(304&gt;$Z$1,NOT(OR('Your debts'!$B$9&lt;&gt;"",N('Your debts'!$C$9)&gt;0))),"",IF('Your debts'!$D$20="Avalanche",'Avalanche workings'!$O$311,'Snowball workings'!$O$311)+IF('Your debts'!$D$20="Avalanche",'Avalanche workings'!$AI$311,'Snowball workings'!$AI$311))</f>
      </c>
      <c r="M309" s="30">
        <f>IF(OR(304&gt;$Z$1,NOT(OR('Your debts'!$B$9&lt;&gt;"",N('Your debts'!$C$9)&gt;0))),"",IF('Your debts'!$D$20="Avalanche",'Avalanche workings'!$AS$311,'Snowball workings'!$AS$311))</f>
      </c>
      <c r="N309" s="29">
        <f>IF(OR(304&gt;$Z$1,NOT(OR('Your debts'!$B$10&lt;&gt;"",N('Your debts'!$C$10)&gt;0))),"",IF('Your debts'!$D$20="Avalanche",'Avalanche workings'!$P$311,'Snowball workings'!$P$311)+IF('Your debts'!$D$20="Avalanche",'Avalanche workings'!$AJ$311,'Snowball workings'!$AJ$311))</f>
      </c>
      <c r="O309" s="30">
        <f>IF(OR(304&gt;$Z$1,NOT(OR('Your debts'!$B$10&lt;&gt;"",N('Your debts'!$C$10)&gt;0))),"",IF('Your debts'!$D$20="Avalanche",'Avalanche workings'!$AT$311,'Snowball workings'!$AT$311))</f>
      </c>
      <c r="P309" s="29">
        <f>IF(OR(304&gt;$Z$1,NOT(OR('Your debts'!$B$11&lt;&gt;"",N('Your debts'!$C$11)&gt;0))),"",IF('Your debts'!$D$20="Avalanche",'Avalanche workings'!$Q$311,'Snowball workings'!$Q$311)+IF('Your debts'!$D$20="Avalanche",'Avalanche workings'!$AK$311,'Snowball workings'!$AK$311))</f>
      </c>
      <c r="Q309" s="30">
        <f>IF(OR(304&gt;$Z$1,NOT(OR('Your debts'!$B$11&lt;&gt;"",N('Your debts'!$C$11)&gt;0))),"",IF('Your debts'!$D$20="Avalanche",'Avalanche workings'!$AU$311,'Snowball workings'!$AU$311))</f>
      </c>
      <c r="R309" s="29">
        <f>IF(OR(304&gt;$Z$1,NOT(OR('Your debts'!$B$12&lt;&gt;"",N('Your debts'!$C$12)&gt;0))),"",IF('Your debts'!$D$20="Avalanche",'Avalanche workings'!$R$311,'Snowball workings'!$R$311)+IF('Your debts'!$D$20="Avalanche",'Avalanche workings'!$AL$311,'Snowball workings'!$AL$311))</f>
      </c>
      <c r="S309" s="30">
        <f>IF(OR(304&gt;$Z$1,NOT(OR('Your debts'!$B$12&lt;&gt;"",N('Your debts'!$C$12)&gt;0))),"",IF('Your debts'!$D$20="Avalanche",'Avalanche workings'!$AV$311,'Snowball workings'!$AV$311))</f>
      </c>
      <c r="T309" s="29">
        <f>IF(OR(304&gt;$Z$1,NOT(OR('Your debts'!$B$13&lt;&gt;"",N('Your debts'!$C$13)&gt;0))),"",IF('Your debts'!$D$20="Avalanche",'Avalanche workings'!$S$311,'Snowball workings'!$S$311)+IF('Your debts'!$D$20="Avalanche",'Avalanche workings'!$AM$311,'Snowball workings'!$AM$311))</f>
      </c>
      <c r="U309" s="30">
        <f>IF(OR(304&gt;$Z$1,NOT(OR('Your debts'!$B$13&lt;&gt;"",N('Your debts'!$C$13)&gt;0))),"",IF('Your debts'!$D$20="Avalanche",'Avalanche workings'!$AW$311,'Snowball workings'!$AW$311))</f>
      </c>
      <c r="V309" s="29">
        <f>IF(OR(304&gt;$Z$1,NOT(OR('Your debts'!$B$14&lt;&gt;"",N('Your debts'!$C$14)&gt;0))),"",IF('Your debts'!$D$20="Avalanche",'Avalanche workings'!$T$311,'Snowball workings'!$T$311)+IF('Your debts'!$D$20="Avalanche",'Avalanche workings'!$AN$311,'Snowball workings'!$AN$311))</f>
      </c>
      <c r="W309" s="30">
        <f>IF(OR(304&gt;$Z$1,NOT(OR('Your debts'!$B$14&lt;&gt;"",N('Your debts'!$C$14)&gt;0))),"",IF('Your debts'!$D$20="Avalanche",'Avalanche workings'!$AX$311,'Snowball workings'!$AX$311))</f>
      </c>
      <c r="X309" s="29">
        <f>IF(OR(304&gt;$Z$1,NOT(OR('Your debts'!$B$15&lt;&gt;"",N('Your debts'!$C$15)&gt;0))),"",IF('Your debts'!$D$20="Avalanche",'Avalanche workings'!$U$311,'Snowball workings'!$U$311)+IF('Your debts'!$D$20="Avalanche",'Avalanche workings'!$AO$311,'Snowball workings'!$AO$311))</f>
      </c>
      <c r="Y309" s="30">
        <f>IF(OR(304&gt;$Z$1,NOT(OR('Your debts'!$B$15&lt;&gt;"",N('Your debts'!$C$15)&gt;0))),"",IF('Your debts'!$D$20="Avalanche",'Avalanche workings'!$AY$311,'Snowball workings'!$AY$311))</f>
      </c>
    </row>
    <row r="310" spans="1:25" x14ac:dyDescent="0.25">
      <c r="A310" s="2">
        <f>IF(305&gt;$Z$1,"",305)</f>
      </c>
      <c r="B310" s="28">
        <f>IF(305&gt;$Z$1,"",EDATE('Your debts'!$D$21,304))</f>
      </c>
      <c r="C310" s="29">
        <f>IF(305&gt;$Z$1,"",IF('Your debts'!$D$20="Avalanche",'Avalanche workings'!$BC$312,'Snowball workings'!$BC$312))</f>
      </c>
      <c r="D310" s="29">
        <f>IF(305&gt;$Z$1,"",IF('Your debts'!$D$20="Avalanche",'Avalanche workings'!$BA$312,'Snowball workings'!$BA$312))</f>
      </c>
      <c r="E310" s="29">
        <f>IF(305&gt;$Z$1,"",IF('Your debts'!$D$20="Avalanche",'Avalanche workings'!$BB$312,'Snowball workings'!$BB$312))</f>
      </c>
      <c r="F310" s="29">
        <f>IF(OR(305&gt;$Z$1,NOT(OR('Your debts'!$B$6&lt;&gt;"",N('Your debts'!$C$6)&gt;0))),"",IF('Your debts'!$D$20="Avalanche",'Avalanche workings'!$L$312,'Snowball workings'!$L$312)+IF('Your debts'!$D$20="Avalanche",'Avalanche workings'!$AF$312,'Snowball workings'!$AF$312))</f>
      </c>
      <c r="G310" s="30">
        <f>IF(OR(305&gt;$Z$1,NOT(OR('Your debts'!$B$6&lt;&gt;"",N('Your debts'!$C$6)&gt;0))),"",IF('Your debts'!$D$20="Avalanche",'Avalanche workings'!$AP$312,'Snowball workings'!$AP$312))</f>
      </c>
      <c r="H310" s="29">
        <f>IF(OR(305&gt;$Z$1,NOT(OR('Your debts'!$B$7&lt;&gt;"",N('Your debts'!$C$7)&gt;0))),"",IF('Your debts'!$D$20="Avalanche",'Avalanche workings'!$M$312,'Snowball workings'!$M$312)+IF('Your debts'!$D$20="Avalanche",'Avalanche workings'!$AG$312,'Snowball workings'!$AG$312))</f>
      </c>
      <c r="I310" s="30">
        <f>IF(OR(305&gt;$Z$1,NOT(OR('Your debts'!$B$7&lt;&gt;"",N('Your debts'!$C$7)&gt;0))),"",IF('Your debts'!$D$20="Avalanche",'Avalanche workings'!$AQ$312,'Snowball workings'!$AQ$312))</f>
      </c>
      <c r="J310" s="29">
        <f>IF(OR(305&gt;$Z$1,NOT(OR('Your debts'!$B$8&lt;&gt;"",N('Your debts'!$C$8)&gt;0))),"",IF('Your debts'!$D$20="Avalanche",'Avalanche workings'!$N$312,'Snowball workings'!$N$312)+IF('Your debts'!$D$20="Avalanche",'Avalanche workings'!$AH$312,'Snowball workings'!$AH$312))</f>
      </c>
      <c r="K310" s="30">
        <f>IF(OR(305&gt;$Z$1,NOT(OR('Your debts'!$B$8&lt;&gt;"",N('Your debts'!$C$8)&gt;0))),"",IF('Your debts'!$D$20="Avalanche",'Avalanche workings'!$AR$312,'Snowball workings'!$AR$312))</f>
      </c>
      <c r="L310" s="29">
        <f>IF(OR(305&gt;$Z$1,NOT(OR('Your debts'!$B$9&lt;&gt;"",N('Your debts'!$C$9)&gt;0))),"",IF('Your debts'!$D$20="Avalanche",'Avalanche workings'!$O$312,'Snowball workings'!$O$312)+IF('Your debts'!$D$20="Avalanche",'Avalanche workings'!$AI$312,'Snowball workings'!$AI$312))</f>
      </c>
      <c r="M310" s="30">
        <f>IF(OR(305&gt;$Z$1,NOT(OR('Your debts'!$B$9&lt;&gt;"",N('Your debts'!$C$9)&gt;0))),"",IF('Your debts'!$D$20="Avalanche",'Avalanche workings'!$AS$312,'Snowball workings'!$AS$312))</f>
      </c>
      <c r="N310" s="29">
        <f>IF(OR(305&gt;$Z$1,NOT(OR('Your debts'!$B$10&lt;&gt;"",N('Your debts'!$C$10)&gt;0))),"",IF('Your debts'!$D$20="Avalanche",'Avalanche workings'!$P$312,'Snowball workings'!$P$312)+IF('Your debts'!$D$20="Avalanche",'Avalanche workings'!$AJ$312,'Snowball workings'!$AJ$312))</f>
      </c>
      <c r="O310" s="30">
        <f>IF(OR(305&gt;$Z$1,NOT(OR('Your debts'!$B$10&lt;&gt;"",N('Your debts'!$C$10)&gt;0))),"",IF('Your debts'!$D$20="Avalanche",'Avalanche workings'!$AT$312,'Snowball workings'!$AT$312))</f>
      </c>
      <c r="P310" s="29">
        <f>IF(OR(305&gt;$Z$1,NOT(OR('Your debts'!$B$11&lt;&gt;"",N('Your debts'!$C$11)&gt;0))),"",IF('Your debts'!$D$20="Avalanche",'Avalanche workings'!$Q$312,'Snowball workings'!$Q$312)+IF('Your debts'!$D$20="Avalanche",'Avalanche workings'!$AK$312,'Snowball workings'!$AK$312))</f>
      </c>
      <c r="Q310" s="30">
        <f>IF(OR(305&gt;$Z$1,NOT(OR('Your debts'!$B$11&lt;&gt;"",N('Your debts'!$C$11)&gt;0))),"",IF('Your debts'!$D$20="Avalanche",'Avalanche workings'!$AU$312,'Snowball workings'!$AU$312))</f>
      </c>
      <c r="R310" s="29">
        <f>IF(OR(305&gt;$Z$1,NOT(OR('Your debts'!$B$12&lt;&gt;"",N('Your debts'!$C$12)&gt;0))),"",IF('Your debts'!$D$20="Avalanche",'Avalanche workings'!$R$312,'Snowball workings'!$R$312)+IF('Your debts'!$D$20="Avalanche",'Avalanche workings'!$AL$312,'Snowball workings'!$AL$312))</f>
      </c>
      <c r="S310" s="30">
        <f>IF(OR(305&gt;$Z$1,NOT(OR('Your debts'!$B$12&lt;&gt;"",N('Your debts'!$C$12)&gt;0))),"",IF('Your debts'!$D$20="Avalanche",'Avalanche workings'!$AV$312,'Snowball workings'!$AV$312))</f>
      </c>
      <c r="T310" s="29">
        <f>IF(OR(305&gt;$Z$1,NOT(OR('Your debts'!$B$13&lt;&gt;"",N('Your debts'!$C$13)&gt;0))),"",IF('Your debts'!$D$20="Avalanche",'Avalanche workings'!$S$312,'Snowball workings'!$S$312)+IF('Your debts'!$D$20="Avalanche",'Avalanche workings'!$AM$312,'Snowball workings'!$AM$312))</f>
      </c>
      <c r="U310" s="30">
        <f>IF(OR(305&gt;$Z$1,NOT(OR('Your debts'!$B$13&lt;&gt;"",N('Your debts'!$C$13)&gt;0))),"",IF('Your debts'!$D$20="Avalanche",'Avalanche workings'!$AW$312,'Snowball workings'!$AW$312))</f>
      </c>
      <c r="V310" s="29">
        <f>IF(OR(305&gt;$Z$1,NOT(OR('Your debts'!$B$14&lt;&gt;"",N('Your debts'!$C$14)&gt;0))),"",IF('Your debts'!$D$20="Avalanche",'Avalanche workings'!$T$312,'Snowball workings'!$T$312)+IF('Your debts'!$D$20="Avalanche",'Avalanche workings'!$AN$312,'Snowball workings'!$AN$312))</f>
      </c>
      <c r="W310" s="30">
        <f>IF(OR(305&gt;$Z$1,NOT(OR('Your debts'!$B$14&lt;&gt;"",N('Your debts'!$C$14)&gt;0))),"",IF('Your debts'!$D$20="Avalanche",'Avalanche workings'!$AX$312,'Snowball workings'!$AX$312))</f>
      </c>
      <c r="X310" s="29">
        <f>IF(OR(305&gt;$Z$1,NOT(OR('Your debts'!$B$15&lt;&gt;"",N('Your debts'!$C$15)&gt;0))),"",IF('Your debts'!$D$20="Avalanche",'Avalanche workings'!$U$312,'Snowball workings'!$U$312)+IF('Your debts'!$D$20="Avalanche",'Avalanche workings'!$AO$312,'Snowball workings'!$AO$312))</f>
      </c>
      <c r="Y310" s="30">
        <f>IF(OR(305&gt;$Z$1,NOT(OR('Your debts'!$B$15&lt;&gt;"",N('Your debts'!$C$15)&gt;0))),"",IF('Your debts'!$D$20="Avalanche",'Avalanche workings'!$AY$312,'Snowball workings'!$AY$312))</f>
      </c>
    </row>
    <row r="311" spans="1:25" x14ac:dyDescent="0.25">
      <c r="A311" s="2">
        <f>IF(306&gt;$Z$1,"",306)</f>
      </c>
      <c r="B311" s="28">
        <f>IF(306&gt;$Z$1,"",EDATE('Your debts'!$D$21,305))</f>
      </c>
      <c r="C311" s="29">
        <f>IF(306&gt;$Z$1,"",IF('Your debts'!$D$20="Avalanche",'Avalanche workings'!$BC$313,'Snowball workings'!$BC$313))</f>
      </c>
      <c r="D311" s="29">
        <f>IF(306&gt;$Z$1,"",IF('Your debts'!$D$20="Avalanche",'Avalanche workings'!$BA$313,'Snowball workings'!$BA$313))</f>
      </c>
      <c r="E311" s="29">
        <f>IF(306&gt;$Z$1,"",IF('Your debts'!$D$20="Avalanche",'Avalanche workings'!$BB$313,'Snowball workings'!$BB$313))</f>
      </c>
      <c r="F311" s="29">
        <f>IF(OR(306&gt;$Z$1,NOT(OR('Your debts'!$B$6&lt;&gt;"",N('Your debts'!$C$6)&gt;0))),"",IF('Your debts'!$D$20="Avalanche",'Avalanche workings'!$L$313,'Snowball workings'!$L$313)+IF('Your debts'!$D$20="Avalanche",'Avalanche workings'!$AF$313,'Snowball workings'!$AF$313))</f>
      </c>
      <c r="G311" s="30">
        <f>IF(OR(306&gt;$Z$1,NOT(OR('Your debts'!$B$6&lt;&gt;"",N('Your debts'!$C$6)&gt;0))),"",IF('Your debts'!$D$20="Avalanche",'Avalanche workings'!$AP$313,'Snowball workings'!$AP$313))</f>
      </c>
      <c r="H311" s="29">
        <f>IF(OR(306&gt;$Z$1,NOT(OR('Your debts'!$B$7&lt;&gt;"",N('Your debts'!$C$7)&gt;0))),"",IF('Your debts'!$D$20="Avalanche",'Avalanche workings'!$M$313,'Snowball workings'!$M$313)+IF('Your debts'!$D$20="Avalanche",'Avalanche workings'!$AG$313,'Snowball workings'!$AG$313))</f>
      </c>
      <c r="I311" s="30">
        <f>IF(OR(306&gt;$Z$1,NOT(OR('Your debts'!$B$7&lt;&gt;"",N('Your debts'!$C$7)&gt;0))),"",IF('Your debts'!$D$20="Avalanche",'Avalanche workings'!$AQ$313,'Snowball workings'!$AQ$313))</f>
      </c>
      <c r="J311" s="29">
        <f>IF(OR(306&gt;$Z$1,NOT(OR('Your debts'!$B$8&lt;&gt;"",N('Your debts'!$C$8)&gt;0))),"",IF('Your debts'!$D$20="Avalanche",'Avalanche workings'!$N$313,'Snowball workings'!$N$313)+IF('Your debts'!$D$20="Avalanche",'Avalanche workings'!$AH$313,'Snowball workings'!$AH$313))</f>
      </c>
      <c r="K311" s="30">
        <f>IF(OR(306&gt;$Z$1,NOT(OR('Your debts'!$B$8&lt;&gt;"",N('Your debts'!$C$8)&gt;0))),"",IF('Your debts'!$D$20="Avalanche",'Avalanche workings'!$AR$313,'Snowball workings'!$AR$313))</f>
      </c>
      <c r="L311" s="29">
        <f>IF(OR(306&gt;$Z$1,NOT(OR('Your debts'!$B$9&lt;&gt;"",N('Your debts'!$C$9)&gt;0))),"",IF('Your debts'!$D$20="Avalanche",'Avalanche workings'!$O$313,'Snowball workings'!$O$313)+IF('Your debts'!$D$20="Avalanche",'Avalanche workings'!$AI$313,'Snowball workings'!$AI$313))</f>
      </c>
      <c r="M311" s="30">
        <f>IF(OR(306&gt;$Z$1,NOT(OR('Your debts'!$B$9&lt;&gt;"",N('Your debts'!$C$9)&gt;0))),"",IF('Your debts'!$D$20="Avalanche",'Avalanche workings'!$AS$313,'Snowball workings'!$AS$313))</f>
      </c>
      <c r="N311" s="29">
        <f>IF(OR(306&gt;$Z$1,NOT(OR('Your debts'!$B$10&lt;&gt;"",N('Your debts'!$C$10)&gt;0))),"",IF('Your debts'!$D$20="Avalanche",'Avalanche workings'!$P$313,'Snowball workings'!$P$313)+IF('Your debts'!$D$20="Avalanche",'Avalanche workings'!$AJ$313,'Snowball workings'!$AJ$313))</f>
      </c>
      <c r="O311" s="30">
        <f>IF(OR(306&gt;$Z$1,NOT(OR('Your debts'!$B$10&lt;&gt;"",N('Your debts'!$C$10)&gt;0))),"",IF('Your debts'!$D$20="Avalanche",'Avalanche workings'!$AT$313,'Snowball workings'!$AT$313))</f>
      </c>
      <c r="P311" s="29">
        <f>IF(OR(306&gt;$Z$1,NOT(OR('Your debts'!$B$11&lt;&gt;"",N('Your debts'!$C$11)&gt;0))),"",IF('Your debts'!$D$20="Avalanche",'Avalanche workings'!$Q$313,'Snowball workings'!$Q$313)+IF('Your debts'!$D$20="Avalanche",'Avalanche workings'!$AK$313,'Snowball workings'!$AK$313))</f>
      </c>
      <c r="Q311" s="30">
        <f>IF(OR(306&gt;$Z$1,NOT(OR('Your debts'!$B$11&lt;&gt;"",N('Your debts'!$C$11)&gt;0))),"",IF('Your debts'!$D$20="Avalanche",'Avalanche workings'!$AU$313,'Snowball workings'!$AU$313))</f>
      </c>
      <c r="R311" s="29">
        <f>IF(OR(306&gt;$Z$1,NOT(OR('Your debts'!$B$12&lt;&gt;"",N('Your debts'!$C$12)&gt;0))),"",IF('Your debts'!$D$20="Avalanche",'Avalanche workings'!$R$313,'Snowball workings'!$R$313)+IF('Your debts'!$D$20="Avalanche",'Avalanche workings'!$AL$313,'Snowball workings'!$AL$313))</f>
      </c>
      <c r="S311" s="30">
        <f>IF(OR(306&gt;$Z$1,NOT(OR('Your debts'!$B$12&lt;&gt;"",N('Your debts'!$C$12)&gt;0))),"",IF('Your debts'!$D$20="Avalanche",'Avalanche workings'!$AV$313,'Snowball workings'!$AV$313))</f>
      </c>
      <c r="T311" s="29">
        <f>IF(OR(306&gt;$Z$1,NOT(OR('Your debts'!$B$13&lt;&gt;"",N('Your debts'!$C$13)&gt;0))),"",IF('Your debts'!$D$20="Avalanche",'Avalanche workings'!$S$313,'Snowball workings'!$S$313)+IF('Your debts'!$D$20="Avalanche",'Avalanche workings'!$AM$313,'Snowball workings'!$AM$313))</f>
      </c>
      <c r="U311" s="30">
        <f>IF(OR(306&gt;$Z$1,NOT(OR('Your debts'!$B$13&lt;&gt;"",N('Your debts'!$C$13)&gt;0))),"",IF('Your debts'!$D$20="Avalanche",'Avalanche workings'!$AW$313,'Snowball workings'!$AW$313))</f>
      </c>
      <c r="V311" s="29">
        <f>IF(OR(306&gt;$Z$1,NOT(OR('Your debts'!$B$14&lt;&gt;"",N('Your debts'!$C$14)&gt;0))),"",IF('Your debts'!$D$20="Avalanche",'Avalanche workings'!$T$313,'Snowball workings'!$T$313)+IF('Your debts'!$D$20="Avalanche",'Avalanche workings'!$AN$313,'Snowball workings'!$AN$313))</f>
      </c>
      <c r="W311" s="30">
        <f>IF(OR(306&gt;$Z$1,NOT(OR('Your debts'!$B$14&lt;&gt;"",N('Your debts'!$C$14)&gt;0))),"",IF('Your debts'!$D$20="Avalanche",'Avalanche workings'!$AX$313,'Snowball workings'!$AX$313))</f>
      </c>
      <c r="X311" s="29">
        <f>IF(OR(306&gt;$Z$1,NOT(OR('Your debts'!$B$15&lt;&gt;"",N('Your debts'!$C$15)&gt;0))),"",IF('Your debts'!$D$20="Avalanche",'Avalanche workings'!$U$313,'Snowball workings'!$U$313)+IF('Your debts'!$D$20="Avalanche",'Avalanche workings'!$AO$313,'Snowball workings'!$AO$313))</f>
      </c>
      <c r="Y311" s="30">
        <f>IF(OR(306&gt;$Z$1,NOT(OR('Your debts'!$B$15&lt;&gt;"",N('Your debts'!$C$15)&gt;0))),"",IF('Your debts'!$D$20="Avalanche",'Avalanche workings'!$AY$313,'Snowball workings'!$AY$313))</f>
      </c>
    </row>
    <row r="312" spans="1:25" x14ac:dyDescent="0.25">
      <c r="A312" s="2">
        <f>IF(307&gt;$Z$1,"",307)</f>
      </c>
      <c r="B312" s="28">
        <f>IF(307&gt;$Z$1,"",EDATE('Your debts'!$D$21,306))</f>
      </c>
      <c r="C312" s="29">
        <f>IF(307&gt;$Z$1,"",IF('Your debts'!$D$20="Avalanche",'Avalanche workings'!$BC$314,'Snowball workings'!$BC$314))</f>
      </c>
      <c r="D312" s="29">
        <f>IF(307&gt;$Z$1,"",IF('Your debts'!$D$20="Avalanche",'Avalanche workings'!$BA$314,'Snowball workings'!$BA$314))</f>
      </c>
      <c r="E312" s="29">
        <f>IF(307&gt;$Z$1,"",IF('Your debts'!$D$20="Avalanche",'Avalanche workings'!$BB$314,'Snowball workings'!$BB$314))</f>
      </c>
      <c r="F312" s="29">
        <f>IF(OR(307&gt;$Z$1,NOT(OR('Your debts'!$B$6&lt;&gt;"",N('Your debts'!$C$6)&gt;0))),"",IF('Your debts'!$D$20="Avalanche",'Avalanche workings'!$L$314,'Snowball workings'!$L$314)+IF('Your debts'!$D$20="Avalanche",'Avalanche workings'!$AF$314,'Snowball workings'!$AF$314))</f>
      </c>
      <c r="G312" s="30">
        <f>IF(OR(307&gt;$Z$1,NOT(OR('Your debts'!$B$6&lt;&gt;"",N('Your debts'!$C$6)&gt;0))),"",IF('Your debts'!$D$20="Avalanche",'Avalanche workings'!$AP$314,'Snowball workings'!$AP$314))</f>
      </c>
      <c r="H312" s="29">
        <f>IF(OR(307&gt;$Z$1,NOT(OR('Your debts'!$B$7&lt;&gt;"",N('Your debts'!$C$7)&gt;0))),"",IF('Your debts'!$D$20="Avalanche",'Avalanche workings'!$M$314,'Snowball workings'!$M$314)+IF('Your debts'!$D$20="Avalanche",'Avalanche workings'!$AG$314,'Snowball workings'!$AG$314))</f>
      </c>
      <c r="I312" s="30">
        <f>IF(OR(307&gt;$Z$1,NOT(OR('Your debts'!$B$7&lt;&gt;"",N('Your debts'!$C$7)&gt;0))),"",IF('Your debts'!$D$20="Avalanche",'Avalanche workings'!$AQ$314,'Snowball workings'!$AQ$314))</f>
      </c>
      <c r="J312" s="29">
        <f>IF(OR(307&gt;$Z$1,NOT(OR('Your debts'!$B$8&lt;&gt;"",N('Your debts'!$C$8)&gt;0))),"",IF('Your debts'!$D$20="Avalanche",'Avalanche workings'!$N$314,'Snowball workings'!$N$314)+IF('Your debts'!$D$20="Avalanche",'Avalanche workings'!$AH$314,'Snowball workings'!$AH$314))</f>
      </c>
      <c r="K312" s="30">
        <f>IF(OR(307&gt;$Z$1,NOT(OR('Your debts'!$B$8&lt;&gt;"",N('Your debts'!$C$8)&gt;0))),"",IF('Your debts'!$D$20="Avalanche",'Avalanche workings'!$AR$314,'Snowball workings'!$AR$314))</f>
      </c>
      <c r="L312" s="29">
        <f>IF(OR(307&gt;$Z$1,NOT(OR('Your debts'!$B$9&lt;&gt;"",N('Your debts'!$C$9)&gt;0))),"",IF('Your debts'!$D$20="Avalanche",'Avalanche workings'!$O$314,'Snowball workings'!$O$314)+IF('Your debts'!$D$20="Avalanche",'Avalanche workings'!$AI$314,'Snowball workings'!$AI$314))</f>
      </c>
      <c r="M312" s="30">
        <f>IF(OR(307&gt;$Z$1,NOT(OR('Your debts'!$B$9&lt;&gt;"",N('Your debts'!$C$9)&gt;0))),"",IF('Your debts'!$D$20="Avalanche",'Avalanche workings'!$AS$314,'Snowball workings'!$AS$314))</f>
      </c>
      <c r="N312" s="29">
        <f>IF(OR(307&gt;$Z$1,NOT(OR('Your debts'!$B$10&lt;&gt;"",N('Your debts'!$C$10)&gt;0))),"",IF('Your debts'!$D$20="Avalanche",'Avalanche workings'!$P$314,'Snowball workings'!$P$314)+IF('Your debts'!$D$20="Avalanche",'Avalanche workings'!$AJ$314,'Snowball workings'!$AJ$314))</f>
      </c>
      <c r="O312" s="30">
        <f>IF(OR(307&gt;$Z$1,NOT(OR('Your debts'!$B$10&lt;&gt;"",N('Your debts'!$C$10)&gt;0))),"",IF('Your debts'!$D$20="Avalanche",'Avalanche workings'!$AT$314,'Snowball workings'!$AT$314))</f>
      </c>
      <c r="P312" s="29">
        <f>IF(OR(307&gt;$Z$1,NOT(OR('Your debts'!$B$11&lt;&gt;"",N('Your debts'!$C$11)&gt;0))),"",IF('Your debts'!$D$20="Avalanche",'Avalanche workings'!$Q$314,'Snowball workings'!$Q$314)+IF('Your debts'!$D$20="Avalanche",'Avalanche workings'!$AK$314,'Snowball workings'!$AK$314))</f>
      </c>
      <c r="Q312" s="30">
        <f>IF(OR(307&gt;$Z$1,NOT(OR('Your debts'!$B$11&lt;&gt;"",N('Your debts'!$C$11)&gt;0))),"",IF('Your debts'!$D$20="Avalanche",'Avalanche workings'!$AU$314,'Snowball workings'!$AU$314))</f>
      </c>
      <c r="R312" s="29">
        <f>IF(OR(307&gt;$Z$1,NOT(OR('Your debts'!$B$12&lt;&gt;"",N('Your debts'!$C$12)&gt;0))),"",IF('Your debts'!$D$20="Avalanche",'Avalanche workings'!$R$314,'Snowball workings'!$R$314)+IF('Your debts'!$D$20="Avalanche",'Avalanche workings'!$AL$314,'Snowball workings'!$AL$314))</f>
      </c>
      <c r="S312" s="30">
        <f>IF(OR(307&gt;$Z$1,NOT(OR('Your debts'!$B$12&lt;&gt;"",N('Your debts'!$C$12)&gt;0))),"",IF('Your debts'!$D$20="Avalanche",'Avalanche workings'!$AV$314,'Snowball workings'!$AV$314))</f>
      </c>
      <c r="T312" s="29">
        <f>IF(OR(307&gt;$Z$1,NOT(OR('Your debts'!$B$13&lt;&gt;"",N('Your debts'!$C$13)&gt;0))),"",IF('Your debts'!$D$20="Avalanche",'Avalanche workings'!$S$314,'Snowball workings'!$S$314)+IF('Your debts'!$D$20="Avalanche",'Avalanche workings'!$AM$314,'Snowball workings'!$AM$314))</f>
      </c>
      <c r="U312" s="30">
        <f>IF(OR(307&gt;$Z$1,NOT(OR('Your debts'!$B$13&lt;&gt;"",N('Your debts'!$C$13)&gt;0))),"",IF('Your debts'!$D$20="Avalanche",'Avalanche workings'!$AW$314,'Snowball workings'!$AW$314))</f>
      </c>
      <c r="V312" s="29">
        <f>IF(OR(307&gt;$Z$1,NOT(OR('Your debts'!$B$14&lt;&gt;"",N('Your debts'!$C$14)&gt;0))),"",IF('Your debts'!$D$20="Avalanche",'Avalanche workings'!$T$314,'Snowball workings'!$T$314)+IF('Your debts'!$D$20="Avalanche",'Avalanche workings'!$AN$314,'Snowball workings'!$AN$314))</f>
      </c>
      <c r="W312" s="30">
        <f>IF(OR(307&gt;$Z$1,NOT(OR('Your debts'!$B$14&lt;&gt;"",N('Your debts'!$C$14)&gt;0))),"",IF('Your debts'!$D$20="Avalanche",'Avalanche workings'!$AX$314,'Snowball workings'!$AX$314))</f>
      </c>
      <c r="X312" s="29">
        <f>IF(OR(307&gt;$Z$1,NOT(OR('Your debts'!$B$15&lt;&gt;"",N('Your debts'!$C$15)&gt;0))),"",IF('Your debts'!$D$20="Avalanche",'Avalanche workings'!$U$314,'Snowball workings'!$U$314)+IF('Your debts'!$D$20="Avalanche",'Avalanche workings'!$AO$314,'Snowball workings'!$AO$314))</f>
      </c>
      <c r="Y312" s="30">
        <f>IF(OR(307&gt;$Z$1,NOT(OR('Your debts'!$B$15&lt;&gt;"",N('Your debts'!$C$15)&gt;0))),"",IF('Your debts'!$D$20="Avalanche",'Avalanche workings'!$AY$314,'Snowball workings'!$AY$314))</f>
      </c>
    </row>
    <row r="313" spans="1:25" x14ac:dyDescent="0.25">
      <c r="A313" s="2">
        <f>IF(308&gt;$Z$1,"",308)</f>
      </c>
      <c r="B313" s="28">
        <f>IF(308&gt;$Z$1,"",EDATE('Your debts'!$D$21,307))</f>
      </c>
      <c r="C313" s="29">
        <f>IF(308&gt;$Z$1,"",IF('Your debts'!$D$20="Avalanche",'Avalanche workings'!$BC$315,'Snowball workings'!$BC$315))</f>
      </c>
      <c r="D313" s="29">
        <f>IF(308&gt;$Z$1,"",IF('Your debts'!$D$20="Avalanche",'Avalanche workings'!$BA$315,'Snowball workings'!$BA$315))</f>
      </c>
      <c r="E313" s="29">
        <f>IF(308&gt;$Z$1,"",IF('Your debts'!$D$20="Avalanche",'Avalanche workings'!$BB$315,'Snowball workings'!$BB$315))</f>
      </c>
      <c r="F313" s="29">
        <f>IF(OR(308&gt;$Z$1,NOT(OR('Your debts'!$B$6&lt;&gt;"",N('Your debts'!$C$6)&gt;0))),"",IF('Your debts'!$D$20="Avalanche",'Avalanche workings'!$L$315,'Snowball workings'!$L$315)+IF('Your debts'!$D$20="Avalanche",'Avalanche workings'!$AF$315,'Snowball workings'!$AF$315))</f>
      </c>
      <c r="G313" s="30">
        <f>IF(OR(308&gt;$Z$1,NOT(OR('Your debts'!$B$6&lt;&gt;"",N('Your debts'!$C$6)&gt;0))),"",IF('Your debts'!$D$20="Avalanche",'Avalanche workings'!$AP$315,'Snowball workings'!$AP$315))</f>
      </c>
      <c r="H313" s="29">
        <f>IF(OR(308&gt;$Z$1,NOT(OR('Your debts'!$B$7&lt;&gt;"",N('Your debts'!$C$7)&gt;0))),"",IF('Your debts'!$D$20="Avalanche",'Avalanche workings'!$M$315,'Snowball workings'!$M$315)+IF('Your debts'!$D$20="Avalanche",'Avalanche workings'!$AG$315,'Snowball workings'!$AG$315))</f>
      </c>
      <c r="I313" s="30">
        <f>IF(OR(308&gt;$Z$1,NOT(OR('Your debts'!$B$7&lt;&gt;"",N('Your debts'!$C$7)&gt;0))),"",IF('Your debts'!$D$20="Avalanche",'Avalanche workings'!$AQ$315,'Snowball workings'!$AQ$315))</f>
      </c>
      <c r="J313" s="29">
        <f>IF(OR(308&gt;$Z$1,NOT(OR('Your debts'!$B$8&lt;&gt;"",N('Your debts'!$C$8)&gt;0))),"",IF('Your debts'!$D$20="Avalanche",'Avalanche workings'!$N$315,'Snowball workings'!$N$315)+IF('Your debts'!$D$20="Avalanche",'Avalanche workings'!$AH$315,'Snowball workings'!$AH$315))</f>
      </c>
      <c r="K313" s="30">
        <f>IF(OR(308&gt;$Z$1,NOT(OR('Your debts'!$B$8&lt;&gt;"",N('Your debts'!$C$8)&gt;0))),"",IF('Your debts'!$D$20="Avalanche",'Avalanche workings'!$AR$315,'Snowball workings'!$AR$315))</f>
      </c>
      <c r="L313" s="29">
        <f>IF(OR(308&gt;$Z$1,NOT(OR('Your debts'!$B$9&lt;&gt;"",N('Your debts'!$C$9)&gt;0))),"",IF('Your debts'!$D$20="Avalanche",'Avalanche workings'!$O$315,'Snowball workings'!$O$315)+IF('Your debts'!$D$20="Avalanche",'Avalanche workings'!$AI$315,'Snowball workings'!$AI$315))</f>
      </c>
      <c r="M313" s="30">
        <f>IF(OR(308&gt;$Z$1,NOT(OR('Your debts'!$B$9&lt;&gt;"",N('Your debts'!$C$9)&gt;0))),"",IF('Your debts'!$D$20="Avalanche",'Avalanche workings'!$AS$315,'Snowball workings'!$AS$315))</f>
      </c>
      <c r="N313" s="29">
        <f>IF(OR(308&gt;$Z$1,NOT(OR('Your debts'!$B$10&lt;&gt;"",N('Your debts'!$C$10)&gt;0))),"",IF('Your debts'!$D$20="Avalanche",'Avalanche workings'!$P$315,'Snowball workings'!$P$315)+IF('Your debts'!$D$20="Avalanche",'Avalanche workings'!$AJ$315,'Snowball workings'!$AJ$315))</f>
      </c>
      <c r="O313" s="30">
        <f>IF(OR(308&gt;$Z$1,NOT(OR('Your debts'!$B$10&lt;&gt;"",N('Your debts'!$C$10)&gt;0))),"",IF('Your debts'!$D$20="Avalanche",'Avalanche workings'!$AT$315,'Snowball workings'!$AT$315))</f>
      </c>
      <c r="P313" s="29">
        <f>IF(OR(308&gt;$Z$1,NOT(OR('Your debts'!$B$11&lt;&gt;"",N('Your debts'!$C$11)&gt;0))),"",IF('Your debts'!$D$20="Avalanche",'Avalanche workings'!$Q$315,'Snowball workings'!$Q$315)+IF('Your debts'!$D$20="Avalanche",'Avalanche workings'!$AK$315,'Snowball workings'!$AK$315))</f>
      </c>
      <c r="Q313" s="30">
        <f>IF(OR(308&gt;$Z$1,NOT(OR('Your debts'!$B$11&lt;&gt;"",N('Your debts'!$C$11)&gt;0))),"",IF('Your debts'!$D$20="Avalanche",'Avalanche workings'!$AU$315,'Snowball workings'!$AU$315))</f>
      </c>
      <c r="R313" s="29">
        <f>IF(OR(308&gt;$Z$1,NOT(OR('Your debts'!$B$12&lt;&gt;"",N('Your debts'!$C$12)&gt;0))),"",IF('Your debts'!$D$20="Avalanche",'Avalanche workings'!$R$315,'Snowball workings'!$R$315)+IF('Your debts'!$D$20="Avalanche",'Avalanche workings'!$AL$315,'Snowball workings'!$AL$315))</f>
      </c>
      <c r="S313" s="30">
        <f>IF(OR(308&gt;$Z$1,NOT(OR('Your debts'!$B$12&lt;&gt;"",N('Your debts'!$C$12)&gt;0))),"",IF('Your debts'!$D$20="Avalanche",'Avalanche workings'!$AV$315,'Snowball workings'!$AV$315))</f>
      </c>
      <c r="T313" s="29">
        <f>IF(OR(308&gt;$Z$1,NOT(OR('Your debts'!$B$13&lt;&gt;"",N('Your debts'!$C$13)&gt;0))),"",IF('Your debts'!$D$20="Avalanche",'Avalanche workings'!$S$315,'Snowball workings'!$S$315)+IF('Your debts'!$D$20="Avalanche",'Avalanche workings'!$AM$315,'Snowball workings'!$AM$315))</f>
      </c>
      <c r="U313" s="30">
        <f>IF(OR(308&gt;$Z$1,NOT(OR('Your debts'!$B$13&lt;&gt;"",N('Your debts'!$C$13)&gt;0))),"",IF('Your debts'!$D$20="Avalanche",'Avalanche workings'!$AW$315,'Snowball workings'!$AW$315))</f>
      </c>
      <c r="V313" s="29">
        <f>IF(OR(308&gt;$Z$1,NOT(OR('Your debts'!$B$14&lt;&gt;"",N('Your debts'!$C$14)&gt;0))),"",IF('Your debts'!$D$20="Avalanche",'Avalanche workings'!$T$315,'Snowball workings'!$T$315)+IF('Your debts'!$D$20="Avalanche",'Avalanche workings'!$AN$315,'Snowball workings'!$AN$315))</f>
      </c>
      <c r="W313" s="30">
        <f>IF(OR(308&gt;$Z$1,NOT(OR('Your debts'!$B$14&lt;&gt;"",N('Your debts'!$C$14)&gt;0))),"",IF('Your debts'!$D$20="Avalanche",'Avalanche workings'!$AX$315,'Snowball workings'!$AX$315))</f>
      </c>
      <c r="X313" s="29">
        <f>IF(OR(308&gt;$Z$1,NOT(OR('Your debts'!$B$15&lt;&gt;"",N('Your debts'!$C$15)&gt;0))),"",IF('Your debts'!$D$20="Avalanche",'Avalanche workings'!$U$315,'Snowball workings'!$U$315)+IF('Your debts'!$D$20="Avalanche",'Avalanche workings'!$AO$315,'Snowball workings'!$AO$315))</f>
      </c>
      <c r="Y313" s="30">
        <f>IF(OR(308&gt;$Z$1,NOT(OR('Your debts'!$B$15&lt;&gt;"",N('Your debts'!$C$15)&gt;0))),"",IF('Your debts'!$D$20="Avalanche",'Avalanche workings'!$AY$315,'Snowball workings'!$AY$315))</f>
      </c>
    </row>
    <row r="314" spans="1:25" x14ac:dyDescent="0.25">
      <c r="A314" s="2">
        <f>IF(309&gt;$Z$1,"",309)</f>
      </c>
      <c r="B314" s="28">
        <f>IF(309&gt;$Z$1,"",EDATE('Your debts'!$D$21,308))</f>
      </c>
      <c r="C314" s="29">
        <f>IF(309&gt;$Z$1,"",IF('Your debts'!$D$20="Avalanche",'Avalanche workings'!$BC$316,'Snowball workings'!$BC$316))</f>
      </c>
      <c r="D314" s="29">
        <f>IF(309&gt;$Z$1,"",IF('Your debts'!$D$20="Avalanche",'Avalanche workings'!$BA$316,'Snowball workings'!$BA$316))</f>
      </c>
      <c r="E314" s="29">
        <f>IF(309&gt;$Z$1,"",IF('Your debts'!$D$20="Avalanche",'Avalanche workings'!$BB$316,'Snowball workings'!$BB$316))</f>
      </c>
      <c r="F314" s="29">
        <f>IF(OR(309&gt;$Z$1,NOT(OR('Your debts'!$B$6&lt;&gt;"",N('Your debts'!$C$6)&gt;0))),"",IF('Your debts'!$D$20="Avalanche",'Avalanche workings'!$L$316,'Snowball workings'!$L$316)+IF('Your debts'!$D$20="Avalanche",'Avalanche workings'!$AF$316,'Snowball workings'!$AF$316))</f>
      </c>
      <c r="G314" s="30">
        <f>IF(OR(309&gt;$Z$1,NOT(OR('Your debts'!$B$6&lt;&gt;"",N('Your debts'!$C$6)&gt;0))),"",IF('Your debts'!$D$20="Avalanche",'Avalanche workings'!$AP$316,'Snowball workings'!$AP$316))</f>
      </c>
      <c r="H314" s="29">
        <f>IF(OR(309&gt;$Z$1,NOT(OR('Your debts'!$B$7&lt;&gt;"",N('Your debts'!$C$7)&gt;0))),"",IF('Your debts'!$D$20="Avalanche",'Avalanche workings'!$M$316,'Snowball workings'!$M$316)+IF('Your debts'!$D$20="Avalanche",'Avalanche workings'!$AG$316,'Snowball workings'!$AG$316))</f>
      </c>
      <c r="I314" s="30">
        <f>IF(OR(309&gt;$Z$1,NOT(OR('Your debts'!$B$7&lt;&gt;"",N('Your debts'!$C$7)&gt;0))),"",IF('Your debts'!$D$20="Avalanche",'Avalanche workings'!$AQ$316,'Snowball workings'!$AQ$316))</f>
      </c>
      <c r="J314" s="29">
        <f>IF(OR(309&gt;$Z$1,NOT(OR('Your debts'!$B$8&lt;&gt;"",N('Your debts'!$C$8)&gt;0))),"",IF('Your debts'!$D$20="Avalanche",'Avalanche workings'!$N$316,'Snowball workings'!$N$316)+IF('Your debts'!$D$20="Avalanche",'Avalanche workings'!$AH$316,'Snowball workings'!$AH$316))</f>
      </c>
      <c r="K314" s="30">
        <f>IF(OR(309&gt;$Z$1,NOT(OR('Your debts'!$B$8&lt;&gt;"",N('Your debts'!$C$8)&gt;0))),"",IF('Your debts'!$D$20="Avalanche",'Avalanche workings'!$AR$316,'Snowball workings'!$AR$316))</f>
      </c>
      <c r="L314" s="29">
        <f>IF(OR(309&gt;$Z$1,NOT(OR('Your debts'!$B$9&lt;&gt;"",N('Your debts'!$C$9)&gt;0))),"",IF('Your debts'!$D$20="Avalanche",'Avalanche workings'!$O$316,'Snowball workings'!$O$316)+IF('Your debts'!$D$20="Avalanche",'Avalanche workings'!$AI$316,'Snowball workings'!$AI$316))</f>
      </c>
      <c r="M314" s="30">
        <f>IF(OR(309&gt;$Z$1,NOT(OR('Your debts'!$B$9&lt;&gt;"",N('Your debts'!$C$9)&gt;0))),"",IF('Your debts'!$D$20="Avalanche",'Avalanche workings'!$AS$316,'Snowball workings'!$AS$316))</f>
      </c>
      <c r="N314" s="29">
        <f>IF(OR(309&gt;$Z$1,NOT(OR('Your debts'!$B$10&lt;&gt;"",N('Your debts'!$C$10)&gt;0))),"",IF('Your debts'!$D$20="Avalanche",'Avalanche workings'!$P$316,'Snowball workings'!$P$316)+IF('Your debts'!$D$20="Avalanche",'Avalanche workings'!$AJ$316,'Snowball workings'!$AJ$316))</f>
      </c>
      <c r="O314" s="30">
        <f>IF(OR(309&gt;$Z$1,NOT(OR('Your debts'!$B$10&lt;&gt;"",N('Your debts'!$C$10)&gt;0))),"",IF('Your debts'!$D$20="Avalanche",'Avalanche workings'!$AT$316,'Snowball workings'!$AT$316))</f>
      </c>
      <c r="P314" s="29">
        <f>IF(OR(309&gt;$Z$1,NOT(OR('Your debts'!$B$11&lt;&gt;"",N('Your debts'!$C$11)&gt;0))),"",IF('Your debts'!$D$20="Avalanche",'Avalanche workings'!$Q$316,'Snowball workings'!$Q$316)+IF('Your debts'!$D$20="Avalanche",'Avalanche workings'!$AK$316,'Snowball workings'!$AK$316))</f>
      </c>
      <c r="Q314" s="30">
        <f>IF(OR(309&gt;$Z$1,NOT(OR('Your debts'!$B$11&lt;&gt;"",N('Your debts'!$C$11)&gt;0))),"",IF('Your debts'!$D$20="Avalanche",'Avalanche workings'!$AU$316,'Snowball workings'!$AU$316))</f>
      </c>
      <c r="R314" s="29">
        <f>IF(OR(309&gt;$Z$1,NOT(OR('Your debts'!$B$12&lt;&gt;"",N('Your debts'!$C$12)&gt;0))),"",IF('Your debts'!$D$20="Avalanche",'Avalanche workings'!$R$316,'Snowball workings'!$R$316)+IF('Your debts'!$D$20="Avalanche",'Avalanche workings'!$AL$316,'Snowball workings'!$AL$316))</f>
      </c>
      <c r="S314" s="30">
        <f>IF(OR(309&gt;$Z$1,NOT(OR('Your debts'!$B$12&lt;&gt;"",N('Your debts'!$C$12)&gt;0))),"",IF('Your debts'!$D$20="Avalanche",'Avalanche workings'!$AV$316,'Snowball workings'!$AV$316))</f>
      </c>
      <c r="T314" s="29">
        <f>IF(OR(309&gt;$Z$1,NOT(OR('Your debts'!$B$13&lt;&gt;"",N('Your debts'!$C$13)&gt;0))),"",IF('Your debts'!$D$20="Avalanche",'Avalanche workings'!$S$316,'Snowball workings'!$S$316)+IF('Your debts'!$D$20="Avalanche",'Avalanche workings'!$AM$316,'Snowball workings'!$AM$316))</f>
      </c>
      <c r="U314" s="30">
        <f>IF(OR(309&gt;$Z$1,NOT(OR('Your debts'!$B$13&lt;&gt;"",N('Your debts'!$C$13)&gt;0))),"",IF('Your debts'!$D$20="Avalanche",'Avalanche workings'!$AW$316,'Snowball workings'!$AW$316))</f>
      </c>
      <c r="V314" s="29">
        <f>IF(OR(309&gt;$Z$1,NOT(OR('Your debts'!$B$14&lt;&gt;"",N('Your debts'!$C$14)&gt;0))),"",IF('Your debts'!$D$20="Avalanche",'Avalanche workings'!$T$316,'Snowball workings'!$T$316)+IF('Your debts'!$D$20="Avalanche",'Avalanche workings'!$AN$316,'Snowball workings'!$AN$316))</f>
      </c>
      <c r="W314" s="30">
        <f>IF(OR(309&gt;$Z$1,NOT(OR('Your debts'!$B$14&lt;&gt;"",N('Your debts'!$C$14)&gt;0))),"",IF('Your debts'!$D$20="Avalanche",'Avalanche workings'!$AX$316,'Snowball workings'!$AX$316))</f>
      </c>
      <c r="X314" s="29">
        <f>IF(OR(309&gt;$Z$1,NOT(OR('Your debts'!$B$15&lt;&gt;"",N('Your debts'!$C$15)&gt;0))),"",IF('Your debts'!$D$20="Avalanche",'Avalanche workings'!$U$316,'Snowball workings'!$U$316)+IF('Your debts'!$D$20="Avalanche",'Avalanche workings'!$AO$316,'Snowball workings'!$AO$316))</f>
      </c>
      <c r="Y314" s="30">
        <f>IF(OR(309&gt;$Z$1,NOT(OR('Your debts'!$B$15&lt;&gt;"",N('Your debts'!$C$15)&gt;0))),"",IF('Your debts'!$D$20="Avalanche",'Avalanche workings'!$AY$316,'Snowball workings'!$AY$316))</f>
      </c>
    </row>
    <row r="315" spans="1:25" x14ac:dyDescent="0.25">
      <c r="A315" s="2">
        <f>IF(310&gt;$Z$1,"",310)</f>
      </c>
      <c r="B315" s="28">
        <f>IF(310&gt;$Z$1,"",EDATE('Your debts'!$D$21,309))</f>
      </c>
      <c r="C315" s="29">
        <f>IF(310&gt;$Z$1,"",IF('Your debts'!$D$20="Avalanche",'Avalanche workings'!$BC$317,'Snowball workings'!$BC$317))</f>
      </c>
      <c r="D315" s="29">
        <f>IF(310&gt;$Z$1,"",IF('Your debts'!$D$20="Avalanche",'Avalanche workings'!$BA$317,'Snowball workings'!$BA$317))</f>
      </c>
      <c r="E315" s="29">
        <f>IF(310&gt;$Z$1,"",IF('Your debts'!$D$20="Avalanche",'Avalanche workings'!$BB$317,'Snowball workings'!$BB$317))</f>
      </c>
      <c r="F315" s="29">
        <f>IF(OR(310&gt;$Z$1,NOT(OR('Your debts'!$B$6&lt;&gt;"",N('Your debts'!$C$6)&gt;0))),"",IF('Your debts'!$D$20="Avalanche",'Avalanche workings'!$L$317,'Snowball workings'!$L$317)+IF('Your debts'!$D$20="Avalanche",'Avalanche workings'!$AF$317,'Snowball workings'!$AF$317))</f>
      </c>
      <c r="G315" s="30">
        <f>IF(OR(310&gt;$Z$1,NOT(OR('Your debts'!$B$6&lt;&gt;"",N('Your debts'!$C$6)&gt;0))),"",IF('Your debts'!$D$20="Avalanche",'Avalanche workings'!$AP$317,'Snowball workings'!$AP$317))</f>
      </c>
      <c r="H315" s="29">
        <f>IF(OR(310&gt;$Z$1,NOT(OR('Your debts'!$B$7&lt;&gt;"",N('Your debts'!$C$7)&gt;0))),"",IF('Your debts'!$D$20="Avalanche",'Avalanche workings'!$M$317,'Snowball workings'!$M$317)+IF('Your debts'!$D$20="Avalanche",'Avalanche workings'!$AG$317,'Snowball workings'!$AG$317))</f>
      </c>
      <c r="I315" s="30">
        <f>IF(OR(310&gt;$Z$1,NOT(OR('Your debts'!$B$7&lt;&gt;"",N('Your debts'!$C$7)&gt;0))),"",IF('Your debts'!$D$20="Avalanche",'Avalanche workings'!$AQ$317,'Snowball workings'!$AQ$317))</f>
      </c>
      <c r="J315" s="29">
        <f>IF(OR(310&gt;$Z$1,NOT(OR('Your debts'!$B$8&lt;&gt;"",N('Your debts'!$C$8)&gt;0))),"",IF('Your debts'!$D$20="Avalanche",'Avalanche workings'!$N$317,'Snowball workings'!$N$317)+IF('Your debts'!$D$20="Avalanche",'Avalanche workings'!$AH$317,'Snowball workings'!$AH$317))</f>
      </c>
      <c r="K315" s="30">
        <f>IF(OR(310&gt;$Z$1,NOT(OR('Your debts'!$B$8&lt;&gt;"",N('Your debts'!$C$8)&gt;0))),"",IF('Your debts'!$D$20="Avalanche",'Avalanche workings'!$AR$317,'Snowball workings'!$AR$317))</f>
      </c>
      <c r="L315" s="29">
        <f>IF(OR(310&gt;$Z$1,NOT(OR('Your debts'!$B$9&lt;&gt;"",N('Your debts'!$C$9)&gt;0))),"",IF('Your debts'!$D$20="Avalanche",'Avalanche workings'!$O$317,'Snowball workings'!$O$317)+IF('Your debts'!$D$20="Avalanche",'Avalanche workings'!$AI$317,'Snowball workings'!$AI$317))</f>
      </c>
      <c r="M315" s="30">
        <f>IF(OR(310&gt;$Z$1,NOT(OR('Your debts'!$B$9&lt;&gt;"",N('Your debts'!$C$9)&gt;0))),"",IF('Your debts'!$D$20="Avalanche",'Avalanche workings'!$AS$317,'Snowball workings'!$AS$317))</f>
      </c>
      <c r="N315" s="29">
        <f>IF(OR(310&gt;$Z$1,NOT(OR('Your debts'!$B$10&lt;&gt;"",N('Your debts'!$C$10)&gt;0))),"",IF('Your debts'!$D$20="Avalanche",'Avalanche workings'!$P$317,'Snowball workings'!$P$317)+IF('Your debts'!$D$20="Avalanche",'Avalanche workings'!$AJ$317,'Snowball workings'!$AJ$317))</f>
      </c>
      <c r="O315" s="30">
        <f>IF(OR(310&gt;$Z$1,NOT(OR('Your debts'!$B$10&lt;&gt;"",N('Your debts'!$C$10)&gt;0))),"",IF('Your debts'!$D$20="Avalanche",'Avalanche workings'!$AT$317,'Snowball workings'!$AT$317))</f>
      </c>
      <c r="P315" s="29">
        <f>IF(OR(310&gt;$Z$1,NOT(OR('Your debts'!$B$11&lt;&gt;"",N('Your debts'!$C$11)&gt;0))),"",IF('Your debts'!$D$20="Avalanche",'Avalanche workings'!$Q$317,'Snowball workings'!$Q$317)+IF('Your debts'!$D$20="Avalanche",'Avalanche workings'!$AK$317,'Snowball workings'!$AK$317))</f>
      </c>
      <c r="Q315" s="30">
        <f>IF(OR(310&gt;$Z$1,NOT(OR('Your debts'!$B$11&lt;&gt;"",N('Your debts'!$C$11)&gt;0))),"",IF('Your debts'!$D$20="Avalanche",'Avalanche workings'!$AU$317,'Snowball workings'!$AU$317))</f>
      </c>
      <c r="R315" s="29">
        <f>IF(OR(310&gt;$Z$1,NOT(OR('Your debts'!$B$12&lt;&gt;"",N('Your debts'!$C$12)&gt;0))),"",IF('Your debts'!$D$20="Avalanche",'Avalanche workings'!$R$317,'Snowball workings'!$R$317)+IF('Your debts'!$D$20="Avalanche",'Avalanche workings'!$AL$317,'Snowball workings'!$AL$317))</f>
      </c>
      <c r="S315" s="30">
        <f>IF(OR(310&gt;$Z$1,NOT(OR('Your debts'!$B$12&lt;&gt;"",N('Your debts'!$C$12)&gt;0))),"",IF('Your debts'!$D$20="Avalanche",'Avalanche workings'!$AV$317,'Snowball workings'!$AV$317))</f>
      </c>
      <c r="T315" s="29">
        <f>IF(OR(310&gt;$Z$1,NOT(OR('Your debts'!$B$13&lt;&gt;"",N('Your debts'!$C$13)&gt;0))),"",IF('Your debts'!$D$20="Avalanche",'Avalanche workings'!$S$317,'Snowball workings'!$S$317)+IF('Your debts'!$D$20="Avalanche",'Avalanche workings'!$AM$317,'Snowball workings'!$AM$317))</f>
      </c>
      <c r="U315" s="30">
        <f>IF(OR(310&gt;$Z$1,NOT(OR('Your debts'!$B$13&lt;&gt;"",N('Your debts'!$C$13)&gt;0))),"",IF('Your debts'!$D$20="Avalanche",'Avalanche workings'!$AW$317,'Snowball workings'!$AW$317))</f>
      </c>
      <c r="V315" s="29">
        <f>IF(OR(310&gt;$Z$1,NOT(OR('Your debts'!$B$14&lt;&gt;"",N('Your debts'!$C$14)&gt;0))),"",IF('Your debts'!$D$20="Avalanche",'Avalanche workings'!$T$317,'Snowball workings'!$T$317)+IF('Your debts'!$D$20="Avalanche",'Avalanche workings'!$AN$317,'Snowball workings'!$AN$317))</f>
      </c>
      <c r="W315" s="30">
        <f>IF(OR(310&gt;$Z$1,NOT(OR('Your debts'!$B$14&lt;&gt;"",N('Your debts'!$C$14)&gt;0))),"",IF('Your debts'!$D$20="Avalanche",'Avalanche workings'!$AX$317,'Snowball workings'!$AX$317))</f>
      </c>
      <c r="X315" s="29">
        <f>IF(OR(310&gt;$Z$1,NOT(OR('Your debts'!$B$15&lt;&gt;"",N('Your debts'!$C$15)&gt;0))),"",IF('Your debts'!$D$20="Avalanche",'Avalanche workings'!$U$317,'Snowball workings'!$U$317)+IF('Your debts'!$D$20="Avalanche",'Avalanche workings'!$AO$317,'Snowball workings'!$AO$317))</f>
      </c>
      <c r="Y315" s="30">
        <f>IF(OR(310&gt;$Z$1,NOT(OR('Your debts'!$B$15&lt;&gt;"",N('Your debts'!$C$15)&gt;0))),"",IF('Your debts'!$D$20="Avalanche",'Avalanche workings'!$AY$317,'Snowball workings'!$AY$317))</f>
      </c>
    </row>
    <row r="316" spans="1:25" x14ac:dyDescent="0.25">
      <c r="A316" s="2">
        <f>IF(311&gt;$Z$1,"",311)</f>
      </c>
      <c r="B316" s="28">
        <f>IF(311&gt;$Z$1,"",EDATE('Your debts'!$D$21,310))</f>
      </c>
      <c r="C316" s="29">
        <f>IF(311&gt;$Z$1,"",IF('Your debts'!$D$20="Avalanche",'Avalanche workings'!$BC$318,'Snowball workings'!$BC$318))</f>
      </c>
      <c r="D316" s="29">
        <f>IF(311&gt;$Z$1,"",IF('Your debts'!$D$20="Avalanche",'Avalanche workings'!$BA$318,'Snowball workings'!$BA$318))</f>
      </c>
      <c r="E316" s="29">
        <f>IF(311&gt;$Z$1,"",IF('Your debts'!$D$20="Avalanche",'Avalanche workings'!$BB$318,'Snowball workings'!$BB$318))</f>
      </c>
      <c r="F316" s="29">
        <f>IF(OR(311&gt;$Z$1,NOT(OR('Your debts'!$B$6&lt;&gt;"",N('Your debts'!$C$6)&gt;0))),"",IF('Your debts'!$D$20="Avalanche",'Avalanche workings'!$L$318,'Snowball workings'!$L$318)+IF('Your debts'!$D$20="Avalanche",'Avalanche workings'!$AF$318,'Snowball workings'!$AF$318))</f>
      </c>
      <c r="G316" s="30">
        <f>IF(OR(311&gt;$Z$1,NOT(OR('Your debts'!$B$6&lt;&gt;"",N('Your debts'!$C$6)&gt;0))),"",IF('Your debts'!$D$20="Avalanche",'Avalanche workings'!$AP$318,'Snowball workings'!$AP$318))</f>
      </c>
      <c r="H316" s="29">
        <f>IF(OR(311&gt;$Z$1,NOT(OR('Your debts'!$B$7&lt;&gt;"",N('Your debts'!$C$7)&gt;0))),"",IF('Your debts'!$D$20="Avalanche",'Avalanche workings'!$M$318,'Snowball workings'!$M$318)+IF('Your debts'!$D$20="Avalanche",'Avalanche workings'!$AG$318,'Snowball workings'!$AG$318))</f>
      </c>
      <c r="I316" s="30">
        <f>IF(OR(311&gt;$Z$1,NOT(OR('Your debts'!$B$7&lt;&gt;"",N('Your debts'!$C$7)&gt;0))),"",IF('Your debts'!$D$20="Avalanche",'Avalanche workings'!$AQ$318,'Snowball workings'!$AQ$318))</f>
      </c>
      <c r="J316" s="29">
        <f>IF(OR(311&gt;$Z$1,NOT(OR('Your debts'!$B$8&lt;&gt;"",N('Your debts'!$C$8)&gt;0))),"",IF('Your debts'!$D$20="Avalanche",'Avalanche workings'!$N$318,'Snowball workings'!$N$318)+IF('Your debts'!$D$20="Avalanche",'Avalanche workings'!$AH$318,'Snowball workings'!$AH$318))</f>
      </c>
      <c r="K316" s="30">
        <f>IF(OR(311&gt;$Z$1,NOT(OR('Your debts'!$B$8&lt;&gt;"",N('Your debts'!$C$8)&gt;0))),"",IF('Your debts'!$D$20="Avalanche",'Avalanche workings'!$AR$318,'Snowball workings'!$AR$318))</f>
      </c>
      <c r="L316" s="29">
        <f>IF(OR(311&gt;$Z$1,NOT(OR('Your debts'!$B$9&lt;&gt;"",N('Your debts'!$C$9)&gt;0))),"",IF('Your debts'!$D$20="Avalanche",'Avalanche workings'!$O$318,'Snowball workings'!$O$318)+IF('Your debts'!$D$20="Avalanche",'Avalanche workings'!$AI$318,'Snowball workings'!$AI$318))</f>
      </c>
      <c r="M316" s="30">
        <f>IF(OR(311&gt;$Z$1,NOT(OR('Your debts'!$B$9&lt;&gt;"",N('Your debts'!$C$9)&gt;0))),"",IF('Your debts'!$D$20="Avalanche",'Avalanche workings'!$AS$318,'Snowball workings'!$AS$318))</f>
      </c>
      <c r="N316" s="29">
        <f>IF(OR(311&gt;$Z$1,NOT(OR('Your debts'!$B$10&lt;&gt;"",N('Your debts'!$C$10)&gt;0))),"",IF('Your debts'!$D$20="Avalanche",'Avalanche workings'!$P$318,'Snowball workings'!$P$318)+IF('Your debts'!$D$20="Avalanche",'Avalanche workings'!$AJ$318,'Snowball workings'!$AJ$318))</f>
      </c>
      <c r="O316" s="30">
        <f>IF(OR(311&gt;$Z$1,NOT(OR('Your debts'!$B$10&lt;&gt;"",N('Your debts'!$C$10)&gt;0))),"",IF('Your debts'!$D$20="Avalanche",'Avalanche workings'!$AT$318,'Snowball workings'!$AT$318))</f>
      </c>
      <c r="P316" s="29">
        <f>IF(OR(311&gt;$Z$1,NOT(OR('Your debts'!$B$11&lt;&gt;"",N('Your debts'!$C$11)&gt;0))),"",IF('Your debts'!$D$20="Avalanche",'Avalanche workings'!$Q$318,'Snowball workings'!$Q$318)+IF('Your debts'!$D$20="Avalanche",'Avalanche workings'!$AK$318,'Snowball workings'!$AK$318))</f>
      </c>
      <c r="Q316" s="30">
        <f>IF(OR(311&gt;$Z$1,NOT(OR('Your debts'!$B$11&lt;&gt;"",N('Your debts'!$C$11)&gt;0))),"",IF('Your debts'!$D$20="Avalanche",'Avalanche workings'!$AU$318,'Snowball workings'!$AU$318))</f>
      </c>
      <c r="R316" s="29">
        <f>IF(OR(311&gt;$Z$1,NOT(OR('Your debts'!$B$12&lt;&gt;"",N('Your debts'!$C$12)&gt;0))),"",IF('Your debts'!$D$20="Avalanche",'Avalanche workings'!$R$318,'Snowball workings'!$R$318)+IF('Your debts'!$D$20="Avalanche",'Avalanche workings'!$AL$318,'Snowball workings'!$AL$318))</f>
      </c>
      <c r="S316" s="30">
        <f>IF(OR(311&gt;$Z$1,NOT(OR('Your debts'!$B$12&lt;&gt;"",N('Your debts'!$C$12)&gt;0))),"",IF('Your debts'!$D$20="Avalanche",'Avalanche workings'!$AV$318,'Snowball workings'!$AV$318))</f>
      </c>
      <c r="T316" s="29">
        <f>IF(OR(311&gt;$Z$1,NOT(OR('Your debts'!$B$13&lt;&gt;"",N('Your debts'!$C$13)&gt;0))),"",IF('Your debts'!$D$20="Avalanche",'Avalanche workings'!$S$318,'Snowball workings'!$S$318)+IF('Your debts'!$D$20="Avalanche",'Avalanche workings'!$AM$318,'Snowball workings'!$AM$318))</f>
      </c>
      <c r="U316" s="30">
        <f>IF(OR(311&gt;$Z$1,NOT(OR('Your debts'!$B$13&lt;&gt;"",N('Your debts'!$C$13)&gt;0))),"",IF('Your debts'!$D$20="Avalanche",'Avalanche workings'!$AW$318,'Snowball workings'!$AW$318))</f>
      </c>
      <c r="V316" s="29">
        <f>IF(OR(311&gt;$Z$1,NOT(OR('Your debts'!$B$14&lt;&gt;"",N('Your debts'!$C$14)&gt;0))),"",IF('Your debts'!$D$20="Avalanche",'Avalanche workings'!$T$318,'Snowball workings'!$T$318)+IF('Your debts'!$D$20="Avalanche",'Avalanche workings'!$AN$318,'Snowball workings'!$AN$318))</f>
      </c>
      <c r="W316" s="30">
        <f>IF(OR(311&gt;$Z$1,NOT(OR('Your debts'!$B$14&lt;&gt;"",N('Your debts'!$C$14)&gt;0))),"",IF('Your debts'!$D$20="Avalanche",'Avalanche workings'!$AX$318,'Snowball workings'!$AX$318))</f>
      </c>
      <c r="X316" s="29">
        <f>IF(OR(311&gt;$Z$1,NOT(OR('Your debts'!$B$15&lt;&gt;"",N('Your debts'!$C$15)&gt;0))),"",IF('Your debts'!$D$20="Avalanche",'Avalanche workings'!$U$318,'Snowball workings'!$U$318)+IF('Your debts'!$D$20="Avalanche",'Avalanche workings'!$AO$318,'Snowball workings'!$AO$318))</f>
      </c>
      <c r="Y316" s="30">
        <f>IF(OR(311&gt;$Z$1,NOT(OR('Your debts'!$B$15&lt;&gt;"",N('Your debts'!$C$15)&gt;0))),"",IF('Your debts'!$D$20="Avalanche",'Avalanche workings'!$AY$318,'Snowball workings'!$AY$318))</f>
      </c>
    </row>
    <row r="317" spans="1:25" x14ac:dyDescent="0.25">
      <c r="A317" s="2">
        <f>IF(312&gt;$Z$1,"",312)</f>
      </c>
      <c r="B317" s="28">
        <f>IF(312&gt;$Z$1,"",EDATE('Your debts'!$D$21,311))</f>
      </c>
      <c r="C317" s="29">
        <f>IF(312&gt;$Z$1,"",IF('Your debts'!$D$20="Avalanche",'Avalanche workings'!$BC$319,'Snowball workings'!$BC$319))</f>
      </c>
      <c r="D317" s="29">
        <f>IF(312&gt;$Z$1,"",IF('Your debts'!$D$20="Avalanche",'Avalanche workings'!$BA$319,'Snowball workings'!$BA$319))</f>
      </c>
      <c r="E317" s="29">
        <f>IF(312&gt;$Z$1,"",IF('Your debts'!$D$20="Avalanche",'Avalanche workings'!$BB$319,'Snowball workings'!$BB$319))</f>
      </c>
      <c r="F317" s="29">
        <f>IF(OR(312&gt;$Z$1,NOT(OR('Your debts'!$B$6&lt;&gt;"",N('Your debts'!$C$6)&gt;0))),"",IF('Your debts'!$D$20="Avalanche",'Avalanche workings'!$L$319,'Snowball workings'!$L$319)+IF('Your debts'!$D$20="Avalanche",'Avalanche workings'!$AF$319,'Snowball workings'!$AF$319))</f>
      </c>
      <c r="G317" s="30">
        <f>IF(OR(312&gt;$Z$1,NOT(OR('Your debts'!$B$6&lt;&gt;"",N('Your debts'!$C$6)&gt;0))),"",IF('Your debts'!$D$20="Avalanche",'Avalanche workings'!$AP$319,'Snowball workings'!$AP$319))</f>
      </c>
      <c r="H317" s="29">
        <f>IF(OR(312&gt;$Z$1,NOT(OR('Your debts'!$B$7&lt;&gt;"",N('Your debts'!$C$7)&gt;0))),"",IF('Your debts'!$D$20="Avalanche",'Avalanche workings'!$M$319,'Snowball workings'!$M$319)+IF('Your debts'!$D$20="Avalanche",'Avalanche workings'!$AG$319,'Snowball workings'!$AG$319))</f>
      </c>
      <c r="I317" s="30">
        <f>IF(OR(312&gt;$Z$1,NOT(OR('Your debts'!$B$7&lt;&gt;"",N('Your debts'!$C$7)&gt;0))),"",IF('Your debts'!$D$20="Avalanche",'Avalanche workings'!$AQ$319,'Snowball workings'!$AQ$319))</f>
      </c>
      <c r="J317" s="29">
        <f>IF(OR(312&gt;$Z$1,NOT(OR('Your debts'!$B$8&lt;&gt;"",N('Your debts'!$C$8)&gt;0))),"",IF('Your debts'!$D$20="Avalanche",'Avalanche workings'!$N$319,'Snowball workings'!$N$319)+IF('Your debts'!$D$20="Avalanche",'Avalanche workings'!$AH$319,'Snowball workings'!$AH$319))</f>
      </c>
      <c r="K317" s="30">
        <f>IF(OR(312&gt;$Z$1,NOT(OR('Your debts'!$B$8&lt;&gt;"",N('Your debts'!$C$8)&gt;0))),"",IF('Your debts'!$D$20="Avalanche",'Avalanche workings'!$AR$319,'Snowball workings'!$AR$319))</f>
      </c>
      <c r="L317" s="29">
        <f>IF(OR(312&gt;$Z$1,NOT(OR('Your debts'!$B$9&lt;&gt;"",N('Your debts'!$C$9)&gt;0))),"",IF('Your debts'!$D$20="Avalanche",'Avalanche workings'!$O$319,'Snowball workings'!$O$319)+IF('Your debts'!$D$20="Avalanche",'Avalanche workings'!$AI$319,'Snowball workings'!$AI$319))</f>
      </c>
      <c r="M317" s="30">
        <f>IF(OR(312&gt;$Z$1,NOT(OR('Your debts'!$B$9&lt;&gt;"",N('Your debts'!$C$9)&gt;0))),"",IF('Your debts'!$D$20="Avalanche",'Avalanche workings'!$AS$319,'Snowball workings'!$AS$319))</f>
      </c>
      <c r="N317" s="29">
        <f>IF(OR(312&gt;$Z$1,NOT(OR('Your debts'!$B$10&lt;&gt;"",N('Your debts'!$C$10)&gt;0))),"",IF('Your debts'!$D$20="Avalanche",'Avalanche workings'!$P$319,'Snowball workings'!$P$319)+IF('Your debts'!$D$20="Avalanche",'Avalanche workings'!$AJ$319,'Snowball workings'!$AJ$319))</f>
      </c>
      <c r="O317" s="30">
        <f>IF(OR(312&gt;$Z$1,NOT(OR('Your debts'!$B$10&lt;&gt;"",N('Your debts'!$C$10)&gt;0))),"",IF('Your debts'!$D$20="Avalanche",'Avalanche workings'!$AT$319,'Snowball workings'!$AT$319))</f>
      </c>
      <c r="P317" s="29">
        <f>IF(OR(312&gt;$Z$1,NOT(OR('Your debts'!$B$11&lt;&gt;"",N('Your debts'!$C$11)&gt;0))),"",IF('Your debts'!$D$20="Avalanche",'Avalanche workings'!$Q$319,'Snowball workings'!$Q$319)+IF('Your debts'!$D$20="Avalanche",'Avalanche workings'!$AK$319,'Snowball workings'!$AK$319))</f>
      </c>
      <c r="Q317" s="30">
        <f>IF(OR(312&gt;$Z$1,NOT(OR('Your debts'!$B$11&lt;&gt;"",N('Your debts'!$C$11)&gt;0))),"",IF('Your debts'!$D$20="Avalanche",'Avalanche workings'!$AU$319,'Snowball workings'!$AU$319))</f>
      </c>
      <c r="R317" s="29">
        <f>IF(OR(312&gt;$Z$1,NOT(OR('Your debts'!$B$12&lt;&gt;"",N('Your debts'!$C$12)&gt;0))),"",IF('Your debts'!$D$20="Avalanche",'Avalanche workings'!$R$319,'Snowball workings'!$R$319)+IF('Your debts'!$D$20="Avalanche",'Avalanche workings'!$AL$319,'Snowball workings'!$AL$319))</f>
      </c>
      <c r="S317" s="30">
        <f>IF(OR(312&gt;$Z$1,NOT(OR('Your debts'!$B$12&lt;&gt;"",N('Your debts'!$C$12)&gt;0))),"",IF('Your debts'!$D$20="Avalanche",'Avalanche workings'!$AV$319,'Snowball workings'!$AV$319))</f>
      </c>
      <c r="T317" s="29">
        <f>IF(OR(312&gt;$Z$1,NOT(OR('Your debts'!$B$13&lt;&gt;"",N('Your debts'!$C$13)&gt;0))),"",IF('Your debts'!$D$20="Avalanche",'Avalanche workings'!$S$319,'Snowball workings'!$S$319)+IF('Your debts'!$D$20="Avalanche",'Avalanche workings'!$AM$319,'Snowball workings'!$AM$319))</f>
      </c>
      <c r="U317" s="30">
        <f>IF(OR(312&gt;$Z$1,NOT(OR('Your debts'!$B$13&lt;&gt;"",N('Your debts'!$C$13)&gt;0))),"",IF('Your debts'!$D$20="Avalanche",'Avalanche workings'!$AW$319,'Snowball workings'!$AW$319))</f>
      </c>
      <c r="V317" s="29">
        <f>IF(OR(312&gt;$Z$1,NOT(OR('Your debts'!$B$14&lt;&gt;"",N('Your debts'!$C$14)&gt;0))),"",IF('Your debts'!$D$20="Avalanche",'Avalanche workings'!$T$319,'Snowball workings'!$T$319)+IF('Your debts'!$D$20="Avalanche",'Avalanche workings'!$AN$319,'Snowball workings'!$AN$319))</f>
      </c>
      <c r="W317" s="30">
        <f>IF(OR(312&gt;$Z$1,NOT(OR('Your debts'!$B$14&lt;&gt;"",N('Your debts'!$C$14)&gt;0))),"",IF('Your debts'!$D$20="Avalanche",'Avalanche workings'!$AX$319,'Snowball workings'!$AX$319))</f>
      </c>
      <c r="X317" s="29">
        <f>IF(OR(312&gt;$Z$1,NOT(OR('Your debts'!$B$15&lt;&gt;"",N('Your debts'!$C$15)&gt;0))),"",IF('Your debts'!$D$20="Avalanche",'Avalanche workings'!$U$319,'Snowball workings'!$U$319)+IF('Your debts'!$D$20="Avalanche",'Avalanche workings'!$AO$319,'Snowball workings'!$AO$319))</f>
      </c>
      <c r="Y317" s="30">
        <f>IF(OR(312&gt;$Z$1,NOT(OR('Your debts'!$B$15&lt;&gt;"",N('Your debts'!$C$15)&gt;0))),"",IF('Your debts'!$D$20="Avalanche",'Avalanche workings'!$AY$319,'Snowball workings'!$AY$319))</f>
      </c>
    </row>
    <row r="318" spans="1:25" x14ac:dyDescent="0.25">
      <c r="A318" s="2">
        <f>IF(313&gt;$Z$1,"",313)</f>
      </c>
      <c r="B318" s="28">
        <f>IF(313&gt;$Z$1,"",EDATE('Your debts'!$D$21,312))</f>
      </c>
      <c r="C318" s="29">
        <f>IF(313&gt;$Z$1,"",IF('Your debts'!$D$20="Avalanche",'Avalanche workings'!$BC$320,'Snowball workings'!$BC$320))</f>
      </c>
      <c r="D318" s="29">
        <f>IF(313&gt;$Z$1,"",IF('Your debts'!$D$20="Avalanche",'Avalanche workings'!$BA$320,'Snowball workings'!$BA$320))</f>
      </c>
      <c r="E318" s="29">
        <f>IF(313&gt;$Z$1,"",IF('Your debts'!$D$20="Avalanche",'Avalanche workings'!$BB$320,'Snowball workings'!$BB$320))</f>
      </c>
      <c r="F318" s="29">
        <f>IF(OR(313&gt;$Z$1,NOT(OR('Your debts'!$B$6&lt;&gt;"",N('Your debts'!$C$6)&gt;0))),"",IF('Your debts'!$D$20="Avalanche",'Avalanche workings'!$L$320,'Snowball workings'!$L$320)+IF('Your debts'!$D$20="Avalanche",'Avalanche workings'!$AF$320,'Snowball workings'!$AF$320))</f>
      </c>
      <c r="G318" s="30">
        <f>IF(OR(313&gt;$Z$1,NOT(OR('Your debts'!$B$6&lt;&gt;"",N('Your debts'!$C$6)&gt;0))),"",IF('Your debts'!$D$20="Avalanche",'Avalanche workings'!$AP$320,'Snowball workings'!$AP$320))</f>
      </c>
      <c r="H318" s="29">
        <f>IF(OR(313&gt;$Z$1,NOT(OR('Your debts'!$B$7&lt;&gt;"",N('Your debts'!$C$7)&gt;0))),"",IF('Your debts'!$D$20="Avalanche",'Avalanche workings'!$M$320,'Snowball workings'!$M$320)+IF('Your debts'!$D$20="Avalanche",'Avalanche workings'!$AG$320,'Snowball workings'!$AG$320))</f>
      </c>
      <c r="I318" s="30">
        <f>IF(OR(313&gt;$Z$1,NOT(OR('Your debts'!$B$7&lt;&gt;"",N('Your debts'!$C$7)&gt;0))),"",IF('Your debts'!$D$20="Avalanche",'Avalanche workings'!$AQ$320,'Snowball workings'!$AQ$320))</f>
      </c>
      <c r="J318" s="29">
        <f>IF(OR(313&gt;$Z$1,NOT(OR('Your debts'!$B$8&lt;&gt;"",N('Your debts'!$C$8)&gt;0))),"",IF('Your debts'!$D$20="Avalanche",'Avalanche workings'!$N$320,'Snowball workings'!$N$320)+IF('Your debts'!$D$20="Avalanche",'Avalanche workings'!$AH$320,'Snowball workings'!$AH$320))</f>
      </c>
      <c r="K318" s="30">
        <f>IF(OR(313&gt;$Z$1,NOT(OR('Your debts'!$B$8&lt;&gt;"",N('Your debts'!$C$8)&gt;0))),"",IF('Your debts'!$D$20="Avalanche",'Avalanche workings'!$AR$320,'Snowball workings'!$AR$320))</f>
      </c>
      <c r="L318" s="29">
        <f>IF(OR(313&gt;$Z$1,NOT(OR('Your debts'!$B$9&lt;&gt;"",N('Your debts'!$C$9)&gt;0))),"",IF('Your debts'!$D$20="Avalanche",'Avalanche workings'!$O$320,'Snowball workings'!$O$320)+IF('Your debts'!$D$20="Avalanche",'Avalanche workings'!$AI$320,'Snowball workings'!$AI$320))</f>
      </c>
      <c r="M318" s="30">
        <f>IF(OR(313&gt;$Z$1,NOT(OR('Your debts'!$B$9&lt;&gt;"",N('Your debts'!$C$9)&gt;0))),"",IF('Your debts'!$D$20="Avalanche",'Avalanche workings'!$AS$320,'Snowball workings'!$AS$320))</f>
      </c>
      <c r="N318" s="29">
        <f>IF(OR(313&gt;$Z$1,NOT(OR('Your debts'!$B$10&lt;&gt;"",N('Your debts'!$C$10)&gt;0))),"",IF('Your debts'!$D$20="Avalanche",'Avalanche workings'!$P$320,'Snowball workings'!$P$320)+IF('Your debts'!$D$20="Avalanche",'Avalanche workings'!$AJ$320,'Snowball workings'!$AJ$320))</f>
      </c>
      <c r="O318" s="30">
        <f>IF(OR(313&gt;$Z$1,NOT(OR('Your debts'!$B$10&lt;&gt;"",N('Your debts'!$C$10)&gt;0))),"",IF('Your debts'!$D$20="Avalanche",'Avalanche workings'!$AT$320,'Snowball workings'!$AT$320))</f>
      </c>
      <c r="P318" s="29">
        <f>IF(OR(313&gt;$Z$1,NOT(OR('Your debts'!$B$11&lt;&gt;"",N('Your debts'!$C$11)&gt;0))),"",IF('Your debts'!$D$20="Avalanche",'Avalanche workings'!$Q$320,'Snowball workings'!$Q$320)+IF('Your debts'!$D$20="Avalanche",'Avalanche workings'!$AK$320,'Snowball workings'!$AK$320))</f>
      </c>
      <c r="Q318" s="30">
        <f>IF(OR(313&gt;$Z$1,NOT(OR('Your debts'!$B$11&lt;&gt;"",N('Your debts'!$C$11)&gt;0))),"",IF('Your debts'!$D$20="Avalanche",'Avalanche workings'!$AU$320,'Snowball workings'!$AU$320))</f>
      </c>
      <c r="R318" s="29">
        <f>IF(OR(313&gt;$Z$1,NOT(OR('Your debts'!$B$12&lt;&gt;"",N('Your debts'!$C$12)&gt;0))),"",IF('Your debts'!$D$20="Avalanche",'Avalanche workings'!$R$320,'Snowball workings'!$R$320)+IF('Your debts'!$D$20="Avalanche",'Avalanche workings'!$AL$320,'Snowball workings'!$AL$320))</f>
      </c>
      <c r="S318" s="30">
        <f>IF(OR(313&gt;$Z$1,NOT(OR('Your debts'!$B$12&lt;&gt;"",N('Your debts'!$C$12)&gt;0))),"",IF('Your debts'!$D$20="Avalanche",'Avalanche workings'!$AV$320,'Snowball workings'!$AV$320))</f>
      </c>
      <c r="T318" s="29">
        <f>IF(OR(313&gt;$Z$1,NOT(OR('Your debts'!$B$13&lt;&gt;"",N('Your debts'!$C$13)&gt;0))),"",IF('Your debts'!$D$20="Avalanche",'Avalanche workings'!$S$320,'Snowball workings'!$S$320)+IF('Your debts'!$D$20="Avalanche",'Avalanche workings'!$AM$320,'Snowball workings'!$AM$320))</f>
      </c>
      <c r="U318" s="30">
        <f>IF(OR(313&gt;$Z$1,NOT(OR('Your debts'!$B$13&lt;&gt;"",N('Your debts'!$C$13)&gt;0))),"",IF('Your debts'!$D$20="Avalanche",'Avalanche workings'!$AW$320,'Snowball workings'!$AW$320))</f>
      </c>
      <c r="V318" s="29">
        <f>IF(OR(313&gt;$Z$1,NOT(OR('Your debts'!$B$14&lt;&gt;"",N('Your debts'!$C$14)&gt;0))),"",IF('Your debts'!$D$20="Avalanche",'Avalanche workings'!$T$320,'Snowball workings'!$T$320)+IF('Your debts'!$D$20="Avalanche",'Avalanche workings'!$AN$320,'Snowball workings'!$AN$320))</f>
      </c>
      <c r="W318" s="30">
        <f>IF(OR(313&gt;$Z$1,NOT(OR('Your debts'!$B$14&lt;&gt;"",N('Your debts'!$C$14)&gt;0))),"",IF('Your debts'!$D$20="Avalanche",'Avalanche workings'!$AX$320,'Snowball workings'!$AX$320))</f>
      </c>
      <c r="X318" s="29">
        <f>IF(OR(313&gt;$Z$1,NOT(OR('Your debts'!$B$15&lt;&gt;"",N('Your debts'!$C$15)&gt;0))),"",IF('Your debts'!$D$20="Avalanche",'Avalanche workings'!$U$320,'Snowball workings'!$U$320)+IF('Your debts'!$D$20="Avalanche",'Avalanche workings'!$AO$320,'Snowball workings'!$AO$320))</f>
      </c>
      <c r="Y318" s="30">
        <f>IF(OR(313&gt;$Z$1,NOT(OR('Your debts'!$B$15&lt;&gt;"",N('Your debts'!$C$15)&gt;0))),"",IF('Your debts'!$D$20="Avalanche",'Avalanche workings'!$AY$320,'Snowball workings'!$AY$320))</f>
      </c>
    </row>
    <row r="319" spans="1:25" x14ac:dyDescent="0.25">
      <c r="A319" s="2">
        <f>IF(314&gt;$Z$1,"",314)</f>
      </c>
      <c r="B319" s="28">
        <f>IF(314&gt;$Z$1,"",EDATE('Your debts'!$D$21,313))</f>
      </c>
      <c r="C319" s="29">
        <f>IF(314&gt;$Z$1,"",IF('Your debts'!$D$20="Avalanche",'Avalanche workings'!$BC$321,'Snowball workings'!$BC$321))</f>
      </c>
      <c r="D319" s="29">
        <f>IF(314&gt;$Z$1,"",IF('Your debts'!$D$20="Avalanche",'Avalanche workings'!$BA$321,'Snowball workings'!$BA$321))</f>
      </c>
      <c r="E319" s="29">
        <f>IF(314&gt;$Z$1,"",IF('Your debts'!$D$20="Avalanche",'Avalanche workings'!$BB$321,'Snowball workings'!$BB$321))</f>
      </c>
      <c r="F319" s="29">
        <f>IF(OR(314&gt;$Z$1,NOT(OR('Your debts'!$B$6&lt;&gt;"",N('Your debts'!$C$6)&gt;0))),"",IF('Your debts'!$D$20="Avalanche",'Avalanche workings'!$L$321,'Snowball workings'!$L$321)+IF('Your debts'!$D$20="Avalanche",'Avalanche workings'!$AF$321,'Snowball workings'!$AF$321))</f>
      </c>
      <c r="G319" s="30">
        <f>IF(OR(314&gt;$Z$1,NOT(OR('Your debts'!$B$6&lt;&gt;"",N('Your debts'!$C$6)&gt;0))),"",IF('Your debts'!$D$20="Avalanche",'Avalanche workings'!$AP$321,'Snowball workings'!$AP$321))</f>
      </c>
      <c r="H319" s="29">
        <f>IF(OR(314&gt;$Z$1,NOT(OR('Your debts'!$B$7&lt;&gt;"",N('Your debts'!$C$7)&gt;0))),"",IF('Your debts'!$D$20="Avalanche",'Avalanche workings'!$M$321,'Snowball workings'!$M$321)+IF('Your debts'!$D$20="Avalanche",'Avalanche workings'!$AG$321,'Snowball workings'!$AG$321))</f>
      </c>
      <c r="I319" s="30">
        <f>IF(OR(314&gt;$Z$1,NOT(OR('Your debts'!$B$7&lt;&gt;"",N('Your debts'!$C$7)&gt;0))),"",IF('Your debts'!$D$20="Avalanche",'Avalanche workings'!$AQ$321,'Snowball workings'!$AQ$321))</f>
      </c>
      <c r="J319" s="29">
        <f>IF(OR(314&gt;$Z$1,NOT(OR('Your debts'!$B$8&lt;&gt;"",N('Your debts'!$C$8)&gt;0))),"",IF('Your debts'!$D$20="Avalanche",'Avalanche workings'!$N$321,'Snowball workings'!$N$321)+IF('Your debts'!$D$20="Avalanche",'Avalanche workings'!$AH$321,'Snowball workings'!$AH$321))</f>
      </c>
      <c r="K319" s="30">
        <f>IF(OR(314&gt;$Z$1,NOT(OR('Your debts'!$B$8&lt;&gt;"",N('Your debts'!$C$8)&gt;0))),"",IF('Your debts'!$D$20="Avalanche",'Avalanche workings'!$AR$321,'Snowball workings'!$AR$321))</f>
      </c>
      <c r="L319" s="29">
        <f>IF(OR(314&gt;$Z$1,NOT(OR('Your debts'!$B$9&lt;&gt;"",N('Your debts'!$C$9)&gt;0))),"",IF('Your debts'!$D$20="Avalanche",'Avalanche workings'!$O$321,'Snowball workings'!$O$321)+IF('Your debts'!$D$20="Avalanche",'Avalanche workings'!$AI$321,'Snowball workings'!$AI$321))</f>
      </c>
      <c r="M319" s="30">
        <f>IF(OR(314&gt;$Z$1,NOT(OR('Your debts'!$B$9&lt;&gt;"",N('Your debts'!$C$9)&gt;0))),"",IF('Your debts'!$D$20="Avalanche",'Avalanche workings'!$AS$321,'Snowball workings'!$AS$321))</f>
      </c>
      <c r="N319" s="29">
        <f>IF(OR(314&gt;$Z$1,NOT(OR('Your debts'!$B$10&lt;&gt;"",N('Your debts'!$C$10)&gt;0))),"",IF('Your debts'!$D$20="Avalanche",'Avalanche workings'!$P$321,'Snowball workings'!$P$321)+IF('Your debts'!$D$20="Avalanche",'Avalanche workings'!$AJ$321,'Snowball workings'!$AJ$321))</f>
      </c>
      <c r="O319" s="30">
        <f>IF(OR(314&gt;$Z$1,NOT(OR('Your debts'!$B$10&lt;&gt;"",N('Your debts'!$C$10)&gt;0))),"",IF('Your debts'!$D$20="Avalanche",'Avalanche workings'!$AT$321,'Snowball workings'!$AT$321))</f>
      </c>
      <c r="P319" s="29">
        <f>IF(OR(314&gt;$Z$1,NOT(OR('Your debts'!$B$11&lt;&gt;"",N('Your debts'!$C$11)&gt;0))),"",IF('Your debts'!$D$20="Avalanche",'Avalanche workings'!$Q$321,'Snowball workings'!$Q$321)+IF('Your debts'!$D$20="Avalanche",'Avalanche workings'!$AK$321,'Snowball workings'!$AK$321))</f>
      </c>
      <c r="Q319" s="30">
        <f>IF(OR(314&gt;$Z$1,NOT(OR('Your debts'!$B$11&lt;&gt;"",N('Your debts'!$C$11)&gt;0))),"",IF('Your debts'!$D$20="Avalanche",'Avalanche workings'!$AU$321,'Snowball workings'!$AU$321))</f>
      </c>
      <c r="R319" s="29">
        <f>IF(OR(314&gt;$Z$1,NOT(OR('Your debts'!$B$12&lt;&gt;"",N('Your debts'!$C$12)&gt;0))),"",IF('Your debts'!$D$20="Avalanche",'Avalanche workings'!$R$321,'Snowball workings'!$R$321)+IF('Your debts'!$D$20="Avalanche",'Avalanche workings'!$AL$321,'Snowball workings'!$AL$321))</f>
      </c>
      <c r="S319" s="30">
        <f>IF(OR(314&gt;$Z$1,NOT(OR('Your debts'!$B$12&lt;&gt;"",N('Your debts'!$C$12)&gt;0))),"",IF('Your debts'!$D$20="Avalanche",'Avalanche workings'!$AV$321,'Snowball workings'!$AV$321))</f>
      </c>
      <c r="T319" s="29">
        <f>IF(OR(314&gt;$Z$1,NOT(OR('Your debts'!$B$13&lt;&gt;"",N('Your debts'!$C$13)&gt;0))),"",IF('Your debts'!$D$20="Avalanche",'Avalanche workings'!$S$321,'Snowball workings'!$S$321)+IF('Your debts'!$D$20="Avalanche",'Avalanche workings'!$AM$321,'Snowball workings'!$AM$321))</f>
      </c>
      <c r="U319" s="30">
        <f>IF(OR(314&gt;$Z$1,NOT(OR('Your debts'!$B$13&lt;&gt;"",N('Your debts'!$C$13)&gt;0))),"",IF('Your debts'!$D$20="Avalanche",'Avalanche workings'!$AW$321,'Snowball workings'!$AW$321))</f>
      </c>
      <c r="V319" s="29">
        <f>IF(OR(314&gt;$Z$1,NOT(OR('Your debts'!$B$14&lt;&gt;"",N('Your debts'!$C$14)&gt;0))),"",IF('Your debts'!$D$20="Avalanche",'Avalanche workings'!$T$321,'Snowball workings'!$T$321)+IF('Your debts'!$D$20="Avalanche",'Avalanche workings'!$AN$321,'Snowball workings'!$AN$321))</f>
      </c>
      <c r="W319" s="30">
        <f>IF(OR(314&gt;$Z$1,NOT(OR('Your debts'!$B$14&lt;&gt;"",N('Your debts'!$C$14)&gt;0))),"",IF('Your debts'!$D$20="Avalanche",'Avalanche workings'!$AX$321,'Snowball workings'!$AX$321))</f>
      </c>
      <c r="X319" s="29">
        <f>IF(OR(314&gt;$Z$1,NOT(OR('Your debts'!$B$15&lt;&gt;"",N('Your debts'!$C$15)&gt;0))),"",IF('Your debts'!$D$20="Avalanche",'Avalanche workings'!$U$321,'Snowball workings'!$U$321)+IF('Your debts'!$D$20="Avalanche",'Avalanche workings'!$AO$321,'Snowball workings'!$AO$321))</f>
      </c>
      <c r="Y319" s="30">
        <f>IF(OR(314&gt;$Z$1,NOT(OR('Your debts'!$B$15&lt;&gt;"",N('Your debts'!$C$15)&gt;0))),"",IF('Your debts'!$D$20="Avalanche",'Avalanche workings'!$AY$321,'Snowball workings'!$AY$321))</f>
      </c>
    </row>
    <row r="320" spans="1:25" x14ac:dyDescent="0.25">
      <c r="A320" s="2">
        <f>IF(315&gt;$Z$1,"",315)</f>
      </c>
      <c r="B320" s="28">
        <f>IF(315&gt;$Z$1,"",EDATE('Your debts'!$D$21,314))</f>
      </c>
      <c r="C320" s="29">
        <f>IF(315&gt;$Z$1,"",IF('Your debts'!$D$20="Avalanche",'Avalanche workings'!$BC$322,'Snowball workings'!$BC$322))</f>
      </c>
      <c r="D320" s="29">
        <f>IF(315&gt;$Z$1,"",IF('Your debts'!$D$20="Avalanche",'Avalanche workings'!$BA$322,'Snowball workings'!$BA$322))</f>
      </c>
      <c r="E320" s="29">
        <f>IF(315&gt;$Z$1,"",IF('Your debts'!$D$20="Avalanche",'Avalanche workings'!$BB$322,'Snowball workings'!$BB$322))</f>
      </c>
      <c r="F320" s="29">
        <f>IF(OR(315&gt;$Z$1,NOT(OR('Your debts'!$B$6&lt;&gt;"",N('Your debts'!$C$6)&gt;0))),"",IF('Your debts'!$D$20="Avalanche",'Avalanche workings'!$L$322,'Snowball workings'!$L$322)+IF('Your debts'!$D$20="Avalanche",'Avalanche workings'!$AF$322,'Snowball workings'!$AF$322))</f>
      </c>
      <c r="G320" s="30">
        <f>IF(OR(315&gt;$Z$1,NOT(OR('Your debts'!$B$6&lt;&gt;"",N('Your debts'!$C$6)&gt;0))),"",IF('Your debts'!$D$20="Avalanche",'Avalanche workings'!$AP$322,'Snowball workings'!$AP$322))</f>
      </c>
      <c r="H320" s="29">
        <f>IF(OR(315&gt;$Z$1,NOT(OR('Your debts'!$B$7&lt;&gt;"",N('Your debts'!$C$7)&gt;0))),"",IF('Your debts'!$D$20="Avalanche",'Avalanche workings'!$M$322,'Snowball workings'!$M$322)+IF('Your debts'!$D$20="Avalanche",'Avalanche workings'!$AG$322,'Snowball workings'!$AG$322))</f>
      </c>
      <c r="I320" s="30">
        <f>IF(OR(315&gt;$Z$1,NOT(OR('Your debts'!$B$7&lt;&gt;"",N('Your debts'!$C$7)&gt;0))),"",IF('Your debts'!$D$20="Avalanche",'Avalanche workings'!$AQ$322,'Snowball workings'!$AQ$322))</f>
      </c>
      <c r="J320" s="29">
        <f>IF(OR(315&gt;$Z$1,NOT(OR('Your debts'!$B$8&lt;&gt;"",N('Your debts'!$C$8)&gt;0))),"",IF('Your debts'!$D$20="Avalanche",'Avalanche workings'!$N$322,'Snowball workings'!$N$322)+IF('Your debts'!$D$20="Avalanche",'Avalanche workings'!$AH$322,'Snowball workings'!$AH$322))</f>
      </c>
      <c r="K320" s="30">
        <f>IF(OR(315&gt;$Z$1,NOT(OR('Your debts'!$B$8&lt;&gt;"",N('Your debts'!$C$8)&gt;0))),"",IF('Your debts'!$D$20="Avalanche",'Avalanche workings'!$AR$322,'Snowball workings'!$AR$322))</f>
      </c>
      <c r="L320" s="29">
        <f>IF(OR(315&gt;$Z$1,NOT(OR('Your debts'!$B$9&lt;&gt;"",N('Your debts'!$C$9)&gt;0))),"",IF('Your debts'!$D$20="Avalanche",'Avalanche workings'!$O$322,'Snowball workings'!$O$322)+IF('Your debts'!$D$20="Avalanche",'Avalanche workings'!$AI$322,'Snowball workings'!$AI$322))</f>
      </c>
      <c r="M320" s="30">
        <f>IF(OR(315&gt;$Z$1,NOT(OR('Your debts'!$B$9&lt;&gt;"",N('Your debts'!$C$9)&gt;0))),"",IF('Your debts'!$D$20="Avalanche",'Avalanche workings'!$AS$322,'Snowball workings'!$AS$322))</f>
      </c>
      <c r="N320" s="29">
        <f>IF(OR(315&gt;$Z$1,NOT(OR('Your debts'!$B$10&lt;&gt;"",N('Your debts'!$C$10)&gt;0))),"",IF('Your debts'!$D$20="Avalanche",'Avalanche workings'!$P$322,'Snowball workings'!$P$322)+IF('Your debts'!$D$20="Avalanche",'Avalanche workings'!$AJ$322,'Snowball workings'!$AJ$322))</f>
      </c>
      <c r="O320" s="30">
        <f>IF(OR(315&gt;$Z$1,NOT(OR('Your debts'!$B$10&lt;&gt;"",N('Your debts'!$C$10)&gt;0))),"",IF('Your debts'!$D$20="Avalanche",'Avalanche workings'!$AT$322,'Snowball workings'!$AT$322))</f>
      </c>
      <c r="P320" s="29">
        <f>IF(OR(315&gt;$Z$1,NOT(OR('Your debts'!$B$11&lt;&gt;"",N('Your debts'!$C$11)&gt;0))),"",IF('Your debts'!$D$20="Avalanche",'Avalanche workings'!$Q$322,'Snowball workings'!$Q$322)+IF('Your debts'!$D$20="Avalanche",'Avalanche workings'!$AK$322,'Snowball workings'!$AK$322))</f>
      </c>
      <c r="Q320" s="30">
        <f>IF(OR(315&gt;$Z$1,NOT(OR('Your debts'!$B$11&lt;&gt;"",N('Your debts'!$C$11)&gt;0))),"",IF('Your debts'!$D$20="Avalanche",'Avalanche workings'!$AU$322,'Snowball workings'!$AU$322))</f>
      </c>
      <c r="R320" s="29">
        <f>IF(OR(315&gt;$Z$1,NOT(OR('Your debts'!$B$12&lt;&gt;"",N('Your debts'!$C$12)&gt;0))),"",IF('Your debts'!$D$20="Avalanche",'Avalanche workings'!$R$322,'Snowball workings'!$R$322)+IF('Your debts'!$D$20="Avalanche",'Avalanche workings'!$AL$322,'Snowball workings'!$AL$322))</f>
      </c>
      <c r="S320" s="30">
        <f>IF(OR(315&gt;$Z$1,NOT(OR('Your debts'!$B$12&lt;&gt;"",N('Your debts'!$C$12)&gt;0))),"",IF('Your debts'!$D$20="Avalanche",'Avalanche workings'!$AV$322,'Snowball workings'!$AV$322))</f>
      </c>
      <c r="T320" s="29">
        <f>IF(OR(315&gt;$Z$1,NOT(OR('Your debts'!$B$13&lt;&gt;"",N('Your debts'!$C$13)&gt;0))),"",IF('Your debts'!$D$20="Avalanche",'Avalanche workings'!$S$322,'Snowball workings'!$S$322)+IF('Your debts'!$D$20="Avalanche",'Avalanche workings'!$AM$322,'Snowball workings'!$AM$322))</f>
      </c>
      <c r="U320" s="30">
        <f>IF(OR(315&gt;$Z$1,NOT(OR('Your debts'!$B$13&lt;&gt;"",N('Your debts'!$C$13)&gt;0))),"",IF('Your debts'!$D$20="Avalanche",'Avalanche workings'!$AW$322,'Snowball workings'!$AW$322))</f>
      </c>
      <c r="V320" s="29">
        <f>IF(OR(315&gt;$Z$1,NOT(OR('Your debts'!$B$14&lt;&gt;"",N('Your debts'!$C$14)&gt;0))),"",IF('Your debts'!$D$20="Avalanche",'Avalanche workings'!$T$322,'Snowball workings'!$T$322)+IF('Your debts'!$D$20="Avalanche",'Avalanche workings'!$AN$322,'Snowball workings'!$AN$322))</f>
      </c>
      <c r="W320" s="30">
        <f>IF(OR(315&gt;$Z$1,NOT(OR('Your debts'!$B$14&lt;&gt;"",N('Your debts'!$C$14)&gt;0))),"",IF('Your debts'!$D$20="Avalanche",'Avalanche workings'!$AX$322,'Snowball workings'!$AX$322))</f>
      </c>
      <c r="X320" s="29">
        <f>IF(OR(315&gt;$Z$1,NOT(OR('Your debts'!$B$15&lt;&gt;"",N('Your debts'!$C$15)&gt;0))),"",IF('Your debts'!$D$20="Avalanche",'Avalanche workings'!$U$322,'Snowball workings'!$U$322)+IF('Your debts'!$D$20="Avalanche",'Avalanche workings'!$AO$322,'Snowball workings'!$AO$322))</f>
      </c>
      <c r="Y320" s="30">
        <f>IF(OR(315&gt;$Z$1,NOT(OR('Your debts'!$B$15&lt;&gt;"",N('Your debts'!$C$15)&gt;0))),"",IF('Your debts'!$D$20="Avalanche",'Avalanche workings'!$AY$322,'Snowball workings'!$AY$322))</f>
      </c>
    </row>
    <row r="321" spans="1:25" x14ac:dyDescent="0.25">
      <c r="A321" s="2">
        <f>IF(316&gt;$Z$1,"",316)</f>
      </c>
      <c r="B321" s="28">
        <f>IF(316&gt;$Z$1,"",EDATE('Your debts'!$D$21,315))</f>
      </c>
      <c r="C321" s="29">
        <f>IF(316&gt;$Z$1,"",IF('Your debts'!$D$20="Avalanche",'Avalanche workings'!$BC$323,'Snowball workings'!$BC$323))</f>
      </c>
      <c r="D321" s="29">
        <f>IF(316&gt;$Z$1,"",IF('Your debts'!$D$20="Avalanche",'Avalanche workings'!$BA$323,'Snowball workings'!$BA$323))</f>
      </c>
      <c r="E321" s="29">
        <f>IF(316&gt;$Z$1,"",IF('Your debts'!$D$20="Avalanche",'Avalanche workings'!$BB$323,'Snowball workings'!$BB$323))</f>
      </c>
      <c r="F321" s="29">
        <f>IF(OR(316&gt;$Z$1,NOT(OR('Your debts'!$B$6&lt;&gt;"",N('Your debts'!$C$6)&gt;0))),"",IF('Your debts'!$D$20="Avalanche",'Avalanche workings'!$L$323,'Snowball workings'!$L$323)+IF('Your debts'!$D$20="Avalanche",'Avalanche workings'!$AF$323,'Snowball workings'!$AF$323))</f>
      </c>
      <c r="G321" s="30">
        <f>IF(OR(316&gt;$Z$1,NOT(OR('Your debts'!$B$6&lt;&gt;"",N('Your debts'!$C$6)&gt;0))),"",IF('Your debts'!$D$20="Avalanche",'Avalanche workings'!$AP$323,'Snowball workings'!$AP$323))</f>
      </c>
      <c r="H321" s="29">
        <f>IF(OR(316&gt;$Z$1,NOT(OR('Your debts'!$B$7&lt;&gt;"",N('Your debts'!$C$7)&gt;0))),"",IF('Your debts'!$D$20="Avalanche",'Avalanche workings'!$M$323,'Snowball workings'!$M$323)+IF('Your debts'!$D$20="Avalanche",'Avalanche workings'!$AG$323,'Snowball workings'!$AG$323))</f>
      </c>
      <c r="I321" s="30">
        <f>IF(OR(316&gt;$Z$1,NOT(OR('Your debts'!$B$7&lt;&gt;"",N('Your debts'!$C$7)&gt;0))),"",IF('Your debts'!$D$20="Avalanche",'Avalanche workings'!$AQ$323,'Snowball workings'!$AQ$323))</f>
      </c>
      <c r="J321" s="29">
        <f>IF(OR(316&gt;$Z$1,NOT(OR('Your debts'!$B$8&lt;&gt;"",N('Your debts'!$C$8)&gt;0))),"",IF('Your debts'!$D$20="Avalanche",'Avalanche workings'!$N$323,'Snowball workings'!$N$323)+IF('Your debts'!$D$20="Avalanche",'Avalanche workings'!$AH$323,'Snowball workings'!$AH$323))</f>
      </c>
      <c r="K321" s="30">
        <f>IF(OR(316&gt;$Z$1,NOT(OR('Your debts'!$B$8&lt;&gt;"",N('Your debts'!$C$8)&gt;0))),"",IF('Your debts'!$D$20="Avalanche",'Avalanche workings'!$AR$323,'Snowball workings'!$AR$323))</f>
      </c>
      <c r="L321" s="29">
        <f>IF(OR(316&gt;$Z$1,NOT(OR('Your debts'!$B$9&lt;&gt;"",N('Your debts'!$C$9)&gt;0))),"",IF('Your debts'!$D$20="Avalanche",'Avalanche workings'!$O$323,'Snowball workings'!$O$323)+IF('Your debts'!$D$20="Avalanche",'Avalanche workings'!$AI$323,'Snowball workings'!$AI$323))</f>
      </c>
      <c r="M321" s="30">
        <f>IF(OR(316&gt;$Z$1,NOT(OR('Your debts'!$B$9&lt;&gt;"",N('Your debts'!$C$9)&gt;0))),"",IF('Your debts'!$D$20="Avalanche",'Avalanche workings'!$AS$323,'Snowball workings'!$AS$323))</f>
      </c>
      <c r="N321" s="29">
        <f>IF(OR(316&gt;$Z$1,NOT(OR('Your debts'!$B$10&lt;&gt;"",N('Your debts'!$C$10)&gt;0))),"",IF('Your debts'!$D$20="Avalanche",'Avalanche workings'!$P$323,'Snowball workings'!$P$323)+IF('Your debts'!$D$20="Avalanche",'Avalanche workings'!$AJ$323,'Snowball workings'!$AJ$323))</f>
      </c>
      <c r="O321" s="30">
        <f>IF(OR(316&gt;$Z$1,NOT(OR('Your debts'!$B$10&lt;&gt;"",N('Your debts'!$C$10)&gt;0))),"",IF('Your debts'!$D$20="Avalanche",'Avalanche workings'!$AT$323,'Snowball workings'!$AT$323))</f>
      </c>
      <c r="P321" s="29">
        <f>IF(OR(316&gt;$Z$1,NOT(OR('Your debts'!$B$11&lt;&gt;"",N('Your debts'!$C$11)&gt;0))),"",IF('Your debts'!$D$20="Avalanche",'Avalanche workings'!$Q$323,'Snowball workings'!$Q$323)+IF('Your debts'!$D$20="Avalanche",'Avalanche workings'!$AK$323,'Snowball workings'!$AK$323))</f>
      </c>
      <c r="Q321" s="30">
        <f>IF(OR(316&gt;$Z$1,NOT(OR('Your debts'!$B$11&lt;&gt;"",N('Your debts'!$C$11)&gt;0))),"",IF('Your debts'!$D$20="Avalanche",'Avalanche workings'!$AU$323,'Snowball workings'!$AU$323))</f>
      </c>
      <c r="R321" s="29">
        <f>IF(OR(316&gt;$Z$1,NOT(OR('Your debts'!$B$12&lt;&gt;"",N('Your debts'!$C$12)&gt;0))),"",IF('Your debts'!$D$20="Avalanche",'Avalanche workings'!$R$323,'Snowball workings'!$R$323)+IF('Your debts'!$D$20="Avalanche",'Avalanche workings'!$AL$323,'Snowball workings'!$AL$323))</f>
      </c>
      <c r="S321" s="30">
        <f>IF(OR(316&gt;$Z$1,NOT(OR('Your debts'!$B$12&lt;&gt;"",N('Your debts'!$C$12)&gt;0))),"",IF('Your debts'!$D$20="Avalanche",'Avalanche workings'!$AV$323,'Snowball workings'!$AV$323))</f>
      </c>
      <c r="T321" s="29">
        <f>IF(OR(316&gt;$Z$1,NOT(OR('Your debts'!$B$13&lt;&gt;"",N('Your debts'!$C$13)&gt;0))),"",IF('Your debts'!$D$20="Avalanche",'Avalanche workings'!$S$323,'Snowball workings'!$S$323)+IF('Your debts'!$D$20="Avalanche",'Avalanche workings'!$AM$323,'Snowball workings'!$AM$323))</f>
      </c>
      <c r="U321" s="30">
        <f>IF(OR(316&gt;$Z$1,NOT(OR('Your debts'!$B$13&lt;&gt;"",N('Your debts'!$C$13)&gt;0))),"",IF('Your debts'!$D$20="Avalanche",'Avalanche workings'!$AW$323,'Snowball workings'!$AW$323))</f>
      </c>
      <c r="V321" s="29">
        <f>IF(OR(316&gt;$Z$1,NOT(OR('Your debts'!$B$14&lt;&gt;"",N('Your debts'!$C$14)&gt;0))),"",IF('Your debts'!$D$20="Avalanche",'Avalanche workings'!$T$323,'Snowball workings'!$T$323)+IF('Your debts'!$D$20="Avalanche",'Avalanche workings'!$AN$323,'Snowball workings'!$AN$323))</f>
      </c>
      <c r="W321" s="30">
        <f>IF(OR(316&gt;$Z$1,NOT(OR('Your debts'!$B$14&lt;&gt;"",N('Your debts'!$C$14)&gt;0))),"",IF('Your debts'!$D$20="Avalanche",'Avalanche workings'!$AX$323,'Snowball workings'!$AX$323))</f>
      </c>
      <c r="X321" s="29">
        <f>IF(OR(316&gt;$Z$1,NOT(OR('Your debts'!$B$15&lt;&gt;"",N('Your debts'!$C$15)&gt;0))),"",IF('Your debts'!$D$20="Avalanche",'Avalanche workings'!$U$323,'Snowball workings'!$U$323)+IF('Your debts'!$D$20="Avalanche",'Avalanche workings'!$AO$323,'Snowball workings'!$AO$323))</f>
      </c>
      <c r="Y321" s="30">
        <f>IF(OR(316&gt;$Z$1,NOT(OR('Your debts'!$B$15&lt;&gt;"",N('Your debts'!$C$15)&gt;0))),"",IF('Your debts'!$D$20="Avalanche",'Avalanche workings'!$AY$323,'Snowball workings'!$AY$323))</f>
      </c>
    </row>
    <row r="322" spans="1:25" x14ac:dyDescent="0.25">
      <c r="A322" s="2">
        <f>IF(317&gt;$Z$1,"",317)</f>
      </c>
      <c r="B322" s="28">
        <f>IF(317&gt;$Z$1,"",EDATE('Your debts'!$D$21,316))</f>
      </c>
      <c r="C322" s="29">
        <f>IF(317&gt;$Z$1,"",IF('Your debts'!$D$20="Avalanche",'Avalanche workings'!$BC$324,'Snowball workings'!$BC$324))</f>
      </c>
      <c r="D322" s="29">
        <f>IF(317&gt;$Z$1,"",IF('Your debts'!$D$20="Avalanche",'Avalanche workings'!$BA$324,'Snowball workings'!$BA$324))</f>
      </c>
      <c r="E322" s="29">
        <f>IF(317&gt;$Z$1,"",IF('Your debts'!$D$20="Avalanche",'Avalanche workings'!$BB$324,'Snowball workings'!$BB$324))</f>
      </c>
      <c r="F322" s="29">
        <f>IF(OR(317&gt;$Z$1,NOT(OR('Your debts'!$B$6&lt;&gt;"",N('Your debts'!$C$6)&gt;0))),"",IF('Your debts'!$D$20="Avalanche",'Avalanche workings'!$L$324,'Snowball workings'!$L$324)+IF('Your debts'!$D$20="Avalanche",'Avalanche workings'!$AF$324,'Snowball workings'!$AF$324))</f>
      </c>
      <c r="G322" s="30">
        <f>IF(OR(317&gt;$Z$1,NOT(OR('Your debts'!$B$6&lt;&gt;"",N('Your debts'!$C$6)&gt;0))),"",IF('Your debts'!$D$20="Avalanche",'Avalanche workings'!$AP$324,'Snowball workings'!$AP$324))</f>
      </c>
      <c r="H322" s="29">
        <f>IF(OR(317&gt;$Z$1,NOT(OR('Your debts'!$B$7&lt;&gt;"",N('Your debts'!$C$7)&gt;0))),"",IF('Your debts'!$D$20="Avalanche",'Avalanche workings'!$M$324,'Snowball workings'!$M$324)+IF('Your debts'!$D$20="Avalanche",'Avalanche workings'!$AG$324,'Snowball workings'!$AG$324))</f>
      </c>
      <c r="I322" s="30">
        <f>IF(OR(317&gt;$Z$1,NOT(OR('Your debts'!$B$7&lt;&gt;"",N('Your debts'!$C$7)&gt;0))),"",IF('Your debts'!$D$20="Avalanche",'Avalanche workings'!$AQ$324,'Snowball workings'!$AQ$324))</f>
      </c>
      <c r="J322" s="29">
        <f>IF(OR(317&gt;$Z$1,NOT(OR('Your debts'!$B$8&lt;&gt;"",N('Your debts'!$C$8)&gt;0))),"",IF('Your debts'!$D$20="Avalanche",'Avalanche workings'!$N$324,'Snowball workings'!$N$324)+IF('Your debts'!$D$20="Avalanche",'Avalanche workings'!$AH$324,'Snowball workings'!$AH$324))</f>
      </c>
      <c r="K322" s="30">
        <f>IF(OR(317&gt;$Z$1,NOT(OR('Your debts'!$B$8&lt;&gt;"",N('Your debts'!$C$8)&gt;0))),"",IF('Your debts'!$D$20="Avalanche",'Avalanche workings'!$AR$324,'Snowball workings'!$AR$324))</f>
      </c>
      <c r="L322" s="29">
        <f>IF(OR(317&gt;$Z$1,NOT(OR('Your debts'!$B$9&lt;&gt;"",N('Your debts'!$C$9)&gt;0))),"",IF('Your debts'!$D$20="Avalanche",'Avalanche workings'!$O$324,'Snowball workings'!$O$324)+IF('Your debts'!$D$20="Avalanche",'Avalanche workings'!$AI$324,'Snowball workings'!$AI$324))</f>
      </c>
      <c r="M322" s="30">
        <f>IF(OR(317&gt;$Z$1,NOT(OR('Your debts'!$B$9&lt;&gt;"",N('Your debts'!$C$9)&gt;0))),"",IF('Your debts'!$D$20="Avalanche",'Avalanche workings'!$AS$324,'Snowball workings'!$AS$324))</f>
      </c>
      <c r="N322" s="29">
        <f>IF(OR(317&gt;$Z$1,NOT(OR('Your debts'!$B$10&lt;&gt;"",N('Your debts'!$C$10)&gt;0))),"",IF('Your debts'!$D$20="Avalanche",'Avalanche workings'!$P$324,'Snowball workings'!$P$324)+IF('Your debts'!$D$20="Avalanche",'Avalanche workings'!$AJ$324,'Snowball workings'!$AJ$324))</f>
      </c>
      <c r="O322" s="30">
        <f>IF(OR(317&gt;$Z$1,NOT(OR('Your debts'!$B$10&lt;&gt;"",N('Your debts'!$C$10)&gt;0))),"",IF('Your debts'!$D$20="Avalanche",'Avalanche workings'!$AT$324,'Snowball workings'!$AT$324))</f>
      </c>
      <c r="P322" s="29">
        <f>IF(OR(317&gt;$Z$1,NOT(OR('Your debts'!$B$11&lt;&gt;"",N('Your debts'!$C$11)&gt;0))),"",IF('Your debts'!$D$20="Avalanche",'Avalanche workings'!$Q$324,'Snowball workings'!$Q$324)+IF('Your debts'!$D$20="Avalanche",'Avalanche workings'!$AK$324,'Snowball workings'!$AK$324))</f>
      </c>
      <c r="Q322" s="30">
        <f>IF(OR(317&gt;$Z$1,NOT(OR('Your debts'!$B$11&lt;&gt;"",N('Your debts'!$C$11)&gt;0))),"",IF('Your debts'!$D$20="Avalanche",'Avalanche workings'!$AU$324,'Snowball workings'!$AU$324))</f>
      </c>
      <c r="R322" s="29">
        <f>IF(OR(317&gt;$Z$1,NOT(OR('Your debts'!$B$12&lt;&gt;"",N('Your debts'!$C$12)&gt;0))),"",IF('Your debts'!$D$20="Avalanche",'Avalanche workings'!$R$324,'Snowball workings'!$R$324)+IF('Your debts'!$D$20="Avalanche",'Avalanche workings'!$AL$324,'Snowball workings'!$AL$324))</f>
      </c>
      <c r="S322" s="30">
        <f>IF(OR(317&gt;$Z$1,NOT(OR('Your debts'!$B$12&lt;&gt;"",N('Your debts'!$C$12)&gt;0))),"",IF('Your debts'!$D$20="Avalanche",'Avalanche workings'!$AV$324,'Snowball workings'!$AV$324))</f>
      </c>
      <c r="T322" s="29">
        <f>IF(OR(317&gt;$Z$1,NOT(OR('Your debts'!$B$13&lt;&gt;"",N('Your debts'!$C$13)&gt;0))),"",IF('Your debts'!$D$20="Avalanche",'Avalanche workings'!$S$324,'Snowball workings'!$S$324)+IF('Your debts'!$D$20="Avalanche",'Avalanche workings'!$AM$324,'Snowball workings'!$AM$324))</f>
      </c>
      <c r="U322" s="30">
        <f>IF(OR(317&gt;$Z$1,NOT(OR('Your debts'!$B$13&lt;&gt;"",N('Your debts'!$C$13)&gt;0))),"",IF('Your debts'!$D$20="Avalanche",'Avalanche workings'!$AW$324,'Snowball workings'!$AW$324))</f>
      </c>
      <c r="V322" s="29">
        <f>IF(OR(317&gt;$Z$1,NOT(OR('Your debts'!$B$14&lt;&gt;"",N('Your debts'!$C$14)&gt;0))),"",IF('Your debts'!$D$20="Avalanche",'Avalanche workings'!$T$324,'Snowball workings'!$T$324)+IF('Your debts'!$D$20="Avalanche",'Avalanche workings'!$AN$324,'Snowball workings'!$AN$324))</f>
      </c>
      <c r="W322" s="30">
        <f>IF(OR(317&gt;$Z$1,NOT(OR('Your debts'!$B$14&lt;&gt;"",N('Your debts'!$C$14)&gt;0))),"",IF('Your debts'!$D$20="Avalanche",'Avalanche workings'!$AX$324,'Snowball workings'!$AX$324))</f>
      </c>
      <c r="X322" s="29">
        <f>IF(OR(317&gt;$Z$1,NOT(OR('Your debts'!$B$15&lt;&gt;"",N('Your debts'!$C$15)&gt;0))),"",IF('Your debts'!$D$20="Avalanche",'Avalanche workings'!$U$324,'Snowball workings'!$U$324)+IF('Your debts'!$D$20="Avalanche",'Avalanche workings'!$AO$324,'Snowball workings'!$AO$324))</f>
      </c>
      <c r="Y322" s="30">
        <f>IF(OR(317&gt;$Z$1,NOT(OR('Your debts'!$B$15&lt;&gt;"",N('Your debts'!$C$15)&gt;0))),"",IF('Your debts'!$D$20="Avalanche",'Avalanche workings'!$AY$324,'Snowball workings'!$AY$324))</f>
      </c>
    </row>
    <row r="323" spans="1:25" x14ac:dyDescent="0.25">
      <c r="A323" s="2">
        <f>IF(318&gt;$Z$1,"",318)</f>
      </c>
      <c r="B323" s="28">
        <f>IF(318&gt;$Z$1,"",EDATE('Your debts'!$D$21,317))</f>
      </c>
      <c r="C323" s="29">
        <f>IF(318&gt;$Z$1,"",IF('Your debts'!$D$20="Avalanche",'Avalanche workings'!$BC$325,'Snowball workings'!$BC$325))</f>
      </c>
      <c r="D323" s="29">
        <f>IF(318&gt;$Z$1,"",IF('Your debts'!$D$20="Avalanche",'Avalanche workings'!$BA$325,'Snowball workings'!$BA$325))</f>
      </c>
      <c r="E323" s="29">
        <f>IF(318&gt;$Z$1,"",IF('Your debts'!$D$20="Avalanche",'Avalanche workings'!$BB$325,'Snowball workings'!$BB$325))</f>
      </c>
      <c r="F323" s="29">
        <f>IF(OR(318&gt;$Z$1,NOT(OR('Your debts'!$B$6&lt;&gt;"",N('Your debts'!$C$6)&gt;0))),"",IF('Your debts'!$D$20="Avalanche",'Avalanche workings'!$L$325,'Snowball workings'!$L$325)+IF('Your debts'!$D$20="Avalanche",'Avalanche workings'!$AF$325,'Snowball workings'!$AF$325))</f>
      </c>
      <c r="G323" s="30">
        <f>IF(OR(318&gt;$Z$1,NOT(OR('Your debts'!$B$6&lt;&gt;"",N('Your debts'!$C$6)&gt;0))),"",IF('Your debts'!$D$20="Avalanche",'Avalanche workings'!$AP$325,'Snowball workings'!$AP$325))</f>
      </c>
      <c r="H323" s="29">
        <f>IF(OR(318&gt;$Z$1,NOT(OR('Your debts'!$B$7&lt;&gt;"",N('Your debts'!$C$7)&gt;0))),"",IF('Your debts'!$D$20="Avalanche",'Avalanche workings'!$M$325,'Snowball workings'!$M$325)+IF('Your debts'!$D$20="Avalanche",'Avalanche workings'!$AG$325,'Snowball workings'!$AG$325))</f>
      </c>
      <c r="I323" s="30">
        <f>IF(OR(318&gt;$Z$1,NOT(OR('Your debts'!$B$7&lt;&gt;"",N('Your debts'!$C$7)&gt;0))),"",IF('Your debts'!$D$20="Avalanche",'Avalanche workings'!$AQ$325,'Snowball workings'!$AQ$325))</f>
      </c>
      <c r="J323" s="29">
        <f>IF(OR(318&gt;$Z$1,NOT(OR('Your debts'!$B$8&lt;&gt;"",N('Your debts'!$C$8)&gt;0))),"",IF('Your debts'!$D$20="Avalanche",'Avalanche workings'!$N$325,'Snowball workings'!$N$325)+IF('Your debts'!$D$20="Avalanche",'Avalanche workings'!$AH$325,'Snowball workings'!$AH$325))</f>
      </c>
      <c r="K323" s="30">
        <f>IF(OR(318&gt;$Z$1,NOT(OR('Your debts'!$B$8&lt;&gt;"",N('Your debts'!$C$8)&gt;0))),"",IF('Your debts'!$D$20="Avalanche",'Avalanche workings'!$AR$325,'Snowball workings'!$AR$325))</f>
      </c>
      <c r="L323" s="29">
        <f>IF(OR(318&gt;$Z$1,NOT(OR('Your debts'!$B$9&lt;&gt;"",N('Your debts'!$C$9)&gt;0))),"",IF('Your debts'!$D$20="Avalanche",'Avalanche workings'!$O$325,'Snowball workings'!$O$325)+IF('Your debts'!$D$20="Avalanche",'Avalanche workings'!$AI$325,'Snowball workings'!$AI$325))</f>
      </c>
      <c r="M323" s="30">
        <f>IF(OR(318&gt;$Z$1,NOT(OR('Your debts'!$B$9&lt;&gt;"",N('Your debts'!$C$9)&gt;0))),"",IF('Your debts'!$D$20="Avalanche",'Avalanche workings'!$AS$325,'Snowball workings'!$AS$325))</f>
      </c>
      <c r="N323" s="29">
        <f>IF(OR(318&gt;$Z$1,NOT(OR('Your debts'!$B$10&lt;&gt;"",N('Your debts'!$C$10)&gt;0))),"",IF('Your debts'!$D$20="Avalanche",'Avalanche workings'!$P$325,'Snowball workings'!$P$325)+IF('Your debts'!$D$20="Avalanche",'Avalanche workings'!$AJ$325,'Snowball workings'!$AJ$325))</f>
      </c>
      <c r="O323" s="30">
        <f>IF(OR(318&gt;$Z$1,NOT(OR('Your debts'!$B$10&lt;&gt;"",N('Your debts'!$C$10)&gt;0))),"",IF('Your debts'!$D$20="Avalanche",'Avalanche workings'!$AT$325,'Snowball workings'!$AT$325))</f>
      </c>
      <c r="P323" s="29">
        <f>IF(OR(318&gt;$Z$1,NOT(OR('Your debts'!$B$11&lt;&gt;"",N('Your debts'!$C$11)&gt;0))),"",IF('Your debts'!$D$20="Avalanche",'Avalanche workings'!$Q$325,'Snowball workings'!$Q$325)+IF('Your debts'!$D$20="Avalanche",'Avalanche workings'!$AK$325,'Snowball workings'!$AK$325))</f>
      </c>
      <c r="Q323" s="30">
        <f>IF(OR(318&gt;$Z$1,NOT(OR('Your debts'!$B$11&lt;&gt;"",N('Your debts'!$C$11)&gt;0))),"",IF('Your debts'!$D$20="Avalanche",'Avalanche workings'!$AU$325,'Snowball workings'!$AU$325))</f>
      </c>
      <c r="R323" s="29">
        <f>IF(OR(318&gt;$Z$1,NOT(OR('Your debts'!$B$12&lt;&gt;"",N('Your debts'!$C$12)&gt;0))),"",IF('Your debts'!$D$20="Avalanche",'Avalanche workings'!$R$325,'Snowball workings'!$R$325)+IF('Your debts'!$D$20="Avalanche",'Avalanche workings'!$AL$325,'Snowball workings'!$AL$325))</f>
      </c>
      <c r="S323" s="30">
        <f>IF(OR(318&gt;$Z$1,NOT(OR('Your debts'!$B$12&lt;&gt;"",N('Your debts'!$C$12)&gt;0))),"",IF('Your debts'!$D$20="Avalanche",'Avalanche workings'!$AV$325,'Snowball workings'!$AV$325))</f>
      </c>
      <c r="T323" s="29">
        <f>IF(OR(318&gt;$Z$1,NOT(OR('Your debts'!$B$13&lt;&gt;"",N('Your debts'!$C$13)&gt;0))),"",IF('Your debts'!$D$20="Avalanche",'Avalanche workings'!$S$325,'Snowball workings'!$S$325)+IF('Your debts'!$D$20="Avalanche",'Avalanche workings'!$AM$325,'Snowball workings'!$AM$325))</f>
      </c>
      <c r="U323" s="30">
        <f>IF(OR(318&gt;$Z$1,NOT(OR('Your debts'!$B$13&lt;&gt;"",N('Your debts'!$C$13)&gt;0))),"",IF('Your debts'!$D$20="Avalanche",'Avalanche workings'!$AW$325,'Snowball workings'!$AW$325))</f>
      </c>
      <c r="V323" s="29">
        <f>IF(OR(318&gt;$Z$1,NOT(OR('Your debts'!$B$14&lt;&gt;"",N('Your debts'!$C$14)&gt;0))),"",IF('Your debts'!$D$20="Avalanche",'Avalanche workings'!$T$325,'Snowball workings'!$T$325)+IF('Your debts'!$D$20="Avalanche",'Avalanche workings'!$AN$325,'Snowball workings'!$AN$325))</f>
      </c>
      <c r="W323" s="30">
        <f>IF(OR(318&gt;$Z$1,NOT(OR('Your debts'!$B$14&lt;&gt;"",N('Your debts'!$C$14)&gt;0))),"",IF('Your debts'!$D$20="Avalanche",'Avalanche workings'!$AX$325,'Snowball workings'!$AX$325))</f>
      </c>
      <c r="X323" s="29">
        <f>IF(OR(318&gt;$Z$1,NOT(OR('Your debts'!$B$15&lt;&gt;"",N('Your debts'!$C$15)&gt;0))),"",IF('Your debts'!$D$20="Avalanche",'Avalanche workings'!$U$325,'Snowball workings'!$U$325)+IF('Your debts'!$D$20="Avalanche",'Avalanche workings'!$AO$325,'Snowball workings'!$AO$325))</f>
      </c>
      <c r="Y323" s="30">
        <f>IF(OR(318&gt;$Z$1,NOT(OR('Your debts'!$B$15&lt;&gt;"",N('Your debts'!$C$15)&gt;0))),"",IF('Your debts'!$D$20="Avalanche",'Avalanche workings'!$AY$325,'Snowball workings'!$AY$325))</f>
      </c>
    </row>
    <row r="324" spans="1:25" x14ac:dyDescent="0.25">
      <c r="A324" s="2">
        <f>IF(319&gt;$Z$1,"",319)</f>
      </c>
      <c r="B324" s="28">
        <f>IF(319&gt;$Z$1,"",EDATE('Your debts'!$D$21,318))</f>
      </c>
      <c r="C324" s="29">
        <f>IF(319&gt;$Z$1,"",IF('Your debts'!$D$20="Avalanche",'Avalanche workings'!$BC$326,'Snowball workings'!$BC$326))</f>
      </c>
      <c r="D324" s="29">
        <f>IF(319&gt;$Z$1,"",IF('Your debts'!$D$20="Avalanche",'Avalanche workings'!$BA$326,'Snowball workings'!$BA$326))</f>
      </c>
      <c r="E324" s="29">
        <f>IF(319&gt;$Z$1,"",IF('Your debts'!$D$20="Avalanche",'Avalanche workings'!$BB$326,'Snowball workings'!$BB$326))</f>
      </c>
      <c r="F324" s="29">
        <f>IF(OR(319&gt;$Z$1,NOT(OR('Your debts'!$B$6&lt;&gt;"",N('Your debts'!$C$6)&gt;0))),"",IF('Your debts'!$D$20="Avalanche",'Avalanche workings'!$L$326,'Snowball workings'!$L$326)+IF('Your debts'!$D$20="Avalanche",'Avalanche workings'!$AF$326,'Snowball workings'!$AF$326))</f>
      </c>
      <c r="G324" s="30">
        <f>IF(OR(319&gt;$Z$1,NOT(OR('Your debts'!$B$6&lt;&gt;"",N('Your debts'!$C$6)&gt;0))),"",IF('Your debts'!$D$20="Avalanche",'Avalanche workings'!$AP$326,'Snowball workings'!$AP$326))</f>
      </c>
      <c r="H324" s="29">
        <f>IF(OR(319&gt;$Z$1,NOT(OR('Your debts'!$B$7&lt;&gt;"",N('Your debts'!$C$7)&gt;0))),"",IF('Your debts'!$D$20="Avalanche",'Avalanche workings'!$M$326,'Snowball workings'!$M$326)+IF('Your debts'!$D$20="Avalanche",'Avalanche workings'!$AG$326,'Snowball workings'!$AG$326))</f>
      </c>
      <c r="I324" s="30">
        <f>IF(OR(319&gt;$Z$1,NOT(OR('Your debts'!$B$7&lt;&gt;"",N('Your debts'!$C$7)&gt;0))),"",IF('Your debts'!$D$20="Avalanche",'Avalanche workings'!$AQ$326,'Snowball workings'!$AQ$326))</f>
      </c>
      <c r="J324" s="29">
        <f>IF(OR(319&gt;$Z$1,NOT(OR('Your debts'!$B$8&lt;&gt;"",N('Your debts'!$C$8)&gt;0))),"",IF('Your debts'!$D$20="Avalanche",'Avalanche workings'!$N$326,'Snowball workings'!$N$326)+IF('Your debts'!$D$20="Avalanche",'Avalanche workings'!$AH$326,'Snowball workings'!$AH$326))</f>
      </c>
      <c r="K324" s="30">
        <f>IF(OR(319&gt;$Z$1,NOT(OR('Your debts'!$B$8&lt;&gt;"",N('Your debts'!$C$8)&gt;0))),"",IF('Your debts'!$D$20="Avalanche",'Avalanche workings'!$AR$326,'Snowball workings'!$AR$326))</f>
      </c>
      <c r="L324" s="29">
        <f>IF(OR(319&gt;$Z$1,NOT(OR('Your debts'!$B$9&lt;&gt;"",N('Your debts'!$C$9)&gt;0))),"",IF('Your debts'!$D$20="Avalanche",'Avalanche workings'!$O$326,'Snowball workings'!$O$326)+IF('Your debts'!$D$20="Avalanche",'Avalanche workings'!$AI$326,'Snowball workings'!$AI$326))</f>
      </c>
      <c r="M324" s="30">
        <f>IF(OR(319&gt;$Z$1,NOT(OR('Your debts'!$B$9&lt;&gt;"",N('Your debts'!$C$9)&gt;0))),"",IF('Your debts'!$D$20="Avalanche",'Avalanche workings'!$AS$326,'Snowball workings'!$AS$326))</f>
      </c>
      <c r="N324" s="29">
        <f>IF(OR(319&gt;$Z$1,NOT(OR('Your debts'!$B$10&lt;&gt;"",N('Your debts'!$C$10)&gt;0))),"",IF('Your debts'!$D$20="Avalanche",'Avalanche workings'!$P$326,'Snowball workings'!$P$326)+IF('Your debts'!$D$20="Avalanche",'Avalanche workings'!$AJ$326,'Snowball workings'!$AJ$326))</f>
      </c>
      <c r="O324" s="30">
        <f>IF(OR(319&gt;$Z$1,NOT(OR('Your debts'!$B$10&lt;&gt;"",N('Your debts'!$C$10)&gt;0))),"",IF('Your debts'!$D$20="Avalanche",'Avalanche workings'!$AT$326,'Snowball workings'!$AT$326))</f>
      </c>
      <c r="P324" s="29">
        <f>IF(OR(319&gt;$Z$1,NOT(OR('Your debts'!$B$11&lt;&gt;"",N('Your debts'!$C$11)&gt;0))),"",IF('Your debts'!$D$20="Avalanche",'Avalanche workings'!$Q$326,'Snowball workings'!$Q$326)+IF('Your debts'!$D$20="Avalanche",'Avalanche workings'!$AK$326,'Snowball workings'!$AK$326))</f>
      </c>
      <c r="Q324" s="30">
        <f>IF(OR(319&gt;$Z$1,NOT(OR('Your debts'!$B$11&lt;&gt;"",N('Your debts'!$C$11)&gt;0))),"",IF('Your debts'!$D$20="Avalanche",'Avalanche workings'!$AU$326,'Snowball workings'!$AU$326))</f>
      </c>
      <c r="R324" s="29">
        <f>IF(OR(319&gt;$Z$1,NOT(OR('Your debts'!$B$12&lt;&gt;"",N('Your debts'!$C$12)&gt;0))),"",IF('Your debts'!$D$20="Avalanche",'Avalanche workings'!$R$326,'Snowball workings'!$R$326)+IF('Your debts'!$D$20="Avalanche",'Avalanche workings'!$AL$326,'Snowball workings'!$AL$326))</f>
      </c>
      <c r="S324" s="30">
        <f>IF(OR(319&gt;$Z$1,NOT(OR('Your debts'!$B$12&lt;&gt;"",N('Your debts'!$C$12)&gt;0))),"",IF('Your debts'!$D$20="Avalanche",'Avalanche workings'!$AV$326,'Snowball workings'!$AV$326))</f>
      </c>
      <c r="T324" s="29">
        <f>IF(OR(319&gt;$Z$1,NOT(OR('Your debts'!$B$13&lt;&gt;"",N('Your debts'!$C$13)&gt;0))),"",IF('Your debts'!$D$20="Avalanche",'Avalanche workings'!$S$326,'Snowball workings'!$S$326)+IF('Your debts'!$D$20="Avalanche",'Avalanche workings'!$AM$326,'Snowball workings'!$AM$326))</f>
      </c>
      <c r="U324" s="30">
        <f>IF(OR(319&gt;$Z$1,NOT(OR('Your debts'!$B$13&lt;&gt;"",N('Your debts'!$C$13)&gt;0))),"",IF('Your debts'!$D$20="Avalanche",'Avalanche workings'!$AW$326,'Snowball workings'!$AW$326))</f>
      </c>
      <c r="V324" s="29">
        <f>IF(OR(319&gt;$Z$1,NOT(OR('Your debts'!$B$14&lt;&gt;"",N('Your debts'!$C$14)&gt;0))),"",IF('Your debts'!$D$20="Avalanche",'Avalanche workings'!$T$326,'Snowball workings'!$T$326)+IF('Your debts'!$D$20="Avalanche",'Avalanche workings'!$AN$326,'Snowball workings'!$AN$326))</f>
      </c>
      <c r="W324" s="30">
        <f>IF(OR(319&gt;$Z$1,NOT(OR('Your debts'!$B$14&lt;&gt;"",N('Your debts'!$C$14)&gt;0))),"",IF('Your debts'!$D$20="Avalanche",'Avalanche workings'!$AX$326,'Snowball workings'!$AX$326))</f>
      </c>
      <c r="X324" s="29">
        <f>IF(OR(319&gt;$Z$1,NOT(OR('Your debts'!$B$15&lt;&gt;"",N('Your debts'!$C$15)&gt;0))),"",IF('Your debts'!$D$20="Avalanche",'Avalanche workings'!$U$326,'Snowball workings'!$U$326)+IF('Your debts'!$D$20="Avalanche",'Avalanche workings'!$AO$326,'Snowball workings'!$AO$326))</f>
      </c>
      <c r="Y324" s="30">
        <f>IF(OR(319&gt;$Z$1,NOT(OR('Your debts'!$B$15&lt;&gt;"",N('Your debts'!$C$15)&gt;0))),"",IF('Your debts'!$D$20="Avalanche",'Avalanche workings'!$AY$326,'Snowball workings'!$AY$326))</f>
      </c>
    </row>
    <row r="325" spans="1:25" x14ac:dyDescent="0.25">
      <c r="A325" s="2">
        <f>IF(320&gt;$Z$1,"",320)</f>
      </c>
      <c r="B325" s="28">
        <f>IF(320&gt;$Z$1,"",EDATE('Your debts'!$D$21,319))</f>
      </c>
      <c r="C325" s="29">
        <f>IF(320&gt;$Z$1,"",IF('Your debts'!$D$20="Avalanche",'Avalanche workings'!$BC$327,'Snowball workings'!$BC$327))</f>
      </c>
      <c r="D325" s="29">
        <f>IF(320&gt;$Z$1,"",IF('Your debts'!$D$20="Avalanche",'Avalanche workings'!$BA$327,'Snowball workings'!$BA$327))</f>
      </c>
      <c r="E325" s="29">
        <f>IF(320&gt;$Z$1,"",IF('Your debts'!$D$20="Avalanche",'Avalanche workings'!$BB$327,'Snowball workings'!$BB$327))</f>
      </c>
      <c r="F325" s="29">
        <f>IF(OR(320&gt;$Z$1,NOT(OR('Your debts'!$B$6&lt;&gt;"",N('Your debts'!$C$6)&gt;0))),"",IF('Your debts'!$D$20="Avalanche",'Avalanche workings'!$L$327,'Snowball workings'!$L$327)+IF('Your debts'!$D$20="Avalanche",'Avalanche workings'!$AF$327,'Snowball workings'!$AF$327))</f>
      </c>
      <c r="G325" s="30">
        <f>IF(OR(320&gt;$Z$1,NOT(OR('Your debts'!$B$6&lt;&gt;"",N('Your debts'!$C$6)&gt;0))),"",IF('Your debts'!$D$20="Avalanche",'Avalanche workings'!$AP$327,'Snowball workings'!$AP$327))</f>
      </c>
      <c r="H325" s="29">
        <f>IF(OR(320&gt;$Z$1,NOT(OR('Your debts'!$B$7&lt;&gt;"",N('Your debts'!$C$7)&gt;0))),"",IF('Your debts'!$D$20="Avalanche",'Avalanche workings'!$M$327,'Snowball workings'!$M$327)+IF('Your debts'!$D$20="Avalanche",'Avalanche workings'!$AG$327,'Snowball workings'!$AG$327))</f>
      </c>
      <c r="I325" s="30">
        <f>IF(OR(320&gt;$Z$1,NOT(OR('Your debts'!$B$7&lt;&gt;"",N('Your debts'!$C$7)&gt;0))),"",IF('Your debts'!$D$20="Avalanche",'Avalanche workings'!$AQ$327,'Snowball workings'!$AQ$327))</f>
      </c>
      <c r="J325" s="29">
        <f>IF(OR(320&gt;$Z$1,NOT(OR('Your debts'!$B$8&lt;&gt;"",N('Your debts'!$C$8)&gt;0))),"",IF('Your debts'!$D$20="Avalanche",'Avalanche workings'!$N$327,'Snowball workings'!$N$327)+IF('Your debts'!$D$20="Avalanche",'Avalanche workings'!$AH$327,'Snowball workings'!$AH$327))</f>
      </c>
      <c r="K325" s="30">
        <f>IF(OR(320&gt;$Z$1,NOT(OR('Your debts'!$B$8&lt;&gt;"",N('Your debts'!$C$8)&gt;0))),"",IF('Your debts'!$D$20="Avalanche",'Avalanche workings'!$AR$327,'Snowball workings'!$AR$327))</f>
      </c>
      <c r="L325" s="29">
        <f>IF(OR(320&gt;$Z$1,NOT(OR('Your debts'!$B$9&lt;&gt;"",N('Your debts'!$C$9)&gt;0))),"",IF('Your debts'!$D$20="Avalanche",'Avalanche workings'!$O$327,'Snowball workings'!$O$327)+IF('Your debts'!$D$20="Avalanche",'Avalanche workings'!$AI$327,'Snowball workings'!$AI$327))</f>
      </c>
      <c r="M325" s="30">
        <f>IF(OR(320&gt;$Z$1,NOT(OR('Your debts'!$B$9&lt;&gt;"",N('Your debts'!$C$9)&gt;0))),"",IF('Your debts'!$D$20="Avalanche",'Avalanche workings'!$AS$327,'Snowball workings'!$AS$327))</f>
      </c>
      <c r="N325" s="29">
        <f>IF(OR(320&gt;$Z$1,NOT(OR('Your debts'!$B$10&lt;&gt;"",N('Your debts'!$C$10)&gt;0))),"",IF('Your debts'!$D$20="Avalanche",'Avalanche workings'!$P$327,'Snowball workings'!$P$327)+IF('Your debts'!$D$20="Avalanche",'Avalanche workings'!$AJ$327,'Snowball workings'!$AJ$327))</f>
      </c>
      <c r="O325" s="30">
        <f>IF(OR(320&gt;$Z$1,NOT(OR('Your debts'!$B$10&lt;&gt;"",N('Your debts'!$C$10)&gt;0))),"",IF('Your debts'!$D$20="Avalanche",'Avalanche workings'!$AT$327,'Snowball workings'!$AT$327))</f>
      </c>
      <c r="P325" s="29">
        <f>IF(OR(320&gt;$Z$1,NOT(OR('Your debts'!$B$11&lt;&gt;"",N('Your debts'!$C$11)&gt;0))),"",IF('Your debts'!$D$20="Avalanche",'Avalanche workings'!$Q$327,'Snowball workings'!$Q$327)+IF('Your debts'!$D$20="Avalanche",'Avalanche workings'!$AK$327,'Snowball workings'!$AK$327))</f>
      </c>
      <c r="Q325" s="30">
        <f>IF(OR(320&gt;$Z$1,NOT(OR('Your debts'!$B$11&lt;&gt;"",N('Your debts'!$C$11)&gt;0))),"",IF('Your debts'!$D$20="Avalanche",'Avalanche workings'!$AU$327,'Snowball workings'!$AU$327))</f>
      </c>
      <c r="R325" s="29">
        <f>IF(OR(320&gt;$Z$1,NOT(OR('Your debts'!$B$12&lt;&gt;"",N('Your debts'!$C$12)&gt;0))),"",IF('Your debts'!$D$20="Avalanche",'Avalanche workings'!$R$327,'Snowball workings'!$R$327)+IF('Your debts'!$D$20="Avalanche",'Avalanche workings'!$AL$327,'Snowball workings'!$AL$327))</f>
      </c>
      <c r="S325" s="30">
        <f>IF(OR(320&gt;$Z$1,NOT(OR('Your debts'!$B$12&lt;&gt;"",N('Your debts'!$C$12)&gt;0))),"",IF('Your debts'!$D$20="Avalanche",'Avalanche workings'!$AV$327,'Snowball workings'!$AV$327))</f>
      </c>
      <c r="T325" s="29">
        <f>IF(OR(320&gt;$Z$1,NOT(OR('Your debts'!$B$13&lt;&gt;"",N('Your debts'!$C$13)&gt;0))),"",IF('Your debts'!$D$20="Avalanche",'Avalanche workings'!$S$327,'Snowball workings'!$S$327)+IF('Your debts'!$D$20="Avalanche",'Avalanche workings'!$AM$327,'Snowball workings'!$AM$327))</f>
      </c>
      <c r="U325" s="30">
        <f>IF(OR(320&gt;$Z$1,NOT(OR('Your debts'!$B$13&lt;&gt;"",N('Your debts'!$C$13)&gt;0))),"",IF('Your debts'!$D$20="Avalanche",'Avalanche workings'!$AW$327,'Snowball workings'!$AW$327))</f>
      </c>
      <c r="V325" s="29">
        <f>IF(OR(320&gt;$Z$1,NOT(OR('Your debts'!$B$14&lt;&gt;"",N('Your debts'!$C$14)&gt;0))),"",IF('Your debts'!$D$20="Avalanche",'Avalanche workings'!$T$327,'Snowball workings'!$T$327)+IF('Your debts'!$D$20="Avalanche",'Avalanche workings'!$AN$327,'Snowball workings'!$AN$327))</f>
      </c>
      <c r="W325" s="30">
        <f>IF(OR(320&gt;$Z$1,NOT(OR('Your debts'!$B$14&lt;&gt;"",N('Your debts'!$C$14)&gt;0))),"",IF('Your debts'!$D$20="Avalanche",'Avalanche workings'!$AX$327,'Snowball workings'!$AX$327))</f>
      </c>
      <c r="X325" s="29">
        <f>IF(OR(320&gt;$Z$1,NOT(OR('Your debts'!$B$15&lt;&gt;"",N('Your debts'!$C$15)&gt;0))),"",IF('Your debts'!$D$20="Avalanche",'Avalanche workings'!$U$327,'Snowball workings'!$U$327)+IF('Your debts'!$D$20="Avalanche",'Avalanche workings'!$AO$327,'Snowball workings'!$AO$327))</f>
      </c>
      <c r="Y325" s="30">
        <f>IF(OR(320&gt;$Z$1,NOT(OR('Your debts'!$B$15&lt;&gt;"",N('Your debts'!$C$15)&gt;0))),"",IF('Your debts'!$D$20="Avalanche",'Avalanche workings'!$AY$327,'Snowball workings'!$AY$327))</f>
      </c>
    </row>
    <row r="326" spans="1:25" x14ac:dyDescent="0.25">
      <c r="A326" s="2">
        <f>IF(321&gt;$Z$1,"",321)</f>
      </c>
      <c r="B326" s="28">
        <f>IF(321&gt;$Z$1,"",EDATE('Your debts'!$D$21,320))</f>
      </c>
      <c r="C326" s="29">
        <f>IF(321&gt;$Z$1,"",IF('Your debts'!$D$20="Avalanche",'Avalanche workings'!$BC$328,'Snowball workings'!$BC$328))</f>
      </c>
      <c r="D326" s="29">
        <f>IF(321&gt;$Z$1,"",IF('Your debts'!$D$20="Avalanche",'Avalanche workings'!$BA$328,'Snowball workings'!$BA$328))</f>
      </c>
      <c r="E326" s="29">
        <f>IF(321&gt;$Z$1,"",IF('Your debts'!$D$20="Avalanche",'Avalanche workings'!$BB$328,'Snowball workings'!$BB$328))</f>
      </c>
      <c r="F326" s="29">
        <f>IF(OR(321&gt;$Z$1,NOT(OR('Your debts'!$B$6&lt;&gt;"",N('Your debts'!$C$6)&gt;0))),"",IF('Your debts'!$D$20="Avalanche",'Avalanche workings'!$L$328,'Snowball workings'!$L$328)+IF('Your debts'!$D$20="Avalanche",'Avalanche workings'!$AF$328,'Snowball workings'!$AF$328))</f>
      </c>
      <c r="G326" s="30">
        <f>IF(OR(321&gt;$Z$1,NOT(OR('Your debts'!$B$6&lt;&gt;"",N('Your debts'!$C$6)&gt;0))),"",IF('Your debts'!$D$20="Avalanche",'Avalanche workings'!$AP$328,'Snowball workings'!$AP$328))</f>
      </c>
      <c r="H326" s="29">
        <f>IF(OR(321&gt;$Z$1,NOT(OR('Your debts'!$B$7&lt;&gt;"",N('Your debts'!$C$7)&gt;0))),"",IF('Your debts'!$D$20="Avalanche",'Avalanche workings'!$M$328,'Snowball workings'!$M$328)+IF('Your debts'!$D$20="Avalanche",'Avalanche workings'!$AG$328,'Snowball workings'!$AG$328))</f>
      </c>
      <c r="I326" s="30">
        <f>IF(OR(321&gt;$Z$1,NOT(OR('Your debts'!$B$7&lt;&gt;"",N('Your debts'!$C$7)&gt;0))),"",IF('Your debts'!$D$20="Avalanche",'Avalanche workings'!$AQ$328,'Snowball workings'!$AQ$328))</f>
      </c>
      <c r="J326" s="29">
        <f>IF(OR(321&gt;$Z$1,NOT(OR('Your debts'!$B$8&lt;&gt;"",N('Your debts'!$C$8)&gt;0))),"",IF('Your debts'!$D$20="Avalanche",'Avalanche workings'!$N$328,'Snowball workings'!$N$328)+IF('Your debts'!$D$20="Avalanche",'Avalanche workings'!$AH$328,'Snowball workings'!$AH$328))</f>
      </c>
      <c r="K326" s="30">
        <f>IF(OR(321&gt;$Z$1,NOT(OR('Your debts'!$B$8&lt;&gt;"",N('Your debts'!$C$8)&gt;0))),"",IF('Your debts'!$D$20="Avalanche",'Avalanche workings'!$AR$328,'Snowball workings'!$AR$328))</f>
      </c>
      <c r="L326" s="29">
        <f>IF(OR(321&gt;$Z$1,NOT(OR('Your debts'!$B$9&lt;&gt;"",N('Your debts'!$C$9)&gt;0))),"",IF('Your debts'!$D$20="Avalanche",'Avalanche workings'!$O$328,'Snowball workings'!$O$328)+IF('Your debts'!$D$20="Avalanche",'Avalanche workings'!$AI$328,'Snowball workings'!$AI$328))</f>
      </c>
      <c r="M326" s="30">
        <f>IF(OR(321&gt;$Z$1,NOT(OR('Your debts'!$B$9&lt;&gt;"",N('Your debts'!$C$9)&gt;0))),"",IF('Your debts'!$D$20="Avalanche",'Avalanche workings'!$AS$328,'Snowball workings'!$AS$328))</f>
      </c>
      <c r="N326" s="29">
        <f>IF(OR(321&gt;$Z$1,NOT(OR('Your debts'!$B$10&lt;&gt;"",N('Your debts'!$C$10)&gt;0))),"",IF('Your debts'!$D$20="Avalanche",'Avalanche workings'!$P$328,'Snowball workings'!$P$328)+IF('Your debts'!$D$20="Avalanche",'Avalanche workings'!$AJ$328,'Snowball workings'!$AJ$328))</f>
      </c>
      <c r="O326" s="30">
        <f>IF(OR(321&gt;$Z$1,NOT(OR('Your debts'!$B$10&lt;&gt;"",N('Your debts'!$C$10)&gt;0))),"",IF('Your debts'!$D$20="Avalanche",'Avalanche workings'!$AT$328,'Snowball workings'!$AT$328))</f>
      </c>
      <c r="P326" s="29">
        <f>IF(OR(321&gt;$Z$1,NOT(OR('Your debts'!$B$11&lt;&gt;"",N('Your debts'!$C$11)&gt;0))),"",IF('Your debts'!$D$20="Avalanche",'Avalanche workings'!$Q$328,'Snowball workings'!$Q$328)+IF('Your debts'!$D$20="Avalanche",'Avalanche workings'!$AK$328,'Snowball workings'!$AK$328))</f>
      </c>
      <c r="Q326" s="30">
        <f>IF(OR(321&gt;$Z$1,NOT(OR('Your debts'!$B$11&lt;&gt;"",N('Your debts'!$C$11)&gt;0))),"",IF('Your debts'!$D$20="Avalanche",'Avalanche workings'!$AU$328,'Snowball workings'!$AU$328))</f>
      </c>
      <c r="R326" s="29">
        <f>IF(OR(321&gt;$Z$1,NOT(OR('Your debts'!$B$12&lt;&gt;"",N('Your debts'!$C$12)&gt;0))),"",IF('Your debts'!$D$20="Avalanche",'Avalanche workings'!$R$328,'Snowball workings'!$R$328)+IF('Your debts'!$D$20="Avalanche",'Avalanche workings'!$AL$328,'Snowball workings'!$AL$328))</f>
      </c>
      <c r="S326" s="30">
        <f>IF(OR(321&gt;$Z$1,NOT(OR('Your debts'!$B$12&lt;&gt;"",N('Your debts'!$C$12)&gt;0))),"",IF('Your debts'!$D$20="Avalanche",'Avalanche workings'!$AV$328,'Snowball workings'!$AV$328))</f>
      </c>
      <c r="T326" s="29">
        <f>IF(OR(321&gt;$Z$1,NOT(OR('Your debts'!$B$13&lt;&gt;"",N('Your debts'!$C$13)&gt;0))),"",IF('Your debts'!$D$20="Avalanche",'Avalanche workings'!$S$328,'Snowball workings'!$S$328)+IF('Your debts'!$D$20="Avalanche",'Avalanche workings'!$AM$328,'Snowball workings'!$AM$328))</f>
      </c>
      <c r="U326" s="30">
        <f>IF(OR(321&gt;$Z$1,NOT(OR('Your debts'!$B$13&lt;&gt;"",N('Your debts'!$C$13)&gt;0))),"",IF('Your debts'!$D$20="Avalanche",'Avalanche workings'!$AW$328,'Snowball workings'!$AW$328))</f>
      </c>
      <c r="V326" s="29">
        <f>IF(OR(321&gt;$Z$1,NOT(OR('Your debts'!$B$14&lt;&gt;"",N('Your debts'!$C$14)&gt;0))),"",IF('Your debts'!$D$20="Avalanche",'Avalanche workings'!$T$328,'Snowball workings'!$T$328)+IF('Your debts'!$D$20="Avalanche",'Avalanche workings'!$AN$328,'Snowball workings'!$AN$328))</f>
      </c>
      <c r="W326" s="30">
        <f>IF(OR(321&gt;$Z$1,NOT(OR('Your debts'!$B$14&lt;&gt;"",N('Your debts'!$C$14)&gt;0))),"",IF('Your debts'!$D$20="Avalanche",'Avalanche workings'!$AX$328,'Snowball workings'!$AX$328))</f>
      </c>
      <c r="X326" s="29">
        <f>IF(OR(321&gt;$Z$1,NOT(OR('Your debts'!$B$15&lt;&gt;"",N('Your debts'!$C$15)&gt;0))),"",IF('Your debts'!$D$20="Avalanche",'Avalanche workings'!$U$328,'Snowball workings'!$U$328)+IF('Your debts'!$D$20="Avalanche",'Avalanche workings'!$AO$328,'Snowball workings'!$AO$328))</f>
      </c>
      <c r="Y326" s="30">
        <f>IF(OR(321&gt;$Z$1,NOT(OR('Your debts'!$B$15&lt;&gt;"",N('Your debts'!$C$15)&gt;0))),"",IF('Your debts'!$D$20="Avalanche",'Avalanche workings'!$AY$328,'Snowball workings'!$AY$328))</f>
      </c>
    </row>
    <row r="327" spans="1:25" x14ac:dyDescent="0.25">
      <c r="A327" s="2">
        <f>IF(322&gt;$Z$1,"",322)</f>
      </c>
      <c r="B327" s="28">
        <f>IF(322&gt;$Z$1,"",EDATE('Your debts'!$D$21,321))</f>
      </c>
      <c r="C327" s="29">
        <f>IF(322&gt;$Z$1,"",IF('Your debts'!$D$20="Avalanche",'Avalanche workings'!$BC$329,'Snowball workings'!$BC$329))</f>
      </c>
      <c r="D327" s="29">
        <f>IF(322&gt;$Z$1,"",IF('Your debts'!$D$20="Avalanche",'Avalanche workings'!$BA$329,'Snowball workings'!$BA$329))</f>
      </c>
      <c r="E327" s="29">
        <f>IF(322&gt;$Z$1,"",IF('Your debts'!$D$20="Avalanche",'Avalanche workings'!$BB$329,'Snowball workings'!$BB$329))</f>
      </c>
      <c r="F327" s="29">
        <f>IF(OR(322&gt;$Z$1,NOT(OR('Your debts'!$B$6&lt;&gt;"",N('Your debts'!$C$6)&gt;0))),"",IF('Your debts'!$D$20="Avalanche",'Avalanche workings'!$L$329,'Snowball workings'!$L$329)+IF('Your debts'!$D$20="Avalanche",'Avalanche workings'!$AF$329,'Snowball workings'!$AF$329))</f>
      </c>
      <c r="G327" s="30">
        <f>IF(OR(322&gt;$Z$1,NOT(OR('Your debts'!$B$6&lt;&gt;"",N('Your debts'!$C$6)&gt;0))),"",IF('Your debts'!$D$20="Avalanche",'Avalanche workings'!$AP$329,'Snowball workings'!$AP$329))</f>
      </c>
      <c r="H327" s="29">
        <f>IF(OR(322&gt;$Z$1,NOT(OR('Your debts'!$B$7&lt;&gt;"",N('Your debts'!$C$7)&gt;0))),"",IF('Your debts'!$D$20="Avalanche",'Avalanche workings'!$M$329,'Snowball workings'!$M$329)+IF('Your debts'!$D$20="Avalanche",'Avalanche workings'!$AG$329,'Snowball workings'!$AG$329))</f>
      </c>
      <c r="I327" s="30">
        <f>IF(OR(322&gt;$Z$1,NOT(OR('Your debts'!$B$7&lt;&gt;"",N('Your debts'!$C$7)&gt;0))),"",IF('Your debts'!$D$20="Avalanche",'Avalanche workings'!$AQ$329,'Snowball workings'!$AQ$329))</f>
      </c>
      <c r="J327" s="29">
        <f>IF(OR(322&gt;$Z$1,NOT(OR('Your debts'!$B$8&lt;&gt;"",N('Your debts'!$C$8)&gt;0))),"",IF('Your debts'!$D$20="Avalanche",'Avalanche workings'!$N$329,'Snowball workings'!$N$329)+IF('Your debts'!$D$20="Avalanche",'Avalanche workings'!$AH$329,'Snowball workings'!$AH$329))</f>
      </c>
      <c r="K327" s="30">
        <f>IF(OR(322&gt;$Z$1,NOT(OR('Your debts'!$B$8&lt;&gt;"",N('Your debts'!$C$8)&gt;0))),"",IF('Your debts'!$D$20="Avalanche",'Avalanche workings'!$AR$329,'Snowball workings'!$AR$329))</f>
      </c>
      <c r="L327" s="29">
        <f>IF(OR(322&gt;$Z$1,NOT(OR('Your debts'!$B$9&lt;&gt;"",N('Your debts'!$C$9)&gt;0))),"",IF('Your debts'!$D$20="Avalanche",'Avalanche workings'!$O$329,'Snowball workings'!$O$329)+IF('Your debts'!$D$20="Avalanche",'Avalanche workings'!$AI$329,'Snowball workings'!$AI$329))</f>
      </c>
      <c r="M327" s="30">
        <f>IF(OR(322&gt;$Z$1,NOT(OR('Your debts'!$B$9&lt;&gt;"",N('Your debts'!$C$9)&gt;0))),"",IF('Your debts'!$D$20="Avalanche",'Avalanche workings'!$AS$329,'Snowball workings'!$AS$329))</f>
      </c>
      <c r="N327" s="29">
        <f>IF(OR(322&gt;$Z$1,NOT(OR('Your debts'!$B$10&lt;&gt;"",N('Your debts'!$C$10)&gt;0))),"",IF('Your debts'!$D$20="Avalanche",'Avalanche workings'!$P$329,'Snowball workings'!$P$329)+IF('Your debts'!$D$20="Avalanche",'Avalanche workings'!$AJ$329,'Snowball workings'!$AJ$329))</f>
      </c>
      <c r="O327" s="30">
        <f>IF(OR(322&gt;$Z$1,NOT(OR('Your debts'!$B$10&lt;&gt;"",N('Your debts'!$C$10)&gt;0))),"",IF('Your debts'!$D$20="Avalanche",'Avalanche workings'!$AT$329,'Snowball workings'!$AT$329))</f>
      </c>
      <c r="P327" s="29">
        <f>IF(OR(322&gt;$Z$1,NOT(OR('Your debts'!$B$11&lt;&gt;"",N('Your debts'!$C$11)&gt;0))),"",IF('Your debts'!$D$20="Avalanche",'Avalanche workings'!$Q$329,'Snowball workings'!$Q$329)+IF('Your debts'!$D$20="Avalanche",'Avalanche workings'!$AK$329,'Snowball workings'!$AK$329))</f>
      </c>
      <c r="Q327" s="30">
        <f>IF(OR(322&gt;$Z$1,NOT(OR('Your debts'!$B$11&lt;&gt;"",N('Your debts'!$C$11)&gt;0))),"",IF('Your debts'!$D$20="Avalanche",'Avalanche workings'!$AU$329,'Snowball workings'!$AU$329))</f>
      </c>
      <c r="R327" s="29">
        <f>IF(OR(322&gt;$Z$1,NOT(OR('Your debts'!$B$12&lt;&gt;"",N('Your debts'!$C$12)&gt;0))),"",IF('Your debts'!$D$20="Avalanche",'Avalanche workings'!$R$329,'Snowball workings'!$R$329)+IF('Your debts'!$D$20="Avalanche",'Avalanche workings'!$AL$329,'Snowball workings'!$AL$329))</f>
      </c>
      <c r="S327" s="30">
        <f>IF(OR(322&gt;$Z$1,NOT(OR('Your debts'!$B$12&lt;&gt;"",N('Your debts'!$C$12)&gt;0))),"",IF('Your debts'!$D$20="Avalanche",'Avalanche workings'!$AV$329,'Snowball workings'!$AV$329))</f>
      </c>
      <c r="T327" s="29">
        <f>IF(OR(322&gt;$Z$1,NOT(OR('Your debts'!$B$13&lt;&gt;"",N('Your debts'!$C$13)&gt;0))),"",IF('Your debts'!$D$20="Avalanche",'Avalanche workings'!$S$329,'Snowball workings'!$S$329)+IF('Your debts'!$D$20="Avalanche",'Avalanche workings'!$AM$329,'Snowball workings'!$AM$329))</f>
      </c>
      <c r="U327" s="30">
        <f>IF(OR(322&gt;$Z$1,NOT(OR('Your debts'!$B$13&lt;&gt;"",N('Your debts'!$C$13)&gt;0))),"",IF('Your debts'!$D$20="Avalanche",'Avalanche workings'!$AW$329,'Snowball workings'!$AW$329))</f>
      </c>
      <c r="V327" s="29">
        <f>IF(OR(322&gt;$Z$1,NOT(OR('Your debts'!$B$14&lt;&gt;"",N('Your debts'!$C$14)&gt;0))),"",IF('Your debts'!$D$20="Avalanche",'Avalanche workings'!$T$329,'Snowball workings'!$T$329)+IF('Your debts'!$D$20="Avalanche",'Avalanche workings'!$AN$329,'Snowball workings'!$AN$329))</f>
      </c>
      <c r="W327" s="30">
        <f>IF(OR(322&gt;$Z$1,NOT(OR('Your debts'!$B$14&lt;&gt;"",N('Your debts'!$C$14)&gt;0))),"",IF('Your debts'!$D$20="Avalanche",'Avalanche workings'!$AX$329,'Snowball workings'!$AX$329))</f>
      </c>
      <c r="X327" s="29">
        <f>IF(OR(322&gt;$Z$1,NOT(OR('Your debts'!$B$15&lt;&gt;"",N('Your debts'!$C$15)&gt;0))),"",IF('Your debts'!$D$20="Avalanche",'Avalanche workings'!$U$329,'Snowball workings'!$U$329)+IF('Your debts'!$D$20="Avalanche",'Avalanche workings'!$AO$329,'Snowball workings'!$AO$329))</f>
      </c>
      <c r="Y327" s="30">
        <f>IF(OR(322&gt;$Z$1,NOT(OR('Your debts'!$B$15&lt;&gt;"",N('Your debts'!$C$15)&gt;0))),"",IF('Your debts'!$D$20="Avalanche",'Avalanche workings'!$AY$329,'Snowball workings'!$AY$329))</f>
      </c>
    </row>
    <row r="328" spans="1:25" x14ac:dyDescent="0.25">
      <c r="A328" s="2">
        <f>IF(323&gt;$Z$1,"",323)</f>
      </c>
      <c r="B328" s="28">
        <f>IF(323&gt;$Z$1,"",EDATE('Your debts'!$D$21,322))</f>
      </c>
      <c r="C328" s="29">
        <f>IF(323&gt;$Z$1,"",IF('Your debts'!$D$20="Avalanche",'Avalanche workings'!$BC$330,'Snowball workings'!$BC$330))</f>
      </c>
      <c r="D328" s="29">
        <f>IF(323&gt;$Z$1,"",IF('Your debts'!$D$20="Avalanche",'Avalanche workings'!$BA$330,'Snowball workings'!$BA$330))</f>
      </c>
      <c r="E328" s="29">
        <f>IF(323&gt;$Z$1,"",IF('Your debts'!$D$20="Avalanche",'Avalanche workings'!$BB$330,'Snowball workings'!$BB$330))</f>
      </c>
      <c r="F328" s="29">
        <f>IF(OR(323&gt;$Z$1,NOT(OR('Your debts'!$B$6&lt;&gt;"",N('Your debts'!$C$6)&gt;0))),"",IF('Your debts'!$D$20="Avalanche",'Avalanche workings'!$L$330,'Snowball workings'!$L$330)+IF('Your debts'!$D$20="Avalanche",'Avalanche workings'!$AF$330,'Snowball workings'!$AF$330))</f>
      </c>
      <c r="G328" s="30">
        <f>IF(OR(323&gt;$Z$1,NOT(OR('Your debts'!$B$6&lt;&gt;"",N('Your debts'!$C$6)&gt;0))),"",IF('Your debts'!$D$20="Avalanche",'Avalanche workings'!$AP$330,'Snowball workings'!$AP$330))</f>
      </c>
      <c r="H328" s="29">
        <f>IF(OR(323&gt;$Z$1,NOT(OR('Your debts'!$B$7&lt;&gt;"",N('Your debts'!$C$7)&gt;0))),"",IF('Your debts'!$D$20="Avalanche",'Avalanche workings'!$M$330,'Snowball workings'!$M$330)+IF('Your debts'!$D$20="Avalanche",'Avalanche workings'!$AG$330,'Snowball workings'!$AG$330))</f>
      </c>
      <c r="I328" s="30">
        <f>IF(OR(323&gt;$Z$1,NOT(OR('Your debts'!$B$7&lt;&gt;"",N('Your debts'!$C$7)&gt;0))),"",IF('Your debts'!$D$20="Avalanche",'Avalanche workings'!$AQ$330,'Snowball workings'!$AQ$330))</f>
      </c>
      <c r="J328" s="29">
        <f>IF(OR(323&gt;$Z$1,NOT(OR('Your debts'!$B$8&lt;&gt;"",N('Your debts'!$C$8)&gt;0))),"",IF('Your debts'!$D$20="Avalanche",'Avalanche workings'!$N$330,'Snowball workings'!$N$330)+IF('Your debts'!$D$20="Avalanche",'Avalanche workings'!$AH$330,'Snowball workings'!$AH$330))</f>
      </c>
      <c r="K328" s="30">
        <f>IF(OR(323&gt;$Z$1,NOT(OR('Your debts'!$B$8&lt;&gt;"",N('Your debts'!$C$8)&gt;0))),"",IF('Your debts'!$D$20="Avalanche",'Avalanche workings'!$AR$330,'Snowball workings'!$AR$330))</f>
      </c>
      <c r="L328" s="29">
        <f>IF(OR(323&gt;$Z$1,NOT(OR('Your debts'!$B$9&lt;&gt;"",N('Your debts'!$C$9)&gt;0))),"",IF('Your debts'!$D$20="Avalanche",'Avalanche workings'!$O$330,'Snowball workings'!$O$330)+IF('Your debts'!$D$20="Avalanche",'Avalanche workings'!$AI$330,'Snowball workings'!$AI$330))</f>
      </c>
      <c r="M328" s="30">
        <f>IF(OR(323&gt;$Z$1,NOT(OR('Your debts'!$B$9&lt;&gt;"",N('Your debts'!$C$9)&gt;0))),"",IF('Your debts'!$D$20="Avalanche",'Avalanche workings'!$AS$330,'Snowball workings'!$AS$330))</f>
      </c>
      <c r="N328" s="29">
        <f>IF(OR(323&gt;$Z$1,NOT(OR('Your debts'!$B$10&lt;&gt;"",N('Your debts'!$C$10)&gt;0))),"",IF('Your debts'!$D$20="Avalanche",'Avalanche workings'!$P$330,'Snowball workings'!$P$330)+IF('Your debts'!$D$20="Avalanche",'Avalanche workings'!$AJ$330,'Snowball workings'!$AJ$330))</f>
      </c>
      <c r="O328" s="30">
        <f>IF(OR(323&gt;$Z$1,NOT(OR('Your debts'!$B$10&lt;&gt;"",N('Your debts'!$C$10)&gt;0))),"",IF('Your debts'!$D$20="Avalanche",'Avalanche workings'!$AT$330,'Snowball workings'!$AT$330))</f>
      </c>
      <c r="P328" s="29">
        <f>IF(OR(323&gt;$Z$1,NOT(OR('Your debts'!$B$11&lt;&gt;"",N('Your debts'!$C$11)&gt;0))),"",IF('Your debts'!$D$20="Avalanche",'Avalanche workings'!$Q$330,'Snowball workings'!$Q$330)+IF('Your debts'!$D$20="Avalanche",'Avalanche workings'!$AK$330,'Snowball workings'!$AK$330))</f>
      </c>
      <c r="Q328" s="30">
        <f>IF(OR(323&gt;$Z$1,NOT(OR('Your debts'!$B$11&lt;&gt;"",N('Your debts'!$C$11)&gt;0))),"",IF('Your debts'!$D$20="Avalanche",'Avalanche workings'!$AU$330,'Snowball workings'!$AU$330))</f>
      </c>
      <c r="R328" s="29">
        <f>IF(OR(323&gt;$Z$1,NOT(OR('Your debts'!$B$12&lt;&gt;"",N('Your debts'!$C$12)&gt;0))),"",IF('Your debts'!$D$20="Avalanche",'Avalanche workings'!$R$330,'Snowball workings'!$R$330)+IF('Your debts'!$D$20="Avalanche",'Avalanche workings'!$AL$330,'Snowball workings'!$AL$330))</f>
      </c>
      <c r="S328" s="30">
        <f>IF(OR(323&gt;$Z$1,NOT(OR('Your debts'!$B$12&lt;&gt;"",N('Your debts'!$C$12)&gt;0))),"",IF('Your debts'!$D$20="Avalanche",'Avalanche workings'!$AV$330,'Snowball workings'!$AV$330))</f>
      </c>
      <c r="T328" s="29">
        <f>IF(OR(323&gt;$Z$1,NOT(OR('Your debts'!$B$13&lt;&gt;"",N('Your debts'!$C$13)&gt;0))),"",IF('Your debts'!$D$20="Avalanche",'Avalanche workings'!$S$330,'Snowball workings'!$S$330)+IF('Your debts'!$D$20="Avalanche",'Avalanche workings'!$AM$330,'Snowball workings'!$AM$330))</f>
      </c>
      <c r="U328" s="30">
        <f>IF(OR(323&gt;$Z$1,NOT(OR('Your debts'!$B$13&lt;&gt;"",N('Your debts'!$C$13)&gt;0))),"",IF('Your debts'!$D$20="Avalanche",'Avalanche workings'!$AW$330,'Snowball workings'!$AW$330))</f>
      </c>
      <c r="V328" s="29">
        <f>IF(OR(323&gt;$Z$1,NOT(OR('Your debts'!$B$14&lt;&gt;"",N('Your debts'!$C$14)&gt;0))),"",IF('Your debts'!$D$20="Avalanche",'Avalanche workings'!$T$330,'Snowball workings'!$T$330)+IF('Your debts'!$D$20="Avalanche",'Avalanche workings'!$AN$330,'Snowball workings'!$AN$330))</f>
      </c>
      <c r="W328" s="30">
        <f>IF(OR(323&gt;$Z$1,NOT(OR('Your debts'!$B$14&lt;&gt;"",N('Your debts'!$C$14)&gt;0))),"",IF('Your debts'!$D$20="Avalanche",'Avalanche workings'!$AX$330,'Snowball workings'!$AX$330))</f>
      </c>
      <c r="X328" s="29">
        <f>IF(OR(323&gt;$Z$1,NOT(OR('Your debts'!$B$15&lt;&gt;"",N('Your debts'!$C$15)&gt;0))),"",IF('Your debts'!$D$20="Avalanche",'Avalanche workings'!$U$330,'Snowball workings'!$U$330)+IF('Your debts'!$D$20="Avalanche",'Avalanche workings'!$AO$330,'Snowball workings'!$AO$330))</f>
      </c>
      <c r="Y328" s="30">
        <f>IF(OR(323&gt;$Z$1,NOT(OR('Your debts'!$B$15&lt;&gt;"",N('Your debts'!$C$15)&gt;0))),"",IF('Your debts'!$D$20="Avalanche",'Avalanche workings'!$AY$330,'Snowball workings'!$AY$330))</f>
      </c>
    </row>
    <row r="329" spans="1:25" x14ac:dyDescent="0.25">
      <c r="A329" s="2">
        <f>IF(324&gt;$Z$1,"",324)</f>
      </c>
      <c r="B329" s="28">
        <f>IF(324&gt;$Z$1,"",EDATE('Your debts'!$D$21,323))</f>
      </c>
      <c r="C329" s="29">
        <f>IF(324&gt;$Z$1,"",IF('Your debts'!$D$20="Avalanche",'Avalanche workings'!$BC$331,'Snowball workings'!$BC$331))</f>
      </c>
      <c r="D329" s="29">
        <f>IF(324&gt;$Z$1,"",IF('Your debts'!$D$20="Avalanche",'Avalanche workings'!$BA$331,'Snowball workings'!$BA$331))</f>
      </c>
      <c r="E329" s="29">
        <f>IF(324&gt;$Z$1,"",IF('Your debts'!$D$20="Avalanche",'Avalanche workings'!$BB$331,'Snowball workings'!$BB$331))</f>
      </c>
      <c r="F329" s="29">
        <f>IF(OR(324&gt;$Z$1,NOT(OR('Your debts'!$B$6&lt;&gt;"",N('Your debts'!$C$6)&gt;0))),"",IF('Your debts'!$D$20="Avalanche",'Avalanche workings'!$L$331,'Snowball workings'!$L$331)+IF('Your debts'!$D$20="Avalanche",'Avalanche workings'!$AF$331,'Snowball workings'!$AF$331))</f>
      </c>
      <c r="G329" s="30">
        <f>IF(OR(324&gt;$Z$1,NOT(OR('Your debts'!$B$6&lt;&gt;"",N('Your debts'!$C$6)&gt;0))),"",IF('Your debts'!$D$20="Avalanche",'Avalanche workings'!$AP$331,'Snowball workings'!$AP$331))</f>
      </c>
      <c r="H329" s="29">
        <f>IF(OR(324&gt;$Z$1,NOT(OR('Your debts'!$B$7&lt;&gt;"",N('Your debts'!$C$7)&gt;0))),"",IF('Your debts'!$D$20="Avalanche",'Avalanche workings'!$M$331,'Snowball workings'!$M$331)+IF('Your debts'!$D$20="Avalanche",'Avalanche workings'!$AG$331,'Snowball workings'!$AG$331))</f>
      </c>
      <c r="I329" s="30">
        <f>IF(OR(324&gt;$Z$1,NOT(OR('Your debts'!$B$7&lt;&gt;"",N('Your debts'!$C$7)&gt;0))),"",IF('Your debts'!$D$20="Avalanche",'Avalanche workings'!$AQ$331,'Snowball workings'!$AQ$331))</f>
      </c>
      <c r="J329" s="29">
        <f>IF(OR(324&gt;$Z$1,NOT(OR('Your debts'!$B$8&lt;&gt;"",N('Your debts'!$C$8)&gt;0))),"",IF('Your debts'!$D$20="Avalanche",'Avalanche workings'!$N$331,'Snowball workings'!$N$331)+IF('Your debts'!$D$20="Avalanche",'Avalanche workings'!$AH$331,'Snowball workings'!$AH$331))</f>
      </c>
      <c r="K329" s="30">
        <f>IF(OR(324&gt;$Z$1,NOT(OR('Your debts'!$B$8&lt;&gt;"",N('Your debts'!$C$8)&gt;0))),"",IF('Your debts'!$D$20="Avalanche",'Avalanche workings'!$AR$331,'Snowball workings'!$AR$331))</f>
      </c>
      <c r="L329" s="29">
        <f>IF(OR(324&gt;$Z$1,NOT(OR('Your debts'!$B$9&lt;&gt;"",N('Your debts'!$C$9)&gt;0))),"",IF('Your debts'!$D$20="Avalanche",'Avalanche workings'!$O$331,'Snowball workings'!$O$331)+IF('Your debts'!$D$20="Avalanche",'Avalanche workings'!$AI$331,'Snowball workings'!$AI$331))</f>
      </c>
      <c r="M329" s="30">
        <f>IF(OR(324&gt;$Z$1,NOT(OR('Your debts'!$B$9&lt;&gt;"",N('Your debts'!$C$9)&gt;0))),"",IF('Your debts'!$D$20="Avalanche",'Avalanche workings'!$AS$331,'Snowball workings'!$AS$331))</f>
      </c>
      <c r="N329" s="29">
        <f>IF(OR(324&gt;$Z$1,NOT(OR('Your debts'!$B$10&lt;&gt;"",N('Your debts'!$C$10)&gt;0))),"",IF('Your debts'!$D$20="Avalanche",'Avalanche workings'!$P$331,'Snowball workings'!$P$331)+IF('Your debts'!$D$20="Avalanche",'Avalanche workings'!$AJ$331,'Snowball workings'!$AJ$331))</f>
      </c>
      <c r="O329" s="30">
        <f>IF(OR(324&gt;$Z$1,NOT(OR('Your debts'!$B$10&lt;&gt;"",N('Your debts'!$C$10)&gt;0))),"",IF('Your debts'!$D$20="Avalanche",'Avalanche workings'!$AT$331,'Snowball workings'!$AT$331))</f>
      </c>
      <c r="P329" s="29">
        <f>IF(OR(324&gt;$Z$1,NOT(OR('Your debts'!$B$11&lt;&gt;"",N('Your debts'!$C$11)&gt;0))),"",IF('Your debts'!$D$20="Avalanche",'Avalanche workings'!$Q$331,'Snowball workings'!$Q$331)+IF('Your debts'!$D$20="Avalanche",'Avalanche workings'!$AK$331,'Snowball workings'!$AK$331))</f>
      </c>
      <c r="Q329" s="30">
        <f>IF(OR(324&gt;$Z$1,NOT(OR('Your debts'!$B$11&lt;&gt;"",N('Your debts'!$C$11)&gt;0))),"",IF('Your debts'!$D$20="Avalanche",'Avalanche workings'!$AU$331,'Snowball workings'!$AU$331))</f>
      </c>
      <c r="R329" s="29">
        <f>IF(OR(324&gt;$Z$1,NOT(OR('Your debts'!$B$12&lt;&gt;"",N('Your debts'!$C$12)&gt;0))),"",IF('Your debts'!$D$20="Avalanche",'Avalanche workings'!$R$331,'Snowball workings'!$R$331)+IF('Your debts'!$D$20="Avalanche",'Avalanche workings'!$AL$331,'Snowball workings'!$AL$331))</f>
      </c>
      <c r="S329" s="30">
        <f>IF(OR(324&gt;$Z$1,NOT(OR('Your debts'!$B$12&lt;&gt;"",N('Your debts'!$C$12)&gt;0))),"",IF('Your debts'!$D$20="Avalanche",'Avalanche workings'!$AV$331,'Snowball workings'!$AV$331))</f>
      </c>
      <c r="T329" s="29">
        <f>IF(OR(324&gt;$Z$1,NOT(OR('Your debts'!$B$13&lt;&gt;"",N('Your debts'!$C$13)&gt;0))),"",IF('Your debts'!$D$20="Avalanche",'Avalanche workings'!$S$331,'Snowball workings'!$S$331)+IF('Your debts'!$D$20="Avalanche",'Avalanche workings'!$AM$331,'Snowball workings'!$AM$331))</f>
      </c>
      <c r="U329" s="30">
        <f>IF(OR(324&gt;$Z$1,NOT(OR('Your debts'!$B$13&lt;&gt;"",N('Your debts'!$C$13)&gt;0))),"",IF('Your debts'!$D$20="Avalanche",'Avalanche workings'!$AW$331,'Snowball workings'!$AW$331))</f>
      </c>
      <c r="V329" s="29">
        <f>IF(OR(324&gt;$Z$1,NOT(OR('Your debts'!$B$14&lt;&gt;"",N('Your debts'!$C$14)&gt;0))),"",IF('Your debts'!$D$20="Avalanche",'Avalanche workings'!$T$331,'Snowball workings'!$T$331)+IF('Your debts'!$D$20="Avalanche",'Avalanche workings'!$AN$331,'Snowball workings'!$AN$331))</f>
      </c>
      <c r="W329" s="30">
        <f>IF(OR(324&gt;$Z$1,NOT(OR('Your debts'!$B$14&lt;&gt;"",N('Your debts'!$C$14)&gt;0))),"",IF('Your debts'!$D$20="Avalanche",'Avalanche workings'!$AX$331,'Snowball workings'!$AX$331))</f>
      </c>
      <c r="X329" s="29">
        <f>IF(OR(324&gt;$Z$1,NOT(OR('Your debts'!$B$15&lt;&gt;"",N('Your debts'!$C$15)&gt;0))),"",IF('Your debts'!$D$20="Avalanche",'Avalanche workings'!$U$331,'Snowball workings'!$U$331)+IF('Your debts'!$D$20="Avalanche",'Avalanche workings'!$AO$331,'Snowball workings'!$AO$331))</f>
      </c>
      <c r="Y329" s="30">
        <f>IF(OR(324&gt;$Z$1,NOT(OR('Your debts'!$B$15&lt;&gt;"",N('Your debts'!$C$15)&gt;0))),"",IF('Your debts'!$D$20="Avalanche",'Avalanche workings'!$AY$331,'Snowball workings'!$AY$331))</f>
      </c>
    </row>
    <row r="330" spans="1:25" x14ac:dyDescent="0.25">
      <c r="A330" s="2">
        <f>IF(325&gt;$Z$1,"",325)</f>
      </c>
      <c r="B330" s="28">
        <f>IF(325&gt;$Z$1,"",EDATE('Your debts'!$D$21,324))</f>
      </c>
      <c r="C330" s="29">
        <f>IF(325&gt;$Z$1,"",IF('Your debts'!$D$20="Avalanche",'Avalanche workings'!$BC$332,'Snowball workings'!$BC$332))</f>
      </c>
      <c r="D330" s="29">
        <f>IF(325&gt;$Z$1,"",IF('Your debts'!$D$20="Avalanche",'Avalanche workings'!$BA$332,'Snowball workings'!$BA$332))</f>
      </c>
      <c r="E330" s="29">
        <f>IF(325&gt;$Z$1,"",IF('Your debts'!$D$20="Avalanche",'Avalanche workings'!$BB$332,'Snowball workings'!$BB$332))</f>
      </c>
      <c r="F330" s="29">
        <f>IF(OR(325&gt;$Z$1,NOT(OR('Your debts'!$B$6&lt;&gt;"",N('Your debts'!$C$6)&gt;0))),"",IF('Your debts'!$D$20="Avalanche",'Avalanche workings'!$L$332,'Snowball workings'!$L$332)+IF('Your debts'!$D$20="Avalanche",'Avalanche workings'!$AF$332,'Snowball workings'!$AF$332))</f>
      </c>
      <c r="G330" s="30">
        <f>IF(OR(325&gt;$Z$1,NOT(OR('Your debts'!$B$6&lt;&gt;"",N('Your debts'!$C$6)&gt;0))),"",IF('Your debts'!$D$20="Avalanche",'Avalanche workings'!$AP$332,'Snowball workings'!$AP$332))</f>
      </c>
      <c r="H330" s="29">
        <f>IF(OR(325&gt;$Z$1,NOT(OR('Your debts'!$B$7&lt;&gt;"",N('Your debts'!$C$7)&gt;0))),"",IF('Your debts'!$D$20="Avalanche",'Avalanche workings'!$M$332,'Snowball workings'!$M$332)+IF('Your debts'!$D$20="Avalanche",'Avalanche workings'!$AG$332,'Snowball workings'!$AG$332))</f>
      </c>
      <c r="I330" s="30">
        <f>IF(OR(325&gt;$Z$1,NOT(OR('Your debts'!$B$7&lt;&gt;"",N('Your debts'!$C$7)&gt;0))),"",IF('Your debts'!$D$20="Avalanche",'Avalanche workings'!$AQ$332,'Snowball workings'!$AQ$332))</f>
      </c>
      <c r="J330" s="29">
        <f>IF(OR(325&gt;$Z$1,NOT(OR('Your debts'!$B$8&lt;&gt;"",N('Your debts'!$C$8)&gt;0))),"",IF('Your debts'!$D$20="Avalanche",'Avalanche workings'!$N$332,'Snowball workings'!$N$332)+IF('Your debts'!$D$20="Avalanche",'Avalanche workings'!$AH$332,'Snowball workings'!$AH$332))</f>
      </c>
      <c r="K330" s="30">
        <f>IF(OR(325&gt;$Z$1,NOT(OR('Your debts'!$B$8&lt;&gt;"",N('Your debts'!$C$8)&gt;0))),"",IF('Your debts'!$D$20="Avalanche",'Avalanche workings'!$AR$332,'Snowball workings'!$AR$332))</f>
      </c>
      <c r="L330" s="29">
        <f>IF(OR(325&gt;$Z$1,NOT(OR('Your debts'!$B$9&lt;&gt;"",N('Your debts'!$C$9)&gt;0))),"",IF('Your debts'!$D$20="Avalanche",'Avalanche workings'!$O$332,'Snowball workings'!$O$332)+IF('Your debts'!$D$20="Avalanche",'Avalanche workings'!$AI$332,'Snowball workings'!$AI$332))</f>
      </c>
      <c r="M330" s="30">
        <f>IF(OR(325&gt;$Z$1,NOT(OR('Your debts'!$B$9&lt;&gt;"",N('Your debts'!$C$9)&gt;0))),"",IF('Your debts'!$D$20="Avalanche",'Avalanche workings'!$AS$332,'Snowball workings'!$AS$332))</f>
      </c>
      <c r="N330" s="29">
        <f>IF(OR(325&gt;$Z$1,NOT(OR('Your debts'!$B$10&lt;&gt;"",N('Your debts'!$C$10)&gt;0))),"",IF('Your debts'!$D$20="Avalanche",'Avalanche workings'!$P$332,'Snowball workings'!$P$332)+IF('Your debts'!$D$20="Avalanche",'Avalanche workings'!$AJ$332,'Snowball workings'!$AJ$332))</f>
      </c>
      <c r="O330" s="30">
        <f>IF(OR(325&gt;$Z$1,NOT(OR('Your debts'!$B$10&lt;&gt;"",N('Your debts'!$C$10)&gt;0))),"",IF('Your debts'!$D$20="Avalanche",'Avalanche workings'!$AT$332,'Snowball workings'!$AT$332))</f>
      </c>
      <c r="P330" s="29">
        <f>IF(OR(325&gt;$Z$1,NOT(OR('Your debts'!$B$11&lt;&gt;"",N('Your debts'!$C$11)&gt;0))),"",IF('Your debts'!$D$20="Avalanche",'Avalanche workings'!$Q$332,'Snowball workings'!$Q$332)+IF('Your debts'!$D$20="Avalanche",'Avalanche workings'!$AK$332,'Snowball workings'!$AK$332))</f>
      </c>
      <c r="Q330" s="30">
        <f>IF(OR(325&gt;$Z$1,NOT(OR('Your debts'!$B$11&lt;&gt;"",N('Your debts'!$C$11)&gt;0))),"",IF('Your debts'!$D$20="Avalanche",'Avalanche workings'!$AU$332,'Snowball workings'!$AU$332))</f>
      </c>
      <c r="R330" s="29">
        <f>IF(OR(325&gt;$Z$1,NOT(OR('Your debts'!$B$12&lt;&gt;"",N('Your debts'!$C$12)&gt;0))),"",IF('Your debts'!$D$20="Avalanche",'Avalanche workings'!$R$332,'Snowball workings'!$R$332)+IF('Your debts'!$D$20="Avalanche",'Avalanche workings'!$AL$332,'Snowball workings'!$AL$332))</f>
      </c>
      <c r="S330" s="30">
        <f>IF(OR(325&gt;$Z$1,NOT(OR('Your debts'!$B$12&lt;&gt;"",N('Your debts'!$C$12)&gt;0))),"",IF('Your debts'!$D$20="Avalanche",'Avalanche workings'!$AV$332,'Snowball workings'!$AV$332))</f>
      </c>
      <c r="T330" s="29">
        <f>IF(OR(325&gt;$Z$1,NOT(OR('Your debts'!$B$13&lt;&gt;"",N('Your debts'!$C$13)&gt;0))),"",IF('Your debts'!$D$20="Avalanche",'Avalanche workings'!$S$332,'Snowball workings'!$S$332)+IF('Your debts'!$D$20="Avalanche",'Avalanche workings'!$AM$332,'Snowball workings'!$AM$332))</f>
      </c>
      <c r="U330" s="30">
        <f>IF(OR(325&gt;$Z$1,NOT(OR('Your debts'!$B$13&lt;&gt;"",N('Your debts'!$C$13)&gt;0))),"",IF('Your debts'!$D$20="Avalanche",'Avalanche workings'!$AW$332,'Snowball workings'!$AW$332))</f>
      </c>
      <c r="V330" s="29">
        <f>IF(OR(325&gt;$Z$1,NOT(OR('Your debts'!$B$14&lt;&gt;"",N('Your debts'!$C$14)&gt;0))),"",IF('Your debts'!$D$20="Avalanche",'Avalanche workings'!$T$332,'Snowball workings'!$T$332)+IF('Your debts'!$D$20="Avalanche",'Avalanche workings'!$AN$332,'Snowball workings'!$AN$332))</f>
      </c>
      <c r="W330" s="30">
        <f>IF(OR(325&gt;$Z$1,NOT(OR('Your debts'!$B$14&lt;&gt;"",N('Your debts'!$C$14)&gt;0))),"",IF('Your debts'!$D$20="Avalanche",'Avalanche workings'!$AX$332,'Snowball workings'!$AX$332))</f>
      </c>
      <c r="X330" s="29">
        <f>IF(OR(325&gt;$Z$1,NOT(OR('Your debts'!$B$15&lt;&gt;"",N('Your debts'!$C$15)&gt;0))),"",IF('Your debts'!$D$20="Avalanche",'Avalanche workings'!$U$332,'Snowball workings'!$U$332)+IF('Your debts'!$D$20="Avalanche",'Avalanche workings'!$AO$332,'Snowball workings'!$AO$332))</f>
      </c>
      <c r="Y330" s="30">
        <f>IF(OR(325&gt;$Z$1,NOT(OR('Your debts'!$B$15&lt;&gt;"",N('Your debts'!$C$15)&gt;0))),"",IF('Your debts'!$D$20="Avalanche",'Avalanche workings'!$AY$332,'Snowball workings'!$AY$332))</f>
      </c>
    </row>
    <row r="331" spans="1:25" x14ac:dyDescent="0.25">
      <c r="A331" s="2">
        <f>IF(326&gt;$Z$1,"",326)</f>
      </c>
      <c r="B331" s="28">
        <f>IF(326&gt;$Z$1,"",EDATE('Your debts'!$D$21,325))</f>
      </c>
      <c r="C331" s="29">
        <f>IF(326&gt;$Z$1,"",IF('Your debts'!$D$20="Avalanche",'Avalanche workings'!$BC$333,'Snowball workings'!$BC$333))</f>
      </c>
      <c r="D331" s="29">
        <f>IF(326&gt;$Z$1,"",IF('Your debts'!$D$20="Avalanche",'Avalanche workings'!$BA$333,'Snowball workings'!$BA$333))</f>
      </c>
      <c r="E331" s="29">
        <f>IF(326&gt;$Z$1,"",IF('Your debts'!$D$20="Avalanche",'Avalanche workings'!$BB$333,'Snowball workings'!$BB$333))</f>
      </c>
      <c r="F331" s="29">
        <f>IF(OR(326&gt;$Z$1,NOT(OR('Your debts'!$B$6&lt;&gt;"",N('Your debts'!$C$6)&gt;0))),"",IF('Your debts'!$D$20="Avalanche",'Avalanche workings'!$L$333,'Snowball workings'!$L$333)+IF('Your debts'!$D$20="Avalanche",'Avalanche workings'!$AF$333,'Snowball workings'!$AF$333))</f>
      </c>
      <c r="G331" s="30">
        <f>IF(OR(326&gt;$Z$1,NOT(OR('Your debts'!$B$6&lt;&gt;"",N('Your debts'!$C$6)&gt;0))),"",IF('Your debts'!$D$20="Avalanche",'Avalanche workings'!$AP$333,'Snowball workings'!$AP$333))</f>
      </c>
      <c r="H331" s="29">
        <f>IF(OR(326&gt;$Z$1,NOT(OR('Your debts'!$B$7&lt;&gt;"",N('Your debts'!$C$7)&gt;0))),"",IF('Your debts'!$D$20="Avalanche",'Avalanche workings'!$M$333,'Snowball workings'!$M$333)+IF('Your debts'!$D$20="Avalanche",'Avalanche workings'!$AG$333,'Snowball workings'!$AG$333))</f>
      </c>
      <c r="I331" s="30">
        <f>IF(OR(326&gt;$Z$1,NOT(OR('Your debts'!$B$7&lt;&gt;"",N('Your debts'!$C$7)&gt;0))),"",IF('Your debts'!$D$20="Avalanche",'Avalanche workings'!$AQ$333,'Snowball workings'!$AQ$333))</f>
      </c>
      <c r="J331" s="29">
        <f>IF(OR(326&gt;$Z$1,NOT(OR('Your debts'!$B$8&lt;&gt;"",N('Your debts'!$C$8)&gt;0))),"",IF('Your debts'!$D$20="Avalanche",'Avalanche workings'!$N$333,'Snowball workings'!$N$333)+IF('Your debts'!$D$20="Avalanche",'Avalanche workings'!$AH$333,'Snowball workings'!$AH$333))</f>
      </c>
      <c r="K331" s="30">
        <f>IF(OR(326&gt;$Z$1,NOT(OR('Your debts'!$B$8&lt;&gt;"",N('Your debts'!$C$8)&gt;0))),"",IF('Your debts'!$D$20="Avalanche",'Avalanche workings'!$AR$333,'Snowball workings'!$AR$333))</f>
      </c>
      <c r="L331" s="29">
        <f>IF(OR(326&gt;$Z$1,NOT(OR('Your debts'!$B$9&lt;&gt;"",N('Your debts'!$C$9)&gt;0))),"",IF('Your debts'!$D$20="Avalanche",'Avalanche workings'!$O$333,'Snowball workings'!$O$333)+IF('Your debts'!$D$20="Avalanche",'Avalanche workings'!$AI$333,'Snowball workings'!$AI$333))</f>
      </c>
      <c r="M331" s="30">
        <f>IF(OR(326&gt;$Z$1,NOT(OR('Your debts'!$B$9&lt;&gt;"",N('Your debts'!$C$9)&gt;0))),"",IF('Your debts'!$D$20="Avalanche",'Avalanche workings'!$AS$333,'Snowball workings'!$AS$333))</f>
      </c>
      <c r="N331" s="29">
        <f>IF(OR(326&gt;$Z$1,NOT(OR('Your debts'!$B$10&lt;&gt;"",N('Your debts'!$C$10)&gt;0))),"",IF('Your debts'!$D$20="Avalanche",'Avalanche workings'!$P$333,'Snowball workings'!$P$333)+IF('Your debts'!$D$20="Avalanche",'Avalanche workings'!$AJ$333,'Snowball workings'!$AJ$333))</f>
      </c>
      <c r="O331" s="30">
        <f>IF(OR(326&gt;$Z$1,NOT(OR('Your debts'!$B$10&lt;&gt;"",N('Your debts'!$C$10)&gt;0))),"",IF('Your debts'!$D$20="Avalanche",'Avalanche workings'!$AT$333,'Snowball workings'!$AT$333))</f>
      </c>
      <c r="P331" s="29">
        <f>IF(OR(326&gt;$Z$1,NOT(OR('Your debts'!$B$11&lt;&gt;"",N('Your debts'!$C$11)&gt;0))),"",IF('Your debts'!$D$20="Avalanche",'Avalanche workings'!$Q$333,'Snowball workings'!$Q$333)+IF('Your debts'!$D$20="Avalanche",'Avalanche workings'!$AK$333,'Snowball workings'!$AK$333))</f>
      </c>
      <c r="Q331" s="30">
        <f>IF(OR(326&gt;$Z$1,NOT(OR('Your debts'!$B$11&lt;&gt;"",N('Your debts'!$C$11)&gt;0))),"",IF('Your debts'!$D$20="Avalanche",'Avalanche workings'!$AU$333,'Snowball workings'!$AU$333))</f>
      </c>
      <c r="R331" s="29">
        <f>IF(OR(326&gt;$Z$1,NOT(OR('Your debts'!$B$12&lt;&gt;"",N('Your debts'!$C$12)&gt;0))),"",IF('Your debts'!$D$20="Avalanche",'Avalanche workings'!$R$333,'Snowball workings'!$R$333)+IF('Your debts'!$D$20="Avalanche",'Avalanche workings'!$AL$333,'Snowball workings'!$AL$333))</f>
      </c>
      <c r="S331" s="30">
        <f>IF(OR(326&gt;$Z$1,NOT(OR('Your debts'!$B$12&lt;&gt;"",N('Your debts'!$C$12)&gt;0))),"",IF('Your debts'!$D$20="Avalanche",'Avalanche workings'!$AV$333,'Snowball workings'!$AV$333))</f>
      </c>
      <c r="T331" s="29">
        <f>IF(OR(326&gt;$Z$1,NOT(OR('Your debts'!$B$13&lt;&gt;"",N('Your debts'!$C$13)&gt;0))),"",IF('Your debts'!$D$20="Avalanche",'Avalanche workings'!$S$333,'Snowball workings'!$S$333)+IF('Your debts'!$D$20="Avalanche",'Avalanche workings'!$AM$333,'Snowball workings'!$AM$333))</f>
      </c>
      <c r="U331" s="30">
        <f>IF(OR(326&gt;$Z$1,NOT(OR('Your debts'!$B$13&lt;&gt;"",N('Your debts'!$C$13)&gt;0))),"",IF('Your debts'!$D$20="Avalanche",'Avalanche workings'!$AW$333,'Snowball workings'!$AW$333))</f>
      </c>
      <c r="V331" s="29">
        <f>IF(OR(326&gt;$Z$1,NOT(OR('Your debts'!$B$14&lt;&gt;"",N('Your debts'!$C$14)&gt;0))),"",IF('Your debts'!$D$20="Avalanche",'Avalanche workings'!$T$333,'Snowball workings'!$T$333)+IF('Your debts'!$D$20="Avalanche",'Avalanche workings'!$AN$333,'Snowball workings'!$AN$333))</f>
      </c>
      <c r="W331" s="30">
        <f>IF(OR(326&gt;$Z$1,NOT(OR('Your debts'!$B$14&lt;&gt;"",N('Your debts'!$C$14)&gt;0))),"",IF('Your debts'!$D$20="Avalanche",'Avalanche workings'!$AX$333,'Snowball workings'!$AX$333))</f>
      </c>
      <c r="X331" s="29">
        <f>IF(OR(326&gt;$Z$1,NOT(OR('Your debts'!$B$15&lt;&gt;"",N('Your debts'!$C$15)&gt;0))),"",IF('Your debts'!$D$20="Avalanche",'Avalanche workings'!$U$333,'Snowball workings'!$U$333)+IF('Your debts'!$D$20="Avalanche",'Avalanche workings'!$AO$333,'Snowball workings'!$AO$333))</f>
      </c>
      <c r="Y331" s="30">
        <f>IF(OR(326&gt;$Z$1,NOT(OR('Your debts'!$B$15&lt;&gt;"",N('Your debts'!$C$15)&gt;0))),"",IF('Your debts'!$D$20="Avalanche",'Avalanche workings'!$AY$333,'Snowball workings'!$AY$333))</f>
      </c>
    </row>
    <row r="332" spans="1:25" x14ac:dyDescent="0.25">
      <c r="A332" s="2">
        <f>IF(327&gt;$Z$1,"",327)</f>
      </c>
      <c r="B332" s="28">
        <f>IF(327&gt;$Z$1,"",EDATE('Your debts'!$D$21,326))</f>
      </c>
      <c r="C332" s="29">
        <f>IF(327&gt;$Z$1,"",IF('Your debts'!$D$20="Avalanche",'Avalanche workings'!$BC$334,'Snowball workings'!$BC$334))</f>
      </c>
      <c r="D332" s="29">
        <f>IF(327&gt;$Z$1,"",IF('Your debts'!$D$20="Avalanche",'Avalanche workings'!$BA$334,'Snowball workings'!$BA$334))</f>
      </c>
      <c r="E332" s="29">
        <f>IF(327&gt;$Z$1,"",IF('Your debts'!$D$20="Avalanche",'Avalanche workings'!$BB$334,'Snowball workings'!$BB$334))</f>
      </c>
      <c r="F332" s="29">
        <f>IF(OR(327&gt;$Z$1,NOT(OR('Your debts'!$B$6&lt;&gt;"",N('Your debts'!$C$6)&gt;0))),"",IF('Your debts'!$D$20="Avalanche",'Avalanche workings'!$L$334,'Snowball workings'!$L$334)+IF('Your debts'!$D$20="Avalanche",'Avalanche workings'!$AF$334,'Snowball workings'!$AF$334))</f>
      </c>
      <c r="G332" s="30">
        <f>IF(OR(327&gt;$Z$1,NOT(OR('Your debts'!$B$6&lt;&gt;"",N('Your debts'!$C$6)&gt;0))),"",IF('Your debts'!$D$20="Avalanche",'Avalanche workings'!$AP$334,'Snowball workings'!$AP$334))</f>
      </c>
      <c r="H332" s="29">
        <f>IF(OR(327&gt;$Z$1,NOT(OR('Your debts'!$B$7&lt;&gt;"",N('Your debts'!$C$7)&gt;0))),"",IF('Your debts'!$D$20="Avalanche",'Avalanche workings'!$M$334,'Snowball workings'!$M$334)+IF('Your debts'!$D$20="Avalanche",'Avalanche workings'!$AG$334,'Snowball workings'!$AG$334))</f>
      </c>
      <c r="I332" s="30">
        <f>IF(OR(327&gt;$Z$1,NOT(OR('Your debts'!$B$7&lt;&gt;"",N('Your debts'!$C$7)&gt;0))),"",IF('Your debts'!$D$20="Avalanche",'Avalanche workings'!$AQ$334,'Snowball workings'!$AQ$334))</f>
      </c>
      <c r="J332" s="29">
        <f>IF(OR(327&gt;$Z$1,NOT(OR('Your debts'!$B$8&lt;&gt;"",N('Your debts'!$C$8)&gt;0))),"",IF('Your debts'!$D$20="Avalanche",'Avalanche workings'!$N$334,'Snowball workings'!$N$334)+IF('Your debts'!$D$20="Avalanche",'Avalanche workings'!$AH$334,'Snowball workings'!$AH$334))</f>
      </c>
      <c r="K332" s="30">
        <f>IF(OR(327&gt;$Z$1,NOT(OR('Your debts'!$B$8&lt;&gt;"",N('Your debts'!$C$8)&gt;0))),"",IF('Your debts'!$D$20="Avalanche",'Avalanche workings'!$AR$334,'Snowball workings'!$AR$334))</f>
      </c>
      <c r="L332" s="29">
        <f>IF(OR(327&gt;$Z$1,NOT(OR('Your debts'!$B$9&lt;&gt;"",N('Your debts'!$C$9)&gt;0))),"",IF('Your debts'!$D$20="Avalanche",'Avalanche workings'!$O$334,'Snowball workings'!$O$334)+IF('Your debts'!$D$20="Avalanche",'Avalanche workings'!$AI$334,'Snowball workings'!$AI$334))</f>
      </c>
      <c r="M332" s="30">
        <f>IF(OR(327&gt;$Z$1,NOT(OR('Your debts'!$B$9&lt;&gt;"",N('Your debts'!$C$9)&gt;0))),"",IF('Your debts'!$D$20="Avalanche",'Avalanche workings'!$AS$334,'Snowball workings'!$AS$334))</f>
      </c>
      <c r="N332" s="29">
        <f>IF(OR(327&gt;$Z$1,NOT(OR('Your debts'!$B$10&lt;&gt;"",N('Your debts'!$C$10)&gt;0))),"",IF('Your debts'!$D$20="Avalanche",'Avalanche workings'!$P$334,'Snowball workings'!$P$334)+IF('Your debts'!$D$20="Avalanche",'Avalanche workings'!$AJ$334,'Snowball workings'!$AJ$334))</f>
      </c>
      <c r="O332" s="30">
        <f>IF(OR(327&gt;$Z$1,NOT(OR('Your debts'!$B$10&lt;&gt;"",N('Your debts'!$C$10)&gt;0))),"",IF('Your debts'!$D$20="Avalanche",'Avalanche workings'!$AT$334,'Snowball workings'!$AT$334))</f>
      </c>
      <c r="P332" s="29">
        <f>IF(OR(327&gt;$Z$1,NOT(OR('Your debts'!$B$11&lt;&gt;"",N('Your debts'!$C$11)&gt;0))),"",IF('Your debts'!$D$20="Avalanche",'Avalanche workings'!$Q$334,'Snowball workings'!$Q$334)+IF('Your debts'!$D$20="Avalanche",'Avalanche workings'!$AK$334,'Snowball workings'!$AK$334))</f>
      </c>
      <c r="Q332" s="30">
        <f>IF(OR(327&gt;$Z$1,NOT(OR('Your debts'!$B$11&lt;&gt;"",N('Your debts'!$C$11)&gt;0))),"",IF('Your debts'!$D$20="Avalanche",'Avalanche workings'!$AU$334,'Snowball workings'!$AU$334))</f>
      </c>
      <c r="R332" s="29">
        <f>IF(OR(327&gt;$Z$1,NOT(OR('Your debts'!$B$12&lt;&gt;"",N('Your debts'!$C$12)&gt;0))),"",IF('Your debts'!$D$20="Avalanche",'Avalanche workings'!$R$334,'Snowball workings'!$R$334)+IF('Your debts'!$D$20="Avalanche",'Avalanche workings'!$AL$334,'Snowball workings'!$AL$334))</f>
      </c>
      <c r="S332" s="30">
        <f>IF(OR(327&gt;$Z$1,NOT(OR('Your debts'!$B$12&lt;&gt;"",N('Your debts'!$C$12)&gt;0))),"",IF('Your debts'!$D$20="Avalanche",'Avalanche workings'!$AV$334,'Snowball workings'!$AV$334))</f>
      </c>
      <c r="T332" s="29">
        <f>IF(OR(327&gt;$Z$1,NOT(OR('Your debts'!$B$13&lt;&gt;"",N('Your debts'!$C$13)&gt;0))),"",IF('Your debts'!$D$20="Avalanche",'Avalanche workings'!$S$334,'Snowball workings'!$S$334)+IF('Your debts'!$D$20="Avalanche",'Avalanche workings'!$AM$334,'Snowball workings'!$AM$334))</f>
      </c>
      <c r="U332" s="30">
        <f>IF(OR(327&gt;$Z$1,NOT(OR('Your debts'!$B$13&lt;&gt;"",N('Your debts'!$C$13)&gt;0))),"",IF('Your debts'!$D$20="Avalanche",'Avalanche workings'!$AW$334,'Snowball workings'!$AW$334))</f>
      </c>
      <c r="V332" s="29">
        <f>IF(OR(327&gt;$Z$1,NOT(OR('Your debts'!$B$14&lt;&gt;"",N('Your debts'!$C$14)&gt;0))),"",IF('Your debts'!$D$20="Avalanche",'Avalanche workings'!$T$334,'Snowball workings'!$T$334)+IF('Your debts'!$D$20="Avalanche",'Avalanche workings'!$AN$334,'Snowball workings'!$AN$334))</f>
      </c>
      <c r="W332" s="30">
        <f>IF(OR(327&gt;$Z$1,NOT(OR('Your debts'!$B$14&lt;&gt;"",N('Your debts'!$C$14)&gt;0))),"",IF('Your debts'!$D$20="Avalanche",'Avalanche workings'!$AX$334,'Snowball workings'!$AX$334))</f>
      </c>
      <c r="X332" s="29">
        <f>IF(OR(327&gt;$Z$1,NOT(OR('Your debts'!$B$15&lt;&gt;"",N('Your debts'!$C$15)&gt;0))),"",IF('Your debts'!$D$20="Avalanche",'Avalanche workings'!$U$334,'Snowball workings'!$U$334)+IF('Your debts'!$D$20="Avalanche",'Avalanche workings'!$AO$334,'Snowball workings'!$AO$334))</f>
      </c>
      <c r="Y332" s="30">
        <f>IF(OR(327&gt;$Z$1,NOT(OR('Your debts'!$B$15&lt;&gt;"",N('Your debts'!$C$15)&gt;0))),"",IF('Your debts'!$D$20="Avalanche",'Avalanche workings'!$AY$334,'Snowball workings'!$AY$334))</f>
      </c>
    </row>
    <row r="333" spans="1:25" x14ac:dyDescent="0.25">
      <c r="A333" s="2">
        <f>IF(328&gt;$Z$1,"",328)</f>
      </c>
      <c r="B333" s="28">
        <f>IF(328&gt;$Z$1,"",EDATE('Your debts'!$D$21,327))</f>
      </c>
      <c r="C333" s="29">
        <f>IF(328&gt;$Z$1,"",IF('Your debts'!$D$20="Avalanche",'Avalanche workings'!$BC$335,'Snowball workings'!$BC$335))</f>
      </c>
      <c r="D333" s="29">
        <f>IF(328&gt;$Z$1,"",IF('Your debts'!$D$20="Avalanche",'Avalanche workings'!$BA$335,'Snowball workings'!$BA$335))</f>
      </c>
      <c r="E333" s="29">
        <f>IF(328&gt;$Z$1,"",IF('Your debts'!$D$20="Avalanche",'Avalanche workings'!$BB$335,'Snowball workings'!$BB$335))</f>
      </c>
      <c r="F333" s="29">
        <f>IF(OR(328&gt;$Z$1,NOT(OR('Your debts'!$B$6&lt;&gt;"",N('Your debts'!$C$6)&gt;0))),"",IF('Your debts'!$D$20="Avalanche",'Avalanche workings'!$L$335,'Snowball workings'!$L$335)+IF('Your debts'!$D$20="Avalanche",'Avalanche workings'!$AF$335,'Snowball workings'!$AF$335))</f>
      </c>
      <c r="G333" s="30">
        <f>IF(OR(328&gt;$Z$1,NOT(OR('Your debts'!$B$6&lt;&gt;"",N('Your debts'!$C$6)&gt;0))),"",IF('Your debts'!$D$20="Avalanche",'Avalanche workings'!$AP$335,'Snowball workings'!$AP$335))</f>
      </c>
      <c r="H333" s="29">
        <f>IF(OR(328&gt;$Z$1,NOT(OR('Your debts'!$B$7&lt;&gt;"",N('Your debts'!$C$7)&gt;0))),"",IF('Your debts'!$D$20="Avalanche",'Avalanche workings'!$M$335,'Snowball workings'!$M$335)+IF('Your debts'!$D$20="Avalanche",'Avalanche workings'!$AG$335,'Snowball workings'!$AG$335))</f>
      </c>
      <c r="I333" s="30">
        <f>IF(OR(328&gt;$Z$1,NOT(OR('Your debts'!$B$7&lt;&gt;"",N('Your debts'!$C$7)&gt;0))),"",IF('Your debts'!$D$20="Avalanche",'Avalanche workings'!$AQ$335,'Snowball workings'!$AQ$335))</f>
      </c>
      <c r="J333" s="29">
        <f>IF(OR(328&gt;$Z$1,NOT(OR('Your debts'!$B$8&lt;&gt;"",N('Your debts'!$C$8)&gt;0))),"",IF('Your debts'!$D$20="Avalanche",'Avalanche workings'!$N$335,'Snowball workings'!$N$335)+IF('Your debts'!$D$20="Avalanche",'Avalanche workings'!$AH$335,'Snowball workings'!$AH$335))</f>
      </c>
      <c r="K333" s="30">
        <f>IF(OR(328&gt;$Z$1,NOT(OR('Your debts'!$B$8&lt;&gt;"",N('Your debts'!$C$8)&gt;0))),"",IF('Your debts'!$D$20="Avalanche",'Avalanche workings'!$AR$335,'Snowball workings'!$AR$335))</f>
      </c>
      <c r="L333" s="29">
        <f>IF(OR(328&gt;$Z$1,NOT(OR('Your debts'!$B$9&lt;&gt;"",N('Your debts'!$C$9)&gt;0))),"",IF('Your debts'!$D$20="Avalanche",'Avalanche workings'!$O$335,'Snowball workings'!$O$335)+IF('Your debts'!$D$20="Avalanche",'Avalanche workings'!$AI$335,'Snowball workings'!$AI$335))</f>
      </c>
      <c r="M333" s="30">
        <f>IF(OR(328&gt;$Z$1,NOT(OR('Your debts'!$B$9&lt;&gt;"",N('Your debts'!$C$9)&gt;0))),"",IF('Your debts'!$D$20="Avalanche",'Avalanche workings'!$AS$335,'Snowball workings'!$AS$335))</f>
      </c>
      <c r="N333" s="29">
        <f>IF(OR(328&gt;$Z$1,NOT(OR('Your debts'!$B$10&lt;&gt;"",N('Your debts'!$C$10)&gt;0))),"",IF('Your debts'!$D$20="Avalanche",'Avalanche workings'!$P$335,'Snowball workings'!$P$335)+IF('Your debts'!$D$20="Avalanche",'Avalanche workings'!$AJ$335,'Snowball workings'!$AJ$335))</f>
      </c>
      <c r="O333" s="30">
        <f>IF(OR(328&gt;$Z$1,NOT(OR('Your debts'!$B$10&lt;&gt;"",N('Your debts'!$C$10)&gt;0))),"",IF('Your debts'!$D$20="Avalanche",'Avalanche workings'!$AT$335,'Snowball workings'!$AT$335))</f>
      </c>
      <c r="P333" s="29">
        <f>IF(OR(328&gt;$Z$1,NOT(OR('Your debts'!$B$11&lt;&gt;"",N('Your debts'!$C$11)&gt;0))),"",IF('Your debts'!$D$20="Avalanche",'Avalanche workings'!$Q$335,'Snowball workings'!$Q$335)+IF('Your debts'!$D$20="Avalanche",'Avalanche workings'!$AK$335,'Snowball workings'!$AK$335))</f>
      </c>
      <c r="Q333" s="30">
        <f>IF(OR(328&gt;$Z$1,NOT(OR('Your debts'!$B$11&lt;&gt;"",N('Your debts'!$C$11)&gt;0))),"",IF('Your debts'!$D$20="Avalanche",'Avalanche workings'!$AU$335,'Snowball workings'!$AU$335))</f>
      </c>
      <c r="R333" s="29">
        <f>IF(OR(328&gt;$Z$1,NOT(OR('Your debts'!$B$12&lt;&gt;"",N('Your debts'!$C$12)&gt;0))),"",IF('Your debts'!$D$20="Avalanche",'Avalanche workings'!$R$335,'Snowball workings'!$R$335)+IF('Your debts'!$D$20="Avalanche",'Avalanche workings'!$AL$335,'Snowball workings'!$AL$335))</f>
      </c>
      <c r="S333" s="30">
        <f>IF(OR(328&gt;$Z$1,NOT(OR('Your debts'!$B$12&lt;&gt;"",N('Your debts'!$C$12)&gt;0))),"",IF('Your debts'!$D$20="Avalanche",'Avalanche workings'!$AV$335,'Snowball workings'!$AV$335))</f>
      </c>
      <c r="T333" s="29">
        <f>IF(OR(328&gt;$Z$1,NOT(OR('Your debts'!$B$13&lt;&gt;"",N('Your debts'!$C$13)&gt;0))),"",IF('Your debts'!$D$20="Avalanche",'Avalanche workings'!$S$335,'Snowball workings'!$S$335)+IF('Your debts'!$D$20="Avalanche",'Avalanche workings'!$AM$335,'Snowball workings'!$AM$335))</f>
      </c>
      <c r="U333" s="30">
        <f>IF(OR(328&gt;$Z$1,NOT(OR('Your debts'!$B$13&lt;&gt;"",N('Your debts'!$C$13)&gt;0))),"",IF('Your debts'!$D$20="Avalanche",'Avalanche workings'!$AW$335,'Snowball workings'!$AW$335))</f>
      </c>
      <c r="V333" s="29">
        <f>IF(OR(328&gt;$Z$1,NOT(OR('Your debts'!$B$14&lt;&gt;"",N('Your debts'!$C$14)&gt;0))),"",IF('Your debts'!$D$20="Avalanche",'Avalanche workings'!$T$335,'Snowball workings'!$T$335)+IF('Your debts'!$D$20="Avalanche",'Avalanche workings'!$AN$335,'Snowball workings'!$AN$335))</f>
      </c>
      <c r="W333" s="30">
        <f>IF(OR(328&gt;$Z$1,NOT(OR('Your debts'!$B$14&lt;&gt;"",N('Your debts'!$C$14)&gt;0))),"",IF('Your debts'!$D$20="Avalanche",'Avalanche workings'!$AX$335,'Snowball workings'!$AX$335))</f>
      </c>
      <c r="X333" s="29">
        <f>IF(OR(328&gt;$Z$1,NOT(OR('Your debts'!$B$15&lt;&gt;"",N('Your debts'!$C$15)&gt;0))),"",IF('Your debts'!$D$20="Avalanche",'Avalanche workings'!$U$335,'Snowball workings'!$U$335)+IF('Your debts'!$D$20="Avalanche",'Avalanche workings'!$AO$335,'Snowball workings'!$AO$335))</f>
      </c>
      <c r="Y333" s="30">
        <f>IF(OR(328&gt;$Z$1,NOT(OR('Your debts'!$B$15&lt;&gt;"",N('Your debts'!$C$15)&gt;0))),"",IF('Your debts'!$D$20="Avalanche",'Avalanche workings'!$AY$335,'Snowball workings'!$AY$335))</f>
      </c>
    </row>
    <row r="334" spans="1:25" x14ac:dyDescent="0.25">
      <c r="A334" s="2">
        <f>IF(329&gt;$Z$1,"",329)</f>
      </c>
      <c r="B334" s="28">
        <f>IF(329&gt;$Z$1,"",EDATE('Your debts'!$D$21,328))</f>
      </c>
      <c r="C334" s="29">
        <f>IF(329&gt;$Z$1,"",IF('Your debts'!$D$20="Avalanche",'Avalanche workings'!$BC$336,'Snowball workings'!$BC$336))</f>
      </c>
      <c r="D334" s="29">
        <f>IF(329&gt;$Z$1,"",IF('Your debts'!$D$20="Avalanche",'Avalanche workings'!$BA$336,'Snowball workings'!$BA$336))</f>
      </c>
      <c r="E334" s="29">
        <f>IF(329&gt;$Z$1,"",IF('Your debts'!$D$20="Avalanche",'Avalanche workings'!$BB$336,'Snowball workings'!$BB$336))</f>
      </c>
      <c r="F334" s="29">
        <f>IF(OR(329&gt;$Z$1,NOT(OR('Your debts'!$B$6&lt;&gt;"",N('Your debts'!$C$6)&gt;0))),"",IF('Your debts'!$D$20="Avalanche",'Avalanche workings'!$L$336,'Snowball workings'!$L$336)+IF('Your debts'!$D$20="Avalanche",'Avalanche workings'!$AF$336,'Snowball workings'!$AF$336))</f>
      </c>
      <c r="G334" s="30">
        <f>IF(OR(329&gt;$Z$1,NOT(OR('Your debts'!$B$6&lt;&gt;"",N('Your debts'!$C$6)&gt;0))),"",IF('Your debts'!$D$20="Avalanche",'Avalanche workings'!$AP$336,'Snowball workings'!$AP$336))</f>
      </c>
      <c r="H334" s="29">
        <f>IF(OR(329&gt;$Z$1,NOT(OR('Your debts'!$B$7&lt;&gt;"",N('Your debts'!$C$7)&gt;0))),"",IF('Your debts'!$D$20="Avalanche",'Avalanche workings'!$M$336,'Snowball workings'!$M$336)+IF('Your debts'!$D$20="Avalanche",'Avalanche workings'!$AG$336,'Snowball workings'!$AG$336))</f>
      </c>
      <c r="I334" s="30">
        <f>IF(OR(329&gt;$Z$1,NOT(OR('Your debts'!$B$7&lt;&gt;"",N('Your debts'!$C$7)&gt;0))),"",IF('Your debts'!$D$20="Avalanche",'Avalanche workings'!$AQ$336,'Snowball workings'!$AQ$336))</f>
      </c>
      <c r="J334" s="29">
        <f>IF(OR(329&gt;$Z$1,NOT(OR('Your debts'!$B$8&lt;&gt;"",N('Your debts'!$C$8)&gt;0))),"",IF('Your debts'!$D$20="Avalanche",'Avalanche workings'!$N$336,'Snowball workings'!$N$336)+IF('Your debts'!$D$20="Avalanche",'Avalanche workings'!$AH$336,'Snowball workings'!$AH$336))</f>
      </c>
      <c r="K334" s="30">
        <f>IF(OR(329&gt;$Z$1,NOT(OR('Your debts'!$B$8&lt;&gt;"",N('Your debts'!$C$8)&gt;0))),"",IF('Your debts'!$D$20="Avalanche",'Avalanche workings'!$AR$336,'Snowball workings'!$AR$336))</f>
      </c>
      <c r="L334" s="29">
        <f>IF(OR(329&gt;$Z$1,NOT(OR('Your debts'!$B$9&lt;&gt;"",N('Your debts'!$C$9)&gt;0))),"",IF('Your debts'!$D$20="Avalanche",'Avalanche workings'!$O$336,'Snowball workings'!$O$336)+IF('Your debts'!$D$20="Avalanche",'Avalanche workings'!$AI$336,'Snowball workings'!$AI$336))</f>
      </c>
      <c r="M334" s="30">
        <f>IF(OR(329&gt;$Z$1,NOT(OR('Your debts'!$B$9&lt;&gt;"",N('Your debts'!$C$9)&gt;0))),"",IF('Your debts'!$D$20="Avalanche",'Avalanche workings'!$AS$336,'Snowball workings'!$AS$336))</f>
      </c>
      <c r="N334" s="29">
        <f>IF(OR(329&gt;$Z$1,NOT(OR('Your debts'!$B$10&lt;&gt;"",N('Your debts'!$C$10)&gt;0))),"",IF('Your debts'!$D$20="Avalanche",'Avalanche workings'!$P$336,'Snowball workings'!$P$336)+IF('Your debts'!$D$20="Avalanche",'Avalanche workings'!$AJ$336,'Snowball workings'!$AJ$336))</f>
      </c>
      <c r="O334" s="30">
        <f>IF(OR(329&gt;$Z$1,NOT(OR('Your debts'!$B$10&lt;&gt;"",N('Your debts'!$C$10)&gt;0))),"",IF('Your debts'!$D$20="Avalanche",'Avalanche workings'!$AT$336,'Snowball workings'!$AT$336))</f>
      </c>
      <c r="P334" s="29">
        <f>IF(OR(329&gt;$Z$1,NOT(OR('Your debts'!$B$11&lt;&gt;"",N('Your debts'!$C$11)&gt;0))),"",IF('Your debts'!$D$20="Avalanche",'Avalanche workings'!$Q$336,'Snowball workings'!$Q$336)+IF('Your debts'!$D$20="Avalanche",'Avalanche workings'!$AK$336,'Snowball workings'!$AK$336))</f>
      </c>
      <c r="Q334" s="30">
        <f>IF(OR(329&gt;$Z$1,NOT(OR('Your debts'!$B$11&lt;&gt;"",N('Your debts'!$C$11)&gt;0))),"",IF('Your debts'!$D$20="Avalanche",'Avalanche workings'!$AU$336,'Snowball workings'!$AU$336))</f>
      </c>
      <c r="R334" s="29">
        <f>IF(OR(329&gt;$Z$1,NOT(OR('Your debts'!$B$12&lt;&gt;"",N('Your debts'!$C$12)&gt;0))),"",IF('Your debts'!$D$20="Avalanche",'Avalanche workings'!$R$336,'Snowball workings'!$R$336)+IF('Your debts'!$D$20="Avalanche",'Avalanche workings'!$AL$336,'Snowball workings'!$AL$336))</f>
      </c>
      <c r="S334" s="30">
        <f>IF(OR(329&gt;$Z$1,NOT(OR('Your debts'!$B$12&lt;&gt;"",N('Your debts'!$C$12)&gt;0))),"",IF('Your debts'!$D$20="Avalanche",'Avalanche workings'!$AV$336,'Snowball workings'!$AV$336))</f>
      </c>
      <c r="T334" s="29">
        <f>IF(OR(329&gt;$Z$1,NOT(OR('Your debts'!$B$13&lt;&gt;"",N('Your debts'!$C$13)&gt;0))),"",IF('Your debts'!$D$20="Avalanche",'Avalanche workings'!$S$336,'Snowball workings'!$S$336)+IF('Your debts'!$D$20="Avalanche",'Avalanche workings'!$AM$336,'Snowball workings'!$AM$336))</f>
      </c>
      <c r="U334" s="30">
        <f>IF(OR(329&gt;$Z$1,NOT(OR('Your debts'!$B$13&lt;&gt;"",N('Your debts'!$C$13)&gt;0))),"",IF('Your debts'!$D$20="Avalanche",'Avalanche workings'!$AW$336,'Snowball workings'!$AW$336))</f>
      </c>
      <c r="V334" s="29">
        <f>IF(OR(329&gt;$Z$1,NOT(OR('Your debts'!$B$14&lt;&gt;"",N('Your debts'!$C$14)&gt;0))),"",IF('Your debts'!$D$20="Avalanche",'Avalanche workings'!$T$336,'Snowball workings'!$T$336)+IF('Your debts'!$D$20="Avalanche",'Avalanche workings'!$AN$336,'Snowball workings'!$AN$336))</f>
      </c>
      <c r="W334" s="30">
        <f>IF(OR(329&gt;$Z$1,NOT(OR('Your debts'!$B$14&lt;&gt;"",N('Your debts'!$C$14)&gt;0))),"",IF('Your debts'!$D$20="Avalanche",'Avalanche workings'!$AX$336,'Snowball workings'!$AX$336))</f>
      </c>
      <c r="X334" s="29">
        <f>IF(OR(329&gt;$Z$1,NOT(OR('Your debts'!$B$15&lt;&gt;"",N('Your debts'!$C$15)&gt;0))),"",IF('Your debts'!$D$20="Avalanche",'Avalanche workings'!$U$336,'Snowball workings'!$U$336)+IF('Your debts'!$D$20="Avalanche",'Avalanche workings'!$AO$336,'Snowball workings'!$AO$336))</f>
      </c>
      <c r="Y334" s="30">
        <f>IF(OR(329&gt;$Z$1,NOT(OR('Your debts'!$B$15&lt;&gt;"",N('Your debts'!$C$15)&gt;0))),"",IF('Your debts'!$D$20="Avalanche",'Avalanche workings'!$AY$336,'Snowball workings'!$AY$336))</f>
      </c>
    </row>
    <row r="335" spans="1:25" x14ac:dyDescent="0.25">
      <c r="A335" s="2">
        <f>IF(330&gt;$Z$1,"",330)</f>
      </c>
      <c r="B335" s="28">
        <f>IF(330&gt;$Z$1,"",EDATE('Your debts'!$D$21,329))</f>
      </c>
      <c r="C335" s="29">
        <f>IF(330&gt;$Z$1,"",IF('Your debts'!$D$20="Avalanche",'Avalanche workings'!$BC$337,'Snowball workings'!$BC$337))</f>
      </c>
      <c r="D335" s="29">
        <f>IF(330&gt;$Z$1,"",IF('Your debts'!$D$20="Avalanche",'Avalanche workings'!$BA$337,'Snowball workings'!$BA$337))</f>
      </c>
      <c r="E335" s="29">
        <f>IF(330&gt;$Z$1,"",IF('Your debts'!$D$20="Avalanche",'Avalanche workings'!$BB$337,'Snowball workings'!$BB$337))</f>
      </c>
      <c r="F335" s="29">
        <f>IF(OR(330&gt;$Z$1,NOT(OR('Your debts'!$B$6&lt;&gt;"",N('Your debts'!$C$6)&gt;0))),"",IF('Your debts'!$D$20="Avalanche",'Avalanche workings'!$L$337,'Snowball workings'!$L$337)+IF('Your debts'!$D$20="Avalanche",'Avalanche workings'!$AF$337,'Snowball workings'!$AF$337))</f>
      </c>
      <c r="G335" s="30">
        <f>IF(OR(330&gt;$Z$1,NOT(OR('Your debts'!$B$6&lt;&gt;"",N('Your debts'!$C$6)&gt;0))),"",IF('Your debts'!$D$20="Avalanche",'Avalanche workings'!$AP$337,'Snowball workings'!$AP$337))</f>
      </c>
      <c r="H335" s="29">
        <f>IF(OR(330&gt;$Z$1,NOT(OR('Your debts'!$B$7&lt;&gt;"",N('Your debts'!$C$7)&gt;0))),"",IF('Your debts'!$D$20="Avalanche",'Avalanche workings'!$M$337,'Snowball workings'!$M$337)+IF('Your debts'!$D$20="Avalanche",'Avalanche workings'!$AG$337,'Snowball workings'!$AG$337))</f>
      </c>
      <c r="I335" s="30">
        <f>IF(OR(330&gt;$Z$1,NOT(OR('Your debts'!$B$7&lt;&gt;"",N('Your debts'!$C$7)&gt;0))),"",IF('Your debts'!$D$20="Avalanche",'Avalanche workings'!$AQ$337,'Snowball workings'!$AQ$337))</f>
      </c>
      <c r="J335" s="29">
        <f>IF(OR(330&gt;$Z$1,NOT(OR('Your debts'!$B$8&lt;&gt;"",N('Your debts'!$C$8)&gt;0))),"",IF('Your debts'!$D$20="Avalanche",'Avalanche workings'!$N$337,'Snowball workings'!$N$337)+IF('Your debts'!$D$20="Avalanche",'Avalanche workings'!$AH$337,'Snowball workings'!$AH$337))</f>
      </c>
      <c r="K335" s="30">
        <f>IF(OR(330&gt;$Z$1,NOT(OR('Your debts'!$B$8&lt;&gt;"",N('Your debts'!$C$8)&gt;0))),"",IF('Your debts'!$D$20="Avalanche",'Avalanche workings'!$AR$337,'Snowball workings'!$AR$337))</f>
      </c>
      <c r="L335" s="29">
        <f>IF(OR(330&gt;$Z$1,NOT(OR('Your debts'!$B$9&lt;&gt;"",N('Your debts'!$C$9)&gt;0))),"",IF('Your debts'!$D$20="Avalanche",'Avalanche workings'!$O$337,'Snowball workings'!$O$337)+IF('Your debts'!$D$20="Avalanche",'Avalanche workings'!$AI$337,'Snowball workings'!$AI$337))</f>
      </c>
      <c r="M335" s="30">
        <f>IF(OR(330&gt;$Z$1,NOT(OR('Your debts'!$B$9&lt;&gt;"",N('Your debts'!$C$9)&gt;0))),"",IF('Your debts'!$D$20="Avalanche",'Avalanche workings'!$AS$337,'Snowball workings'!$AS$337))</f>
      </c>
      <c r="N335" s="29">
        <f>IF(OR(330&gt;$Z$1,NOT(OR('Your debts'!$B$10&lt;&gt;"",N('Your debts'!$C$10)&gt;0))),"",IF('Your debts'!$D$20="Avalanche",'Avalanche workings'!$P$337,'Snowball workings'!$P$337)+IF('Your debts'!$D$20="Avalanche",'Avalanche workings'!$AJ$337,'Snowball workings'!$AJ$337))</f>
      </c>
      <c r="O335" s="30">
        <f>IF(OR(330&gt;$Z$1,NOT(OR('Your debts'!$B$10&lt;&gt;"",N('Your debts'!$C$10)&gt;0))),"",IF('Your debts'!$D$20="Avalanche",'Avalanche workings'!$AT$337,'Snowball workings'!$AT$337))</f>
      </c>
      <c r="P335" s="29">
        <f>IF(OR(330&gt;$Z$1,NOT(OR('Your debts'!$B$11&lt;&gt;"",N('Your debts'!$C$11)&gt;0))),"",IF('Your debts'!$D$20="Avalanche",'Avalanche workings'!$Q$337,'Snowball workings'!$Q$337)+IF('Your debts'!$D$20="Avalanche",'Avalanche workings'!$AK$337,'Snowball workings'!$AK$337))</f>
      </c>
      <c r="Q335" s="30">
        <f>IF(OR(330&gt;$Z$1,NOT(OR('Your debts'!$B$11&lt;&gt;"",N('Your debts'!$C$11)&gt;0))),"",IF('Your debts'!$D$20="Avalanche",'Avalanche workings'!$AU$337,'Snowball workings'!$AU$337))</f>
      </c>
      <c r="R335" s="29">
        <f>IF(OR(330&gt;$Z$1,NOT(OR('Your debts'!$B$12&lt;&gt;"",N('Your debts'!$C$12)&gt;0))),"",IF('Your debts'!$D$20="Avalanche",'Avalanche workings'!$R$337,'Snowball workings'!$R$337)+IF('Your debts'!$D$20="Avalanche",'Avalanche workings'!$AL$337,'Snowball workings'!$AL$337))</f>
      </c>
      <c r="S335" s="30">
        <f>IF(OR(330&gt;$Z$1,NOT(OR('Your debts'!$B$12&lt;&gt;"",N('Your debts'!$C$12)&gt;0))),"",IF('Your debts'!$D$20="Avalanche",'Avalanche workings'!$AV$337,'Snowball workings'!$AV$337))</f>
      </c>
      <c r="T335" s="29">
        <f>IF(OR(330&gt;$Z$1,NOT(OR('Your debts'!$B$13&lt;&gt;"",N('Your debts'!$C$13)&gt;0))),"",IF('Your debts'!$D$20="Avalanche",'Avalanche workings'!$S$337,'Snowball workings'!$S$337)+IF('Your debts'!$D$20="Avalanche",'Avalanche workings'!$AM$337,'Snowball workings'!$AM$337))</f>
      </c>
      <c r="U335" s="30">
        <f>IF(OR(330&gt;$Z$1,NOT(OR('Your debts'!$B$13&lt;&gt;"",N('Your debts'!$C$13)&gt;0))),"",IF('Your debts'!$D$20="Avalanche",'Avalanche workings'!$AW$337,'Snowball workings'!$AW$337))</f>
      </c>
      <c r="V335" s="29">
        <f>IF(OR(330&gt;$Z$1,NOT(OR('Your debts'!$B$14&lt;&gt;"",N('Your debts'!$C$14)&gt;0))),"",IF('Your debts'!$D$20="Avalanche",'Avalanche workings'!$T$337,'Snowball workings'!$T$337)+IF('Your debts'!$D$20="Avalanche",'Avalanche workings'!$AN$337,'Snowball workings'!$AN$337))</f>
      </c>
      <c r="W335" s="30">
        <f>IF(OR(330&gt;$Z$1,NOT(OR('Your debts'!$B$14&lt;&gt;"",N('Your debts'!$C$14)&gt;0))),"",IF('Your debts'!$D$20="Avalanche",'Avalanche workings'!$AX$337,'Snowball workings'!$AX$337))</f>
      </c>
      <c r="X335" s="29">
        <f>IF(OR(330&gt;$Z$1,NOT(OR('Your debts'!$B$15&lt;&gt;"",N('Your debts'!$C$15)&gt;0))),"",IF('Your debts'!$D$20="Avalanche",'Avalanche workings'!$U$337,'Snowball workings'!$U$337)+IF('Your debts'!$D$20="Avalanche",'Avalanche workings'!$AO$337,'Snowball workings'!$AO$337))</f>
      </c>
      <c r="Y335" s="30">
        <f>IF(OR(330&gt;$Z$1,NOT(OR('Your debts'!$B$15&lt;&gt;"",N('Your debts'!$C$15)&gt;0))),"",IF('Your debts'!$D$20="Avalanche",'Avalanche workings'!$AY$337,'Snowball workings'!$AY$337))</f>
      </c>
    </row>
    <row r="336" spans="1:25" x14ac:dyDescent="0.25">
      <c r="A336" s="2">
        <f>IF(331&gt;$Z$1,"",331)</f>
      </c>
      <c r="B336" s="28">
        <f>IF(331&gt;$Z$1,"",EDATE('Your debts'!$D$21,330))</f>
      </c>
      <c r="C336" s="29">
        <f>IF(331&gt;$Z$1,"",IF('Your debts'!$D$20="Avalanche",'Avalanche workings'!$BC$338,'Snowball workings'!$BC$338))</f>
      </c>
      <c r="D336" s="29">
        <f>IF(331&gt;$Z$1,"",IF('Your debts'!$D$20="Avalanche",'Avalanche workings'!$BA$338,'Snowball workings'!$BA$338))</f>
      </c>
      <c r="E336" s="29">
        <f>IF(331&gt;$Z$1,"",IF('Your debts'!$D$20="Avalanche",'Avalanche workings'!$BB$338,'Snowball workings'!$BB$338))</f>
      </c>
      <c r="F336" s="29">
        <f>IF(OR(331&gt;$Z$1,NOT(OR('Your debts'!$B$6&lt;&gt;"",N('Your debts'!$C$6)&gt;0))),"",IF('Your debts'!$D$20="Avalanche",'Avalanche workings'!$L$338,'Snowball workings'!$L$338)+IF('Your debts'!$D$20="Avalanche",'Avalanche workings'!$AF$338,'Snowball workings'!$AF$338))</f>
      </c>
      <c r="G336" s="30">
        <f>IF(OR(331&gt;$Z$1,NOT(OR('Your debts'!$B$6&lt;&gt;"",N('Your debts'!$C$6)&gt;0))),"",IF('Your debts'!$D$20="Avalanche",'Avalanche workings'!$AP$338,'Snowball workings'!$AP$338))</f>
      </c>
      <c r="H336" s="29">
        <f>IF(OR(331&gt;$Z$1,NOT(OR('Your debts'!$B$7&lt;&gt;"",N('Your debts'!$C$7)&gt;0))),"",IF('Your debts'!$D$20="Avalanche",'Avalanche workings'!$M$338,'Snowball workings'!$M$338)+IF('Your debts'!$D$20="Avalanche",'Avalanche workings'!$AG$338,'Snowball workings'!$AG$338))</f>
      </c>
      <c r="I336" s="30">
        <f>IF(OR(331&gt;$Z$1,NOT(OR('Your debts'!$B$7&lt;&gt;"",N('Your debts'!$C$7)&gt;0))),"",IF('Your debts'!$D$20="Avalanche",'Avalanche workings'!$AQ$338,'Snowball workings'!$AQ$338))</f>
      </c>
      <c r="J336" s="29">
        <f>IF(OR(331&gt;$Z$1,NOT(OR('Your debts'!$B$8&lt;&gt;"",N('Your debts'!$C$8)&gt;0))),"",IF('Your debts'!$D$20="Avalanche",'Avalanche workings'!$N$338,'Snowball workings'!$N$338)+IF('Your debts'!$D$20="Avalanche",'Avalanche workings'!$AH$338,'Snowball workings'!$AH$338))</f>
      </c>
      <c r="K336" s="30">
        <f>IF(OR(331&gt;$Z$1,NOT(OR('Your debts'!$B$8&lt;&gt;"",N('Your debts'!$C$8)&gt;0))),"",IF('Your debts'!$D$20="Avalanche",'Avalanche workings'!$AR$338,'Snowball workings'!$AR$338))</f>
      </c>
      <c r="L336" s="29">
        <f>IF(OR(331&gt;$Z$1,NOT(OR('Your debts'!$B$9&lt;&gt;"",N('Your debts'!$C$9)&gt;0))),"",IF('Your debts'!$D$20="Avalanche",'Avalanche workings'!$O$338,'Snowball workings'!$O$338)+IF('Your debts'!$D$20="Avalanche",'Avalanche workings'!$AI$338,'Snowball workings'!$AI$338))</f>
      </c>
      <c r="M336" s="30">
        <f>IF(OR(331&gt;$Z$1,NOT(OR('Your debts'!$B$9&lt;&gt;"",N('Your debts'!$C$9)&gt;0))),"",IF('Your debts'!$D$20="Avalanche",'Avalanche workings'!$AS$338,'Snowball workings'!$AS$338))</f>
      </c>
      <c r="N336" s="29">
        <f>IF(OR(331&gt;$Z$1,NOT(OR('Your debts'!$B$10&lt;&gt;"",N('Your debts'!$C$10)&gt;0))),"",IF('Your debts'!$D$20="Avalanche",'Avalanche workings'!$P$338,'Snowball workings'!$P$338)+IF('Your debts'!$D$20="Avalanche",'Avalanche workings'!$AJ$338,'Snowball workings'!$AJ$338))</f>
      </c>
      <c r="O336" s="30">
        <f>IF(OR(331&gt;$Z$1,NOT(OR('Your debts'!$B$10&lt;&gt;"",N('Your debts'!$C$10)&gt;0))),"",IF('Your debts'!$D$20="Avalanche",'Avalanche workings'!$AT$338,'Snowball workings'!$AT$338))</f>
      </c>
      <c r="P336" s="29">
        <f>IF(OR(331&gt;$Z$1,NOT(OR('Your debts'!$B$11&lt;&gt;"",N('Your debts'!$C$11)&gt;0))),"",IF('Your debts'!$D$20="Avalanche",'Avalanche workings'!$Q$338,'Snowball workings'!$Q$338)+IF('Your debts'!$D$20="Avalanche",'Avalanche workings'!$AK$338,'Snowball workings'!$AK$338))</f>
      </c>
      <c r="Q336" s="30">
        <f>IF(OR(331&gt;$Z$1,NOT(OR('Your debts'!$B$11&lt;&gt;"",N('Your debts'!$C$11)&gt;0))),"",IF('Your debts'!$D$20="Avalanche",'Avalanche workings'!$AU$338,'Snowball workings'!$AU$338))</f>
      </c>
      <c r="R336" s="29">
        <f>IF(OR(331&gt;$Z$1,NOT(OR('Your debts'!$B$12&lt;&gt;"",N('Your debts'!$C$12)&gt;0))),"",IF('Your debts'!$D$20="Avalanche",'Avalanche workings'!$R$338,'Snowball workings'!$R$338)+IF('Your debts'!$D$20="Avalanche",'Avalanche workings'!$AL$338,'Snowball workings'!$AL$338))</f>
      </c>
      <c r="S336" s="30">
        <f>IF(OR(331&gt;$Z$1,NOT(OR('Your debts'!$B$12&lt;&gt;"",N('Your debts'!$C$12)&gt;0))),"",IF('Your debts'!$D$20="Avalanche",'Avalanche workings'!$AV$338,'Snowball workings'!$AV$338))</f>
      </c>
      <c r="T336" s="29">
        <f>IF(OR(331&gt;$Z$1,NOT(OR('Your debts'!$B$13&lt;&gt;"",N('Your debts'!$C$13)&gt;0))),"",IF('Your debts'!$D$20="Avalanche",'Avalanche workings'!$S$338,'Snowball workings'!$S$338)+IF('Your debts'!$D$20="Avalanche",'Avalanche workings'!$AM$338,'Snowball workings'!$AM$338))</f>
      </c>
      <c r="U336" s="30">
        <f>IF(OR(331&gt;$Z$1,NOT(OR('Your debts'!$B$13&lt;&gt;"",N('Your debts'!$C$13)&gt;0))),"",IF('Your debts'!$D$20="Avalanche",'Avalanche workings'!$AW$338,'Snowball workings'!$AW$338))</f>
      </c>
      <c r="V336" s="29">
        <f>IF(OR(331&gt;$Z$1,NOT(OR('Your debts'!$B$14&lt;&gt;"",N('Your debts'!$C$14)&gt;0))),"",IF('Your debts'!$D$20="Avalanche",'Avalanche workings'!$T$338,'Snowball workings'!$T$338)+IF('Your debts'!$D$20="Avalanche",'Avalanche workings'!$AN$338,'Snowball workings'!$AN$338))</f>
      </c>
      <c r="W336" s="30">
        <f>IF(OR(331&gt;$Z$1,NOT(OR('Your debts'!$B$14&lt;&gt;"",N('Your debts'!$C$14)&gt;0))),"",IF('Your debts'!$D$20="Avalanche",'Avalanche workings'!$AX$338,'Snowball workings'!$AX$338))</f>
      </c>
      <c r="X336" s="29">
        <f>IF(OR(331&gt;$Z$1,NOT(OR('Your debts'!$B$15&lt;&gt;"",N('Your debts'!$C$15)&gt;0))),"",IF('Your debts'!$D$20="Avalanche",'Avalanche workings'!$U$338,'Snowball workings'!$U$338)+IF('Your debts'!$D$20="Avalanche",'Avalanche workings'!$AO$338,'Snowball workings'!$AO$338))</f>
      </c>
      <c r="Y336" s="30">
        <f>IF(OR(331&gt;$Z$1,NOT(OR('Your debts'!$B$15&lt;&gt;"",N('Your debts'!$C$15)&gt;0))),"",IF('Your debts'!$D$20="Avalanche",'Avalanche workings'!$AY$338,'Snowball workings'!$AY$338))</f>
      </c>
    </row>
    <row r="337" spans="1:25" x14ac:dyDescent="0.25">
      <c r="A337" s="2">
        <f>IF(332&gt;$Z$1,"",332)</f>
      </c>
      <c r="B337" s="28">
        <f>IF(332&gt;$Z$1,"",EDATE('Your debts'!$D$21,331))</f>
      </c>
      <c r="C337" s="29">
        <f>IF(332&gt;$Z$1,"",IF('Your debts'!$D$20="Avalanche",'Avalanche workings'!$BC$339,'Snowball workings'!$BC$339))</f>
      </c>
      <c r="D337" s="29">
        <f>IF(332&gt;$Z$1,"",IF('Your debts'!$D$20="Avalanche",'Avalanche workings'!$BA$339,'Snowball workings'!$BA$339))</f>
      </c>
      <c r="E337" s="29">
        <f>IF(332&gt;$Z$1,"",IF('Your debts'!$D$20="Avalanche",'Avalanche workings'!$BB$339,'Snowball workings'!$BB$339))</f>
      </c>
      <c r="F337" s="29">
        <f>IF(OR(332&gt;$Z$1,NOT(OR('Your debts'!$B$6&lt;&gt;"",N('Your debts'!$C$6)&gt;0))),"",IF('Your debts'!$D$20="Avalanche",'Avalanche workings'!$L$339,'Snowball workings'!$L$339)+IF('Your debts'!$D$20="Avalanche",'Avalanche workings'!$AF$339,'Snowball workings'!$AF$339))</f>
      </c>
      <c r="G337" s="30">
        <f>IF(OR(332&gt;$Z$1,NOT(OR('Your debts'!$B$6&lt;&gt;"",N('Your debts'!$C$6)&gt;0))),"",IF('Your debts'!$D$20="Avalanche",'Avalanche workings'!$AP$339,'Snowball workings'!$AP$339))</f>
      </c>
      <c r="H337" s="29">
        <f>IF(OR(332&gt;$Z$1,NOT(OR('Your debts'!$B$7&lt;&gt;"",N('Your debts'!$C$7)&gt;0))),"",IF('Your debts'!$D$20="Avalanche",'Avalanche workings'!$M$339,'Snowball workings'!$M$339)+IF('Your debts'!$D$20="Avalanche",'Avalanche workings'!$AG$339,'Snowball workings'!$AG$339))</f>
      </c>
      <c r="I337" s="30">
        <f>IF(OR(332&gt;$Z$1,NOT(OR('Your debts'!$B$7&lt;&gt;"",N('Your debts'!$C$7)&gt;0))),"",IF('Your debts'!$D$20="Avalanche",'Avalanche workings'!$AQ$339,'Snowball workings'!$AQ$339))</f>
      </c>
      <c r="J337" s="29">
        <f>IF(OR(332&gt;$Z$1,NOT(OR('Your debts'!$B$8&lt;&gt;"",N('Your debts'!$C$8)&gt;0))),"",IF('Your debts'!$D$20="Avalanche",'Avalanche workings'!$N$339,'Snowball workings'!$N$339)+IF('Your debts'!$D$20="Avalanche",'Avalanche workings'!$AH$339,'Snowball workings'!$AH$339))</f>
      </c>
      <c r="K337" s="30">
        <f>IF(OR(332&gt;$Z$1,NOT(OR('Your debts'!$B$8&lt;&gt;"",N('Your debts'!$C$8)&gt;0))),"",IF('Your debts'!$D$20="Avalanche",'Avalanche workings'!$AR$339,'Snowball workings'!$AR$339))</f>
      </c>
      <c r="L337" s="29">
        <f>IF(OR(332&gt;$Z$1,NOT(OR('Your debts'!$B$9&lt;&gt;"",N('Your debts'!$C$9)&gt;0))),"",IF('Your debts'!$D$20="Avalanche",'Avalanche workings'!$O$339,'Snowball workings'!$O$339)+IF('Your debts'!$D$20="Avalanche",'Avalanche workings'!$AI$339,'Snowball workings'!$AI$339))</f>
      </c>
      <c r="M337" s="30">
        <f>IF(OR(332&gt;$Z$1,NOT(OR('Your debts'!$B$9&lt;&gt;"",N('Your debts'!$C$9)&gt;0))),"",IF('Your debts'!$D$20="Avalanche",'Avalanche workings'!$AS$339,'Snowball workings'!$AS$339))</f>
      </c>
      <c r="N337" s="29">
        <f>IF(OR(332&gt;$Z$1,NOT(OR('Your debts'!$B$10&lt;&gt;"",N('Your debts'!$C$10)&gt;0))),"",IF('Your debts'!$D$20="Avalanche",'Avalanche workings'!$P$339,'Snowball workings'!$P$339)+IF('Your debts'!$D$20="Avalanche",'Avalanche workings'!$AJ$339,'Snowball workings'!$AJ$339))</f>
      </c>
      <c r="O337" s="30">
        <f>IF(OR(332&gt;$Z$1,NOT(OR('Your debts'!$B$10&lt;&gt;"",N('Your debts'!$C$10)&gt;0))),"",IF('Your debts'!$D$20="Avalanche",'Avalanche workings'!$AT$339,'Snowball workings'!$AT$339))</f>
      </c>
      <c r="P337" s="29">
        <f>IF(OR(332&gt;$Z$1,NOT(OR('Your debts'!$B$11&lt;&gt;"",N('Your debts'!$C$11)&gt;0))),"",IF('Your debts'!$D$20="Avalanche",'Avalanche workings'!$Q$339,'Snowball workings'!$Q$339)+IF('Your debts'!$D$20="Avalanche",'Avalanche workings'!$AK$339,'Snowball workings'!$AK$339))</f>
      </c>
      <c r="Q337" s="30">
        <f>IF(OR(332&gt;$Z$1,NOT(OR('Your debts'!$B$11&lt;&gt;"",N('Your debts'!$C$11)&gt;0))),"",IF('Your debts'!$D$20="Avalanche",'Avalanche workings'!$AU$339,'Snowball workings'!$AU$339))</f>
      </c>
      <c r="R337" s="29">
        <f>IF(OR(332&gt;$Z$1,NOT(OR('Your debts'!$B$12&lt;&gt;"",N('Your debts'!$C$12)&gt;0))),"",IF('Your debts'!$D$20="Avalanche",'Avalanche workings'!$R$339,'Snowball workings'!$R$339)+IF('Your debts'!$D$20="Avalanche",'Avalanche workings'!$AL$339,'Snowball workings'!$AL$339))</f>
      </c>
      <c r="S337" s="30">
        <f>IF(OR(332&gt;$Z$1,NOT(OR('Your debts'!$B$12&lt;&gt;"",N('Your debts'!$C$12)&gt;0))),"",IF('Your debts'!$D$20="Avalanche",'Avalanche workings'!$AV$339,'Snowball workings'!$AV$339))</f>
      </c>
      <c r="T337" s="29">
        <f>IF(OR(332&gt;$Z$1,NOT(OR('Your debts'!$B$13&lt;&gt;"",N('Your debts'!$C$13)&gt;0))),"",IF('Your debts'!$D$20="Avalanche",'Avalanche workings'!$S$339,'Snowball workings'!$S$339)+IF('Your debts'!$D$20="Avalanche",'Avalanche workings'!$AM$339,'Snowball workings'!$AM$339))</f>
      </c>
      <c r="U337" s="30">
        <f>IF(OR(332&gt;$Z$1,NOT(OR('Your debts'!$B$13&lt;&gt;"",N('Your debts'!$C$13)&gt;0))),"",IF('Your debts'!$D$20="Avalanche",'Avalanche workings'!$AW$339,'Snowball workings'!$AW$339))</f>
      </c>
      <c r="V337" s="29">
        <f>IF(OR(332&gt;$Z$1,NOT(OR('Your debts'!$B$14&lt;&gt;"",N('Your debts'!$C$14)&gt;0))),"",IF('Your debts'!$D$20="Avalanche",'Avalanche workings'!$T$339,'Snowball workings'!$T$339)+IF('Your debts'!$D$20="Avalanche",'Avalanche workings'!$AN$339,'Snowball workings'!$AN$339))</f>
      </c>
      <c r="W337" s="30">
        <f>IF(OR(332&gt;$Z$1,NOT(OR('Your debts'!$B$14&lt;&gt;"",N('Your debts'!$C$14)&gt;0))),"",IF('Your debts'!$D$20="Avalanche",'Avalanche workings'!$AX$339,'Snowball workings'!$AX$339))</f>
      </c>
      <c r="X337" s="29">
        <f>IF(OR(332&gt;$Z$1,NOT(OR('Your debts'!$B$15&lt;&gt;"",N('Your debts'!$C$15)&gt;0))),"",IF('Your debts'!$D$20="Avalanche",'Avalanche workings'!$U$339,'Snowball workings'!$U$339)+IF('Your debts'!$D$20="Avalanche",'Avalanche workings'!$AO$339,'Snowball workings'!$AO$339))</f>
      </c>
      <c r="Y337" s="30">
        <f>IF(OR(332&gt;$Z$1,NOT(OR('Your debts'!$B$15&lt;&gt;"",N('Your debts'!$C$15)&gt;0))),"",IF('Your debts'!$D$20="Avalanche",'Avalanche workings'!$AY$339,'Snowball workings'!$AY$339))</f>
      </c>
    </row>
    <row r="338" spans="1:25" x14ac:dyDescent="0.25">
      <c r="A338" s="2">
        <f>IF(333&gt;$Z$1,"",333)</f>
      </c>
      <c r="B338" s="28">
        <f>IF(333&gt;$Z$1,"",EDATE('Your debts'!$D$21,332))</f>
      </c>
      <c r="C338" s="29">
        <f>IF(333&gt;$Z$1,"",IF('Your debts'!$D$20="Avalanche",'Avalanche workings'!$BC$340,'Snowball workings'!$BC$340))</f>
      </c>
      <c r="D338" s="29">
        <f>IF(333&gt;$Z$1,"",IF('Your debts'!$D$20="Avalanche",'Avalanche workings'!$BA$340,'Snowball workings'!$BA$340))</f>
      </c>
      <c r="E338" s="29">
        <f>IF(333&gt;$Z$1,"",IF('Your debts'!$D$20="Avalanche",'Avalanche workings'!$BB$340,'Snowball workings'!$BB$340))</f>
      </c>
      <c r="F338" s="29">
        <f>IF(OR(333&gt;$Z$1,NOT(OR('Your debts'!$B$6&lt;&gt;"",N('Your debts'!$C$6)&gt;0))),"",IF('Your debts'!$D$20="Avalanche",'Avalanche workings'!$L$340,'Snowball workings'!$L$340)+IF('Your debts'!$D$20="Avalanche",'Avalanche workings'!$AF$340,'Snowball workings'!$AF$340))</f>
      </c>
      <c r="G338" s="30">
        <f>IF(OR(333&gt;$Z$1,NOT(OR('Your debts'!$B$6&lt;&gt;"",N('Your debts'!$C$6)&gt;0))),"",IF('Your debts'!$D$20="Avalanche",'Avalanche workings'!$AP$340,'Snowball workings'!$AP$340))</f>
      </c>
      <c r="H338" s="29">
        <f>IF(OR(333&gt;$Z$1,NOT(OR('Your debts'!$B$7&lt;&gt;"",N('Your debts'!$C$7)&gt;0))),"",IF('Your debts'!$D$20="Avalanche",'Avalanche workings'!$M$340,'Snowball workings'!$M$340)+IF('Your debts'!$D$20="Avalanche",'Avalanche workings'!$AG$340,'Snowball workings'!$AG$340))</f>
      </c>
      <c r="I338" s="30">
        <f>IF(OR(333&gt;$Z$1,NOT(OR('Your debts'!$B$7&lt;&gt;"",N('Your debts'!$C$7)&gt;0))),"",IF('Your debts'!$D$20="Avalanche",'Avalanche workings'!$AQ$340,'Snowball workings'!$AQ$340))</f>
      </c>
      <c r="J338" s="29">
        <f>IF(OR(333&gt;$Z$1,NOT(OR('Your debts'!$B$8&lt;&gt;"",N('Your debts'!$C$8)&gt;0))),"",IF('Your debts'!$D$20="Avalanche",'Avalanche workings'!$N$340,'Snowball workings'!$N$340)+IF('Your debts'!$D$20="Avalanche",'Avalanche workings'!$AH$340,'Snowball workings'!$AH$340))</f>
      </c>
      <c r="K338" s="30">
        <f>IF(OR(333&gt;$Z$1,NOT(OR('Your debts'!$B$8&lt;&gt;"",N('Your debts'!$C$8)&gt;0))),"",IF('Your debts'!$D$20="Avalanche",'Avalanche workings'!$AR$340,'Snowball workings'!$AR$340))</f>
      </c>
      <c r="L338" s="29">
        <f>IF(OR(333&gt;$Z$1,NOT(OR('Your debts'!$B$9&lt;&gt;"",N('Your debts'!$C$9)&gt;0))),"",IF('Your debts'!$D$20="Avalanche",'Avalanche workings'!$O$340,'Snowball workings'!$O$340)+IF('Your debts'!$D$20="Avalanche",'Avalanche workings'!$AI$340,'Snowball workings'!$AI$340))</f>
      </c>
      <c r="M338" s="30">
        <f>IF(OR(333&gt;$Z$1,NOT(OR('Your debts'!$B$9&lt;&gt;"",N('Your debts'!$C$9)&gt;0))),"",IF('Your debts'!$D$20="Avalanche",'Avalanche workings'!$AS$340,'Snowball workings'!$AS$340))</f>
      </c>
      <c r="N338" s="29">
        <f>IF(OR(333&gt;$Z$1,NOT(OR('Your debts'!$B$10&lt;&gt;"",N('Your debts'!$C$10)&gt;0))),"",IF('Your debts'!$D$20="Avalanche",'Avalanche workings'!$P$340,'Snowball workings'!$P$340)+IF('Your debts'!$D$20="Avalanche",'Avalanche workings'!$AJ$340,'Snowball workings'!$AJ$340))</f>
      </c>
      <c r="O338" s="30">
        <f>IF(OR(333&gt;$Z$1,NOT(OR('Your debts'!$B$10&lt;&gt;"",N('Your debts'!$C$10)&gt;0))),"",IF('Your debts'!$D$20="Avalanche",'Avalanche workings'!$AT$340,'Snowball workings'!$AT$340))</f>
      </c>
      <c r="P338" s="29">
        <f>IF(OR(333&gt;$Z$1,NOT(OR('Your debts'!$B$11&lt;&gt;"",N('Your debts'!$C$11)&gt;0))),"",IF('Your debts'!$D$20="Avalanche",'Avalanche workings'!$Q$340,'Snowball workings'!$Q$340)+IF('Your debts'!$D$20="Avalanche",'Avalanche workings'!$AK$340,'Snowball workings'!$AK$340))</f>
      </c>
      <c r="Q338" s="30">
        <f>IF(OR(333&gt;$Z$1,NOT(OR('Your debts'!$B$11&lt;&gt;"",N('Your debts'!$C$11)&gt;0))),"",IF('Your debts'!$D$20="Avalanche",'Avalanche workings'!$AU$340,'Snowball workings'!$AU$340))</f>
      </c>
      <c r="R338" s="29">
        <f>IF(OR(333&gt;$Z$1,NOT(OR('Your debts'!$B$12&lt;&gt;"",N('Your debts'!$C$12)&gt;0))),"",IF('Your debts'!$D$20="Avalanche",'Avalanche workings'!$R$340,'Snowball workings'!$R$340)+IF('Your debts'!$D$20="Avalanche",'Avalanche workings'!$AL$340,'Snowball workings'!$AL$340))</f>
      </c>
      <c r="S338" s="30">
        <f>IF(OR(333&gt;$Z$1,NOT(OR('Your debts'!$B$12&lt;&gt;"",N('Your debts'!$C$12)&gt;0))),"",IF('Your debts'!$D$20="Avalanche",'Avalanche workings'!$AV$340,'Snowball workings'!$AV$340))</f>
      </c>
      <c r="T338" s="29">
        <f>IF(OR(333&gt;$Z$1,NOT(OR('Your debts'!$B$13&lt;&gt;"",N('Your debts'!$C$13)&gt;0))),"",IF('Your debts'!$D$20="Avalanche",'Avalanche workings'!$S$340,'Snowball workings'!$S$340)+IF('Your debts'!$D$20="Avalanche",'Avalanche workings'!$AM$340,'Snowball workings'!$AM$340))</f>
      </c>
      <c r="U338" s="30">
        <f>IF(OR(333&gt;$Z$1,NOT(OR('Your debts'!$B$13&lt;&gt;"",N('Your debts'!$C$13)&gt;0))),"",IF('Your debts'!$D$20="Avalanche",'Avalanche workings'!$AW$340,'Snowball workings'!$AW$340))</f>
      </c>
      <c r="V338" s="29">
        <f>IF(OR(333&gt;$Z$1,NOT(OR('Your debts'!$B$14&lt;&gt;"",N('Your debts'!$C$14)&gt;0))),"",IF('Your debts'!$D$20="Avalanche",'Avalanche workings'!$T$340,'Snowball workings'!$T$340)+IF('Your debts'!$D$20="Avalanche",'Avalanche workings'!$AN$340,'Snowball workings'!$AN$340))</f>
      </c>
      <c r="W338" s="30">
        <f>IF(OR(333&gt;$Z$1,NOT(OR('Your debts'!$B$14&lt;&gt;"",N('Your debts'!$C$14)&gt;0))),"",IF('Your debts'!$D$20="Avalanche",'Avalanche workings'!$AX$340,'Snowball workings'!$AX$340))</f>
      </c>
      <c r="X338" s="29">
        <f>IF(OR(333&gt;$Z$1,NOT(OR('Your debts'!$B$15&lt;&gt;"",N('Your debts'!$C$15)&gt;0))),"",IF('Your debts'!$D$20="Avalanche",'Avalanche workings'!$U$340,'Snowball workings'!$U$340)+IF('Your debts'!$D$20="Avalanche",'Avalanche workings'!$AO$340,'Snowball workings'!$AO$340))</f>
      </c>
      <c r="Y338" s="30">
        <f>IF(OR(333&gt;$Z$1,NOT(OR('Your debts'!$B$15&lt;&gt;"",N('Your debts'!$C$15)&gt;0))),"",IF('Your debts'!$D$20="Avalanche",'Avalanche workings'!$AY$340,'Snowball workings'!$AY$340))</f>
      </c>
    </row>
    <row r="339" spans="1:25" x14ac:dyDescent="0.25">
      <c r="A339" s="2">
        <f>IF(334&gt;$Z$1,"",334)</f>
      </c>
      <c r="B339" s="28">
        <f>IF(334&gt;$Z$1,"",EDATE('Your debts'!$D$21,333))</f>
      </c>
      <c r="C339" s="29">
        <f>IF(334&gt;$Z$1,"",IF('Your debts'!$D$20="Avalanche",'Avalanche workings'!$BC$341,'Snowball workings'!$BC$341))</f>
      </c>
      <c r="D339" s="29">
        <f>IF(334&gt;$Z$1,"",IF('Your debts'!$D$20="Avalanche",'Avalanche workings'!$BA$341,'Snowball workings'!$BA$341))</f>
      </c>
      <c r="E339" s="29">
        <f>IF(334&gt;$Z$1,"",IF('Your debts'!$D$20="Avalanche",'Avalanche workings'!$BB$341,'Snowball workings'!$BB$341))</f>
      </c>
      <c r="F339" s="29">
        <f>IF(OR(334&gt;$Z$1,NOT(OR('Your debts'!$B$6&lt;&gt;"",N('Your debts'!$C$6)&gt;0))),"",IF('Your debts'!$D$20="Avalanche",'Avalanche workings'!$L$341,'Snowball workings'!$L$341)+IF('Your debts'!$D$20="Avalanche",'Avalanche workings'!$AF$341,'Snowball workings'!$AF$341))</f>
      </c>
      <c r="G339" s="30">
        <f>IF(OR(334&gt;$Z$1,NOT(OR('Your debts'!$B$6&lt;&gt;"",N('Your debts'!$C$6)&gt;0))),"",IF('Your debts'!$D$20="Avalanche",'Avalanche workings'!$AP$341,'Snowball workings'!$AP$341))</f>
      </c>
      <c r="H339" s="29">
        <f>IF(OR(334&gt;$Z$1,NOT(OR('Your debts'!$B$7&lt;&gt;"",N('Your debts'!$C$7)&gt;0))),"",IF('Your debts'!$D$20="Avalanche",'Avalanche workings'!$M$341,'Snowball workings'!$M$341)+IF('Your debts'!$D$20="Avalanche",'Avalanche workings'!$AG$341,'Snowball workings'!$AG$341))</f>
      </c>
      <c r="I339" s="30">
        <f>IF(OR(334&gt;$Z$1,NOT(OR('Your debts'!$B$7&lt;&gt;"",N('Your debts'!$C$7)&gt;0))),"",IF('Your debts'!$D$20="Avalanche",'Avalanche workings'!$AQ$341,'Snowball workings'!$AQ$341))</f>
      </c>
      <c r="J339" s="29">
        <f>IF(OR(334&gt;$Z$1,NOT(OR('Your debts'!$B$8&lt;&gt;"",N('Your debts'!$C$8)&gt;0))),"",IF('Your debts'!$D$20="Avalanche",'Avalanche workings'!$N$341,'Snowball workings'!$N$341)+IF('Your debts'!$D$20="Avalanche",'Avalanche workings'!$AH$341,'Snowball workings'!$AH$341))</f>
      </c>
      <c r="K339" s="30">
        <f>IF(OR(334&gt;$Z$1,NOT(OR('Your debts'!$B$8&lt;&gt;"",N('Your debts'!$C$8)&gt;0))),"",IF('Your debts'!$D$20="Avalanche",'Avalanche workings'!$AR$341,'Snowball workings'!$AR$341))</f>
      </c>
      <c r="L339" s="29">
        <f>IF(OR(334&gt;$Z$1,NOT(OR('Your debts'!$B$9&lt;&gt;"",N('Your debts'!$C$9)&gt;0))),"",IF('Your debts'!$D$20="Avalanche",'Avalanche workings'!$O$341,'Snowball workings'!$O$341)+IF('Your debts'!$D$20="Avalanche",'Avalanche workings'!$AI$341,'Snowball workings'!$AI$341))</f>
      </c>
      <c r="M339" s="30">
        <f>IF(OR(334&gt;$Z$1,NOT(OR('Your debts'!$B$9&lt;&gt;"",N('Your debts'!$C$9)&gt;0))),"",IF('Your debts'!$D$20="Avalanche",'Avalanche workings'!$AS$341,'Snowball workings'!$AS$341))</f>
      </c>
      <c r="N339" s="29">
        <f>IF(OR(334&gt;$Z$1,NOT(OR('Your debts'!$B$10&lt;&gt;"",N('Your debts'!$C$10)&gt;0))),"",IF('Your debts'!$D$20="Avalanche",'Avalanche workings'!$P$341,'Snowball workings'!$P$341)+IF('Your debts'!$D$20="Avalanche",'Avalanche workings'!$AJ$341,'Snowball workings'!$AJ$341))</f>
      </c>
      <c r="O339" s="30">
        <f>IF(OR(334&gt;$Z$1,NOT(OR('Your debts'!$B$10&lt;&gt;"",N('Your debts'!$C$10)&gt;0))),"",IF('Your debts'!$D$20="Avalanche",'Avalanche workings'!$AT$341,'Snowball workings'!$AT$341))</f>
      </c>
      <c r="P339" s="29">
        <f>IF(OR(334&gt;$Z$1,NOT(OR('Your debts'!$B$11&lt;&gt;"",N('Your debts'!$C$11)&gt;0))),"",IF('Your debts'!$D$20="Avalanche",'Avalanche workings'!$Q$341,'Snowball workings'!$Q$341)+IF('Your debts'!$D$20="Avalanche",'Avalanche workings'!$AK$341,'Snowball workings'!$AK$341))</f>
      </c>
      <c r="Q339" s="30">
        <f>IF(OR(334&gt;$Z$1,NOT(OR('Your debts'!$B$11&lt;&gt;"",N('Your debts'!$C$11)&gt;0))),"",IF('Your debts'!$D$20="Avalanche",'Avalanche workings'!$AU$341,'Snowball workings'!$AU$341))</f>
      </c>
      <c r="R339" s="29">
        <f>IF(OR(334&gt;$Z$1,NOT(OR('Your debts'!$B$12&lt;&gt;"",N('Your debts'!$C$12)&gt;0))),"",IF('Your debts'!$D$20="Avalanche",'Avalanche workings'!$R$341,'Snowball workings'!$R$341)+IF('Your debts'!$D$20="Avalanche",'Avalanche workings'!$AL$341,'Snowball workings'!$AL$341))</f>
      </c>
      <c r="S339" s="30">
        <f>IF(OR(334&gt;$Z$1,NOT(OR('Your debts'!$B$12&lt;&gt;"",N('Your debts'!$C$12)&gt;0))),"",IF('Your debts'!$D$20="Avalanche",'Avalanche workings'!$AV$341,'Snowball workings'!$AV$341))</f>
      </c>
      <c r="T339" s="29">
        <f>IF(OR(334&gt;$Z$1,NOT(OR('Your debts'!$B$13&lt;&gt;"",N('Your debts'!$C$13)&gt;0))),"",IF('Your debts'!$D$20="Avalanche",'Avalanche workings'!$S$341,'Snowball workings'!$S$341)+IF('Your debts'!$D$20="Avalanche",'Avalanche workings'!$AM$341,'Snowball workings'!$AM$341))</f>
      </c>
      <c r="U339" s="30">
        <f>IF(OR(334&gt;$Z$1,NOT(OR('Your debts'!$B$13&lt;&gt;"",N('Your debts'!$C$13)&gt;0))),"",IF('Your debts'!$D$20="Avalanche",'Avalanche workings'!$AW$341,'Snowball workings'!$AW$341))</f>
      </c>
      <c r="V339" s="29">
        <f>IF(OR(334&gt;$Z$1,NOT(OR('Your debts'!$B$14&lt;&gt;"",N('Your debts'!$C$14)&gt;0))),"",IF('Your debts'!$D$20="Avalanche",'Avalanche workings'!$T$341,'Snowball workings'!$T$341)+IF('Your debts'!$D$20="Avalanche",'Avalanche workings'!$AN$341,'Snowball workings'!$AN$341))</f>
      </c>
      <c r="W339" s="30">
        <f>IF(OR(334&gt;$Z$1,NOT(OR('Your debts'!$B$14&lt;&gt;"",N('Your debts'!$C$14)&gt;0))),"",IF('Your debts'!$D$20="Avalanche",'Avalanche workings'!$AX$341,'Snowball workings'!$AX$341))</f>
      </c>
      <c r="X339" s="29">
        <f>IF(OR(334&gt;$Z$1,NOT(OR('Your debts'!$B$15&lt;&gt;"",N('Your debts'!$C$15)&gt;0))),"",IF('Your debts'!$D$20="Avalanche",'Avalanche workings'!$U$341,'Snowball workings'!$U$341)+IF('Your debts'!$D$20="Avalanche",'Avalanche workings'!$AO$341,'Snowball workings'!$AO$341))</f>
      </c>
      <c r="Y339" s="30">
        <f>IF(OR(334&gt;$Z$1,NOT(OR('Your debts'!$B$15&lt;&gt;"",N('Your debts'!$C$15)&gt;0))),"",IF('Your debts'!$D$20="Avalanche",'Avalanche workings'!$AY$341,'Snowball workings'!$AY$341))</f>
      </c>
    </row>
    <row r="340" spans="1:25" x14ac:dyDescent="0.25">
      <c r="A340" s="2">
        <f>IF(335&gt;$Z$1,"",335)</f>
      </c>
      <c r="B340" s="28">
        <f>IF(335&gt;$Z$1,"",EDATE('Your debts'!$D$21,334))</f>
      </c>
      <c r="C340" s="29">
        <f>IF(335&gt;$Z$1,"",IF('Your debts'!$D$20="Avalanche",'Avalanche workings'!$BC$342,'Snowball workings'!$BC$342))</f>
      </c>
      <c r="D340" s="29">
        <f>IF(335&gt;$Z$1,"",IF('Your debts'!$D$20="Avalanche",'Avalanche workings'!$BA$342,'Snowball workings'!$BA$342))</f>
      </c>
      <c r="E340" s="29">
        <f>IF(335&gt;$Z$1,"",IF('Your debts'!$D$20="Avalanche",'Avalanche workings'!$BB$342,'Snowball workings'!$BB$342))</f>
      </c>
      <c r="F340" s="29">
        <f>IF(OR(335&gt;$Z$1,NOT(OR('Your debts'!$B$6&lt;&gt;"",N('Your debts'!$C$6)&gt;0))),"",IF('Your debts'!$D$20="Avalanche",'Avalanche workings'!$L$342,'Snowball workings'!$L$342)+IF('Your debts'!$D$20="Avalanche",'Avalanche workings'!$AF$342,'Snowball workings'!$AF$342))</f>
      </c>
      <c r="G340" s="30">
        <f>IF(OR(335&gt;$Z$1,NOT(OR('Your debts'!$B$6&lt;&gt;"",N('Your debts'!$C$6)&gt;0))),"",IF('Your debts'!$D$20="Avalanche",'Avalanche workings'!$AP$342,'Snowball workings'!$AP$342))</f>
      </c>
      <c r="H340" s="29">
        <f>IF(OR(335&gt;$Z$1,NOT(OR('Your debts'!$B$7&lt;&gt;"",N('Your debts'!$C$7)&gt;0))),"",IF('Your debts'!$D$20="Avalanche",'Avalanche workings'!$M$342,'Snowball workings'!$M$342)+IF('Your debts'!$D$20="Avalanche",'Avalanche workings'!$AG$342,'Snowball workings'!$AG$342))</f>
      </c>
      <c r="I340" s="30">
        <f>IF(OR(335&gt;$Z$1,NOT(OR('Your debts'!$B$7&lt;&gt;"",N('Your debts'!$C$7)&gt;0))),"",IF('Your debts'!$D$20="Avalanche",'Avalanche workings'!$AQ$342,'Snowball workings'!$AQ$342))</f>
      </c>
      <c r="J340" s="29">
        <f>IF(OR(335&gt;$Z$1,NOT(OR('Your debts'!$B$8&lt;&gt;"",N('Your debts'!$C$8)&gt;0))),"",IF('Your debts'!$D$20="Avalanche",'Avalanche workings'!$N$342,'Snowball workings'!$N$342)+IF('Your debts'!$D$20="Avalanche",'Avalanche workings'!$AH$342,'Snowball workings'!$AH$342))</f>
      </c>
      <c r="K340" s="30">
        <f>IF(OR(335&gt;$Z$1,NOT(OR('Your debts'!$B$8&lt;&gt;"",N('Your debts'!$C$8)&gt;0))),"",IF('Your debts'!$D$20="Avalanche",'Avalanche workings'!$AR$342,'Snowball workings'!$AR$342))</f>
      </c>
      <c r="L340" s="29">
        <f>IF(OR(335&gt;$Z$1,NOT(OR('Your debts'!$B$9&lt;&gt;"",N('Your debts'!$C$9)&gt;0))),"",IF('Your debts'!$D$20="Avalanche",'Avalanche workings'!$O$342,'Snowball workings'!$O$342)+IF('Your debts'!$D$20="Avalanche",'Avalanche workings'!$AI$342,'Snowball workings'!$AI$342))</f>
      </c>
      <c r="M340" s="30">
        <f>IF(OR(335&gt;$Z$1,NOT(OR('Your debts'!$B$9&lt;&gt;"",N('Your debts'!$C$9)&gt;0))),"",IF('Your debts'!$D$20="Avalanche",'Avalanche workings'!$AS$342,'Snowball workings'!$AS$342))</f>
      </c>
      <c r="N340" s="29">
        <f>IF(OR(335&gt;$Z$1,NOT(OR('Your debts'!$B$10&lt;&gt;"",N('Your debts'!$C$10)&gt;0))),"",IF('Your debts'!$D$20="Avalanche",'Avalanche workings'!$P$342,'Snowball workings'!$P$342)+IF('Your debts'!$D$20="Avalanche",'Avalanche workings'!$AJ$342,'Snowball workings'!$AJ$342))</f>
      </c>
      <c r="O340" s="30">
        <f>IF(OR(335&gt;$Z$1,NOT(OR('Your debts'!$B$10&lt;&gt;"",N('Your debts'!$C$10)&gt;0))),"",IF('Your debts'!$D$20="Avalanche",'Avalanche workings'!$AT$342,'Snowball workings'!$AT$342))</f>
      </c>
      <c r="P340" s="29">
        <f>IF(OR(335&gt;$Z$1,NOT(OR('Your debts'!$B$11&lt;&gt;"",N('Your debts'!$C$11)&gt;0))),"",IF('Your debts'!$D$20="Avalanche",'Avalanche workings'!$Q$342,'Snowball workings'!$Q$342)+IF('Your debts'!$D$20="Avalanche",'Avalanche workings'!$AK$342,'Snowball workings'!$AK$342))</f>
      </c>
      <c r="Q340" s="30">
        <f>IF(OR(335&gt;$Z$1,NOT(OR('Your debts'!$B$11&lt;&gt;"",N('Your debts'!$C$11)&gt;0))),"",IF('Your debts'!$D$20="Avalanche",'Avalanche workings'!$AU$342,'Snowball workings'!$AU$342))</f>
      </c>
      <c r="R340" s="29">
        <f>IF(OR(335&gt;$Z$1,NOT(OR('Your debts'!$B$12&lt;&gt;"",N('Your debts'!$C$12)&gt;0))),"",IF('Your debts'!$D$20="Avalanche",'Avalanche workings'!$R$342,'Snowball workings'!$R$342)+IF('Your debts'!$D$20="Avalanche",'Avalanche workings'!$AL$342,'Snowball workings'!$AL$342))</f>
      </c>
      <c r="S340" s="30">
        <f>IF(OR(335&gt;$Z$1,NOT(OR('Your debts'!$B$12&lt;&gt;"",N('Your debts'!$C$12)&gt;0))),"",IF('Your debts'!$D$20="Avalanche",'Avalanche workings'!$AV$342,'Snowball workings'!$AV$342))</f>
      </c>
      <c r="T340" s="29">
        <f>IF(OR(335&gt;$Z$1,NOT(OR('Your debts'!$B$13&lt;&gt;"",N('Your debts'!$C$13)&gt;0))),"",IF('Your debts'!$D$20="Avalanche",'Avalanche workings'!$S$342,'Snowball workings'!$S$342)+IF('Your debts'!$D$20="Avalanche",'Avalanche workings'!$AM$342,'Snowball workings'!$AM$342))</f>
      </c>
      <c r="U340" s="30">
        <f>IF(OR(335&gt;$Z$1,NOT(OR('Your debts'!$B$13&lt;&gt;"",N('Your debts'!$C$13)&gt;0))),"",IF('Your debts'!$D$20="Avalanche",'Avalanche workings'!$AW$342,'Snowball workings'!$AW$342))</f>
      </c>
      <c r="V340" s="29">
        <f>IF(OR(335&gt;$Z$1,NOT(OR('Your debts'!$B$14&lt;&gt;"",N('Your debts'!$C$14)&gt;0))),"",IF('Your debts'!$D$20="Avalanche",'Avalanche workings'!$T$342,'Snowball workings'!$T$342)+IF('Your debts'!$D$20="Avalanche",'Avalanche workings'!$AN$342,'Snowball workings'!$AN$342))</f>
      </c>
      <c r="W340" s="30">
        <f>IF(OR(335&gt;$Z$1,NOT(OR('Your debts'!$B$14&lt;&gt;"",N('Your debts'!$C$14)&gt;0))),"",IF('Your debts'!$D$20="Avalanche",'Avalanche workings'!$AX$342,'Snowball workings'!$AX$342))</f>
      </c>
      <c r="X340" s="29">
        <f>IF(OR(335&gt;$Z$1,NOT(OR('Your debts'!$B$15&lt;&gt;"",N('Your debts'!$C$15)&gt;0))),"",IF('Your debts'!$D$20="Avalanche",'Avalanche workings'!$U$342,'Snowball workings'!$U$342)+IF('Your debts'!$D$20="Avalanche",'Avalanche workings'!$AO$342,'Snowball workings'!$AO$342))</f>
      </c>
      <c r="Y340" s="30">
        <f>IF(OR(335&gt;$Z$1,NOT(OR('Your debts'!$B$15&lt;&gt;"",N('Your debts'!$C$15)&gt;0))),"",IF('Your debts'!$D$20="Avalanche",'Avalanche workings'!$AY$342,'Snowball workings'!$AY$342))</f>
      </c>
    </row>
    <row r="341" spans="1:25" x14ac:dyDescent="0.25">
      <c r="A341" s="2">
        <f>IF(336&gt;$Z$1,"",336)</f>
      </c>
      <c r="B341" s="28">
        <f>IF(336&gt;$Z$1,"",EDATE('Your debts'!$D$21,335))</f>
      </c>
      <c r="C341" s="29">
        <f>IF(336&gt;$Z$1,"",IF('Your debts'!$D$20="Avalanche",'Avalanche workings'!$BC$343,'Snowball workings'!$BC$343))</f>
      </c>
      <c r="D341" s="29">
        <f>IF(336&gt;$Z$1,"",IF('Your debts'!$D$20="Avalanche",'Avalanche workings'!$BA$343,'Snowball workings'!$BA$343))</f>
      </c>
      <c r="E341" s="29">
        <f>IF(336&gt;$Z$1,"",IF('Your debts'!$D$20="Avalanche",'Avalanche workings'!$BB$343,'Snowball workings'!$BB$343))</f>
      </c>
      <c r="F341" s="29">
        <f>IF(OR(336&gt;$Z$1,NOT(OR('Your debts'!$B$6&lt;&gt;"",N('Your debts'!$C$6)&gt;0))),"",IF('Your debts'!$D$20="Avalanche",'Avalanche workings'!$L$343,'Snowball workings'!$L$343)+IF('Your debts'!$D$20="Avalanche",'Avalanche workings'!$AF$343,'Snowball workings'!$AF$343))</f>
      </c>
      <c r="G341" s="30">
        <f>IF(OR(336&gt;$Z$1,NOT(OR('Your debts'!$B$6&lt;&gt;"",N('Your debts'!$C$6)&gt;0))),"",IF('Your debts'!$D$20="Avalanche",'Avalanche workings'!$AP$343,'Snowball workings'!$AP$343))</f>
      </c>
      <c r="H341" s="29">
        <f>IF(OR(336&gt;$Z$1,NOT(OR('Your debts'!$B$7&lt;&gt;"",N('Your debts'!$C$7)&gt;0))),"",IF('Your debts'!$D$20="Avalanche",'Avalanche workings'!$M$343,'Snowball workings'!$M$343)+IF('Your debts'!$D$20="Avalanche",'Avalanche workings'!$AG$343,'Snowball workings'!$AG$343))</f>
      </c>
      <c r="I341" s="30">
        <f>IF(OR(336&gt;$Z$1,NOT(OR('Your debts'!$B$7&lt;&gt;"",N('Your debts'!$C$7)&gt;0))),"",IF('Your debts'!$D$20="Avalanche",'Avalanche workings'!$AQ$343,'Snowball workings'!$AQ$343))</f>
      </c>
      <c r="J341" s="29">
        <f>IF(OR(336&gt;$Z$1,NOT(OR('Your debts'!$B$8&lt;&gt;"",N('Your debts'!$C$8)&gt;0))),"",IF('Your debts'!$D$20="Avalanche",'Avalanche workings'!$N$343,'Snowball workings'!$N$343)+IF('Your debts'!$D$20="Avalanche",'Avalanche workings'!$AH$343,'Snowball workings'!$AH$343))</f>
      </c>
      <c r="K341" s="30">
        <f>IF(OR(336&gt;$Z$1,NOT(OR('Your debts'!$B$8&lt;&gt;"",N('Your debts'!$C$8)&gt;0))),"",IF('Your debts'!$D$20="Avalanche",'Avalanche workings'!$AR$343,'Snowball workings'!$AR$343))</f>
      </c>
      <c r="L341" s="29">
        <f>IF(OR(336&gt;$Z$1,NOT(OR('Your debts'!$B$9&lt;&gt;"",N('Your debts'!$C$9)&gt;0))),"",IF('Your debts'!$D$20="Avalanche",'Avalanche workings'!$O$343,'Snowball workings'!$O$343)+IF('Your debts'!$D$20="Avalanche",'Avalanche workings'!$AI$343,'Snowball workings'!$AI$343))</f>
      </c>
      <c r="M341" s="30">
        <f>IF(OR(336&gt;$Z$1,NOT(OR('Your debts'!$B$9&lt;&gt;"",N('Your debts'!$C$9)&gt;0))),"",IF('Your debts'!$D$20="Avalanche",'Avalanche workings'!$AS$343,'Snowball workings'!$AS$343))</f>
      </c>
      <c r="N341" s="29">
        <f>IF(OR(336&gt;$Z$1,NOT(OR('Your debts'!$B$10&lt;&gt;"",N('Your debts'!$C$10)&gt;0))),"",IF('Your debts'!$D$20="Avalanche",'Avalanche workings'!$P$343,'Snowball workings'!$P$343)+IF('Your debts'!$D$20="Avalanche",'Avalanche workings'!$AJ$343,'Snowball workings'!$AJ$343))</f>
      </c>
      <c r="O341" s="30">
        <f>IF(OR(336&gt;$Z$1,NOT(OR('Your debts'!$B$10&lt;&gt;"",N('Your debts'!$C$10)&gt;0))),"",IF('Your debts'!$D$20="Avalanche",'Avalanche workings'!$AT$343,'Snowball workings'!$AT$343))</f>
      </c>
      <c r="P341" s="29">
        <f>IF(OR(336&gt;$Z$1,NOT(OR('Your debts'!$B$11&lt;&gt;"",N('Your debts'!$C$11)&gt;0))),"",IF('Your debts'!$D$20="Avalanche",'Avalanche workings'!$Q$343,'Snowball workings'!$Q$343)+IF('Your debts'!$D$20="Avalanche",'Avalanche workings'!$AK$343,'Snowball workings'!$AK$343))</f>
      </c>
      <c r="Q341" s="30">
        <f>IF(OR(336&gt;$Z$1,NOT(OR('Your debts'!$B$11&lt;&gt;"",N('Your debts'!$C$11)&gt;0))),"",IF('Your debts'!$D$20="Avalanche",'Avalanche workings'!$AU$343,'Snowball workings'!$AU$343))</f>
      </c>
      <c r="R341" s="29">
        <f>IF(OR(336&gt;$Z$1,NOT(OR('Your debts'!$B$12&lt;&gt;"",N('Your debts'!$C$12)&gt;0))),"",IF('Your debts'!$D$20="Avalanche",'Avalanche workings'!$R$343,'Snowball workings'!$R$343)+IF('Your debts'!$D$20="Avalanche",'Avalanche workings'!$AL$343,'Snowball workings'!$AL$343))</f>
      </c>
      <c r="S341" s="30">
        <f>IF(OR(336&gt;$Z$1,NOT(OR('Your debts'!$B$12&lt;&gt;"",N('Your debts'!$C$12)&gt;0))),"",IF('Your debts'!$D$20="Avalanche",'Avalanche workings'!$AV$343,'Snowball workings'!$AV$343))</f>
      </c>
      <c r="T341" s="29">
        <f>IF(OR(336&gt;$Z$1,NOT(OR('Your debts'!$B$13&lt;&gt;"",N('Your debts'!$C$13)&gt;0))),"",IF('Your debts'!$D$20="Avalanche",'Avalanche workings'!$S$343,'Snowball workings'!$S$343)+IF('Your debts'!$D$20="Avalanche",'Avalanche workings'!$AM$343,'Snowball workings'!$AM$343))</f>
      </c>
      <c r="U341" s="30">
        <f>IF(OR(336&gt;$Z$1,NOT(OR('Your debts'!$B$13&lt;&gt;"",N('Your debts'!$C$13)&gt;0))),"",IF('Your debts'!$D$20="Avalanche",'Avalanche workings'!$AW$343,'Snowball workings'!$AW$343))</f>
      </c>
      <c r="V341" s="29">
        <f>IF(OR(336&gt;$Z$1,NOT(OR('Your debts'!$B$14&lt;&gt;"",N('Your debts'!$C$14)&gt;0))),"",IF('Your debts'!$D$20="Avalanche",'Avalanche workings'!$T$343,'Snowball workings'!$T$343)+IF('Your debts'!$D$20="Avalanche",'Avalanche workings'!$AN$343,'Snowball workings'!$AN$343))</f>
      </c>
      <c r="W341" s="30">
        <f>IF(OR(336&gt;$Z$1,NOT(OR('Your debts'!$B$14&lt;&gt;"",N('Your debts'!$C$14)&gt;0))),"",IF('Your debts'!$D$20="Avalanche",'Avalanche workings'!$AX$343,'Snowball workings'!$AX$343))</f>
      </c>
      <c r="X341" s="29">
        <f>IF(OR(336&gt;$Z$1,NOT(OR('Your debts'!$B$15&lt;&gt;"",N('Your debts'!$C$15)&gt;0))),"",IF('Your debts'!$D$20="Avalanche",'Avalanche workings'!$U$343,'Snowball workings'!$U$343)+IF('Your debts'!$D$20="Avalanche",'Avalanche workings'!$AO$343,'Snowball workings'!$AO$343))</f>
      </c>
      <c r="Y341" s="30">
        <f>IF(OR(336&gt;$Z$1,NOT(OR('Your debts'!$B$15&lt;&gt;"",N('Your debts'!$C$15)&gt;0))),"",IF('Your debts'!$D$20="Avalanche",'Avalanche workings'!$AY$343,'Snowball workings'!$AY$343))</f>
      </c>
    </row>
    <row r="342" spans="1:25" x14ac:dyDescent="0.25">
      <c r="A342" s="2">
        <f>IF(337&gt;$Z$1,"",337)</f>
      </c>
      <c r="B342" s="28">
        <f>IF(337&gt;$Z$1,"",EDATE('Your debts'!$D$21,336))</f>
      </c>
      <c r="C342" s="29">
        <f>IF(337&gt;$Z$1,"",IF('Your debts'!$D$20="Avalanche",'Avalanche workings'!$BC$344,'Snowball workings'!$BC$344))</f>
      </c>
      <c r="D342" s="29">
        <f>IF(337&gt;$Z$1,"",IF('Your debts'!$D$20="Avalanche",'Avalanche workings'!$BA$344,'Snowball workings'!$BA$344))</f>
      </c>
      <c r="E342" s="29">
        <f>IF(337&gt;$Z$1,"",IF('Your debts'!$D$20="Avalanche",'Avalanche workings'!$BB$344,'Snowball workings'!$BB$344))</f>
      </c>
      <c r="F342" s="29">
        <f>IF(OR(337&gt;$Z$1,NOT(OR('Your debts'!$B$6&lt;&gt;"",N('Your debts'!$C$6)&gt;0))),"",IF('Your debts'!$D$20="Avalanche",'Avalanche workings'!$L$344,'Snowball workings'!$L$344)+IF('Your debts'!$D$20="Avalanche",'Avalanche workings'!$AF$344,'Snowball workings'!$AF$344))</f>
      </c>
      <c r="G342" s="30">
        <f>IF(OR(337&gt;$Z$1,NOT(OR('Your debts'!$B$6&lt;&gt;"",N('Your debts'!$C$6)&gt;0))),"",IF('Your debts'!$D$20="Avalanche",'Avalanche workings'!$AP$344,'Snowball workings'!$AP$344))</f>
      </c>
      <c r="H342" s="29">
        <f>IF(OR(337&gt;$Z$1,NOT(OR('Your debts'!$B$7&lt;&gt;"",N('Your debts'!$C$7)&gt;0))),"",IF('Your debts'!$D$20="Avalanche",'Avalanche workings'!$M$344,'Snowball workings'!$M$344)+IF('Your debts'!$D$20="Avalanche",'Avalanche workings'!$AG$344,'Snowball workings'!$AG$344))</f>
      </c>
      <c r="I342" s="30">
        <f>IF(OR(337&gt;$Z$1,NOT(OR('Your debts'!$B$7&lt;&gt;"",N('Your debts'!$C$7)&gt;0))),"",IF('Your debts'!$D$20="Avalanche",'Avalanche workings'!$AQ$344,'Snowball workings'!$AQ$344))</f>
      </c>
      <c r="J342" s="29">
        <f>IF(OR(337&gt;$Z$1,NOT(OR('Your debts'!$B$8&lt;&gt;"",N('Your debts'!$C$8)&gt;0))),"",IF('Your debts'!$D$20="Avalanche",'Avalanche workings'!$N$344,'Snowball workings'!$N$344)+IF('Your debts'!$D$20="Avalanche",'Avalanche workings'!$AH$344,'Snowball workings'!$AH$344))</f>
      </c>
      <c r="K342" s="30">
        <f>IF(OR(337&gt;$Z$1,NOT(OR('Your debts'!$B$8&lt;&gt;"",N('Your debts'!$C$8)&gt;0))),"",IF('Your debts'!$D$20="Avalanche",'Avalanche workings'!$AR$344,'Snowball workings'!$AR$344))</f>
      </c>
      <c r="L342" s="29">
        <f>IF(OR(337&gt;$Z$1,NOT(OR('Your debts'!$B$9&lt;&gt;"",N('Your debts'!$C$9)&gt;0))),"",IF('Your debts'!$D$20="Avalanche",'Avalanche workings'!$O$344,'Snowball workings'!$O$344)+IF('Your debts'!$D$20="Avalanche",'Avalanche workings'!$AI$344,'Snowball workings'!$AI$344))</f>
      </c>
      <c r="M342" s="30">
        <f>IF(OR(337&gt;$Z$1,NOT(OR('Your debts'!$B$9&lt;&gt;"",N('Your debts'!$C$9)&gt;0))),"",IF('Your debts'!$D$20="Avalanche",'Avalanche workings'!$AS$344,'Snowball workings'!$AS$344))</f>
      </c>
      <c r="N342" s="29">
        <f>IF(OR(337&gt;$Z$1,NOT(OR('Your debts'!$B$10&lt;&gt;"",N('Your debts'!$C$10)&gt;0))),"",IF('Your debts'!$D$20="Avalanche",'Avalanche workings'!$P$344,'Snowball workings'!$P$344)+IF('Your debts'!$D$20="Avalanche",'Avalanche workings'!$AJ$344,'Snowball workings'!$AJ$344))</f>
      </c>
      <c r="O342" s="30">
        <f>IF(OR(337&gt;$Z$1,NOT(OR('Your debts'!$B$10&lt;&gt;"",N('Your debts'!$C$10)&gt;0))),"",IF('Your debts'!$D$20="Avalanche",'Avalanche workings'!$AT$344,'Snowball workings'!$AT$344))</f>
      </c>
      <c r="P342" s="29">
        <f>IF(OR(337&gt;$Z$1,NOT(OR('Your debts'!$B$11&lt;&gt;"",N('Your debts'!$C$11)&gt;0))),"",IF('Your debts'!$D$20="Avalanche",'Avalanche workings'!$Q$344,'Snowball workings'!$Q$344)+IF('Your debts'!$D$20="Avalanche",'Avalanche workings'!$AK$344,'Snowball workings'!$AK$344))</f>
      </c>
      <c r="Q342" s="30">
        <f>IF(OR(337&gt;$Z$1,NOT(OR('Your debts'!$B$11&lt;&gt;"",N('Your debts'!$C$11)&gt;0))),"",IF('Your debts'!$D$20="Avalanche",'Avalanche workings'!$AU$344,'Snowball workings'!$AU$344))</f>
      </c>
      <c r="R342" s="29">
        <f>IF(OR(337&gt;$Z$1,NOT(OR('Your debts'!$B$12&lt;&gt;"",N('Your debts'!$C$12)&gt;0))),"",IF('Your debts'!$D$20="Avalanche",'Avalanche workings'!$R$344,'Snowball workings'!$R$344)+IF('Your debts'!$D$20="Avalanche",'Avalanche workings'!$AL$344,'Snowball workings'!$AL$344))</f>
      </c>
      <c r="S342" s="30">
        <f>IF(OR(337&gt;$Z$1,NOT(OR('Your debts'!$B$12&lt;&gt;"",N('Your debts'!$C$12)&gt;0))),"",IF('Your debts'!$D$20="Avalanche",'Avalanche workings'!$AV$344,'Snowball workings'!$AV$344))</f>
      </c>
      <c r="T342" s="29">
        <f>IF(OR(337&gt;$Z$1,NOT(OR('Your debts'!$B$13&lt;&gt;"",N('Your debts'!$C$13)&gt;0))),"",IF('Your debts'!$D$20="Avalanche",'Avalanche workings'!$S$344,'Snowball workings'!$S$344)+IF('Your debts'!$D$20="Avalanche",'Avalanche workings'!$AM$344,'Snowball workings'!$AM$344))</f>
      </c>
      <c r="U342" s="30">
        <f>IF(OR(337&gt;$Z$1,NOT(OR('Your debts'!$B$13&lt;&gt;"",N('Your debts'!$C$13)&gt;0))),"",IF('Your debts'!$D$20="Avalanche",'Avalanche workings'!$AW$344,'Snowball workings'!$AW$344))</f>
      </c>
      <c r="V342" s="29">
        <f>IF(OR(337&gt;$Z$1,NOT(OR('Your debts'!$B$14&lt;&gt;"",N('Your debts'!$C$14)&gt;0))),"",IF('Your debts'!$D$20="Avalanche",'Avalanche workings'!$T$344,'Snowball workings'!$T$344)+IF('Your debts'!$D$20="Avalanche",'Avalanche workings'!$AN$344,'Snowball workings'!$AN$344))</f>
      </c>
      <c r="W342" s="30">
        <f>IF(OR(337&gt;$Z$1,NOT(OR('Your debts'!$B$14&lt;&gt;"",N('Your debts'!$C$14)&gt;0))),"",IF('Your debts'!$D$20="Avalanche",'Avalanche workings'!$AX$344,'Snowball workings'!$AX$344))</f>
      </c>
      <c r="X342" s="29">
        <f>IF(OR(337&gt;$Z$1,NOT(OR('Your debts'!$B$15&lt;&gt;"",N('Your debts'!$C$15)&gt;0))),"",IF('Your debts'!$D$20="Avalanche",'Avalanche workings'!$U$344,'Snowball workings'!$U$344)+IF('Your debts'!$D$20="Avalanche",'Avalanche workings'!$AO$344,'Snowball workings'!$AO$344))</f>
      </c>
      <c r="Y342" s="30">
        <f>IF(OR(337&gt;$Z$1,NOT(OR('Your debts'!$B$15&lt;&gt;"",N('Your debts'!$C$15)&gt;0))),"",IF('Your debts'!$D$20="Avalanche",'Avalanche workings'!$AY$344,'Snowball workings'!$AY$344))</f>
      </c>
    </row>
    <row r="343" spans="1:25" x14ac:dyDescent="0.25">
      <c r="A343" s="2">
        <f>IF(338&gt;$Z$1,"",338)</f>
      </c>
      <c r="B343" s="28">
        <f>IF(338&gt;$Z$1,"",EDATE('Your debts'!$D$21,337))</f>
      </c>
      <c r="C343" s="29">
        <f>IF(338&gt;$Z$1,"",IF('Your debts'!$D$20="Avalanche",'Avalanche workings'!$BC$345,'Snowball workings'!$BC$345))</f>
      </c>
      <c r="D343" s="29">
        <f>IF(338&gt;$Z$1,"",IF('Your debts'!$D$20="Avalanche",'Avalanche workings'!$BA$345,'Snowball workings'!$BA$345))</f>
      </c>
      <c r="E343" s="29">
        <f>IF(338&gt;$Z$1,"",IF('Your debts'!$D$20="Avalanche",'Avalanche workings'!$BB$345,'Snowball workings'!$BB$345))</f>
      </c>
      <c r="F343" s="29">
        <f>IF(OR(338&gt;$Z$1,NOT(OR('Your debts'!$B$6&lt;&gt;"",N('Your debts'!$C$6)&gt;0))),"",IF('Your debts'!$D$20="Avalanche",'Avalanche workings'!$L$345,'Snowball workings'!$L$345)+IF('Your debts'!$D$20="Avalanche",'Avalanche workings'!$AF$345,'Snowball workings'!$AF$345))</f>
      </c>
      <c r="G343" s="30">
        <f>IF(OR(338&gt;$Z$1,NOT(OR('Your debts'!$B$6&lt;&gt;"",N('Your debts'!$C$6)&gt;0))),"",IF('Your debts'!$D$20="Avalanche",'Avalanche workings'!$AP$345,'Snowball workings'!$AP$345))</f>
      </c>
      <c r="H343" s="29">
        <f>IF(OR(338&gt;$Z$1,NOT(OR('Your debts'!$B$7&lt;&gt;"",N('Your debts'!$C$7)&gt;0))),"",IF('Your debts'!$D$20="Avalanche",'Avalanche workings'!$M$345,'Snowball workings'!$M$345)+IF('Your debts'!$D$20="Avalanche",'Avalanche workings'!$AG$345,'Snowball workings'!$AG$345))</f>
      </c>
      <c r="I343" s="30">
        <f>IF(OR(338&gt;$Z$1,NOT(OR('Your debts'!$B$7&lt;&gt;"",N('Your debts'!$C$7)&gt;0))),"",IF('Your debts'!$D$20="Avalanche",'Avalanche workings'!$AQ$345,'Snowball workings'!$AQ$345))</f>
      </c>
      <c r="J343" s="29">
        <f>IF(OR(338&gt;$Z$1,NOT(OR('Your debts'!$B$8&lt;&gt;"",N('Your debts'!$C$8)&gt;0))),"",IF('Your debts'!$D$20="Avalanche",'Avalanche workings'!$N$345,'Snowball workings'!$N$345)+IF('Your debts'!$D$20="Avalanche",'Avalanche workings'!$AH$345,'Snowball workings'!$AH$345))</f>
      </c>
      <c r="K343" s="30">
        <f>IF(OR(338&gt;$Z$1,NOT(OR('Your debts'!$B$8&lt;&gt;"",N('Your debts'!$C$8)&gt;0))),"",IF('Your debts'!$D$20="Avalanche",'Avalanche workings'!$AR$345,'Snowball workings'!$AR$345))</f>
      </c>
      <c r="L343" s="29">
        <f>IF(OR(338&gt;$Z$1,NOT(OR('Your debts'!$B$9&lt;&gt;"",N('Your debts'!$C$9)&gt;0))),"",IF('Your debts'!$D$20="Avalanche",'Avalanche workings'!$O$345,'Snowball workings'!$O$345)+IF('Your debts'!$D$20="Avalanche",'Avalanche workings'!$AI$345,'Snowball workings'!$AI$345))</f>
      </c>
      <c r="M343" s="30">
        <f>IF(OR(338&gt;$Z$1,NOT(OR('Your debts'!$B$9&lt;&gt;"",N('Your debts'!$C$9)&gt;0))),"",IF('Your debts'!$D$20="Avalanche",'Avalanche workings'!$AS$345,'Snowball workings'!$AS$345))</f>
      </c>
      <c r="N343" s="29">
        <f>IF(OR(338&gt;$Z$1,NOT(OR('Your debts'!$B$10&lt;&gt;"",N('Your debts'!$C$10)&gt;0))),"",IF('Your debts'!$D$20="Avalanche",'Avalanche workings'!$P$345,'Snowball workings'!$P$345)+IF('Your debts'!$D$20="Avalanche",'Avalanche workings'!$AJ$345,'Snowball workings'!$AJ$345))</f>
      </c>
      <c r="O343" s="30">
        <f>IF(OR(338&gt;$Z$1,NOT(OR('Your debts'!$B$10&lt;&gt;"",N('Your debts'!$C$10)&gt;0))),"",IF('Your debts'!$D$20="Avalanche",'Avalanche workings'!$AT$345,'Snowball workings'!$AT$345))</f>
      </c>
      <c r="P343" s="29">
        <f>IF(OR(338&gt;$Z$1,NOT(OR('Your debts'!$B$11&lt;&gt;"",N('Your debts'!$C$11)&gt;0))),"",IF('Your debts'!$D$20="Avalanche",'Avalanche workings'!$Q$345,'Snowball workings'!$Q$345)+IF('Your debts'!$D$20="Avalanche",'Avalanche workings'!$AK$345,'Snowball workings'!$AK$345))</f>
      </c>
      <c r="Q343" s="30">
        <f>IF(OR(338&gt;$Z$1,NOT(OR('Your debts'!$B$11&lt;&gt;"",N('Your debts'!$C$11)&gt;0))),"",IF('Your debts'!$D$20="Avalanche",'Avalanche workings'!$AU$345,'Snowball workings'!$AU$345))</f>
      </c>
      <c r="R343" s="29">
        <f>IF(OR(338&gt;$Z$1,NOT(OR('Your debts'!$B$12&lt;&gt;"",N('Your debts'!$C$12)&gt;0))),"",IF('Your debts'!$D$20="Avalanche",'Avalanche workings'!$R$345,'Snowball workings'!$R$345)+IF('Your debts'!$D$20="Avalanche",'Avalanche workings'!$AL$345,'Snowball workings'!$AL$345))</f>
      </c>
      <c r="S343" s="30">
        <f>IF(OR(338&gt;$Z$1,NOT(OR('Your debts'!$B$12&lt;&gt;"",N('Your debts'!$C$12)&gt;0))),"",IF('Your debts'!$D$20="Avalanche",'Avalanche workings'!$AV$345,'Snowball workings'!$AV$345))</f>
      </c>
      <c r="T343" s="29">
        <f>IF(OR(338&gt;$Z$1,NOT(OR('Your debts'!$B$13&lt;&gt;"",N('Your debts'!$C$13)&gt;0))),"",IF('Your debts'!$D$20="Avalanche",'Avalanche workings'!$S$345,'Snowball workings'!$S$345)+IF('Your debts'!$D$20="Avalanche",'Avalanche workings'!$AM$345,'Snowball workings'!$AM$345))</f>
      </c>
      <c r="U343" s="30">
        <f>IF(OR(338&gt;$Z$1,NOT(OR('Your debts'!$B$13&lt;&gt;"",N('Your debts'!$C$13)&gt;0))),"",IF('Your debts'!$D$20="Avalanche",'Avalanche workings'!$AW$345,'Snowball workings'!$AW$345))</f>
      </c>
      <c r="V343" s="29">
        <f>IF(OR(338&gt;$Z$1,NOT(OR('Your debts'!$B$14&lt;&gt;"",N('Your debts'!$C$14)&gt;0))),"",IF('Your debts'!$D$20="Avalanche",'Avalanche workings'!$T$345,'Snowball workings'!$T$345)+IF('Your debts'!$D$20="Avalanche",'Avalanche workings'!$AN$345,'Snowball workings'!$AN$345))</f>
      </c>
      <c r="W343" s="30">
        <f>IF(OR(338&gt;$Z$1,NOT(OR('Your debts'!$B$14&lt;&gt;"",N('Your debts'!$C$14)&gt;0))),"",IF('Your debts'!$D$20="Avalanche",'Avalanche workings'!$AX$345,'Snowball workings'!$AX$345))</f>
      </c>
      <c r="X343" s="29">
        <f>IF(OR(338&gt;$Z$1,NOT(OR('Your debts'!$B$15&lt;&gt;"",N('Your debts'!$C$15)&gt;0))),"",IF('Your debts'!$D$20="Avalanche",'Avalanche workings'!$U$345,'Snowball workings'!$U$345)+IF('Your debts'!$D$20="Avalanche",'Avalanche workings'!$AO$345,'Snowball workings'!$AO$345))</f>
      </c>
      <c r="Y343" s="30">
        <f>IF(OR(338&gt;$Z$1,NOT(OR('Your debts'!$B$15&lt;&gt;"",N('Your debts'!$C$15)&gt;0))),"",IF('Your debts'!$D$20="Avalanche",'Avalanche workings'!$AY$345,'Snowball workings'!$AY$345))</f>
      </c>
    </row>
    <row r="344" spans="1:25" x14ac:dyDescent="0.25">
      <c r="A344" s="2">
        <f>IF(339&gt;$Z$1,"",339)</f>
      </c>
      <c r="B344" s="28">
        <f>IF(339&gt;$Z$1,"",EDATE('Your debts'!$D$21,338))</f>
      </c>
      <c r="C344" s="29">
        <f>IF(339&gt;$Z$1,"",IF('Your debts'!$D$20="Avalanche",'Avalanche workings'!$BC$346,'Snowball workings'!$BC$346))</f>
      </c>
      <c r="D344" s="29">
        <f>IF(339&gt;$Z$1,"",IF('Your debts'!$D$20="Avalanche",'Avalanche workings'!$BA$346,'Snowball workings'!$BA$346))</f>
      </c>
      <c r="E344" s="29">
        <f>IF(339&gt;$Z$1,"",IF('Your debts'!$D$20="Avalanche",'Avalanche workings'!$BB$346,'Snowball workings'!$BB$346))</f>
      </c>
      <c r="F344" s="29">
        <f>IF(OR(339&gt;$Z$1,NOT(OR('Your debts'!$B$6&lt;&gt;"",N('Your debts'!$C$6)&gt;0))),"",IF('Your debts'!$D$20="Avalanche",'Avalanche workings'!$L$346,'Snowball workings'!$L$346)+IF('Your debts'!$D$20="Avalanche",'Avalanche workings'!$AF$346,'Snowball workings'!$AF$346))</f>
      </c>
      <c r="G344" s="30">
        <f>IF(OR(339&gt;$Z$1,NOT(OR('Your debts'!$B$6&lt;&gt;"",N('Your debts'!$C$6)&gt;0))),"",IF('Your debts'!$D$20="Avalanche",'Avalanche workings'!$AP$346,'Snowball workings'!$AP$346))</f>
      </c>
      <c r="H344" s="29">
        <f>IF(OR(339&gt;$Z$1,NOT(OR('Your debts'!$B$7&lt;&gt;"",N('Your debts'!$C$7)&gt;0))),"",IF('Your debts'!$D$20="Avalanche",'Avalanche workings'!$M$346,'Snowball workings'!$M$346)+IF('Your debts'!$D$20="Avalanche",'Avalanche workings'!$AG$346,'Snowball workings'!$AG$346))</f>
      </c>
      <c r="I344" s="30">
        <f>IF(OR(339&gt;$Z$1,NOT(OR('Your debts'!$B$7&lt;&gt;"",N('Your debts'!$C$7)&gt;0))),"",IF('Your debts'!$D$20="Avalanche",'Avalanche workings'!$AQ$346,'Snowball workings'!$AQ$346))</f>
      </c>
      <c r="J344" s="29">
        <f>IF(OR(339&gt;$Z$1,NOT(OR('Your debts'!$B$8&lt;&gt;"",N('Your debts'!$C$8)&gt;0))),"",IF('Your debts'!$D$20="Avalanche",'Avalanche workings'!$N$346,'Snowball workings'!$N$346)+IF('Your debts'!$D$20="Avalanche",'Avalanche workings'!$AH$346,'Snowball workings'!$AH$346))</f>
      </c>
      <c r="K344" s="30">
        <f>IF(OR(339&gt;$Z$1,NOT(OR('Your debts'!$B$8&lt;&gt;"",N('Your debts'!$C$8)&gt;0))),"",IF('Your debts'!$D$20="Avalanche",'Avalanche workings'!$AR$346,'Snowball workings'!$AR$346))</f>
      </c>
      <c r="L344" s="29">
        <f>IF(OR(339&gt;$Z$1,NOT(OR('Your debts'!$B$9&lt;&gt;"",N('Your debts'!$C$9)&gt;0))),"",IF('Your debts'!$D$20="Avalanche",'Avalanche workings'!$O$346,'Snowball workings'!$O$346)+IF('Your debts'!$D$20="Avalanche",'Avalanche workings'!$AI$346,'Snowball workings'!$AI$346))</f>
      </c>
      <c r="M344" s="30">
        <f>IF(OR(339&gt;$Z$1,NOT(OR('Your debts'!$B$9&lt;&gt;"",N('Your debts'!$C$9)&gt;0))),"",IF('Your debts'!$D$20="Avalanche",'Avalanche workings'!$AS$346,'Snowball workings'!$AS$346))</f>
      </c>
      <c r="N344" s="29">
        <f>IF(OR(339&gt;$Z$1,NOT(OR('Your debts'!$B$10&lt;&gt;"",N('Your debts'!$C$10)&gt;0))),"",IF('Your debts'!$D$20="Avalanche",'Avalanche workings'!$P$346,'Snowball workings'!$P$346)+IF('Your debts'!$D$20="Avalanche",'Avalanche workings'!$AJ$346,'Snowball workings'!$AJ$346))</f>
      </c>
      <c r="O344" s="30">
        <f>IF(OR(339&gt;$Z$1,NOT(OR('Your debts'!$B$10&lt;&gt;"",N('Your debts'!$C$10)&gt;0))),"",IF('Your debts'!$D$20="Avalanche",'Avalanche workings'!$AT$346,'Snowball workings'!$AT$346))</f>
      </c>
      <c r="P344" s="29">
        <f>IF(OR(339&gt;$Z$1,NOT(OR('Your debts'!$B$11&lt;&gt;"",N('Your debts'!$C$11)&gt;0))),"",IF('Your debts'!$D$20="Avalanche",'Avalanche workings'!$Q$346,'Snowball workings'!$Q$346)+IF('Your debts'!$D$20="Avalanche",'Avalanche workings'!$AK$346,'Snowball workings'!$AK$346))</f>
      </c>
      <c r="Q344" s="30">
        <f>IF(OR(339&gt;$Z$1,NOT(OR('Your debts'!$B$11&lt;&gt;"",N('Your debts'!$C$11)&gt;0))),"",IF('Your debts'!$D$20="Avalanche",'Avalanche workings'!$AU$346,'Snowball workings'!$AU$346))</f>
      </c>
      <c r="R344" s="29">
        <f>IF(OR(339&gt;$Z$1,NOT(OR('Your debts'!$B$12&lt;&gt;"",N('Your debts'!$C$12)&gt;0))),"",IF('Your debts'!$D$20="Avalanche",'Avalanche workings'!$R$346,'Snowball workings'!$R$346)+IF('Your debts'!$D$20="Avalanche",'Avalanche workings'!$AL$346,'Snowball workings'!$AL$346))</f>
      </c>
      <c r="S344" s="30">
        <f>IF(OR(339&gt;$Z$1,NOT(OR('Your debts'!$B$12&lt;&gt;"",N('Your debts'!$C$12)&gt;0))),"",IF('Your debts'!$D$20="Avalanche",'Avalanche workings'!$AV$346,'Snowball workings'!$AV$346))</f>
      </c>
      <c r="T344" s="29">
        <f>IF(OR(339&gt;$Z$1,NOT(OR('Your debts'!$B$13&lt;&gt;"",N('Your debts'!$C$13)&gt;0))),"",IF('Your debts'!$D$20="Avalanche",'Avalanche workings'!$S$346,'Snowball workings'!$S$346)+IF('Your debts'!$D$20="Avalanche",'Avalanche workings'!$AM$346,'Snowball workings'!$AM$346))</f>
      </c>
      <c r="U344" s="30">
        <f>IF(OR(339&gt;$Z$1,NOT(OR('Your debts'!$B$13&lt;&gt;"",N('Your debts'!$C$13)&gt;0))),"",IF('Your debts'!$D$20="Avalanche",'Avalanche workings'!$AW$346,'Snowball workings'!$AW$346))</f>
      </c>
      <c r="V344" s="29">
        <f>IF(OR(339&gt;$Z$1,NOT(OR('Your debts'!$B$14&lt;&gt;"",N('Your debts'!$C$14)&gt;0))),"",IF('Your debts'!$D$20="Avalanche",'Avalanche workings'!$T$346,'Snowball workings'!$T$346)+IF('Your debts'!$D$20="Avalanche",'Avalanche workings'!$AN$346,'Snowball workings'!$AN$346))</f>
      </c>
      <c r="W344" s="30">
        <f>IF(OR(339&gt;$Z$1,NOT(OR('Your debts'!$B$14&lt;&gt;"",N('Your debts'!$C$14)&gt;0))),"",IF('Your debts'!$D$20="Avalanche",'Avalanche workings'!$AX$346,'Snowball workings'!$AX$346))</f>
      </c>
      <c r="X344" s="29">
        <f>IF(OR(339&gt;$Z$1,NOT(OR('Your debts'!$B$15&lt;&gt;"",N('Your debts'!$C$15)&gt;0))),"",IF('Your debts'!$D$20="Avalanche",'Avalanche workings'!$U$346,'Snowball workings'!$U$346)+IF('Your debts'!$D$20="Avalanche",'Avalanche workings'!$AO$346,'Snowball workings'!$AO$346))</f>
      </c>
      <c r="Y344" s="30">
        <f>IF(OR(339&gt;$Z$1,NOT(OR('Your debts'!$B$15&lt;&gt;"",N('Your debts'!$C$15)&gt;0))),"",IF('Your debts'!$D$20="Avalanche",'Avalanche workings'!$AY$346,'Snowball workings'!$AY$346))</f>
      </c>
    </row>
    <row r="345" spans="1:25" x14ac:dyDescent="0.25">
      <c r="A345" s="2">
        <f>IF(340&gt;$Z$1,"",340)</f>
      </c>
      <c r="B345" s="28">
        <f>IF(340&gt;$Z$1,"",EDATE('Your debts'!$D$21,339))</f>
      </c>
      <c r="C345" s="29">
        <f>IF(340&gt;$Z$1,"",IF('Your debts'!$D$20="Avalanche",'Avalanche workings'!$BC$347,'Snowball workings'!$BC$347))</f>
      </c>
      <c r="D345" s="29">
        <f>IF(340&gt;$Z$1,"",IF('Your debts'!$D$20="Avalanche",'Avalanche workings'!$BA$347,'Snowball workings'!$BA$347))</f>
      </c>
      <c r="E345" s="29">
        <f>IF(340&gt;$Z$1,"",IF('Your debts'!$D$20="Avalanche",'Avalanche workings'!$BB$347,'Snowball workings'!$BB$347))</f>
      </c>
      <c r="F345" s="29">
        <f>IF(OR(340&gt;$Z$1,NOT(OR('Your debts'!$B$6&lt;&gt;"",N('Your debts'!$C$6)&gt;0))),"",IF('Your debts'!$D$20="Avalanche",'Avalanche workings'!$L$347,'Snowball workings'!$L$347)+IF('Your debts'!$D$20="Avalanche",'Avalanche workings'!$AF$347,'Snowball workings'!$AF$347))</f>
      </c>
      <c r="G345" s="30">
        <f>IF(OR(340&gt;$Z$1,NOT(OR('Your debts'!$B$6&lt;&gt;"",N('Your debts'!$C$6)&gt;0))),"",IF('Your debts'!$D$20="Avalanche",'Avalanche workings'!$AP$347,'Snowball workings'!$AP$347))</f>
      </c>
      <c r="H345" s="29">
        <f>IF(OR(340&gt;$Z$1,NOT(OR('Your debts'!$B$7&lt;&gt;"",N('Your debts'!$C$7)&gt;0))),"",IF('Your debts'!$D$20="Avalanche",'Avalanche workings'!$M$347,'Snowball workings'!$M$347)+IF('Your debts'!$D$20="Avalanche",'Avalanche workings'!$AG$347,'Snowball workings'!$AG$347))</f>
      </c>
      <c r="I345" s="30">
        <f>IF(OR(340&gt;$Z$1,NOT(OR('Your debts'!$B$7&lt;&gt;"",N('Your debts'!$C$7)&gt;0))),"",IF('Your debts'!$D$20="Avalanche",'Avalanche workings'!$AQ$347,'Snowball workings'!$AQ$347))</f>
      </c>
      <c r="J345" s="29">
        <f>IF(OR(340&gt;$Z$1,NOT(OR('Your debts'!$B$8&lt;&gt;"",N('Your debts'!$C$8)&gt;0))),"",IF('Your debts'!$D$20="Avalanche",'Avalanche workings'!$N$347,'Snowball workings'!$N$347)+IF('Your debts'!$D$20="Avalanche",'Avalanche workings'!$AH$347,'Snowball workings'!$AH$347))</f>
      </c>
      <c r="K345" s="30">
        <f>IF(OR(340&gt;$Z$1,NOT(OR('Your debts'!$B$8&lt;&gt;"",N('Your debts'!$C$8)&gt;0))),"",IF('Your debts'!$D$20="Avalanche",'Avalanche workings'!$AR$347,'Snowball workings'!$AR$347))</f>
      </c>
      <c r="L345" s="29">
        <f>IF(OR(340&gt;$Z$1,NOT(OR('Your debts'!$B$9&lt;&gt;"",N('Your debts'!$C$9)&gt;0))),"",IF('Your debts'!$D$20="Avalanche",'Avalanche workings'!$O$347,'Snowball workings'!$O$347)+IF('Your debts'!$D$20="Avalanche",'Avalanche workings'!$AI$347,'Snowball workings'!$AI$347))</f>
      </c>
      <c r="M345" s="30">
        <f>IF(OR(340&gt;$Z$1,NOT(OR('Your debts'!$B$9&lt;&gt;"",N('Your debts'!$C$9)&gt;0))),"",IF('Your debts'!$D$20="Avalanche",'Avalanche workings'!$AS$347,'Snowball workings'!$AS$347))</f>
      </c>
      <c r="N345" s="29">
        <f>IF(OR(340&gt;$Z$1,NOT(OR('Your debts'!$B$10&lt;&gt;"",N('Your debts'!$C$10)&gt;0))),"",IF('Your debts'!$D$20="Avalanche",'Avalanche workings'!$P$347,'Snowball workings'!$P$347)+IF('Your debts'!$D$20="Avalanche",'Avalanche workings'!$AJ$347,'Snowball workings'!$AJ$347))</f>
      </c>
      <c r="O345" s="30">
        <f>IF(OR(340&gt;$Z$1,NOT(OR('Your debts'!$B$10&lt;&gt;"",N('Your debts'!$C$10)&gt;0))),"",IF('Your debts'!$D$20="Avalanche",'Avalanche workings'!$AT$347,'Snowball workings'!$AT$347))</f>
      </c>
      <c r="P345" s="29">
        <f>IF(OR(340&gt;$Z$1,NOT(OR('Your debts'!$B$11&lt;&gt;"",N('Your debts'!$C$11)&gt;0))),"",IF('Your debts'!$D$20="Avalanche",'Avalanche workings'!$Q$347,'Snowball workings'!$Q$347)+IF('Your debts'!$D$20="Avalanche",'Avalanche workings'!$AK$347,'Snowball workings'!$AK$347))</f>
      </c>
      <c r="Q345" s="30">
        <f>IF(OR(340&gt;$Z$1,NOT(OR('Your debts'!$B$11&lt;&gt;"",N('Your debts'!$C$11)&gt;0))),"",IF('Your debts'!$D$20="Avalanche",'Avalanche workings'!$AU$347,'Snowball workings'!$AU$347))</f>
      </c>
      <c r="R345" s="29">
        <f>IF(OR(340&gt;$Z$1,NOT(OR('Your debts'!$B$12&lt;&gt;"",N('Your debts'!$C$12)&gt;0))),"",IF('Your debts'!$D$20="Avalanche",'Avalanche workings'!$R$347,'Snowball workings'!$R$347)+IF('Your debts'!$D$20="Avalanche",'Avalanche workings'!$AL$347,'Snowball workings'!$AL$347))</f>
      </c>
      <c r="S345" s="30">
        <f>IF(OR(340&gt;$Z$1,NOT(OR('Your debts'!$B$12&lt;&gt;"",N('Your debts'!$C$12)&gt;0))),"",IF('Your debts'!$D$20="Avalanche",'Avalanche workings'!$AV$347,'Snowball workings'!$AV$347))</f>
      </c>
      <c r="T345" s="29">
        <f>IF(OR(340&gt;$Z$1,NOT(OR('Your debts'!$B$13&lt;&gt;"",N('Your debts'!$C$13)&gt;0))),"",IF('Your debts'!$D$20="Avalanche",'Avalanche workings'!$S$347,'Snowball workings'!$S$347)+IF('Your debts'!$D$20="Avalanche",'Avalanche workings'!$AM$347,'Snowball workings'!$AM$347))</f>
      </c>
      <c r="U345" s="30">
        <f>IF(OR(340&gt;$Z$1,NOT(OR('Your debts'!$B$13&lt;&gt;"",N('Your debts'!$C$13)&gt;0))),"",IF('Your debts'!$D$20="Avalanche",'Avalanche workings'!$AW$347,'Snowball workings'!$AW$347))</f>
      </c>
      <c r="V345" s="29">
        <f>IF(OR(340&gt;$Z$1,NOT(OR('Your debts'!$B$14&lt;&gt;"",N('Your debts'!$C$14)&gt;0))),"",IF('Your debts'!$D$20="Avalanche",'Avalanche workings'!$T$347,'Snowball workings'!$T$347)+IF('Your debts'!$D$20="Avalanche",'Avalanche workings'!$AN$347,'Snowball workings'!$AN$347))</f>
      </c>
      <c r="W345" s="30">
        <f>IF(OR(340&gt;$Z$1,NOT(OR('Your debts'!$B$14&lt;&gt;"",N('Your debts'!$C$14)&gt;0))),"",IF('Your debts'!$D$20="Avalanche",'Avalanche workings'!$AX$347,'Snowball workings'!$AX$347))</f>
      </c>
      <c r="X345" s="29">
        <f>IF(OR(340&gt;$Z$1,NOT(OR('Your debts'!$B$15&lt;&gt;"",N('Your debts'!$C$15)&gt;0))),"",IF('Your debts'!$D$20="Avalanche",'Avalanche workings'!$U$347,'Snowball workings'!$U$347)+IF('Your debts'!$D$20="Avalanche",'Avalanche workings'!$AO$347,'Snowball workings'!$AO$347))</f>
      </c>
      <c r="Y345" s="30">
        <f>IF(OR(340&gt;$Z$1,NOT(OR('Your debts'!$B$15&lt;&gt;"",N('Your debts'!$C$15)&gt;0))),"",IF('Your debts'!$D$20="Avalanche",'Avalanche workings'!$AY$347,'Snowball workings'!$AY$347))</f>
      </c>
    </row>
    <row r="346" spans="1:25" x14ac:dyDescent="0.25">
      <c r="A346" s="2">
        <f>IF(341&gt;$Z$1,"",341)</f>
      </c>
      <c r="B346" s="28">
        <f>IF(341&gt;$Z$1,"",EDATE('Your debts'!$D$21,340))</f>
      </c>
      <c r="C346" s="29">
        <f>IF(341&gt;$Z$1,"",IF('Your debts'!$D$20="Avalanche",'Avalanche workings'!$BC$348,'Snowball workings'!$BC$348))</f>
      </c>
      <c r="D346" s="29">
        <f>IF(341&gt;$Z$1,"",IF('Your debts'!$D$20="Avalanche",'Avalanche workings'!$BA$348,'Snowball workings'!$BA$348))</f>
      </c>
      <c r="E346" s="29">
        <f>IF(341&gt;$Z$1,"",IF('Your debts'!$D$20="Avalanche",'Avalanche workings'!$BB$348,'Snowball workings'!$BB$348))</f>
      </c>
      <c r="F346" s="29">
        <f>IF(OR(341&gt;$Z$1,NOT(OR('Your debts'!$B$6&lt;&gt;"",N('Your debts'!$C$6)&gt;0))),"",IF('Your debts'!$D$20="Avalanche",'Avalanche workings'!$L$348,'Snowball workings'!$L$348)+IF('Your debts'!$D$20="Avalanche",'Avalanche workings'!$AF$348,'Snowball workings'!$AF$348))</f>
      </c>
      <c r="G346" s="30">
        <f>IF(OR(341&gt;$Z$1,NOT(OR('Your debts'!$B$6&lt;&gt;"",N('Your debts'!$C$6)&gt;0))),"",IF('Your debts'!$D$20="Avalanche",'Avalanche workings'!$AP$348,'Snowball workings'!$AP$348))</f>
      </c>
      <c r="H346" s="29">
        <f>IF(OR(341&gt;$Z$1,NOT(OR('Your debts'!$B$7&lt;&gt;"",N('Your debts'!$C$7)&gt;0))),"",IF('Your debts'!$D$20="Avalanche",'Avalanche workings'!$M$348,'Snowball workings'!$M$348)+IF('Your debts'!$D$20="Avalanche",'Avalanche workings'!$AG$348,'Snowball workings'!$AG$348))</f>
      </c>
      <c r="I346" s="30">
        <f>IF(OR(341&gt;$Z$1,NOT(OR('Your debts'!$B$7&lt;&gt;"",N('Your debts'!$C$7)&gt;0))),"",IF('Your debts'!$D$20="Avalanche",'Avalanche workings'!$AQ$348,'Snowball workings'!$AQ$348))</f>
      </c>
      <c r="J346" s="29">
        <f>IF(OR(341&gt;$Z$1,NOT(OR('Your debts'!$B$8&lt;&gt;"",N('Your debts'!$C$8)&gt;0))),"",IF('Your debts'!$D$20="Avalanche",'Avalanche workings'!$N$348,'Snowball workings'!$N$348)+IF('Your debts'!$D$20="Avalanche",'Avalanche workings'!$AH$348,'Snowball workings'!$AH$348))</f>
      </c>
      <c r="K346" s="30">
        <f>IF(OR(341&gt;$Z$1,NOT(OR('Your debts'!$B$8&lt;&gt;"",N('Your debts'!$C$8)&gt;0))),"",IF('Your debts'!$D$20="Avalanche",'Avalanche workings'!$AR$348,'Snowball workings'!$AR$348))</f>
      </c>
      <c r="L346" s="29">
        <f>IF(OR(341&gt;$Z$1,NOT(OR('Your debts'!$B$9&lt;&gt;"",N('Your debts'!$C$9)&gt;0))),"",IF('Your debts'!$D$20="Avalanche",'Avalanche workings'!$O$348,'Snowball workings'!$O$348)+IF('Your debts'!$D$20="Avalanche",'Avalanche workings'!$AI$348,'Snowball workings'!$AI$348))</f>
      </c>
      <c r="M346" s="30">
        <f>IF(OR(341&gt;$Z$1,NOT(OR('Your debts'!$B$9&lt;&gt;"",N('Your debts'!$C$9)&gt;0))),"",IF('Your debts'!$D$20="Avalanche",'Avalanche workings'!$AS$348,'Snowball workings'!$AS$348))</f>
      </c>
      <c r="N346" s="29">
        <f>IF(OR(341&gt;$Z$1,NOT(OR('Your debts'!$B$10&lt;&gt;"",N('Your debts'!$C$10)&gt;0))),"",IF('Your debts'!$D$20="Avalanche",'Avalanche workings'!$P$348,'Snowball workings'!$P$348)+IF('Your debts'!$D$20="Avalanche",'Avalanche workings'!$AJ$348,'Snowball workings'!$AJ$348))</f>
      </c>
      <c r="O346" s="30">
        <f>IF(OR(341&gt;$Z$1,NOT(OR('Your debts'!$B$10&lt;&gt;"",N('Your debts'!$C$10)&gt;0))),"",IF('Your debts'!$D$20="Avalanche",'Avalanche workings'!$AT$348,'Snowball workings'!$AT$348))</f>
      </c>
      <c r="P346" s="29">
        <f>IF(OR(341&gt;$Z$1,NOT(OR('Your debts'!$B$11&lt;&gt;"",N('Your debts'!$C$11)&gt;0))),"",IF('Your debts'!$D$20="Avalanche",'Avalanche workings'!$Q$348,'Snowball workings'!$Q$348)+IF('Your debts'!$D$20="Avalanche",'Avalanche workings'!$AK$348,'Snowball workings'!$AK$348))</f>
      </c>
      <c r="Q346" s="30">
        <f>IF(OR(341&gt;$Z$1,NOT(OR('Your debts'!$B$11&lt;&gt;"",N('Your debts'!$C$11)&gt;0))),"",IF('Your debts'!$D$20="Avalanche",'Avalanche workings'!$AU$348,'Snowball workings'!$AU$348))</f>
      </c>
      <c r="R346" s="29">
        <f>IF(OR(341&gt;$Z$1,NOT(OR('Your debts'!$B$12&lt;&gt;"",N('Your debts'!$C$12)&gt;0))),"",IF('Your debts'!$D$20="Avalanche",'Avalanche workings'!$R$348,'Snowball workings'!$R$348)+IF('Your debts'!$D$20="Avalanche",'Avalanche workings'!$AL$348,'Snowball workings'!$AL$348))</f>
      </c>
      <c r="S346" s="30">
        <f>IF(OR(341&gt;$Z$1,NOT(OR('Your debts'!$B$12&lt;&gt;"",N('Your debts'!$C$12)&gt;0))),"",IF('Your debts'!$D$20="Avalanche",'Avalanche workings'!$AV$348,'Snowball workings'!$AV$348))</f>
      </c>
      <c r="T346" s="29">
        <f>IF(OR(341&gt;$Z$1,NOT(OR('Your debts'!$B$13&lt;&gt;"",N('Your debts'!$C$13)&gt;0))),"",IF('Your debts'!$D$20="Avalanche",'Avalanche workings'!$S$348,'Snowball workings'!$S$348)+IF('Your debts'!$D$20="Avalanche",'Avalanche workings'!$AM$348,'Snowball workings'!$AM$348))</f>
      </c>
      <c r="U346" s="30">
        <f>IF(OR(341&gt;$Z$1,NOT(OR('Your debts'!$B$13&lt;&gt;"",N('Your debts'!$C$13)&gt;0))),"",IF('Your debts'!$D$20="Avalanche",'Avalanche workings'!$AW$348,'Snowball workings'!$AW$348))</f>
      </c>
      <c r="V346" s="29">
        <f>IF(OR(341&gt;$Z$1,NOT(OR('Your debts'!$B$14&lt;&gt;"",N('Your debts'!$C$14)&gt;0))),"",IF('Your debts'!$D$20="Avalanche",'Avalanche workings'!$T$348,'Snowball workings'!$T$348)+IF('Your debts'!$D$20="Avalanche",'Avalanche workings'!$AN$348,'Snowball workings'!$AN$348))</f>
      </c>
      <c r="W346" s="30">
        <f>IF(OR(341&gt;$Z$1,NOT(OR('Your debts'!$B$14&lt;&gt;"",N('Your debts'!$C$14)&gt;0))),"",IF('Your debts'!$D$20="Avalanche",'Avalanche workings'!$AX$348,'Snowball workings'!$AX$348))</f>
      </c>
      <c r="X346" s="29">
        <f>IF(OR(341&gt;$Z$1,NOT(OR('Your debts'!$B$15&lt;&gt;"",N('Your debts'!$C$15)&gt;0))),"",IF('Your debts'!$D$20="Avalanche",'Avalanche workings'!$U$348,'Snowball workings'!$U$348)+IF('Your debts'!$D$20="Avalanche",'Avalanche workings'!$AO$348,'Snowball workings'!$AO$348))</f>
      </c>
      <c r="Y346" s="30">
        <f>IF(OR(341&gt;$Z$1,NOT(OR('Your debts'!$B$15&lt;&gt;"",N('Your debts'!$C$15)&gt;0))),"",IF('Your debts'!$D$20="Avalanche",'Avalanche workings'!$AY$348,'Snowball workings'!$AY$348))</f>
      </c>
    </row>
    <row r="347" spans="1:25" x14ac:dyDescent="0.25">
      <c r="A347" s="2">
        <f>IF(342&gt;$Z$1,"",342)</f>
      </c>
      <c r="B347" s="28">
        <f>IF(342&gt;$Z$1,"",EDATE('Your debts'!$D$21,341))</f>
      </c>
      <c r="C347" s="29">
        <f>IF(342&gt;$Z$1,"",IF('Your debts'!$D$20="Avalanche",'Avalanche workings'!$BC$349,'Snowball workings'!$BC$349))</f>
      </c>
      <c r="D347" s="29">
        <f>IF(342&gt;$Z$1,"",IF('Your debts'!$D$20="Avalanche",'Avalanche workings'!$BA$349,'Snowball workings'!$BA$349))</f>
      </c>
      <c r="E347" s="29">
        <f>IF(342&gt;$Z$1,"",IF('Your debts'!$D$20="Avalanche",'Avalanche workings'!$BB$349,'Snowball workings'!$BB$349))</f>
      </c>
      <c r="F347" s="29">
        <f>IF(OR(342&gt;$Z$1,NOT(OR('Your debts'!$B$6&lt;&gt;"",N('Your debts'!$C$6)&gt;0))),"",IF('Your debts'!$D$20="Avalanche",'Avalanche workings'!$L$349,'Snowball workings'!$L$349)+IF('Your debts'!$D$20="Avalanche",'Avalanche workings'!$AF$349,'Snowball workings'!$AF$349))</f>
      </c>
      <c r="G347" s="30">
        <f>IF(OR(342&gt;$Z$1,NOT(OR('Your debts'!$B$6&lt;&gt;"",N('Your debts'!$C$6)&gt;0))),"",IF('Your debts'!$D$20="Avalanche",'Avalanche workings'!$AP$349,'Snowball workings'!$AP$349))</f>
      </c>
      <c r="H347" s="29">
        <f>IF(OR(342&gt;$Z$1,NOT(OR('Your debts'!$B$7&lt;&gt;"",N('Your debts'!$C$7)&gt;0))),"",IF('Your debts'!$D$20="Avalanche",'Avalanche workings'!$M$349,'Snowball workings'!$M$349)+IF('Your debts'!$D$20="Avalanche",'Avalanche workings'!$AG$349,'Snowball workings'!$AG$349))</f>
      </c>
      <c r="I347" s="30">
        <f>IF(OR(342&gt;$Z$1,NOT(OR('Your debts'!$B$7&lt;&gt;"",N('Your debts'!$C$7)&gt;0))),"",IF('Your debts'!$D$20="Avalanche",'Avalanche workings'!$AQ$349,'Snowball workings'!$AQ$349))</f>
      </c>
      <c r="J347" s="29">
        <f>IF(OR(342&gt;$Z$1,NOT(OR('Your debts'!$B$8&lt;&gt;"",N('Your debts'!$C$8)&gt;0))),"",IF('Your debts'!$D$20="Avalanche",'Avalanche workings'!$N$349,'Snowball workings'!$N$349)+IF('Your debts'!$D$20="Avalanche",'Avalanche workings'!$AH$349,'Snowball workings'!$AH$349))</f>
      </c>
      <c r="K347" s="30">
        <f>IF(OR(342&gt;$Z$1,NOT(OR('Your debts'!$B$8&lt;&gt;"",N('Your debts'!$C$8)&gt;0))),"",IF('Your debts'!$D$20="Avalanche",'Avalanche workings'!$AR$349,'Snowball workings'!$AR$349))</f>
      </c>
      <c r="L347" s="29">
        <f>IF(OR(342&gt;$Z$1,NOT(OR('Your debts'!$B$9&lt;&gt;"",N('Your debts'!$C$9)&gt;0))),"",IF('Your debts'!$D$20="Avalanche",'Avalanche workings'!$O$349,'Snowball workings'!$O$349)+IF('Your debts'!$D$20="Avalanche",'Avalanche workings'!$AI$349,'Snowball workings'!$AI$349))</f>
      </c>
      <c r="M347" s="30">
        <f>IF(OR(342&gt;$Z$1,NOT(OR('Your debts'!$B$9&lt;&gt;"",N('Your debts'!$C$9)&gt;0))),"",IF('Your debts'!$D$20="Avalanche",'Avalanche workings'!$AS$349,'Snowball workings'!$AS$349))</f>
      </c>
      <c r="N347" s="29">
        <f>IF(OR(342&gt;$Z$1,NOT(OR('Your debts'!$B$10&lt;&gt;"",N('Your debts'!$C$10)&gt;0))),"",IF('Your debts'!$D$20="Avalanche",'Avalanche workings'!$P$349,'Snowball workings'!$P$349)+IF('Your debts'!$D$20="Avalanche",'Avalanche workings'!$AJ$349,'Snowball workings'!$AJ$349))</f>
      </c>
      <c r="O347" s="30">
        <f>IF(OR(342&gt;$Z$1,NOT(OR('Your debts'!$B$10&lt;&gt;"",N('Your debts'!$C$10)&gt;0))),"",IF('Your debts'!$D$20="Avalanche",'Avalanche workings'!$AT$349,'Snowball workings'!$AT$349))</f>
      </c>
      <c r="P347" s="29">
        <f>IF(OR(342&gt;$Z$1,NOT(OR('Your debts'!$B$11&lt;&gt;"",N('Your debts'!$C$11)&gt;0))),"",IF('Your debts'!$D$20="Avalanche",'Avalanche workings'!$Q$349,'Snowball workings'!$Q$349)+IF('Your debts'!$D$20="Avalanche",'Avalanche workings'!$AK$349,'Snowball workings'!$AK$349))</f>
      </c>
      <c r="Q347" s="30">
        <f>IF(OR(342&gt;$Z$1,NOT(OR('Your debts'!$B$11&lt;&gt;"",N('Your debts'!$C$11)&gt;0))),"",IF('Your debts'!$D$20="Avalanche",'Avalanche workings'!$AU$349,'Snowball workings'!$AU$349))</f>
      </c>
      <c r="R347" s="29">
        <f>IF(OR(342&gt;$Z$1,NOT(OR('Your debts'!$B$12&lt;&gt;"",N('Your debts'!$C$12)&gt;0))),"",IF('Your debts'!$D$20="Avalanche",'Avalanche workings'!$R$349,'Snowball workings'!$R$349)+IF('Your debts'!$D$20="Avalanche",'Avalanche workings'!$AL$349,'Snowball workings'!$AL$349))</f>
      </c>
      <c r="S347" s="30">
        <f>IF(OR(342&gt;$Z$1,NOT(OR('Your debts'!$B$12&lt;&gt;"",N('Your debts'!$C$12)&gt;0))),"",IF('Your debts'!$D$20="Avalanche",'Avalanche workings'!$AV$349,'Snowball workings'!$AV$349))</f>
      </c>
      <c r="T347" s="29">
        <f>IF(OR(342&gt;$Z$1,NOT(OR('Your debts'!$B$13&lt;&gt;"",N('Your debts'!$C$13)&gt;0))),"",IF('Your debts'!$D$20="Avalanche",'Avalanche workings'!$S$349,'Snowball workings'!$S$349)+IF('Your debts'!$D$20="Avalanche",'Avalanche workings'!$AM$349,'Snowball workings'!$AM$349))</f>
      </c>
      <c r="U347" s="30">
        <f>IF(OR(342&gt;$Z$1,NOT(OR('Your debts'!$B$13&lt;&gt;"",N('Your debts'!$C$13)&gt;0))),"",IF('Your debts'!$D$20="Avalanche",'Avalanche workings'!$AW$349,'Snowball workings'!$AW$349))</f>
      </c>
      <c r="V347" s="29">
        <f>IF(OR(342&gt;$Z$1,NOT(OR('Your debts'!$B$14&lt;&gt;"",N('Your debts'!$C$14)&gt;0))),"",IF('Your debts'!$D$20="Avalanche",'Avalanche workings'!$T$349,'Snowball workings'!$T$349)+IF('Your debts'!$D$20="Avalanche",'Avalanche workings'!$AN$349,'Snowball workings'!$AN$349))</f>
      </c>
      <c r="W347" s="30">
        <f>IF(OR(342&gt;$Z$1,NOT(OR('Your debts'!$B$14&lt;&gt;"",N('Your debts'!$C$14)&gt;0))),"",IF('Your debts'!$D$20="Avalanche",'Avalanche workings'!$AX$349,'Snowball workings'!$AX$349))</f>
      </c>
      <c r="X347" s="29">
        <f>IF(OR(342&gt;$Z$1,NOT(OR('Your debts'!$B$15&lt;&gt;"",N('Your debts'!$C$15)&gt;0))),"",IF('Your debts'!$D$20="Avalanche",'Avalanche workings'!$U$349,'Snowball workings'!$U$349)+IF('Your debts'!$D$20="Avalanche",'Avalanche workings'!$AO$349,'Snowball workings'!$AO$349))</f>
      </c>
      <c r="Y347" s="30">
        <f>IF(OR(342&gt;$Z$1,NOT(OR('Your debts'!$B$15&lt;&gt;"",N('Your debts'!$C$15)&gt;0))),"",IF('Your debts'!$D$20="Avalanche",'Avalanche workings'!$AY$349,'Snowball workings'!$AY$349))</f>
      </c>
    </row>
    <row r="348" spans="1:25" x14ac:dyDescent="0.25">
      <c r="A348" s="2">
        <f>IF(343&gt;$Z$1,"",343)</f>
      </c>
      <c r="B348" s="28">
        <f>IF(343&gt;$Z$1,"",EDATE('Your debts'!$D$21,342))</f>
      </c>
      <c r="C348" s="29">
        <f>IF(343&gt;$Z$1,"",IF('Your debts'!$D$20="Avalanche",'Avalanche workings'!$BC$350,'Snowball workings'!$BC$350))</f>
      </c>
      <c r="D348" s="29">
        <f>IF(343&gt;$Z$1,"",IF('Your debts'!$D$20="Avalanche",'Avalanche workings'!$BA$350,'Snowball workings'!$BA$350))</f>
      </c>
      <c r="E348" s="29">
        <f>IF(343&gt;$Z$1,"",IF('Your debts'!$D$20="Avalanche",'Avalanche workings'!$BB$350,'Snowball workings'!$BB$350))</f>
      </c>
      <c r="F348" s="29">
        <f>IF(OR(343&gt;$Z$1,NOT(OR('Your debts'!$B$6&lt;&gt;"",N('Your debts'!$C$6)&gt;0))),"",IF('Your debts'!$D$20="Avalanche",'Avalanche workings'!$L$350,'Snowball workings'!$L$350)+IF('Your debts'!$D$20="Avalanche",'Avalanche workings'!$AF$350,'Snowball workings'!$AF$350))</f>
      </c>
      <c r="G348" s="30">
        <f>IF(OR(343&gt;$Z$1,NOT(OR('Your debts'!$B$6&lt;&gt;"",N('Your debts'!$C$6)&gt;0))),"",IF('Your debts'!$D$20="Avalanche",'Avalanche workings'!$AP$350,'Snowball workings'!$AP$350))</f>
      </c>
      <c r="H348" s="29">
        <f>IF(OR(343&gt;$Z$1,NOT(OR('Your debts'!$B$7&lt;&gt;"",N('Your debts'!$C$7)&gt;0))),"",IF('Your debts'!$D$20="Avalanche",'Avalanche workings'!$M$350,'Snowball workings'!$M$350)+IF('Your debts'!$D$20="Avalanche",'Avalanche workings'!$AG$350,'Snowball workings'!$AG$350))</f>
      </c>
      <c r="I348" s="30">
        <f>IF(OR(343&gt;$Z$1,NOT(OR('Your debts'!$B$7&lt;&gt;"",N('Your debts'!$C$7)&gt;0))),"",IF('Your debts'!$D$20="Avalanche",'Avalanche workings'!$AQ$350,'Snowball workings'!$AQ$350))</f>
      </c>
      <c r="J348" s="29">
        <f>IF(OR(343&gt;$Z$1,NOT(OR('Your debts'!$B$8&lt;&gt;"",N('Your debts'!$C$8)&gt;0))),"",IF('Your debts'!$D$20="Avalanche",'Avalanche workings'!$N$350,'Snowball workings'!$N$350)+IF('Your debts'!$D$20="Avalanche",'Avalanche workings'!$AH$350,'Snowball workings'!$AH$350))</f>
      </c>
      <c r="K348" s="30">
        <f>IF(OR(343&gt;$Z$1,NOT(OR('Your debts'!$B$8&lt;&gt;"",N('Your debts'!$C$8)&gt;0))),"",IF('Your debts'!$D$20="Avalanche",'Avalanche workings'!$AR$350,'Snowball workings'!$AR$350))</f>
      </c>
      <c r="L348" s="29">
        <f>IF(OR(343&gt;$Z$1,NOT(OR('Your debts'!$B$9&lt;&gt;"",N('Your debts'!$C$9)&gt;0))),"",IF('Your debts'!$D$20="Avalanche",'Avalanche workings'!$O$350,'Snowball workings'!$O$350)+IF('Your debts'!$D$20="Avalanche",'Avalanche workings'!$AI$350,'Snowball workings'!$AI$350))</f>
      </c>
      <c r="M348" s="30">
        <f>IF(OR(343&gt;$Z$1,NOT(OR('Your debts'!$B$9&lt;&gt;"",N('Your debts'!$C$9)&gt;0))),"",IF('Your debts'!$D$20="Avalanche",'Avalanche workings'!$AS$350,'Snowball workings'!$AS$350))</f>
      </c>
      <c r="N348" s="29">
        <f>IF(OR(343&gt;$Z$1,NOT(OR('Your debts'!$B$10&lt;&gt;"",N('Your debts'!$C$10)&gt;0))),"",IF('Your debts'!$D$20="Avalanche",'Avalanche workings'!$P$350,'Snowball workings'!$P$350)+IF('Your debts'!$D$20="Avalanche",'Avalanche workings'!$AJ$350,'Snowball workings'!$AJ$350))</f>
      </c>
      <c r="O348" s="30">
        <f>IF(OR(343&gt;$Z$1,NOT(OR('Your debts'!$B$10&lt;&gt;"",N('Your debts'!$C$10)&gt;0))),"",IF('Your debts'!$D$20="Avalanche",'Avalanche workings'!$AT$350,'Snowball workings'!$AT$350))</f>
      </c>
      <c r="P348" s="29">
        <f>IF(OR(343&gt;$Z$1,NOT(OR('Your debts'!$B$11&lt;&gt;"",N('Your debts'!$C$11)&gt;0))),"",IF('Your debts'!$D$20="Avalanche",'Avalanche workings'!$Q$350,'Snowball workings'!$Q$350)+IF('Your debts'!$D$20="Avalanche",'Avalanche workings'!$AK$350,'Snowball workings'!$AK$350))</f>
      </c>
      <c r="Q348" s="30">
        <f>IF(OR(343&gt;$Z$1,NOT(OR('Your debts'!$B$11&lt;&gt;"",N('Your debts'!$C$11)&gt;0))),"",IF('Your debts'!$D$20="Avalanche",'Avalanche workings'!$AU$350,'Snowball workings'!$AU$350))</f>
      </c>
      <c r="R348" s="29">
        <f>IF(OR(343&gt;$Z$1,NOT(OR('Your debts'!$B$12&lt;&gt;"",N('Your debts'!$C$12)&gt;0))),"",IF('Your debts'!$D$20="Avalanche",'Avalanche workings'!$R$350,'Snowball workings'!$R$350)+IF('Your debts'!$D$20="Avalanche",'Avalanche workings'!$AL$350,'Snowball workings'!$AL$350))</f>
      </c>
      <c r="S348" s="30">
        <f>IF(OR(343&gt;$Z$1,NOT(OR('Your debts'!$B$12&lt;&gt;"",N('Your debts'!$C$12)&gt;0))),"",IF('Your debts'!$D$20="Avalanche",'Avalanche workings'!$AV$350,'Snowball workings'!$AV$350))</f>
      </c>
      <c r="T348" s="29">
        <f>IF(OR(343&gt;$Z$1,NOT(OR('Your debts'!$B$13&lt;&gt;"",N('Your debts'!$C$13)&gt;0))),"",IF('Your debts'!$D$20="Avalanche",'Avalanche workings'!$S$350,'Snowball workings'!$S$350)+IF('Your debts'!$D$20="Avalanche",'Avalanche workings'!$AM$350,'Snowball workings'!$AM$350))</f>
      </c>
      <c r="U348" s="30">
        <f>IF(OR(343&gt;$Z$1,NOT(OR('Your debts'!$B$13&lt;&gt;"",N('Your debts'!$C$13)&gt;0))),"",IF('Your debts'!$D$20="Avalanche",'Avalanche workings'!$AW$350,'Snowball workings'!$AW$350))</f>
      </c>
      <c r="V348" s="29">
        <f>IF(OR(343&gt;$Z$1,NOT(OR('Your debts'!$B$14&lt;&gt;"",N('Your debts'!$C$14)&gt;0))),"",IF('Your debts'!$D$20="Avalanche",'Avalanche workings'!$T$350,'Snowball workings'!$T$350)+IF('Your debts'!$D$20="Avalanche",'Avalanche workings'!$AN$350,'Snowball workings'!$AN$350))</f>
      </c>
      <c r="W348" s="30">
        <f>IF(OR(343&gt;$Z$1,NOT(OR('Your debts'!$B$14&lt;&gt;"",N('Your debts'!$C$14)&gt;0))),"",IF('Your debts'!$D$20="Avalanche",'Avalanche workings'!$AX$350,'Snowball workings'!$AX$350))</f>
      </c>
      <c r="X348" s="29">
        <f>IF(OR(343&gt;$Z$1,NOT(OR('Your debts'!$B$15&lt;&gt;"",N('Your debts'!$C$15)&gt;0))),"",IF('Your debts'!$D$20="Avalanche",'Avalanche workings'!$U$350,'Snowball workings'!$U$350)+IF('Your debts'!$D$20="Avalanche",'Avalanche workings'!$AO$350,'Snowball workings'!$AO$350))</f>
      </c>
      <c r="Y348" s="30">
        <f>IF(OR(343&gt;$Z$1,NOT(OR('Your debts'!$B$15&lt;&gt;"",N('Your debts'!$C$15)&gt;0))),"",IF('Your debts'!$D$20="Avalanche",'Avalanche workings'!$AY$350,'Snowball workings'!$AY$350))</f>
      </c>
    </row>
    <row r="349" spans="1:25" x14ac:dyDescent="0.25">
      <c r="A349" s="2">
        <f>IF(344&gt;$Z$1,"",344)</f>
      </c>
      <c r="B349" s="28">
        <f>IF(344&gt;$Z$1,"",EDATE('Your debts'!$D$21,343))</f>
      </c>
      <c r="C349" s="29">
        <f>IF(344&gt;$Z$1,"",IF('Your debts'!$D$20="Avalanche",'Avalanche workings'!$BC$351,'Snowball workings'!$BC$351))</f>
      </c>
      <c r="D349" s="29">
        <f>IF(344&gt;$Z$1,"",IF('Your debts'!$D$20="Avalanche",'Avalanche workings'!$BA$351,'Snowball workings'!$BA$351))</f>
      </c>
      <c r="E349" s="29">
        <f>IF(344&gt;$Z$1,"",IF('Your debts'!$D$20="Avalanche",'Avalanche workings'!$BB$351,'Snowball workings'!$BB$351))</f>
      </c>
      <c r="F349" s="29">
        <f>IF(OR(344&gt;$Z$1,NOT(OR('Your debts'!$B$6&lt;&gt;"",N('Your debts'!$C$6)&gt;0))),"",IF('Your debts'!$D$20="Avalanche",'Avalanche workings'!$L$351,'Snowball workings'!$L$351)+IF('Your debts'!$D$20="Avalanche",'Avalanche workings'!$AF$351,'Snowball workings'!$AF$351))</f>
      </c>
      <c r="G349" s="30">
        <f>IF(OR(344&gt;$Z$1,NOT(OR('Your debts'!$B$6&lt;&gt;"",N('Your debts'!$C$6)&gt;0))),"",IF('Your debts'!$D$20="Avalanche",'Avalanche workings'!$AP$351,'Snowball workings'!$AP$351))</f>
      </c>
      <c r="H349" s="29">
        <f>IF(OR(344&gt;$Z$1,NOT(OR('Your debts'!$B$7&lt;&gt;"",N('Your debts'!$C$7)&gt;0))),"",IF('Your debts'!$D$20="Avalanche",'Avalanche workings'!$M$351,'Snowball workings'!$M$351)+IF('Your debts'!$D$20="Avalanche",'Avalanche workings'!$AG$351,'Snowball workings'!$AG$351))</f>
      </c>
      <c r="I349" s="30">
        <f>IF(OR(344&gt;$Z$1,NOT(OR('Your debts'!$B$7&lt;&gt;"",N('Your debts'!$C$7)&gt;0))),"",IF('Your debts'!$D$20="Avalanche",'Avalanche workings'!$AQ$351,'Snowball workings'!$AQ$351))</f>
      </c>
      <c r="J349" s="29">
        <f>IF(OR(344&gt;$Z$1,NOT(OR('Your debts'!$B$8&lt;&gt;"",N('Your debts'!$C$8)&gt;0))),"",IF('Your debts'!$D$20="Avalanche",'Avalanche workings'!$N$351,'Snowball workings'!$N$351)+IF('Your debts'!$D$20="Avalanche",'Avalanche workings'!$AH$351,'Snowball workings'!$AH$351))</f>
      </c>
      <c r="K349" s="30">
        <f>IF(OR(344&gt;$Z$1,NOT(OR('Your debts'!$B$8&lt;&gt;"",N('Your debts'!$C$8)&gt;0))),"",IF('Your debts'!$D$20="Avalanche",'Avalanche workings'!$AR$351,'Snowball workings'!$AR$351))</f>
      </c>
      <c r="L349" s="29">
        <f>IF(OR(344&gt;$Z$1,NOT(OR('Your debts'!$B$9&lt;&gt;"",N('Your debts'!$C$9)&gt;0))),"",IF('Your debts'!$D$20="Avalanche",'Avalanche workings'!$O$351,'Snowball workings'!$O$351)+IF('Your debts'!$D$20="Avalanche",'Avalanche workings'!$AI$351,'Snowball workings'!$AI$351))</f>
      </c>
      <c r="M349" s="30">
        <f>IF(OR(344&gt;$Z$1,NOT(OR('Your debts'!$B$9&lt;&gt;"",N('Your debts'!$C$9)&gt;0))),"",IF('Your debts'!$D$20="Avalanche",'Avalanche workings'!$AS$351,'Snowball workings'!$AS$351))</f>
      </c>
      <c r="N349" s="29">
        <f>IF(OR(344&gt;$Z$1,NOT(OR('Your debts'!$B$10&lt;&gt;"",N('Your debts'!$C$10)&gt;0))),"",IF('Your debts'!$D$20="Avalanche",'Avalanche workings'!$P$351,'Snowball workings'!$P$351)+IF('Your debts'!$D$20="Avalanche",'Avalanche workings'!$AJ$351,'Snowball workings'!$AJ$351))</f>
      </c>
      <c r="O349" s="30">
        <f>IF(OR(344&gt;$Z$1,NOT(OR('Your debts'!$B$10&lt;&gt;"",N('Your debts'!$C$10)&gt;0))),"",IF('Your debts'!$D$20="Avalanche",'Avalanche workings'!$AT$351,'Snowball workings'!$AT$351))</f>
      </c>
      <c r="P349" s="29">
        <f>IF(OR(344&gt;$Z$1,NOT(OR('Your debts'!$B$11&lt;&gt;"",N('Your debts'!$C$11)&gt;0))),"",IF('Your debts'!$D$20="Avalanche",'Avalanche workings'!$Q$351,'Snowball workings'!$Q$351)+IF('Your debts'!$D$20="Avalanche",'Avalanche workings'!$AK$351,'Snowball workings'!$AK$351))</f>
      </c>
      <c r="Q349" s="30">
        <f>IF(OR(344&gt;$Z$1,NOT(OR('Your debts'!$B$11&lt;&gt;"",N('Your debts'!$C$11)&gt;0))),"",IF('Your debts'!$D$20="Avalanche",'Avalanche workings'!$AU$351,'Snowball workings'!$AU$351))</f>
      </c>
      <c r="R349" s="29">
        <f>IF(OR(344&gt;$Z$1,NOT(OR('Your debts'!$B$12&lt;&gt;"",N('Your debts'!$C$12)&gt;0))),"",IF('Your debts'!$D$20="Avalanche",'Avalanche workings'!$R$351,'Snowball workings'!$R$351)+IF('Your debts'!$D$20="Avalanche",'Avalanche workings'!$AL$351,'Snowball workings'!$AL$351))</f>
      </c>
      <c r="S349" s="30">
        <f>IF(OR(344&gt;$Z$1,NOT(OR('Your debts'!$B$12&lt;&gt;"",N('Your debts'!$C$12)&gt;0))),"",IF('Your debts'!$D$20="Avalanche",'Avalanche workings'!$AV$351,'Snowball workings'!$AV$351))</f>
      </c>
      <c r="T349" s="29">
        <f>IF(OR(344&gt;$Z$1,NOT(OR('Your debts'!$B$13&lt;&gt;"",N('Your debts'!$C$13)&gt;0))),"",IF('Your debts'!$D$20="Avalanche",'Avalanche workings'!$S$351,'Snowball workings'!$S$351)+IF('Your debts'!$D$20="Avalanche",'Avalanche workings'!$AM$351,'Snowball workings'!$AM$351))</f>
      </c>
      <c r="U349" s="30">
        <f>IF(OR(344&gt;$Z$1,NOT(OR('Your debts'!$B$13&lt;&gt;"",N('Your debts'!$C$13)&gt;0))),"",IF('Your debts'!$D$20="Avalanche",'Avalanche workings'!$AW$351,'Snowball workings'!$AW$351))</f>
      </c>
      <c r="V349" s="29">
        <f>IF(OR(344&gt;$Z$1,NOT(OR('Your debts'!$B$14&lt;&gt;"",N('Your debts'!$C$14)&gt;0))),"",IF('Your debts'!$D$20="Avalanche",'Avalanche workings'!$T$351,'Snowball workings'!$T$351)+IF('Your debts'!$D$20="Avalanche",'Avalanche workings'!$AN$351,'Snowball workings'!$AN$351))</f>
      </c>
      <c r="W349" s="30">
        <f>IF(OR(344&gt;$Z$1,NOT(OR('Your debts'!$B$14&lt;&gt;"",N('Your debts'!$C$14)&gt;0))),"",IF('Your debts'!$D$20="Avalanche",'Avalanche workings'!$AX$351,'Snowball workings'!$AX$351))</f>
      </c>
      <c r="X349" s="29">
        <f>IF(OR(344&gt;$Z$1,NOT(OR('Your debts'!$B$15&lt;&gt;"",N('Your debts'!$C$15)&gt;0))),"",IF('Your debts'!$D$20="Avalanche",'Avalanche workings'!$U$351,'Snowball workings'!$U$351)+IF('Your debts'!$D$20="Avalanche",'Avalanche workings'!$AO$351,'Snowball workings'!$AO$351))</f>
      </c>
      <c r="Y349" s="30">
        <f>IF(OR(344&gt;$Z$1,NOT(OR('Your debts'!$B$15&lt;&gt;"",N('Your debts'!$C$15)&gt;0))),"",IF('Your debts'!$D$20="Avalanche",'Avalanche workings'!$AY$351,'Snowball workings'!$AY$351))</f>
      </c>
    </row>
    <row r="350" spans="1:25" x14ac:dyDescent="0.25">
      <c r="A350" s="2">
        <f>IF(345&gt;$Z$1,"",345)</f>
      </c>
      <c r="B350" s="28">
        <f>IF(345&gt;$Z$1,"",EDATE('Your debts'!$D$21,344))</f>
      </c>
      <c r="C350" s="29">
        <f>IF(345&gt;$Z$1,"",IF('Your debts'!$D$20="Avalanche",'Avalanche workings'!$BC$352,'Snowball workings'!$BC$352))</f>
      </c>
      <c r="D350" s="29">
        <f>IF(345&gt;$Z$1,"",IF('Your debts'!$D$20="Avalanche",'Avalanche workings'!$BA$352,'Snowball workings'!$BA$352))</f>
      </c>
      <c r="E350" s="29">
        <f>IF(345&gt;$Z$1,"",IF('Your debts'!$D$20="Avalanche",'Avalanche workings'!$BB$352,'Snowball workings'!$BB$352))</f>
      </c>
      <c r="F350" s="29">
        <f>IF(OR(345&gt;$Z$1,NOT(OR('Your debts'!$B$6&lt;&gt;"",N('Your debts'!$C$6)&gt;0))),"",IF('Your debts'!$D$20="Avalanche",'Avalanche workings'!$L$352,'Snowball workings'!$L$352)+IF('Your debts'!$D$20="Avalanche",'Avalanche workings'!$AF$352,'Snowball workings'!$AF$352))</f>
      </c>
      <c r="G350" s="30">
        <f>IF(OR(345&gt;$Z$1,NOT(OR('Your debts'!$B$6&lt;&gt;"",N('Your debts'!$C$6)&gt;0))),"",IF('Your debts'!$D$20="Avalanche",'Avalanche workings'!$AP$352,'Snowball workings'!$AP$352))</f>
      </c>
      <c r="H350" s="29">
        <f>IF(OR(345&gt;$Z$1,NOT(OR('Your debts'!$B$7&lt;&gt;"",N('Your debts'!$C$7)&gt;0))),"",IF('Your debts'!$D$20="Avalanche",'Avalanche workings'!$M$352,'Snowball workings'!$M$352)+IF('Your debts'!$D$20="Avalanche",'Avalanche workings'!$AG$352,'Snowball workings'!$AG$352))</f>
      </c>
      <c r="I350" s="30">
        <f>IF(OR(345&gt;$Z$1,NOT(OR('Your debts'!$B$7&lt;&gt;"",N('Your debts'!$C$7)&gt;0))),"",IF('Your debts'!$D$20="Avalanche",'Avalanche workings'!$AQ$352,'Snowball workings'!$AQ$352))</f>
      </c>
      <c r="J350" s="29">
        <f>IF(OR(345&gt;$Z$1,NOT(OR('Your debts'!$B$8&lt;&gt;"",N('Your debts'!$C$8)&gt;0))),"",IF('Your debts'!$D$20="Avalanche",'Avalanche workings'!$N$352,'Snowball workings'!$N$352)+IF('Your debts'!$D$20="Avalanche",'Avalanche workings'!$AH$352,'Snowball workings'!$AH$352))</f>
      </c>
      <c r="K350" s="30">
        <f>IF(OR(345&gt;$Z$1,NOT(OR('Your debts'!$B$8&lt;&gt;"",N('Your debts'!$C$8)&gt;0))),"",IF('Your debts'!$D$20="Avalanche",'Avalanche workings'!$AR$352,'Snowball workings'!$AR$352))</f>
      </c>
      <c r="L350" s="29">
        <f>IF(OR(345&gt;$Z$1,NOT(OR('Your debts'!$B$9&lt;&gt;"",N('Your debts'!$C$9)&gt;0))),"",IF('Your debts'!$D$20="Avalanche",'Avalanche workings'!$O$352,'Snowball workings'!$O$352)+IF('Your debts'!$D$20="Avalanche",'Avalanche workings'!$AI$352,'Snowball workings'!$AI$352))</f>
      </c>
      <c r="M350" s="30">
        <f>IF(OR(345&gt;$Z$1,NOT(OR('Your debts'!$B$9&lt;&gt;"",N('Your debts'!$C$9)&gt;0))),"",IF('Your debts'!$D$20="Avalanche",'Avalanche workings'!$AS$352,'Snowball workings'!$AS$352))</f>
      </c>
      <c r="N350" s="29">
        <f>IF(OR(345&gt;$Z$1,NOT(OR('Your debts'!$B$10&lt;&gt;"",N('Your debts'!$C$10)&gt;0))),"",IF('Your debts'!$D$20="Avalanche",'Avalanche workings'!$P$352,'Snowball workings'!$P$352)+IF('Your debts'!$D$20="Avalanche",'Avalanche workings'!$AJ$352,'Snowball workings'!$AJ$352))</f>
      </c>
      <c r="O350" s="30">
        <f>IF(OR(345&gt;$Z$1,NOT(OR('Your debts'!$B$10&lt;&gt;"",N('Your debts'!$C$10)&gt;0))),"",IF('Your debts'!$D$20="Avalanche",'Avalanche workings'!$AT$352,'Snowball workings'!$AT$352))</f>
      </c>
      <c r="P350" s="29">
        <f>IF(OR(345&gt;$Z$1,NOT(OR('Your debts'!$B$11&lt;&gt;"",N('Your debts'!$C$11)&gt;0))),"",IF('Your debts'!$D$20="Avalanche",'Avalanche workings'!$Q$352,'Snowball workings'!$Q$352)+IF('Your debts'!$D$20="Avalanche",'Avalanche workings'!$AK$352,'Snowball workings'!$AK$352))</f>
      </c>
      <c r="Q350" s="30">
        <f>IF(OR(345&gt;$Z$1,NOT(OR('Your debts'!$B$11&lt;&gt;"",N('Your debts'!$C$11)&gt;0))),"",IF('Your debts'!$D$20="Avalanche",'Avalanche workings'!$AU$352,'Snowball workings'!$AU$352))</f>
      </c>
      <c r="R350" s="29">
        <f>IF(OR(345&gt;$Z$1,NOT(OR('Your debts'!$B$12&lt;&gt;"",N('Your debts'!$C$12)&gt;0))),"",IF('Your debts'!$D$20="Avalanche",'Avalanche workings'!$R$352,'Snowball workings'!$R$352)+IF('Your debts'!$D$20="Avalanche",'Avalanche workings'!$AL$352,'Snowball workings'!$AL$352))</f>
      </c>
      <c r="S350" s="30">
        <f>IF(OR(345&gt;$Z$1,NOT(OR('Your debts'!$B$12&lt;&gt;"",N('Your debts'!$C$12)&gt;0))),"",IF('Your debts'!$D$20="Avalanche",'Avalanche workings'!$AV$352,'Snowball workings'!$AV$352))</f>
      </c>
      <c r="T350" s="29">
        <f>IF(OR(345&gt;$Z$1,NOT(OR('Your debts'!$B$13&lt;&gt;"",N('Your debts'!$C$13)&gt;0))),"",IF('Your debts'!$D$20="Avalanche",'Avalanche workings'!$S$352,'Snowball workings'!$S$352)+IF('Your debts'!$D$20="Avalanche",'Avalanche workings'!$AM$352,'Snowball workings'!$AM$352))</f>
      </c>
      <c r="U350" s="30">
        <f>IF(OR(345&gt;$Z$1,NOT(OR('Your debts'!$B$13&lt;&gt;"",N('Your debts'!$C$13)&gt;0))),"",IF('Your debts'!$D$20="Avalanche",'Avalanche workings'!$AW$352,'Snowball workings'!$AW$352))</f>
      </c>
      <c r="V350" s="29">
        <f>IF(OR(345&gt;$Z$1,NOT(OR('Your debts'!$B$14&lt;&gt;"",N('Your debts'!$C$14)&gt;0))),"",IF('Your debts'!$D$20="Avalanche",'Avalanche workings'!$T$352,'Snowball workings'!$T$352)+IF('Your debts'!$D$20="Avalanche",'Avalanche workings'!$AN$352,'Snowball workings'!$AN$352))</f>
      </c>
      <c r="W350" s="30">
        <f>IF(OR(345&gt;$Z$1,NOT(OR('Your debts'!$B$14&lt;&gt;"",N('Your debts'!$C$14)&gt;0))),"",IF('Your debts'!$D$20="Avalanche",'Avalanche workings'!$AX$352,'Snowball workings'!$AX$352))</f>
      </c>
      <c r="X350" s="29">
        <f>IF(OR(345&gt;$Z$1,NOT(OR('Your debts'!$B$15&lt;&gt;"",N('Your debts'!$C$15)&gt;0))),"",IF('Your debts'!$D$20="Avalanche",'Avalanche workings'!$U$352,'Snowball workings'!$U$352)+IF('Your debts'!$D$20="Avalanche",'Avalanche workings'!$AO$352,'Snowball workings'!$AO$352))</f>
      </c>
      <c r="Y350" s="30">
        <f>IF(OR(345&gt;$Z$1,NOT(OR('Your debts'!$B$15&lt;&gt;"",N('Your debts'!$C$15)&gt;0))),"",IF('Your debts'!$D$20="Avalanche",'Avalanche workings'!$AY$352,'Snowball workings'!$AY$352))</f>
      </c>
    </row>
    <row r="351" spans="1:25" x14ac:dyDescent="0.25">
      <c r="A351" s="2">
        <f>IF(346&gt;$Z$1,"",346)</f>
      </c>
      <c r="B351" s="28">
        <f>IF(346&gt;$Z$1,"",EDATE('Your debts'!$D$21,345))</f>
      </c>
      <c r="C351" s="29">
        <f>IF(346&gt;$Z$1,"",IF('Your debts'!$D$20="Avalanche",'Avalanche workings'!$BC$353,'Snowball workings'!$BC$353))</f>
      </c>
      <c r="D351" s="29">
        <f>IF(346&gt;$Z$1,"",IF('Your debts'!$D$20="Avalanche",'Avalanche workings'!$BA$353,'Snowball workings'!$BA$353))</f>
      </c>
      <c r="E351" s="29">
        <f>IF(346&gt;$Z$1,"",IF('Your debts'!$D$20="Avalanche",'Avalanche workings'!$BB$353,'Snowball workings'!$BB$353))</f>
      </c>
      <c r="F351" s="29">
        <f>IF(OR(346&gt;$Z$1,NOT(OR('Your debts'!$B$6&lt;&gt;"",N('Your debts'!$C$6)&gt;0))),"",IF('Your debts'!$D$20="Avalanche",'Avalanche workings'!$L$353,'Snowball workings'!$L$353)+IF('Your debts'!$D$20="Avalanche",'Avalanche workings'!$AF$353,'Snowball workings'!$AF$353))</f>
      </c>
      <c r="G351" s="30">
        <f>IF(OR(346&gt;$Z$1,NOT(OR('Your debts'!$B$6&lt;&gt;"",N('Your debts'!$C$6)&gt;0))),"",IF('Your debts'!$D$20="Avalanche",'Avalanche workings'!$AP$353,'Snowball workings'!$AP$353))</f>
      </c>
      <c r="H351" s="29">
        <f>IF(OR(346&gt;$Z$1,NOT(OR('Your debts'!$B$7&lt;&gt;"",N('Your debts'!$C$7)&gt;0))),"",IF('Your debts'!$D$20="Avalanche",'Avalanche workings'!$M$353,'Snowball workings'!$M$353)+IF('Your debts'!$D$20="Avalanche",'Avalanche workings'!$AG$353,'Snowball workings'!$AG$353))</f>
      </c>
      <c r="I351" s="30">
        <f>IF(OR(346&gt;$Z$1,NOT(OR('Your debts'!$B$7&lt;&gt;"",N('Your debts'!$C$7)&gt;0))),"",IF('Your debts'!$D$20="Avalanche",'Avalanche workings'!$AQ$353,'Snowball workings'!$AQ$353))</f>
      </c>
      <c r="J351" s="29">
        <f>IF(OR(346&gt;$Z$1,NOT(OR('Your debts'!$B$8&lt;&gt;"",N('Your debts'!$C$8)&gt;0))),"",IF('Your debts'!$D$20="Avalanche",'Avalanche workings'!$N$353,'Snowball workings'!$N$353)+IF('Your debts'!$D$20="Avalanche",'Avalanche workings'!$AH$353,'Snowball workings'!$AH$353))</f>
      </c>
      <c r="K351" s="30">
        <f>IF(OR(346&gt;$Z$1,NOT(OR('Your debts'!$B$8&lt;&gt;"",N('Your debts'!$C$8)&gt;0))),"",IF('Your debts'!$D$20="Avalanche",'Avalanche workings'!$AR$353,'Snowball workings'!$AR$353))</f>
      </c>
      <c r="L351" s="29">
        <f>IF(OR(346&gt;$Z$1,NOT(OR('Your debts'!$B$9&lt;&gt;"",N('Your debts'!$C$9)&gt;0))),"",IF('Your debts'!$D$20="Avalanche",'Avalanche workings'!$O$353,'Snowball workings'!$O$353)+IF('Your debts'!$D$20="Avalanche",'Avalanche workings'!$AI$353,'Snowball workings'!$AI$353))</f>
      </c>
      <c r="M351" s="30">
        <f>IF(OR(346&gt;$Z$1,NOT(OR('Your debts'!$B$9&lt;&gt;"",N('Your debts'!$C$9)&gt;0))),"",IF('Your debts'!$D$20="Avalanche",'Avalanche workings'!$AS$353,'Snowball workings'!$AS$353))</f>
      </c>
      <c r="N351" s="29">
        <f>IF(OR(346&gt;$Z$1,NOT(OR('Your debts'!$B$10&lt;&gt;"",N('Your debts'!$C$10)&gt;0))),"",IF('Your debts'!$D$20="Avalanche",'Avalanche workings'!$P$353,'Snowball workings'!$P$353)+IF('Your debts'!$D$20="Avalanche",'Avalanche workings'!$AJ$353,'Snowball workings'!$AJ$353))</f>
      </c>
      <c r="O351" s="30">
        <f>IF(OR(346&gt;$Z$1,NOT(OR('Your debts'!$B$10&lt;&gt;"",N('Your debts'!$C$10)&gt;0))),"",IF('Your debts'!$D$20="Avalanche",'Avalanche workings'!$AT$353,'Snowball workings'!$AT$353))</f>
      </c>
      <c r="P351" s="29">
        <f>IF(OR(346&gt;$Z$1,NOT(OR('Your debts'!$B$11&lt;&gt;"",N('Your debts'!$C$11)&gt;0))),"",IF('Your debts'!$D$20="Avalanche",'Avalanche workings'!$Q$353,'Snowball workings'!$Q$353)+IF('Your debts'!$D$20="Avalanche",'Avalanche workings'!$AK$353,'Snowball workings'!$AK$353))</f>
      </c>
      <c r="Q351" s="30">
        <f>IF(OR(346&gt;$Z$1,NOT(OR('Your debts'!$B$11&lt;&gt;"",N('Your debts'!$C$11)&gt;0))),"",IF('Your debts'!$D$20="Avalanche",'Avalanche workings'!$AU$353,'Snowball workings'!$AU$353))</f>
      </c>
      <c r="R351" s="29">
        <f>IF(OR(346&gt;$Z$1,NOT(OR('Your debts'!$B$12&lt;&gt;"",N('Your debts'!$C$12)&gt;0))),"",IF('Your debts'!$D$20="Avalanche",'Avalanche workings'!$R$353,'Snowball workings'!$R$353)+IF('Your debts'!$D$20="Avalanche",'Avalanche workings'!$AL$353,'Snowball workings'!$AL$353))</f>
      </c>
      <c r="S351" s="30">
        <f>IF(OR(346&gt;$Z$1,NOT(OR('Your debts'!$B$12&lt;&gt;"",N('Your debts'!$C$12)&gt;0))),"",IF('Your debts'!$D$20="Avalanche",'Avalanche workings'!$AV$353,'Snowball workings'!$AV$353))</f>
      </c>
      <c r="T351" s="29">
        <f>IF(OR(346&gt;$Z$1,NOT(OR('Your debts'!$B$13&lt;&gt;"",N('Your debts'!$C$13)&gt;0))),"",IF('Your debts'!$D$20="Avalanche",'Avalanche workings'!$S$353,'Snowball workings'!$S$353)+IF('Your debts'!$D$20="Avalanche",'Avalanche workings'!$AM$353,'Snowball workings'!$AM$353))</f>
      </c>
      <c r="U351" s="30">
        <f>IF(OR(346&gt;$Z$1,NOT(OR('Your debts'!$B$13&lt;&gt;"",N('Your debts'!$C$13)&gt;0))),"",IF('Your debts'!$D$20="Avalanche",'Avalanche workings'!$AW$353,'Snowball workings'!$AW$353))</f>
      </c>
      <c r="V351" s="29">
        <f>IF(OR(346&gt;$Z$1,NOT(OR('Your debts'!$B$14&lt;&gt;"",N('Your debts'!$C$14)&gt;0))),"",IF('Your debts'!$D$20="Avalanche",'Avalanche workings'!$T$353,'Snowball workings'!$T$353)+IF('Your debts'!$D$20="Avalanche",'Avalanche workings'!$AN$353,'Snowball workings'!$AN$353))</f>
      </c>
      <c r="W351" s="30">
        <f>IF(OR(346&gt;$Z$1,NOT(OR('Your debts'!$B$14&lt;&gt;"",N('Your debts'!$C$14)&gt;0))),"",IF('Your debts'!$D$20="Avalanche",'Avalanche workings'!$AX$353,'Snowball workings'!$AX$353))</f>
      </c>
      <c r="X351" s="29">
        <f>IF(OR(346&gt;$Z$1,NOT(OR('Your debts'!$B$15&lt;&gt;"",N('Your debts'!$C$15)&gt;0))),"",IF('Your debts'!$D$20="Avalanche",'Avalanche workings'!$U$353,'Snowball workings'!$U$353)+IF('Your debts'!$D$20="Avalanche",'Avalanche workings'!$AO$353,'Snowball workings'!$AO$353))</f>
      </c>
      <c r="Y351" s="30">
        <f>IF(OR(346&gt;$Z$1,NOT(OR('Your debts'!$B$15&lt;&gt;"",N('Your debts'!$C$15)&gt;0))),"",IF('Your debts'!$D$20="Avalanche",'Avalanche workings'!$AY$353,'Snowball workings'!$AY$353))</f>
      </c>
    </row>
    <row r="352" spans="1:25" x14ac:dyDescent="0.25">
      <c r="A352" s="2">
        <f>IF(347&gt;$Z$1,"",347)</f>
      </c>
      <c r="B352" s="28">
        <f>IF(347&gt;$Z$1,"",EDATE('Your debts'!$D$21,346))</f>
      </c>
      <c r="C352" s="29">
        <f>IF(347&gt;$Z$1,"",IF('Your debts'!$D$20="Avalanche",'Avalanche workings'!$BC$354,'Snowball workings'!$BC$354))</f>
      </c>
      <c r="D352" s="29">
        <f>IF(347&gt;$Z$1,"",IF('Your debts'!$D$20="Avalanche",'Avalanche workings'!$BA$354,'Snowball workings'!$BA$354))</f>
      </c>
      <c r="E352" s="29">
        <f>IF(347&gt;$Z$1,"",IF('Your debts'!$D$20="Avalanche",'Avalanche workings'!$BB$354,'Snowball workings'!$BB$354))</f>
      </c>
      <c r="F352" s="29">
        <f>IF(OR(347&gt;$Z$1,NOT(OR('Your debts'!$B$6&lt;&gt;"",N('Your debts'!$C$6)&gt;0))),"",IF('Your debts'!$D$20="Avalanche",'Avalanche workings'!$L$354,'Snowball workings'!$L$354)+IF('Your debts'!$D$20="Avalanche",'Avalanche workings'!$AF$354,'Snowball workings'!$AF$354))</f>
      </c>
      <c r="G352" s="30">
        <f>IF(OR(347&gt;$Z$1,NOT(OR('Your debts'!$B$6&lt;&gt;"",N('Your debts'!$C$6)&gt;0))),"",IF('Your debts'!$D$20="Avalanche",'Avalanche workings'!$AP$354,'Snowball workings'!$AP$354))</f>
      </c>
      <c r="H352" s="29">
        <f>IF(OR(347&gt;$Z$1,NOT(OR('Your debts'!$B$7&lt;&gt;"",N('Your debts'!$C$7)&gt;0))),"",IF('Your debts'!$D$20="Avalanche",'Avalanche workings'!$M$354,'Snowball workings'!$M$354)+IF('Your debts'!$D$20="Avalanche",'Avalanche workings'!$AG$354,'Snowball workings'!$AG$354))</f>
      </c>
      <c r="I352" s="30">
        <f>IF(OR(347&gt;$Z$1,NOT(OR('Your debts'!$B$7&lt;&gt;"",N('Your debts'!$C$7)&gt;0))),"",IF('Your debts'!$D$20="Avalanche",'Avalanche workings'!$AQ$354,'Snowball workings'!$AQ$354))</f>
      </c>
      <c r="J352" s="29">
        <f>IF(OR(347&gt;$Z$1,NOT(OR('Your debts'!$B$8&lt;&gt;"",N('Your debts'!$C$8)&gt;0))),"",IF('Your debts'!$D$20="Avalanche",'Avalanche workings'!$N$354,'Snowball workings'!$N$354)+IF('Your debts'!$D$20="Avalanche",'Avalanche workings'!$AH$354,'Snowball workings'!$AH$354))</f>
      </c>
      <c r="K352" s="30">
        <f>IF(OR(347&gt;$Z$1,NOT(OR('Your debts'!$B$8&lt;&gt;"",N('Your debts'!$C$8)&gt;0))),"",IF('Your debts'!$D$20="Avalanche",'Avalanche workings'!$AR$354,'Snowball workings'!$AR$354))</f>
      </c>
      <c r="L352" s="29">
        <f>IF(OR(347&gt;$Z$1,NOT(OR('Your debts'!$B$9&lt;&gt;"",N('Your debts'!$C$9)&gt;0))),"",IF('Your debts'!$D$20="Avalanche",'Avalanche workings'!$O$354,'Snowball workings'!$O$354)+IF('Your debts'!$D$20="Avalanche",'Avalanche workings'!$AI$354,'Snowball workings'!$AI$354))</f>
      </c>
      <c r="M352" s="30">
        <f>IF(OR(347&gt;$Z$1,NOT(OR('Your debts'!$B$9&lt;&gt;"",N('Your debts'!$C$9)&gt;0))),"",IF('Your debts'!$D$20="Avalanche",'Avalanche workings'!$AS$354,'Snowball workings'!$AS$354))</f>
      </c>
      <c r="N352" s="29">
        <f>IF(OR(347&gt;$Z$1,NOT(OR('Your debts'!$B$10&lt;&gt;"",N('Your debts'!$C$10)&gt;0))),"",IF('Your debts'!$D$20="Avalanche",'Avalanche workings'!$P$354,'Snowball workings'!$P$354)+IF('Your debts'!$D$20="Avalanche",'Avalanche workings'!$AJ$354,'Snowball workings'!$AJ$354))</f>
      </c>
      <c r="O352" s="30">
        <f>IF(OR(347&gt;$Z$1,NOT(OR('Your debts'!$B$10&lt;&gt;"",N('Your debts'!$C$10)&gt;0))),"",IF('Your debts'!$D$20="Avalanche",'Avalanche workings'!$AT$354,'Snowball workings'!$AT$354))</f>
      </c>
      <c r="P352" s="29">
        <f>IF(OR(347&gt;$Z$1,NOT(OR('Your debts'!$B$11&lt;&gt;"",N('Your debts'!$C$11)&gt;0))),"",IF('Your debts'!$D$20="Avalanche",'Avalanche workings'!$Q$354,'Snowball workings'!$Q$354)+IF('Your debts'!$D$20="Avalanche",'Avalanche workings'!$AK$354,'Snowball workings'!$AK$354))</f>
      </c>
      <c r="Q352" s="30">
        <f>IF(OR(347&gt;$Z$1,NOT(OR('Your debts'!$B$11&lt;&gt;"",N('Your debts'!$C$11)&gt;0))),"",IF('Your debts'!$D$20="Avalanche",'Avalanche workings'!$AU$354,'Snowball workings'!$AU$354))</f>
      </c>
      <c r="R352" s="29">
        <f>IF(OR(347&gt;$Z$1,NOT(OR('Your debts'!$B$12&lt;&gt;"",N('Your debts'!$C$12)&gt;0))),"",IF('Your debts'!$D$20="Avalanche",'Avalanche workings'!$R$354,'Snowball workings'!$R$354)+IF('Your debts'!$D$20="Avalanche",'Avalanche workings'!$AL$354,'Snowball workings'!$AL$354))</f>
      </c>
      <c r="S352" s="30">
        <f>IF(OR(347&gt;$Z$1,NOT(OR('Your debts'!$B$12&lt;&gt;"",N('Your debts'!$C$12)&gt;0))),"",IF('Your debts'!$D$20="Avalanche",'Avalanche workings'!$AV$354,'Snowball workings'!$AV$354))</f>
      </c>
      <c r="T352" s="29">
        <f>IF(OR(347&gt;$Z$1,NOT(OR('Your debts'!$B$13&lt;&gt;"",N('Your debts'!$C$13)&gt;0))),"",IF('Your debts'!$D$20="Avalanche",'Avalanche workings'!$S$354,'Snowball workings'!$S$354)+IF('Your debts'!$D$20="Avalanche",'Avalanche workings'!$AM$354,'Snowball workings'!$AM$354))</f>
      </c>
      <c r="U352" s="30">
        <f>IF(OR(347&gt;$Z$1,NOT(OR('Your debts'!$B$13&lt;&gt;"",N('Your debts'!$C$13)&gt;0))),"",IF('Your debts'!$D$20="Avalanche",'Avalanche workings'!$AW$354,'Snowball workings'!$AW$354))</f>
      </c>
      <c r="V352" s="29">
        <f>IF(OR(347&gt;$Z$1,NOT(OR('Your debts'!$B$14&lt;&gt;"",N('Your debts'!$C$14)&gt;0))),"",IF('Your debts'!$D$20="Avalanche",'Avalanche workings'!$T$354,'Snowball workings'!$T$354)+IF('Your debts'!$D$20="Avalanche",'Avalanche workings'!$AN$354,'Snowball workings'!$AN$354))</f>
      </c>
      <c r="W352" s="30">
        <f>IF(OR(347&gt;$Z$1,NOT(OR('Your debts'!$B$14&lt;&gt;"",N('Your debts'!$C$14)&gt;0))),"",IF('Your debts'!$D$20="Avalanche",'Avalanche workings'!$AX$354,'Snowball workings'!$AX$354))</f>
      </c>
      <c r="X352" s="29">
        <f>IF(OR(347&gt;$Z$1,NOT(OR('Your debts'!$B$15&lt;&gt;"",N('Your debts'!$C$15)&gt;0))),"",IF('Your debts'!$D$20="Avalanche",'Avalanche workings'!$U$354,'Snowball workings'!$U$354)+IF('Your debts'!$D$20="Avalanche",'Avalanche workings'!$AO$354,'Snowball workings'!$AO$354))</f>
      </c>
      <c r="Y352" s="30">
        <f>IF(OR(347&gt;$Z$1,NOT(OR('Your debts'!$B$15&lt;&gt;"",N('Your debts'!$C$15)&gt;0))),"",IF('Your debts'!$D$20="Avalanche",'Avalanche workings'!$AY$354,'Snowball workings'!$AY$354))</f>
      </c>
    </row>
    <row r="353" spans="1:25" x14ac:dyDescent="0.25">
      <c r="A353" s="2">
        <f>IF(348&gt;$Z$1,"",348)</f>
      </c>
      <c r="B353" s="28">
        <f>IF(348&gt;$Z$1,"",EDATE('Your debts'!$D$21,347))</f>
      </c>
      <c r="C353" s="29">
        <f>IF(348&gt;$Z$1,"",IF('Your debts'!$D$20="Avalanche",'Avalanche workings'!$BC$355,'Snowball workings'!$BC$355))</f>
      </c>
      <c r="D353" s="29">
        <f>IF(348&gt;$Z$1,"",IF('Your debts'!$D$20="Avalanche",'Avalanche workings'!$BA$355,'Snowball workings'!$BA$355))</f>
      </c>
      <c r="E353" s="29">
        <f>IF(348&gt;$Z$1,"",IF('Your debts'!$D$20="Avalanche",'Avalanche workings'!$BB$355,'Snowball workings'!$BB$355))</f>
      </c>
      <c r="F353" s="29">
        <f>IF(OR(348&gt;$Z$1,NOT(OR('Your debts'!$B$6&lt;&gt;"",N('Your debts'!$C$6)&gt;0))),"",IF('Your debts'!$D$20="Avalanche",'Avalanche workings'!$L$355,'Snowball workings'!$L$355)+IF('Your debts'!$D$20="Avalanche",'Avalanche workings'!$AF$355,'Snowball workings'!$AF$355))</f>
      </c>
      <c r="G353" s="30">
        <f>IF(OR(348&gt;$Z$1,NOT(OR('Your debts'!$B$6&lt;&gt;"",N('Your debts'!$C$6)&gt;0))),"",IF('Your debts'!$D$20="Avalanche",'Avalanche workings'!$AP$355,'Snowball workings'!$AP$355))</f>
      </c>
      <c r="H353" s="29">
        <f>IF(OR(348&gt;$Z$1,NOT(OR('Your debts'!$B$7&lt;&gt;"",N('Your debts'!$C$7)&gt;0))),"",IF('Your debts'!$D$20="Avalanche",'Avalanche workings'!$M$355,'Snowball workings'!$M$355)+IF('Your debts'!$D$20="Avalanche",'Avalanche workings'!$AG$355,'Snowball workings'!$AG$355))</f>
      </c>
      <c r="I353" s="30">
        <f>IF(OR(348&gt;$Z$1,NOT(OR('Your debts'!$B$7&lt;&gt;"",N('Your debts'!$C$7)&gt;0))),"",IF('Your debts'!$D$20="Avalanche",'Avalanche workings'!$AQ$355,'Snowball workings'!$AQ$355))</f>
      </c>
      <c r="J353" s="29">
        <f>IF(OR(348&gt;$Z$1,NOT(OR('Your debts'!$B$8&lt;&gt;"",N('Your debts'!$C$8)&gt;0))),"",IF('Your debts'!$D$20="Avalanche",'Avalanche workings'!$N$355,'Snowball workings'!$N$355)+IF('Your debts'!$D$20="Avalanche",'Avalanche workings'!$AH$355,'Snowball workings'!$AH$355))</f>
      </c>
      <c r="K353" s="30">
        <f>IF(OR(348&gt;$Z$1,NOT(OR('Your debts'!$B$8&lt;&gt;"",N('Your debts'!$C$8)&gt;0))),"",IF('Your debts'!$D$20="Avalanche",'Avalanche workings'!$AR$355,'Snowball workings'!$AR$355))</f>
      </c>
      <c r="L353" s="29">
        <f>IF(OR(348&gt;$Z$1,NOT(OR('Your debts'!$B$9&lt;&gt;"",N('Your debts'!$C$9)&gt;0))),"",IF('Your debts'!$D$20="Avalanche",'Avalanche workings'!$O$355,'Snowball workings'!$O$355)+IF('Your debts'!$D$20="Avalanche",'Avalanche workings'!$AI$355,'Snowball workings'!$AI$355))</f>
      </c>
      <c r="M353" s="30">
        <f>IF(OR(348&gt;$Z$1,NOT(OR('Your debts'!$B$9&lt;&gt;"",N('Your debts'!$C$9)&gt;0))),"",IF('Your debts'!$D$20="Avalanche",'Avalanche workings'!$AS$355,'Snowball workings'!$AS$355))</f>
      </c>
      <c r="N353" s="29">
        <f>IF(OR(348&gt;$Z$1,NOT(OR('Your debts'!$B$10&lt;&gt;"",N('Your debts'!$C$10)&gt;0))),"",IF('Your debts'!$D$20="Avalanche",'Avalanche workings'!$P$355,'Snowball workings'!$P$355)+IF('Your debts'!$D$20="Avalanche",'Avalanche workings'!$AJ$355,'Snowball workings'!$AJ$355))</f>
      </c>
      <c r="O353" s="30">
        <f>IF(OR(348&gt;$Z$1,NOT(OR('Your debts'!$B$10&lt;&gt;"",N('Your debts'!$C$10)&gt;0))),"",IF('Your debts'!$D$20="Avalanche",'Avalanche workings'!$AT$355,'Snowball workings'!$AT$355))</f>
      </c>
      <c r="P353" s="29">
        <f>IF(OR(348&gt;$Z$1,NOT(OR('Your debts'!$B$11&lt;&gt;"",N('Your debts'!$C$11)&gt;0))),"",IF('Your debts'!$D$20="Avalanche",'Avalanche workings'!$Q$355,'Snowball workings'!$Q$355)+IF('Your debts'!$D$20="Avalanche",'Avalanche workings'!$AK$355,'Snowball workings'!$AK$355))</f>
      </c>
      <c r="Q353" s="30">
        <f>IF(OR(348&gt;$Z$1,NOT(OR('Your debts'!$B$11&lt;&gt;"",N('Your debts'!$C$11)&gt;0))),"",IF('Your debts'!$D$20="Avalanche",'Avalanche workings'!$AU$355,'Snowball workings'!$AU$355))</f>
      </c>
      <c r="R353" s="29">
        <f>IF(OR(348&gt;$Z$1,NOT(OR('Your debts'!$B$12&lt;&gt;"",N('Your debts'!$C$12)&gt;0))),"",IF('Your debts'!$D$20="Avalanche",'Avalanche workings'!$R$355,'Snowball workings'!$R$355)+IF('Your debts'!$D$20="Avalanche",'Avalanche workings'!$AL$355,'Snowball workings'!$AL$355))</f>
      </c>
      <c r="S353" s="30">
        <f>IF(OR(348&gt;$Z$1,NOT(OR('Your debts'!$B$12&lt;&gt;"",N('Your debts'!$C$12)&gt;0))),"",IF('Your debts'!$D$20="Avalanche",'Avalanche workings'!$AV$355,'Snowball workings'!$AV$355))</f>
      </c>
      <c r="T353" s="29">
        <f>IF(OR(348&gt;$Z$1,NOT(OR('Your debts'!$B$13&lt;&gt;"",N('Your debts'!$C$13)&gt;0))),"",IF('Your debts'!$D$20="Avalanche",'Avalanche workings'!$S$355,'Snowball workings'!$S$355)+IF('Your debts'!$D$20="Avalanche",'Avalanche workings'!$AM$355,'Snowball workings'!$AM$355))</f>
      </c>
      <c r="U353" s="30">
        <f>IF(OR(348&gt;$Z$1,NOT(OR('Your debts'!$B$13&lt;&gt;"",N('Your debts'!$C$13)&gt;0))),"",IF('Your debts'!$D$20="Avalanche",'Avalanche workings'!$AW$355,'Snowball workings'!$AW$355))</f>
      </c>
      <c r="V353" s="29">
        <f>IF(OR(348&gt;$Z$1,NOT(OR('Your debts'!$B$14&lt;&gt;"",N('Your debts'!$C$14)&gt;0))),"",IF('Your debts'!$D$20="Avalanche",'Avalanche workings'!$T$355,'Snowball workings'!$T$355)+IF('Your debts'!$D$20="Avalanche",'Avalanche workings'!$AN$355,'Snowball workings'!$AN$355))</f>
      </c>
      <c r="W353" s="30">
        <f>IF(OR(348&gt;$Z$1,NOT(OR('Your debts'!$B$14&lt;&gt;"",N('Your debts'!$C$14)&gt;0))),"",IF('Your debts'!$D$20="Avalanche",'Avalanche workings'!$AX$355,'Snowball workings'!$AX$355))</f>
      </c>
      <c r="X353" s="29">
        <f>IF(OR(348&gt;$Z$1,NOT(OR('Your debts'!$B$15&lt;&gt;"",N('Your debts'!$C$15)&gt;0))),"",IF('Your debts'!$D$20="Avalanche",'Avalanche workings'!$U$355,'Snowball workings'!$U$355)+IF('Your debts'!$D$20="Avalanche",'Avalanche workings'!$AO$355,'Snowball workings'!$AO$355))</f>
      </c>
      <c r="Y353" s="30">
        <f>IF(OR(348&gt;$Z$1,NOT(OR('Your debts'!$B$15&lt;&gt;"",N('Your debts'!$C$15)&gt;0))),"",IF('Your debts'!$D$20="Avalanche",'Avalanche workings'!$AY$355,'Snowball workings'!$AY$355))</f>
      </c>
    </row>
    <row r="354" spans="1:25" x14ac:dyDescent="0.25">
      <c r="A354" s="2">
        <f>IF(349&gt;$Z$1,"",349)</f>
      </c>
      <c r="B354" s="28">
        <f>IF(349&gt;$Z$1,"",EDATE('Your debts'!$D$21,348))</f>
      </c>
      <c r="C354" s="29">
        <f>IF(349&gt;$Z$1,"",IF('Your debts'!$D$20="Avalanche",'Avalanche workings'!$BC$356,'Snowball workings'!$BC$356))</f>
      </c>
      <c r="D354" s="29">
        <f>IF(349&gt;$Z$1,"",IF('Your debts'!$D$20="Avalanche",'Avalanche workings'!$BA$356,'Snowball workings'!$BA$356))</f>
      </c>
      <c r="E354" s="29">
        <f>IF(349&gt;$Z$1,"",IF('Your debts'!$D$20="Avalanche",'Avalanche workings'!$BB$356,'Snowball workings'!$BB$356))</f>
      </c>
      <c r="F354" s="29">
        <f>IF(OR(349&gt;$Z$1,NOT(OR('Your debts'!$B$6&lt;&gt;"",N('Your debts'!$C$6)&gt;0))),"",IF('Your debts'!$D$20="Avalanche",'Avalanche workings'!$L$356,'Snowball workings'!$L$356)+IF('Your debts'!$D$20="Avalanche",'Avalanche workings'!$AF$356,'Snowball workings'!$AF$356))</f>
      </c>
      <c r="G354" s="30">
        <f>IF(OR(349&gt;$Z$1,NOT(OR('Your debts'!$B$6&lt;&gt;"",N('Your debts'!$C$6)&gt;0))),"",IF('Your debts'!$D$20="Avalanche",'Avalanche workings'!$AP$356,'Snowball workings'!$AP$356))</f>
      </c>
      <c r="H354" s="29">
        <f>IF(OR(349&gt;$Z$1,NOT(OR('Your debts'!$B$7&lt;&gt;"",N('Your debts'!$C$7)&gt;0))),"",IF('Your debts'!$D$20="Avalanche",'Avalanche workings'!$M$356,'Snowball workings'!$M$356)+IF('Your debts'!$D$20="Avalanche",'Avalanche workings'!$AG$356,'Snowball workings'!$AG$356))</f>
      </c>
      <c r="I354" s="30">
        <f>IF(OR(349&gt;$Z$1,NOT(OR('Your debts'!$B$7&lt;&gt;"",N('Your debts'!$C$7)&gt;0))),"",IF('Your debts'!$D$20="Avalanche",'Avalanche workings'!$AQ$356,'Snowball workings'!$AQ$356))</f>
      </c>
      <c r="J354" s="29">
        <f>IF(OR(349&gt;$Z$1,NOT(OR('Your debts'!$B$8&lt;&gt;"",N('Your debts'!$C$8)&gt;0))),"",IF('Your debts'!$D$20="Avalanche",'Avalanche workings'!$N$356,'Snowball workings'!$N$356)+IF('Your debts'!$D$20="Avalanche",'Avalanche workings'!$AH$356,'Snowball workings'!$AH$356))</f>
      </c>
      <c r="K354" s="30">
        <f>IF(OR(349&gt;$Z$1,NOT(OR('Your debts'!$B$8&lt;&gt;"",N('Your debts'!$C$8)&gt;0))),"",IF('Your debts'!$D$20="Avalanche",'Avalanche workings'!$AR$356,'Snowball workings'!$AR$356))</f>
      </c>
      <c r="L354" s="29">
        <f>IF(OR(349&gt;$Z$1,NOT(OR('Your debts'!$B$9&lt;&gt;"",N('Your debts'!$C$9)&gt;0))),"",IF('Your debts'!$D$20="Avalanche",'Avalanche workings'!$O$356,'Snowball workings'!$O$356)+IF('Your debts'!$D$20="Avalanche",'Avalanche workings'!$AI$356,'Snowball workings'!$AI$356))</f>
      </c>
      <c r="M354" s="30">
        <f>IF(OR(349&gt;$Z$1,NOT(OR('Your debts'!$B$9&lt;&gt;"",N('Your debts'!$C$9)&gt;0))),"",IF('Your debts'!$D$20="Avalanche",'Avalanche workings'!$AS$356,'Snowball workings'!$AS$356))</f>
      </c>
      <c r="N354" s="29">
        <f>IF(OR(349&gt;$Z$1,NOT(OR('Your debts'!$B$10&lt;&gt;"",N('Your debts'!$C$10)&gt;0))),"",IF('Your debts'!$D$20="Avalanche",'Avalanche workings'!$P$356,'Snowball workings'!$P$356)+IF('Your debts'!$D$20="Avalanche",'Avalanche workings'!$AJ$356,'Snowball workings'!$AJ$356))</f>
      </c>
      <c r="O354" s="30">
        <f>IF(OR(349&gt;$Z$1,NOT(OR('Your debts'!$B$10&lt;&gt;"",N('Your debts'!$C$10)&gt;0))),"",IF('Your debts'!$D$20="Avalanche",'Avalanche workings'!$AT$356,'Snowball workings'!$AT$356))</f>
      </c>
      <c r="P354" s="29">
        <f>IF(OR(349&gt;$Z$1,NOT(OR('Your debts'!$B$11&lt;&gt;"",N('Your debts'!$C$11)&gt;0))),"",IF('Your debts'!$D$20="Avalanche",'Avalanche workings'!$Q$356,'Snowball workings'!$Q$356)+IF('Your debts'!$D$20="Avalanche",'Avalanche workings'!$AK$356,'Snowball workings'!$AK$356))</f>
      </c>
      <c r="Q354" s="30">
        <f>IF(OR(349&gt;$Z$1,NOT(OR('Your debts'!$B$11&lt;&gt;"",N('Your debts'!$C$11)&gt;0))),"",IF('Your debts'!$D$20="Avalanche",'Avalanche workings'!$AU$356,'Snowball workings'!$AU$356))</f>
      </c>
      <c r="R354" s="29">
        <f>IF(OR(349&gt;$Z$1,NOT(OR('Your debts'!$B$12&lt;&gt;"",N('Your debts'!$C$12)&gt;0))),"",IF('Your debts'!$D$20="Avalanche",'Avalanche workings'!$R$356,'Snowball workings'!$R$356)+IF('Your debts'!$D$20="Avalanche",'Avalanche workings'!$AL$356,'Snowball workings'!$AL$356))</f>
      </c>
      <c r="S354" s="30">
        <f>IF(OR(349&gt;$Z$1,NOT(OR('Your debts'!$B$12&lt;&gt;"",N('Your debts'!$C$12)&gt;0))),"",IF('Your debts'!$D$20="Avalanche",'Avalanche workings'!$AV$356,'Snowball workings'!$AV$356))</f>
      </c>
      <c r="T354" s="29">
        <f>IF(OR(349&gt;$Z$1,NOT(OR('Your debts'!$B$13&lt;&gt;"",N('Your debts'!$C$13)&gt;0))),"",IF('Your debts'!$D$20="Avalanche",'Avalanche workings'!$S$356,'Snowball workings'!$S$356)+IF('Your debts'!$D$20="Avalanche",'Avalanche workings'!$AM$356,'Snowball workings'!$AM$356))</f>
      </c>
      <c r="U354" s="30">
        <f>IF(OR(349&gt;$Z$1,NOT(OR('Your debts'!$B$13&lt;&gt;"",N('Your debts'!$C$13)&gt;0))),"",IF('Your debts'!$D$20="Avalanche",'Avalanche workings'!$AW$356,'Snowball workings'!$AW$356))</f>
      </c>
      <c r="V354" s="29">
        <f>IF(OR(349&gt;$Z$1,NOT(OR('Your debts'!$B$14&lt;&gt;"",N('Your debts'!$C$14)&gt;0))),"",IF('Your debts'!$D$20="Avalanche",'Avalanche workings'!$T$356,'Snowball workings'!$T$356)+IF('Your debts'!$D$20="Avalanche",'Avalanche workings'!$AN$356,'Snowball workings'!$AN$356))</f>
      </c>
      <c r="W354" s="30">
        <f>IF(OR(349&gt;$Z$1,NOT(OR('Your debts'!$B$14&lt;&gt;"",N('Your debts'!$C$14)&gt;0))),"",IF('Your debts'!$D$20="Avalanche",'Avalanche workings'!$AX$356,'Snowball workings'!$AX$356))</f>
      </c>
      <c r="X354" s="29">
        <f>IF(OR(349&gt;$Z$1,NOT(OR('Your debts'!$B$15&lt;&gt;"",N('Your debts'!$C$15)&gt;0))),"",IF('Your debts'!$D$20="Avalanche",'Avalanche workings'!$U$356,'Snowball workings'!$U$356)+IF('Your debts'!$D$20="Avalanche",'Avalanche workings'!$AO$356,'Snowball workings'!$AO$356))</f>
      </c>
      <c r="Y354" s="30">
        <f>IF(OR(349&gt;$Z$1,NOT(OR('Your debts'!$B$15&lt;&gt;"",N('Your debts'!$C$15)&gt;0))),"",IF('Your debts'!$D$20="Avalanche",'Avalanche workings'!$AY$356,'Snowball workings'!$AY$356))</f>
      </c>
    </row>
    <row r="355" spans="1:25" x14ac:dyDescent="0.25">
      <c r="A355" s="2">
        <f>IF(350&gt;$Z$1,"",350)</f>
      </c>
      <c r="B355" s="28">
        <f>IF(350&gt;$Z$1,"",EDATE('Your debts'!$D$21,349))</f>
      </c>
      <c r="C355" s="29">
        <f>IF(350&gt;$Z$1,"",IF('Your debts'!$D$20="Avalanche",'Avalanche workings'!$BC$357,'Snowball workings'!$BC$357))</f>
      </c>
      <c r="D355" s="29">
        <f>IF(350&gt;$Z$1,"",IF('Your debts'!$D$20="Avalanche",'Avalanche workings'!$BA$357,'Snowball workings'!$BA$357))</f>
      </c>
      <c r="E355" s="29">
        <f>IF(350&gt;$Z$1,"",IF('Your debts'!$D$20="Avalanche",'Avalanche workings'!$BB$357,'Snowball workings'!$BB$357))</f>
      </c>
      <c r="F355" s="29">
        <f>IF(OR(350&gt;$Z$1,NOT(OR('Your debts'!$B$6&lt;&gt;"",N('Your debts'!$C$6)&gt;0))),"",IF('Your debts'!$D$20="Avalanche",'Avalanche workings'!$L$357,'Snowball workings'!$L$357)+IF('Your debts'!$D$20="Avalanche",'Avalanche workings'!$AF$357,'Snowball workings'!$AF$357))</f>
      </c>
      <c r="G355" s="30">
        <f>IF(OR(350&gt;$Z$1,NOT(OR('Your debts'!$B$6&lt;&gt;"",N('Your debts'!$C$6)&gt;0))),"",IF('Your debts'!$D$20="Avalanche",'Avalanche workings'!$AP$357,'Snowball workings'!$AP$357))</f>
      </c>
      <c r="H355" s="29">
        <f>IF(OR(350&gt;$Z$1,NOT(OR('Your debts'!$B$7&lt;&gt;"",N('Your debts'!$C$7)&gt;0))),"",IF('Your debts'!$D$20="Avalanche",'Avalanche workings'!$M$357,'Snowball workings'!$M$357)+IF('Your debts'!$D$20="Avalanche",'Avalanche workings'!$AG$357,'Snowball workings'!$AG$357))</f>
      </c>
      <c r="I355" s="30">
        <f>IF(OR(350&gt;$Z$1,NOT(OR('Your debts'!$B$7&lt;&gt;"",N('Your debts'!$C$7)&gt;0))),"",IF('Your debts'!$D$20="Avalanche",'Avalanche workings'!$AQ$357,'Snowball workings'!$AQ$357))</f>
      </c>
      <c r="J355" s="29">
        <f>IF(OR(350&gt;$Z$1,NOT(OR('Your debts'!$B$8&lt;&gt;"",N('Your debts'!$C$8)&gt;0))),"",IF('Your debts'!$D$20="Avalanche",'Avalanche workings'!$N$357,'Snowball workings'!$N$357)+IF('Your debts'!$D$20="Avalanche",'Avalanche workings'!$AH$357,'Snowball workings'!$AH$357))</f>
      </c>
      <c r="K355" s="30">
        <f>IF(OR(350&gt;$Z$1,NOT(OR('Your debts'!$B$8&lt;&gt;"",N('Your debts'!$C$8)&gt;0))),"",IF('Your debts'!$D$20="Avalanche",'Avalanche workings'!$AR$357,'Snowball workings'!$AR$357))</f>
      </c>
      <c r="L355" s="29">
        <f>IF(OR(350&gt;$Z$1,NOT(OR('Your debts'!$B$9&lt;&gt;"",N('Your debts'!$C$9)&gt;0))),"",IF('Your debts'!$D$20="Avalanche",'Avalanche workings'!$O$357,'Snowball workings'!$O$357)+IF('Your debts'!$D$20="Avalanche",'Avalanche workings'!$AI$357,'Snowball workings'!$AI$357))</f>
      </c>
      <c r="M355" s="30">
        <f>IF(OR(350&gt;$Z$1,NOT(OR('Your debts'!$B$9&lt;&gt;"",N('Your debts'!$C$9)&gt;0))),"",IF('Your debts'!$D$20="Avalanche",'Avalanche workings'!$AS$357,'Snowball workings'!$AS$357))</f>
      </c>
      <c r="N355" s="29">
        <f>IF(OR(350&gt;$Z$1,NOT(OR('Your debts'!$B$10&lt;&gt;"",N('Your debts'!$C$10)&gt;0))),"",IF('Your debts'!$D$20="Avalanche",'Avalanche workings'!$P$357,'Snowball workings'!$P$357)+IF('Your debts'!$D$20="Avalanche",'Avalanche workings'!$AJ$357,'Snowball workings'!$AJ$357))</f>
      </c>
      <c r="O355" s="30">
        <f>IF(OR(350&gt;$Z$1,NOT(OR('Your debts'!$B$10&lt;&gt;"",N('Your debts'!$C$10)&gt;0))),"",IF('Your debts'!$D$20="Avalanche",'Avalanche workings'!$AT$357,'Snowball workings'!$AT$357))</f>
      </c>
      <c r="P355" s="29">
        <f>IF(OR(350&gt;$Z$1,NOT(OR('Your debts'!$B$11&lt;&gt;"",N('Your debts'!$C$11)&gt;0))),"",IF('Your debts'!$D$20="Avalanche",'Avalanche workings'!$Q$357,'Snowball workings'!$Q$357)+IF('Your debts'!$D$20="Avalanche",'Avalanche workings'!$AK$357,'Snowball workings'!$AK$357))</f>
      </c>
      <c r="Q355" s="30">
        <f>IF(OR(350&gt;$Z$1,NOT(OR('Your debts'!$B$11&lt;&gt;"",N('Your debts'!$C$11)&gt;0))),"",IF('Your debts'!$D$20="Avalanche",'Avalanche workings'!$AU$357,'Snowball workings'!$AU$357))</f>
      </c>
      <c r="R355" s="29">
        <f>IF(OR(350&gt;$Z$1,NOT(OR('Your debts'!$B$12&lt;&gt;"",N('Your debts'!$C$12)&gt;0))),"",IF('Your debts'!$D$20="Avalanche",'Avalanche workings'!$R$357,'Snowball workings'!$R$357)+IF('Your debts'!$D$20="Avalanche",'Avalanche workings'!$AL$357,'Snowball workings'!$AL$357))</f>
      </c>
      <c r="S355" s="30">
        <f>IF(OR(350&gt;$Z$1,NOT(OR('Your debts'!$B$12&lt;&gt;"",N('Your debts'!$C$12)&gt;0))),"",IF('Your debts'!$D$20="Avalanche",'Avalanche workings'!$AV$357,'Snowball workings'!$AV$357))</f>
      </c>
      <c r="T355" s="29">
        <f>IF(OR(350&gt;$Z$1,NOT(OR('Your debts'!$B$13&lt;&gt;"",N('Your debts'!$C$13)&gt;0))),"",IF('Your debts'!$D$20="Avalanche",'Avalanche workings'!$S$357,'Snowball workings'!$S$357)+IF('Your debts'!$D$20="Avalanche",'Avalanche workings'!$AM$357,'Snowball workings'!$AM$357))</f>
      </c>
      <c r="U355" s="30">
        <f>IF(OR(350&gt;$Z$1,NOT(OR('Your debts'!$B$13&lt;&gt;"",N('Your debts'!$C$13)&gt;0))),"",IF('Your debts'!$D$20="Avalanche",'Avalanche workings'!$AW$357,'Snowball workings'!$AW$357))</f>
      </c>
      <c r="V355" s="29">
        <f>IF(OR(350&gt;$Z$1,NOT(OR('Your debts'!$B$14&lt;&gt;"",N('Your debts'!$C$14)&gt;0))),"",IF('Your debts'!$D$20="Avalanche",'Avalanche workings'!$T$357,'Snowball workings'!$T$357)+IF('Your debts'!$D$20="Avalanche",'Avalanche workings'!$AN$357,'Snowball workings'!$AN$357))</f>
      </c>
      <c r="W355" s="30">
        <f>IF(OR(350&gt;$Z$1,NOT(OR('Your debts'!$B$14&lt;&gt;"",N('Your debts'!$C$14)&gt;0))),"",IF('Your debts'!$D$20="Avalanche",'Avalanche workings'!$AX$357,'Snowball workings'!$AX$357))</f>
      </c>
      <c r="X355" s="29">
        <f>IF(OR(350&gt;$Z$1,NOT(OR('Your debts'!$B$15&lt;&gt;"",N('Your debts'!$C$15)&gt;0))),"",IF('Your debts'!$D$20="Avalanche",'Avalanche workings'!$U$357,'Snowball workings'!$U$357)+IF('Your debts'!$D$20="Avalanche",'Avalanche workings'!$AO$357,'Snowball workings'!$AO$357))</f>
      </c>
      <c r="Y355" s="30">
        <f>IF(OR(350&gt;$Z$1,NOT(OR('Your debts'!$B$15&lt;&gt;"",N('Your debts'!$C$15)&gt;0))),"",IF('Your debts'!$D$20="Avalanche",'Avalanche workings'!$AY$357,'Snowball workings'!$AY$357))</f>
      </c>
    </row>
    <row r="356" spans="1:25" x14ac:dyDescent="0.25">
      <c r="A356" s="2">
        <f>IF(351&gt;$Z$1,"",351)</f>
      </c>
      <c r="B356" s="28">
        <f>IF(351&gt;$Z$1,"",EDATE('Your debts'!$D$21,350))</f>
      </c>
      <c r="C356" s="29">
        <f>IF(351&gt;$Z$1,"",IF('Your debts'!$D$20="Avalanche",'Avalanche workings'!$BC$358,'Snowball workings'!$BC$358))</f>
      </c>
      <c r="D356" s="29">
        <f>IF(351&gt;$Z$1,"",IF('Your debts'!$D$20="Avalanche",'Avalanche workings'!$BA$358,'Snowball workings'!$BA$358))</f>
      </c>
      <c r="E356" s="29">
        <f>IF(351&gt;$Z$1,"",IF('Your debts'!$D$20="Avalanche",'Avalanche workings'!$BB$358,'Snowball workings'!$BB$358))</f>
      </c>
      <c r="F356" s="29">
        <f>IF(OR(351&gt;$Z$1,NOT(OR('Your debts'!$B$6&lt;&gt;"",N('Your debts'!$C$6)&gt;0))),"",IF('Your debts'!$D$20="Avalanche",'Avalanche workings'!$L$358,'Snowball workings'!$L$358)+IF('Your debts'!$D$20="Avalanche",'Avalanche workings'!$AF$358,'Snowball workings'!$AF$358))</f>
      </c>
      <c r="G356" s="30">
        <f>IF(OR(351&gt;$Z$1,NOT(OR('Your debts'!$B$6&lt;&gt;"",N('Your debts'!$C$6)&gt;0))),"",IF('Your debts'!$D$20="Avalanche",'Avalanche workings'!$AP$358,'Snowball workings'!$AP$358))</f>
      </c>
      <c r="H356" s="29">
        <f>IF(OR(351&gt;$Z$1,NOT(OR('Your debts'!$B$7&lt;&gt;"",N('Your debts'!$C$7)&gt;0))),"",IF('Your debts'!$D$20="Avalanche",'Avalanche workings'!$M$358,'Snowball workings'!$M$358)+IF('Your debts'!$D$20="Avalanche",'Avalanche workings'!$AG$358,'Snowball workings'!$AG$358))</f>
      </c>
      <c r="I356" s="30">
        <f>IF(OR(351&gt;$Z$1,NOT(OR('Your debts'!$B$7&lt;&gt;"",N('Your debts'!$C$7)&gt;0))),"",IF('Your debts'!$D$20="Avalanche",'Avalanche workings'!$AQ$358,'Snowball workings'!$AQ$358))</f>
      </c>
      <c r="J356" s="29">
        <f>IF(OR(351&gt;$Z$1,NOT(OR('Your debts'!$B$8&lt;&gt;"",N('Your debts'!$C$8)&gt;0))),"",IF('Your debts'!$D$20="Avalanche",'Avalanche workings'!$N$358,'Snowball workings'!$N$358)+IF('Your debts'!$D$20="Avalanche",'Avalanche workings'!$AH$358,'Snowball workings'!$AH$358))</f>
      </c>
      <c r="K356" s="30">
        <f>IF(OR(351&gt;$Z$1,NOT(OR('Your debts'!$B$8&lt;&gt;"",N('Your debts'!$C$8)&gt;0))),"",IF('Your debts'!$D$20="Avalanche",'Avalanche workings'!$AR$358,'Snowball workings'!$AR$358))</f>
      </c>
      <c r="L356" s="29">
        <f>IF(OR(351&gt;$Z$1,NOT(OR('Your debts'!$B$9&lt;&gt;"",N('Your debts'!$C$9)&gt;0))),"",IF('Your debts'!$D$20="Avalanche",'Avalanche workings'!$O$358,'Snowball workings'!$O$358)+IF('Your debts'!$D$20="Avalanche",'Avalanche workings'!$AI$358,'Snowball workings'!$AI$358))</f>
      </c>
      <c r="M356" s="30">
        <f>IF(OR(351&gt;$Z$1,NOT(OR('Your debts'!$B$9&lt;&gt;"",N('Your debts'!$C$9)&gt;0))),"",IF('Your debts'!$D$20="Avalanche",'Avalanche workings'!$AS$358,'Snowball workings'!$AS$358))</f>
      </c>
      <c r="N356" s="29">
        <f>IF(OR(351&gt;$Z$1,NOT(OR('Your debts'!$B$10&lt;&gt;"",N('Your debts'!$C$10)&gt;0))),"",IF('Your debts'!$D$20="Avalanche",'Avalanche workings'!$P$358,'Snowball workings'!$P$358)+IF('Your debts'!$D$20="Avalanche",'Avalanche workings'!$AJ$358,'Snowball workings'!$AJ$358))</f>
      </c>
      <c r="O356" s="30">
        <f>IF(OR(351&gt;$Z$1,NOT(OR('Your debts'!$B$10&lt;&gt;"",N('Your debts'!$C$10)&gt;0))),"",IF('Your debts'!$D$20="Avalanche",'Avalanche workings'!$AT$358,'Snowball workings'!$AT$358))</f>
      </c>
      <c r="P356" s="29">
        <f>IF(OR(351&gt;$Z$1,NOT(OR('Your debts'!$B$11&lt;&gt;"",N('Your debts'!$C$11)&gt;0))),"",IF('Your debts'!$D$20="Avalanche",'Avalanche workings'!$Q$358,'Snowball workings'!$Q$358)+IF('Your debts'!$D$20="Avalanche",'Avalanche workings'!$AK$358,'Snowball workings'!$AK$358))</f>
      </c>
      <c r="Q356" s="30">
        <f>IF(OR(351&gt;$Z$1,NOT(OR('Your debts'!$B$11&lt;&gt;"",N('Your debts'!$C$11)&gt;0))),"",IF('Your debts'!$D$20="Avalanche",'Avalanche workings'!$AU$358,'Snowball workings'!$AU$358))</f>
      </c>
      <c r="R356" s="29">
        <f>IF(OR(351&gt;$Z$1,NOT(OR('Your debts'!$B$12&lt;&gt;"",N('Your debts'!$C$12)&gt;0))),"",IF('Your debts'!$D$20="Avalanche",'Avalanche workings'!$R$358,'Snowball workings'!$R$358)+IF('Your debts'!$D$20="Avalanche",'Avalanche workings'!$AL$358,'Snowball workings'!$AL$358))</f>
      </c>
      <c r="S356" s="30">
        <f>IF(OR(351&gt;$Z$1,NOT(OR('Your debts'!$B$12&lt;&gt;"",N('Your debts'!$C$12)&gt;0))),"",IF('Your debts'!$D$20="Avalanche",'Avalanche workings'!$AV$358,'Snowball workings'!$AV$358))</f>
      </c>
      <c r="T356" s="29">
        <f>IF(OR(351&gt;$Z$1,NOT(OR('Your debts'!$B$13&lt;&gt;"",N('Your debts'!$C$13)&gt;0))),"",IF('Your debts'!$D$20="Avalanche",'Avalanche workings'!$S$358,'Snowball workings'!$S$358)+IF('Your debts'!$D$20="Avalanche",'Avalanche workings'!$AM$358,'Snowball workings'!$AM$358))</f>
      </c>
      <c r="U356" s="30">
        <f>IF(OR(351&gt;$Z$1,NOT(OR('Your debts'!$B$13&lt;&gt;"",N('Your debts'!$C$13)&gt;0))),"",IF('Your debts'!$D$20="Avalanche",'Avalanche workings'!$AW$358,'Snowball workings'!$AW$358))</f>
      </c>
      <c r="V356" s="29">
        <f>IF(OR(351&gt;$Z$1,NOT(OR('Your debts'!$B$14&lt;&gt;"",N('Your debts'!$C$14)&gt;0))),"",IF('Your debts'!$D$20="Avalanche",'Avalanche workings'!$T$358,'Snowball workings'!$T$358)+IF('Your debts'!$D$20="Avalanche",'Avalanche workings'!$AN$358,'Snowball workings'!$AN$358))</f>
      </c>
      <c r="W356" s="30">
        <f>IF(OR(351&gt;$Z$1,NOT(OR('Your debts'!$B$14&lt;&gt;"",N('Your debts'!$C$14)&gt;0))),"",IF('Your debts'!$D$20="Avalanche",'Avalanche workings'!$AX$358,'Snowball workings'!$AX$358))</f>
      </c>
      <c r="X356" s="29">
        <f>IF(OR(351&gt;$Z$1,NOT(OR('Your debts'!$B$15&lt;&gt;"",N('Your debts'!$C$15)&gt;0))),"",IF('Your debts'!$D$20="Avalanche",'Avalanche workings'!$U$358,'Snowball workings'!$U$358)+IF('Your debts'!$D$20="Avalanche",'Avalanche workings'!$AO$358,'Snowball workings'!$AO$358))</f>
      </c>
      <c r="Y356" s="30">
        <f>IF(OR(351&gt;$Z$1,NOT(OR('Your debts'!$B$15&lt;&gt;"",N('Your debts'!$C$15)&gt;0))),"",IF('Your debts'!$D$20="Avalanche",'Avalanche workings'!$AY$358,'Snowball workings'!$AY$358))</f>
      </c>
    </row>
    <row r="357" spans="1:25" x14ac:dyDescent="0.25">
      <c r="A357" s="2">
        <f>IF(352&gt;$Z$1,"",352)</f>
      </c>
      <c r="B357" s="28">
        <f>IF(352&gt;$Z$1,"",EDATE('Your debts'!$D$21,351))</f>
      </c>
      <c r="C357" s="29">
        <f>IF(352&gt;$Z$1,"",IF('Your debts'!$D$20="Avalanche",'Avalanche workings'!$BC$359,'Snowball workings'!$BC$359))</f>
      </c>
      <c r="D357" s="29">
        <f>IF(352&gt;$Z$1,"",IF('Your debts'!$D$20="Avalanche",'Avalanche workings'!$BA$359,'Snowball workings'!$BA$359))</f>
      </c>
      <c r="E357" s="29">
        <f>IF(352&gt;$Z$1,"",IF('Your debts'!$D$20="Avalanche",'Avalanche workings'!$BB$359,'Snowball workings'!$BB$359))</f>
      </c>
      <c r="F357" s="29">
        <f>IF(OR(352&gt;$Z$1,NOT(OR('Your debts'!$B$6&lt;&gt;"",N('Your debts'!$C$6)&gt;0))),"",IF('Your debts'!$D$20="Avalanche",'Avalanche workings'!$L$359,'Snowball workings'!$L$359)+IF('Your debts'!$D$20="Avalanche",'Avalanche workings'!$AF$359,'Snowball workings'!$AF$359))</f>
      </c>
      <c r="G357" s="30">
        <f>IF(OR(352&gt;$Z$1,NOT(OR('Your debts'!$B$6&lt;&gt;"",N('Your debts'!$C$6)&gt;0))),"",IF('Your debts'!$D$20="Avalanche",'Avalanche workings'!$AP$359,'Snowball workings'!$AP$359))</f>
      </c>
      <c r="H357" s="29">
        <f>IF(OR(352&gt;$Z$1,NOT(OR('Your debts'!$B$7&lt;&gt;"",N('Your debts'!$C$7)&gt;0))),"",IF('Your debts'!$D$20="Avalanche",'Avalanche workings'!$M$359,'Snowball workings'!$M$359)+IF('Your debts'!$D$20="Avalanche",'Avalanche workings'!$AG$359,'Snowball workings'!$AG$359))</f>
      </c>
      <c r="I357" s="30">
        <f>IF(OR(352&gt;$Z$1,NOT(OR('Your debts'!$B$7&lt;&gt;"",N('Your debts'!$C$7)&gt;0))),"",IF('Your debts'!$D$20="Avalanche",'Avalanche workings'!$AQ$359,'Snowball workings'!$AQ$359))</f>
      </c>
      <c r="J357" s="29">
        <f>IF(OR(352&gt;$Z$1,NOT(OR('Your debts'!$B$8&lt;&gt;"",N('Your debts'!$C$8)&gt;0))),"",IF('Your debts'!$D$20="Avalanche",'Avalanche workings'!$N$359,'Snowball workings'!$N$359)+IF('Your debts'!$D$20="Avalanche",'Avalanche workings'!$AH$359,'Snowball workings'!$AH$359))</f>
      </c>
      <c r="K357" s="30">
        <f>IF(OR(352&gt;$Z$1,NOT(OR('Your debts'!$B$8&lt;&gt;"",N('Your debts'!$C$8)&gt;0))),"",IF('Your debts'!$D$20="Avalanche",'Avalanche workings'!$AR$359,'Snowball workings'!$AR$359))</f>
      </c>
      <c r="L357" s="29">
        <f>IF(OR(352&gt;$Z$1,NOT(OR('Your debts'!$B$9&lt;&gt;"",N('Your debts'!$C$9)&gt;0))),"",IF('Your debts'!$D$20="Avalanche",'Avalanche workings'!$O$359,'Snowball workings'!$O$359)+IF('Your debts'!$D$20="Avalanche",'Avalanche workings'!$AI$359,'Snowball workings'!$AI$359))</f>
      </c>
      <c r="M357" s="30">
        <f>IF(OR(352&gt;$Z$1,NOT(OR('Your debts'!$B$9&lt;&gt;"",N('Your debts'!$C$9)&gt;0))),"",IF('Your debts'!$D$20="Avalanche",'Avalanche workings'!$AS$359,'Snowball workings'!$AS$359))</f>
      </c>
      <c r="N357" s="29">
        <f>IF(OR(352&gt;$Z$1,NOT(OR('Your debts'!$B$10&lt;&gt;"",N('Your debts'!$C$10)&gt;0))),"",IF('Your debts'!$D$20="Avalanche",'Avalanche workings'!$P$359,'Snowball workings'!$P$359)+IF('Your debts'!$D$20="Avalanche",'Avalanche workings'!$AJ$359,'Snowball workings'!$AJ$359))</f>
      </c>
      <c r="O357" s="30">
        <f>IF(OR(352&gt;$Z$1,NOT(OR('Your debts'!$B$10&lt;&gt;"",N('Your debts'!$C$10)&gt;0))),"",IF('Your debts'!$D$20="Avalanche",'Avalanche workings'!$AT$359,'Snowball workings'!$AT$359))</f>
      </c>
      <c r="P357" s="29">
        <f>IF(OR(352&gt;$Z$1,NOT(OR('Your debts'!$B$11&lt;&gt;"",N('Your debts'!$C$11)&gt;0))),"",IF('Your debts'!$D$20="Avalanche",'Avalanche workings'!$Q$359,'Snowball workings'!$Q$359)+IF('Your debts'!$D$20="Avalanche",'Avalanche workings'!$AK$359,'Snowball workings'!$AK$359))</f>
      </c>
      <c r="Q357" s="30">
        <f>IF(OR(352&gt;$Z$1,NOT(OR('Your debts'!$B$11&lt;&gt;"",N('Your debts'!$C$11)&gt;0))),"",IF('Your debts'!$D$20="Avalanche",'Avalanche workings'!$AU$359,'Snowball workings'!$AU$359))</f>
      </c>
      <c r="R357" s="29">
        <f>IF(OR(352&gt;$Z$1,NOT(OR('Your debts'!$B$12&lt;&gt;"",N('Your debts'!$C$12)&gt;0))),"",IF('Your debts'!$D$20="Avalanche",'Avalanche workings'!$R$359,'Snowball workings'!$R$359)+IF('Your debts'!$D$20="Avalanche",'Avalanche workings'!$AL$359,'Snowball workings'!$AL$359))</f>
      </c>
      <c r="S357" s="30">
        <f>IF(OR(352&gt;$Z$1,NOT(OR('Your debts'!$B$12&lt;&gt;"",N('Your debts'!$C$12)&gt;0))),"",IF('Your debts'!$D$20="Avalanche",'Avalanche workings'!$AV$359,'Snowball workings'!$AV$359))</f>
      </c>
      <c r="T357" s="29">
        <f>IF(OR(352&gt;$Z$1,NOT(OR('Your debts'!$B$13&lt;&gt;"",N('Your debts'!$C$13)&gt;0))),"",IF('Your debts'!$D$20="Avalanche",'Avalanche workings'!$S$359,'Snowball workings'!$S$359)+IF('Your debts'!$D$20="Avalanche",'Avalanche workings'!$AM$359,'Snowball workings'!$AM$359))</f>
      </c>
      <c r="U357" s="30">
        <f>IF(OR(352&gt;$Z$1,NOT(OR('Your debts'!$B$13&lt;&gt;"",N('Your debts'!$C$13)&gt;0))),"",IF('Your debts'!$D$20="Avalanche",'Avalanche workings'!$AW$359,'Snowball workings'!$AW$359))</f>
      </c>
      <c r="V357" s="29">
        <f>IF(OR(352&gt;$Z$1,NOT(OR('Your debts'!$B$14&lt;&gt;"",N('Your debts'!$C$14)&gt;0))),"",IF('Your debts'!$D$20="Avalanche",'Avalanche workings'!$T$359,'Snowball workings'!$T$359)+IF('Your debts'!$D$20="Avalanche",'Avalanche workings'!$AN$359,'Snowball workings'!$AN$359))</f>
      </c>
      <c r="W357" s="30">
        <f>IF(OR(352&gt;$Z$1,NOT(OR('Your debts'!$B$14&lt;&gt;"",N('Your debts'!$C$14)&gt;0))),"",IF('Your debts'!$D$20="Avalanche",'Avalanche workings'!$AX$359,'Snowball workings'!$AX$359))</f>
      </c>
      <c r="X357" s="29">
        <f>IF(OR(352&gt;$Z$1,NOT(OR('Your debts'!$B$15&lt;&gt;"",N('Your debts'!$C$15)&gt;0))),"",IF('Your debts'!$D$20="Avalanche",'Avalanche workings'!$U$359,'Snowball workings'!$U$359)+IF('Your debts'!$D$20="Avalanche",'Avalanche workings'!$AO$359,'Snowball workings'!$AO$359))</f>
      </c>
      <c r="Y357" s="30">
        <f>IF(OR(352&gt;$Z$1,NOT(OR('Your debts'!$B$15&lt;&gt;"",N('Your debts'!$C$15)&gt;0))),"",IF('Your debts'!$D$20="Avalanche",'Avalanche workings'!$AY$359,'Snowball workings'!$AY$359))</f>
      </c>
    </row>
    <row r="358" spans="1:25" x14ac:dyDescent="0.25">
      <c r="A358" s="2">
        <f>IF(353&gt;$Z$1,"",353)</f>
      </c>
      <c r="B358" s="28">
        <f>IF(353&gt;$Z$1,"",EDATE('Your debts'!$D$21,352))</f>
      </c>
      <c r="C358" s="29">
        <f>IF(353&gt;$Z$1,"",IF('Your debts'!$D$20="Avalanche",'Avalanche workings'!$BC$360,'Snowball workings'!$BC$360))</f>
      </c>
      <c r="D358" s="29">
        <f>IF(353&gt;$Z$1,"",IF('Your debts'!$D$20="Avalanche",'Avalanche workings'!$BA$360,'Snowball workings'!$BA$360))</f>
      </c>
      <c r="E358" s="29">
        <f>IF(353&gt;$Z$1,"",IF('Your debts'!$D$20="Avalanche",'Avalanche workings'!$BB$360,'Snowball workings'!$BB$360))</f>
      </c>
      <c r="F358" s="29">
        <f>IF(OR(353&gt;$Z$1,NOT(OR('Your debts'!$B$6&lt;&gt;"",N('Your debts'!$C$6)&gt;0))),"",IF('Your debts'!$D$20="Avalanche",'Avalanche workings'!$L$360,'Snowball workings'!$L$360)+IF('Your debts'!$D$20="Avalanche",'Avalanche workings'!$AF$360,'Snowball workings'!$AF$360))</f>
      </c>
      <c r="G358" s="30">
        <f>IF(OR(353&gt;$Z$1,NOT(OR('Your debts'!$B$6&lt;&gt;"",N('Your debts'!$C$6)&gt;0))),"",IF('Your debts'!$D$20="Avalanche",'Avalanche workings'!$AP$360,'Snowball workings'!$AP$360))</f>
      </c>
      <c r="H358" s="29">
        <f>IF(OR(353&gt;$Z$1,NOT(OR('Your debts'!$B$7&lt;&gt;"",N('Your debts'!$C$7)&gt;0))),"",IF('Your debts'!$D$20="Avalanche",'Avalanche workings'!$M$360,'Snowball workings'!$M$360)+IF('Your debts'!$D$20="Avalanche",'Avalanche workings'!$AG$360,'Snowball workings'!$AG$360))</f>
      </c>
      <c r="I358" s="30">
        <f>IF(OR(353&gt;$Z$1,NOT(OR('Your debts'!$B$7&lt;&gt;"",N('Your debts'!$C$7)&gt;0))),"",IF('Your debts'!$D$20="Avalanche",'Avalanche workings'!$AQ$360,'Snowball workings'!$AQ$360))</f>
      </c>
      <c r="J358" s="29">
        <f>IF(OR(353&gt;$Z$1,NOT(OR('Your debts'!$B$8&lt;&gt;"",N('Your debts'!$C$8)&gt;0))),"",IF('Your debts'!$D$20="Avalanche",'Avalanche workings'!$N$360,'Snowball workings'!$N$360)+IF('Your debts'!$D$20="Avalanche",'Avalanche workings'!$AH$360,'Snowball workings'!$AH$360))</f>
      </c>
      <c r="K358" s="30">
        <f>IF(OR(353&gt;$Z$1,NOT(OR('Your debts'!$B$8&lt;&gt;"",N('Your debts'!$C$8)&gt;0))),"",IF('Your debts'!$D$20="Avalanche",'Avalanche workings'!$AR$360,'Snowball workings'!$AR$360))</f>
      </c>
      <c r="L358" s="29">
        <f>IF(OR(353&gt;$Z$1,NOT(OR('Your debts'!$B$9&lt;&gt;"",N('Your debts'!$C$9)&gt;0))),"",IF('Your debts'!$D$20="Avalanche",'Avalanche workings'!$O$360,'Snowball workings'!$O$360)+IF('Your debts'!$D$20="Avalanche",'Avalanche workings'!$AI$360,'Snowball workings'!$AI$360))</f>
      </c>
      <c r="M358" s="30">
        <f>IF(OR(353&gt;$Z$1,NOT(OR('Your debts'!$B$9&lt;&gt;"",N('Your debts'!$C$9)&gt;0))),"",IF('Your debts'!$D$20="Avalanche",'Avalanche workings'!$AS$360,'Snowball workings'!$AS$360))</f>
      </c>
      <c r="N358" s="29">
        <f>IF(OR(353&gt;$Z$1,NOT(OR('Your debts'!$B$10&lt;&gt;"",N('Your debts'!$C$10)&gt;0))),"",IF('Your debts'!$D$20="Avalanche",'Avalanche workings'!$P$360,'Snowball workings'!$P$360)+IF('Your debts'!$D$20="Avalanche",'Avalanche workings'!$AJ$360,'Snowball workings'!$AJ$360))</f>
      </c>
      <c r="O358" s="30">
        <f>IF(OR(353&gt;$Z$1,NOT(OR('Your debts'!$B$10&lt;&gt;"",N('Your debts'!$C$10)&gt;0))),"",IF('Your debts'!$D$20="Avalanche",'Avalanche workings'!$AT$360,'Snowball workings'!$AT$360))</f>
      </c>
      <c r="P358" s="29">
        <f>IF(OR(353&gt;$Z$1,NOT(OR('Your debts'!$B$11&lt;&gt;"",N('Your debts'!$C$11)&gt;0))),"",IF('Your debts'!$D$20="Avalanche",'Avalanche workings'!$Q$360,'Snowball workings'!$Q$360)+IF('Your debts'!$D$20="Avalanche",'Avalanche workings'!$AK$360,'Snowball workings'!$AK$360))</f>
      </c>
      <c r="Q358" s="30">
        <f>IF(OR(353&gt;$Z$1,NOT(OR('Your debts'!$B$11&lt;&gt;"",N('Your debts'!$C$11)&gt;0))),"",IF('Your debts'!$D$20="Avalanche",'Avalanche workings'!$AU$360,'Snowball workings'!$AU$360))</f>
      </c>
      <c r="R358" s="29">
        <f>IF(OR(353&gt;$Z$1,NOT(OR('Your debts'!$B$12&lt;&gt;"",N('Your debts'!$C$12)&gt;0))),"",IF('Your debts'!$D$20="Avalanche",'Avalanche workings'!$R$360,'Snowball workings'!$R$360)+IF('Your debts'!$D$20="Avalanche",'Avalanche workings'!$AL$360,'Snowball workings'!$AL$360))</f>
      </c>
      <c r="S358" s="30">
        <f>IF(OR(353&gt;$Z$1,NOT(OR('Your debts'!$B$12&lt;&gt;"",N('Your debts'!$C$12)&gt;0))),"",IF('Your debts'!$D$20="Avalanche",'Avalanche workings'!$AV$360,'Snowball workings'!$AV$360))</f>
      </c>
      <c r="T358" s="29">
        <f>IF(OR(353&gt;$Z$1,NOT(OR('Your debts'!$B$13&lt;&gt;"",N('Your debts'!$C$13)&gt;0))),"",IF('Your debts'!$D$20="Avalanche",'Avalanche workings'!$S$360,'Snowball workings'!$S$360)+IF('Your debts'!$D$20="Avalanche",'Avalanche workings'!$AM$360,'Snowball workings'!$AM$360))</f>
      </c>
      <c r="U358" s="30">
        <f>IF(OR(353&gt;$Z$1,NOT(OR('Your debts'!$B$13&lt;&gt;"",N('Your debts'!$C$13)&gt;0))),"",IF('Your debts'!$D$20="Avalanche",'Avalanche workings'!$AW$360,'Snowball workings'!$AW$360))</f>
      </c>
      <c r="V358" s="29">
        <f>IF(OR(353&gt;$Z$1,NOT(OR('Your debts'!$B$14&lt;&gt;"",N('Your debts'!$C$14)&gt;0))),"",IF('Your debts'!$D$20="Avalanche",'Avalanche workings'!$T$360,'Snowball workings'!$T$360)+IF('Your debts'!$D$20="Avalanche",'Avalanche workings'!$AN$360,'Snowball workings'!$AN$360))</f>
      </c>
      <c r="W358" s="30">
        <f>IF(OR(353&gt;$Z$1,NOT(OR('Your debts'!$B$14&lt;&gt;"",N('Your debts'!$C$14)&gt;0))),"",IF('Your debts'!$D$20="Avalanche",'Avalanche workings'!$AX$360,'Snowball workings'!$AX$360))</f>
      </c>
      <c r="X358" s="29">
        <f>IF(OR(353&gt;$Z$1,NOT(OR('Your debts'!$B$15&lt;&gt;"",N('Your debts'!$C$15)&gt;0))),"",IF('Your debts'!$D$20="Avalanche",'Avalanche workings'!$U$360,'Snowball workings'!$U$360)+IF('Your debts'!$D$20="Avalanche",'Avalanche workings'!$AO$360,'Snowball workings'!$AO$360))</f>
      </c>
      <c r="Y358" s="30">
        <f>IF(OR(353&gt;$Z$1,NOT(OR('Your debts'!$B$15&lt;&gt;"",N('Your debts'!$C$15)&gt;0))),"",IF('Your debts'!$D$20="Avalanche",'Avalanche workings'!$AY$360,'Snowball workings'!$AY$360))</f>
      </c>
    </row>
    <row r="359" spans="1:25" x14ac:dyDescent="0.25">
      <c r="A359" s="2">
        <f>IF(354&gt;$Z$1,"",354)</f>
      </c>
      <c r="B359" s="28">
        <f>IF(354&gt;$Z$1,"",EDATE('Your debts'!$D$21,353))</f>
      </c>
      <c r="C359" s="29">
        <f>IF(354&gt;$Z$1,"",IF('Your debts'!$D$20="Avalanche",'Avalanche workings'!$BC$361,'Snowball workings'!$BC$361))</f>
      </c>
      <c r="D359" s="29">
        <f>IF(354&gt;$Z$1,"",IF('Your debts'!$D$20="Avalanche",'Avalanche workings'!$BA$361,'Snowball workings'!$BA$361))</f>
      </c>
      <c r="E359" s="29">
        <f>IF(354&gt;$Z$1,"",IF('Your debts'!$D$20="Avalanche",'Avalanche workings'!$BB$361,'Snowball workings'!$BB$361))</f>
      </c>
      <c r="F359" s="29">
        <f>IF(OR(354&gt;$Z$1,NOT(OR('Your debts'!$B$6&lt;&gt;"",N('Your debts'!$C$6)&gt;0))),"",IF('Your debts'!$D$20="Avalanche",'Avalanche workings'!$L$361,'Snowball workings'!$L$361)+IF('Your debts'!$D$20="Avalanche",'Avalanche workings'!$AF$361,'Snowball workings'!$AF$361))</f>
      </c>
      <c r="G359" s="30">
        <f>IF(OR(354&gt;$Z$1,NOT(OR('Your debts'!$B$6&lt;&gt;"",N('Your debts'!$C$6)&gt;0))),"",IF('Your debts'!$D$20="Avalanche",'Avalanche workings'!$AP$361,'Snowball workings'!$AP$361))</f>
      </c>
      <c r="H359" s="29">
        <f>IF(OR(354&gt;$Z$1,NOT(OR('Your debts'!$B$7&lt;&gt;"",N('Your debts'!$C$7)&gt;0))),"",IF('Your debts'!$D$20="Avalanche",'Avalanche workings'!$M$361,'Snowball workings'!$M$361)+IF('Your debts'!$D$20="Avalanche",'Avalanche workings'!$AG$361,'Snowball workings'!$AG$361))</f>
      </c>
      <c r="I359" s="30">
        <f>IF(OR(354&gt;$Z$1,NOT(OR('Your debts'!$B$7&lt;&gt;"",N('Your debts'!$C$7)&gt;0))),"",IF('Your debts'!$D$20="Avalanche",'Avalanche workings'!$AQ$361,'Snowball workings'!$AQ$361))</f>
      </c>
      <c r="J359" s="29">
        <f>IF(OR(354&gt;$Z$1,NOT(OR('Your debts'!$B$8&lt;&gt;"",N('Your debts'!$C$8)&gt;0))),"",IF('Your debts'!$D$20="Avalanche",'Avalanche workings'!$N$361,'Snowball workings'!$N$361)+IF('Your debts'!$D$20="Avalanche",'Avalanche workings'!$AH$361,'Snowball workings'!$AH$361))</f>
      </c>
      <c r="K359" s="30">
        <f>IF(OR(354&gt;$Z$1,NOT(OR('Your debts'!$B$8&lt;&gt;"",N('Your debts'!$C$8)&gt;0))),"",IF('Your debts'!$D$20="Avalanche",'Avalanche workings'!$AR$361,'Snowball workings'!$AR$361))</f>
      </c>
      <c r="L359" s="29">
        <f>IF(OR(354&gt;$Z$1,NOT(OR('Your debts'!$B$9&lt;&gt;"",N('Your debts'!$C$9)&gt;0))),"",IF('Your debts'!$D$20="Avalanche",'Avalanche workings'!$O$361,'Snowball workings'!$O$361)+IF('Your debts'!$D$20="Avalanche",'Avalanche workings'!$AI$361,'Snowball workings'!$AI$361))</f>
      </c>
      <c r="M359" s="30">
        <f>IF(OR(354&gt;$Z$1,NOT(OR('Your debts'!$B$9&lt;&gt;"",N('Your debts'!$C$9)&gt;0))),"",IF('Your debts'!$D$20="Avalanche",'Avalanche workings'!$AS$361,'Snowball workings'!$AS$361))</f>
      </c>
      <c r="N359" s="29">
        <f>IF(OR(354&gt;$Z$1,NOT(OR('Your debts'!$B$10&lt;&gt;"",N('Your debts'!$C$10)&gt;0))),"",IF('Your debts'!$D$20="Avalanche",'Avalanche workings'!$P$361,'Snowball workings'!$P$361)+IF('Your debts'!$D$20="Avalanche",'Avalanche workings'!$AJ$361,'Snowball workings'!$AJ$361))</f>
      </c>
      <c r="O359" s="30">
        <f>IF(OR(354&gt;$Z$1,NOT(OR('Your debts'!$B$10&lt;&gt;"",N('Your debts'!$C$10)&gt;0))),"",IF('Your debts'!$D$20="Avalanche",'Avalanche workings'!$AT$361,'Snowball workings'!$AT$361))</f>
      </c>
      <c r="P359" s="29">
        <f>IF(OR(354&gt;$Z$1,NOT(OR('Your debts'!$B$11&lt;&gt;"",N('Your debts'!$C$11)&gt;0))),"",IF('Your debts'!$D$20="Avalanche",'Avalanche workings'!$Q$361,'Snowball workings'!$Q$361)+IF('Your debts'!$D$20="Avalanche",'Avalanche workings'!$AK$361,'Snowball workings'!$AK$361))</f>
      </c>
      <c r="Q359" s="30">
        <f>IF(OR(354&gt;$Z$1,NOT(OR('Your debts'!$B$11&lt;&gt;"",N('Your debts'!$C$11)&gt;0))),"",IF('Your debts'!$D$20="Avalanche",'Avalanche workings'!$AU$361,'Snowball workings'!$AU$361))</f>
      </c>
      <c r="R359" s="29">
        <f>IF(OR(354&gt;$Z$1,NOT(OR('Your debts'!$B$12&lt;&gt;"",N('Your debts'!$C$12)&gt;0))),"",IF('Your debts'!$D$20="Avalanche",'Avalanche workings'!$R$361,'Snowball workings'!$R$361)+IF('Your debts'!$D$20="Avalanche",'Avalanche workings'!$AL$361,'Snowball workings'!$AL$361))</f>
      </c>
      <c r="S359" s="30">
        <f>IF(OR(354&gt;$Z$1,NOT(OR('Your debts'!$B$12&lt;&gt;"",N('Your debts'!$C$12)&gt;0))),"",IF('Your debts'!$D$20="Avalanche",'Avalanche workings'!$AV$361,'Snowball workings'!$AV$361))</f>
      </c>
      <c r="T359" s="29">
        <f>IF(OR(354&gt;$Z$1,NOT(OR('Your debts'!$B$13&lt;&gt;"",N('Your debts'!$C$13)&gt;0))),"",IF('Your debts'!$D$20="Avalanche",'Avalanche workings'!$S$361,'Snowball workings'!$S$361)+IF('Your debts'!$D$20="Avalanche",'Avalanche workings'!$AM$361,'Snowball workings'!$AM$361))</f>
      </c>
      <c r="U359" s="30">
        <f>IF(OR(354&gt;$Z$1,NOT(OR('Your debts'!$B$13&lt;&gt;"",N('Your debts'!$C$13)&gt;0))),"",IF('Your debts'!$D$20="Avalanche",'Avalanche workings'!$AW$361,'Snowball workings'!$AW$361))</f>
      </c>
      <c r="V359" s="29">
        <f>IF(OR(354&gt;$Z$1,NOT(OR('Your debts'!$B$14&lt;&gt;"",N('Your debts'!$C$14)&gt;0))),"",IF('Your debts'!$D$20="Avalanche",'Avalanche workings'!$T$361,'Snowball workings'!$T$361)+IF('Your debts'!$D$20="Avalanche",'Avalanche workings'!$AN$361,'Snowball workings'!$AN$361))</f>
      </c>
      <c r="W359" s="30">
        <f>IF(OR(354&gt;$Z$1,NOT(OR('Your debts'!$B$14&lt;&gt;"",N('Your debts'!$C$14)&gt;0))),"",IF('Your debts'!$D$20="Avalanche",'Avalanche workings'!$AX$361,'Snowball workings'!$AX$361))</f>
      </c>
      <c r="X359" s="29">
        <f>IF(OR(354&gt;$Z$1,NOT(OR('Your debts'!$B$15&lt;&gt;"",N('Your debts'!$C$15)&gt;0))),"",IF('Your debts'!$D$20="Avalanche",'Avalanche workings'!$U$361,'Snowball workings'!$U$361)+IF('Your debts'!$D$20="Avalanche",'Avalanche workings'!$AO$361,'Snowball workings'!$AO$361))</f>
      </c>
      <c r="Y359" s="30">
        <f>IF(OR(354&gt;$Z$1,NOT(OR('Your debts'!$B$15&lt;&gt;"",N('Your debts'!$C$15)&gt;0))),"",IF('Your debts'!$D$20="Avalanche",'Avalanche workings'!$AY$361,'Snowball workings'!$AY$361))</f>
      </c>
    </row>
    <row r="360" spans="1:25" x14ac:dyDescent="0.25">
      <c r="A360" s="2">
        <f>IF(355&gt;$Z$1,"",355)</f>
      </c>
      <c r="B360" s="28">
        <f>IF(355&gt;$Z$1,"",EDATE('Your debts'!$D$21,354))</f>
      </c>
      <c r="C360" s="29">
        <f>IF(355&gt;$Z$1,"",IF('Your debts'!$D$20="Avalanche",'Avalanche workings'!$BC$362,'Snowball workings'!$BC$362))</f>
      </c>
      <c r="D360" s="29">
        <f>IF(355&gt;$Z$1,"",IF('Your debts'!$D$20="Avalanche",'Avalanche workings'!$BA$362,'Snowball workings'!$BA$362))</f>
      </c>
      <c r="E360" s="29">
        <f>IF(355&gt;$Z$1,"",IF('Your debts'!$D$20="Avalanche",'Avalanche workings'!$BB$362,'Snowball workings'!$BB$362))</f>
      </c>
      <c r="F360" s="29">
        <f>IF(OR(355&gt;$Z$1,NOT(OR('Your debts'!$B$6&lt;&gt;"",N('Your debts'!$C$6)&gt;0))),"",IF('Your debts'!$D$20="Avalanche",'Avalanche workings'!$L$362,'Snowball workings'!$L$362)+IF('Your debts'!$D$20="Avalanche",'Avalanche workings'!$AF$362,'Snowball workings'!$AF$362))</f>
      </c>
      <c r="G360" s="30">
        <f>IF(OR(355&gt;$Z$1,NOT(OR('Your debts'!$B$6&lt;&gt;"",N('Your debts'!$C$6)&gt;0))),"",IF('Your debts'!$D$20="Avalanche",'Avalanche workings'!$AP$362,'Snowball workings'!$AP$362))</f>
      </c>
      <c r="H360" s="29">
        <f>IF(OR(355&gt;$Z$1,NOT(OR('Your debts'!$B$7&lt;&gt;"",N('Your debts'!$C$7)&gt;0))),"",IF('Your debts'!$D$20="Avalanche",'Avalanche workings'!$M$362,'Snowball workings'!$M$362)+IF('Your debts'!$D$20="Avalanche",'Avalanche workings'!$AG$362,'Snowball workings'!$AG$362))</f>
      </c>
      <c r="I360" s="30">
        <f>IF(OR(355&gt;$Z$1,NOT(OR('Your debts'!$B$7&lt;&gt;"",N('Your debts'!$C$7)&gt;0))),"",IF('Your debts'!$D$20="Avalanche",'Avalanche workings'!$AQ$362,'Snowball workings'!$AQ$362))</f>
      </c>
      <c r="J360" s="29">
        <f>IF(OR(355&gt;$Z$1,NOT(OR('Your debts'!$B$8&lt;&gt;"",N('Your debts'!$C$8)&gt;0))),"",IF('Your debts'!$D$20="Avalanche",'Avalanche workings'!$N$362,'Snowball workings'!$N$362)+IF('Your debts'!$D$20="Avalanche",'Avalanche workings'!$AH$362,'Snowball workings'!$AH$362))</f>
      </c>
      <c r="K360" s="30">
        <f>IF(OR(355&gt;$Z$1,NOT(OR('Your debts'!$B$8&lt;&gt;"",N('Your debts'!$C$8)&gt;0))),"",IF('Your debts'!$D$20="Avalanche",'Avalanche workings'!$AR$362,'Snowball workings'!$AR$362))</f>
      </c>
      <c r="L360" s="29">
        <f>IF(OR(355&gt;$Z$1,NOT(OR('Your debts'!$B$9&lt;&gt;"",N('Your debts'!$C$9)&gt;0))),"",IF('Your debts'!$D$20="Avalanche",'Avalanche workings'!$O$362,'Snowball workings'!$O$362)+IF('Your debts'!$D$20="Avalanche",'Avalanche workings'!$AI$362,'Snowball workings'!$AI$362))</f>
      </c>
      <c r="M360" s="30">
        <f>IF(OR(355&gt;$Z$1,NOT(OR('Your debts'!$B$9&lt;&gt;"",N('Your debts'!$C$9)&gt;0))),"",IF('Your debts'!$D$20="Avalanche",'Avalanche workings'!$AS$362,'Snowball workings'!$AS$362))</f>
      </c>
      <c r="N360" s="29">
        <f>IF(OR(355&gt;$Z$1,NOT(OR('Your debts'!$B$10&lt;&gt;"",N('Your debts'!$C$10)&gt;0))),"",IF('Your debts'!$D$20="Avalanche",'Avalanche workings'!$P$362,'Snowball workings'!$P$362)+IF('Your debts'!$D$20="Avalanche",'Avalanche workings'!$AJ$362,'Snowball workings'!$AJ$362))</f>
      </c>
      <c r="O360" s="30">
        <f>IF(OR(355&gt;$Z$1,NOT(OR('Your debts'!$B$10&lt;&gt;"",N('Your debts'!$C$10)&gt;0))),"",IF('Your debts'!$D$20="Avalanche",'Avalanche workings'!$AT$362,'Snowball workings'!$AT$362))</f>
      </c>
      <c r="P360" s="29">
        <f>IF(OR(355&gt;$Z$1,NOT(OR('Your debts'!$B$11&lt;&gt;"",N('Your debts'!$C$11)&gt;0))),"",IF('Your debts'!$D$20="Avalanche",'Avalanche workings'!$Q$362,'Snowball workings'!$Q$362)+IF('Your debts'!$D$20="Avalanche",'Avalanche workings'!$AK$362,'Snowball workings'!$AK$362))</f>
      </c>
      <c r="Q360" s="30">
        <f>IF(OR(355&gt;$Z$1,NOT(OR('Your debts'!$B$11&lt;&gt;"",N('Your debts'!$C$11)&gt;0))),"",IF('Your debts'!$D$20="Avalanche",'Avalanche workings'!$AU$362,'Snowball workings'!$AU$362))</f>
      </c>
      <c r="R360" s="29">
        <f>IF(OR(355&gt;$Z$1,NOT(OR('Your debts'!$B$12&lt;&gt;"",N('Your debts'!$C$12)&gt;0))),"",IF('Your debts'!$D$20="Avalanche",'Avalanche workings'!$R$362,'Snowball workings'!$R$362)+IF('Your debts'!$D$20="Avalanche",'Avalanche workings'!$AL$362,'Snowball workings'!$AL$362))</f>
      </c>
      <c r="S360" s="30">
        <f>IF(OR(355&gt;$Z$1,NOT(OR('Your debts'!$B$12&lt;&gt;"",N('Your debts'!$C$12)&gt;0))),"",IF('Your debts'!$D$20="Avalanche",'Avalanche workings'!$AV$362,'Snowball workings'!$AV$362))</f>
      </c>
      <c r="T360" s="29">
        <f>IF(OR(355&gt;$Z$1,NOT(OR('Your debts'!$B$13&lt;&gt;"",N('Your debts'!$C$13)&gt;0))),"",IF('Your debts'!$D$20="Avalanche",'Avalanche workings'!$S$362,'Snowball workings'!$S$362)+IF('Your debts'!$D$20="Avalanche",'Avalanche workings'!$AM$362,'Snowball workings'!$AM$362))</f>
      </c>
      <c r="U360" s="30">
        <f>IF(OR(355&gt;$Z$1,NOT(OR('Your debts'!$B$13&lt;&gt;"",N('Your debts'!$C$13)&gt;0))),"",IF('Your debts'!$D$20="Avalanche",'Avalanche workings'!$AW$362,'Snowball workings'!$AW$362))</f>
      </c>
      <c r="V360" s="29">
        <f>IF(OR(355&gt;$Z$1,NOT(OR('Your debts'!$B$14&lt;&gt;"",N('Your debts'!$C$14)&gt;0))),"",IF('Your debts'!$D$20="Avalanche",'Avalanche workings'!$T$362,'Snowball workings'!$T$362)+IF('Your debts'!$D$20="Avalanche",'Avalanche workings'!$AN$362,'Snowball workings'!$AN$362))</f>
      </c>
      <c r="W360" s="30">
        <f>IF(OR(355&gt;$Z$1,NOT(OR('Your debts'!$B$14&lt;&gt;"",N('Your debts'!$C$14)&gt;0))),"",IF('Your debts'!$D$20="Avalanche",'Avalanche workings'!$AX$362,'Snowball workings'!$AX$362))</f>
      </c>
      <c r="X360" s="29">
        <f>IF(OR(355&gt;$Z$1,NOT(OR('Your debts'!$B$15&lt;&gt;"",N('Your debts'!$C$15)&gt;0))),"",IF('Your debts'!$D$20="Avalanche",'Avalanche workings'!$U$362,'Snowball workings'!$U$362)+IF('Your debts'!$D$20="Avalanche",'Avalanche workings'!$AO$362,'Snowball workings'!$AO$362))</f>
      </c>
      <c r="Y360" s="30">
        <f>IF(OR(355&gt;$Z$1,NOT(OR('Your debts'!$B$15&lt;&gt;"",N('Your debts'!$C$15)&gt;0))),"",IF('Your debts'!$D$20="Avalanche",'Avalanche workings'!$AY$362,'Snowball workings'!$AY$362))</f>
      </c>
    </row>
    <row r="361" spans="1:25" x14ac:dyDescent="0.25">
      <c r="A361" s="2">
        <f>IF(356&gt;$Z$1,"",356)</f>
      </c>
      <c r="B361" s="28">
        <f>IF(356&gt;$Z$1,"",EDATE('Your debts'!$D$21,355))</f>
      </c>
      <c r="C361" s="29">
        <f>IF(356&gt;$Z$1,"",IF('Your debts'!$D$20="Avalanche",'Avalanche workings'!$BC$363,'Snowball workings'!$BC$363))</f>
      </c>
      <c r="D361" s="29">
        <f>IF(356&gt;$Z$1,"",IF('Your debts'!$D$20="Avalanche",'Avalanche workings'!$BA$363,'Snowball workings'!$BA$363))</f>
      </c>
      <c r="E361" s="29">
        <f>IF(356&gt;$Z$1,"",IF('Your debts'!$D$20="Avalanche",'Avalanche workings'!$BB$363,'Snowball workings'!$BB$363))</f>
      </c>
      <c r="F361" s="29">
        <f>IF(OR(356&gt;$Z$1,NOT(OR('Your debts'!$B$6&lt;&gt;"",N('Your debts'!$C$6)&gt;0))),"",IF('Your debts'!$D$20="Avalanche",'Avalanche workings'!$L$363,'Snowball workings'!$L$363)+IF('Your debts'!$D$20="Avalanche",'Avalanche workings'!$AF$363,'Snowball workings'!$AF$363))</f>
      </c>
      <c r="G361" s="30">
        <f>IF(OR(356&gt;$Z$1,NOT(OR('Your debts'!$B$6&lt;&gt;"",N('Your debts'!$C$6)&gt;0))),"",IF('Your debts'!$D$20="Avalanche",'Avalanche workings'!$AP$363,'Snowball workings'!$AP$363))</f>
      </c>
      <c r="H361" s="29">
        <f>IF(OR(356&gt;$Z$1,NOT(OR('Your debts'!$B$7&lt;&gt;"",N('Your debts'!$C$7)&gt;0))),"",IF('Your debts'!$D$20="Avalanche",'Avalanche workings'!$M$363,'Snowball workings'!$M$363)+IF('Your debts'!$D$20="Avalanche",'Avalanche workings'!$AG$363,'Snowball workings'!$AG$363))</f>
      </c>
      <c r="I361" s="30">
        <f>IF(OR(356&gt;$Z$1,NOT(OR('Your debts'!$B$7&lt;&gt;"",N('Your debts'!$C$7)&gt;0))),"",IF('Your debts'!$D$20="Avalanche",'Avalanche workings'!$AQ$363,'Snowball workings'!$AQ$363))</f>
      </c>
      <c r="J361" s="29">
        <f>IF(OR(356&gt;$Z$1,NOT(OR('Your debts'!$B$8&lt;&gt;"",N('Your debts'!$C$8)&gt;0))),"",IF('Your debts'!$D$20="Avalanche",'Avalanche workings'!$N$363,'Snowball workings'!$N$363)+IF('Your debts'!$D$20="Avalanche",'Avalanche workings'!$AH$363,'Snowball workings'!$AH$363))</f>
      </c>
      <c r="K361" s="30">
        <f>IF(OR(356&gt;$Z$1,NOT(OR('Your debts'!$B$8&lt;&gt;"",N('Your debts'!$C$8)&gt;0))),"",IF('Your debts'!$D$20="Avalanche",'Avalanche workings'!$AR$363,'Snowball workings'!$AR$363))</f>
      </c>
      <c r="L361" s="29">
        <f>IF(OR(356&gt;$Z$1,NOT(OR('Your debts'!$B$9&lt;&gt;"",N('Your debts'!$C$9)&gt;0))),"",IF('Your debts'!$D$20="Avalanche",'Avalanche workings'!$O$363,'Snowball workings'!$O$363)+IF('Your debts'!$D$20="Avalanche",'Avalanche workings'!$AI$363,'Snowball workings'!$AI$363))</f>
      </c>
      <c r="M361" s="30">
        <f>IF(OR(356&gt;$Z$1,NOT(OR('Your debts'!$B$9&lt;&gt;"",N('Your debts'!$C$9)&gt;0))),"",IF('Your debts'!$D$20="Avalanche",'Avalanche workings'!$AS$363,'Snowball workings'!$AS$363))</f>
      </c>
      <c r="N361" s="29">
        <f>IF(OR(356&gt;$Z$1,NOT(OR('Your debts'!$B$10&lt;&gt;"",N('Your debts'!$C$10)&gt;0))),"",IF('Your debts'!$D$20="Avalanche",'Avalanche workings'!$P$363,'Snowball workings'!$P$363)+IF('Your debts'!$D$20="Avalanche",'Avalanche workings'!$AJ$363,'Snowball workings'!$AJ$363))</f>
      </c>
      <c r="O361" s="30">
        <f>IF(OR(356&gt;$Z$1,NOT(OR('Your debts'!$B$10&lt;&gt;"",N('Your debts'!$C$10)&gt;0))),"",IF('Your debts'!$D$20="Avalanche",'Avalanche workings'!$AT$363,'Snowball workings'!$AT$363))</f>
      </c>
      <c r="P361" s="29">
        <f>IF(OR(356&gt;$Z$1,NOT(OR('Your debts'!$B$11&lt;&gt;"",N('Your debts'!$C$11)&gt;0))),"",IF('Your debts'!$D$20="Avalanche",'Avalanche workings'!$Q$363,'Snowball workings'!$Q$363)+IF('Your debts'!$D$20="Avalanche",'Avalanche workings'!$AK$363,'Snowball workings'!$AK$363))</f>
      </c>
      <c r="Q361" s="30">
        <f>IF(OR(356&gt;$Z$1,NOT(OR('Your debts'!$B$11&lt;&gt;"",N('Your debts'!$C$11)&gt;0))),"",IF('Your debts'!$D$20="Avalanche",'Avalanche workings'!$AU$363,'Snowball workings'!$AU$363))</f>
      </c>
      <c r="R361" s="29">
        <f>IF(OR(356&gt;$Z$1,NOT(OR('Your debts'!$B$12&lt;&gt;"",N('Your debts'!$C$12)&gt;0))),"",IF('Your debts'!$D$20="Avalanche",'Avalanche workings'!$R$363,'Snowball workings'!$R$363)+IF('Your debts'!$D$20="Avalanche",'Avalanche workings'!$AL$363,'Snowball workings'!$AL$363))</f>
      </c>
      <c r="S361" s="30">
        <f>IF(OR(356&gt;$Z$1,NOT(OR('Your debts'!$B$12&lt;&gt;"",N('Your debts'!$C$12)&gt;0))),"",IF('Your debts'!$D$20="Avalanche",'Avalanche workings'!$AV$363,'Snowball workings'!$AV$363))</f>
      </c>
      <c r="T361" s="29">
        <f>IF(OR(356&gt;$Z$1,NOT(OR('Your debts'!$B$13&lt;&gt;"",N('Your debts'!$C$13)&gt;0))),"",IF('Your debts'!$D$20="Avalanche",'Avalanche workings'!$S$363,'Snowball workings'!$S$363)+IF('Your debts'!$D$20="Avalanche",'Avalanche workings'!$AM$363,'Snowball workings'!$AM$363))</f>
      </c>
      <c r="U361" s="30">
        <f>IF(OR(356&gt;$Z$1,NOT(OR('Your debts'!$B$13&lt;&gt;"",N('Your debts'!$C$13)&gt;0))),"",IF('Your debts'!$D$20="Avalanche",'Avalanche workings'!$AW$363,'Snowball workings'!$AW$363))</f>
      </c>
      <c r="V361" s="29">
        <f>IF(OR(356&gt;$Z$1,NOT(OR('Your debts'!$B$14&lt;&gt;"",N('Your debts'!$C$14)&gt;0))),"",IF('Your debts'!$D$20="Avalanche",'Avalanche workings'!$T$363,'Snowball workings'!$T$363)+IF('Your debts'!$D$20="Avalanche",'Avalanche workings'!$AN$363,'Snowball workings'!$AN$363))</f>
      </c>
      <c r="W361" s="30">
        <f>IF(OR(356&gt;$Z$1,NOT(OR('Your debts'!$B$14&lt;&gt;"",N('Your debts'!$C$14)&gt;0))),"",IF('Your debts'!$D$20="Avalanche",'Avalanche workings'!$AX$363,'Snowball workings'!$AX$363))</f>
      </c>
      <c r="X361" s="29">
        <f>IF(OR(356&gt;$Z$1,NOT(OR('Your debts'!$B$15&lt;&gt;"",N('Your debts'!$C$15)&gt;0))),"",IF('Your debts'!$D$20="Avalanche",'Avalanche workings'!$U$363,'Snowball workings'!$U$363)+IF('Your debts'!$D$20="Avalanche",'Avalanche workings'!$AO$363,'Snowball workings'!$AO$363))</f>
      </c>
      <c r="Y361" s="30">
        <f>IF(OR(356&gt;$Z$1,NOT(OR('Your debts'!$B$15&lt;&gt;"",N('Your debts'!$C$15)&gt;0))),"",IF('Your debts'!$D$20="Avalanche",'Avalanche workings'!$AY$363,'Snowball workings'!$AY$363))</f>
      </c>
    </row>
    <row r="362" spans="1:25" x14ac:dyDescent="0.25">
      <c r="A362" s="2">
        <f>IF(357&gt;$Z$1,"",357)</f>
      </c>
      <c r="B362" s="28">
        <f>IF(357&gt;$Z$1,"",EDATE('Your debts'!$D$21,356))</f>
      </c>
      <c r="C362" s="29">
        <f>IF(357&gt;$Z$1,"",IF('Your debts'!$D$20="Avalanche",'Avalanche workings'!$BC$364,'Snowball workings'!$BC$364))</f>
      </c>
      <c r="D362" s="29">
        <f>IF(357&gt;$Z$1,"",IF('Your debts'!$D$20="Avalanche",'Avalanche workings'!$BA$364,'Snowball workings'!$BA$364))</f>
      </c>
      <c r="E362" s="29">
        <f>IF(357&gt;$Z$1,"",IF('Your debts'!$D$20="Avalanche",'Avalanche workings'!$BB$364,'Snowball workings'!$BB$364))</f>
      </c>
      <c r="F362" s="29">
        <f>IF(OR(357&gt;$Z$1,NOT(OR('Your debts'!$B$6&lt;&gt;"",N('Your debts'!$C$6)&gt;0))),"",IF('Your debts'!$D$20="Avalanche",'Avalanche workings'!$L$364,'Snowball workings'!$L$364)+IF('Your debts'!$D$20="Avalanche",'Avalanche workings'!$AF$364,'Snowball workings'!$AF$364))</f>
      </c>
      <c r="G362" s="30">
        <f>IF(OR(357&gt;$Z$1,NOT(OR('Your debts'!$B$6&lt;&gt;"",N('Your debts'!$C$6)&gt;0))),"",IF('Your debts'!$D$20="Avalanche",'Avalanche workings'!$AP$364,'Snowball workings'!$AP$364))</f>
      </c>
      <c r="H362" s="29">
        <f>IF(OR(357&gt;$Z$1,NOT(OR('Your debts'!$B$7&lt;&gt;"",N('Your debts'!$C$7)&gt;0))),"",IF('Your debts'!$D$20="Avalanche",'Avalanche workings'!$M$364,'Snowball workings'!$M$364)+IF('Your debts'!$D$20="Avalanche",'Avalanche workings'!$AG$364,'Snowball workings'!$AG$364))</f>
      </c>
      <c r="I362" s="30">
        <f>IF(OR(357&gt;$Z$1,NOT(OR('Your debts'!$B$7&lt;&gt;"",N('Your debts'!$C$7)&gt;0))),"",IF('Your debts'!$D$20="Avalanche",'Avalanche workings'!$AQ$364,'Snowball workings'!$AQ$364))</f>
      </c>
      <c r="J362" s="29">
        <f>IF(OR(357&gt;$Z$1,NOT(OR('Your debts'!$B$8&lt;&gt;"",N('Your debts'!$C$8)&gt;0))),"",IF('Your debts'!$D$20="Avalanche",'Avalanche workings'!$N$364,'Snowball workings'!$N$364)+IF('Your debts'!$D$20="Avalanche",'Avalanche workings'!$AH$364,'Snowball workings'!$AH$364))</f>
      </c>
      <c r="K362" s="30">
        <f>IF(OR(357&gt;$Z$1,NOT(OR('Your debts'!$B$8&lt;&gt;"",N('Your debts'!$C$8)&gt;0))),"",IF('Your debts'!$D$20="Avalanche",'Avalanche workings'!$AR$364,'Snowball workings'!$AR$364))</f>
      </c>
      <c r="L362" s="29">
        <f>IF(OR(357&gt;$Z$1,NOT(OR('Your debts'!$B$9&lt;&gt;"",N('Your debts'!$C$9)&gt;0))),"",IF('Your debts'!$D$20="Avalanche",'Avalanche workings'!$O$364,'Snowball workings'!$O$364)+IF('Your debts'!$D$20="Avalanche",'Avalanche workings'!$AI$364,'Snowball workings'!$AI$364))</f>
      </c>
      <c r="M362" s="30">
        <f>IF(OR(357&gt;$Z$1,NOT(OR('Your debts'!$B$9&lt;&gt;"",N('Your debts'!$C$9)&gt;0))),"",IF('Your debts'!$D$20="Avalanche",'Avalanche workings'!$AS$364,'Snowball workings'!$AS$364))</f>
      </c>
      <c r="N362" s="29">
        <f>IF(OR(357&gt;$Z$1,NOT(OR('Your debts'!$B$10&lt;&gt;"",N('Your debts'!$C$10)&gt;0))),"",IF('Your debts'!$D$20="Avalanche",'Avalanche workings'!$P$364,'Snowball workings'!$P$364)+IF('Your debts'!$D$20="Avalanche",'Avalanche workings'!$AJ$364,'Snowball workings'!$AJ$364))</f>
      </c>
      <c r="O362" s="30">
        <f>IF(OR(357&gt;$Z$1,NOT(OR('Your debts'!$B$10&lt;&gt;"",N('Your debts'!$C$10)&gt;0))),"",IF('Your debts'!$D$20="Avalanche",'Avalanche workings'!$AT$364,'Snowball workings'!$AT$364))</f>
      </c>
      <c r="P362" s="29">
        <f>IF(OR(357&gt;$Z$1,NOT(OR('Your debts'!$B$11&lt;&gt;"",N('Your debts'!$C$11)&gt;0))),"",IF('Your debts'!$D$20="Avalanche",'Avalanche workings'!$Q$364,'Snowball workings'!$Q$364)+IF('Your debts'!$D$20="Avalanche",'Avalanche workings'!$AK$364,'Snowball workings'!$AK$364))</f>
      </c>
      <c r="Q362" s="30">
        <f>IF(OR(357&gt;$Z$1,NOT(OR('Your debts'!$B$11&lt;&gt;"",N('Your debts'!$C$11)&gt;0))),"",IF('Your debts'!$D$20="Avalanche",'Avalanche workings'!$AU$364,'Snowball workings'!$AU$364))</f>
      </c>
      <c r="R362" s="29">
        <f>IF(OR(357&gt;$Z$1,NOT(OR('Your debts'!$B$12&lt;&gt;"",N('Your debts'!$C$12)&gt;0))),"",IF('Your debts'!$D$20="Avalanche",'Avalanche workings'!$R$364,'Snowball workings'!$R$364)+IF('Your debts'!$D$20="Avalanche",'Avalanche workings'!$AL$364,'Snowball workings'!$AL$364))</f>
      </c>
      <c r="S362" s="30">
        <f>IF(OR(357&gt;$Z$1,NOT(OR('Your debts'!$B$12&lt;&gt;"",N('Your debts'!$C$12)&gt;0))),"",IF('Your debts'!$D$20="Avalanche",'Avalanche workings'!$AV$364,'Snowball workings'!$AV$364))</f>
      </c>
      <c r="T362" s="29">
        <f>IF(OR(357&gt;$Z$1,NOT(OR('Your debts'!$B$13&lt;&gt;"",N('Your debts'!$C$13)&gt;0))),"",IF('Your debts'!$D$20="Avalanche",'Avalanche workings'!$S$364,'Snowball workings'!$S$364)+IF('Your debts'!$D$20="Avalanche",'Avalanche workings'!$AM$364,'Snowball workings'!$AM$364))</f>
      </c>
      <c r="U362" s="30">
        <f>IF(OR(357&gt;$Z$1,NOT(OR('Your debts'!$B$13&lt;&gt;"",N('Your debts'!$C$13)&gt;0))),"",IF('Your debts'!$D$20="Avalanche",'Avalanche workings'!$AW$364,'Snowball workings'!$AW$364))</f>
      </c>
      <c r="V362" s="29">
        <f>IF(OR(357&gt;$Z$1,NOT(OR('Your debts'!$B$14&lt;&gt;"",N('Your debts'!$C$14)&gt;0))),"",IF('Your debts'!$D$20="Avalanche",'Avalanche workings'!$T$364,'Snowball workings'!$T$364)+IF('Your debts'!$D$20="Avalanche",'Avalanche workings'!$AN$364,'Snowball workings'!$AN$364))</f>
      </c>
      <c r="W362" s="30">
        <f>IF(OR(357&gt;$Z$1,NOT(OR('Your debts'!$B$14&lt;&gt;"",N('Your debts'!$C$14)&gt;0))),"",IF('Your debts'!$D$20="Avalanche",'Avalanche workings'!$AX$364,'Snowball workings'!$AX$364))</f>
      </c>
      <c r="X362" s="29">
        <f>IF(OR(357&gt;$Z$1,NOT(OR('Your debts'!$B$15&lt;&gt;"",N('Your debts'!$C$15)&gt;0))),"",IF('Your debts'!$D$20="Avalanche",'Avalanche workings'!$U$364,'Snowball workings'!$U$364)+IF('Your debts'!$D$20="Avalanche",'Avalanche workings'!$AO$364,'Snowball workings'!$AO$364))</f>
      </c>
      <c r="Y362" s="30">
        <f>IF(OR(357&gt;$Z$1,NOT(OR('Your debts'!$B$15&lt;&gt;"",N('Your debts'!$C$15)&gt;0))),"",IF('Your debts'!$D$20="Avalanche",'Avalanche workings'!$AY$364,'Snowball workings'!$AY$364))</f>
      </c>
    </row>
    <row r="363" spans="1:25" x14ac:dyDescent="0.25">
      <c r="A363" s="2">
        <f>IF(358&gt;$Z$1,"",358)</f>
      </c>
      <c r="B363" s="28">
        <f>IF(358&gt;$Z$1,"",EDATE('Your debts'!$D$21,357))</f>
      </c>
      <c r="C363" s="29">
        <f>IF(358&gt;$Z$1,"",IF('Your debts'!$D$20="Avalanche",'Avalanche workings'!$BC$365,'Snowball workings'!$BC$365))</f>
      </c>
      <c r="D363" s="29">
        <f>IF(358&gt;$Z$1,"",IF('Your debts'!$D$20="Avalanche",'Avalanche workings'!$BA$365,'Snowball workings'!$BA$365))</f>
      </c>
      <c r="E363" s="29">
        <f>IF(358&gt;$Z$1,"",IF('Your debts'!$D$20="Avalanche",'Avalanche workings'!$BB$365,'Snowball workings'!$BB$365))</f>
      </c>
      <c r="F363" s="29">
        <f>IF(OR(358&gt;$Z$1,NOT(OR('Your debts'!$B$6&lt;&gt;"",N('Your debts'!$C$6)&gt;0))),"",IF('Your debts'!$D$20="Avalanche",'Avalanche workings'!$L$365,'Snowball workings'!$L$365)+IF('Your debts'!$D$20="Avalanche",'Avalanche workings'!$AF$365,'Snowball workings'!$AF$365))</f>
      </c>
      <c r="G363" s="30">
        <f>IF(OR(358&gt;$Z$1,NOT(OR('Your debts'!$B$6&lt;&gt;"",N('Your debts'!$C$6)&gt;0))),"",IF('Your debts'!$D$20="Avalanche",'Avalanche workings'!$AP$365,'Snowball workings'!$AP$365))</f>
      </c>
      <c r="H363" s="29">
        <f>IF(OR(358&gt;$Z$1,NOT(OR('Your debts'!$B$7&lt;&gt;"",N('Your debts'!$C$7)&gt;0))),"",IF('Your debts'!$D$20="Avalanche",'Avalanche workings'!$M$365,'Snowball workings'!$M$365)+IF('Your debts'!$D$20="Avalanche",'Avalanche workings'!$AG$365,'Snowball workings'!$AG$365))</f>
      </c>
      <c r="I363" s="30">
        <f>IF(OR(358&gt;$Z$1,NOT(OR('Your debts'!$B$7&lt;&gt;"",N('Your debts'!$C$7)&gt;0))),"",IF('Your debts'!$D$20="Avalanche",'Avalanche workings'!$AQ$365,'Snowball workings'!$AQ$365))</f>
      </c>
      <c r="J363" s="29">
        <f>IF(OR(358&gt;$Z$1,NOT(OR('Your debts'!$B$8&lt;&gt;"",N('Your debts'!$C$8)&gt;0))),"",IF('Your debts'!$D$20="Avalanche",'Avalanche workings'!$N$365,'Snowball workings'!$N$365)+IF('Your debts'!$D$20="Avalanche",'Avalanche workings'!$AH$365,'Snowball workings'!$AH$365))</f>
      </c>
      <c r="K363" s="30">
        <f>IF(OR(358&gt;$Z$1,NOT(OR('Your debts'!$B$8&lt;&gt;"",N('Your debts'!$C$8)&gt;0))),"",IF('Your debts'!$D$20="Avalanche",'Avalanche workings'!$AR$365,'Snowball workings'!$AR$365))</f>
      </c>
      <c r="L363" s="29">
        <f>IF(OR(358&gt;$Z$1,NOT(OR('Your debts'!$B$9&lt;&gt;"",N('Your debts'!$C$9)&gt;0))),"",IF('Your debts'!$D$20="Avalanche",'Avalanche workings'!$O$365,'Snowball workings'!$O$365)+IF('Your debts'!$D$20="Avalanche",'Avalanche workings'!$AI$365,'Snowball workings'!$AI$365))</f>
      </c>
      <c r="M363" s="30">
        <f>IF(OR(358&gt;$Z$1,NOT(OR('Your debts'!$B$9&lt;&gt;"",N('Your debts'!$C$9)&gt;0))),"",IF('Your debts'!$D$20="Avalanche",'Avalanche workings'!$AS$365,'Snowball workings'!$AS$365))</f>
      </c>
      <c r="N363" s="29">
        <f>IF(OR(358&gt;$Z$1,NOT(OR('Your debts'!$B$10&lt;&gt;"",N('Your debts'!$C$10)&gt;0))),"",IF('Your debts'!$D$20="Avalanche",'Avalanche workings'!$P$365,'Snowball workings'!$P$365)+IF('Your debts'!$D$20="Avalanche",'Avalanche workings'!$AJ$365,'Snowball workings'!$AJ$365))</f>
      </c>
      <c r="O363" s="30">
        <f>IF(OR(358&gt;$Z$1,NOT(OR('Your debts'!$B$10&lt;&gt;"",N('Your debts'!$C$10)&gt;0))),"",IF('Your debts'!$D$20="Avalanche",'Avalanche workings'!$AT$365,'Snowball workings'!$AT$365))</f>
      </c>
      <c r="P363" s="29">
        <f>IF(OR(358&gt;$Z$1,NOT(OR('Your debts'!$B$11&lt;&gt;"",N('Your debts'!$C$11)&gt;0))),"",IF('Your debts'!$D$20="Avalanche",'Avalanche workings'!$Q$365,'Snowball workings'!$Q$365)+IF('Your debts'!$D$20="Avalanche",'Avalanche workings'!$AK$365,'Snowball workings'!$AK$365))</f>
      </c>
      <c r="Q363" s="30">
        <f>IF(OR(358&gt;$Z$1,NOT(OR('Your debts'!$B$11&lt;&gt;"",N('Your debts'!$C$11)&gt;0))),"",IF('Your debts'!$D$20="Avalanche",'Avalanche workings'!$AU$365,'Snowball workings'!$AU$365))</f>
      </c>
      <c r="R363" s="29">
        <f>IF(OR(358&gt;$Z$1,NOT(OR('Your debts'!$B$12&lt;&gt;"",N('Your debts'!$C$12)&gt;0))),"",IF('Your debts'!$D$20="Avalanche",'Avalanche workings'!$R$365,'Snowball workings'!$R$365)+IF('Your debts'!$D$20="Avalanche",'Avalanche workings'!$AL$365,'Snowball workings'!$AL$365))</f>
      </c>
      <c r="S363" s="30">
        <f>IF(OR(358&gt;$Z$1,NOT(OR('Your debts'!$B$12&lt;&gt;"",N('Your debts'!$C$12)&gt;0))),"",IF('Your debts'!$D$20="Avalanche",'Avalanche workings'!$AV$365,'Snowball workings'!$AV$365))</f>
      </c>
      <c r="T363" s="29">
        <f>IF(OR(358&gt;$Z$1,NOT(OR('Your debts'!$B$13&lt;&gt;"",N('Your debts'!$C$13)&gt;0))),"",IF('Your debts'!$D$20="Avalanche",'Avalanche workings'!$S$365,'Snowball workings'!$S$365)+IF('Your debts'!$D$20="Avalanche",'Avalanche workings'!$AM$365,'Snowball workings'!$AM$365))</f>
      </c>
      <c r="U363" s="30">
        <f>IF(OR(358&gt;$Z$1,NOT(OR('Your debts'!$B$13&lt;&gt;"",N('Your debts'!$C$13)&gt;0))),"",IF('Your debts'!$D$20="Avalanche",'Avalanche workings'!$AW$365,'Snowball workings'!$AW$365))</f>
      </c>
      <c r="V363" s="29">
        <f>IF(OR(358&gt;$Z$1,NOT(OR('Your debts'!$B$14&lt;&gt;"",N('Your debts'!$C$14)&gt;0))),"",IF('Your debts'!$D$20="Avalanche",'Avalanche workings'!$T$365,'Snowball workings'!$T$365)+IF('Your debts'!$D$20="Avalanche",'Avalanche workings'!$AN$365,'Snowball workings'!$AN$365))</f>
      </c>
      <c r="W363" s="30">
        <f>IF(OR(358&gt;$Z$1,NOT(OR('Your debts'!$B$14&lt;&gt;"",N('Your debts'!$C$14)&gt;0))),"",IF('Your debts'!$D$20="Avalanche",'Avalanche workings'!$AX$365,'Snowball workings'!$AX$365))</f>
      </c>
      <c r="X363" s="29">
        <f>IF(OR(358&gt;$Z$1,NOT(OR('Your debts'!$B$15&lt;&gt;"",N('Your debts'!$C$15)&gt;0))),"",IF('Your debts'!$D$20="Avalanche",'Avalanche workings'!$U$365,'Snowball workings'!$U$365)+IF('Your debts'!$D$20="Avalanche",'Avalanche workings'!$AO$365,'Snowball workings'!$AO$365))</f>
      </c>
      <c r="Y363" s="30">
        <f>IF(OR(358&gt;$Z$1,NOT(OR('Your debts'!$B$15&lt;&gt;"",N('Your debts'!$C$15)&gt;0))),"",IF('Your debts'!$D$20="Avalanche",'Avalanche workings'!$AY$365,'Snowball workings'!$AY$365))</f>
      </c>
    </row>
    <row r="364" spans="1:25" x14ac:dyDescent="0.25">
      <c r="A364" s="2">
        <f>IF(359&gt;$Z$1,"",359)</f>
      </c>
      <c r="B364" s="28">
        <f>IF(359&gt;$Z$1,"",EDATE('Your debts'!$D$21,358))</f>
      </c>
      <c r="C364" s="29">
        <f>IF(359&gt;$Z$1,"",IF('Your debts'!$D$20="Avalanche",'Avalanche workings'!$BC$366,'Snowball workings'!$BC$366))</f>
      </c>
      <c r="D364" s="29">
        <f>IF(359&gt;$Z$1,"",IF('Your debts'!$D$20="Avalanche",'Avalanche workings'!$BA$366,'Snowball workings'!$BA$366))</f>
      </c>
      <c r="E364" s="29">
        <f>IF(359&gt;$Z$1,"",IF('Your debts'!$D$20="Avalanche",'Avalanche workings'!$BB$366,'Snowball workings'!$BB$366))</f>
      </c>
      <c r="F364" s="29">
        <f>IF(OR(359&gt;$Z$1,NOT(OR('Your debts'!$B$6&lt;&gt;"",N('Your debts'!$C$6)&gt;0))),"",IF('Your debts'!$D$20="Avalanche",'Avalanche workings'!$L$366,'Snowball workings'!$L$366)+IF('Your debts'!$D$20="Avalanche",'Avalanche workings'!$AF$366,'Snowball workings'!$AF$366))</f>
      </c>
      <c r="G364" s="30">
        <f>IF(OR(359&gt;$Z$1,NOT(OR('Your debts'!$B$6&lt;&gt;"",N('Your debts'!$C$6)&gt;0))),"",IF('Your debts'!$D$20="Avalanche",'Avalanche workings'!$AP$366,'Snowball workings'!$AP$366))</f>
      </c>
      <c r="H364" s="29">
        <f>IF(OR(359&gt;$Z$1,NOT(OR('Your debts'!$B$7&lt;&gt;"",N('Your debts'!$C$7)&gt;0))),"",IF('Your debts'!$D$20="Avalanche",'Avalanche workings'!$M$366,'Snowball workings'!$M$366)+IF('Your debts'!$D$20="Avalanche",'Avalanche workings'!$AG$366,'Snowball workings'!$AG$366))</f>
      </c>
      <c r="I364" s="30">
        <f>IF(OR(359&gt;$Z$1,NOT(OR('Your debts'!$B$7&lt;&gt;"",N('Your debts'!$C$7)&gt;0))),"",IF('Your debts'!$D$20="Avalanche",'Avalanche workings'!$AQ$366,'Snowball workings'!$AQ$366))</f>
      </c>
      <c r="J364" s="29">
        <f>IF(OR(359&gt;$Z$1,NOT(OR('Your debts'!$B$8&lt;&gt;"",N('Your debts'!$C$8)&gt;0))),"",IF('Your debts'!$D$20="Avalanche",'Avalanche workings'!$N$366,'Snowball workings'!$N$366)+IF('Your debts'!$D$20="Avalanche",'Avalanche workings'!$AH$366,'Snowball workings'!$AH$366))</f>
      </c>
      <c r="K364" s="30">
        <f>IF(OR(359&gt;$Z$1,NOT(OR('Your debts'!$B$8&lt;&gt;"",N('Your debts'!$C$8)&gt;0))),"",IF('Your debts'!$D$20="Avalanche",'Avalanche workings'!$AR$366,'Snowball workings'!$AR$366))</f>
      </c>
      <c r="L364" s="29">
        <f>IF(OR(359&gt;$Z$1,NOT(OR('Your debts'!$B$9&lt;&gt;"",N('Your debts'!$C$9)&gt;0))),"",IF('Your debts'!$D$20="Avalanche",'Avalanche workings'!$O$366,'Snowball workings'!$O$366)+IF('Your debts'!$D$20="Avalanche",'Avalanche workings'!$AI$366,'Snowball workings'!$AI$366))</f>
      </c>
      <c r="M364" s="30">
        <f>IF(OR(359&gt;$Z$1,NOT(OR('Your debts'!$B$9&lt;&gt;"",N('Your debts'!$C$9)&gt;0))),"",IF('Your debts'!$D$20="Avalanche",'Avalanche workings'!$AS$366,'Snowball workings'!$AS$366))</f>
      </c>
      <c r="N364" s="29">
        <f>IF(OR(359&gt;$Z$1,NOT(OR('Your debts'!$B$10&lt;&gt;"",N('Your debts'!$C$10)&gt;0))),"",IF('Your debts'!$D$20="Avalanche",'Avalanche workings'!$P$366,'Snowball workings'!$P$366)+IF('Your debts'!$D$20="Avalanche",'Avalanche workings'!$AJ$366,'Snowball workings'!$AJ$366))</f>
      </c>
      <c r="O364" s="30">
        <f>IF(OR(359&gt;$Z$1,NOT(OR('Your debts'!$B$10&lt;&gt;"",N('Your debts'!$C$10)&gt;0))),"",IF('Your debts'!$D$20="Avalanche",'Avalanche workings'!$AT$366,'Snowball workings'!$AT$366))</f>
      </c>
      <c r="P364" s="29">
        <f>IF(OR(359&gt;$Z$1,NOT(OR('Your debts'!$B$11&lt;&gt;"",N('Your debts'!$C$11)&gt;0))),"",IF('Your debts'!$D$20="Avalanche",'Avalanche workings'!$Q$366,'Snowball workings'!$Q$366)+IF('Your debts'!$D$20="Avalanche",'Avalanche workings'!$AK$366,'Snowball workings'!$AK$366))</f>
      </c>
      <c r="Q364" s="30">
        <f>IF(OR(359&gt;$Z$1,NOT(OR('Your debts'!$B$11&lt;&gt;"",N('Your debts'!$C$11)&gt;0))),"",IF('Your debts'!$D$20="Avalanche",'Avalanche workings'!$AU$366,'Snowball workings'!$AU$366))</f>
      </c>
      <c r="R364" s="29">
        <f>IF(OR(359&gt;$Z$1,NOT(OR('Your debts'!$B$12&lt;&gt;"",N('Your debts'!$C$12)&gt;0))),"",IF('Your debts'!$D$20="Avalanche",'Avalanche workings'!$R$366,'Snowball workings'!$R$366)+IF('Your debts'!$D$20="Avalanche",'Avalanche workings'!$AL$366,'Snowball workings'!$AL$366))</f>
      </c>
      <c r="S364" s="30">
        <f>IF(OR(359&gt;$Z$1,NOT(OR('Your debts'!$B$12&lt;&gt;"",N('Your debts'!$C$12)&gt;0))),"",IF('Your debts'!$D$20="Avalanche",'Avalanche workings'!$AV$366,'Snowball workings'!$AV$366))</f>
      </c>
      <c r="T364" s="29">
        <f>IF(OR(359&gt;$Z$1,NOT(OR('Your debts'!$B$13&lt;&gt;"",N('Your debts'!$C$13)&gt;0))),"",IF('Your debts'!$D$20="Avalanche",'Avalanche workings'!$S$366,'Snowball workings'!$S$366)+IF('Your debts'!$D$20="Avalanche",'Avalanche workings'!$AM$366,'Snowball workings'!$AM$366))</f>
      </c>
      <c r="U364" s="30">
        <f>IF(OR(359&gt;$Z$1,NOT(OR('Your debts'!$B$13&lt;&gt;"",N('Your debts'!$C$13)&gt;0))),"",IF('Your debts'!$D$20="Avalanche",'Avalanche workings'!$AW$366,'Snowball workings'!$AW$366))</f>
      </c>
      <c r="V364" s="29">
        <f>IF(OR(359&gt;$Z$1,NOT(OR('Your debts'!$B$14&lt;&gt;"",N('Your debts'!$C$14)&gt;0))),"",IF('Your debts'!$D$20="Avalanche",'Avalanche workings'!$T$366,'Snowball workings'!$T$366)+IF('Your debts'!$D$20="Avalanche",'Avalanche workings'!$AN$366,'Snowball workings'!$AN$366))</f>
      </c>
      <c r="W364" s="30">
        <f>IF(OR(359&gt;$Z$1,NOT(OR('Your debts'!$B$14&lt;&gt;"",N('Your debts'!$C$14)&gt;0))),"",IF('Your debts'!$D$20="Avalanche",'Avalanche workings'!$AX$366,'Snowball workings'!$AX$366))</f>
      </c>
      <c r="X364" s="29">
        <f>IF(OR(359&gt;$Z$1,NOT(OR('Your debts'!$B$15&lt;&gt;"",N('Your debts'!$C$15)&gt;0))),"",IF('Your debts'!$D$20="Avalanche",'Avalanche workings'!$U$366,'Snowball workings'!$U$366)+IF('Your debts'!$D$20="Avalanche",'Avalanche workings'!$AO$366,'Snowball workings'!$AO$366))</f>
      </c>
      <c r="Y364" s="30">
        <f>IF(OR(359&gt;$Z$1,NOT(OR('Your debts'!$B$15&lt;&gt;"",N('Your debts'!$C$15)&gt;0))),"",IF('Your debts'!$D$20="Avalanche",'Avalanche workings'!$AY$366,'Snowball workings'!$AY$366))</f>
      </c>
    </row>
    <row r="365" spans="1:25" x14ac:dyDescent="0.25">
      <c r="A365" s="2">
        <f>IF(360&gt;$Z$1,"",360)</f>
      </c>
      <c r="B365" s="28">
        <f>IF(360&gt;$Z$1,"",EDATE('Your debts'!$D$21,359))</f>
      </c>
      <c r="C365" s="29">
        <f>IF(360&gt;$Z$1,"",IF('Your debts'!$D$20="Avalanche",'Avalanche workings'!$BC$367,'Snowball workings'!$BC$367))</f>
      </c>
      <c r="D365" s="29">
        <f>IF(360&gt;$Z$1,"",IF('Your debts'!$D$20="Avalanche",'Avalanche workings'!$BA$367,'Snowball workings'!$BA$367))</f>
      </c>
      <c r="E365" s="29">
        <f>IF(360&gt;$Z$1,"",IF('Your debts'!$D$20="Avalanche",'Avalanche workings'!$BB$367,'Snowball workings'!$BB$367))</f>
      </c>
      <c r="F365" s="29">
        <f>IF(OR(360&gt;$Z$1,NOT(OR('Your debts'!$B$6&lt;&gt;"",N('Your debts'!$C$6)&gt;0))),"",IF('Your debts'!$D$20="Avalanche",'Avalanche workings'!$L$367,'Snowball workings'!$L$367)+IF('Your debts'!$D$20="Avalanche",'Avalanche workings'!$AF$367,'Snowball workings'!$AF$367))</f>
      </c>
      <c r="G365" s="30">
        <f>IF(OR(360&gt;$Z$1,NOT(OR('Your debts'!$B$6&lt;&gt;"",N('Your debts'!$C$6)&gt;0))),"",IF('Your debts'!$D$20="Avalanche",'Avalanche workings'!$AP$367,'Snowball workings'!$AP$367))</f>
      </c>
      <c r="H365" s="29">
        <f>IF(OR(360&gt;$Z$1,NOT(OR('Your debts'!$B$7&lt;&gt;"",N('Your debts'!$C$7)&gt;0))),"",IF('Your debts'!$D$20="Avalanche",'Avalanche workings'!$M$367,'Snowball workings'!$M$367)+IF('Your debts'!$D$20="Avalanche",'Avalanche workings'!$AG$367,'Snowball workings'!$AG$367))</f>
      </c>
      <c r="I365" s="30">
        <f>IF(OR(360&gt;$Z$1,NOT(OR('Your debts'!$B$7&lt;&gt;"",N('Your debts'!$C$7)&gt;0))),"",IF('Your debts'!$D$20="Avalanche",'Avalanche workings'!$AQ$367,'Snowball workings'!$AQ$367))</f>
      </c>
      <c r="J365" s="29">
        <f>IF(OR(360&gt;$Z$1,NOT(OR('Your debts'!$B$8&lt;&gt;"",N('Your debts'!$C$8)&gt;0))),"",IF('Your debts'!$D$20="Avalanche",'Avalanche workings'!$N$367,'Snowball workings'!$N$367)+IF('Your debts'!$D$20="Avalanche",'Avalanche workings'!$AH$367,'Snowball workings'!$AH$367))</f>
      </c>
      <c r="K365" s="30">
        <f>IF(OR(360&gt;$Z$1,NOT(OR('Your debts'!$B$8&lt;&gt;"",N('Your debts'!$C$8)&gt;0))),"",IF('Your debts'!$D$20="Avalanche",'Avalanche workings'!$AR$367,'Snowball workings'!$AR$367))</f>
      </c>
      <c r="L365" s="29">
        <f>IF(OR(360&gt;$Z$1,NOT(OR('Your debts'!$B$9&lt;&gt;"",N('Your debts'!$C$9)&gt;0))),"",IF('Your debts'!$D$20="Avalanche",'Avalanche workings'!$O$367,'Snowball workings'!$O$367)+IF('Your debts'!$D$20="Avalanche",'Avalanche workings'!$AI$367,'Snowball workings'!$AI$367))</f>
      </c>
      <c r="M365" s="30">
        <f>IF(OR(360&gt;$Z$1,NOT(OR('Your debts'!$B$9&lt;&gt;"",N('Your debts'!$C$9)&gt;0))),"",IF('Your debts'!$D$20="Avalanche",'Avalanche workings'!$AS$367,'Snowball workings'!$AS$367))</f>
      </c>
      <c r="N365" s="29">
        <f>IF(OR(360&gt;$Z$1,NOT(OR('Your debts'!$B$10&lt;&gt;"",N('Your debts'!$C$10)&gt;0))),"",IF('Your debts'!$D$20="Avalanche",'Avalanche workings'!$P$367,'Snowball workings'!$P$367)+IF('Your debts'!$D$20="Avalanche",'Avalanche workings'!$AJ$367,'Snowball workings'!$AJ$367))</f>
      </c>
      <c r="O365" s="30">
        <f>IF(OR(360&gt;$Z$1,NOT(OR('Your debts'!$B$10&lt;&gt;"",N('Your debts'!$C$10)&gt;0))),"",IF('Your debts'!$D$20="Avalanche",'Avalanche workings'!$AT$367,'Snowball workings'!$AT$367))</f>
      </c>
      <c r="P365" s="29">
        <f>IF(OR(360&gt;$Z$1,NOT(OR('Your debts'!$B$11&lt;&gt;"",N('Your debts'!$C$11)&gt;0))),"",IF('Your debts'!$D$20="Avalanche",'Avalanche workings'!$Q$367,'Snowball workings'!$Q$367)+IF('Your debts'!$D$20="Avalanche",'Avalanche workings'!$AK$367,'Snowball workings'!$AK$367))</f>
      </c>
      <c r="Q365" s="30">
        <f>IF(OR(360&gt;$Z$1,NOT(OR('Your debts'!$B$11&lt;&gt;"",N('Your debts'!$C$11)&gt;0))),"",IF('Your debts'!$D$20="Avalanche",'Avalanche workings'!$AU$367,'Snowball workings'!$AU$367))</f>
      </c>
      <c r="R365" s="29">
        <f>IF(OR(360&gt;$Z$1,NOT(OR('Your debts'!$B$12&lt;&gt;"",N('Your debts'!$C$12)&gt;0))),"",IF('Your debts'!$D$20="Avalanche",'Avalanche workings'!$R$367,'Snowball workings'!$R$367)+IF('Your debts'!$D$20="Avalanche",'Avalanche workings'!$AL$367,'Snowball workings'!$AL$367))</f>
      </c>
      <c r="S365" s="30">
        <f>IF(OR(360&gt;$Z$1,NOT(OR('Your debts'!$B$12&lt;&gt;"",N('Your debts'!$C$12)&gt;0))),"",IF('Your debts'!$D$20="Avalanche",'Avalanche workings'!$AV$367,'Snowball workings'!$AV$367))</f>
      </c>
      <c r="T365" s="29">
        <f>IF(OR(360&gt;$Z$1,NOT(OR('Your debts'!$B$13&lt;&gt;"",N('Your debts'!$C$13)&gt;0))),"",IF('Your debts'!$D$20="Avalanche",'Avalanche workings'!$S$367,'Snowball workings'!$S$367)+IF('Your debts'!$D$20="Avalanche",'Avalanche workings'!$AM$367,'Snowball workings'!$AM$367))</f>
      </c>
      <c r="U365" s="30">
        <f>IF(OR(360&gt;$Z$1,NOT(OR('Your debts'!$B$13&lt;&gt;"",N('Your debts'!$C$13)&gt;0))),"",IF('Your debts'!$D$20="Avalanche",'Avalanche workings'!$AW$367,'Snowball workings'!$AW$367))</f>
      </c>
      <c r="V365" s="29">
        <f>IF(OR(360&gt;$Z$1,NOT(OR('Your debts'!$B$14&lt;&gt;"",N('Your debts'!$C$14)&gt;0))),"",IF('Your debts'!$D$20="Avalanche",'Avalanche workings'!$T$367,'Snowball workings'!$T$367)+IF('Your debts'!$D$20="Avalanche",'Avalanche workings'!$AN$367,'Snowball workings'!$AN$367))</f>
      </c>
      <c r="W365" s="30">
        <f>IF(OR(360&gt;$Z$1,NOT(OR('Your debts'!$B$14&lt;&gt;"",N('Your debts'!$C$14)&gt;0))),"",IF('Your debts'!$D$20="Avalanche",'Avalanche workings'!$AX$367,'Snowball workings'!$AX$367))</f>
      </c>
      <c r="X365" s="29">
        <f>IF(OR(360&gt;$Z$1,NOT(OR('Your debts'!$B$15&lt;&gt;"",N('Your debts'!$C$15)&gt;0))),"",IF('Your debts'!$D$20="Avalanche",'Avalanche workings'!$U$367,'Snowball workings'!$U$367)+IF('Your debts'!$D$20="Avalanche",'Avalanche workings'!$AO$367,'Snowball workings'!$AO$367))</f>
      </c>
      <c r="Y365" s="30">
        <f>IF(OR(360&gt;$Z$1,NOT(OR('Your debts'!$B$15&lt;&gt;"",N('Your debts'!$C$15)&gt;0))),"",IF('Your debts'!$D$20="Avalanche",'Avalanche workings'!$AY$367,'Snowball workings'!$AY$367))</f>
      </c>
    </row>
    <row r="366" spans="1:25" x14ac:dyDescent="0.25">
      <c r="A366" s="2">
        <f>IF(361&gt;$Z$1,"",361)</f>
      </c>
      <c r="B366" s="28">
        <f>IF(361&gt;$Z$1,"",EDATE('Your debts'!$D$21,360))</f>
      </c>
      <c r="C366" s="29">
        <f>IF(361&gt;$Z$1,"",IF('Your debts'!$D$20="Avalanche",'Avalanche workings'!$BC$368,'Snowball workings'!$BC$368))</f>
      </c>
      <c r="D366" s="29">
        <f>IF(361&gt;$Z$1,"",IF('Your debts'!$D$20="Avalanche",'Avalanche workings'!$BA$368,'Snowball workings'!$BA$368))</f>
      </c>
      <c r="E366" s="29">
        <f>IF(361&gt;$Z$1,"",IF('Your debts'!$D$20="Avalanche",'Avalanche workings'!$BB$368,'Snowball workings'!$BB$368))</f>
      </c>
      <c r="F366" s="29">
        <f>IF(OR(361&gt;$Z$1,NOT(OR('Your debts'!$B$6&lt;&gt;"",N('Your debts'!$C$6)&gt;0))),"",IF('Your debts'!$D$20="Avalanche",'Avalanche workings'!$L$368,'Snowball workings'!$L$368)+IF('Your debts'!$D$20="Avalanche",'Avalanche workings'!$AF$368,'Snowball workings'!$AF$368))</f>
      </c>
      <c r="G366" s="30">
        <f>IF(OR(361&gt;$Z$1,NOT(OR('Your debts'!$B$6&lt;&gt;"",N('Your debts'!$C$6)&gt;0))),"",IF('Your debts'!$D$20="Avalanche",'Avalanche workings'!$AP$368,'Snowball workings'!$AP$368))</f>
      </c>
      <c r="H366" s="29">
        <f>IF(OR(361&gt;$Z$1,NOT(OR('Your debts'!$B$7&lt;&gt;"",N('Your debts'!$C$7)&gt;0))),"",IF('Your debts'!$D$20="Avalanche",'Avalanche workings'!$M$368,'Snowball workings'!$M$368)+IF('Your debts'!$D$20="Avalanche",'Avalanche workings'!$AG$368,'Snowball workings'!$AG$368))</f>
      </c>
      <c r="I366" s="30">
        <f>IF(OR(361&gt;$Z$1,NOT(OR('Your debts'!$B$7&lt;&gt;"",N('Your debts'!$C$7)&gt;0))),"",IF('Your debts'!$D$20="Avalanche",'Avalanche workings'!$AQ$368,'Snowball workings'!$AQ$368))</f>
      </c>
      <c r="J366" s="29">
        <f>IF(OR(361&gt;$Z$1,NOT(OR('Your debts'!$B$8&lt;&gt;"",N('Your debts'!$C$8)&gt;0))),"",IF('Your debts'!$D$20="Avalanche",'Avalanche workings'!$N$368,'Snowball workings'!$N$368)+IF('Your debts'!$D$20="Avalanche",'Avalanche workings'!$AH$368,'Snowball workings'!$AH$368))</f>
      </c>
      <c r="K366" s="30">
        <f>IF(OR(361&gt;$Z$1,NOT(OR('Your debts'!$B$8&lt;&gt;"",N('Your debts'!$C$8)&gt;0))),"",IF('Your debts'!$D$20="Avalanche",'Avalanche workings'!$AR$368,'Snowball workings'!$AR$368))</f>
      </c>
      <c r="L366" s="29">
        <f>IF(OR(361&gt;$Z$1,NOT(OR('Your debts'!$B$9&lt;&gt;"",N('Your debts'!$C$9)&gt;0))),"",IF('Your debts'!$D$20="Avalanche",'Avalanche workings'!$O$368,'Snowball workings'!$O$368)+IF('Your debts'!$D$20="Avalanche",'Avalanche workings'!$AI$368,'Snowball workings'!$AI$368))</f>
      </c>
      <c r="M366" s="30">
        <f>IF(OR(361&gt;$Z$1,NOT(OR('Your debts'!$B$9&lt;&gt;"",N('Your debts'!$C$9)&gt;0))),"",IF('Your debts'!$D$20="Avalanche",'Avalanche workings'!$AS$368,'Snowball workings'!$AS$368))</f>
      </c>
      <c r="N366" s="29">
        <f>IF(OR(361&gt;$Z$1,NOT(OR('Your debts'!$B$10&lt;&gt;"",N('Your debts'!$C$10)&gt;0))),"",IF('Your debts'!$D$20="Avalanche",'Avalanche workings'!$P$368,'Snowball workings'!$P$368)+IF('Your debts'!$D$20="Avalanche",'Avalanche workings'!$AJ$368,'Snowball workings'!$AJ$368))</f>
      </c>
      <c r="O366" s="30">
        <f>IF(OR(361&gt;$Z$1,NOT(OR('Your debts'!$B$10&lt;&gt;"",N('Your debts'!$C$10)&gt;0))),"",IF('Your debts'!$D$20="Avalanche",'Avalanche workings'!$AT$368,'Snowball workings'!$AT$368))</f>
      </c>
      <c r="P366" s="29">
        <f>IF(OR(361&gt;$Z$1,NOT(OR('Your debts'!$B$11&lt;&gt;"",N('Your debts'!$C$11)&gt;0))),"",IF('Your debts'!$D$20="Avalanche",'Avalanche workings'!$Q$368,'Snowball workings'!$Q$368)+IF('Your debts'!$D$20="Avalanche",'Avalanche workings'!$AK$368,'Snowball workings'!$AK$368))</f>
      </c>
      <c r="Q366" s="30">
        <f>IF(OR(361&gt;$Z$1,NOT(OR('Your debts'!$B$11&lt;&gt;"",N('Your debts'!$C$11)&gt;0))),"",IF('Your debts'!$D$20="Avalanche",'Avalanche workings'!$AU$368,'Snowball workings'!$AU$368))</f>
      </c>
      <c r="R366" s="29">
        <f>IF(OR(361&gt;$Z$1,NOT(OR('Your debts'!$B$12&lt;&gt;"",N('Your debts'!$C$12)&gt;0))),"",IF('Your debts'!$D$20="Avalanche",'Avalanche workings'!$R$368,'Snowball workings'!$R$368)+IF('Your debts'!$D$20="Avalanche",'Avalanche workings'!$AL$368,'Snowball workings'!$AL$368))</f>
      </c>
      <c r="S366" s="30">
        <f>IF(OR(361&gt;$Z$1,NOT(OR('Your debts'!$B$12&lt;&gt;"",N('Your debts'!$C$12)&gt;0))),"",IF('Your debts'!$D$20="Avalanche",'Avalanche workings'!$AV$368,'Snowball workings'!$AV$368))</f>
      </c>
      <c r="T366" s="29">
        <f>IF(OR(361&gt;$Z$1,NOT(OR('Your debts'!$B$13&lt;&gt;"",N('Your debts'!$C$13)&gt;0))),"",IF('Your debts'!$D$20="Avalanche",'Avalanche workings'!$S$368,'Snowball workings'!$S$368)+IF('Your debts'!$D$20="Avalanche",'Avalanche workings'!$AM$368,'Snowball workings'!$AM$368))</f>
      </c>
      <c r="U366" s="30">
        <f>IF(OR(361&gt;$Z$1,NOT(OR('Your debts'!$B$13&lt;&gt;"",N('Your debts'!$C$13)&gt;0))),"",IF('Your debts'!$D$20="Avalanche",'Avalanche workings'!$AW$368,'Snowball workings'!$AW$368))</f>
      </c>
      <c r="V366" s="29">
        <f>IF(OR(361&gt;$Z$1,NOT(OR('Your debts'!$B$14&lt;&gt;"",N('Your debts'!$C$14)&gt;0))),"",IF('Your debts'!$D$20="Avalanche",'Avalanche workings'!$T$368,'Snowball workings'!$T$368)+IF('Your debts'!$D$20="Avalanche",'Avalanche workings'!$AN$368,'Snowball workings'!$AN$368))</f>
      </c>
      <c r="W366" s="30">
        <f>IF(OR(361&gt;$Z$1,NOT(OR('Your debts'!$B$14&lt;&gt;"",N('Your debts'!$C$14)&gt;0))),"",IF('Your debts'!$D$20="Avalanche",'Avalanche workings'!$AX$368,'Snowball workings'!$AX$368))</f>
      </c>
      <c r="X366" s="29">
        <f>IF(OR(361&gt;$Z$1,NOT(OR('Your debts'!$B$15&lt;&gt;"",N('Your debts'!$C$15)&gt;0))),"",IF('Your debts'!$D$20="Avalanche",'Avalanche workings'!$U$368,'Snowball workings'!$U$368)+IF('Your debts'!$D$20="Avalanche",'Avalanche workings'!$AO$368,'Snowball workings'!$AO$368))</f>
      </c>
      <c r="Y366" s="30">
        <f>IF(OR(361&gt;$Z$1,NOT(OR('Your debts'!$B$15&lt;&gt;"",N('Your debts'!$C$15)&gt;0))),"",IF('Your debts'!$D$20="Avalanche",'Avalanche workings'!$AY$368,'Snowball workings'!$AY$368))</f>
      </c>
    </row>
    <row r="367" spans="1:25" x14ac:dyDescent="0.25">
      <c r="A367" s="2">
        <f>IF(362&gt;$Z$1,"",362)</f>
      </c>
      <c r="B367" s="28">
        <f>IF(362&gt;$Z$1,"",EDATE('Your debts'!$D$21,361))</f>
      </c>
      <c r="C367" s="29">
        <f>IF(362&gt;$Z$1,"",IF('Your debts'!$D$20="Avalanche",'Avalanche workings'!$BC$369,'Snowball workings'!$BC$369))</f>
      </c>
      <c r="D367" s="29">
        <f>IF(362&gt;$Z$1,"",IF('Your debts'!$D$20="Avalanche",'Avalanche workings'!$BA$369,'Snowball workings'!$BA$369))</f>
      </c>
      <c r="E367" s="29">
        <f>IF(362&gt;$Z$1,"",IF('Your debts'!$D$20="Avalanche",'Avalanche workings'!$BB$369,'Snowball workings'!$BB$369))</f>
      </c>
      <c r="F367" s="29">
        <f>IF(OR(362&gt;$Z$1,NOT(OR('Your debts'!$B$6&lt;&gt;"",N('Your debts'!$C$6)&gt;0))),"",IF('Your debts'!$D$20="Avalanche",'Avalanche workings'!$L$369,'Snowball workings'!$L$369)+IF('Your debts'!$D$20="Avalanche",'Avalanche workings'!$AF$369,'Snowball workings'!$AF$369))</f>
      </c>
      <c r="G367" s="30">
        <f>IF(OR(362&gt;$Z$1,NOT(OR('Your debts'!$B$6&lt;&gt;"",N('Your debts'!$C$6)&gt;0))),"",IF('Your debts'!$D$20="Avalanche",'Avalanche workings'!$AP$369,'Snowball workings'!$AP$369))</f>
      </c>
      <c r="H367" s="29">
        <f>IF(OR(362&gt;$Z$1,NOT(OR('Your debts'!$B$7&lt;&gt;"",N('Your debts'!$C$7)&gt;0))),"",IF('Your debts'!$D$20="Avalanche",'Avalanche workings'!$M$369,'Snowball workings'!$M$369)+IF('Your debts'!$D$20="Avalanche",'Avalanche workings'!$AG$369,'Snowball workings'!$AG$369))</f>
      </c>
      <c r="I367" s="30">
        <f>IF(OR(362&gt;$Z$1,NOT(OR('Your debts'!$B$7&lt;&gt;"",N('Your debts'!$C$7)&gt;0))),"",IF('Your debts'!$D$20="Avalanche",'Avalanche workings'!$AQ$369,'Snowball workings'!$AQ$369))</f>
      </c>
      <c r="J367" s="29">
        <f>IF(OR(362&gt;$Z$1,NOT(OR('Your debts'!$B$8&lt;&gt;"",N('Your debts'!$C$8)&gt;0))),"",IF('Your debts'!$D$20="Avalanche",'Avalanche workings'!$N$369,'Snowball workings'!$N$369)+IF('Your debts'!$D$20="Avalanche",'Avalanche workings'!$AH$369,'Snowball workings'!$AH$369))</f>
      </c>
      <c r="K367" s="30">
        <f>IF(OR(362&gt;$Z$1,NOT(OR('Your debts'!$B$8&lt;&gt;"",N('Your debts'!$C$8)&gt;0))),"",IF('Your debts'!$D$20="Avalanche",'Avalanche workings'!$AR$369,'Snowball workings'!$AR$369))</f>
      </c>
      <c r="L367" s="29">
        <f>IF(OR(362&gt;$Z$1,NOT(OR('Your debts'!$B$9&lt;&gt;"",N('Your debts'!$C$9)&gt;0))),"",IF('Your debts'!$D$20="Avalanche",'Avalanche workings'!$O$369,'Snowball workings'!$O$369)+IF('Your debts'!$D$20="Avalanche",'Avalanche workings'!$AI$369,'Snowball workings'!$AI$369))</f>
      </c>
      <c r="M367" s="30">
        <f>IF(OR(362&gt;$Z$1,NOT(OR('Your debts'!$B$9&lt;&gt;"",N('Your debts'!$C$9)&gt;0))),"",IF('Your debts'!$D$20="Avalanche",'Avalanche workings'!$AS$369,'Snowball workings'!$AS$369))</f>
      </c>
      <c r="N367" s="29">
        <f>IF(OR(362&gt;$Z$1,NOT(OR('Your debts'!$B$10&lt;&gt;"",N('Your debts'!$C$10)&gt;0))),"",IF('Your debts'!$D$20="Avalanche",'Avalanche workings'!$P$369,'Snowball workings'!$P$369)+IF('Your debts'!$D$20="Avalanche",'Avalanche workings'!$AJ$369,'Snowball workings'!$AJ$369))</f>
      </c>
      <c r="O367" s="30">
        <f>IF(OR(362&gt;$Z$1,NOT(OR('Your debts'!$B$10&lt;&gt;"",N('Your debts'!$C$10)&gt;0))),"",IF('Your debts'!$D$20="Avalanche",'Avalanche workings'!$AT$369,'Snowball workings'!$AT$369))</f>
      </c>
      <c r="P367" s="29">
        <f>IF(OR(362&gt;$Z$1,NOT(OR('Your debts'!$B$11&lt;&gt;"",N('Your debts'!$C$11)&gt;0))),"",IF('Your debts'!$D$20="Avalanche",'Avalanche workings'!$Q$369,'Snowball workings'!$Q$369)+IF('Your debts'!$D$20="Avalanche",'Avalanche workings'!$AK$369,'Snowball workings'!$AK$369))</f>
      </c>
      <c r="Q367" s="30">
        <f>IF(OR(362&gt;$Z$1,NOT(OR('Your debts'!$B$11&lt;&gt;"",N('Your debts'!$C$11)&gt;0))),"",IF('Your debts'!$D$20="Avalanche",'Avalanche workings'!$AU$369,'Snowball workings'!$AU$369))</f>
      </c>
      <c r="R367" s="29">
        <f>IF(OR(362&gt;$Z$1,NOT(OR('Your debts'!$B$12&lt;&gt;"",N('Your debts'!$C$12)&gt;0))),"",IF('Your debts'!$D$20="Avalanche",'Avalanche workings'!$R$369,'Snowball workings'!$R$369)+IF('Your debts'!$D$20="Avalanche",'Avalanche workings'!$AL$369,'Snowball workings'!$AL$369))</f>
      </c>
      <c r="S367" s="30">
        <f>IF(OR(362&gt;$Z$1,NOT(OR('Your debts'!$B$12&lt;&gt;"",N('Your debts'!$C$12)&gt;0))),"",IF('Your debts'!$D$20="Avalanche",'Avalanche workings'!$AV$369,'Snowball workings'!$AV$369))</f>
      </c>
      <c r="T367" s="29">
        <f>IF(OR(362&gt;$Z$1,NOT(OR('Your debts'!$B$13&lt;&gt;"",N('Your debts'!$C$13)&gt;0))),"",IF('Your debts'!$D$20="Avalanche",'Avalanche workings'!$S$369,'Snowball workings'!$S$369)+IF('Your debts'!$D$20="Avalanche",'Avalanche workings'!$AM$369,'Snowball workings'!$AM$369))</f>
      </c>
      <c r="U367" s="30">
        <f>IF(OR(362&gt;$Z$1,NOT(OR('Your debts'!$B$13&lt;&gt;"",N('Your debts'!$C$13)&gt;0))),"",IF('Your debts'!$D$20="Avalanche",'Avalanche workings'!$AW$369,'Snowball workings'!$AW$369))</f>
      </c>
      <c r="V367" s="29">
        <f>IF(OR(362&gt;$Z$1,NOT(OR('Your debts'!$B$14&lt;&gt;"",N('Your debts'!$C$14)&gt;0))),"",IF('Your debts'!$D$20="Avalanche",'Avalanche workings'!$T$369,'Snowball workings'!$T$369)+IF('Your debts'!$D$20="Avalanche",'Avalanche workings'!$AN$369,'Snowball workings'!$AN$369))</f>
      </c>
      <c r="W367" s="30">
        <f>IF(OR(362&gt;$Z$1,NOT(OR('Your debts'!$B$14&lt;&gt;"",N('Your debts'!$C$14)&gt;0))),"",IF('Your debts'!$D$20="Avalanche",'Avalanche workings'!$AX$369,'Snowball workings'!$AX$369))</f>
      </c>
      <c r="X367" s="29">
        <f>IF(OR(362&gt;$Z$1,NOT(OR('Your debts'!$B$15&lt;&gt;"",N('Your debts'!$C$15)&gt;0))),"",IF('Your debts'!$D$20="Avalanche",'Avalanche workings'!$U$369,'Snowball workings'!$U$369)+IF('Your debts'!$D$20="Avalanche",'Avalanche workings'!$AO$369,'Snowball workings'!$AO$369))</f>
      </c>
      <c r="Y367" s="30">
        <f>IF(OR(362&gt;$Z$1,NOT(OR('Your debts'!$B$15&lt;&gt;"",N('Your debts'!$C$15)&gt;0))),"",IF('Your debts'!$D$20="Avalanche",'Avalanche workings'!$AY$369,'Snowball workings'!$AY$369))</f>
      </c>
    </row>
    <row r="368" spans="1:25" x14ac:dyDescent="0.25">
      <c r="A368" s="2">
        <f>IF(363&gt;$Z$1,"",363)</f>
      </c>
      <c r="B368" s="28">
        <f>IF(363&gt;$Z$1,"",EDATE('Your debts'!$D$21,362))</f>
      </c>
      <c r="C368" s="29">
        <f>IF(363&gt;$Z$1,"",IF('Your debts'!$D$20="Avalanche",'Avalanche workings'!$BC$370,'Snowball workings'!$BC$370))</f>
      </c>
      <c r="D368" s="29">
        <f>IF(363&gt;$Z$1,"",IF('Your debts'!$D$20="Avalanche",'Avalanche workings'!$BA$370,'Snowball workings'!$BA$370))</f>
      </c>
      <c r="E368" s="29">
        <f>IF(363&gt;$Z$1,"",IF('Your debts'!$D$20="Avalanche",'Avalanche workings'!$BB$370,'Snowball workings'!$BB$370))</f>
      </c>
      <c r="F368" s="29">
        <f>IF(OR(363&gt;$Z$1,NOT(OR('Your debts'!$B$6&lt;&gt;"",N('Your debts'!$C$6)&gt;0))),"",IF('Your debts'!$D$20="Avalanche",'Avalanche workings'!$L$370,'Snowball workings'!$L$370)+IF('Your debts'!$D$20="Avalanche",'Avalanche workings'!$AF$370,'Snowball workings'!$AF$370))</f>
      </c>
      <c r="G368" s="30">
        <f>IF(OR(363&gt;$Z$1,NOT(OR('Your debts'!$B$6&lt;&gt;"",N('Your debts'!$C$6)&gt;0))),"",IF('Your debts'!$D$20="Avalanche",'Avalanche workings'!$AP$370,'Snowball workings'!$AP$370))</f>
      </c>
      <c r="H368" s="29">
        <f>IF(OR(363&gt;$Z$1,NOT(OR('Your debts'!$B$7&lt;&gt;"",N('Your debts'!$C$7)&gt;0))),"",IF('Your debts'!$D$20="Avalanche",'Avalanche workings'!$M$370,'Snowball workings'!$M$370)+IF('Your debts'!$D$20="Avalanche",'Avalanche workings'!$AG$370,'Snowball workings'!$AG$370))</f>
      </c>
      <c r="I368" s="30">
        <f>IF(OR(363&gt;$Z$1,NOT(OR('Your debts'!$B$7&lt;&gt;"",N('Your debts'!$C$7)&gt;0))),"",IF('Your debts'!$D$20="Avalanche",'Avalanche workings'!$AQ$370,'Snowball workings'!$AQ$370))</f>
      </c>
      <c r="J368" s="29">
        <f>IF(OR(363&gt;$Z$1,NOT(OR('Your debts'!$B$8&lt;&gt;"",N('Your debts'!$C$8)&gt;0))),"",IF('Your debts'!$D$20="Avalanche",'Avalanche workings'!$N$370,'Snowball workings'!$N$370)+IF('Your debts'!$D$20="Avalanche",'Avalanche workings'!$AH$370,'Snowball workings'!$AH$370))</f>
      </c>
      <c r="K368" s="30">
        <f>IF(OR(363&gt;$Z$1,NOT(OR('Your debts'!$B$8&lt;&gt;"",N('Your debts'!$C$8)&gt;0))),"",IF('Your debts'!$D$20="Avalanche",'Avalanche workings'!$AR$370,'Snowball workings'!$AR$370))</f>
      </c>
      <c r="L368" s="29">
        <f>IF(OR(363&gt;$Z$1,NOT(OR('Your debts'!$B$9&lt;&gt;"",N('Your debts'!$C$9)&gt;0))),"",IF('Your debts'!$D$20="Avalanche",'Avalanche workings'!$O$370,'Snowball workings'!$O$370)+IF('Your debts'!$D$20="Avalanche",'Avalanche workings'!$AI$370,'Snowball workings'!$AI$370))</f>
      </c>
      <c r="M368" s="30">
        <f>IF(OR(363&gt;$Z$1,NOT(OR('Your debts'!$B$9&lt;&gt;"",N('Your debts'!$C$9)&gt;0))),"",IF('Your debts'!$D$20="Avalanche",'Avalanche workings'!$AS$370,'Snowball workings'!$AS$370))</f>
      </c>
      <c r="N368" s="29">
        <f>IF(OR(363&gt;$Z$1,NOT(OR('Your debts'!$B$10&lt;&gt;"",N('Your debts'!$C$10)&gt;0))),"",IF('Your debts'!$D$20="Avalanche",'Avalanche workings'!$P$370,'Snowball workings'!$P$370)+IF('Your debts'!$D$20="Avalanche",'Avalanche workings'!$AJ$370,'Snowball workings'!$AJ$370))</f>
      </c>
      <c r="O368" s="30">
        <f>IF(OR(363&gt;$Z$1,NOT(OR('Your debts'!$B$10&lt;&gt;"",N('Your debts'!$C$10)&gt;0))),"",IF('Your debts'!$D$20="Avalanche",'Avalanche workings'!$AT$370,'Snowball workings'!$AT$370))</f>
      </c>
      <c r="P368" s="29">
        <f>IF(OR(363&gt;$Z$1,NOT(OR('Your debts'!$B$11&lt;&gt;"",N('Your debts'!$C$11)&gt;0))),"",IF('Your debts'!$D$20="Avalanche",'Avalanche workings'!$Q$370,'Snowball workings'!$Q$370)+IF('Your debts'!$D$20="Avalanche",'Avalanche workings'!$AK$370,'Snowball workings'!$AK$370))</f>
      </c>
      <c r="Q368" s="30">
        <f>IF(OR(363&gt;$Z$1,NOT(OR('Your debts'!$B$11&lt;&gt;"",N('Your debts'!$C$11)&gt;0))),"",IF('Your debts'!$D$20="Avalanche",'Avalanche workings'!$AU$370,'Snowball workings'!$AU$370))</f>
      </c>
      <c r="R368" s="29">
        <f>IF(OR(363&gt;$Z$1,NOT(OR('Your debts'!$B$12&lt;&gt;"",N('Your debts'!$C$12)&gt;0))),"",IF('Your debts'!$D$20="Avalanche",'Avalanche workings'!$R$370,'Snowball workings'!$R$370)+IF('Your debts'!$D$20="Avalanche",'Avalanche workings'!$AL$370,'Snowball workings'!$AL$370))</f>
      </c>
      <c r="S368" s="30">
        <f>IF(OR(363&gt;$Z$1,NOT(OR('Your debts'!$B$12&lt;&gt;"",N('Your debts'!$C$12)&gt;0))),"",IF('Your debts'!$D$20="Avalanche",'Avalanche workings'!$AV$370,'Snowball workings'!$AV$370))</f>
      </c>
      <c r="T368" s="29">
        <f>IF(OR(363&gt;$Z$1,NOT(OR('Your debts'!$B$13&lt;&gt;"",N('Your debts'!$C$13)&gt;0))),"",IF('Your debts'!$D$20="Avalanche",'Avalanche workings'!$S$370,'Snowball workings'!$S$370)+IF('Your debts'!$D$20="Avalanche",'Avalanche workings'!$AM$370,'Snowball workings'!$AM$370))</f>
      </c>
      <c r="U368" s="30">
        <f>IF(OR(363&gt;$Z$1,NOT(OR('Your debts'!$B$13&lt;&gt;"",N('Your debts'!$C$13)&gt;0))),"",IF('Your debts'!$D$20="Avalanche",'Avalanche workings'!$AW$370,'Snowball workings'!$AW$370))</f>
      </c>
      <c r="V368" s="29">
        <f>IF(OR(363&gt;$Z$1,NOT(OR('Your debts'!$B$14&lt;&gt;"",N('Your debts'!$C$14)&gt;0))),"",IF('Your debts'!$D$20="Avalanche",'Avalanche workings'!$T$370,'Snowball workings'!$T$370)+IF('Your debts'!$D$20="Avalanche",'Avalanche workings'!$AN$370,'Snowball workings'!$AN$370))</f>
      </c>
      <c r="W368" s="30">
        <f>IF(OR(363&gt;$Z$1,NOT(OR('Your debts'!$B$14&lt;&gt;"",N('Your debts'!$C$14)&gt;0))),"",IF('Your debts'!$D$20="Avalanche",'Avalanche workings'!$AX$370,'Snowball workings'!$AX$370))</f>
      </c>
      <c r="X368" s="29">
        <f>IF(OR(363&gt;$Z$1,NOT(OR('Your debts'!$B$15&lt;&gt;"",N('Your debts'!$C$15)&gt;0))),"",IF('Your debts'!$D$20="Avalanche",'Avalanche workings'!$U$370,'Snowball workings'!$U$370)+IF('Your debts'!$D$20="Avalanche",'Avalanche workings'!$AO$370,'Snowball workings'!$AO$370))</f>
      </c>
      <c r="Y368" s="30">
        <f>IF(OR(363&gt;$Z$1,NOT(OR('Your debts'!$B$15&lt;&gt;"",N('Your debts'!$C$15)&gt;0))),"",IF('Your debts'!$D$20="Avalanche",'Avalanche workings'!$AY$370,'Snowball workings'!$AY$370))</f>
      </c>
    </row>
    <row r="369" spans="1:25" x14ac:dyDescent="0.25">
      <c r="A369" s="2">
        <f>IF(364&gt;$Z$1,"",364)</f>
      </c>
      <c r="B369" s="28">
        <f>IF(364&gt;$Z$1,"",EDATE('Your debts'!$D$21,363))</f>
      </c>
      <c r="C369" s="29">
        <f>IF(364&gt;$Z$1,"",IF('Your debts'!$D$20="Avalanche",'Avalanche workings'!$BC$371,'Snowball workings'!$BC$371))</f>
      </c>
      <c r="D369" s="29">
        <f>IF(364&gt;$Z$1,"",IF('Your debts'!$D$20="Avalanche",'Avalanche workings'!$BA$371,'Snowball workings'!$BA$371))</f>
      </c>
      <c r="E369" s="29">
        <f>IF(364&gt;$Z$1,"",IF('Your debts'!$D$20="Avalanche",'Avalanche workings'!$BB$371,'Snowball workings'!$BB$371))</f>
      </c>
      <c r="F369" s="29">
        <f>IF(OR(364&gt;$Z$1,NOT(OR('Your debts'!$B$6&lt;&gt;"",N('Your debts'!$C$6)&gt;0))),"",IF('Your debts'!$D$20="Avalanche",'Avalanche workings'!$L$371,'Snowball workings'!$L$371)+IF('Your debts'!$D$20="Avalanche",'Avalanche workings'!$AF$371,'Snowball workings'!$AF$371))</f>
      </c>
      <c r="G369" s="30">
        <f>IF(OR(364&gt;$Z$1,NOT(OR('Your debts'!$B$6&lt;&gt;"",N('Your debts'!$C$6)&gt;0))),"",IF('Your debts'!$D$20="Avalanche",'Avalanche workings'!$AP$371,'Snowball workings'!$AP$371))</f>
      </c>
      <c r="H369" s="29">
        <f>IF(OR(364&gt;$Z$1,NOT(OR('Your debts'!$B$7&lt;&gt;"",N('Your debts'!$C$7)&gt;0))),"",IF('Your debts'!$D$20="Avalanche",'Avalanche workings'!$M$371,'Snowball workings'!$M$371)+IF('Your debts'!$D$20="Avalanche",'Avalanche workings'!$AG$371,'Snowball workings'!$AG$371))</f>
      </c>
      <c r="I369" s="30">
        <f>IF(OR(364&gt;$Z$1,NOT(OR('Your debts'!$B$7&lt;&gt;"",N('Your debts'!$C$7)&gt;0))),"",IF('Your debts'!$D$20="Avalanche",'Avalanche workings'!$AQ$371,'Snowball workings'!$AQ$371))</f>
      </c>
      <c r="J369" s="29">
        <f>IF(OR(364&gt;$Z$1,NOT(OR('Your debts'!$B$8&lt;&gt;"",N('Your debts'!$C$8)&gt;0))),"",IF('Your debts'!$D$20="Avalanche",'Avalanche workings'!$N$371,'Snowball workings'!$N$371)+IF('Your debts'!$D$20="Avalanche",'Avalanche workings'!$AH$371,'Snowball workings'!$AH$371))</f>
      </c>
      <c r="K369" s="30">
        <f>IF(OR(364&gt;$Z$1,NOT(OR('Your debts'!$B$8&lt;&gt;"",N('Your debts'!$C$8)&gt;0))),"",IF('Your debts'!$D$20="Avalanche",'Avalanche workings'!$AR$371,'Snowball workings'!$AR$371))</f>
      </c>
      <c r="L369" s="29">
        <f>IF(OR(364&gt;$Z$1,NOT(OR('Your debts'!$B$9&lt;&gt;"",N('Your debts'!$C$9)&gt;0))),"",IF('Your debts'!$D$20="Avalanche",'Avalanche workings'!$O$371,'Snowball workings'!$O$371)+IF('Your debts'!$D$20="Avalanche",'Avalanche workings'!$AI$371,'Snowball workings'!$AI$371))</f>
      </c>
      <c r="M369" s="30">
        <f>IF(OR(364&gt;$Z$1,NOT(OR('Your debts'!$B$9&lt;&gt;"",N('Your debts'!$C$9)&gt;0))),"",IF('Your debts'!$D$20="Avalanche",'Avalanche workings'!$AS$371,'Snowball workings'!$AS$371))</f>
      </c>
      <c r="N369" s="29">
        <f>IF(OR(364&gt;$Z$1,NOT(OR('Your debts'!$B$10&lt;&gt;"",N('Your debts'!$C$10)&gt;0))),"",IF('Your debts'!$D$20="Avalanche",'Avalanche workings'!$P$371,'Snowball workings'!$P$371)+IF('Your debts'!$D$20="Avalanche",'Avalanche workings'!$AJ$371,'Snowball workings'!$AJ$371))</f>
      </c>
      <c r="O369" s="30">
        <f>IF(OR(364&gt;$Z$1,NOT(OR('Your debts'!$B$10&lt;&gt;"",N('Your debts'!$C$10)&gt;0))),"",IF('Your debts'!$D$20="Avalanche",'Avalanche workings'!$AT$371,'Snowball workings'!$AT$371))</f>
      </c>
      <c r="P369" s="29">
        <f>IF(OR(364&gt;$Z$1,NOT(OR('Your debts'!$B$11&lt;&gt;"",N('Your debts'!$C$11)&gt;0))),"",IF('Your debts'!$D$20="Avalanche",'Avalanche workings'!$Q$371,'Snowball workings'!$Q$371)+IF('Your debts'!$D$20="Avalanche",'Avalanche workings'!$AK$371,'Snowball workings'!$AK$371))</f>
      </c>
      <c r="Q369" s="30">
        <f>IF(OR(364&gt;$Z$1,NOT(OR('Your debts'!$B$11&lt;&gt;"",N('Your debts'!$C$11)&gt;0))),"",IF('Your debts'!$D$20="Avalanche",'Avalanche workings'!$AU$371,'Snowball workings'!$AU$371))</f>
      </c>
      <c r="R369" s="29">
        <f>IF(OR(364&gt;$Z$1,NOT(OR('Your debts'!$B$12&lt;&gt;"",N('Your debts'!$C$12)&gt;0))),"",IF('Your debts'!$D$20="Avalanche",'Avalanche workings'!$R$371,'Snowball workings'!$R$371)+IF('Your debts'!$D$20="Avalanche",'Avalanche workings'!$AL$371,'Snowball workings'!$AL$371))</f>
      </c>
      <c r="S369" s="30">
        <f>IF(OR(364&gt;$Z$1,NOT(OR('Your debts'!$B$12&lt;&gt;"",N('Your debts'!$C$12)&gt;0))),"",IF('Your debts'!$D$20="Avalanche",'Avalanche workings'!$AV$371,'Snowball workings'!$AV$371))</f>
      </c>
      <c r="T369" s="29">
        <f>IF(OR(364&gt;$Z$1,NOT(OR('Your debts'!$B$13&lt;&gt;"",N('Your debts'!$C$13)&gt;0))),"",IF('Your debts'!$D$20="Avalanche",'Avalanche workings'!$S$371,'Snowball workings'!$S$371)+IF('Your debts'!$D$20="Avalanche",'Avalanche workings'!$AM$371,'Snowball workings'!$AM$371))</f>
      </c>
      <c r="U369" s="30">
        <f>IF(OR(364&gt;$Z$1,NOT(OR('Your debts'!$B$13&lt;&gt;"",N('Your debts'!$C$13)&gt;0))),"",IF('Your debts'!$D$20="Avalanche",'Avalanche workings'!$AW$371,'Snowball workings'!$AW$371))</f>
      </c>
      <c r="V369" s="29">
        <f>IF(OR(364&gt;$Z$1,NOT(OR('Your debts'!$B$14&lt;&gt;"",N('Your debts'!$C$14)&gt;0))),"",IF('Your debts'!$D$20="Avalanche",'Avalanche workings'!$T$371,'Snowball workings'!$T$371)+IF('Your debts'!$D$20="Avalanche",'Avalanche workings'!$AN$371,'Snowball workings'!$AN$371))</f>
      </c>
      <c r="W369" s="30">
        <f>IF(OR(364&gt;$Z$1,NOT(OR('Your debts'!$B$14&lt;&gt;"",N('Your debts'!$C$14)&gt;0))),"",IF('Your debts'!$D$20="Avalanche",'Avalanche workings'!$AX$371,'Snowball workings'!$AX$371))</f>
      </c>
      <c r="X369" s="29">
        <f>IF(OR(364&gt;$Z$1,NOT(OR('Your debts'!$B$15&lt;&gt;"",N('Your debts'!$C$15)&gt;0))),"",IF('Your debts'!$D$20="Avalanche",'Avalanche workings'!$U$371,'Snowball workings'!$U$371)+IF('Your debts'!$D$20="Avalanche",'Avalanche workings'!$AO$371,'Snowball workings'!$AO$371))</f>
      </c>
      <c r="Y369" s="30">
        <f>IF(OR(364&gt;$Z$1,NOT(OR('Your debts'!$B$15&lt;&gt;"",N('Your debts'!$C$15)&gt;0))),"",IF('Your debts'!$D$20="Avalanche",'Avalanche workings'!$AY$371,'Snowball workings'!$AY$371))</f>
      </c>
    </row>
    <row r="370" spans="1:25" x14ac:dyDescent="0.25">
      <c r="A370" s="2">
        <f>IF(365&gt;$Z$1,"",365)</f>
      </c>
      <c r="B370" s="28">
        <f>IF(365&gt;$Z$1,"",EDATE('Your debts'!$D$21,364))</f>
      </c>
      <c r="C370" s="29">
        <f>IF(365&gt;$Z$1,"",IF('Your debts'!$D$20="Avalanche",'Avalanche workings'!$BC$372,'Snowball workings'!$BC$372))</f>
      </c>
      <c r="D370" s="29">
        <f>IF(365&gt;$Z$1,"",IF('Your debts'!$D$20="Avalanche",'Avalanche workings'!$BA$372,'Snowball workings'!$BA$372))</f>
      </c>
      <c r="E370" s="29">
        <f>IF(365&gt;$Z$1,"",IF('Your debts'!$D$20="Avalanche",'Avalanche workings'!$BB$372,'Snowball workings'!$BB$372))</f>
      </c>
      <c r="F370" s="29">
        <f>IF(OR(365&gt;$Z$1,NOT(OR('Your debts'!$B$6&lt;&gt;"",N('Your debts'!$C$6)&gt;0))),"",IF('Your debts'!$D$20="Avalanche",'Avalanche workings'!$L$372,'Snowball workings'!$L$372)+IF('Your debts'!$D$20="Avalanche",'Avalanche workings'!$AF$372,'Snowball workings'!$AF$372))</f>
      </c>
      <c r="G370" s="30">
        <f>IF(OR(365&gt;$Z$1,NOT(OR('Your debts'!$B$6&lt;&gt;"",N('Your debts'!$C$6)&gt;0))),"",IF('Your debts'!$D$20="Avalanche",'Avalanche workings'!$AP$372,'Snowball workings'!$AP$372))</f>
      </c>
      <c r="H370" s="29">
        <f>IF(OR(365&gt;$Z$1,NOT(OR('Your debts'!$B$7&lt;&gt;"",N('Your debts'!$C$7)&gt;0))),"",IF('Your debts'!$D$20="Avalanche",'Avalanche workings'!$M$372,'Snowball workings'!$M$372)+IF('Your debts'!$D$20="Avalanche",'Avalanche workings'!$AG$372,'Snowball workings'!$AG$372))</f>
      </c>
      <c r="I370" s="30">
        <f>IF(OR(365&gt;$Z$1,NOT(OR('Your debts'!$B$7&lt;&gt;"",N('Your debts'!$C$7)&gt;0))),"",IF('Your debts'!$D$20="Avalanche",'Avalanche workings'!$AQ$372,'Snowball workings'!$AQ$372))</f>
      </c>
      <c r="J370" s="29">
        <f>IF(OR(365&gt;$Z$1,NOT(OR('Your debts'!$B$8&lt;&gt;"",N('Your debts'!$C$8)&gt;0))),"",IF('Your debts'!$D$20="Avalanche",'Avalanche workings'!$N$372,'Snowball workings'!$N$372)+IF('Your debts'!$D$20="Avalanche",'Avalanche workings'!$AH$372,'Snowball workings'!$AH$372))</f>
      </c>
      <c r="K370" s="30">
        <f>IF(OR(365&gt;$Z$1,NOT(OR('Your debts'!$B$8&lt;&gt;"",N('Your debts'!$C$8)&gt;0))),"",IF('Your debts'!$D$20="Avalanche",'Avalanche workings'!$AR$372,'Snowball workings'!$AR$372))</f>
      </c>
      <c r="L370" s="29">
        <f>IF(OR(365&gt;$Z$1,NOT(OR('Your debts'!$B$9&lt;&gt;"",N('Your debts'!$C$9)&gt;0))),"",IF('Your debts'!$D$20="Avalanche",'Avalanche workings'!$O$372,'Snowball workings'!$O$372)+IF('Your debts'!$D$20="Avalanche",'Avalanche workings'!$AI$372,'Snowball workings'!$AI$372))</f>
      </c>
      <c r="M370" s="30">
        <f>IF(OR(365&gt;$Z$1,NOT(OR('Your debts'!$B$9&lt;&gt;"",N('Your debts'!$C$9)&gt;0))),"",IF('Your debts'!$D$20="Avalanche",'Avalanche workings'!$AS$372,'Snowball workings'!$AS$372))</f>
      </c>
      <c r="N370" s="29">
        <f>IF(OR(365&gt;$Z$1,NOT(OR('Your debts'!$B$10&lt;&gt;"",N('Your debts'!$C$10)&gt;0))),"",IF('Your debts'!$D$20="Avalanche",'Avalanche workings'!$P$372,'Snowball workings'!$P$372)+IF('Your debts'!$D$20="Avalanche",'Avalanche workings'!$AJ$372,'Snowball workings'!$AJ$372))</f>
      </c>
      <c r="O370" s="30">
        <f>IF(OR(365&gt;$Z$1,NOT(OR('Your debts'!$B$10&lt;&gt;"",N('Your debts'!$C$10)&gt;0))),"",IF('Your debts'!$D$20="Avalanche",'Avalanche workings'!$AT$372,'Snowball workings'!$AT$372))</f>
      </c>
      <c r="P370" s="29">
        <f>IF(OR(365&gt;$Z$1,NOT(OR('Your debts'!$B$11&lt;&gt;"",N('Your debts'!$C$11)&gt;0))),"",IF('Your debts'!$D$20="Avalanche",'Avalanche workings'!$Q$372,'Snowball workings'!$Q$372)+IF('Your debts'!$D$20="Avalanche",'Avalanche workings'!$AK$372,'Snowball workings'!$AK$372))</f>
      </c>
      <c r="Q370" s="30">
        <f>IF(OR(365&gt;$Z$1,NOT(OR('Your debts'!$B$11&lt;&gt;"",N('Your debts'!$C$11)&gt;0))),"",IF('Your debts'!$D$20="Avalanche",'Avalanche workings'!$AU$372,'Snowball workings'!$AU$372))</f>
      </c>
      <c r="R370" s="29">
        <f>IF(OR(365&gt;$Z$1,NOT(OR('Your debts'!$B$12&lt;&gt;"",N('Your debts'!$C$12)&gt;0))),"",IF('Your debts'!$D$20="Avalanche",'Avalanche workings'!$R$372,'Snowball workings'!$R$372)+IF('Your debts'!$D$20="Avalanche",'Avalanche workings'!$AL$372,'Snowball workings'!$AL$372))</f>
      </c>
      <c r="S370" s="30">
        <f>IF(OR(365&gt;$Z$1,NOT(OR('Your debts'!$B$12&lt;&gt;"",N('Your debts'!$C$12)&gt;0))),"",IF('Your debts'!$D$20="Avalanche",'Avalanche workings'!$AV$372,'Snowball workings'!$AV$372))</f>
      </c>
      <c r="T370" s="29">
        <f>IF(OR(365&gt;$Z$1,NOT(OR('Your debts'!$B$13&lt;&gt;"",N('Your debts'!$C$13)&gt;0))),"",IF('Your debts'!$D$20="Avalanche",'Avalanche workings'!$S$372,'Snowball workings'!$S$372)+IF('Your debts'!$D$20="Avalanche",'Avalanche workings'!$AM$372,'Snowball workings'!$AM$372))</f>
      </c>
      <c r="U370" s="30">
        <f>IF(OR(365&gt;$Z$1,NOT(OR('Your debts'!$B$13&lt;&gt;"",N('Your debts'!$C$13)&gt;0))),"",IF('Your debts'!$D$20="Avalanche",'Avalanche workings'!$AW$372,'Snowball workings'!$AW$372))</f>
      </c>
      <c r="V370" s="29">
        <f>IF(OR(365&gt;$Z$1,NOT(OR('Your debts'!$B$14&lt;&gt;"",N('Your debts'!$C$14)&gt;0))),"",IF('Your debts'!$D$20="Avalanche",'Avalanche workings'!$T$372,'Snowball workings'!$T$372)+IF('Your debts'!$D$20="Avalanche",'Avalanche workings'!$AN$372,'Snowball workings'!$AN$372))</f>
      </c>
      <c r="W370" s="30">
        <f>IF(OR(365&gt;$Z$1,NOT(OR('Your debts'!$B$14&lt;&gt;"",N('Your debts'!$C$14)&gt;0))),"",IF('Your debts'!$D$20="Avalanche",'Avalanche workings'!$AX$372,'Snowball workings'!$AX$372))</f>
      </c>
      <c r="X370" s="29">
        <f>IF(OR(365&gt;$Z$1,NOT(OR('Your debts'!$B$15&lt;&gt;"",N('Your debts'!$C$15)&gt;0))),"",IF('Your debts'!$D$20="Avalanche",'Avalanche workings'!$U$372,'Snowball workings'!$U$372)+IF('Your debts'!$D$20="Avalanche",'Avalanche workings'!$AO$372,'Snowball workings'!$AO$372))</f>
      </c>
      <c r="Y370" s="30">
        <f>IF(OR(365&gt;$Z$1,NOT(OR('Your debts'!$B$15&lt;&gt;"",N('Your debts'!$C$15)&gt;0))),"",IF('Your debts'!$D$20="Avalanche",'Avalanche workings'!$AY$372,'Snowball workings'!$AY$372))</f>
      </c>
    </row>
    <row r="371" spans="1:25" x14ac:dyDescent="0.25">
      <c r="A371" s="2">
        <f>IF(366&gt;$Z$1,"",366)</f>
      </c>
      <c r="B371" s="28">
        <f>IF(366&gt;$Z$1,"",EDATE('Your debts'!$D$21,365))</f>
      </c>
      <c r="C371" s="29">
        <f>IF(366&gt;$Z$1,"",IF('Your debts'!$D$20="Avalanche",'Avalanche workings'!$BC$373,'Snowball workings'!$BC$373))</f>
      </c>
      <c r="D371" s="29">
        <f>IF(366&gt;$Z$1,"",IF('Your debts'!$D$20="Avalanche",'Avalanche workings'!$BA$373,'Snowball workings'!$BA$373))</f>
      </c>
      <c r="E371" s="29">
        <f>IF(366&gt;$Z$1,"",IF('Your debts'!$D$20="Avalanche",'Avalanche workings'!$BB$373,'Snowball workings'!$BB$373))</f>
      </c>
      <c r="F371" s="29">
        <f>IF(OR(366&gt;$Z$1,NOT(OR('Your debts'!$B$6&lt;&gt;"",N('Your debts'!$C$6)&gt;0))),"",IF('Your debts'!$D$20="Avalanche",'Avalanche workings'!$L$373,'Snowball workings'!$L$373)+IF('Your debts'!$D$20="Avalanche",'Avalanche workings'!$AF$373,'Snowball workings'!$AF$373))</f>
      </c>
      <c r="G371" s="30">
        <f>IF(OR(366&gt;$Z$1,NOT(OR('Your debts'!$B$6&lt;&gt;"",N('Your debts'!$C$6)&gt;0))),"",IF('Your debts'!$D$20="Avalanche",'Avalanche workings'!$AP$373,'Snowball workings'!$AP$373))</f>
      </c>
      <c r="H371" s="29">
        <f>IF(OR(366&gt;$Z$1,NOT(OR('Your debts'!$B$7&lt;&gt;"",N('Your debts'!$C$7)&gt;0))),"",IF('Your debts'!$D$20="Avalanche",'Avalanche workings'!$M$373,'Snowball workings'!$M$373)+IF('Your debts'!$D$20="Avalanche",'Avalanche workings'!$AG$373,'Snowball workings'!$AG$373))</f>
      </c>
      <c r="I371" s="30">
        <f>IF(OR(366&gt;$Z$1,NOT(OR('Your debts'!$B$7&lt;&gt;"",N('Your debts'!$C$7)&gt;0))),"",IF('Your debts'!$D$20="Avalanche",'Avalanche workings'!$AQ$373,'Snowball workings'!$AQ$373))</f>
      </c>
      <c r="J371" s="29">
        <f>IF(OR(366&gt;$Z$1,NOT(OR('Your debts'!$B$8&lt;&gt;"",N('Your debts'!$C$8)&gt;0))),"",IF('Your debts'!$D$20="Avalanche",'Avalanche workings'!$N$373,'Snowball workings'!$N$373)+IF('Your debts'!$D$20="Avalanche",'Avalanche workings'!$AH$373,'Snowball workings'!$AH$373))</f>
      </c>
      <c r="K371" s="30">
        <f>IF(OR(366&gt;$Z$1,NOT(OR('Your debts'!$B$8&lt;&gt;"",N('Your debts'!$C$8)&gt;0))),"",IF('Your debts'!$D$20="Avalanche",'Avalanche workings'!$AR$373,'Snowball workings'!$AR$373))</f>
      </c>
      <c r="L371" s="29">
        <f>IF(OR(366&gt;$Z$1,NOT(OR('Your debts'!$B$9&lt;&gt;"",N('Your debts'!$C$9)&gt;0))),"",IF('Your debts'!$D$20="Avalanche",'Avalanche workings'!$O$373,'Snowball workings'!$O$373)+IF('Your debts'!$D$20="Avalanche",'Avalanche workings'!$AI$373,'Snowball workings'!$AI$373))</f>
      </c>
      <c r="M371" s="30">
        <f>IF(OR(366&gt;$Z$1,NOT(OR('Your debts'!$B$9&lt;&gt;"",N('Your debts'!$C$9)&gt;0))),"",IF('Your debts'!$D$20="Avalanche",'Avalanche workings'!$AS$373,'Snowball workings'!$AS$373))</f>
      </c>
      <c r="N371" s="29">
        <f>IF(OR(366&gt;$Z$1,NOT(OR('Your debts'!$B$10&lt;&gt;"",N('Your debts'!$C$10)&gt;0))),"",IF('Your debts'!$D$20="Avalanche",'Avalanche workings'!$P$373,'Snowball workings'!$P$373)+IF('Your debts'!$D$20="Avalanche",'Avalanche workings'!$AJ$373,'Snowball workings'!$AJ$373))</f>
      </c>
      <c r="O371" s="30">
        <f>IF(OR(366&gt;$Z$1,NOT(OR('Your debts'!$B$10&lt;&gt;"",N('Your debts'!$C$10)&gt;0))),"",IF('Your debts'!$D$20="Avalanche",'Avalanche workings'!$AT$373,'Snowball workings'!$AT$373))</f>
      </c>
      <c r="P371" s="29">
        <f>IF(OR(366&gt;$Z$1,NOT(OR('Your debts'!$B$11&lt;&gt;"",N('Your debts'!$C$11)&gt;0))),"",IF('Your debts'!$D$20="Avalanche",'Avalanche workings'!$Q$373,'Snowball workings'!$Q$373)+IF('Your debts'!$D$20="Avalanche",'Avalanche workings'!$AK$373,'Snowball workings'!$AK$373))</f>
      </c>
      <c r="Q371" s="30">
        <f>IF(OR(366&gt;$Z$1,NOT(OR('Your debts'!$B$11&lt;&gt;"",N('Your debts'!$C$11)&gt;0))),"",IF('Your debts'!$D$20="Avalanche",'Avalanche workings'!$AU$373,'Snowball workings'!$AU$373))</f>
      </c>
      <c r="R371" s="29">
        <f>IF(OR(366&gt;$Z$1,NOT(OR('Your debts'!$B$12&lt;&gt;"",N('Your debts'!$C$12)&gt;0))),"",IF('Your debts'!$D$20="Avalanche",'Avalanche workings'!$R$373,'Snowball workings'!$R$373)+IF('Your debts'!$D$20="Avalanche",'Avalanche workings'!$AL$373,'Snowball workings'!$AL$373))</f>
      </c>
      <c r="S371" s="30">
        <f>IF(OR(366&gt;$Z$1,NOT(OR('Your debts'!$B$12&lt;&gt;"",N('Your debts'!$C$12)&gt;0))),"",IF('Your debts'!$D$20="Avalanche",'Avalanche workings'!$AV$373,'Snowball workings'!$AV$373))</f>
      </c>
      <c r="T371" s="29">
        <f>IF(OR(366&gt;$Z$1,NOT(OR('Your debts'!$B$13&lt;&gt;"",N('Your debts'!$C$13)&gt;0))),"",IF('Your debts'!$D$20="Avalanche",'Avalanche workings'!$S$373,'Snowball workings'!$S$373)+IF('Your debts'!$D$20="Avalanche",'Avalanche workings'!$AM$373,'Snowball workings'!$AM$373))</f>
      </c>
      <c r="U371" s="30">
        <f>IF(OR(366&gt;$Z$1,NOT(OR('Your debts'!$B$13&lt;&gt;"",N('Your debts'!$C$13)&gt;0))),"",IF('Your debts'!$D$20="Avalanche",'Avalanche workings'!$AW$373,'Snowball workings'!$AW$373))</f>
      </c>
      <c r="V371" s="29">
        <f>IF(OR(366&gt;$Z$1,NOT(OR('Your debts'!$B$14&lt;&gt;"",N('Your debts'!$C$14)&gt;0))),"",IF('Your debts'!$D$20="Avalanche",'Avalanche workings'!$T$373,'Snowball workings'!$T$373)+IF('Your debts'!$D$20="Avalanche",'Avalanche workings'!$AN$373,'Snowball workings'!$AN$373))</f>
      </c>
      <c r="W371" s="30">
        <f>IF(OR(366&gt;$Z$1,NOT(OR('Your debts'!$B$14&lt;&gt;"",N('Your debts'!$C$14)&gt;0))),"",IF('Your debts'!$D$20="Avalanche",'Avalanche workings'!$AX$373,'Snowball workings'!$AX$373))</f>
      </c>
      <c r="X371" s="29">
        <f>IF(OR(366&gt;$Z$1,NOT(OR('Your debts'!$B$15&lt;&gt;"",N('Your debts'!$C$15)&gt;0))),"",IF('Your debts'!$D$20="Avalanche",'Avalanche workings'!$U$373,'Snowball workings'!$U$373)+IF('Your debts'!$D$20="Avalanche",'Avalanche workings'!$AO$373,'Snowball workings'!$AO$373))</f>
      </c>
      <c r="Y371" s="30">
        <f>IF(OR(366&gt;$Z$1,NOT(OR('Your debts'!$B$15&lt;&gt;"",N('Your debts'!$C$15)&gt;0))),"",IF('Your debts'!$D$20="Avalanche",'Avalanche workings'!$AY$373,'Snowball workings'!$AY$373))</f>
      </c>
    </row>
    <row r="372" spans="1:25" x14ac:dyDescent="0.25">
      <c r="A372" s="2">
        <f>IF(367&gt;$Z$1,"",367)</f>
      </c>
      <c r="B372" s="28">
        <f>IF(367&gt;$Z$1,"",EDATE('Your debts'!$D$21,366))</f>
      </c>
      <c r="C372" s="29">
        <f>IF(367&gt;$Z$1,"",IF('Your debts'!$D$20="Avalanche",'Avalanche workings'!$BC$374,'Snowball workings'!$BC$374))</f>
      </c>
      <c r="D372" s="29">
        <f>IF(367&gt;$Z$1,"",IF('Your debts'!$D$20="Avalanche",'Avalanche workings'!$BA$374,'Snowball workings'!$BA$374))</f>
      </c>
      <c r="E372" s="29">
        <f>IF(367&gt;$Z$1,"",IF('Your debts'!$D$20="Avalanche",'Avalanche workings'!$BB$374,'Snowball workings'!$BB$374))</f>
      </c>
      <c r="F372" s="29">
        <f>IF(OR(367&gt;$Z$1,NOT(OR('Your debts'!$B$6&lt;&gt;"",N('Your debts'!$C$6)&gt;0))),"",IF('Your debts'!$D$20="Avalanche",'Avalanche workings'!$L$374,'Snowball workings'!$L$374)+IF('Your debts'!$D$20="Avalanche",'Avalanche workings'!$AF$374,'Snowball workings'!$AF$374))</f>
      </c>
      <c r="G372" s="30">
        <f>IF(OR(367&gt;$Z$1,NOT(OR('Your debts'!$B$6&lt;&gt;"",N('Your debts'!$C$6)&gt;0))),"",IF('Your debts'!$D$20="Avalanche",'Avalanche workings'!$AP$374,'Snowball workings'!$AP$374))</f>
      </c>
      <c r="H372" s="29">
        <f>IF(OR(367&gt;$Z$1,NOT(OR('Your debts'!$B$7&lt;&gt;"",N('Your debts'!$C$7)&gt;0))),"",IF('Your debts'!$D$20="Avalanche",'Avalanche workings'!$M$374,'Snowball workings'!$M$374)+IF('Your debts'!$D$20="Avalanche",'Avalanche workings'!$AG$374,'Snowball workings'!$AG$374))</f>
      </c>
      <c r="I372" s="30">
        <f>IF(OR(367&gt;$Z$1,NOT(OR('Your debts'!$B$7&lt;&gt;"",N('Your debts'!$C$7)&gt;0))),"",IF('Your debts'!$D$20="Avalanche",'Avalanche workings'!$AQ$374,'Snowball workings'!$AQ$374))</f>
      </c>
      <c r="J372" s="29">
        <f>IF(OR(367&gt;$Z$1,NOT(OR('Your debts'!$B$8&lt;&gt;"",N('Your debts'!$C$8)&gt;0))),"",IF('Your debts'!$D$20="Avalanche",'Avalanche workings'!$N$374,'Snowball workings'!$N$374)+IF('Your debts'!$D$20="Avalanche",'Avalanche workings'!$AH$374,'Snowball workings'!$AH$374))</f>
      </c>
      <c r="K372" s="30">
        <f>IF(OR(367&gt;$Z$1,NOT(OR('Your debts'!$B$8&lt;&gt;"",N('Your debts'!$C$8)&gt;0))),"",IF('Your debts'!$D$20="Avalanche",'Avalanche workings'!$AR$374,'Snowball workings'!$AR$374))</f>
      </c>
      <c r="L372" s="29">
        <f>IF(OR(367&gt;$Z$1,NOT(OR('Your debts'!$B$9&lt;&gt;"",N('Your debts'!$C$9)&gt;0))),"",IF('Your debts'!$D$20="Avalanche",'Avalanche workings'!$O$374,'Snowball workings'!$O$374)+IF('Your debts'!$D$20="Avalanche",'Avalanche workings'!$AI$374,'Snowball workings'!$AI$374))</f>
      </c>
      <c r="M372" s="30">
        <f>IF(OR(367&gt;$Z$1,NOT(OR('Your debts'!$B$9&lt;&gt;"",N('Your debts'!$C$9)&gt;0))),"",IF('Your debts'!$D$20="Avalanche",'Avalanche workings'!$AS$374,'Snowball workings'!$AS$374))</f>
      </c>
      <c r="N372" s="29">
        <f>IF(OR(367&gt;$Z$1,NOT(OR('Your debts'!$B$10&lt;&gt;"",N('Your debts'!$C$10)&gt;0))),"",IF('Your debts'!$D$20="Avalanche",'Avalanche workings'!$P$374,'Snowball workings'!$P$374)+IF('Your debts'!$D$20="Avalanche",'Avalanche workings'!$AJ$374,'Snowball workings'!$AJ$374))</f>
      </c>
      <c r="O372" s="30">
        <f>IF(OR(367&gt;$Z$1,NOT(OR('Your debts'!$B$10&lt;&gt;"",N('Your debts'!$C$10)&gt;0))),"",IF('Your debts'!$D$20="Avalanche",'Avalanche workings'!$AT$374,'Snowball workings'!$AT$374))</f>
      </c>
      <c r="P372" s="29">
        <f>IF(OR(367&gt;$Z$1,NOT(OR('Your debts'!$B$11&lt;&gt;"",N('Your debts'!$C$11)&gt;0))),"",IF('Your debts'!$D$20="Avalanche",'Avalanche workings'!$Q$374,'Snowball workings'!$Q$374)+IF('Your debts'!$D$20="Avalanche",'Avalanche workings'!$AK$374,'Snowball workings'!$AK$374))</f>
      </c>
      <c r="Q372" s="30">
        <f>IF(OR(367&gt;$Z$1,NOT(OR('Your debts'!$B$11&lt;&gt;"",N('Your debts'!$C$11)&gt;0))),"",IF('Your debts'!$D$20="Avalanche",'Avalanche workings'!$AU$374,'Snowball workings'!$AU$374))</f>
      </c>
      <c r="R372" s="29">
        <f>IF(OR(367&gt;$Z$1,NOT(OR('Your debts'!$B$12&lt;&gt;"",N('Your debts'!$C$12)&gt;0))),"",IF('Your debts'!$D$20="Avalanche",'Avalanche workings'!$R$374,'Snowball workings'!$R$374)+IF('Your debts'!$D$20="Avalanche",'Avalanche workings'!$AL$374,'Snowball workings'!$AL$374))</f>
      </c>
      <c r="S372" s="30">
        <f>IF(OR(367&gt;$Z$1,NOT(OR('Your debts'!$B$12&lt;&gt;"",N('Your debts'!$C$12)&gt;0))),"",IF('Your debts'!$D$20="Avalanche",'Avalanche workings'!$AV$374,'Snowball workings'!$AV$374))</f>
      </c>
      <c r="T372" s="29">
        <f>IF(OR(367&gt;$Z$1,NOT(OR('Your debts'!$B$13&lt;&gt;"",N('Your debts'!$C$13)&gt;0))),"",IF('Your debts'!$D$20="Avalanche",'Avalanche workings'!$S$374,'Snowball workings'!$S$374)+IF('Your debts'!$D$20="Avalanche",'Avalanche workings'!$AM$374,'Snowball workings'!$AM$374))</f>
      </c>
      <c r="U372" s="30">
        <f>IF(OR(367&gt;$Z$1,NOT(OR('Your debts'!$B$13&lt;&gt;"",N('Your debts'!$C$13)&gt;0))),"",IF('Your debts'!$D$20="Avalanche",'Avalanche workings'!$AW$374,'Snowball workings'!$AW$374))</f>
      </c>
      <c r="V372" s="29">
        <f>IF(OR(367&gt;$Z$1,NOT(OR('Your debts'!$B$14&lt;&gt;"",N('Your debts'!$C$14)&gt;0))),"",IF('Your debts'!$D$20="Avalanche",'Avalanche workings'!$T$374,'Snowball workings'!$T$374)+IF('Your debts'!$D$20="Avalanche",'Avalanche workings'!$AN$374,'Snowball workings'!$AN$374))</f>
      </c>
      <c r="W372" s="30">
        <f>IF(OR(367&gt;$Z$1,NOT(OR('Your debts'!$B$14&lt;&gt;"",N('Your debts'!$C$14)&gt;0))),"",IF('Your debts'!$D$20="Avalanche",'Avalanche workings'!$AX$374,'Snowball workings'!$AX$374))</f>
      </c>
      <c r="X372" s="29">
        <f>IF(OR(367&gt;$Z$1,NOT(OR('Your debts'!$B$15&lt;&gt;"",N('Your debts'!$C$15)&gt;0))),"",IF('Your debts'!$D$20="Avalanche",'Avalanche workings'!$U$374,'Snowball workings'!$U$374)+IF('Your debts'!$D$20="Avalanche",'Avalanche workings'!$AO$374,'Snowball workings'!$AO$374))</f>
      </c>
      <c r="Y372" s="30">
        <f>IF(OR(367&gt;$Z$1,NOT(OR('Your debts'!$B$15&lt;&gt;"",N('Your debts'!$C$15)&gt;0))),"",IF('Your debts'!$D$20="Avalanche",'Avalanche workings'!$AY$374,'Snowball workings'!$AY$374))</f>
      </c>
    </row>
    <row r="373" spans="1:25" x14ac:dyDescent="0.25">
      <c r="A373" s="2">
        <f>IF(368&gt;$Z$1,"",368)</f>
      </c>
      <c r="B373" s="28">
        <f>IF(368&gt;$Z$1,"",EDATE('Your debts'!$D$21,367))</f>
      </c>
      <c r="C373" s="29">
        <f>IF(368&gt;$Z$1,"",IF('Your debts'!$D$20="Avalanche",'Avalanche workings'!$BC$375,'Snowball workings'!$BC$375))</f>
      </c>
      <c r="D373" s="29">
        <f>IF(368&gt;$Z$1,"",IF('Your debts'!$D$20="Avalanche",'Avalanche workings'!$BA$375,'Snowball workings'!$BA$375))</f>
      </c>
      <c r="E373" s="29">
        <f>IF(368&gt;$Z$1,"",IF('Your debts'!$D$20="Avalanche",'Avalanche workings'!$BB$375,'Snowball workings'!$BB$375))</f>
      </c>
      <c r="F373" s="29">
        <f>IF(OR(368&gt;$Z$1,NOT(OR('Your debts'!$B$6&lt;&gt;"",N('Your debts'!$C$6)&gt;0))),"",IF('Your debts'!$D$20="Avalanche",'Avalanche workings'!$L$375,'Snowball workings'!$L$375)+IF('Your debts'!$D$20="Avalanche",'Avalanche workings'!$AF$375,'Snowball workings'!$AF$375))</f>
      </c>
      <c r="G373" s="30">
        <f>IF(OR(368&gt;$Z$1,NOT(OR('Your debts'!$B$6&lt;&gt;"",N('Your debts'!$C$6)&gt;0))),"",IF('Your debts'!$D$20="Avalanche",'Avalanche workings'!$AP$375,'Snowball workings'!$AP$375))</f>
      </c>
      <c r="H373" s="29">
        <f>IF(OR(368&gt;$Z$1,NOT(OR('Your debts'!$B$7&lt;&gt;"",N('Your debts'!$C$7)&gt;0))),"",IF('Your debts'!$D$20="Avalanche",'Avalanche workings'!$M$375,'Snowball workings'!$M$375)+IF('Your debts'!$D$20="Avalanche",'Avalanche workings'!$AG$375,'Snowball workings'!$AG$375))</f>
      </c>
      <c r="I373" s="30">
        <f>IF(OR(368&gt;$Z$1,NOT(OR('Your debts'!$B$7&lt;&gt;"",N('Your debts'!$C$7)&gt;0))),"",IF('Your debts'!$D$20="Avalanche",'Avalanche workings'!$AQ$375,'Snowball workings'!$AQ$375))</f>
      </c>
      <c r="J373" s="29">
        <f>IF(OR(368&gt;$Z$1,NOT(OR('Your debts'!$B$8&lt;&gt;"",N('Your debts'!$C$8)&gt;0))),"",IF('Your debts'!$D$20="Avalanche",'Avalanche workings'!$N$375,'Snowball workings'!$N$375)+IF('Your debts'!$D$20="Avalanche",'Avalanche workings'!$AH$375,'Snowball workings'!$AH$375))</f>
      </c>
      <c r="K373" s="30">
        <f>IF(OR(368&gt;$Z$1,NOT(OR('Your debts'!$B$8&lt;&gt;"",N('Your debts'!$C$8)&gt;0))),"",IF('Your debts'!$D$20="Avalanche",'Avalanche workings'!$AR$375,'Snowball workings'!$AR$375))</f>
      </c>
      <c r="L373" s="29">
        <f>IF(OR(368&gt;$Z$1,NOT(OR('Your debts'!$B$9&lt;&gt;"",N('Your debts'!$C$9)&gt;0))),"",IF('Your debts'!$D$20="Avalanche",'Avalanche workings'!$O$375,'Snowball workings'!$O$375)+IF('Your debts'!$D$20="Avalanche",'Avalanche workings'!$AI$375,'Snowball workings'!$AI$375))</f>
      </c>
      <c r="M373" s="30">
        <f>IF(OR(368&gt;$Z$1,NOT(OR('Your debts'!$B$9&lt;&gt;"",N('Your debts'!$C$9)&gt;0))),"",IF('Your debts'!$D$20="Avalanche",'Avalanche workings'!$AS$375,'Snowball workings'!$AS$375))</f>
      </c>
      <c r="N373" s="29">
        <f>IF(OR(368&gt;$Z$1,NOT(OR('Your debts'!$B$10&lt;&gt;"",N('Your debts'!$C$10)&gt;0))),"",IF('Your debts'!$D$20="Avalanche",'Avalanche workings'!$P$375,'Snowball workings'!$P$375)+IF('Your debts'!$D$20="Avalanche",'Avalanche workings'!$AJ$375,'Snowball workings'!$AJ$375))</f>
      </c>
      <c r="O373" s="30">
        <f>IF(OR(368&gt;$Z$1,NOT(OR('Your debts'!$B$10&lt;&gt;"",N('Your debts'!$C$10)&gt;0))),"",IF('Your debts'!$D$20="Avalanche",'Avalanche workings'!$AT$375,'Snowball workings'!$AT$375))</f>
      </c>
      <c r="P373" s="29">
        <f>IF(OR(368&gt;$Z$1,NOT(OR('Your debts'!$B$11&lt;&gt;"",N('Your debts'!$C$11)&gt;0))),"",IF('Your debts'!$D$20="Avalanche",'Avalanche workings'!$Q$375,'Snowball workings'!$Q$375)+IF('Your debts'!$D$20="Avalanche",'Avalanche workings'!$AK$375,'Snowball workings'!$AK$375))</f>
      </c>
      <c r="Q373" s="30">
        <f>IF(OR(368&gt;$Z$1,NOT(OR('Your debts'!$B$11&lt;&gt;"",N('Your debts'!$C$11)&gt;0))),"",IF('Your debts'!$D$20="Avalanche",'Avalanche workings'!$AU$375,'Snowball workings'!$AU$375))</f>
      </c>
      <c r="R373" s="29">
        <f>IF(OR(368&gt;$Z$1,NOT(OR('Your debts'!$B$12&lt;&gt;"",N('Your debts'!$C$12)&gt;0))),"",IF('Your debts'!$D$20="Avalanche",'Avalanche workings'!$R$375,'Snowball workings'!$R$375)+IF('Your debts'!$D$20="Avalanche",'Avalanche workings'!$AL$375,'Snowball workings'!$AL$375))</f>
      </c>
      <c r="S373" s="30">
        <f>IF(OR(368&gt;$Z$1,NOT(OR('Your debts'!$B$12&lt;&gt;"",N('Your debts'!$C$12)&gt;0))),"",IF('Your debts'!$D$20="Avalanche",'Avalanche workings'!$AV$375,'Snowball workings'!$AV$375))</f>
      </c>
      <c r="T373" s="29">
        <f>IF(OR(368&gt;$Z$1,NOT(OR('Your debts'!$B$13&lt;&gt;"",N('Your debts'!$C$13)&gt;0))),"",IF('Your debts'!$D$20="Avalanche",'Avalanche workings'!$S$375,'Snowball workings'!$S$375)+IF('Your debts'!$D$20="Avalanche",'Avalanche workings'!$AM$375,'Snowball workings'!$AM$375))</f>
      </c>
      <c r="U373" s="30">
        <f>IF(OR(368&gt;$Z$1,NOT(OR('Your debts'!$B$13&lt;&gt;"",N('Your debts'!$C$13)&gt;0))),"",IF('Your debts'!$D$20="Avalanche",'Avalanche workings'!$AW$375,'Snowball workings'!$AW$375))</f>
      </c>
      <c r="V373" s="29">
        <f>IF(OR(368&gt;$Z$1,NOT(OR('Your debts'!$B$14&lt;&gt;"",N('Your debts'!$C$14)&gt;0))),"",IF('Your debts'!$D$20="Avalanche",'Avalanche workings'!$T$375,'Snowball workings'!$T$375)+IF('Your debts'!$D$20="Avalanche",'Avalanche workings'!$AN$375,'Snowball workings'!$AN$375))</f>
      </c>
      <c r="W373" s="30">
        <f>IF(OR(368&gt;$Z$1,NOT(OR('Your debts'!$B$14&lt;&gt;"",N('Your debts'!$C$14)&gt;0))),"",IF('Your debts'!$D$20="Avalanche",'Avalanche workings'!$AX$375,'Snowball workings'!$AX$375))</f>
      </c>
      <c r="X373" s="29">
        <f>IF(OR(368&gt;$Z$1,NOT(OR('Your debts'!$B$15&lt;&gt;"",N('Your debts'!$C$15)&gt;0))),"",IF('Your debts'!$D$20="Avalanche",'Avalanche workings'!$U$375,'Snowball workings'!$U$375)+IF('Your debts'!$D$20="Avalanche",'Avalanche workings'!$AO$375,'Snowball workings'!$AO$375))</f>
      </c>
      <c r="Y373" s="30">
        <f>IF(OR(368&gt;$Z$1,NOT(OR('Your debts'!$B$15&lt;&gt;"",N('Your debts'!$C$15)&gt;0))),"",IF('Your debts'!$D$20="Avalanche",'Avalanche workings'!$AY$375,'Snowball workings'!$AY$375))</f>
      </c>
    </row>
    <row r="374" spans="1:25" x14ac:dyDescent="0.25">
      <c r="A374" s="2">
        <f>IF(369&gt;$Z$1,"",369)</f>
      </c>
      <c r="B374" s="28">
        <f>IF(369&gt;$Z$1,"",EDATE('Your debts'!$D$21,368))</f>
      </c>
      <c r="C374" s="29">
        <f>IF(369&gt;$Z$1,"",IF('Your debts'!$D$20="Avalanche",'Avalanche workings'!$BC$376,'Snowball workings'!$BC$376))</f>
      </c>
      <c r="D374" s="29">
        <f>IF(369&gt;$Z$1,"",IF('Your debts'!$D$20="Avalanche",'Avalanche workings'!$BA$376,'Snowball workings'!$BA$376))</f>
      </c>
      <c r="E374" s="29">
        <f>IF(369&gt;$Z$1,"",IF('Your debts'!$D$20="Avalanche",'Avalanche workings'!$BB$376,'Snowball workings'!$BB$376))</f>
      </c>
      <c r="F374" s="29">
        <f>IF(OR(369&gt;$Z$1,NOT(OR('Your debts'!$B$6&lt;&gt;"",N('Your debts'!$C$6)&gt;0))),"",IF('Your debts'!$D$20="Avalanche",'Avalanche workings'!$L$376,'Snowball workings'!$L$376)+IF('Your debts'!$D$20="Avalanche",'Avalanche workings'!$AF$376,'Snowball workings'!$AF$376))</f>
      </c>
      <c r="G374" s="30">
        <f>IF(OR(369&gt;$Z$1,NOT(OR('Your debts'!$B$6&lt;&gt;"",N('Your debts'!$C$6)&gt;0))),"",IF('Your debts'!$D$20="Avalanche",'Avalanche workings'!$AP$376,'Snowball workings'!$AP$376))</f>
      </c>
      <c r="H374" s="29">
        <f>IF(OR(369&gt;$Z$1,NOT(OR('Your debts'!$B$7&lt;&gt;"",N('Your debts'!$C$7)&gt;0))),"",IF('Your debts'!$D$20="Avalanche",'Avalanche workings'!$M$376,'Snowball workings'!$M$376)+IF('Your debts'!$D$20="Avalanche",'Avalanche workings'!$AG$376,'Snowball workings'!$AG$376))</f>
      </c>
      <c r="I374" s="30">
        <f>IF(OR(369&gt;$Z$1,NOT(OR('Your debts'!$B$7&lt;&gt;"",N('Your debts'!$C$7)&gt;0))),"",IF('Your debts'!$D$20="Avalanche",'Avalanche workings'!$AQ$376,'Snowball workings'!$AQ$376))</f>
      </c>
      <c r="J374" s="29">
        <f>IF(OR(369&gt;$Z$1,NOT(OR('Your debts'!$B$8&lt;&gt;"",N('Your debts'!$C$8)&gt;0))),"",IF('Your debts'!$D$20="Avalanche",'Avalanche workings'!$N$376,'Snowball workings'!$N$376)+IF('Your debts'!$D$20="Avalanche",'Avalanche workings'!$AH$376,'Snowball workings'!$AH$376))</f>
      </c>
      <c r="K374" s="30">
        <f>IF(OR(369&gt;$Z$1,NOT(OR('Your debts'!$B$8&lt;&gt;"",N('Your debts'!$C$8)&gt;0))),"",IF('Your debts'!$D$20="Avalanche",'Avalanche workings'!$AR$376,'Snowball workings'!$AR$376))</f>
      </c>
      <c r="L374" s="29">
        <f>IF(OR(369&gt;$Z$1,NOT(OR('Your debts'!$B$9&lt;&gt;"",N('Your debts'!$C$9)&gt;0))),"",IF('Your debts'!$D$20="Avalanche",'Avalanche workings'!$O$376,'Snowball workings'!$O$376)+IF('Your debts'!$D$20="Avalanche",'Avalanche workings'!$AI$376,'Snowball workings'!$AI$376))</f>
      </c>
      <c r="M374" s="30">
        <f>IF(OR(369&gt;$Z$1,NOT(OR('Your debts'!$B$9&lt;&gt;"",N('Your debts'!$C$9)&gt;0))),"",IF('Your debts'!$D$20="Avalanche",'Avalanche workings'!$AS$376,'Snowball workings'!$AS$376))</f>
      </c>
      <c r="N374" s="29">
        <f>IF(OR(369&gt;$Z$1,NOT(OR('Your debts'!$B$10&lt;&gt;"",N('Your debts'!$C$10)&gt;0))),"",IF('Your debts'!$D$20="Avalanche",'Avalanche workings'!$P$376,'Snowball workings'!$P$376)+IF('Your debts'!$D$20="Avalanche",'Avalanche workings'!$AJ$376,'Snowball workings'!$AJ$376))</f>
      </c>
      <c r="O374" s="30">
        <f>IF(OR(369&gt;$Z$1,NOT(OR('Your debts'!$B$10&lt;&gt;"",N('Your debts'!$C$10)&gt;0))),"",IF('Your debts'!$D$20="Avalanche",'Avalanche workings'!$AT$376,'Snowball workings'!$AT$376))</f>
      </c>
      <c r="P374" s="29">
        <f>IF(OR(369&gt;$Z$1,NOT(OR('Your debts'!$B$11&lt;&gt;"",N('Your debts'!$C$11)&gt;0))),"",IF('Your debts'!$D$20="Avalanche",'Avalanche workings'!$Q$376,'Snowball workings'!$Q$376)+IF('Your debts'!$D$20="Avalanche",'Avalanche workings'!$AK$376,'Snowball workings'!$AK$376))</f>
      </c>
      <c r="Q374" s="30">
        <f>IF(OR(369&gt;$Z$1,NOT(OR('Your debts'!$B$11&lt;&gt;"",N('Your debts'!$C$11)&gt;0))),"",IF('Your debts'!$D$20="Avalanche",'Avalanche workings'!$AU$376,'Snowball workings'!$AU$376))</f>
      </c>
      <c r="R374" s="29">
        <f>IF(OR(369&gt;$Z$1,NOT(OR('Your debts'!$B$12&lt;&gt;"",N('Your debts'!$C$12)&gt;0))),"",IF('Your debts'!$D$20="Avalanche",'Avalanche workings'!$R$376,'Snowball workings'!$R$376)+IF('Your debts'!$D$20="Avalanche",'Avalanche workings'!$AL$376,'Snowball workings'!$AL$376))</f>
      </c>
      <c r="S374" s="30">
        <f>IF(OR(369&gt;$Z$1,NOT(OR('Your debts'!$B$12&lt;&gt;"",N('Your debts'!$C$12)&gt;0))),"",IF('Your debts'!$D$20="Avalanche",'Avalanche workings'!$AV$376,'Snowball workings'!$AV$376))</f>
      </c>
      <c r="T374" s="29">
        <f>IF(OR(369&gt;$Z$1,NOT(OR('Your debts'!$B$13&lt;&gt;"",N('Your debts'!$C$13)&gt;0))),"",IF('Your debts'!$D$20="Avalanche",'Avalanche workings'!$S$376,'Snowball workings'!$S$376)+IF('Your debts'!$D$20="Avalanche",'Avalanche workings'!$AM$376,'Snowball workings'!$AM$376))</f>
      </c>
      <c r="U374" s="30">
        <f>IF(OR(369&gt;$Z$1,NOT(OR('Your debts'!$B$13&lt;&gt;"",N('Your debts'!$C$13)&gt;0))),"",IF('Your debts'!$D$20="Avalanche",'Avalanche workings'!$AW$376,'Snowball workings'!$AW$376))</f>
      </c>
      <c r="V374" s="29">
        <f>IF(OR(369&gt;$Z$1,NOT(OR('Your debts'!$B$14&lt;&gt;"",N('Your debts'!$C$14)&gt;0))),"",IF('Your debts'!$D$20="Avalanche",'Avalanche workings'!$T$376,'Snowball workings'!$T$376)+IF('Your debts'!$D$20="Avalanche",'Avalanche workings'!$AN$376,'Snowball workings'!$AN$376))</f>
      </c>
      <c r="W374" s="30">
        <f>IF(OR(369&gt;$Z$1,NOT(OR('Your debts'!$B$14&lt;&gt;"",N('Your debts'!$C$14)&gt;0))),"",IF('Your debts'!$D$20="Avalanche",'Avalanche workings'!$AX$376,'Snowball workings'!$AX$376))</f>
      </c>
      <c r="X374" s="29">
        <f>IF(OR(369&gt;$Z$1,NOT(OR('Your debts'!$B$15&lt;&gt;"",N('Your debts'!$C$15)&gt;0))),"",IF('Your debts'!$D$20="Avalanche",'Avalanche workings'!$U$376,'Snowball workings'!$U$376)+IF('Your debts'!$D$20="Avalanche",'Avalanche workings'!$AO$376,'Snowball workings'!$AO$376))</f>
      </c>
      <c r="Y374" s="30">
        <f>IF(OR(369&gt;$Z$1,NOT(OR('Your debts'!$B$15&lt;&gt;"",N('Your debts'!$C$15)&gt;0))),"",IF('Your debts'!$D$20="Avalanche",'Avalanche workings'!$AY$376,'Snowball workings'!$AY$376))</f>
      </c>
    </row>
    <row r="375" spans="1:25" x14ac:dyDescent="0.25">
      <c r="A375" s="2">
        <f>IF(370&gt;$Z$1,"",370)</f>
      </c>
      <c r="B375" s="28">
        <f>IF(370&gt;$Z$1,"",EDATE('Your debts'!$D$21,369))</f>
      </c>
      <c r="C375" s="29">
        <f>IF(370&gt;$Z$1,"",IF('Your debts'!$D$20="Avalanche",'Avalanche workings'!$BC$377,'Snowball workings'!$BC$377))</f>
      </c>
      <c r="D375" s="29">
        <f>IF(370&gt;$Z$1,"",IF('Your debts'!$D$20="Avalanche",'Avalanche workings'!$BA$377,'Snowball workings'!$BA$377))</f>
      </c>
      <c r="E375" s="29">
        <f>IF(370&gt;$Z$1,"",IF('Your debts'!$D$20="Avalanche",'Avalanche workings'!$BB$377,'Snowball workings'!$BB$377))</f>
      </c>
      <c r="F375" s="29">
        <f>IF(OR(370&gt;$Z$1,NOT(OR('Your debts'!$B$6&lt;&gt;"",N('Your debts'!$C$6)&gt;0))),"",IF('Your debts'!$D$20="Avalanche",'Avalanche workings'!$L$377,'Snowball workings'!$L$377)+IF('Your debts'!$D$20="Avalanche",'Avalanche workings'!$AF$377,'Snowball workings'!$AF$377))</f>
      </c>
      <c r="G375" s="30">
        <f>IF(OR(370&gt;$Z$1,NOT(OR('Your debts'!$B$6&lt;&gt;"",N('Your debts'!$C$6)&gt;0))),"",IF('Your debts'!$D$20="Avalanche",'Avalanche workings'!$AP$377,'Snowball workings'!$AP$377))</f>
      </c>
      <c r="H375" s="29">
        <f>IF(OR(370&gt;$Z$1,NOT(OR('Your debts'!$B$7&lt;&gt;"",N('Your debts'!$C$7)&gt;0))),"",IF('Your debts'!$D$20="Avalanche",'Avalanche workings'!$M$377,'Snowball workings'!$M$377)+IF('Your debts'!$D$20="Avalanche",'Avalanche workings'!$AG$377,'Snowball workings'!$AG$377))</f>
      </c>
      <c r="I375" s="30">
        <f>IF(OR(370&gt;$Z$1,NOT(OR('Your debts'!$B$7&lt;&gt;"",N('Your debts'!$C$7)&gt;0))),"",IF('Your debts'!$D$20="Avalanche",'Avalanche workings'!$AQ$377,'Snowball workings'!$AQ$377))</f>
      </c>
      <c r="J375" s="29">
        <f>IF(OR(370&gt;$Z$1,NOT(OR('Your debts'!$B$8&lt;&gt;"",N('Your debts'!$C$8)&gt;0))),"",IF('Your debts'!$D$20="Avalanche",'Avalanche workings'!$N$377,'Snowball workings'!$N$377)+IF('Your debts'!$D$20="Avalanche",'Avalanche workings'!$AH$377,'Snowball workings'!$AH$377))</f>
      </c>
      <c r="K375" s="30">
        <f>IF(OR(370&gt;$Z$1,NOT(OR('Your debts'!$B$8&lt;&gt;"",N('Your debts'!$C$8)&gt;0))),"",IF('Your debts'!$D$20="Avalanche",'Avalanche workings'!$AR$377,'Snowball workings'!$AR$377))</f>
      </c>
      <c r="L375" s="29">
        <f>IF(OR(370&gt;$Z$1,NOT(OR('Your debts'!$B$9&lt;&gt;"",N('Your debts'!$C$9)&gt;0))),"",IF('Your debts'!$D$20="Avalanche",'Avalanche workings'!$O$377,'Snowball workings'!$O$377)+IF('Your debts'!$D$20="Avalanche",'Avalanche workings'!$AI$377,'Snowball workings'!$AI$377))</f>
      </c>
      <c r="M375" s="30">
        <f>IF(OR(370&gt;$Z$1,NOT(OR('Your debts'!$B$9&lt;&gt;"",N('Your debts'!$C$9)&gt;0))),"",IF('Your debts'!$D$20="Avalanche",'Avalanche workings'!$AS$377,'Snowball workings'!$AS$377))</f>
      </c>
      <c r="N375" s="29">
        <f>IF(OR(370&gt;$Z$1,NOT(OR('Your debts'!$B$10&lt;&gt;"",N('Your debts'!$C$10)&gt;0))),"",IF('Your debts'!$D$20="Avalanche",'Avalanche workings'!$P$377,'Snowball workings'!$P$377)+IF('Your debts'!$D$20="Avalanche",'Avalanche workings'!$AJ$377,'Snowball workings'!$AJ$377))</f>
      </c>
      <c r="O375" s="30">
        <f>IF(OR(370&gt;$Z$1,NOT(OR('Your debts'!$B$10&lt;&gt;"",N('Your debts'!$C$10)&gt;0))),"",IF('Your debts'!$D$20="Avalanche",'Avalanche workings'!$AT$377,'Snowball workings'!$AT$377))</f>
      </c>
      <c r="P375" s="29">
        <f>IF(OR(370&gt;$Z$1,NOT(OR('Your debts'!$B$11&lt;&gt;"",N('Your debts'!$C$11)&gt;0))),"",IF('Your debts'!$D$20="Avalanche",'Avalanche workings'!$Q$377,'Snowball workings'!$Q$377)+IF('Your debts'!$D$20="Avalanche",'Avalanche workings'!$AK$377,'Snowball workings'!$AK$377))</f>
      </c>
      <c r="Q375" s="30">
        <f>IF(OR(370&gt;$Z$1,NOT(OR('Your debts'!$B$11&lt;&gt;"",N('Your debts'!$C$11)&gt;0))),"",IF('Your debts'!$D$20="Avalanche",'Avalanche workings'!$AU$377,'Snowball workings'!$AU$377))</f>
      </c>
      <c r="R375" s="29">
        <f>IF(OR(370&gt;$Z$1,NOT(OR('Your debts'!$B$12&lt;&gt;"",N('Your debts'!$C$12)&gt;0))),"",IF('Your debts'!$D$20="Avalanche",'Avalanche workings'!$R$377,'Snowball workings'!$R$377)+IF('Your debts'!$D$20="Avalanche",'Avalanche workings'!$AL$377,'Snowball workings'!$AL$377))</f>
      </c>
      <c r="S375" s="30">
        <f>IF(OR(370&gt;$Z$1,NOT(OR('Your debts'!$B$12&lt;&gt;"",N('Your debts'!$C$12)&gt;0))),"",IF('Your debts'!$D$20="Avalanche",'Avalanche workings'!$AV$377,'Snowball workings'!$AV$377))</f>
      </c>
      <c r="T375" s="29">
        <f>IF(OR(370&gt;$Z$1,NOT(OR('Your debts'!$B$13&lt;&gt;"",N('Your debts'!$C$13)&gt;0))),"",IF('Your debts'!$D$20="Avalanche",'Avalanche workings'!$S$377,'Snowball workings'!$S$377)+IF('Your debts'!$D$20="Avalanche",'Avalanche workings'!$AM$377,'Snowball workings'!$AM$377))</f>
      </c>
      <c r="U375" s="30">
        <f>IF(OR(370&gt;$Z$1,NOT(OR('Your debts'!$B$13&lt;&gt;"",N('Your debts'!$C$13)&gt;0))),"",IF('Your debts'!$D$20="Avalanche",'Avalanche workings'!$AW$377,'Snowball workings'!$AW$377))</f>
      </c>
      <c r="V375" s="29">
        <f>IF(OR(370&gt;$Z$1,NOT(OR('Your debts'!$B$14&lt;&gt;"",N('Your debts'!$C$14)&gt;0))),"",IF('Your debts'!$D$20="Avalanche",'Avalanche workings'!$T$377,'Snowball workings'!$T$377)+IF('Your debts'!$D$20="Avalanche",'Avalanche workings'!$AN$377,'Snowball workings'!$AN$377))</f>
      </c>
      <c r="W375" s="30">
        <f>IF(OR(370&gt;$Z$1,NOT(OR('Your debts'!$B$14&lt;&gt;"",N('Your debts'!$C$14)&gt;0))),"",IF('Your debts'!$D$20="Avalanche",'Avalanche workings'!$AX$377,'Snowball workings'!$AX$377))</f>
      </c>
      <c r="X375" s="29">
        <f>IF(OR(370&gt;$Z$1,NOT(OR('Your debts'!$B$15&lt;&gt;"",N('Your debts'!$C$15)&gt;0))),"",IF('Your debts'!$D$20="Avalanche",'Avalanche workings'!$U$377,'Snowball workings'!$U$377)+IF('Your debts'!$D$20="Avalanche",'Avalanche workings'!$AO$377,'Snowball workings'!$AO$377))</f>
      </c>
      <c r="Y375" s="30">
        <f>IF(OR(370&gt;$Z$1,NOT(OR('Your debts'!$B$15&lt;&gt;"",N('Your debts'!$C$15)&gt;0))),"",IF('Your debts'!$D$20="Avalanche",'Avalanche workings'!$AY$377,'Snowball workings'!$AY$377))</f>
      </c>
    </row>
    <row r="376" spans="1:25" x14ac:dyDescent="0.25">
      <c r="A376" s="2">
        <f>IF(371&gt;$Z$1,"",371)</f>
      </c>
      <c r="B376" s="28">
        <f>IF(371&gt;$Z$1,"",EDATE('Your debts'!$D$21,370))</f>
      </c>
      <c r="C376" s="29">
        <f>IF(371&gt;$Z$1,"",IF('Your debts'!$D$20="Avalanche",'Avalanche workings'!$BC$378,'Snowball workings'!$BC$378))</f>
      </c>
      <c r="D376" s="29">
        <f>IF(371&gt;$Z$1,"",IF('Your debts'!$D$20="Avalanche",'Avalanche workings'!$BA$378,'Snowball workings'!$BA$378))</f>
      </c>
      <c r="E376" s="29">
        <f>IF(371&gt;$Z$1,"",IF('Your debts'!$D$20="Avalanche",'Avalanche workings'!$BB$378,'Snowball workings'!$BB$378))</f>
      </c>
      <c r="F376" s="29">
        <f>IF(OR(371&gt;$Z$1,NOT(OR('Your debts'!$B$6&lt;&gt;"",N('Your debts'!$C$6)&gt;0))),"",IF('Your debts'!$D$20="Avalanche",'Avalanche workings'!$L$378,'Snowball workings'!$L$378)+IF('Your debts'!$D$20="Avalanche",'Avalanche workings'!$AF$378,'Snowball workings'!$AF$378))</f>
      </c>
      <c r="G376" s="30">
        <f>IF(OR(371&gt;$Z$1,NOT(OR('Your debts'!$B$6&lt;&gt;"",N('Your debts'!$C$6)&gt;0))),"",IF('Your debts'!$D$20="Avalanche",'Avalanche workings'!$AP$378,'Snowball workings'!$AP$378))</f>
      </c>
      <c r="H376" s="29">
        <f>IF(OR(371&gt;$Z$1,NOT(OR('Your debts'!$B$7&lt;&gt;"",N('Your debts'!$C$7)&gt;0))),"",IF('Your debts'!$D$20="Avalanche",'Avalanche workings'!$M$378,'Snowball workings'!$M$378)+IF('Your debts'!$D$20="Avalanche",'Avalanche workings'!$AG$378,'Snowball workings'!$AG$378))</f>
      </c>
      <c r="I376" s="30">
        <f>IF(OR(371&gt;$Z$1,NOT(OR('Your debts'!$B$7&lt;&gt;"",N('Your debts'!$C$7)&gt;0))),"",IF('Your debts'!$D$20="Avalanche",'Avalanche workings'!$AQ$378,'Snowball workings'!$AQ$378))</f>
      </c>
      <c r="J376" s="29">
        <f>IF(OR(371&gt;$Z$1,NOT(OR('Your debts'!$B$8&lt;&gt;"",N('Your debts'!$C$8)&gt;0))),"",IF('Your debts'!$D$20="Avalanche",'Avalanche workings'!$N$378,'Snowball workings'!$N$378)+IF('Your debts'!$D$20="Avalanche",'Avalanche workings'!$AH$378,'Snowball workings'!$AH$378))</f>
      </c>
      <c r="K376" s="30">
        <f>IF(OR(371&gt;$Z$1,NOT(OR('Your debts'!$B$8&lt;&gt;"",N('Your debts'!$C$8)&gt;0))),"",IF('Your debts'!$D$20="Avalanche",'Avalanche workings'!$AR$378,'Snowball workings'!$AR$378))</f>
      </c>
      <c r="L376" s="29">
        <f>IF(OR(371&gt;$Z$1,NOT(OR('Your debts'!$B$9&lt;&gt;"",N('Your debts'!$C$9)&gt;0))),"",IF('Your debts'!$D$20="Avalanche",'Avalanche workings'!$O$378,'Snowball workings'!$O$378)+IF('Your debts'!$D$20="Avalanche",'Avalanche workings'!$AI$378,'Snowball workings'!$AI$378))</f>
      </c>
      <c r="M376" s="30">
        <f>IF(OR(371&gt;$Z$1,NOT(OR('Your debts'!$B$9&lt;&gt;"",N('Your debts'!$C$9)&gt;0))),"",IF('Your debts'!$D$20="Avalanche",'Avalanche workings'!$AS$378,'Snowball workings'!$AS$378))</f>
      </c>
      <c r="N376" s="29">
        <f>IF(OR(371&gt;$Z$1,NOT(OR('Your debts'!$B$10&lt;&gt;"",N('Your debts'!$C$10)&gt;0))),"",IF('Your debts'!$D$20="Avalanche",'Avalanche workings'!$P$378,'Snowball workings'!$P$378)+IF('Your debts'!$D$20="Avalanche",'Avalanche workings'!$AJ$378,'Snowball workings'!$AJ$378))</f>
      </c>
      <c r="O376" s="30">
        <f>IF(OR(371&gt;$Z$1,NOT(OR('Your debts'!$B$10&lt;&gt;"",N('Your debts'!$C$10)&gt;0))),"",IF('Your debts'!$D$20="Avalanche",'Avalanche workings'!$AT$378,'Snowball workings'!$AT$378))</f>
      </c>
      <c r="P376" s="29">
        <f>IF(OR(371&gt;$Z$1,NOT(OR('Your debts'!$B$11&lt;&gt;"",N('Your debts'!$C$11)&gt;0))),"",IF('Your debts'!$D$20="Avalanche",'Avalanche workings'!$Q$378,'Snowball workings'!$Q$378)+IF('Your debts'!$D$20="Avalanche",'Avalanche workings'!$AK$378,'Snowball workings'!$AK$378))</f>
      </c>
      <c r="Q376" s="30">
        <f>IF(OR(371&gt;$Z$1,NOT(OR('Your debts'!$B$11&lt;&gt;"",N('Your debts'!$C$11)&gt;0))),"",IF('Your debts'!$D$20="Avalanche",'Avalanche workings'!$AU$378,'Snowball workings'!$AU$378))</f>
      </c>
      <c r="R376" s="29">
        <f>IF(OR(371&gt;$Z$1,NOT(OR('Your debts'!$B$12&lt;&gt;"",N('Your debts'!$C$12)&gt;0))),"",IF('Your debts'!$D$20="Avalanche",'Avalanche workings'!$R$378,'Snowball workings'!$R$378)+IF('Your debts'!$D$20="Avalanche",'Avalanche workings'!$AL$378,'Snowball workings'!$AL$378))</f>
      </c>
      <c r="S376" s="30">
        <f>IF(OR(371&gt;$Z$1,NOT(OR('Your debts'!$B$12&lt;&gt;"",N('Your debts'!$C$12)&gt;0))),"",IF('Your debts'!$D$20="Avalanche",'Avalanche workings'!$AV$378,'Snowball workings'!$AV$378))</f>
      </c>
      <c r="T376" s="29">
        <f>IF(OR(371&gt;$Z$1,NOT(OR('Your debts'!$B$13&lt;&gt;"",N('Your debts'!$C$13)&gt;0))),"",IF('Your debts'!$D$20="Avalanche",'Avalanche workings'!$S$378,'Snowball workings'!$S$378)+IF('Your debts'!$D$20="Avalanche",'Avalanche workings'!$AM$378,'Snowball workings'!$AM$378))</f>
      </c>
      <c r="U376" s="30">
        <f>IF(OR(371&gt;$Z$1,NOT(OR('Your debts'!$B$13&lt;&gt;"",N('Your debts'!$C$13)&gt;0))),"",IF('Your debts'!$D$20="Avalanche",'Avalanche workings'!$AW$378,'Snowball workings'!$AW$378))</f>
      </c>
      <c r="V376" s="29">
        <f>IF(OR(371&gt;$Z$1,NOT(OR('Your debts'!$B$14&lt;&gt;"",N('Your debts'!$C$14)&gt;0))),"",IF('Your debts'!$D$20="Avalanche",'Avalanche workings'!$T$378,'Snowball workings'!$T$378)+IF('Your debts'!$D$20="Avalanche",'Avalanche workings'!$AN$378,'Snowball workings'!$AN$378))</f>
      </c>
      <c r="W376" s="30">
        <f>IF(OR(371&gt;$Z$1,NOT(OR('Your debts'!$B$14&lt;&gt;"",N('Your debts'!$C$14)&gt;0))),"",IF('Your debts'!$D$20="Avalanche",'Avalanche workings'!$AX$378,'Snowball workings'!$AX$378))</f>
      </c>
      <c r="X376" s="29">
        <f>IF(OR(371&gt;$Z$1,NOT(OR('Your debts'!$B$15&lt;&gt;"",N('Your debts'!$C$15)&gt;0))),"",IF('Your debts'!$D$20="Avalanche",'Avalanche workings'!$U$378,'Snowball workings'!$U$378)+IF('Your debts'!$D$20="Avalanche",'Avalanche workings'!$AO$378,'Snowball workings'!$AO$378))</f>
      </c>
      <c r="Y376" s="30">
        <f>IF(OR(371&gt;$Z$1,NOT(OR('Your debts'!$B$15&lt;&gt;"",N('Your debts'!$C$15)&gt;0))),"",IF('Your debts'!$D$20="Avalanche",'Avalanche workings'!$AY$378,'Snowball workings'!$AY$378))</f>
      </c>
    </row>
    <row r="377" spans="1:25" x14ac:dyDescent="0.25">
      <c r="A377" s="2">
        <f>IF(372&gt;$Z$1,"",372)</f>
      </c>
      <c r="B377" s="28">
        <f>IF(372&gt;$Z$1,"",EDATE('Your debts'!$D$21,371))</f>
      </c>
      <c r="C377" s="29">
        <f>IF(372&gt;$Z$1,"",IF('Your debts'!$D$20="Avalanche",'Avalanche workings'!$BC$379,'Snowball workings'!$BC$379))</f>
      </c>
      <c r="D377" s="29">
        <f>IF(372&gt;$Z$1,"",IF('Your debts'!$D$20="Avalanche",'Avalanche workings'!$BA$379,'Snowball workings'!$BA$379))</f>
      </c>
      <c r="E377" s="29">
        <f>IF(372&gt;$Z$1,"",IF('Your debts'!$D$20="Avalanche",'Avalanche workings'!$BB$379,'Snowball workings'!$BB$379))</f>
      </c>
      <c r="F377" s="29">
        <f>IF(OR(372&gt;$Z$1,NOT(OR('Your debts'!$B$6&lt;&gt;"",N('Your debts'!$C$6)&gt;0))),"",IF('Your debts'!$D$20="Avalanche",'Avalanche workings'!$L$379,'Snowball workings'!$L$379)+IF('Your debts'!$D$20="Avalanche",'Avalanche workings'!$AF$379,'Snowball workings'!$AF$379))</f>
      </c>
      <c r="G377" s="30">
        <f>IF(OR(372&gt;$Z$1,NOT(OR('Your debts'!$B$6&lt;&gt;"",N('Your debts'!$C$6)&gt;0))),"",IF('Your debts'!$D$20="Avalanche",'Avalanche workings'!$AP$379,'Snowball workings'!$AP$379))</f>
      </c>
      <c r="H377" s="29">
        <f>IF(OR(372&gt;$Z$1,NOT(OR('Your debts'!$B$7&lt;&gt;"",N('Your debts'!$C$7)&gt;0))),"",IF('Your debts'!$D$20="Avalanche",'Avalanche workings'!$M$379,'Snowball workings'!$M$379)+IF('Your debts'!$D$20="Avalanche",'Avalanche workings'!$AG$379,'Snowball workings'!$AG$379))</f>
      </c>
      <c r="I377" s="30">
        <f>IF(OR(372&gt;$Z$1,NOT(OR('Your debts'!$B$7&lt;&gt;"",N('Your debts'!$C$7)&gt;0))),"",IF('Your debts'!$D$20="Avalanche",'Avalanche workings'!$AQ$379,'Snowball workings'!$AQ$379))</f>
      </c>
      <c r="J377" s="29">
        <f>IF(OR(372&gt;$Z$1,NOT(OR('Your debts'!$B$8&lt;&gt;"",N('Your debts'!$C$8)&gt;0))),"",IF('Your debts'!$D$20="Avalanche",'Avalanche workings'!$N$379,'Snowball workings'!$N$379)+IF('Your debts'!$D$20="Avalanche",'Avalanche workings'!$AH$379,'Snowball workings'!$AH$379))</f>
      </c>
      <c r="K377" s="30">
        <f>IF(OR(372&gt;$Z$1,NOT(OR('Your debts'!$B$8&lt;&gt;"",N('Your debts'!$C$8)&gt;0))),"",IF('Your debts'!$D$20="Avalanche",'Avalanche workings'!$AR$379,'Snowball workings'!$AR$379))</f>
      </c>
      <c r="L377" s="29">
        <f>IF(OR(372&gt;$Z$1,NOT(OR('Your debts'!$B$9&lt;&gt;"",N('Your debts'!$C$9)&gt;0))),"",IF('Your debts'!$D$20="Avalanche",'Avalanche workings'!$O$379,'Snowball workings'!$O$379)+IF('Your debts'!$D$20="Avalanche",'Avalanche workings'!$AI$379,'Snowball workings'!$AI$379))</f>
      </c>
      <c r="M377" s="30">
        <f>IF(OR(372&gt;$Z$1,NOT(OR('Your debts'!$B$9&lt;&gt;"",N('Your debts'!$C$9)&gt;0))),"",IF('Your debts'!$D$20="Avalanche",'Avalanche workings'!$AS$379,'Snowball workings'!$AS$379))</f>
      </c>
      <c r="N377" s="29">
        <f>IF(OR(372&gt;$Z$1,NOT(OR('Your debts'!$B$10&lt;&gt;"",N('Your debts'!$C$10)&gt;0))),"",IF('Your debts'!$D$20="Avalanche",'Avalanche workings'!$P$379,'Snowball workings'!$P$379)+IF('Your debts'!$D$20="Avalanche",'Avalanche workings'!$AJ$379,'Snowball workings'!$AJ$379))</f>
      </c>
      <c r="O377" s="30">
        <f>IF(OR(372&gt;$Z$1,NOT(OR('Your debts'!$B$10&lt;&gt;"",N('Your debts'!$C$10)&gt;0))),"",IF('Your debts'!$D$20="Avalanche",'Avalanche workings'!$AT$379,'Snowball workings'!$AT$379))</f>
      </c>
      <c r="P377" s="29">
        <f>IF(OR(372&gt;$Z$1,NOT(OR('Your debts'!$B$11&lt;&gt;"",N('Your debts'!$C$11)&gt;0))),"",IF('Your debts'!$D$20="Avalanche",'Avalanche workings'!$Q$379,'Snowball workings'!$Q$379)+IF('Your debts'!$D$20="Avalanche",'Avalanche workings'!$AK$379,'Snowball workings'!$AK$379))</f>
      </c>
      <c r="Q377" s="30">
        <f>IF(OR(372&gt;$Z$1,NOT(OR('Your debts'!$B$11&lt;&gt;"",N('Your debts'!$C$11)&gt;0))),"",IF('Your debts'!$D$20="Avalanche",'Avalanche workings'!$AU$379,'Snowball workings'!$AU$379))</f>
      </c>
      <c r="R377" s="29">
        <f>IF(OR(372&gt;$Z$1,NOT(OR('Your debts'!$B$12&lt;&gt;"",N('Your debts'!$C$12)&gt;0))),"",IF('Your debts'!$D$20="Avalanche",'Avalanche workings'!$R$379,'Snowball workings'!$R$379)+IF('Your debts'!$D$20="Avalanche",'Avalanche workings'!$AL$379,'Snowball workings'!$AL$379))</f>
      </c>
      <c r="S377" s="30">
        <f>IF(OR(372&gt;$Z$1,NOT(OR('Your debts'!$B$12&lt;&gt;"",N('Your debts'!$C$12)&gt;0))),"",IF('Your debts'!$D$20="Avalanche",'Avalanche workings'!$AV$379,'Snowball workings'!$AV$379))</f>
      </c>
      <c r="T377" s="29">
        <f>IF(OR(372&gt;$Z$1,NOT(OR('Your debts'!$B$13&lt;&gt;"",N('Your debts'!$C$13)&gt;0))),"",IF('Your debts'!$D$20="Avalanche",'Avalanche workings'!$S$379,'Snowball workings'!$S$379)+IF('Your debts'!$D$20="Avalanche",'Avalanche workings'!$AM$379,'Snowball workings'!$AM$379))</f>
      </c>
      <c r="U377" s="30">
        <f>IF(OR(372&gt;$Z$1,NOT(OR('Your debts'!$B$13&lt;&gt;"",N('Your debts'!$C$13)&gt;0))),"",IF('Your debts'!$D$20="Avalanche",'Avalanche workings'!$AW$379,'Snowball workings'!$AW$379))</f>
      </c>
      <c r="V377" s="29">
        <f>IF(OR(372&gt;$Z$1,NOT(OR('Your debts'!$B$14&lt;&gt;"",N('Your debts'!$C$14)&gt;0))),"",IF('Your debts'!$D$20="Avalanche",'Avalanche workings'!$T$379,'Snowball workings'!$T$379)+IF('Your debts'!$D$20="Avalanche",'Avalanche workings'!$AN$379,'Snowball workings'!$AN$379))</f>
      </c>
      <c r="W377" s="30">
        <f>IF(OR(372&gt;$Z$1,NOT(OR('Your debts'!$B$14&lt;&gt;"",N('Your debts'!$C$14)&gt;0))),"",IF('Your debts'!$D$20="Avalanche",'Avalanche workings'!$AX$379,'Snowball workings'!$AX$379))</f>
      </c>
      <c r="X377" s="29">
        <f>IF(OR(372&gt;$Z$1,NOT(OR('Your debts'!$B$15&lt;&gt;"",N('Your debts'!$C$15)&gt;0))),"",IF('Your debts'!$D$20="Avalanche",'Avalanche workings'!$U$379,'Snowball workings'!$U$379)+IF('Your debts'!$D$20="Avalanche",'Avalanche workings'!$AO$379,'Snowball workings'!$AO$379))</f>
      </c>
      <c r="Y377" s="30">
        <f>IF(OR(372&gt;$Z$1,NOT(OR('Your debts'!$B$15&lt;&gt;"",N('Your debts'!$C$15)&gt;0))),"",IF('Your debts'!$D$20="Avalanche",'Avalanche workings'!$AY$379,'Snowball workings'!$AY$379))</f>
      </c>
    </row>
    <row r="378" spans="1:25" x14ac:dyDescent="0.25">
      <c r="A378" s="2">
        <f>IF(373&gt;$Z$1,"",373)</f>
      </c>
      <c r="B378" s="28">
        <f>IF(373&gt;$Z$1,"",EDATE('Your debts'!$D$21,372))</f>
      </c>
      <c r="C378" s="29">
        <f>IF(373&gt;$Z$1,"",IF('Your debts'!$D$20="Avalanche",'Avalanche workings'!$BC$380,'Snowball workings'!$BC$380))</f>
      </c>
      <c r="D378" s="29">
        <f>IF(373&gt;$Z$1,"",IF('Your debts'!$D$20="Avalanche",'Avalanche workings'!$BA$380,'Snowball workings'!$BA$380))</f>
      </c>
      <c r="E378" s="29">
        <f>IF(373&gt;$Z$1,"",IF('Your debts'!$D$20="Avalanche",'Avalanche workings'!$BB$380,'Snowball workings'!$BB$380))</f>
      </c>
      <c r="F378" s="29">
        <f>IF(OR(373&gt;$Z$1,NOT(OR('Your debts'!$B$6&lt;&gt;"",N('Your debts'!$C$6)&gt;0))),"",IF('Your debts'!$D$20="Avalanche",'Avalanche workings'!$L$380,'Snowball workings'!$L$380)+IF('Your debts'!$D$20="Avalanche",'Avalanche workings'!$AF$380,'Snowball workings'!$AF$380))</f>
      </c>
      <c r="G378" s="30">
        <f>IF(OR(373&gt;$Z$1,NOT(OR('Your debts'!$B$6&lt;&gt;"",N('Your debts'!$C$6)&gt;0))),"",IF('Your debts'!$D$20="Avalanche",'Avalanche workings'!$AP$380,'Snowball workings'!$AP$380))</f>
      </c>
      <c r="H378" s="29">
        <f>IF(OR(373&gt;$Z$1,NOT(OR('Your debts'!$B$7&lt;&gt;"",N('Your debts'!$C$7)&gt;0))),"",IF('Your debts'!$D$20="Avalanche",'Avalanche workings'!$M$380,'Snowball workings'!$M$380)+IF('Your debts'!$D$20="Avalanche",'Avalanche workings'!$AG$380,'Snowball workings'!$AG$380))</f>
      </c>
      <c r="I378" s="30">
        <f>IF(OR(373&gt;$Z$1,NOT(OR('Your debts'!$B$7&lt;&gt;"",N('Your debts'!$C$7)&gt;0))),"",IF('Your debts'!$D$20="Avalanche",'Avalanche workings'!$AQ$380,'Snowball workings'!$AQ$380))</f>
      </c>
      <c r="J378" s="29">
        <f>IF(OR(373&gt;$Z$1,NOT(OR('Your debts'!$B$8&lt;&gt;"",N('Your debts'!$C$8)&gt;0))),"",IF('Your debts'!$D$20="Avalanche",'Avalanche workings'!$N$380,'Snowball workings'!$N$380)+IF('Your debts'!$D$20="Avalanche",'Avalanche workings'!$AH$380,'Snowball workings'!$AH$380))</f>
      </c>
      <c r="K378" s="30">
        <f>IF(OR(373&gt;$Z$1,NOT(OR('Your debts'!$B$8&lt;&gt;"",N('Your debts'!$C$8)&gt;0))),"",IF('Your debts'!$D$20="Avalanche",'Avalanche workings'!$AR$380,'Snowball workings'!$AR$380))</f>
      </c>
      <c r="L378" s="29">
        <f>IF(OR(373&gt;$Z$1,NOT(OR('Your debts'!$B$9&lt;&gt;"",N('Your debts'!$C$9)&gt;0))),"",IF('Your debts'!$D$20="Avalanche",'Avalanche workings'!$O$380,'Snowball workings'!$O$380)+IF('Your debts'!$D$20="Avalanche",'Avalanche workings'!$AI$380,'Snowball workings'!$AI$380))</f>
      </c>
      <c r="M378" s="30">
        <f>IF(OR(373&gt;$Z$1,NOT(OR('Your debts'!$B$9&lt;&gt;"",N('Your debts'!$C$9)&gt;0))),"",IF('Your debts'!$D$20="Avalanche",'Avalanche workings'!$AS$380,'Snowball workings'!$AS$380))</f>
      </c>
      <c r="N378" s="29">
        <f>IF(OR(373&gt;$Z$1,NOT(OR('Your debts'!$B$10&lt;&gt;"",N('Your debts'!$C$10)&gt;0))),"",IF('Your debts'!$D$20="Avalanche",'Avalanche workings'!$P$380,'Snowball workings'!$P$380)+IF('Your debts'!$D$20="Avalanche",'Avalanche workings'!$AJ$380,'Snowball workings'!$AJ$380))</f>
      </c>
      <c r="O378" s="30">
        <f>IF(OR(373&gt;$Z$1,NOT(OR('Your debts'!$B$10&lt;&gt;"",N('Your debts'!$C$10)&gt;0))),"",IF('Your debts'!$D$20="Avalanche",'Avalanche workings'!$AT$380,'Snowball workings'!$AT$380))</f>
      </c>
      <c r="P378" s="29">
        <f>IF(OR(373&gt;$Z$1,NOT(OR('Your debts'!$B$11&lt;&gt;"",N('Your debts'!$C$11)&gt;0))),"",IF('Your debts'!$D$20="Avalanche",'Avalanche workings'!$Q$380,'Snowball workings'!$Q$380)+IF('Your debts'!$D$20="Avalanche",'Avalanche workings'!$AK$380,'Snowball workings'!$AK$380))</f>
      </c>
      <c r="Q378" s="30">
        <f>IF(OR(373&gt;$Z$1,NOT(OR('Your debts'!$B$11&lt;&gt;"",N('Your debts'!$C$11)&gt;0))),"",IF('Your debts'!$D$20="Avalanche",'Avalanche workings'!$AU$380,'Snowball workings'!$AU$380))</f>
      </c>
      <c r="R378" s="29">
        <f>IF(OR(373&gt;$Z$1,NOT(OR('Your debts'!$B$12&lt;&gt;"",N('Your debts'!$C$12)&gt;0))),"",IF('Your debts'!$D$20="Avalanche",'Avalanche workings'!$R$380,'Snowball workings'!$R$380)+IF('Your debts'!$D$20="Avalanche",'Avalanche workings'!$AL$380,'Snowball workings'!$AL$380))</f>
      </c>
      <c r="S378" s="30">
        <f>IF(OR(373&gt;$Z$1,NOT(OR('Your debts'!$B$12&lt;&gt;"",N('Your debts'!$C$12)&gt;0))),"",IF('Your debts'!$D$20="Avalanche",'Avalanche workings'!$AV$380,'Snowball workings'!$AV$380))</f>
      </c>
      <c r="T378" s="29">
        <f>IF(OR(373&gt;$Z$1,NOT(OR('Your debts'!$B$13&lt;&gt;"",N('Your debts'!$C$13)&gt;0))),"",IF('Your debts'!$D$20="Avalanche",'Avalanche workings'!$S$380,'Snowball workings'!$S$380)+IF('Your debts'!$D$20="Avalanche",'Avalanche workings'!$AM$380,'Snowball workings'!$AM$380))</f>
      </c>
      <c r="U378" s="30">
        <f>IF(OR(373&gt;$Z$1,NOT(OR('Your debts'!$B$13&lt;&gt;"",N('Your debts'!$C$13)&gt;0))),"",IF('Your debts'!$D$20="Avalanche",'Avalanche workings'!$AW$380,'Snowball workings'!$AW$380))</f>
      </c>
      <c r="V378" s="29">
        <f>IF(OR(373&gt;$Z$1,NOT(OR('Your debts'!$B$14&lt;&gt;"",N('Your debts'!$C$14)&gt;0))),"",IF('Your debts'!$D$20="Avalanche",'Avalanche workings'!$T$380,'Snowball workings'!$T$380)+IF('Your debts'!$D$20="Avalanche",'Avalanche workings'!$AN$380,'Snowball workings'!$AN$380))</f>
      </c>
      <c r="W378" s="30">
        <f>IF(OR(373&gt;$Z$1,NOT(OR('Your debts'!$B$14&lt;&gt;"",N('Your debts'!$C$14)&gt;0))),"",IF('Your debts'!$D$20="Avalanche",'Avalanche workings'!$AX$380,'Snowball workings'!$AX$380))</f>
      </c>
      <c r="X378" s="29">
        <f>IF(OR(373&gt;$Z$1,NOT(OR('Your debts'!$B$15&lt;&gt;"",N('Your debts'!$C$15)&gt;0))),"",IF('Your debts'!$D$20="Avalanche",'Avalanche workings'!$U$380,'Snowball workings'!$U$380)+IF('Your debts'!$D$20="Avalanche",'Avalanche workings'!$AO$380,'Snowball workings'!$AO$380))</f>
      </c>
      <c r="Y378" s="30">
        <f>IF(OR(373&gt;$Z$1,NOT(OR('Your debts'!$B$15&lt;&gt;"",N('Your debts'!$C$15)&gt;0))),"",IF('Your debts'!$D$20="Avalanche",'Avalanche workings'!$AY$380,'Snowball workings'!$AY$380))</f>
      </c>
    </row>
    <row r="379" spans="1:25" x14ac:dyDescent="0.25">
      <c r="A379" s="2">
        <f>IF(374&gt;$Z$1,"",374)</f>
      </c>
      <c r="B379" s="28">
        <f>IF(374&gt;$Z$1,"",EDATE('Your debts'!$D$21,373))</f>
      </c>
      <c r="C379" s="29">
        <f>IF(374&gt;$Z$1,"",IF('Your debts'!$D$20="Avalanche",'Avalanche workings'!$BC$381,'Snowball workings'!$BC$381))</f>
      </c>
      <c r="D379" s="29">
        <f>IF(374&gt;$Z$1,"",IF('Your debts'!$D$20="Avalanche",'Avalanche workings'!$BA$381,'Snowball workings'!$BA$381))</f>
      </c>
      <c r="E379" s="29">
        <f>IF(374&gt;$Z$1,"",IF('Your debts'!$D$20="Avalanche",'Avalanche workings'!$BB$381,'Snowball workings'!$BB$381))</f>
      </c>
      <c r="F379" s="29">
        <f>IF(OR(374&gt;$Z$1,NOT(OR('Your debts'!$B$6&lt;&gt;"",N('Your debts'!$C$6)&gt;0))),"",IF('Your debts'!$D$20="Avalanche",'Avalanche workings'!$L$381,'Snowball workings'!$L$381)+IF('Your debts'!$D$20="Avalanche",'Avalanche workings'!$AF$381,'Snowball workings'!$AF$381))</f>
      </c>
      <c r="G379" s="30">
        <f>IF(OR(374&gt;$Z$1,NOT(OR('Your debts'!$B$6&lt;&gt;"",N('Your debts'!$C$6)&gt;0))),"",IF('Your debts'!$D$20="Avalanche",'Avalanche workings'!$AP$381,'Snowball workings'!$AP$381))</f>
      </c>
      <c r="H379" s="29">
        <f>IF(OR(374&gt;$Z$1,NOT(OR('Your debts'!$B$7&lt;&gt;"",N('Your debts'!$C$7)&gt;0))),"",IF('Your debts'!$D$20="Avalanche",'Avalanche workings'!$M$381,'Snowball workings'!$M$381)+IF('Your debts'!$D$20="Avalanche",'Avalanche workings'!$AG$381,'Snowball workings'!$AG$381))</f>
      </c>
      <c r="I379" s="30">
        <f>IF(OR(374&gt;$Z$1,NOT(OR('Your debts'!$B$7&lt;&gt;"",N('Your debts'!$C$7)&gt;0))),"",IF('Your debts'!$D$20="Avalanche",'Avalanche workings'!$AQ$381,'Snowball workings'!$AQ$381))</f>
      </c>
      <c r="J379" s="29">
        <f>IF(OR(374&gt;$Z$1,NOT(OR('Your debts'!$B$8&lt;&gt;"",N('Your debts'!$C$8)&gt;0))),"",IF('Your debts'!$D$20="Avalanche",'Avalanche workings'!$N$381,'Snowball workings'!$N$381)+IF('Your debts'!$D$20="Avalanche",'Avalanche workings'!$AH$381,'Snowball workings'!$AH$381))</f>
      </c>
      <c r="K379" s="30">
        <f>IF(OR(374&gt;$Z$1,NOT(OR('Your debts'!$B$8&lt;&gt;"",N('Your debts'!$C$8)&gt;0))),"",IF('Your debts'!$D$20="Avalanche",'Avalanche workings'!$AR$381,'Snowball workings'!$AR$381))</f>
      </c>
      <c r="L379" s="29">
        <f>IF(OR(374&gt;$Z$1,NOT(OR('Your debts'!$B$9&lt;&gt;"",N('Your debts'!$C$9)&gt;0))),"",IF('Your debts'!$D$20="Avalanche",'Avalanche workings'!$O$381,'Snowball workings'!$O$381)+IF('Your debts'!$D$20="Avalanche",'Avalanche workings'!$AI$381,'Snowball workings'!$AI$381))</f>
      </c>
      <c r="M379" s="30">
        <f>IF(OR(374&gt;$Z$1,NOT(OR('Your debts'!$B$9&lt;&gt;"",N('Your debts'!$C$9)&gt;0))),"",IF('Your debts'!$D$20="Avalanche",'Avalanche workings'!$AS$381,'Snowball workings'!$AS$381))</f>
      </c>
      <c r="N379" s="29">
        <f>IF(OR(374&gt;$Z$1,NOT(OR('Your debts'!$B$10&lt;&gt;"",N('Your debts'!$C$10)&gt;0))),"",IF('Your debts'!$D$20="Avalanche",'Avalanche workings'!$P$381,'Snowball workings'!$P$381)+IF('Your debts'!$D$20="Avalanche",'Avalanche workings'!$AJ$381,'Snowball workings'!$AJ$381))</f>
      </c>
      <c r="O379" s="30">
        <f>IF(OR(374&gt;$Z$1,NOT(OR('Your debts'!$B$10&lt;&gt;"",N('Your debts'!$C$10)&gt;0))),"",IF('Your debts'!$D$20="Avalanche",'Avalanche workings'!$AT$381,'Snowball workings'!$AT$381))</f>
      </c>
      <c r="P379" s="29">
        <f>IF(OR(374&gt;$Z$1,NOT(OR('Your debts'!$B$11&lt;&gt;"",N('Your debts'!$C$11)&gt;0))),"",IF('Your debts'!$D$20="Avalanche",'Avalanche workings'!$Q$381,'Snowball workings'!$Q$381)+IF('Your debts'!$D$20="Avalanche",'Avalanche workings'!$AK$381,'Snowball workings'!$AK$381))</f>
      </c>
      <c r="Q379" s="30">
        <f>IF(OR(374&gt;$Z$1,NOT(OR('Your debts'!$B$11&lt;&gt;"",N('Your debts'!$C$11)&gt;0))),"",IF('Your debts'!$D$20="Avalanche",'Avalanche workings'!$AU$381,'Snowball workings'!$AU$381))</f>
      </c>
      <c r="R379" s="29">
        <f>IF(OR(374&gt;$Z$1,NOT(OR('Your debts'!$B$12&lt;&gt;"",N('Your debts'!$C$12)&gt;0))),"",IF('Your debts'!$D$20="Avalanche",'Avalanche workings'!$R$381,'Snowball workings'!$R$381)+IF('Your debts'!$D$20="Avalanche",'Avalanche workings'!$AL$381,'Snowball workings'!$AL$381))</f>
      </c>
      <c r="S379" s="30">
        <f>IF(OR(374&gt;$Z$1,NOT(OR('Your debts'!$B$12&lt;&gt;"",N('Your debts'!$C$12)&gt;0))),"",IF('Your debts'!$D$20="Avalanche",'Avalanche workings'!$AV$381,'Snowball workings'!$AV$381))</f>
      </c>
      <c r="T379" s="29">
        <f>IF(OR(374&gt;$Z$1,NOT(OR('Your debts'!$B$13&lt;&gt;"",N('Your debts'!$C$13)&gt;0))),"",IF('Your debts'!$D$20="Avalanche",'Avalanche workings'!$S$381,'Snowball workings'!$S$381)+IF('Your debts'!$D$20="Avalanche",'Avalanche workings'!$AM$381,'Snowball workings'!$AM$381))</f>
      </c>
      <c r="U379" s="30">
        <f>IF(OR(374&gt;$Z$1,NOT(OR('Your debts'!$B$13&lt;&gt;"",N('Your debts'!$C$13)&gt;0))),"",IF('Your debts'!$D$20="Avalanche",'Avalanche workings'!$AW$381,'Snowball workings'!$AW$381))</f>
      </c>
      <c r="V379" s="29">
        <f>IF(OR(374&gt;$Z$1,NOT(OR('Your debts'!$B$14&lt;&gt;"",N('Your debts'!$C$14)&gt;0))),"",IF('Your debts'!$D$20="Avalanche",'Avalanche workings'!$T$381,'Snowball workings'!$T$381)+IF('Your debts'!$D$20="Avalanche",'Avalanche workings'!$AN$381,'Snowball workings'!$AN$381))</f>
      </c>
      <c r="W379" s="30">
        <f>IF(OR(374&gt;$Z$1,NOT(OR('Your debts'!$B$14&lt;&gt;"",N('Your debts'!$C$14)&gt;0))),"",IF('Your debts'!$D$20="Avalanche",'Avalanche workings'!$AX$381,'Snowball workings'!$AX$381))</f>
      </c>
      <c r="X379" s="29">
        <f>IF(OR(374&gt;$Z$1,NOT(OR('Your debts'!$B$15&lt;&gt;"",N('Your debts'!$C$15)&gt;0))),"",IF('Your debts'!$D$20="Avalanche",'Avalanche workings'!$U$381,'Snowball workings'!$U$381)+IF('Your debts'!$D$20="Avalanche",'Avalanche workings'!$AO$381,'Snowball workings'!$AO$381))</f>
      </c>
      <c r="Y379" s="30">
        <f>IF(OR(374&gt;$Z$1,NOT(OR('Your debts'!$B$15&lt;&gt;"",N('Your debts'!$C$15)&gt;0))),"",IF('Your debts'!$D$20="Avalanche",'Avalanche workings'!$AY$381,'Snowball workings'!$AY$381))</f>
      </c>
    </row>
    <row r="380" spans="1:25" x14ac:dyDescent="0.25">
      <c r="A380" s="2">
        <f>IF(375&gt;$Z$1,"",375)</f>
      </c>
      <c r="B380" s="28">
        <f>IF(375&gt;$Z$1,"",EDATE('Your debts'!$D$21,374))</f>
      </c>
      <c r="C380" s="29">
        <f>IF(375&gt;$Z$1,"",IF('Your debts'!$D$20="Avalanche",'Avalanche workings'!$BC$382,'Snowball workings'!$BC$382))</f>
      </c>
      <c r="D380" s="29">
        <f>IF(375&gt;$Z$1,"",IF('Your debts'!$D$20="Avalanche",'Avalanche workings'!$BA$382,'Snowball workings'!$BA$382))</f>
      </c>
      <c r="E380" s="29">
        <f>IF(375&gt;$Z$1,"",IF('Your debts'!$D$20="Avalanche",'Avalanche workings'!$BB$382,'Snowball workings'!$BB$382))</f>
      </c>
      <c r="F380" s="29">
        <f>IF(OR(375&gt;$Z$1,NOT(OR('Your debts'!$B$6&lt;&gt;"",N('Your debts'!$C$6)&gt;0))),"",IF('Your debts'!$D$20="Avalanche",'Avalanche workings'!$L$382,'Snowball workings'!$L$382)+IF('Your debts'!$D$20="Avalanche",'Avalanche workings'!$AF$382,'Snowball workings'!$AF$382))</f>
      </c>
      <c r="G380" s="30">
        <f>IF(OR(375&gt;$Z$1,NOT(OR('Your debts'!$B$6&lt;&gt;"",N('Your debts'!$C$6)&gt;0))),"",IF('Your debts'!$D$20="Avalanche",'Avalanche workings'!$AP$382,'Snowball workings'!$AP$382))</f>
      </c>
      <c r="H380" s="29">
        <f>IF(OR(375&gt;$Z$1,NOT(OR('Your debts'!$B$7&lt;&gt;"",N('Your debts'!$C$7)&gt;0))),"",IF('Your debts'!$D$20="Avalanche",'Avalanche workings'!$M$382,'Snowball workings'!$M$382)+IF('Your debts'!$D$20="Avalanche",'Avalanche workings'!$AG$382,'Snowball workings'!$AG$382))</f>
      </c>
      <c r="I380" s="30">
        <f>IF(OR(375&gt;$Z$1,NOT(OR('Your debts'!$B$7&lt;&gt;"",N('Your debts'!$C$7)&gt;0))),"",IF('Your debts'!$D$20="Avalanche",'Avalanche workings'!$AQ$382,'Snowball workings'!$AQ$382))</f>
      </c>
      <c r="J380" s="29">
        <f>IF(OR(375&gt;$Z$1,NOT(OR('Your debts'!$B$8&lt;&gt;"",N('Your debts'!$C$8)&gt;0))),"",IF('Your debts'!$D$20="Avalanche",'Avalanche workings'!$N$382,'Snowball workings'!$N$382)+IF('Your debts'!$D$20="Avalanche",'Avalanche workings'!$AH$382,'Snowball workings'!$AH$382))</f>
      </c>
      <c r="K380" s="30">
        <f>IF(OR(375&gt;$Z$1,NOT(OR('Your debts'!$B$8&lt;&gt;"",N('Your debts'!$C$8)&gt;0))),"",IF('Your debts'!$D$20="Avalanche",'Avalanche workings'!$AR$382,'Snowball workings'!$AR$382))</f>
      </c>
      <c r="L380" s="29">
        <f>IF(OR(375&gt;$Z$1,NOT(OR('Your debts'!$B$9&lt;&gt;"",N('Your debts'!$C$9)&gt;0))),"",IF('Your debts'!$D$20="Avalanche",'Avalanche workings'!$O$382,'Snowball workings'!$O$382)+IF('Your debts'!$D$20="Avalanche",'Avalanche workings'!$AI$382,'Snowball workings'!$AI$382))</f>
      </c>
      <c r="M380" s="30">
        <f>IF(OR(375&gt;$Z$1,NOT(OR('Your debts'!$B$9&lt;&gt;"",N('Your debts'!$C$9)&gt;0))),"",IF('Your debts'!$D$20="Avalanche",'Avalanche workings'!$AS$382,'Snowball workings'!$AS$382))</f>
      </c>
      <c r="N380" s="29">
        <f>IF(OR(375&gt;$Z$1,NOT(OR('Your debts'!$B$10&lt;&gt;"",N('Your debts'!$C$10)&gt;0))),"",IF('Your debts'!$D$20="Avalanche",'Avalanche workings'!$P$382,'Snowball workings'!$P$382)+IF('Your debts'!$D$20="Avalanche",'Avalanche workings'!$AJ$382,'Snowball workings'!$AJ$382))</f>
      </c>
      <c r="O380" s="30">
        <f>IF(OR(375&gt;$Z$1,NOT(OR('Your debts'!$B$10&lt;&gt;"",N('Your debts'!$C$10)&gt;0))),"",IF('Your debts'!$D$20="Avalanche",'Avalanche workings'!$AT$382,'Snowball workings'!$AT$382))</f>
      </c>
      <c r="P380" s="29">
        <f>IF(OR(375&gt;$Z$1,NOT(OR('Your debts'!$B$11&lt;&gt;"",N('Your debts'!$C$11)&gt;0))),"",IF('Your debts'!$D$20="Avalanche",'Avalanche workings'!$Q$382,'Snowball workings'!$Q$382)+IF('Your debts'!$D$20="Avalanche",'Avalanche workings'!$AK$382,'Snowball workings'!$AK$382))</f>
      </c>
      <c r="Q380" s="30">
        <f>IF(OR(375&gt;$Z$1,NOT(OR('Your debts'!$B$11&lt;&gt;"",N('Your debts'!$C$11)&gt;0))),"",IF('Your debts'!$D$20="Avalanche",'Avalanche workings'!$AU$382,'Snowball workings'!$AU$382))</f>
      </c>
      <c r="R380" s="29">
        <f>IF(OR(375&gt;$Z$1,NOT(OR('Your debts'!$B$12&lt;&gt;"",N('Your debts'!$C$12)&gt;0))),"",IF('Your debts'!$D$20="Avalanche",'Avalanche workings'!$R$382,'Snowball workings'!$R$382)+IF('Your debts'!$D$20="Avalanche",'Avalanche workings'!$AL$382,'Snowball workings'!$AL$382))</f>
      </c>
      <c r="S380" s="30">
        <f>IF(OR(375&gt;$Z$1,NOT(OR('Your debts'!$B$12&lt;&gt;"",N('Your debts'!$C$12)&gt;0))),"",IF('Your debts'!$D$20="Avalanche",'Avalanche workings'!$AV$382,'Snowball workings'!$AV$382))</f>
      </c>
      <c r="T380" s="29">
        <f>IF(OR(375&gt;$Z$1,NOT(OR('Your debts'!$B$13&lt;&gt;"",N('Your debts'!$C$13)&gt;0))),"",IF('Your debts'!$D$20="Avalanche",'Avalanche workings'!$S$382,'Snowball workings'!$S$382)+IF('Your debts'!$D$20="Avalanche",'Avalanche workings'!$AM$382,'Snowball workings'!$AM$382))</f>
      </c>
      <c r="U380" s="30">
        <f>IF(OR(375&gt;$Z$1,NOT(OR('Your debts'!$B$13&lt;&gt;"",N('Your debts'!$C$13)&gt;0))),"",IF('Your debts'!$D$20="Avalanche",'Avalanche workings'!$AW$382,'Snowball workings'!$AW$382))</f>
      </c>
      <c r="V380" s="29">
        <f>IF(OR(375&gt;$Z$1,NOT(OR('Your debts'!$B$14&lt;&gt;"",N('Your debts'!$C$14)&gt;0))),"",IF('Your debts'!$D$20="Avalanche",'Avalanche workings'!$T$382,'Snowball workings'!$T$382)+IF('Your debts'!$D$20="Avalanche",'Avalanche workings'!$AN$382,'Snowball workings'!$AN$382))</f>
      </c>
      <c r="W380" s="30">
        <f>IF(OR(375&gt;$Z$1,NOT(OR('Your debts'!$B$14&lt;&gt;"",N('Your debts'!$C$14)&gt;0))),"",IF('Your debts'!$D$20="Avalanche",'Avalanche workings'!$AX$382,'Snowball workings'!$AX$382))</f>
      </c>
      <c r="X380" s="29">
        <f>IF(OR(375&gt;$Z$1,NOT(OR('Your debts'!$B$15&lt;&gt;"",N('Your debts'!$C$15)&gt;0))),"",IF('Your debts'!$D$20="Avalanche",'Avalanche workings'!$U$382,'Snowball workings'!$U$382)+IF('Your debts'!$D$20="Avalanche",'Avalanche workings'!$AO$382,'Snowball workings'!$AO$382))</f>
      </c>
      <c r="Y380" s="30">
        <f>IF(OR(375&gt;$Z$1,NOT(OR('Your debts'!$B$15&lt;&gt;"",N('Your debts'!$C$15)&gt;0))),"",IF('Your debts'!$D$20="Avalanche",'Avalanche workings'!$AY$382,'Snowball workings'!$AY$382))</f>
      </c>
    </row>
    <row r="381" spans="1:25" x14ac:dyDescent="0.25">
      <c r="A381" s="2">
        <f>IF(376&gt;$Z$1,"",376)</f>
      </c>
      <c r="B381" s="28">
        <f>IF(376&gt;$Z$1,"",EDATE('Your debts'!$D$21,375))</f>
      </c>
      <c r="C381" s="29">
        <f>IF(376&gt;$Z$1,"",IF('Your debts'!$D$20="Avalanche",'Avalanche workings'!$BC$383,'Snowball workings'!$BC$383))</f>
      </c>
      <c r="D381" s="29">
        <f>IF(376&gt;$Z$1,"",IF('Your debts'!$D$20="Avalanche",'Avalanche workings'!$BA$383,'Snowball workings'!$BA$383))</f>
      </c>
      <c r="E381" s="29">
        <f>IF(376&gt;$Z$1,"",IF('Your debts'!$D$20="Avalanche",'Avalanche workings'!$BB$383,'Snowball workings'!$BB$383))</f>
      </c>
      <c r="F381" s="29">
        <f>IF(OR(376&gt;$Z$1,NOT(OR('Your debts'!$B$6&lt;&gt;"",N('Your debts'!$C$6)&gt;0))),"",IF('Your debts'!$D$20="Avalanche",'Avalanche workings'!$L$383,'Snowball workings'!$L$383)+IF('Your debts'!$D$20="Avalanche",'Avalanche workings'!$AF$383,'Snowball workings'!$AF$383))</f>
      </c>
      <c r="G381" s="30">
        <f>IF(OR(376&gt;$Z$1,NOT(OR('Your debts'!$B$6&lt;&gt;"",N('Your debts'!$C$6)&gt;0))),"",IF('Your debts'!$D$20="Avalanche",'Avalanche workings'!$AP$383,'Snowball workings'!$AP$383))</f>
      </c>
      <c r="H381" s="29">
        <f>IF(OR(376&gt;$Z$1,NOT(OR('Your debts'!$B$7&lt;&gt;"",N('Your debts'!$C$7)&gt;0))),"",IF('Your debts'!$D$20="Avalanche",'Avalanche workings'!$M$383,'Snowball workings'!$M$383)+IF('Your debts'!$D$20="Avalanche",'Avalanche workings'!$AG$383,'Snowball workings'!$AG$383))</f>
      </c>
      <c r="I381" s="30">
        <f>IF(OR(376&gt;$Z$1,NOT(OR('Your debts'!$B$7&lt;&gt;"",N('Your debts'!$C$7)&gt;0))),"",IF('Your debts'!$D$20="Avalanche",'Avalanche workings'!$AQ$383,'Snowball workings'!$AQ$383))</f>
      </c>
      <c r="J381" s="29">
        <f>IF(OR(376&gt;$Z$1,NOT(OR('Your debts'!$B$8&lt;&gt;"",N('Your debts'!$C$8)&gt;0))),"",IF('Your debts'!$D$20="Avalanche",'Avalanche workings'!$N$383,'Snowball workings'!$N$383)+IF('Your debts'!$D$20="Avalanche",'Avalanche workings'!$AH$383,'Snowball workings'!$AH$383))</f>
      </c>
      <c r="K381" s="30">
        <f>IF(OR(376&gt;$Z$1,NOT(OR('Your debts'!$B$8&lt;&gt;"",N('Your debts'!$C$8)&gt;0))),"",IF('Your debts'!$D$20="Avalanche",'Avalanche workings'!$AR$383,'Snowball workings'!$AR$383))</f>
      </c>
      <c r="L381" s="29">
        <f>IF(OR(376&gt;$Z$1,NOT(OR('Your debts'!$B$9&lt;&gt;"",N('Your debts'!$C$9)&gt;0))),"",IF('Your debts'!$D$20="Avalanche",'Avalanche workings'!$O$383,'Snowball workings'!$O$383)+IF('Your debts'!$D$20="Avalanche",'Avalanche workings'!$AI$383,'Snowball workings'!$AI$383))</f>
      </c>
      <c r="M381" s="30">
        <f>IF(OR(376&gt;$Z$1,NOT(OR('Your debts'!$B$9&lt;&gt;"",N('Your debts'!$C$9)&gt;0))),"",IF('Your debts'!$D$20="Avalanche",'Avalanche workings'!$AS$383,'Snowball workings'!$AS$383))</f>
      </c>
      <c r="N381" s="29">
        <f>IF(OR(376&gt;$Z$1,NOT(OR('Your debts'!$B$10&lt;&gt;"",N('Your debts'!$C$10)&gt;0))),"",IF('Your debts'!$D$20="Avalanche",'Avalanche workings'!$P$383,'Snowball workings'!$P$383)+IF('Your debts'!$D$20="Avalanche",'Avalanche workings'!$AJ$383,'Snowball workings'!$AJ$383))</f>
      </c>
      <c r="O381" s="30">
        <f>IF(OR(376&gt;$Z$1,NOT(OR('Your debts'!$B$10&lt;&gt;"",N('Your debts'!$C$10)&gt;0))),"",IF('Your debts'!$D$20="Avalanche",'Avalanche workings'!$AT$383,'Snowball workings'!$AT$383))</f>
      </c>
      <c r="P381" s="29">
        <f>IF(OR(376&gt;$Z$1,NOT(OR('Your debts'!$B$11&lt;&gt;"",N('Your debts'!$C$11)&gt;0))),"",IF('Your debts'!$D$20="Avalanche",'Avalanche workings'!$Q$383,'Snowball workings'!$Q$383)+IF('Your debts'!$D$20="Avalanche",'Avalanche workings'!$AK$383,'Snowball workings'!$AK$383))</f>
      </c>
      <c r="Q381" s="30">
        <f>IF(OR(376&gt;$Z$1,NOT(OR('Your debts'!$B$11&lt;&gt;"",N('Your debts'!$C$11)&gt;0))),"",IF('Your debts'!$D$20="Avalanche",'Avalanche workings'!$AU$383,'Snowball workings'!$AU$383))</f>
      </c>
      <c r="R381" s="29">
        <f>IF(OR(376&gt;$Z$1,NOT(OR('Your debts'!$B$12&lt;&gt;"",N('Your debts'!$C$12)&gt;0))),"",IF('Your debts'!$D$20="Avalanche",'Avalanche workings'!$R$383,'Snowball workings'!$R$383)+IF('Your debts'!$D$20="Avalanche",'Avalanche workings'!$AL$383,'Snowball workings'!$AL$383))</f>
      </c>
      <c r="S381" s="30">
        <f>IF(OR(376&gt;$Z$1,NOT(OR('Your debts'!$B$12&lt;&gt;"",N('Your debts'!$C$12)&gt;0))),"",IF('Your debts'!$D$20="Avalanche",'Avalanche workings'!$AV$383,'Snowball workings'!$AV$383))</f>
      </c>
      <c r="T381" s="29">
        <f>IF(OR(376&gt;$Z$1,NOT(OR('Your debts'!$B$13&lt;&gt;"",N('Your debts'!$C$13)&gt;0))),"",IF('Your debts'!$D$20="Avalanche",'Avalanche workings'!$S$383,'Snowball workings'!$S$383)+IF('Your debts'!$D$20="Avalanche",'Avalanche workings'!$AM$383,'Snowball workings'!$AM$383))</f>
      </c>
      <c r="U381" s="30">
        <f>IF(OR(376&gt;$Z$1,NOT(OR('Your debts'!$B$13&lt;&gt;"",N('Your debts'!$C$13)&gt;0))),"",IF('Your debts'!$D$20="Avalanche",'Avalanche workings'!$AW$383,'Snowball workings'!$AW$383))</f>
      </c>
      <c r="V381" s="29">
        <f>IF(OR(376&gt;$Z$1,NOT(OR('Your debts'!$B$14&lt;&gt;"",N('Your debts'!$C$14)&gt;0))),"",IF('Your debts'!$D$20="Avalanche",'Avalanche workings'!$T$383,'Snowball workings'!$T$383)+IF('Your debts'!$D$20="Avalanche",'Avalanche workings'!$AN$383,'Snowball workings'!$AN$383))</f>
      </c>
      <c r="W381" s="30">
        <f>IF(OR(376&gt;$Z$1,NOT(OR('Your debts'!$B$14&lt;&gt;"",N('Your debts'!$C$14)&gt;0))),"",IF('Your debts'!$D$20="Avalanche",'Avalanche workings'!$AX$383,'Snowball workings'!$AX$383))</f>
      </c>
      <c r="X381" s="29">
        <f>IF(OR(376&gt;$Z$1,NOT(OR('Your debts'!$B$15&lt;&gt;"",N('Your debts'!$C$15)&gt;0))),"",IF('Your debts'!$D$20="Avalanche",'Avalanche workings'!$U$383,'Snowball workings'!$U$383)+IF('Your debts'!$D$20="Avalanche",'Avalanche workings'!$AO$383,'Snowball workings'!$AO$383))</f>
      </c>
      <c r="Y381" s="30">
        <f>IF(OR(376&gt;$Z$1,NOT(OR('Your debts'!$B$15&lt;&gt;"",N('Your debts'!$C$15)&gt;0))),"",IF('Your debts'!$D$20="Avalanche",'Avalanche workings'!$AY$383,'Snowball workings'!$AY$383))</f>
      </c>
    </row>
    <row r="382" spans="1:25" x14ac:dyDescent="0.25">
      <c r="A382" s="2">
        <f>IF(377&gt;$Z$1,"",377)</f>
      </c>
      <c r="B382" s="28">
        <f>IF(377&gt;$Z$1,"",EDATE('Your debts'!$D$21,376))</f>
      </c>
      <c r="C382" s="29">
        <f>IF(377&gt;$Z$1,"",IF('Your debts'!$D$20="Avalanche",'Avalanche workings'!$BC$384,'Snowball workings'!$BC$384))</f>
      </c>
      <c r="D382" s="29">
        <f>IF(377&gt;$Z$1,"",IF('Your debts'!$D$20="Avalanche",'Avalanche workings'!$BA$384,'Snowball workings'!$BA$384))</f>
      </c>
      <c r="E382" s="29">
        <f>IF(377&gt;$Z$1,"",IF('Your debts'!$D$20="Avalanche",'Avalanche workings'!$BB$384,'Snowball workings'!$BB$384))</f>
      </c>
      <c r="F382" s="29">
        <f>IF(OR(377&gt;$Z$1,NOT(OR('Your debts'!$B$6&lt;&gt;"",N('Your debts'!$C$6)&gt;0))),"",IF('Your debts'!$D$20="Avalanche",'Avalanche workings'!$L$384,'Snowball workings'!$L$384)+IF('Your debts'!$D$20="Avalanche",'Avalanche workings'!$AF$384,'Snowball workings'!$AF$384))</f>
      </c>
      <c r="G382" s="30">
        <f>IF(OR(377&gt;$Z$1,NOT(OR('Your debts'!$B$6&lt;&gt;"",N('Your debts'!$C$6)&gt;0))),"",IF('Your debts'!$D$20="Avalanche",'Avalanche workings'!$AP$384,'Snowball workings'!$AP$384))</f>
      </c>
      <c r="H382" s="29">
        <f>IF(OR(377&gt;$Z$1,NOT(OR('Your debts'!$B$7&lt;&gt;"",N('Your debts'!$C$7)&gt;0))),"",IF('Your debts'!$D$20="Avalanche",'Avalanche workings'!$M$384,'Snowball workings'!$M$384)+IF('Your debts'!$D$20="Avalanche",'Avalanche workings'!$AG$384,'Snowball workings'!$AG$384))</f>
      </c>
      <c r="I382" s="30">
        <f>IF(OR(377&gt;$Z$1,NOT(OR('Your debts'!$B$7&lt;&gt;"",N('Your debts'!$C$7)&gt;0))),"",IF('Your debts'!$D$20="Avalanche",'Avalanche workings'!$AQ$384,'Snowball workings'!$AQ$384))</f>
      </c>
      <c r="J382" s="29">
        <f>IF(OR(377&gt;$Z$1,NOT(OR('Your debts'!$B$8&lt;&gt;"",N('Your debts'!$C$8)&gt;0))),"",IF('Your debts'!$D$20="Avalanche",'Avalanche workings'!$N$384,'Snowball workings'!$N$384)+IF('Your debts'!$D$20="Avalanche",'Avalanche workings'!$AH$384,'Snowball workings'!$AH$384))</f>
      </c>
      <c r="K382" s="30">
        <f>IF(OR(377&gt;$Z$1,NOT(OR('Your debts'!$B$8&lt;&gt;"",N('Your debts'!$C$8)&gt;0))),"",IF('Your debts'!$D$20="Avalanche",'Avalanche workings'!$AR$384,'Snowball workings'!$AR$384))</f>
      </c>
      <c r="L382" s="29">
        <f>IF(OR(377&gt;$Z$1,NOT(OR('Your debts'!$B$9&lt;&gt;"",N('Your debts'!$C$9)&gt;0))),"",IF('Your debts'!$D$20="Avalanche",'Avalanche workings'!$O$384,'Snowball workings'!$O$384)+IF('Your debts'!$D$20="Avalanche",'Avalanche workings'!$AI$384,'Snowball workings'!$AI$384))</f>
      </c>
      <c r="M382" s="30">
        <f>IF(OR(377&gt;$Z$1,NOT(OR('Your debts'!$B$9&lt;&gt;"",N('Your debts'!$C$9)&gt;0))),"",IF('Your debts'!$D$20="Avalanche",'Avalanche workings'!$AS$384,'Snowball workings'!$AS$384))</f>
      </c>
      <c r="N382" s="29">
        <f>IF(OR(377&gt;$Z$1,NOT(OR('Your debts'!$B$10&lt;&gt;"",N('Your debts'!$C$10)&gt;0))),"",IF('Your debts'!$D$20="Avalanche",'Avalanche workings'!$P$384,'Snowball workings'!$P$384)+IF('Your debts'!$D$20="Avalanche",'Avalanche workings'!$AJ$384,'Snowball workings'!$AJ$384))</f>
      </c>
      <c r="O382" s="30">
        <f>IF(OR(377&gt;$Z$1,NOT(OR('Your debts'!$B$10&lt;&gt;"",N('Your debts'!$C$10)&gt;0))),"",IF('Your debts'!$D$20="Avalanche",'Avalanche workings'!$AT$384,'Snowball workings'!$AT$384))</f>
      </c>
      <c r="P382" s="29">
        <f>IF(OR(377&gt;$Z$1,NOT(OR('Your debts'!$B$11&lt;&gt;"",N('Your debts'!$C$11)&gt;0))),"",IF('Your debts'!$D$20="Avalanche",'Avalanche workings'!$Q$384,'Snowball workings'!$Q$384)+IF('Your debts'!$D$20="Avalanche",'Avalanche workings'!$AK$384,'Snowball workings'!$AK$384))</f>
      </c>
      <c r="Q382" s="30">
        <f>IF(OR(377&gt;$Z$1,NOT(OR('Your debts'!$B$11&lt;&gt;"",N('Your debts'!$C$11)&gt;0))),"",IF('Your debts'!$D$20="Avalanche",'Avalanche workings'!$AU$384,'Snowball workings'!$AU$384))</f>
      </c>
      <c r="R382" s="29">
        <f>IF(OR(377&gt;$Z$1,NOT(OR('Your debts'!$B$12&lt;&gt;"",N('Your debts'!$C$12)&gt;0))),"",IF('Your debts'!$D$20="Avalanche",'Avalanche workings'!$R$384,'Snowball workings'!$R$384)+IF('Your debts'!$D$20="Avalanche",'Avalanche workings'!$AL$384,'Snowball workings'!$AL$384))</f>
      </c>
      <c r="S382" s="30">
        <f>IF(OR(377&gt;$Z$1,NOT(OR('Your debts'!$B$12&lt;&gt;"",N('Your debts'!$C$12)&gt;0))),"",IF('Your debts'!$D$20="Avalanche",'Avalanche workings'!$AV$384,'Snowball workings'!$AV$384))</f>
      </c>
      <c r="T382" s="29">
        <f>IF(OR(377&gt;$Z$1,NOT(OR('Your debts'!$B$13&lt;&gt;"",N('Your debts'!$C$13)&gt;0))),"",IF('Your debts'!$D$20="Avalanche",'Avalanche workings'!$S$384,'Snowball workings'!$S$384)+IF('Your debts'!$D$20="Avalanche",'Avalanche workings'!$AM$384,'Snowball workings'!$AM$384))</f>
      </c>
      <c r="U382" s="30">
        <f>IF(OR(377&gt;$Z$1,NOT(OR('Your debts'!$B$13&lt;&gt;"",N('Your debts'!$C$13)&gt;0))),"",IF('Your debts'!$D$20="Avalanche",'Avalanche workings'!$AW$384,'Snowball workings'!$AW$384))</f>
      </c>
      <c r="V382" s="29">
        <f>IF(OR(377&gt;$Z$1,NOT(OR('Your debts'!$B$14&lt;&gt;"",N('Your debts'!$C$14)&gt;0))),"",IF('Your debts'!$D$20="Avalanche",'Avalanche workings'!$T$384,'Snowball workings'!$T$384)+IF('Your debts'!$D$20="Avalanche",'Avalanche workings'!$AN$384,'Snowball workings'!$AN$384))</f>
      </c>
      <c r="W382" s="30">
        <f>IF(OR(377&gt;$Z$1,NOT(OR('Your debts'!$B$14&lt;&gt;"",N('Your debts'!$C$14)&gt;0))),"",IF('Your debts'!$D$20="Avalanche",'Avalanche workings'!$AX$384,'Snowball workings'!$AX$384))</f>
      </c>
      <c r="X382" s="29">
        <f>IF(OR(377&gt;$Z$1,NOT(OR('Your debts'!$B$15&lt;&gt;"",N('Your debts'!$C$15)&gt;0))),"",IF('Your debts'!$D$20="Avalanche",'Avalanche workings'!$U$384,'Snowball workings'!$U$384)+IF('Your debts'!$D$20="Avalanche",'Avalanche workings'!$AO$384,'Snowball workings'!$AO$384))</f>
      </c>
      <c r="Y382" s="30">
        <f>IF(OR(377&gt;$Z$1,NOT(OR('Your debts'!$B$15&lt;&gt;"",N('Your debts'!$C$15)&gt;0))),"",IF('Your debts'!$D$20="Avalanche",'Avalanche workings'!$AY$384,'Snowball workings'!$AY$384))</f>
      </c>
    </row>
    <row r="383" spans="1:25" x14ac:dyDescent="0.25">
      <c r="A383" s="2">
        <f>IF(378&gt;$Z$1,"",378)</f>
      </c>
      <c r="B383" s="28">
        <f>IF(378&gt;$Z$1,"",EDATE('Your debts'!$D$21,377))</f>
      </c>
      <c r="C383" s="29">
        <f>IF(378&gt;$Z$1,"",IF('Your debts'!$D$20="Avalanche",'Avalanche workings'!$BC$385,'Snowball workings'!$BC$385))</f>
      </c>
      <c r="D383" s="29">
        <f>IF(378&gt;$Z$1,"",IF('Your debts'!$D$20="Avalanche",'Avalanche workings'!$BA$385,'Snowball workings'!$BA$385))</f>
      </c>
      <c r="E383" s="29">
        <f>IF(378&gt;$Z$1,"",IF('Your debts'!$D$20="Avalanche",'Avalanche workings'!$BB$385,'Snowball workings'!$BB$385))</f>
      </c>
      <c r="F383" s="29">
        <f>IF(OR(378&gt;$Z$1,NOT(OR('Your debts'!$B$6&lt;&gt;"",N('Your debts'!$C$6)&gt;0))),"",IF('Your debts'!$D$20="Avalanche",'Avalanche workings'!$L$385,'Snowball workings'!$L$385)+IF('Your debts'!$D$20="Avalanche",'Avalanche workings'!$AF$385,'Snowball workings'!$AF$385))</f>
      </c>
      <c r="G383" s="30">
        <f>IF(OR(378&gt;$Z$1,NOT(OR('Your debts'!$B$6&lt;&gt;"",N('Your debts'!$C$6)&gt;0))),"",IF('Your debts'!$D$20="Avalanche",'Avalanche workings'!$AP$385,'Snowball workings'!$AP$385))</f>
      </c>
      <c r="H383" s="29">
        <f>IF(OR(378&gt;$Z$1,NOT(OR('Your debts'!$B$7&lt;&gt;"",N('Your debts'!$C$7)&gt;0))),"",IF('Your debts'!$D$20="Avalanche",'Avalanche workings'!$M$385,'Snowball workings'!$M$385)+IF('Your debts'!$D$20="Avalanche",'Avalanche workings'!$AG$385,'Snowball workings'!$AG$385))</f>
      </c>
      <c r="I383" s="30">
        <f>IF(OR(378&gt;$Z$1,NOT(OR('Your debts'!$B$7&lt;&gt;"",N('Your debts'!$C$7)&gt;0))),"",IF('Your debts'!$D$20="Avalanche",'Avalanche workings'!$AQ$385,'Snowball workings'!$AQ$385))</f>
      </c>
      <c r="J383" s="29">
        <f>IF(OR(378&gt;$Z$1,NOT(OR('Your debts'!$B$8&lt;&gt;"",N('Your debts'!$C$8)&gt;0))),"",IF('Your debts'!$D$20="Avalanche",'Avalanche workings'!$N$385,'Snowball workings'!$N$385)+IF('Your debts'!$D$20="Avalanche",'Avalanche workings'!$AH$385,'Snowball workings'!$AH$385))</f>
      </c>
      <c r="K383" s="30">
        <f>IF(OR(378&gt;$Z$1,NOT(OR('Your debts'!$B$8&lt;&gt;"",N('Your debts'!$C$8)&gt;0))),"",IF('Your debts'!$D$20="Avalanche",'Avalanche workings'!$AR$385,'Snowball workings'!$AR$385))</f>
      </c>
      <c r="L383" s="29">
        <f>IF(OR(378&gt;$Z$1,NOT(OR('Your debts'!$B$9&lt;&gt;"",N('Your debts'!$C$9)&gt;0))),"",IF('Your debts'!$D$20="Avalanche",'Avalanche workings'!$O$385,'Snowball workings'!$O$385)+IF('Your debts'!$D$20="Avalanche",'Avalanche workings'!$AI$385,'Snowball workings'!$AI$385))</f>
      </c>
      <c r="M383" s="30">
        <f>IF(OR(378&gt;$Z$1,NOT(OR('Your debts'!$B$9&lt;&gt;"",N('Your debts'!$C$9)&gt;0))),"",IF('Your debts'!$D$20="Avalanche",'Avalanche workings'!$AS$385,'Snowball workings'!$AS$385))</f>
      </c>
      <c r="N383" s="29">
        <f>IF(OR(378&gt;$Z$1,NOT(OR('Your debts'!$B$10&lt;&gt;"",N('Your debts'!$C$10)&gt;0))),"",IF('Your debts'!$D$20="Avalanche",'Avalanche workings'!$P$385,'Snowball workings'!$P$385)+IF('Your debts'!$D$20="Avalanche",'Avalanche workings'!$AJ$385,'Snowball workings'!$AJ$385))</f>
      </c>
      <c r="O383" s="30">
        <f>IF(OR(378&gt;$Z$1,NOT(OR('Your debts'!$B$10&lt;&gt;"",N('Your debts'!$C$10)&gt;0))),"",IF('Your debts'!$D$20="Avalanche",'Avalanche workings'!$AT$385,'Snowball workings'!$AT$385))</f>
      </c>
      <c r="P383" s="29">
        <f>IF(OR(378&gt;$Z$1,NOT(OR('Your debts'!$B$11&lt;&gt;"",N('Your debts'!$C$11)&gt;0))),"",IF('Your debts'!$D$20="Avalanche",'Avalanche workings'!$Q$385,'Snowball workings'!$Q$385)+IF('Your debts'!$D$20="Avalanche",'Avalanche workings'!$AK$385,'Snowball workings'!$AK$385))</f>
      </c>
      <c r="Q383" s="30">
        <f>IF(OR(378&gt;$Z$1,NOT(OR('Your debts'!$B$11&lt;&gt;"",N('Your debts'!$C$11)&gt;0))),"",IF('Your debts'!$D$20="Avalanche",'Avalanche workings'!$AU$385,'Snowball workings'!$AU$385))</f>
      </c>
      <c r="R383" s="29">
        <f>IF(OR(378&gt;$Z$1,NOT(OR('Your debts'!$B$12&lt;&gt;"",N('Your debts'!$C$12)&gt;0))),"",IF('Your debts'!$D$20="Avalanche",'Avalanche workings'!$R$385,'Snowball workings'!$R$385)+IF('Your debts'!$D$20="Avalanche",'Avalanche workings'!$AL$385,'Snowball workings'!$AL$385))</f>
      </c>
      <c r="S383" s="30">
        <f>IF(OR(378&gt;$Z$1,NOT(OR('Your debts'!$B$12&lt;&gt;"",N('Your debts'!$C$12)&gt;0))),"",IF('Your debts'!$D$20="Avalanche",'Avalanche workings'!$AV$385,'Snowball workings'!$AV$385))</f>
      </c>
      <c r="T383" s="29">
        <f>IF(OR(378&gt;$Z$1,NOT(OR('Your debts'!$B$13&lt;&gt;"",N('Your debts'!$C$13)&gt;0))),"",IF('Your debts'!$D$20="Avalanche",'Avalanche workings'!$S$385,'Snowball workings'!$S$385)+IF('Your debts'!$D$20="Avalanche",'Avalanche workings'!$AM$385,'Snowball workings'!$AM$385))</f>
      </c>
      <c r="U383" s="30">
        <f>IF(OR(378&gt;$Z$1,NOT(OR('Your debts'!$B$13&lt;&gt;"",N('Your debts'!$C$13)&gt;0))),"",IF('Your debts'!$D$20="Avalanche",'Avalanche workings'!$AW$385,'Snowball workings'!$AW$385))</f>
      </c>
      <c r="V383" s="29">
        <f>IF(OR(378&gt;$Z$1,NOT(OR('Your debts'!$B$14&lt;&gt;"",N('Your debts'!$C$14)&gt;0))),"",IF('Your debts'!$D$20="Avalanche",'Avalanche workings'!$T$385,'Snowball workings'!$T$385)+IF('Your debts'!$D$20="Avalanche",'Avalanche workings'!$AN$385,'Snowball workings'!$AN$385))</f>
      </c>
      <c r="W383" s="30">
        <f>IF(OR(378&gt;$Z$1,NOT(OR('Your debts'!$B$14&lt;&gt;"",N('Your debts'!$C$14)&gt;0))),"",IF('Your debts'!$D$20="Avalanche",'Avalanche workings'!$AX$385,'Snowball workings'!$AX$385))</f>
      </c>
      <c r="X383" s="29">
        <f>IF(OR(378&gt;$Z$1,NOT(OR('Your debts'!$B$15&lt;&gt;"",N('Your debts'!$C$15)&gt;0))),"",IF('Your debts'!$D$20="Avalanche",'Avalanche workings'!$U$385,'Snowball workings'!$U$385)+IF('Your debts'!$D$20="Avalanche",'Avalanche workings'!$AO$385,'Snowball workings'!$AO$385))</f>
      </c>
      <c r="Y383" s="30">
        <f>IF(OR(378&gt;$Z$1,NOT(OR('Your debts'!$B$15&lt;&gt;"",N('Your debts'!$C$15)&gt;0))),"",IF('Your debts'!$D$20="Avalanche",'Avalanche workings'!$AY$385,'Snowball workings'!$AY$385))</f>
      </c>
    </row>
    <row r="384" spans="1:25" x14ac:dyDescent="0.25">
      <c r="A384" s="2">
        <f>IF(379&gt;$Z$1,"",379)</f>
      </c>
      <c r="B384" s="28">
        <f>IF(379&gt;$Z$1,"",EDATE('Your debts'!$D$21,378))</f>
      </c>
      <c r="C384" s="29">
        <f>IF(379&gt;$Z$1,"",IF('Your debts'!$D$20="Avalanche",'Avalanche workings'!$BC$386,'Snowball workings'!$BC$386))</f>
      </c>
      <c r="D384" s="29">
        <f>IF(379&gt;$Z$1,"",IF('Your debts'!$D$20="Avalanche",'Avalanche workings'!$BA$386,'Snowball workings'!$BA$386))</f>
      </c>
      <c r="E384" s="29">
        <f>IF(379&gt;$Z$1,"",IF('Your debts'!$D$20="Avalanche",'Avalanche workings'!$BB$386,'Snowball workings'!$BB$386))</f>
      </c>
      <c r="F384" s="29">
        <f>IF(OR(379&gt;$Z$1,NOT(OR('Your debts'!$B$6&lt;&gt;"",N('Your debts'!$C$6)&gt;0))),"",IF('Your debts'!$D$20="Avalanche",'Avalanche workings'!$L$386,'Snowball workings'!$L$386)+IF('Your debts'!$D$20="Avalanche",'Avalanche workings'!$AF$386,'Snowball workings'!$AF$386))</f>
      </c>
      <c r="G384" s="30">
        <f>IF(OR(379&gt;$Z$1,NOT(OR('Your debts'!$B$6&lt;&gt;"",N('Your debts'!$C$6)&gt;0))),"",IF('Your debts'!$D$20="Avalanche",'Avalanche workings'!$AP$386,'Snowball workings'!$AP$386))</f>
      </c>
      <c r="H384" s="29">
        <f>IF(OR(379&gt;$Z$1,NOT(OR('Your debts'!$B$7&lt;&gt;"",N('Your debts'!$C$7)&gt;0))),"",IF('Your debts'!$D$20="Avalanche",'Avalanche workings'!$M$386,'Snowball workings'!$M$386)+IF('Your debts'!$D$20="Avalanche",'Avalanche workings'!$AG$386,'Snowball workings'!$AG$386))</f>
      </c>
      <c r="I384" s="30">
        <f>IF(OR(379&gt;$Z$1,NOT(OR('Your debts'!$B$7&lt;&gt;"",N('Your debts'!$C$7)&gt;0))),"",IF('Your debts'!$D$20="Avalanche",'Avalanche workings'!$AQ$386,'Snowball workings'!$AQ$386))</f>
      </c>
      <c r="J384" s="29">
        <f>IF(OR(379&gt;$Z$1,NOT(OR('Your debts'!$B$8&lt;&gt;"",N('Your debts'!$C$8)&gt;0))),"",IF('Your debts'!$D$20="Avalanche",'Avalanche workings'!$N$386,'Snowball workings'!$N$386)+IF('Your debts'!$D$20="Avalanche",'Avalanche workings'!$AH$386,'Snowball workings'!$AH$386))</f>
      </c>
      <c r="K384" s="30">
        <f>IF(OR(379&gt;$Z$1,NOT(OR('Your debts'!$B$8&lt;&gt;"",N('Your debts'!$C$8)&gt;0))),"",IF('Your debts'!$D$20="Avalanche",'Avalanche workings'!$AR$386,'Snowball workings'!$AR$386))</f>
      </c>
      <c r="L384" s="29">
        <f>IF(OR(379&gt;$Z$1,NOT(OR('Your debts'!$B$9&lt;&gt;"",N('Your debts'!$C$9)&gt;0))),"",IF('Your debts'!$D$20="Avalanche",'Avalanche workings'!$O$386,'Snowball workings'!$O$386)+IF('Your debts'!$D$20="Avalanche",'Avalanche workings'!$AI$386,'Snowball workings'!$AI$386))</f>
      </c>
      <c r="M384" s="30">
        <f>IF(OR(379&gt;$Z$1,NOT(OR('Your debts'!$B$9&lt;&gt;"",N('Your debts'!$C$9)&gt;0))),"",IF('Your debts'!$D$20="Avalanche",'Avalanche workings'!$AS$386,'Snowball workings'!$AS$386))</f>
      </c>
      <c r="N384" s="29">
        <f>IF(OR(379&gt;$Z$1,NOT(OR('Your debts'!$B$10&lt;&gt;"",N('Your debts'!$C$10)&gt;0))),"",IF('Your debts'!$D$20="Avalanche",'Avalanche workings'!$P$386,'Snowball workings'!$P$386)+IF('Your debts'!$D$20="Avalanche",'Avalanche workings'!$AJ$386,'Snowball workings'!$AJ$386))</f>
      </c>
      <c r="O384" s="30">
        <f>IF(OR(379&gt;$Z$1,NOT(OR('Your debts'!$B$10&lt;&gt;"",N('Your debts'!$C$10)&gt;0))),"",IF('Your debts'!$D$20="Avalanche",'Avalanche workings'!$AT$386,'Snowball workings'!$AT$386))</f>
      </c>
      <c r="P384" s="29">
        <f>IF(OR(379&gt;$Z$1,NOT(OR('Your debts'!$B$11&lt;&gt;"",N('Your debts'!$C$11)&gt;0))),"",IF('Your debts'!$D$20="Avalanche",'Avalanche workings'!$Q$386,'Snowball workings'!$Q$386)+IF('Your debts'!$D$20="Avalanche",'Avalanche workings'!$AK$386,'Snowball workings'!$AK$386))</f>
      </c>
      <c r="Q384" s="30">
        <f>IF(OR(379&gt;$Z$1,NOT(OR('Your debts'!$B$11&lt;&gt;"",N('Your debts'!$C$11)&gt;0))),"",IF('Your debts'!$D$20="Avalanche",'Avalanche workings'!$AU$386,'Snowball workings'!$AU$386))</f>
      </c>
      <c r="R384" s="29">
        <f>IF(OR(379&gt;$Z$1,NOT(OR('Your debts'!$B$12&lt;&gt;"",N('Your debts'!$C$12)&gt;0))),"",IF('Your debts'!$D$20="Avalanche",'Avalanche workings'!$R$386,'Snowball workings'!$R$386)+IF('Your debts'!$D$20="Avalanche",'Avalanche workings'!$AL$386,'Snowball workings'!$AL$386))</f>
      </c>
      <c r="S384" s="30">
        <f>IF(OR(379&gt;$Z$1,NOT(OR('Your debts'!$B$12&lt;&gt;"",N('Your debts'!$C$12)&gt;0))),"",IF('Your debts'!$D$20="Avalanche",'Avalanche workings'!$AV$386,'Snowball workings'!$AV$386))</f>
      </c>
      <c r="T384" s="29">
        <f>IF(OR(379&gt;$Z$1,NOT(OR('Your debts'!$B$13&lt;&gt;"",N('Your debts'!$C$13)&gt;0))),"",IF('Your debts'!$D$20="Avalanche",'Avalanche workings'!$S$386,'Snowball workings'!$S$386)+IF('Your debts'!$D$20="Avalanche",'Avalanche workings'!$AM$386,'Snowball workings'!$AM$386))</f>
      </c>
      <c r="U384" s="30">
        <f>IF(OR(379&gt;$Z$1,NOT(OR('Your debts'!$B$13&lt;&gt;"",N('Your debts'!$C$13)&gt;0))),"",IF('Your debts'!$D$20="Avalanche",'Avalanche workings'!$AW$386,'Snowball workings'!$AW$386))</f>
      </c>
      <c r="V384" s="29">
        <f>IF(OR(379&gt;$Z$1,NOT(OR('Your debts'!$B$14&lt;&gt;"",N('Your debts'!$C$14)&gt;0))),"",IF('Your debts'!$D$20="Avalanche",'Avalanche workings'!$T$386,'Snowball workings'!$T$386)+IF('Your debts'!$D$20="Avalanche",'Avalanche workings'!$AN$386,'Snowball workings'!$AN$386))</f>
      </c>
      <c r="W384" s="30">
        <f>IF(OR(379&gt;$Z$1,NOT(OR('Your debts'!$B$14&lt;&gt;"",N('Your debts'!$C$14)&gt;0))),"",IF('Your debts'!$D$20="Avalanche",'Avalanche workings'!$AX$386,'Snowball workings'!$AX$386))</f>
      </c>
      <c r="X384" s="29">
        <f>IF(OR(379&gt;$Z$1,NOT(OR('Your debts'!$B$15&lt;&gt;"",N('Your debts'!$C$15)&gt;0))),"",IF('Your debts'!$D$20="Avalanche",'Avalanche workings'!$U$386,'Snowball workings'!$U$386)+IF('Your debts'!$D$20="Avalanche",'Avalanche workings'!$AO$386,'Snowball workings'!$AO$386))</f>
      </c>
      <c r="Y384" s="30">
        <f>IF(OR(379&gt;$Z$1,NOT(OR('Your debts'!$B$15&lt;&gt;"",N('Your debts'!$C$15)&gt;0))),"",IF('Your debts'!$D$20="Avalanche",'Avalanche workings'!$AY$386,'Snowball workings'!$AY$386))</f>
      </c>
    </row>
    <row r="385" spans="1:25" x14ac:dyDescent="0.25">
      <c r="A385" s="2">
        <f>IF(380&gt;$Z$1,"",380)</f>
      </c>
      <c r="B385" s="28">
        <f>IF(380&gt;$Z$1,"",EDATE('Your debts'!$D$21,379))</f>
      </c>
      <c r="C385" s="29">
        <f>IF(380&gt;$Z$1,"",IF('Your debts'!$D$20="Avalanche",'Avalanche workings'!$BC$387,'Snowball workings'!$BC$387))</f>
      </c>
      <c r="D385" s="29">
        <f>IF(380&gt;$Z$1,"",IF('Your debts'!$D$20="Avalanche",'Avalanche workings'!$BA$387,'Snowball workings'!$BA$387))</f>
      </c>
      <c r="E385" s="29">
        <f>IF(380&gt;$Z$1,"",IF('Your debts'!$D$20="Avalanche",'Avalanche workings'!$BB$387,'Snowball workings'!$BB$387))</f>
      </c>
      <c r="F385" s="29">
        <f>IF(OR(380&gt;$Z$1,NOT(OR('Your debts'!$B$6&lt;&gt;"",N('Your debts'!$C$6)&gt;0))),"",IF('Your debts'!$D$20="Avalanche",'Avalanche workings'!$L$387,'Snowball workings'!$L$387)+IF('Your debts'!$D$20="Avalanche",'Avalanche workings'!$AF$387,'Snowball workings'!$AF$387))</f>
      </c>
      <c r="G385" s="30">
        <f>IF(OR(380&gt;$Z$1,NOT(OR('Your debts'!$B$6&lt;&gt;"",N('Your debts'!$C$6)&gt;0))),"",IF('Your debts'!$D$20="Avalanche",'Avalanche workings'!$AP$387,'Snowball workings'!$AP$387))</f>
      </c>
      <c r="H385" s="29">
        <f>IF(OR(380&gt;$Z$1,NOT(OR('Your debts'!$B$7&lt;&gt;"",N('Your debts'!$C$7)&gt;0))),"",IF('Your debts'!$D$20="Avalanche",'Avalanche workings'!$M$387,'Snowball workings'!$M$387)+IF('Your debts'!$D$20="Avalanche",'Avalanche workings'!$AG$387,'Snowball workings'!$AG$387))</f>
      </c>
      <c r="I385" s="30">
        <f>IF(OR(380&gt;$Z$1,NOT(OR('Your debts'!$B$7&lt;&gt;"",N('Your debts'!$C$7)&gt;0))),"",IF('Your debts'!$D$20="Avalanche",'Avalanche workings'!$AQ$387,'Snowball workings'!$AQ$387))</f>
      </c>
      <c r="J385" s="29">
        <f>IF(OR(380&gt;$Z$1,NOT(OR('Your debts'!$B$8&lt;&gt;"",N('Your debts'!$C$8)&gt;0))),"",IF('Your debts'!$D$20="Avalanche",'Avalanche workings'!$N$387,'Snowball workings'!$N$387)+IF('Your debts'!$D$20="Avalanche",'Avalanche workings'!$AH$387,'Snowball workings'!$AH$387))</f>
      </c>
      <c r="K385" s="30">
        <f>IF(OR(380&gt;$Z$1,NOT(OR('Your debts'!$B$8&lt;&gt;"",N('Your debts'!$C$8)&gt;0))),"",IF('Your debts'!$D$20="Avalanche",'Avalanche workings'!$AR$387,'Snowball workings'!$AR$387))</f>
      </c>
      <c r="L385" s="29">
        <f>IF(OR(380&gt;$Z$1,NOT(OR('Your debts'!$B$9&lt;&gt;"",N('Your debts'!$C$9)&gt;0))),"",IF('Your debts'!$D$20="Avalanche",'Avalanche workings'!$O$387,'Snowball workings'!$O$387)+IF('Your debts'!$D$20="Avalanche",'Avalanche workings'!$AI$387,'Snowball workings'!$AI$387))</f>
      </c>
      <c r="M385" s="30">
        <f>IF(OR(380&gt;$Z$1,NOT(OR('Your debts'!$B$9&lt;&gt;"",N('Your debts'!$C$9)&gt;0))),"",IF('Your debts'!$D$20="Avalanche",'Avalanche workings'!$AS$387,'Snowball workings'!$AS$387))</f>
      </c>
      <c r="N385" s="29">
        <f>IF(OR(380&gt;$Z$1,NOT(OR('Your debts'!$B$10&lt;&gt;"",N('Your debts'!$C$10)&gt;0))),"",IF('Your debts'!$D$20="Avalanche",'Avalanche workings'!$P$387,'Snowball workings'!$P$387)+IF('Your debts'!$D$20="Avalanche",'Avalanche workings'!$AJ$387,'Snowball workings'!$AJ$387))</f>
      </c>
      <c r="O385" s="30">
        <f>IF(OR(380&gt;$Z$1,NOT(OR('Your debts'!$B$10&lt;&gt;"",N('Your debts'!$C$10)&gt;0))),"",IF('Your debts'!$D$20="Avalanche",'Avalanche workings'!$AT$387,'Snowball workings'!$AT$387))</f>
      </c>
      <c r="P385" s="29">
        <f>IF(OR(380&gt;$Z$1,NOT(OR('Your debts'!$B$11&lt;&gt;"",N('Your debts'!$C$11)&gt;0))),"",IF('Your debts'!$D$20="Avalanche",'Avalanche workings'!$Q$387,'Snowball workings'!$Q$387)+IF('Your debts'!$D$20="Avalanche",'Avalanche workings'!$AK$387,'Snowball workings'!$AK$387))</f>
      </c>
      <c r="Q385" s="30">
        <f>IF(OR(380&gt;$Z$1,NOT(OR('Your debts'!$B$11&lt;&gt;"",N('Your debts'!$C$11)&gt;0))),"",IF('Your debts'!$D$20="Avalanche",'Avalanche workings'!$AU$387,'Snowball workings'!$AU$387))</f>
      </c>
      <c r="R385" s="29">
        <f>IF(OR(380&gt;$Z$1,NOT(OR('Your debts'!$B$12&lt;&gt;"",N('Your debts'!$C$12)&gt;0))),"",IF('Your debts'!$D$20="Avalanche",'Avalanche workings'!$R$387,'Snowball workings'!$R$387)+IF('Your debts'!$D$20="Avalanche",'Avalanche workings'!$AL$387,'Snowball workings'!$AL$387))</f>
      </c>
      <c r="S385" s="30">
        <f>IF(OR(380&gt;$Z$1,NOT(OR('Your debts'!$B$12&lt;&gt;"",N('Your debts'!$C$12)&gt;0))),"",IF('Your debts'!$D$20="Avalanche",'Avalanche workings'!$AV$387,'Snowball workings'!$AV$387))</f>
      </c>
      <c r="T385" s="29">
        <f>IF(OR(380&gt;$Z$1,NOT(OR('Your debts'!$B$13&lt;&gt;"",N('Your debts'!$C$13)&gt;0))),"",IF('Your debts'!$D$20="Avalanche",'Avalanche workings'!$S$387,'Snowball workings'!$S$387)+IF('Your debts'!$D$20="Avalanche",'Avalanche workings'!$AM$387,'Snowball workings'!$AM$387))</f>
      </c>
      <c r="U385" s="30">
        <f>IF(OR(380&gt;$Z$1,NOT(OR('Your debts'!$B$13&lt;&gt;"",N('Your debts'!$C$13)&gt;0))),"",IF('Your debts'!$D$20="Avalanche",'Avalanche workings'!$AW$387,'Snowball workings'!$AW$387))</f>
      </c>
      <c r="V385" s="29">
        <f>IF(OR(380&gt;$Z$1,NOT(OR('Your debts'!$B$14&lt;&gt;"",N('Your debts'!$C$14)&gt;0))),"",IF('Your debts'!$D$20="Avalanche",'Avalanche workings'!$T$387,'Snowball workings'!$T$387)+IF('Your debts'!$D$20="Avalanche",'Avalanche workings'!$AN$387,'Snowball workings'!$AN$387))</f>
      </c>
      <c r="W385" s="30">
        <f>IF(OR(380&gt;$Z$1,NOT(OR('Your debts'!$B$14&lt;&gt;"",N('Your debts'!$C$14)&gt;0))),"",IF('Your debts'!$D$20="Avalanche",'Avalanche workings'!$AX$387,'Snowball workings'!$AX$387))</f>
      </c>
      <c r="X385" s="29">
        <f>IF(OR(380&gt;$Z$1,NOT(OR('Your debts'!$B$15&lt;&gt;"",N('Your debts'!$C$15)&gt;0))),"",IF('Your debts'!$D$20="Avalanche",'Avalanche workings'!$U$387,'Snowball workings'!$U$387)+IF('Your debts'!$D$20="Avalanche",'Avalanche workings'!$AO$387,'Snowball workings'!$AO$387))</f>
      </c>
      <c r="Y385" s="30">
        <f>IF(OR(380&gt;$Z$1,NOT(OR('Your debts'!$B$15&lt;&gt;"",N('Your debts'!$C$15)&gt;0))),"",IF('Your debts'!$D$20="Avalanche",'Avalanche workings'!$AY$387,'Snowball workings'!$AY$387))</f>
      </c>
    </row>
    <row r="386" spans="1:25" x14ac:dyDescent="0.25">
      <c r="A386" s="2">
        <f>IF(381&gt;$Z$1,"",381)</f>
      </c>
      <c r="B386" s="28">
        <f>IF(381&gt;$Z$1,"",EDATE('Your debts'!$D$21,380))</f>
      </c>
      <c r="C386" s="29">
        <f>IF(381&gt;$Z$1,"",IF('Your debts'!$D$20="Avalanche",'Avalanche workings'!$BC$388,'Snowball workings'!$BC$388))</f>
      </c>
      <c r="D386" s="29">
        <f>IF(381&gt;$Z$1,"",IF('Your debts'!$D$20="Avalanche",'Avalanche workings'!$BA$388,'Snowball workings'!$BA$388))</f>
      </c>
      <c r="E386" s="29">
        <f>IF(381&gt;$Z$1,"",IF('Your debts'!$D$20="Avalanche",'Avalanche workings'!$BB$388,'Snowball workings'!$BB$388))</f>
      </c>
      <c r="F386" s="29">
        <f>IF(OR(381&gt;$Z$1,NOT(OR('Your debts'!$B$6&lt;&gt;"",N('Your debts'!$C$6)&gt;0))),"",IF('Your debts'!$D$20="Avalanche",'Avalanche workings'!$L$388,'Snowball workings'!$L$388)+IF('Your debts'!$D$20="Avalanche",'Avalanche workings'!$AF$388,'Snowball workings'!$AF$388))</f>
      </c>
      <c r="G386" s="30">
        <f>IF(OR(381&gt;$Z$1,NOT(OR('Your debts'!$B$6&lt;&gt;"",N('Your debts'!$C$6)&gt;0))),"",IF('Your debts'!$D$20="Avalanche",'Avalanche workings'!$AP$388,'Snowball workings'!$AP$388))</f>
      </c>
      <c r="H386" s="29">
        <f>IF(OR(381&gt;$Z$1,NOT(OR('Your debts'!$B$7&lt;&gt;"",N('Your debts'!$C$7)&gt;0))),"",IF('Your debts'!$D$20="Avalanche",'Avalanche workings'!$M$388,'Snowball workings'!$M$388)+IF('Your debts'!$D$20="Avalanche",'Avalanche workings'!$AG$388,'Snowball workings'!$AG$388))</f>
      </c>
      <c r="I386" s="30">
        <f>IF(OR(381&gt;$Z$1,NOT(OR('Your debts'!$B$7&lt;&gt;"",N('Your debts'!$C$7)&gt;0))),"",IF('Your debts'!$D$20="Avalanche",'Avalanche workings'!$AQ$388,'Snowball workings'!$AQ$388))</f>
      </c>
      <c r="J386" s="29">
        <f>IF(OR(381&gt;$Z$1,NOT(OR('Your debts'!$B$8&lt;&gt;"",N('Your debts'!$C$8)&gt;0))),"",IF('Your debts'!$D$20="Avalanche",'Avalanche workings'!$N$388,'Snowball workings'!$N$388)+IF('Your debts'!$D$20="Avalanche",'Avalanche workings'!$AH$388,'Snowball workings'!$AH$388))</f>
      </c>
      <c r="K386" s="30">
        <f>IF(OR(381&gt;$Z$1,NOT(OR('Your debts'!$B$8&lt;&gt;"",N('Your debts'!$C$8)&gt;0))),"",IF('Your debts'!$D$20="Avalanche",'Avalanche workings'!$AR$388,'Snowball workings'!$AR$388))</f>
      </c>
      <c r="L386" s="29">
        <f>IF(OR(381&gt;$Z$1,NOT(OR('Your debts'!$B$9&lt;&gt;"",N('Your debts'!$C$9)&gt;0))),"",IF('Your debts'!$D$20="Avalanche",'Avalanche workings'!$O$388,'Snowball workings'!$O$388)+IF('Your debts'!$D$20="Avalanche",'Avalanche workings'!$AI$388,'Snowball workings'!$AI$388))</f>
      </c>
      <c r="M386" s="30">
        <f>IF(OR(381&gt;$Z$1,NOT(OR('Your debts'!$B$9&lt;&gt;"",N('Your debts'!$C$9)&gt;0))),"",IF('Your debts'!$D$20="Avalanche",'Avalanche workings'!$AS$388,'Snowball workings'!$AS$388))</f>
      </c>
      <c r="N386" s="29">
        <f>IF(OR(381&gt;$Z$1,NOT(OR('Your debts'!$B$10&lt;&gt;"",N('Your debts'!$C$10)&gt;0))),"",IF('Your debts'!$D$20="Avalanche",'Avalanche workings'!$P$388,'Snowball workings'!$P$388)+IF('Your debts'!$D$20="Avalanche",'Avalanche workings'!$AJ$388,'Snowball workings'!$AJ$388))</f>
      </c>
      <c r="O386" s="30">
        <f>IF(OR(381&gt;$Z$1,NOT(OR('Your debts'!$B$10&lt;&gt;"",N('Your debts'!$C$10)&gt;0))),"",IF('Your debts'!$D$20="Avalanche",'Avalanche workings'!$AT$388,'Snowball workings'!$AT$388))</f>
      </c>
      <c r="P386" s="29">
        <f>IF(OR(381&gt;$Z$1,NOT(OR('Your debts'!$B$11&lt;&gt;"",N('Your debts'!$C$11)&gt;0))),"",IF('Your debts'!$D$20="Avalanche",'Avalanche workings'!$Q$388,'Snowball workings'!$Q$388)+IF('Your debts'!$D$20="Avalanche",'Avalanche workings'!$AK$388,'Snowball workings'!$AK$388))</f>
      </c>
      <c r="Q386" s="30">
        <f>IF(OR(381&gt;$Z$1,NOT(OR('Your debts'!$B$11&lt;&gt;"",N('Your debts'!$C$11)&gt;0))),"",IF('Your debts'!$D$20="Avalanche",'Avalanche workings'!$AU$388,'Snowball workings'!$AU$388))</f>
      </c>
      <c r="R386" s="29">
        <f>IF(OR(381&gt;$Z$1,NOT(OR('Your debts'!$B$12&lt;&gt;"",N('Your debts'!$C$12)&gt;0))),"",IF('Your debts'!$D$20="Avalanche",'Avalanche workings'!$R$388,'Snowball workings'!$R$388)+IF('Your debts'!$D$20="Avalanche",'Avalanche workings'!$AL$388,'Snowball workings'!$AL$388))</f>
      </c>
      <c r="S386" s="30">
        <f>IF(OR(381&gt;$Z$1,NOT(OR('Your debts'!$B$12&lt;&gt;"",N('Your debts'!$C$12)&gt;0))),"",IF('Your debts'!$D$20="Avalanche",'Avalanche workings'!$AV$388,'Snowball workings'!$AV$388))</f>
      </c>
      <c r="T386" s="29">
        <f>IF(OR(381&gt;$Z$1,NOT(OR('Your debts'!$B$13&lt;&gt;"",N('Your debts'!$C$13)&gt;0))),"",IF('Your debts'!$D$20="Avalanche",'Avalanche workings'!$S$388,'Snowball workings'!$S$388)+IF('Your debts'!$D$20="Avalanche",'Avalanche workings'!$AM$388,'Snowball workings'!$AM$388))</f>
      </c>
      <c r="U386" s="30">
        <f>IF(OR(381&gt;$Z$1,NOT(OR('Your debts'!$B$13&lt;&gt;"",N('Your debts'!$C$13)&gt;0))),"",IF('Your debts'!$D$20="Avalanche",'Avalanche workings'!$AW$388,'Snowball workings'!$AW$388))</f>
      </c>
      <c r="V386" s="29">
        <f>IF(OR(381&gt;$Z$1,NOT(OR('Your debts'!$B$14&lt;&gt;"",N('Your debts'!$C$14)&gt;0))),"",IF('Your debts'!$D$20="Avalanche",'Avalanche workings'!$T$388,'Snowball workings'!$T$388)+IF('Your debts'!$D$20="Avalanche",'Avalanche workings'!$AN$388,'Snowball workings'!$AN$388))</f>
      </c>
      <c r="W386" s="30">
        <f>IF(OR(381&gt;$Z$1,NOT(OR('Your debts'!$B$14&lt;&gt;"",N('Your debts'!$C$14)&gt;0))),"",IF('Your debts'!$D$20="Avalanche",'Avalanche workings'!$AX$388,'Snowball workings'!$AX$388))</f>
      </c>
      <c r="X386" s="29">
        <f>IF(OR(381&gt;$Z$1,NOT(OR('Your debts'!$B$15&lt;&gt;"",N('Your debts'!$C$15)&gt;0))),"",IF('Your debts'!$D$20="Avalanche",'Avalanche workings'!$U$388,'Snowball workings'!$U$388)+IF('Your debts'!$D$20="Avalanche",'Avalanche workings'!$AO$388,'Snowball workings'!$AO$388))</f>
      </c>
      <c r="Y386" s="30">
        <f>IF(OR(381&gt;$Z$1,NOT(OR('Your debts'!$B$15&lt;&gt;"",N('Your debts'!$C$15)&gt;0))),"",IF('Your debts'!$D$20="Avalanche",'Avalanche workings'!$AY$388,'Snowball workings'!$AY$388))</f>
      </c>
    </row>
    <row r="387" spans="1:25" x14ac:dyDescent="0.25">
      <c r="A387" s="2">
        <f>IF(382&gt;$Z$1,"",382)</f>
      </c>
      <c r="B387" s="28">
        <f>IF(382&gt;$Z$1,"",EDATE('Your debts'!$D$21,381))</f>
      </c>
      <c r="C387" s="29">
        <f>IF(382&gt;$Z$1,"",IF('Your debts'!$D$20="Avalanche",'Avalanche workings'!$BC$389,'Snowball workings'!$BC$389))</f>
      </c>
      <c r="D387" s="29">
        <f>IF(382&gt;$Z$1,"",IF('Your debts'!$D$20="Avalanche",'Avalanche workings'!$BA$389,'Snowball workings'!$BA$389))</f>
      </c>
      <c r="E387" s="29">
        <f>IF(382&gt;$Z$1,"",IF('Your debts'!$D$20="Avalanche",'Avalanche workings'!$BB$389,'Snowball workings'!$BB$389))</f>
      </c>
      <c r="F387" s="29">
        <f>IF(OR(382&gt;$Z$1,NOT(OR('Your debts'!$B$6&lt;&gt;"",N('Your debts'!$C$6)&gt;0))),"",IF('Your debts'!$D$20="Avalanche",'Avalanche workings'!$L$389,'Snowball workings'!$L$389)+IF('Your debts'!$D$20="Avalanche",'Avalanche workings'!$AF$389,'Snowball workings'!$AF$389))</f>
      </c>
      <c r="G387" s="30">
        <f>IF(OR(382&gt;$Z$1,NOT(OR('Your debts'!$B$6&lt;&gt;"",N('Your debts'!$C$6)&gt;0))),"",IF('Your debts'!$D$20="Avalanche",'Avalanche workings'!$AP$389,'Snowball workings'!$AP$389))</f>
      </c>
      <c r="H387" s="29">
        <f>IF(OR(382&gt;$Z$1,NOT(OR('Your debts'!$B$7&lt;&gt;"",N('Your debts'!$C$7)&gt;0))),"",IF('Your debts'!$D$20="Avalanche",'Avalanche workings'!$M$389,'Snowball workings'!$M$389)+IF('Your debts'!$D$20="Avalanche",'Avalanche workings'!$AG$389,'Snowball workings'!$AG$389))</f>
      </c>
      <c r="I387" s="30">
        <f>IF(OR(382&gt;$Z$1,NOT(OR('Your debts'!$B$7&lt;&gt;"",N('Your debts'!$C$7)&gt;0))),"",IF('Your debts'!$D$20="Avalanche",'Avalanche workings'!$AQ$389,'Snowball workings'!$AQ$389))</f>
      </c>
      <c r="J387" s="29">
        <f>IF(OR(382&gt;$Z$1,NOT(OR('Your debts'!$B$8&lt;&gt;"",N('Your debts'!$C$8)&gt;0))),"",IF('Your debts'!$D$20="Avalanche",'Avalanche workings'!$N$389,'Snowball workings'!$N$389)+IF('Your debts'!$D$20="Avalanche",'Avalanche workings'!$AH$389,'Snowball workings'!$AH$389))</f>
      </c>
      <c r="K387" s="30">
        <f>IF(OR(382&gt;$Z$1,NOT(OR('Your debts'!$B$8&lt;&gt;"",N('Your debts'!$C$8)&gt;0))),"",IF('Your debts'!$D$20="Avalanche",'Avalanche workings'!$AR$389,'Snowball workings'!$AR$389))</f>
      </c>
      <c r="L387" s="29">
        <f>IF(OR(382&gt;$Z$1,NOT(OR('Your debts'!$B$9&lt;&gt;"",N('Your debts'!$C$9)&gt;0))),"",IF('Your debts'!$D$20="Avalanche",'Avalanche workings'!$O$389,'Snowball workings'!$O$389)+IF('Your debts'!$D$20="Avalanche",'Avalanche workings'!$AI$389,'Snowball workings'!$AI$389))</f>
      </c>
      <c r="M387" s="30">
        <f>IF(OR(382&gt;$Z$1,NOT(OR('Your debts'!$B$9&lt;&gt;"",N('Your debts'!$C$9)&gt;0))),"",IF('Your debts'!$D$20="Avalanche",'Avalanche workings'!$AS$389,'Snowball workings'!$AS$389))</f>
      </c>
      <c r="N387" s="29">
        <f>IF(OR(382&gt;$Z$1,NOT(OR('Your debts'!$B$10&lt;&gt;"",N('Your debts'!$C$10)&gt;0))),"",IF('Your debts'!$D$20="Avalanche",'Avalanche workings'!$P$389,'Snowball workings'!$P$389)+IF('Your debts'!$D$20="Avalanche",'Avalanche workings'!$AJ$389,'Snowball workings'!$AJ$389))</f>
      </c>
      <c r="O387" s="30">
        <f>IF(OR(382&gt;$Z$1,NOT(OR('Your debts'!$B$10&lt;&gt;"",N('Your debts'!$C$10)&gt;0))),"",IF('Your debts'!$D$20="Avalanche",'Avalanche workings'!$AT$389,'Snowball workings'!$AT$389))</f>
      </c>
      <c r="P387" s="29">
        <f>IF(OR(382&gt;$Z$1,NOT(OR('Your debts'!$B$11&lt;&gt;"",N('Your debts'!$C$11)&gt;0))),"",IF('Your debts'!$D$20="Avalanche",'Avalanche workings'!$Q$389,'Snowball workings'!$Q$389)+IF('Your debts'!$D$20="Avalanche",'Avalanche workings'!$AK$389,'Snowball workings'!$AK$389))</f>
      </c>
      <c r="Q387" s="30">
        <f>IF(OR(382&gt;$Z$1,NOT(OR('Your debts'!$B$11&lt;&gt;"",N('Your debts'!$C$11)&gt;0))),"",IF('Your debts'!$D$20="Avalanche",'Avalanche workings'!$AU$389,'Snowball workings'!$AU$389))</f>
      </c>
      <c r="R387" s="29">
        <f>IF(OR(382&gt;$Z$1,NOT(OR('Your debts'!$B$12&lt;&gt;"",N('Your debts'!$C$12)&gt;0))),"",IF('Your debts'!$D$20="Avalanche",'Avalanche workings'!$R$389,'Snowball workings'!$R$389)+IF('Your debts'!$D$20="Avalanche",'Avalanche workings'!$AL$389,'Snowball workings'!$AL$389))</f>
      </c>
      <c r="S387" s="30">
        <f>IF(OR(382&gt;$Z$1,NOT(OR('Your debts'!$B$12&lt;&gt;"",N('Your debts'!$C$12)&gt;0))),"",IF('Your debts'!$D$20="Avalanche",'Avalanche workings'!$AV$389,'Snowball workings'!$AV$389))</f>
      </c>
      <c r="T387" s="29">
        <f>IF(OR(382&gt;$Z$1,NOT(OR('Your debts'!$B$13&lt;&gt;"",N('Your debts'!$C$13)&gt;0))),"",IF('Your debts'!$D$20="Avalanche",'Avalanche workings'!$S$389,'Snowball workings'!$S$389)+IF('Your debts'!$D$20="Avalanche",'Avalanche workings'!$AM$389,'Snowball workings'!$AM$389))</f>
      </c>
      <c r="U387" s="30">
        <f>IF(OR(382&gt;$Z$1,NOT(OR('Your debts'!$B$13&lt;&gt;"",N('Your debts'!$C$13)&gt;0))),"",IF('Your debts'!$D$20="Avalanche",'Avalanche workings'!$AW$389,'Snowball workings'!$AW$389))</f>
      </c>
      <c r="V387" s="29">
        <f>IF(OR(382&gt;$Z$1,NOT(OR('Your debts'!$B$14&lt;&gt;"",N('Your debts'!$C$14)&gt;0))),"",IF('Your debts'!$D$20="Avalanche",'Avalanche workings'!$T$389,'Snowball workings'!$T$389)+IF('Your debts'!$D$20="Avalanche",'Avalanche workings'!$AN$389,'Snowball workings'!$AN$389))</f>
      </c>
      <c r="W387" s="30">
        <f>IF(OR(382&gt;$Z$1,NOT(OR('Your debts'!$B$14&lt;&gt;"",N('Your debts'!$C$14)&gt;0))),"",IF('Your debts'!$D$20="Avalanche",'Avalanche workings'!$AX$389,'Snowball workings'!$AX$389))</f>
      </c>
      <c r="X387" s="29">
        <f>IF(OR(382&gt;$Z$1,NOT(OR('Your debts'!$B$15&lt;&gt;"",N('Your debts'!$C$15)&gt;0))),"",IF('Your debts'!$D$20="Avalanche",'Avalanche workings'!$U$389,'Snowball workings'!$U$389)+IF('Your debts'!$D$20="Avalanche",'Avalanche workings'!$AO$389,'Snowball workings'!$AO$389))</f>
      </c>
      <c r="Y387" s="30">
        <f>IF(OR(382&gt;$Z$1,NOT(OR('Your debts'!$B$15&lt;&gt;"",N('Your debts'!$C$15)&gt;0))),"",IF('Your debts'!$D$20="Avalanche",'Avalanche workings'!$AY$389,'Snowball workings'!$AY$389))</f>
      </c>
    </row>
    <row r="388" spans="1:25" x14ac:dyDescent="0.25">
      <c r="A388" s="2">
        <f>IF(383&gt;$Z$1,"",383)</f>
      </c>
      <c r="B388" s="28">
        <f>IF(383&gt;$Z$1,"",EDATE('Your debts'!$D$21,382))</f>
      </c>
      <c r="C388" s="29">
        <f>IF(383&gt;$Z$1,"",IF('Your debts'!$D$20="Avalanche",'Avalanche workings'!$BC$390,'Snowball workings'!$BC$390))</f>
      </c>
      <c r="D388" s="29">
        <f>IF(383&gt;$Z$1,"",IF('Your debts'!$D$20="Avalanche",'Avalanche workings'!$BA$390,'Snowball workings'!$BA$390))</f>
      </c>
      <c r="E388" s="29">
        <f>IF(383&gt;$Z$1,"",IF('Your debts'!$D$20="Avalanche",'Avalanche workings'!$BB$390,'Snowball workings'!$BB$390))</f>
      </c>
      <c r="F388" s="29">
        <f>IF(OR(383&gt;$Z$1,NOT(OR('Your debts'!$B$6&lt;&gt;"",N('Your debts'!$C$6)&gt;0))),"",IF('Your debts'!$D$20="Avalanche",'Avalanche workings'!$L$390,'Snowball workings'!$L$390)+IF('Your debts'!$D$20="Avalanche",'Avalanche workings'!$AF$390,'Snowball workings'!$AF$390))</f>
      </c>
      <c r="G388" s="30">
        <f>IF(OR(383&gt;$Z$1,NOT(OR('Your debts'!$B$6&lt;&gt;"",N('Your debts'!$C$6)&gt;0))),"",IF('Your debts'!$D$20="Avalanche",'Avalanche workings'!$AP$390,'Snowball workings'!$AP$390))</f>
      </c>
      <c r="H388" s="29">
        <f>IF(OR(383&gt;$Z$1,NOT(OR('Your debts'!$B$7&lt;&gt;"",N('Your debts'!$C$7)&gt;0))),"",IF('Your debts'!$D$20="Avalanche",'Avalanche workings'!$M$390,'Snowball workings'!$M$390)+IF('Your debts'!$D$20="Avalanche",'Avalanche workings'!$AG$390,'Snowball workings'!$AG$390))</f>
      </c>
      <c r="I388" s="30">
        <f>IF(OR(383&gt;$Z$1,NOT(OR('Your debts'!$B$7&lt;&gt;"",N('Your debts'!$C$7)&gt;0))),"",IF('Your debts'!$D$20="Avalanche",'Avalanche workings'!$AQ$390,'Snowball workings'!$AQ$390))</f>
      </c>
      <c r="J388" s="29">
        <f>IF(OR(383&gt;$Z$1,NOT(OR('Your debts'!$B$8&lt;&gt;"",N('Your debts'!$C$8)&gt;0))),"",IF('Your debts'!$D$20="Avalanche",'Avalanche workings'!$N$390,'Snowball workings'!$N$390)+IF('Your debts'!$D$20="Avalanche",'Avalanche workings'!$AH$390,'Snowball workings'!$AH$390))</f>
      </c>
      <c r="K388" s="30">
        <f>IF(OR(383&gt;$Z$1,NOT(OR('Your debts'!$B$8&lt;&gt;"",N('Your debts'!$C$8)&gt;0))),"",IF('Your debts'!$D$20="Avalanche",'Avalanche workings'!$AR$390,'Snowball workings'!$AR$390))</f>
      </c>
      <c r="L388" s="29">
        <f>IF(OR(383&gt;$Z$1,NOT(OR('Your debts'!$B$9&lt;&gt;"",N('Your debts'!$C$9)&gt;0))),"",IF('Your debts'!$D$20="Avalanche",'Avalanche workings'!$O$390,'Snowball workings'!$O$390)+IF('Your debts'!$D$20="Avalanche",'Avalanche workings'!$AI$390,'Snowball workings'!$AI$390))</f>
      </c>
      <c r="M388" s="30">
        <f>IF(OR(383&gt;$Z$1,NOT(OR('Your debts'!$B$9&lt;&gt;"",N('Your debts'!$C$9)&gt;0))),"",IF('Your debts'!$D$20="Avalanche",'Avalanche workings'!$AS$390,'Snowball workings'!$AS$390))</f>
      </c>
      <c r="N388" s="29">
        <f>IF(OR(383&gt;$Z$1,NOT(OR('Your debts'!$B$10&lt;&gt;"",N('Your debts'!$C$10)&gt;0))),"",IF('Your debts'!$D$20="Avalanche",'Avalanche workings'!$P$390,'Snowball workings'!$P$390)+IF('Your debts'!$D$20="Avalanche",'Avalanche workings'!$AJ$390,'Snowball workings'!$AJ$390))</f>
      </c>
      <c r="O388" s="30">
        <f>IF(OR(383&gt;$Z$1,NOT(OR('Your debts'!$B$10&lt;&gt;"",N('Your debts'!$C$10)&gt;0))),"",IF('Your debts'!$D$20="Avalanche",'Avalanche workings'!$AT$390,'Snowball workings'!$AT$390))</f>
      </c>
      <c r="P388" s="29">
        <f>IF(OR(383&gt;$Z$1,NOT(OR('Your debts'!$B$11&lt;&gt;"",N('Your debts'!$C$11)&gt;0))),"",IF('Your debts'!$D$20="Avalanche",'Avalanche workings'!$Q$390,'Snowball workings'!$Q$390)+IF('Your debts'!$D$20="Avalanche",'Avalanche workings'!$AK$390,'Snowball workings'!$AK$390))</f>
      </c>
      <c r="Q388" s="30">
        <f>IF(OR(383&gt;$Z$1,NOT(OR('Your debts'!$B$11&lt;&gt;"",N('Your debts'!$C$11)&gt;0))),"",IF('Your debts'!$D$20="Avalanche",'Avalanche workings'!$AU$390,'Snowball workings'!$AU$390))</f>
      </c>
      <c r="R388" s="29">
        <f>IF(OR(383&gt;$Z$1,NOT(OR('Your debts'!$B$12&lt;&gt;"",N('Your debts'!$C$12)&gt;0))),"",IF('Your debts'!$D$20="Avalanche",'Avalanche workings'!$R$390,'Snowball workings'!$R$390)+IF('Your debts'!$D$20="Avalanche",'Avalanche workings'!$AL$390,'Snowball workings'!$AL$390))</f>
      </c>
      <c r="S388" s="30">
        <f>IF(OR(383&gt;$Z$1,NOT(OR('Your debts'!$B$12&lt;&gt;"",N('Your debts'!$C$12)&gt;0))),"",IF('Your debts'!$D$20="Avalanche",'Avalanche workings'!$AV$390,'Snowball workings'!$AV$390))</f>
      </c>
      <c r="T388" s="29">
        <f>IF(OR(383&gt;$Z$1,NOT(OR('Your debts'!$B$13&lt;&gt;"",N('Your debts'!$C$13)&gt;0))),"",IF('Your debts'!$D$20="Avalanche",'Avalanche workings'!$S$390,'Snowball workings'!$S$390)+IF('Your debts'!$D$20="Avalanche",'Avalanche workings'!$AM$390,'Snowball workings'!$AM$390))</f>
      </c>
      <c r="U388" s="30">
        <f>IF(OR(383&gt;$Z$1,NOT(OR('Your debts'!$B$13&lt;&gt;"",N('Your debts'!$C$13)&gt;0))),"",IF('Your debts'!$D$20="Avalanche",'Avalanche workings'!$AW$390,'Snowball workings'!$AW$390))</f>
      </c>
      <c r="V388" s="29">
        <f>IF(OR(383&gt;$Z$1,NOT(OR('Your debts'!$B$14&lt;&gt;"",N('Your debts'!$C$14)&gt;0))),"",IF('Your debts'!$D$20="Avalanche",'Avalanche workings'!$T$390,'Snowball workings'!$T$390)+IF('Your debts'!$D$20="Avalanche",'Avalanche workings'!$AN$390,'Snowball workings'!$AN$390))</f>
      </c>
      <c r="W388" s="30">
        <f>IF(OR(383&gt;$Z$1,NOT(OR('Your debts'!$B$14&lt;&gt;"",N('Your debts'!$C$14)&gt;0))),"",IF('Your debts'!$D$20="Avalanche",'Avalanche workings'!$AX$390,'Snowball workings'!$AX$390))</f>
      </c>
      <c r="X388" s="29">
        <f>IF(OR(383&gt;$Z$1,NOT(OR('Your debts'!$B$15&lt;&gt;"",N('Your debts'!$C$15)&gt;0))),"",IF('Your debts'!$D$20="Avalanche",'Avalanche workings'!$U$390,'Snowball workings'!$U$390)+IF('Your debts'!$D$20="Avalanche",'Avalanche workings'!$AO$390,'Snowball workings'!$AO$390))</f>
      </c>
      <c r="Y388" s="30">
        <f>IF(OR(383&gt;$Z$1,NOT(OR('Your debts'!$B$15&lt;&gt;"",N('Your debts'!$C$15)&gt;0))),"",IF('Your debts'!$D$20="Avalanche",'Avalanche workings'!$AY$390,'Snowball workings'!$AY$390))</f>
      </c>
    </row>
    <row r="389" spans="1:25" x14ac:dyDescent="0.25">
      <c r="A389" s="2">
        <f>IF(384&gt;$Z$1,"",384)</f>
      </c>
      <c r="B389" s="28">
        <f>IF(384&gt;$Z$1,"",EDATE('Your debts'!$D$21,383))</f>
      </c>
      <c r="C389" s="29">
        <f>IF(384&gt;$Z$1,"",IF('Your debts'!$D$20="Avalanche",'Avalanche workings'!$BC$391,'Snowball workings'!$BC$391))</f>
      </c>
      <c r="D389" s="29">
        <f>IF(384&gt;$Z$1,"",IF('Your debts'!$D$20="Avalanche",'Avalanche workings'!$BA$391,'Snowball workings'!$BA$391))</f>
      </c>
      <c r="E389" s="29">
        <f>IF(384&gt;$Z$1,"",IF('Your debts'!$D$20="Avalanche",'Avalanche workings'!$BB$391,'Snowball workings'!$BB$391))</f>
      </c>
      <c r="F389" s="29">
        <f>IF(OR(384&gt;$Z$1,NOT(OR('Your debts'!$B$6&lt;&gt;"",N('Your debts'!$C$6)&gt;0))),"",IF('Your debts'!$D$20="Avalanche",'Avalanche workings'!$L$391,'Snowball workings'!$L$391)+IF('Your debts'!$D$20="Avalanche",'Avalanche workings'!$AF$391,'Snowball workings'!$AF$391))</f>
      </c>
      <c r="G389" s="30">
        <f>IF(OR(384&gt;$Z$1,NOT(OR('Your debts'!$B$6&lt;&gt;"",N('Your debts'!$C$6)&gt;0))),"",IF('Your debts'!$D$20="Avalanche",'Avalanche workings'!$AP$391,'Snowball workings'!$AP$391))</f>
      </c>
      <c r="H389" s="29">
        <f>IF(OR(384&gt;$Z$1,NOT(OR('Your debts'!$B$7&lt;&gt;"",N('Your debts'!$C$7)&gt;0))),"",IF('Your debts'!$D$20="Avalanche",'Avalanche workings'!$M$391,'Snowball workings'!$M$391)+IF('Your debts'!$D$20="Avalanche",'Avalanche workings'!$AG$391,'Snowball workings'!$AG$391))</f>
      </c>
      <c r="I389" s="30">
        <f>IF(OR(384&gt;$Z$1,NOT(OR('Your debts'!$B$7&lt;&gt;"",N('Your debts'!$C$7)&gt;0))),"",IF('Your debts'!$D$20="Avalanche",'Avalanche workings'!$AQ$391,'Snowball workings'!$AQ$391))</f>
      </c>
      <c r="J389" s="29">
        <f>IF(OR(384&gt;$Z$1,NOT(OR('Your debts'!$B$8&lt;&gt;"",N('Your debts'!$C$8)&gt;0))),"",IF('Your debts'!$D$20="Avalanche",'Avalanche workings'!$N$391,'Snowball workings'!$N$391)+IF('Your debts'!$D$20="Avalanche",'Avalanche workings'!$AH$391,'Snowball workings'!$AH$391))</f>
      </c>
      <c r="K389" s="30">
        <f>IF(OR(384&gt;$Z$1,NOT(OR('Your debts'!$B$8&lt;&gt;"",N('Your debts'!$C$8)&gt;0))),"",IF('Your debts'!$D$20="Avalanche",'Avalanche workings'!$AR$391,'Snowball workings'!$AR$391))</f>
      </c>
      <c r="L389" s="29">
        <f>IF(OR(384&gt;$Z$1,NOT(OR('Your debts'!$B$9&lt;&gt;"",N('Your debts'!$C$9)&gt;0))),"",IF('Your debts'!$D$20="Avalanche",'Avalanche workings'!$O$391,'Snowball workings'!$O$391)+IF('Your debts'!$D$20="Avalanche",'Avalanche workings'!$AI$391,'Snowball workings'!$AI$391))</f>
      </c>
      <c r="M389" s="30">
        <f>IF(OR(384&gt;$Z$1,NOT(OR('Your debts'!$B$9&lt;&gt;"",N('Your debts'!$C$9)&gt;0))),"",IF('Your debts'!$D$20="Avalanche",'Avalanche workings'!$AS$391,'Snowball workings'!$AS$391))</f>
      </c>
      <c r="N389" s="29">
        <f>IF(OR(384&gt;$Z$1,NOT(OR('Your debts'!$B$10&lt;&gt;"",N('Your debts'!$C$10)&gt;0))),"",IF('Your debts'!$D$20="Avalanche",'Avalanche workings'!$P$391,'Snowball workings'!$P$391)+IF('Your debts'!$D$20="Avalanche",'Avalanche workings'!$AJ$391,'Snowball workings'!$AJ$391))</f>
      </c>
      <c r="O389" s="30">
        <f>IF(OR(384&gt;$Z$1,NOT(OR('Your debts'!$B$10&lt;&gt;"",N('Your debts'!$C$10)&gt;0))),"",IF('Your debts'!$D$20="Avalanche",'Avalanche workings'!$AT$391,'Snowball workings'!$AT$391))</f>
      </c>
      <c r="P389" s="29">
        <f>IF(OR(384&gt;$Z$1,NOT(OR('Your debts'!$B$11&lt;&gt;"",N('Your debts'!$C$11)&gt;0))),"",IF('Your debts'!$D$20="Avalanche",'Avalanche workings'!$Q$391,'Snowball workings'!$Q$391)+IF('Your debts'!$D$20="Avalanche",'Avalanche workings'!$AK$391,'Snowball workings'!$AK$391))</f>
      </c>
      <c r="Q389" s="30">
        <f>IF(OR(384&gt;$Z$1,NOT(OR('Your debts'!$B$11&lt;&gt;"",N('Your debts'!$C$11)&gt;0))),"",IF('Your debts'!$D$20="Avalanche",'Avalanche workings'!$AU$391,'Snowball workings'!$AU$391))</f>
      </c>
      <c r="R389" s="29">
        <f>IF(OR(384&gt;$Z$1,NOT(OR('Your debts'!$B$12&lt;&gt;"",N('Your debts'!$C$12)&gt;0))),"",IF('Your debts'!$D$20="Avalanche",'Avalanche workings'!$R$391,'Snowball workings'!$R$391)+IF('Your debts'!$D$20="Avalanche",'Avalanche workings'!$AL$391,'Snowball workings'!$AL$391))</f>
      </c>
      <c r="S389" s="30">
        <f>IF(OR(384&gt;$Z$1,NOT(OR('Your debts'!$B$12&lt;&gt;"",N('Your debts'!$C$12)&gt;0))),"",IF('Your debts'!$D$20="Avalanche",'Avalanche workings'!$AV$391,'Snowball workings'!$AV$391))</f>
      </c>
      <c r="T389" s="29">
        <f>IF(OR(384&gt;$Z$1,NOT(OR('Your debts'!$B$13&lt;&gt;"",N('Your debts'!$C$13)&gt;0))),"",IF('Your debts'!$D$20="Avalanche",'Avalanche workings'!$S$391,'Snowball workings'!$S$391)+IF('Your debts'!$D$20="Avalanche",'Avalanche workings'!$AM$391,'Snowball workings'!$AM$391))</f>
      </c>
      <c r="U389" s="30">
        <f>IF(OR(384&gt;$Z$1,NOT(OR('Your debts'!$B$13&lt;&gt;"",N('Your debts'!$C$13)&gt;0))),"",IF('Your debts'!$D$20="Avalanche",'Avalanche workings'!$AW$391,'Snowball workings'!$AW$391))</f>
      </c>
      <c r="V389" s="29">
        <f>IF(OR(384&gt;$Z$1,NOT(OR('Your debts'!$B$14&lt;&gt;"",N('Your debts'!$C$14)&gt;0))),"",IF('Your debts'!$D$20="Avalanche",'Avalanche workings'!$T$391,'Snowball workings'!$T$391)+IF('Your debts'!$D$20="Avalanche",'Avalanche workings'!$AN$391,'Snowball workings'!$AN$391))</f>
      </c>
      <c r="W389" s="30">
        <f>IF(OR(384&gt;$Z$1,NOT(OR('Your debts'!$B$14&lt;&gt;"",N('Your debts'!$C$14)&gt;0))),"",IF('Your debts'!$D$20="Avalanche",'Avalanche workings'!$AX$391,'Snowball workings'!$AX$391))</f>
      </c>
      <c r="X389" s="29">
        <f>IF(OR(384&gt;$Z$1,NOT(OR('Your debts'!$B$15&lt;&gt;"",N('Your debts'!$C$15)&gt;0))),"",IF('Your debts'!$D$20="Avalanche",'Avalanche workings'!$U$391,'Snowball workings'!$U$391)+IF('Your debts'!$D$20="Avalanche",'Avalanche workings'!$AO$391,'Snowball workings'!$AO$391))</f>
      </c>
      <c r="Y389" s="30">
        <f>IF(OR(384&gt;$Z$1,NOT(OR('Your debts'!$B$15&lt;&gt;"",N('Your debts'!$C$15)&gt;0))),"",IF('Your debts'!$D$20="Avalanche",'Avalanche workings'!$AY$391,'Snowball workings'!$AY$391))</f>
      </c>
    </row>
    <row r="390" spans="1:25" x14ac:dyDescent="0.25">
      <c r="A390" s="2">
        <f>IF(385&gt;$Z$1,"",385)</f>
      </c>
      <c r="B390" s="28">
        <f>IF(385&gt;$Z$1,"",EDATE('Your debts'!$D$21,384))</f>
      </c>
      <c r="C390" s="29">
        <f>IF(385&gt;$Z$1,"",IF('Your debts'!$D$20="Avalanche",'Avalanche workings'!$BC$392,'Snowball workings'!$BC$392))</f>
      </c>
      <c r="D390" s="29">
        <f>IF(385&gt;$Z$1,"",IF('Your debts'!$D$20="Avalanche",'Avalanche workings'!$BA$392,'Snowball workings'!$BA$392))</f>
      </c>
      <c r="E390" s="29">
        <f>IF(385&gt;$Z$1,"",IF('Your debts'!$D$20="Avalanche",'Avalanche workings'!$BB$392,'Snowball workings'!$BB$392))</f>
      </c>
      <c r="F390" s="29">
        <f>IF(OR(385&gt;$Z$1,NOT(OR('Your debts'!$B$6&lt;&gt;"",N('Your debts'!$C$6)&gt;0))),"",IF('Your debts'!$D$20="Avalanche",'Avalanche workings'!$L$392,'Snowball workings'!$L$392)+IF('Your debts'!$D$20="Avalanche",'Avalanche workings'!$AF$392,'Snowball workings'!$AF$392))</f>
      </c>
      <c r="G390" s="30">
        <f>IF(OR(385&gt;$Z$1,NOT(OR('Your debts'!$B$6&lt;&gt;"",N('Your debts'!$C$6)&gt;0))),"",IF('Your debts'!$D$20="Avalanche",'Avalanche workings'!$AP$392,'Snowball workings'!$AP$392))</f>
      </c>
      <c r="H390" s="29">
        <f>IF(OR(385&gt;$Z$1,NOT(OR('Your debts'!$B$7&lt;&gt;"",N('Your debts'!$C$7)&gt;0))),"",IF('Your debts'!$D$20="Avalanche",'Avalanche workings'!$M$392,'Snowball workings'!$M$392)+IF('Your debts'!$D$20="Avalanche",'Avalanche workings'!$AG$392,'Snowball workings'!$AG$392))</f>
      </c>
      <c r="I390" s="30">
        <f>IF(OR(385&gt;$Z$1,NOT(OR('Your debts'!$B$7&lt;&gt;"",N('Your debts'!$C$7)&gt;0))),"",IF('Your debts'!$D$20="Avalanche",'Avalanche workings'!$AQ$392,'Snowball workings'!$AQ$392))</f>
      </c>
      <c r="J390" s="29">
        <f>IF(OR(385&gt;$Z$1,NOT(OR('Your debts'!$B$8&lt;&gt;"",N('Your debts'!$C$8)&gt;0))),"",IF('Your debts'!$D$20="Avalanche",'Avalanche workings'!$N$392,'Snowball workings'!$N$392)+IF('Your debts'!$D$20="Avalanche",'Avalanche workings'!$AH$392,'Snowball workings'!$AH$392))</f>
      </c>
      <c r="K390" s="30">
        <f>IF(OR(385&gt;$Z$1,NOT(OR('Your debts'!$B$8&lt;&gt;"",N('Your debts'!$C$8)&gt;0))),"",IF('Your debts'!$D$20="Avalanche",'Avalanche workings'!$AR$392,'Snowball workings'!$AR$392))</f>
      </c>
      <c r="L390" s="29">
        <f>IF(OR(385&gt;$Z$1,NOT(OR('Your debts'!$B$9&lt;&gt;"",N('Your debts'!$C$9)&gt;0))),"",IF('Your debts'!$D$20="Avalanche",'Avalanche workings'!$O$392,'Snowball workings'!$O$392)+IF('Your debts'!$D$20="Avalanche",'Avalanche workings'!$AI$392,'Snowball workings'!$AI$392))</f>
      </c>
      <c r="M390" s="30">
        <f>IF(OR(385&gt;$Z$1,NOT(OR('Your debts'!$B$9&lt;&gt;"",N('Your debts'!$C$9)&gt;0))),"",IF('Your debts'!$D$20="Avalanche",'Avalanche workings'!$AS$392,'Snowball workings'!$AS$392))</f>
      </c>
      <c r="N390" s="29">
        <f>IF(OR(385&gt;$Z$1,NOT(OR('Your debts'!$B$10&lt;&gt;"",N('Your debts'!$C$10)&gt;0))),"",IF('Your debts'!$D$20="Avalanche",'Avalanche workings'!$P$392,'Snowball workings'!$P$392)+IF('Your debts'!$D$20="Avalanche",'Avalanche workings'!$AJ$392,'Snowball workings'!$AJ$392))</f>
      </c>
      <c r="O390" s="30">
        <f>IF(OR(385&gt;$Z$1,NOT(OR('Your debts'!$B$10&lt;&gt;"",N('Your debts'!$C$10)&gt;0))),"",IF('Your debts'!$D$20="Avalanche",'Avalanche workings'!$AT$392,'Snowball workings'!$AT$392))</f>
      </c>
      <c r="P390" s="29">
        <f>IF(OR(385&gt;$Z$1,NOT(OR('Your debts'!$B$11&lt;&gt;"",N('Your debts'!$C$11)&gt;0))),"",IF('Your debts'!$D$20="Avalanche",'Avalanche workings'!$Q$392,'Snowball workings'!$Q$392)+IF('Your debts'!$D$20="Avalanche",'Avalanche workings'!$AK$392,'Snowball workings'!$AK$392))</f>
      </c>
      <c r="Q390" s="30">
        <f>IF(OR(385&gt;$Z$1,NOT(OR('Your debts'!$B$11&lt;&gt;"",N('Your debts'!$C$11)&gt;0))),"",IF('Your debts'!$D$20="Avalanche",'Avalanche workings'!$AU$392,'Snowball workings'!$AU$392))</f>
      </c>
      <c r="R390" s="29">
        <f>IF(OR(385&gt;$Z$1,NOT(OR('Your debts'!$B$12&lt;&gt;"",N('Your debts'!$C$12)&gt;0))),"",IF('Your debts'!$D$20="Avalanche",'Avalanche workings'!$R$392,'Snowball workings'!$R$392)+IF('Your debts'!$D$20="Avalanche",'Avalanche workings'!$AL$392,'Snowball workings'!$AL$392))</f>
      </c>
      <c r="S390" s="30">
        <f>IF(OR(385&gt;$Z$1,NOT(OR('Your debts'!$B$12&lt;&gt;"",N('Your debts'!$C$12)&gt;0))),"",IF('Your debts'!$D$20="Avalanche",'Avalanche workings'!$AV$392,'Snowball workings'!$AV$392))</f>
      </c>
      <c r="T390" s="29">
        <f>IF(OR(385&gt;$Z$1,NOT(OR('Your debts'!$B$13&lt;&gt;"",N('Your debts'!$C$13)&gt;0))),"",IF('Your debts'!$D$20="Avalanche",'Avalanche workings'!$S$392,'Snowball workings'!$S$392)+IF('Your debts'!$D$20="Avalanche",'Avalanche workings'!$AM$392,'Snowball workings'!$AM$392))</f>
      </c>
      <c r="U390" s="30">
        <f>IF(OR(385&gt;$Z$1,NOT(OR('Your debts'!$B$13&lt;&gt;"",N('Your debts'!$C$13)&gt;0))),"",IF('Your debts'!$D$20="Avalanche",'Avalanche workings'!$AW$392,'Snowball workings'!$AW$392))</f>
      </c>
      <c r="V390" s="29">
        <f>IF(OR(385&gt;$Z$1,NOT(OR('Your debts'!$B$14&lt;&gt;"",N('Your debts'!$C$14)&gt;0))),"",IF('Your debts'!$D$20="Avalanche",'Avalanche workings'!$T$392,'Snowball workings'!$T$392)+IF('Your debts'!$D$20="Avalanche",'Avalanche workings'!$AN$392,'Snowball workings'!$AN$392))</f>
      </c>
      <c r="W390" s="30">
        <f>IF(OR(385&gt;$Z$1,NOT(OR('Your debts'!$B$14&lt;&gt;"",N('Your debts'!$C$14)&gt;0))),"",IF('Your debts'!$D$20="Avalanche",'Avalanche workings'!$AX$392,'Snowball workings'!$AX$392))</f>
      </c>
      <c r="X390" s="29">
        <f>IF(OR(385&gt;$Z$1,NOT(OR('Your debts'!$B$15&lt;&gt;"",N('Your debts'!$C$15)&gt;0))),"",IF('Your debts'!$D$20="Avalanche",'Avalanche workings'!$U$392,'Snowball workings'!$U$392)+IF('Your debts'!$D$20="Avalanche",'Avalanche workings'!$AO$392,'Snowball workings'!$AO$392))</f>
      </c>
      <c r="Y390" s="30">
        <f>IF(OR(385&gt;$Z$1,NOT(OR('Your debts'!$B$15&lt;&gt;"",N('Your debts'!$C$15)&gt;0))),"",IF('Your debts'!$D$20="Avalanche",'Avalanche workings'!$AY$392,'Snowball workings'!$AY$392))</f>
      </c>
    </row>
    <row r="391" spans="1:25" x14ac:dyDescent="0.25">
      <c r="A391" s="2">
        <f>IF(386&gt;$Z$1,"",386)</f>
      </c>
      <c r="B391" s="28">
        <f>IF(386&gt;$Z$1,"",EDATE('Your debts'!$D$21,385))</f>
      </c>
      <c r="C391" s="29">
        <f>IF(386&gt;$Z$1,"",IF('Your debts'!$D$20="Avalanche",'Avalanche workings'!$BC$393,'Snowball workings'!$BC$393))</f>
      </c>
      <c r="D391" s="29">
        <f>IF(386&gt;$Z$1,"",IF('Your debts'!$D$20="Avalanche",'Avalanche workings'!$BA$393,'Snowball workings'!$BA$393))</f>
      </c>
      <c r="E391" s="29">
        <f>IF(386&gt;$Z$1,"",IF('Your debts'!$D$20="Avalanche",'Avalanche workings'!$BB$393,'Snowball workings'!$BB$393))</f>
      </c>
      <c r="F391" s="29">
        <f>IF(OR(386&gt;$Z$1,NOT(OR('Your debts'!$B$6&lt;&gt;"",N('Your debts'!$C$6)&gt;0))),"",IF('Your debts'!$D$20="Avalanche",'Avalanche workings'!$L$393,'Snowball workings'!$L$393)+IF('Your debts'!$D$20="Avalanche",'Avalanche workings'!$AF$393,'Snowball workings'!$AF$393))</f>
      </c>
      <c r="G391" s="30">
        <f>IF(OR(386&gt;$Z$1,NOT(OR('Your debts'!$B$6&lt;&gt;"",N('Your debts'!$C$6)&gt;0))),"",IF('Your debts'!$D$20="Avalanche",'Avalanche workings'!$AP$393,'Snowball workings'!$AP$393))</f>
      </c>
      <c r="H391" s="29">
        <f>IF(OR(386&gt;$Z$1,NOT(OR('Your debts'!$B$7&lt;&gt;"",N('Your debts'!$C$7)&gt;0))),"",IF('Your debts'!$D$20="Avalanche",'Avalanche workings'!$M$393,'Snowball workings'!$M$393)+IF('Your debts'!$D$20="Avalanche",'Avalanche workings'!$AG$393,'Snowball workings'!$AG$393))</f>
      </c>
      <c r="I391" s="30">
        <f>IF(OR(386&gt;$Z$1,NOT(OR('Your debts'!$B$7&lt;&gt;"",N('Your debts'!$C$7)&gt;0))),"",IF('Your debts'!$D$20="Avalanche",'Avalanche workings'!$AQ$393,'Snowball workings'!$AQ$393))</f>
      </c>
      <c r="J391" s="29">
        <f>IF(OR(386&gt;$Z$1,NOT(OR('Your debts'!$B$8&lt;&gt;"",N('Your debts'!$C$8)&gt;0))),"",IF('Your debts'!$D$20="Avalanche",'Avalanche workings'!$N$393,'Snowball workings'!$N$393)+IF('Your debts'!$D$20="Avalanche",'Avalanche workings'!$AH$393,'Snowball workings'!$AH$393))</f>
      </c>
      <c r="K391" s="30">
        <f>IF(OR(386&gt;$Z$1,NOT(OR('Your debts'!$B$8&lt;&gt;"",N('Your debts'!$C$8)&gt;0))),"",IF('Your debts'!$D$20="Avalanche",'Avalanche workings'!$AR$393,'Snowball workings'!$AR$393))</f>
      </c>
      <c r="L391" s="29">
        <f>IF(OR(386&gt;$Z$1,NOT(OR('Your debts'!$B$9&lt;&gt;"",N('Your debts'!$C$9)&gt;0))),"",IF('Your debts'!$D$20="Avalanche",'Avalanche workings'!$O$393,'Snowball workings'!$O$393)+IF('Your debts'!$D$20="Avalanche",'Avalanche workings'!$AI$393,'Snowball workings'!$AI$393))</f>
      </c>
      <c r="M391" s="30">
        <f>IF(OR(386&gt;$Z$1,NOT(OR('Your debts'!$B$9&lt;&gt;"",N('Your debts'!$C$9)&gt;0))),"",IF('Your debts'!$D$20="Avalanche",'Avalanche workings'!$AS$393,'Snowball workings'!$AS$393))</f>
      </c>
      <c r="N391" s="29">
        <f>IF(OR(386&gt;$Z$1,NOT(OR('Your debts'!$B$10&lt;&gt;"",N('Your debts'!$C$10)&gt;0))),"",IF('Your debts'!$D$20="Avalanche",'Avalanche workings'!$P$393,'Snowball workings'!$P$393)+IF('Your debts'!$D$20="Avalanche",'Avalanche workings'!$AJ$393,'Snowball workings'!$AJ$393))</f>
      </c>
      <c r="O391" s="30">
        <f>IF(OR(386&gt;$Z$1,NOT(OR('Your debts'!$B$10&lt;&gt;"",N('Your debts'!$C$10)&gt;0))),"",IF('Your debts'!$D$20="Avalanche",'Avalanche workings'!$AT$393,'Snowball workings'!$AT$393))</f>
      </c>
      <c r="P391" s="29">
        <f>IF(OR(386&gt;$Z$1,NOT(OR('Your debts'!$B$11&lt;&gt;"",N('Your debts'!$C$11)&gt;0))),"",IF('Your debts'!$D$20="Avalanche",'Avalanche workings'!$Q$393,'Snowball workings'!$Q$393)+IF('Your debts'!$D$20="Avalanche",'Avalanche workings'!$AK$393,'Snowball workings'!$AK$393))</f>
      </c>
      <c r="Q391" s="30">
        <f>IF(OR(386&gt;$Z$1,NOT(OR('Your debts'!$B$11&lt;&gt;"",N('Your debts'!$C$11)&gt;0))),"",IF('Your debts'!$D$20="Avalanche",'Avalanche workings'!$AU$393,'Snowball workings'!$AU$393))</f>
      </c>
      <c r="R391" s="29">
        <f>IF(OR(386&gt;$Z$1,NOT(OR('Your debts'!$B$12&lt;&gt;"",N('Your debts'!$C$12)&gt;0))),"",IF('Your debts'!$D$20="Avalanche",'Avalanche workings'!$R$393,'Snowball workings'!$R$393)+IF('Your debts'!$D$20="Avalanche",'Avalanche workings'!$AL$393,'Snowball workings'!$AL$393))</f>
      </c>
      <c r="S391" s="30">
        <f>IF(OR(386&gt;$Z$1,NOT(OR('Your debts'!$B$12&lt;&gt;"",N('Your debts'!$C$12)&gt;0))),"",IF('Your debts'!$D$20="Avalanche",'Avalanche workings'!$AV$393,'Snowball workings'!$AV$393))</f>
      </c>
      <c r="T391" s="29">
        <f>IF(OR(386&gt;$Z$1,NOT(OR('Your debts'!$B$13&lt;&gt;"",N('Your debts'!$C$13)&gt;0))),"",IF('Your debts'!$D$20="Avalanche",'Avalanche workings'!$S$393,'Snowball workings'!$S$393)+IF('Your debts'!$D$20="Avalanche",'Avalanche workings'!$AM$393,'Snowball workings'!$AM$393))</f>
      </c>
      <c r="U391" s="30">
        <f>IF(OR(386&gt;$Z$1,NOT(OR('Your debts'!$B$13&lt;&gt;"",N('Your debts'!$C$13)&gt;0))),"",IF('Your debts'!$D$20="Avalanche",'Avalanche workings'!$AW$393,'Snowball workings'!$AW$393))</f>
      </c>
      <c r="V391" s="29">
        <f>IF(OR(386&gt;$Z$1,NOT(OR('Your debts'!$B$14&lt;&gt;"",N('Your debts'!$C$14)&gt;0))),"",IF('Your debts'!$D$20="Avalanche",'Avalanche workings'!$T$393,'Snowball workings'!$T$393)+IF('Your debts'!$D$20="Avalanche",'Avalanche workings'!$AN$393,'Snowball workings'!$AN$393))</f>
      </c>
      <c r="W391" s="30">
        <f>IF(OR(386&gt;$Z$1,NOT(OR('Your debts'!$B$14&lt;&gt;"",N('Your debts'!$C$14)&gt;0))),"",IF('Your debts'!$D$20="Avalanche",'Avalanche workings'!$AX$393,'Snowball workings'!$AX$393))</f>
      </c>
      <c r="X391" s="29">
        <f>IF(OR(386&gt;$Z$1,NOT(OR('Your debts'!$B$15&lt;&gt;"",N('Your debts'!$C$15)&gt;0))),"",IF('Your debts'!$D$20="Avalanche",'Avalanche workings'!$U$393,'Snowball workings'!$U$393)+IF('Your debts'!$D$20="Avalanche",'Avalanche workings'!$AO$393,'Snowball workings'!$AO$393))</f>
      </c>
      <c r="Y391" s="30">
        <f>IF(OR(386&gt;$Z$1,NOT(OR('Your debts'!$B$15&lt;&gt;"",N('Your debts'!$C$15)&gt;0))),"",IF('Your debts'!$D$20="Avalanche",'Avalanche workings'!$AY$393,'Snowball workings'!$AY$393))</f>
      </c>
    </row>
    <row r="392" spans="1:25" x14ac:dyDescent="0.25">
      <c r="A392" s="2">
        <f>IF(387&gt;$Z$1,"",387)</f>
      </c>
      <c r="B392" s="28">
        <f>IF(387&gt;$Z$1,"",EDATE('Your debts'!$D$21,386))</f>
      </c>
      <c r="C392" s="29">
        <f>IF(387&gt;$Z$1,"",IF('Your debts'!$D$20="Avalanche",'Avalanche workings'!$BC$394,'Snowball workings'!$BC$394))</f>
      </c>
      <c r="D392" s="29">
        <f>IF(387&gt;$Z$1,"",IF('Your debts'!$D$20="Avalanche",'Avalanche workings'!$BA$394,'Snowball workings'!$BA$394))</f>
      </c>
      <c r="E392" s="29">
        <f>IF(387&gt;$Z$1,"",IF('Your debts'!$D$20="Avalanche",'Avalanche workings'!$BB$394,'Snowball workings'!$BB$394))</f>
      </c>
      <c r="F392" s="29">
        <f>IF(OR(387&gt;$Z$1,NOT(OR('Your debts'!$B$6&lt;&gt;"",N('Your debts'!$C$6)&gt;0))),"",IF('Your debts'!$D$20="Avalanche",'Avalanche workings'!$L$394,'Snowball workings'!$L$394)+IF('Your debts'!$D$20="Avalanche",'Avalanche workings'!$AF$394,'Snowball workings'!$AF$394))</f>
      </c>
      <c r="G392" s="30">
        <f>IF(OR(387&gt;$Z$1,NOT(OR('Your debts'!$B$6&lt;&gt;"",N('Your debts'!$C$6)&gt;0))),"",IF('Your debts'!$D$20="Avalanche",'Avalanche workings'!$AP$394,'Snowball workings'!$AP$394))</f>
      </c>
      <c r="H392" s="29">
        <f>IF(OR(387&gt;$Z$1,NOT(OR('Your debts'!$B$7&lt;&gt;"",N('Your debts'!$C$7)&gt;0))),"",IF('Your debts'!$D$20="Avalanche",'Avalanche workings'!$M$394,'Snowball workings'!$M$394)+IF('Your debts'!$D$20="Avalanche",'Avalanche workings'!$AG$394,'Snowball workings'!$AG$394))</f>
      </c>
      <c r="I392" s="30">
        <f>IF(OR(387&gt;$Z$1,NOT(OR('Your debts'!$B$7&lt;&gt;"",N('Your debts'!$C$7)&gt;0))),"",IF('Your debts'!$D$20="Avalanche",'Avalanche workings'!$AQ$394,'Snowball workings'!$AQ$394))</f>
      </c>
      <c r="J392" s="29">
        <f>IF(OR(387&gt;$Z$1,NOT(OR('Your debts'!$B$8&lt;&gt;"",N('Your debts'!$C$8)&gt;0))),"",IF('Your debts'!$D$20="Avalanche",'Avalanche workings'!$N$394,'Snowball workings'!$N$394)+IF('Your debts'!$D$20="Avalanche",'Avalanche workings'!$AH$394,'Snowball workings'!$AH$394))</f>
      </c>
      <c r="K392" s="30">
        <f>IF(OR(387&gt;$Z$1,NOT(OR('Your debts'!$B$8&lt;&gt;"",N('Your debts'!$C$8)&gt;0))),"",IF('Your debts'!$D$20="Avalanche",'Avalanche workings'!$AR$394,'Snowball workings'!$AR$394))</f>
      </c>
      <c r="L392" s="29">
        <f>IF(OR(387&gt;$Z$1,NOT(OR('Your debts'!$B$9&lt;&gt;"",N('Your debts'!$C$9)&gt;0))),"",IF('Your debts'!$D$20="Avalanche",'Avalanche workings'!$O$394,'Snowball workings'!$O$394)+IF('Your debts'!$D$20="Avalanche",'Avalanche workings'!$AI$394,'Snowball workings'!$AI$394))</f>
      </c>
      <c r="M392" s="30">
        <f>IF(OR(387&gt;$Z$1,NOT(OR('Your debts'!$B$9&lt;&gt;"",N('Your debts'!$C$9)&gt;0))),"",IF('Your debts'!$D$20="Avalanche",'Avalanche workings'!$AS$394,'Snowball workings'!$AS$394))</f>
      </c>
      <c r="N392" s="29">
        <f>IF(OR(387&gt;$Z$1,NOT(OR('Your debts'!$B$10&lt;&gt;"",N('Your debts'!$C$10)&gt;0))),"",IF('Your debts'!$D$20="Avalanche",'Avalanche workings'!$P$394,'Snowball workings'!$P$394)+IF('Your debts'!$D$20="Avalanche",'Avalanche workings'!$AJ$394,'Snowball workings'!$AJ$394))</f>
      </c>
      <c r="O392" s="30">
        <f>IF(OR(387&gt;$Z$1,NOT(OR('Your debts'!$B$10&lt;&gt;"",N('Your debts'!$C$10)&gt;0))),"",IF('Your debts'!$D$20="Avalanche",'Avalanche workings'!$AT$394,'Snowball workings'!$AT$394))</f>
      </c>
      <c r="P392" s="29">
        <f>IF(OR(387&gt;$Z$1,NOT(OR('Your debts'!$B$11&lt;&gt;"",N('Your debts'!$C$11)&gt;0))),"",IF('Your debts'!$D$20="Avalanche",'Avalanche workings'!$Q$394,'Snowball workings'!$Q$394)+IF('Your debts'!$D$20="Avalanche",'Avalanche workings'!$AK$394,'Snowball workings'!$AK$394))</f>
      </c>
      <c r="Q392" s="30">
        <f>IF(OR(387&gt;$Z$1,NOT(OR('Your debts'!$B$11&lt;&gt;"",N('Your debts'!$C$11)&gt;0))),"",IF('Your debts'!$D$20="Avalanche",'Avalanche workings'!$AU$394,'Snowball workings'!$AU$394))</f>
      </c>
      <c r="R392" s="29">
        <f>IF(OR(387&gt;$Z$1,NOT(OR('Your debts'!$B$12&lt;&gt;"",N('Your debts'!$C$12)&gt;0))),"",IF('Your debts'!$D$20="Avalanche",'Avalanche workings'!$R$394,'Snowball workings'!$R$394)+IF('Your debts'!$D$20="Avalanche",'Avalanche workings'!$AL$394,'Snowball workings'!$AL$394))</f>
      </c>
      <c r="S392" s="30">
        <f>IF(OR(387&gt;$Z$1,NOT(OR('Your debts'!$B$12&lt;&gt;"",N('Your debts'!$C$12)&gt;0))),"",IF('Your debts'!$D$20="Avalanche",'Avalanche workings'!$AV$394,'Snowball workings'!$AV$394))</f>
      </c>
      <c r="T392" s="29">
        <f>IF(OR(387&gt;$Z$1,NOT(OR('Your debts'!$B$13&lt;&gt;"",N('Your debts'!$C$13)&gt;0))),"",IF('Your debts'!$D$20="Avalanche",'Avalanche workings'!$S$394,'Snowball workings'!$S$394)+IF('Your debts'!$D$20="Avalanche",'Avalanche workings'!$AM$394,'Snowball workings'!$AM$394))</f>
      </c>
      <c r="U392" s="30">
        <f>IF(OR(387&gt;$Z$1,NOT(OR('Your debts'!$B$13&lt;&gt;"",N('Your debts'!$C$13)&gt;0))),"",IF('Your debts'!$D$20="Avalanche",'Avalanche workings'!$AW$394,'Snowball workings'!$AW$394))</f>
      </c>
      <c r="V392" s="29">
        <f>IF(OR(387&gt;$Z$1,NOT(OR('Your debts'!$B$14&lt;&gt;"",N('Your debts'!$C$14)&gt;0))),"",IF('Your debts'!$D$20="Avalanche",'Avalanche workings'!$T$394,'Snowball workings'!$T$394)+IF('Your debts'!$D$20="Avalanche",'Avalanche workings'!$AN$394,'Snowball workings'!$AN$394))</f>
      </c>
      <c r="W392" s="30">
        <f>IF(OR(387&gt;$Z$1,NOT(OR('Your debts'!$B$14&lt;&gt;"",N('Your debts'!$C$14)&gt;0))),"",IF('Your debts'!$D$20="Avalanche",'Avalanche workings'!$AX$394,'Snowball workings'!$AX$394))</f>
      </c>
      <c r="X392" s="29">
        <f>IF(OR(387&gt;$Z$1,NOT(OR('Your debts'!$B$15&lt;&gt;"",N('Your debts'!$C$15)&gt;0))),"",IF('Your debts'!$D$20="Avalanche",'Avalanche workings'!$U$394,'Snowball workings'!$U$394)+IF('Your debts'!$D$20="Avalanche",'Avalanche workings'!$AO$394,'Snowball workings'!$AO$394))</f>
      </c>
      <c r="Y392" s="30">
        <f>IF(OR(387&gt;$Z$1,NOT(OR('Your debts'!$B$15&lt;&gt;"",N('Your debts'!$C$15)&gt;0))),"",IF('Your debts'!$D$20="Avalanche",'Avalanche workings'!$AY$394,'Snowball workings'!$AY$394))</f>
      </c>
    </row>
    <row r="393" spans="1:25" x14ac:dyDescent="0.25">
      <c r="A393" s="2">
        <f>IF(388&gt;$Z$1,"",388)</f>
      </c>
      <c r="B393" s="28">
        <f>IF(388&gt;$Z$1,"",EDATE('Your debts'!$D$21,387))</f>
      </c>
      <c r="C393" s="29">
        <f>IF(388&gt;$Z$1,"",IF('Your debts'!$D$20="Avalanche",'Avalanche workings'!$BC$395,'Snowball workings'!$BC$395))</f>
      </c>
      <c r="D393" s="29">
        <f>IF(388&gt;$Z$1,"",IF('Your debts'!$D$20="Avalanche",'Avalanche workings'!$BA$395,'Snowball workings'!$BA$395))</f>
      </c>
      <c r="E393" s="29">
        <f>IF(388&gt;$Z$1,"",IF('Your debts'!$D$20="Avalanche",'Avalanche workings'!$BB$395,'Snowball workings'!$BB$395))</f>
      </c>
      <c r="F393" s="29">
        <f>IF(OR(388&gt;$Z$1,NOT(OR('Your debts'!$B$6&lt;&gt;"",N('Your debts'!$C$6)&gt;0))),"",IF('Your debts'!$D$20="Avalanche",'Avalanche workings'!$L$395,'Snowball workings'!$L$395)+IF('Your debts'!$D$20="Avalanche",'Avalanche workings'!$AF$395,'Snowball workings'!$AF$395))</f>
      </c>
      <c r="G393" s="30">
        <f>IF(OR(388&gt;$Z$1,NOT(OR('Your debts'!$B$6&lt;&gt;"",N('Your debts'!$C$6)&gt;0))),"",IF('Your debts'!$D$20="Avalanche",'Avalanche workings'!$AP$395,'Snowball workings'!$AP$395))</f>
      </c>
      <c r="H393" s="29">
        <f>IF(OR(388&gt;$Z$1,NOT(OR('Your debts'!$B$7&lt;&gt;"",N('Your debts'!$C$7)&gt;0))),"",IF('Your debts'!$D$20="Avalanche",'Avalanche workings'!$M$395,'Snowball workings'!$M$395)+IF('Your debts'!$D$20="Avalanche",'Avalanche workings'!$AG$395,'Snowball workings'!$AG$395))</f>
      </c>
      <c r="I393" s="30">
        <f>IF(OR(388&gt;$Z$1,NOT(OR('Your debts'!$B$7&lt;&gt;"",N('Your debts'!$C$7)&gt;0))),"",IF('Your debts'!$D$20="Avalanche",'Avalanche workings'!$AQ$395,'Snowball workings'!$AQ$395))</f>
      </c>
      <c r="J393" s="29">
        <f>IF(OR(388&gt;$Z$1,NOT(OR('Your debts'!$B$8&lt;&gt;"",N('Your debts'!$C$8)&gt;0))),"",IF('Your debts'!$D$20="Avalanche",'Avalanche workings'!$N$395,'Snowball workings'!$N$395)+IF('Your debts'!$D$20="Avalanche",'Avalanche workings'!$AH$395,'Snowball workings'!$AH$395))</f>
      </c>
      <c r="K393" s="30">
        <f>IF(OR(388&gt;$Z$1,NOT(OR('Your debts'!$B$8&lt;&gt;"",N('Your debts'!$C$8)&gt;0))),"",IF('Your debts'!$D$20="Avalanche",'Avalanche workings'!$AR$395,'Snowball workings'!$AR$395))</f>
      </c>
      <c r="L393" s="29">
        <f>IF(OR(388&gt;$Z$1,NOT(OR('Your debts'!$B$9&lt;&gt;"",N('Your debts'!$C$9)&gt;0))),"",IF('Your debts'!$D$20="Avalanche",'Avalanche workings'!$O$395,'Snowball workings'!$O$395)+IF('Your debts'!$D$20="Avalanche",'Avalanche workings'!$AI$395,'Snowball workings'!$AI$395))</f>
      </c>
      <c r="M393" s="30">
        <f>IF(OR(388&gt;$Z$1,NOT(OR('Your debts'!$B$9&lt;&gt;"",N('Your debts'!$C$9)&gt;0))),"",IF('Your debts'!$D$20="Avalanche",'Avalanche workings'!$AS$395,'Snowball workings'!$AS$395))</f>
      </c>
      <c r="N393" s="29">
        <f>IF(OR(388&gt;$Z$1,NOT(OR('Your debts'!$B$10&lt;&gt;"",N('Your debts'!$C$10)&gt;0))),"",IF('Your debts'!$D$20="Avalanche",'Avalanche workings'!$P$395,'Snowball workings'!$P$395)+IF('Your debts'!$D$20="Avalanche",'Avalanche workings'!$AJ$395,'Snowball workings'!$AJ$395))</f>
      </c>
      <c r="O393" s="30">
        <f>IF(OR(388&gt;$Z$1,NOT(OR('Your debts'!$B$10&lt;&gt;"",N('Your debts'!$C$10)&gt;0))),"",IF('Your debts'!$D$20="Avalanche",'Avalanche workings'!$AT$395,'Snowball workings'!$AT$395))</f>
      </c>
      <c r="P393" s="29">
        <f>IF(OR(388&gt;$Z$1,NOT(OR('Your debts'!$B$11&lt;&gt;"",N('Your debts'!$C$11)&gt;0))),"",IF('Your debts'!$D$20="Avalanche",'Avalanche workings'!$Q$395,'Snowball workings'!$Q$395)+IF('Your debts'!$D$20="Avalanche",'Avalanche workings'!$AK$395,'Snowball workings'!$AK$395))</f>
      </c>
      <c r="Q393" s="30">
        <f>IF(OR(388&gt;$Z$1,NOT(OR('Your debts'!$B$11&lt;&gt;"",N('Your debts'!$C$11)&gt;0))),"",IF('Your debts'!$D$20="Avalanche",'Avalanche workings'!$AU$395,'Snowball workings'!$AU$395))</f>
      </c>
      <c r="R393" s="29">
        <f>IF(OR(388&gt;$Z$1,NOT(OR('Your debts'!$B$12&lt;&gt;"",N('Your debts'!$C$12)&gt;0))),"",IF('Your debts'!$D$20="Avalanche",'Avalanche workings'!$R$395,'Snowball workings'!$R$395)+IF('Your debts'!$D$20="Avalanche",'Avalanche workings'!$AL$395,'Snowball workings'!$AL$395))</f>
      </c>
      <c r="S393" s="30">
        <f>IF(OR(388&gt;$Z$1,NOT(OR('Your debts'!$B$12&lt;&gt;"",N('Your debts'!$C$12)&gt;0))),"",IF('Your debts'!$D$20="Avalanche",'Avalanche workings'!$AV$395,'Snowball workings'!$AV$395))</f>
      </c>
      <c r="T393" s="29">
        <f>IF(OR(388&gt;$Z$1,NOT(OR('Your debts'!$B$13&lt;&gt;"",N('Your debts'!$C$13)&gt;0))),"",IF('Your debts'!$D$20="Avalanche",'Avalanche workings'!$S$395,'Snowball workings'!$S$395)+IF('Your debts'!$D$20="Avalanche",'Avalanche workings'!$AM$395,'Snowball workings'!$AM$395))</f>
      </c>
      <c r="U393" s="30">
        <f>IF(OR(388&gt;$Z$1,NOT(OR('Your debts'!$B$13&lt;&gt;"",N('Your debts'!$C$13)&gt;0))),"",IF('Your debts'!$D$20="Avalanche",'Avalanche workings'!$AW$395,'Snowball workings'!$AW$395))</f>
      </c>
      <c r="V393" s="29">
        <f>IF(OR(388&gt;$Z$1,NOT(OR('Your debts'!$B$14&lt;&gt;"",N('Your debts'!$C$14)&gt;0))),"",IF('Your debts'!$D$20="Avalanche",'Avalanche workings'!$T$395,'Snowball workings'!$T$395)+IF('Your debts'!$D$20="Avalanche",'Avalanche workings'!$AN$395,'Snowball workings'!$AN$395))</f>
      </c>
      <c r="W393" s="30">
        <f>IF(OR(388&gt;$Z$1,NOT(OR('Your debts'!$B$14&lt;&gt;"",N('Your debts'!$C$14)&gt;0))),"",IF('Your debts'!$D$20="Avalanche",'Avalanche workings'!$AX$395,'Snowball workings'!$AX$395))</f>
      </c>
      <c r="X393" s="29">
        <f>IF(OR(388&gt;$Z$1,NOT(OR('Your debts'!$B$15&lt;&gt;"",N('Your debts'!$C$15)&gt;0))),"",IF('Your debts'!$D$20="Avalanche",'Avalanche workings'!$U$395,'Snowball workings'!$U$395)+IF('Your debts'!$D$20="Avalanche",'Avalanche workings'!$AO$395,'Snowball workings'!$AO$395))</f>
      </c>
      <c r="Y393" s="30">
        <f>IF(OR(388&gt;$Z$1,NOT(OR('Your debts'!$B$15&lt;&gt;"",N('Your debts'!$C$15)&gt;0))),"",IF('Your debts'!$D$20="Avalanche",'Avalanche workings'!$AY$395,'Snowball workings'!$AY$395))</f>
      </c>
    </row>
    <row r="394" spans="1:25" x14ac:dyDescent="0.25">
      <c r="A394" s="2">
        <f>IF(389&gt;$Z$1,"",389)</f>
      </c>
      <c r="B394" s="28">
        <f>IF(389&gt;$Z$1,"",EDATE('Your debts'!$D$21,388))</f>
      </c>
      <c r="C394" s="29">
        <f>IF(389&gt;$Z$1,"",IF('Your debts'!$D$20="Avalanche",'Avalanche workings'!$BC$396,'Snowball workings'!$BC$396))</f>
      </c>
      <c r="D394" s="29">
        <f>IF(389&gt;$Z$1,"",IF('Your debts'!$D$20="Avalanche",'Avalanche workings'!$BA$396,'Snowball workings'!$BA$396))</f>
      </c>
      <c r="E394" s="29">
        <f>IF(389&gt;$Z$1,"",IF('Your debts'!$D$20="Avalanche",'Avalanche workings'!$BB$396,'Snowball workings'!$BB$396))</f>
      </c>
      <c r="F394" s="29">
        <f>IF(OR(389&gt;$Z$1,NOT(OR('Your debts'!$B$6&lt;&gt;"",N('Your debts'!$C$6)&gt;0))),"",IF('Your debts'!$D$20="Avalanche",'Avalanche workings'!$L$396,'Snowball workings'!$L$396)+IF('Your debts'!$D$20="Avalanche",'Avalanche workings'!$AF$396,'Snowball workings'!$AF$396))</f>
      </c>
      <c r="G394" s="30">
        <f>IF(OR(389&gt;$Z$1,NOT(OR('Your debts'!$B$6&lt;&gt;"",N('Your debts'!$C$6)&gt;0))),"",IF('Your debts'!$D$20="Avalanche",'Avalanche workings'!$AP$396,'Snowball workings'!$AP$396))</f>
      </c>
      <c r="H394" s="29">
        <f>IF(OR(389&gt;$Z$1,NOT(OR('Your debts'!$B$7&lt;&gt;"",N('Your debts'!$C$7)&gt;0))),"",IF('Your debts'!$D$20="Avalanche",'Avalanche workings'!$M$396,'Snowball workings'!$M$396)+IF('Your debts'!$D$20="Avalanche",'Avalanche workings'!$AG$396,'Snowball workings'!$AG$396))</f>
      </c>
      <c r="I394" s="30">
        <f>IF(OR(389&gt;$Z$1,NOT(OR('Your debts'!$B$7&lt;&gt;"",N('Your debts'!$C$7)&gt;0))),"",IF('Your debts'!$D$20="Avalanche",'Avalanche workings'!$AQ$396,'Snowball workings'!$AQ$396))</f>
      </c>
      <c r="J394" s="29">
        <f>IF(OR(389&gt;$Z$1,NOT(OR('Your debts'!$B$8&lt;&gt;"",N('Your debts'!$C$8)&gt;0))),"",IF('Your debts'!$D$20="Avalanche",'Avalanche workings'!$N$396,'Snowball workings'!$N$396)+IF('Your debts'!$D$20="Avalanche",'Avalanche workings'!$AH$396,'Snowball workings'!$AH$396))</f>
      </c>
      <c r="K394" s="30">
        <f>IF(OR(389&gt;$Z$1,NOT(OR('Your debts'!$B$8&lt;&gt;"",N('Your debts'!$C$8)&gt;0))),"",IF('Your debts'!$D$20="Avalanche",'Avalanche workings'!$AR$396,'Snowball workings'!$AR$396))</f>
      </c>
      <c r="L394" s="29">
        <f>IF(OR(389&gt;$Z$1,NOT(OR('Your debts'!$B$9&lt;&gt;"",N('Your debts'!$C$9)&gt;0))),"",IF('Your debts'!$D$20="Avalanche",'Avalanche workings'!$O$396,'Snowball workings'!$O$396)+IF('Your debts'!$D$20="Avalanche",'Avalanche workings'!$AI$396,'Snowball workings'!$AI$396))</f>
      </c>
      <c r="M394" s="30">
        <f>IF(OR(389&gt;$Z$1,NOT(OR('Your debts'!$B$9&lt;&gt;"",N('Your debts'!$C$9)&gt;0))),"",IF('Your debts'!$D$20="Avalanche",'Avalanche workings'!$AS$396,'Snowball workings'!$AS$396))</f>
      </c>
      <c r="N394" s="29">
        <f>IF(OR(389&gt;$Z$1,NOT(OR('Your debts'!$B$10&lt;&gt;"",N('Your debts'!$C$10)&gt;0))),"",IF('Your debts'!$D$20="Avalanche",'Avalanche workings'!$P$396,'Snowball workings'!$P$396)+IF('Your debts'!$D$20="Avalanche",'Avalanche workings'!$AJ$396,'Snowball workings'!$AJ$396))</f>
      </c>
      <c r="O394" s="30">
        <f>IF(OR(389&gt;$Z$1,NOT(OR('Your debts'!$B$10&lt;&gt;"",N('Your debts'!$C$10)&gt;0))),"",IF('Your debts'!$D$20="Avalanche",'Avalanche workings'!$AT$396,'Snowball workings'!$AT$396))</f>
      </c>
      <c r="P394" s="29">
        <f>IF(OR(389&gt;$Z$1,NOT(OR('Your debts'!$B$11&lt;&gt;"",N('Your debts'!$C$11)&gt;0))),"",IF('Your debts'!$D$20="Avalanche",'Avalanche workings'!$Q$396,'Snowball workings'!$Q$396)+IF('Your debts'!$D$20="Avalanche",'Avalanche workings'!$AK$396,'Snowball workings'!$AK$396))</f>
      </c>
      <c r="Q394" s="30">
        <f>IF(OR(389&gt;$Z$1,NOT(OR('Your debts'!$B$11&lt;&gt;"",N('Your debts'!$C$11)&gt;0))),"",IF('Your debts'!$D$20="Avalanche",'Avalanche workings'!$AU$396,'Snowball workings'!$AU$396))</f>
      </c>
      <c r="R394" s="29">
        <f>IF(OR(389&gt;$Z$1,NOT(OR('Your debts'!$B$12&lt;&gt;"",N('Your debts'!$C$12)&gt;0))),"",IF('Your debts'!$D$20="Avalanche",'Avalanche workings'!$R$396,'Snowball workings'!$R$396)+IF('Your debts'!$D$20="Avalanche",'Avalanche workings'!$AL$396,'Snowball workings'!$AL$396))</f>
      </c>
      <c r="S394" s="30">
        <f>IF(OR(389&gt;$Z$1,NOT(OR('Your debts'!$B$12&lt;&gt;"",N('Your debts'!$C$12)&gt;0))),"",IF('Your debts'!$D$20="Avalanche",'Avalanche workings'!$AV$396,'Snowball workings'!$AV$396))</f>
      </c>
      <c r="T394" s="29">
        <f>IF(OR(389&gt;$Z$1,NOT(OR('Your debts'!$B$13&lt;&gt;"",N('Your debts'!$C$13)&gt;0))),"",IF('Your debts'!$D$20="Avalanche",'Avalanche workings'!$S$396,'Snowball workings'!$S$396)+IF('Your debts'!$D$20="Avalanche",'Avalanche workings'!$AM$396,'Snowball workings'!$AM$396))</f>
      </c>
      <c r="U394" s="30">
        <f>IF(OR(389&gt;$Z$1,NOT(OR('Your debts'!$B$13&lt;&gt;"",N('Your debts'!$C$13)&gt;0))),"",IF('Your debts'!$D$20="Avalanche",'Avalanche workings'!$AW$396,'Snowball workings'!$AW$396))</f>
      </c>
      <c r="V394" s="29">
        <f>IF(OR(389&gt;$Z$1,NOT(OR('Your debts'!$B$14&lt;&gt;"",N('Your debts'!$C$14)&gt;0))),"",IF('Your debts'!$D$20="Avalanche",'Avalanche workings'!$T$396,'Snowball workings'!$T$396)+IF('Your debts'!$D$20="Avalanche",'Avalanche workings'!$AN$396,'Snowball workings'!$AN$396))</f>
      </c>
      <c r="W394" s="30">
        <f>IF(OR(389&gt;$Z$1,NOT(OR('Your debts'!$B$14&lt;&gt;"",N('Your debts'!$C$14)&gt;0))),"",IF('Your debts'!$D$20="Avalanche",'Avalanche workings'!$AX$396,'Snowball workings'!$AX$396))</f>
      </c>
      <c r="X394" s="29">
        <f>IF(OR(389&gt;$Z$1,NOT(OR('Your debts'!$B$15&lt;&gt;"",N('Your debts'!$C$15)&gt;0))),"",IF('Your debts'!$D$20="Avalanche",'Avalanche workings'!$U$396,'Snowball workings'!$U$396)+IF('Your debts'!$D$20="Avalanche",'Avalanche workings'!$AO$396,'Snowball workings'!$AO$396))</f>
      </c>
      <c r="Y394" s="30">
        <f>IF(OR(389&gt;$Z$1,NOT(OR('Your debts'!$B$15&lt;&gt;"",N('Your debts'!$C$15)&gt;0))),"",IF('Your debts'!$D$20="Avalanche",'Avalanche workings'!$AY$396,'Snowball workings'!$AY$396))</f>
      </c>
    </row>
    <row r="395" spans="1:25" x14ac:dyDescent="0.25">
      <c r="A395" s="2">
        <f>IF(390&gt;$Z$1,"",390)</f>
      </c>
      <c r="B395" s="28">
        <f>IF(390&gt;$Z$1,"",EDATE('Your debts'!$D$21,389))</f>
      </c>
      <c r="C395" s="29">
        <f>IF(390&gt;$Z$1,"",IF('Your debts'!$D$20="Avalanche",'Avalanche workings'!$BC$397,'Snowball workings'!$BC$397))</f>
      </c>
      <c r="D395" s="29">
        <f>IF(390&gt;$Z$1,"",IF('Your debts'!$D$20="Avalanche",'Avalanche workings'!$BA$397,'Snowball workings'!$BA$397))</f>
      </c>
      <c r="E395" s="29">
        <f>IF(390&gt;$Z$1,"",IF('Your debts'!$D$20="Avalanche",'Avalanche workings'!$BB$397,'Snowball workings'!$BB$397))</f>
      </c>
      <c r="F395" s="29">
        <f>IF(OR(390&gt;$Z$1,NOT(OR('Your debts'!$B$6&lt;&gt;"",N('Your debts'!$C$6)&gt;0))),"",IF('Your debts'!$D$20="Avalanche",'Avalanche workings'!$L$397,'Snowball workings'!$L$397)+IF('Your debts'!$D$20="Avalanche",'Avalanche workings'!$AF$397,'Snowball workings'!$AF$397))</f>
      </c>
      <c r="G395" s="30">
        <f>IF(OR(390&gt;$Z$1,NOT(OR('Your debts'!$B$6&lt;&gt;"",N('Your debts'!$C$6)&gt;0))),"",IF('Your debts'!$D$20="Avalanche",'Avalanche workings'!$AP$397,'Snowball workings'!$AP$397))</f>
      </c>
      <c r="H395" s="29">
        <f>IF(OR(390&gt;$Z$1,NOT(OR('Your debts'!$B$7&lt;&gt;"",N('Your debts'!$C$7)&gt;0))),"",IF('Your debts'!$D$20="Avalanche",'Avalanche workings'!$M$397,'Snowball workings'!$M$397)+IF('Your debts'!$D$20="Avalanche",'Avalanche workings'!$AG$397,'Snowball workings'!$AG$397))</f>
      </c>
      <c r="I395" s="30">
        <f>IF(OR(390&gt;$Z$1,NOT(OR('Your debts'!$B$7&lt;&gt;"",N('Your debts'!$C$7)&gt;0))),"",IF('Your debts'!$D$20="Avalanche",'Avalanche workings'!$AQ$397,'Snowball workings'!$AQ$397))</f>
      </c>
      <c r="J395" s="29">
        <f>IF(OR(390&gt;$Z$1,NOT(OR('Your debts'!$B$8&lt;&gt;"",N('Your debts'!$C$8)&gt;0))),"",IF('Your debts'!$D$20="Avalanche",'Avalanche workings'!$N$397,'Snowball workings'!$N$397)+IF('Your debts'!$D$20="Avalanche",'Avalanche workings'!$AH$397,'Snowball workings'!$AH$397))</f>
      </c>
      <c r="K395" s="30">
        <f>IF(OR(390&gt;$Z$1,NOT(OR('Your debts'!$B$8&lt;&gt;"",N('Your debts'!$C$8)&gt;0))),"",IF('Your debts'!$D$20="Avalanche",'Avalanche workings'!$AR$397,'Snowball workings'!$AR$397))</f>
      </c>
      <c r="L395" s="29">
        <f>IF(OR(390&gt;$Z$1,NOT(OR('Your debts'!$B$9&lt;&gt;"",N('Your debts'!$C$9)&gt;0))),"",IF('Your debts'!$D$20="Avalanche",'Avalanche workings'!$O$397,'Snowball workings'!$O$397)+IF('Your debts'!$D$20="Avalanche",'Avalanche workings'!$AI$397,'Snowball workings'!$AI$397))</f>
      </c>
      <c r="M395" s="30">
        <f>IF(OR(390&gt;$Z$1,NOT(OR('Your debts'!$B$9&lt;&gt;"",N('Your debts'!$C$9)&gt;0))),"",IF('Your debts'!$D$20="Avalanche",'Avalanche workings'!$AS$397,'Snowball workings'!$AS$397))</f>
      </c>
      <c r="N395" s="29">
        <f>IF(OR(390&gt;$Z$1,NOT(OR('Your debts'!$B$10&lt;&gt;"",N('Your debts'!$C$10)&gt;0))),"",IF('Your debts'!$D$20="Avalanche",'Avalanche workings'!$P$397,'Snowball workings'!$P$397)+IF('Your debts'!$D$20="Avalanche",'Avalanche workings'!$AJ$397,'Snowball workings'!$AJ$397))</f>
      </c>
      <c r="O395" s="30">
        <f>IF(OR(390&gt;$Z$1,NOT(OR('Your debts'!$B$10&lt;&gt;"",N('Your debts'!$C$10)&gt;0))),"",IF('Your debts'!$D$20="Avalanche",'Avalanche workings'!$AT$397,'Snowball workings'!$AT$397))</f>
      </c>
      <c r="P395" s="29">
        <f>IF(OR(390&gt;$Z$1,NOT(OR('Your debts'!$B$11&lt;&gt;"",N('Your debts'!$C$11)&gt;0))),"",IF('Your debts'!$D$20="Avalanche",'Avalanche workings'!$Q$397,'Snowball workings'!$Q$397)+IF('Your debts'!$D$20="Avalanche",'Avalanche workings'!$AK$397,'Snowball workings'!$AK$397))</f>
      </c>
      <c r="Q395" s="30">
        <f>IF(OR(390&gt;$Z$1,NOT(OR('Your debts'!$B$11&lt;&gt;"",N('Your debts'!$C$11)&gt;0))),"",IF('Your debts'!$D$20="Avalanche",'Avalanche workings'!$AU$397,'Snowball workings'!$AU$397))</f>
      </c>
      <c r="R395" s="29">
        <f>IF(OR(390&gt;$Z$1,NOT(OR('Your debts'!$B$12&lt;&gt;"",N('Your debts'!$C$12)&gt;0))),"",IF('Your debts'!$D$20="Avalanche",'Avalanche workings'!$R$397,'Snowball workings'!$R$397)+IF('Your debts'!$D$20="Avalanche",'Avalanche workings'!$AL$397,'Snowball workings'!$AL$397))</f>
      </c>
      <c r="S395" s="30">
        <f>IF(OR(390&gt;$Z$1,NOT(OR('Your debts'!$B$12&lt;&gt;"",N('Your debts'!$C$12)&gt;0))),"",IF('Your debts'!$D$20="Avalanche",'Avalanche workings'!$AV$397,'Snowball workings'!$AV$397))</f>
      </c>
      <c r="T395" s="29">
        <f>IF(OR(390&gt;$Z$1,NOT(OR('Your debts'!$B$13&lt;&gt;"",N('Your debts'!$C$13)&gt;0))),"",IF('Your debts'!$D$20="Avalanche",'Avalanche workings'!$S$397,'Snowball workings'!$S$397)+IF('Your debts'!$D$20="Avalanche",'Avalanche workings'!$AM$397,'Snowball workings'!$AM$397))</f>
      </c>
      <c r="U395" s="30">
        <f>IF(OR(390&gt;$Z$1,NOT(OR('Your debts'!$B$13&lt;&gt;"",N('Your debts'!$C$13)&gt;0))),"",IF('Your debts'!$D$20="Avalanche",'Avalanche workings'!$AW$397,'Snowball workings'!$AW$397))</f>
      </c>
      <c r="V395" s="29">
        <f>IF(OR(390&gt;$Z$1,NOT(OR('Your debts'!$B$14&lt;&gt;"",N('Your debts'!$C$14)&gt;0))),"",IF('Your debts'!$D$20="Avalanche",'Avalanche workings'!$T$397,'Snowball workings'!$T$397)+IF('Your debts'!$D$20="Avalanche",'Avalanche workings'!$AN$397,'Snowball workings'!$AN$397))</f>
      </c>
      <c r="W395" s="30">
        <f>IF(OR(390&gt;$Z$1,NOT(OR('Your debts'!$B$14&lt;&gt;"",N('Your debts'!$C$14)&gt;0))),"",IF('Your debts'!$D$20="Avalanche",'Avalanche workings'!$AX$397,'Snowball workings'!$AX$397))</f>
      </c>
      <c r="X395" s="29">
        <f>IF(OR(390&gt;$Z$1,NOT(OR('Your debts'!$B$15&lt;&gt;"",N('Your debts'!$C$15)&gt;0))),"",IF('Your debts'!$D$20="Avalanche",'Avalanche workings'!$U$397,'Snowball workings'!$U$397)+IF('Your debts'!$D$20="Avalanche",'Avalanche workings'!$AO$397,'Snowball workings'!$AO$397))</f>
      </c>
      <c r="Y395" s="30">
        <f>IF(OR(390&gt;$Z$1,NOT(OR('Your debts'!$B$15&lt;&gt;"",N('Your debts'!$C$15)&gt;0))),"",IF('Your debts'!$D$20="Avalanche",'Avalanche workings'!$AY$397,'Snowball workings'!$AY$397))</f>
      </c>
    </row>
    <row r="396" spans="1:25" x14ac:dyDescent="0.25">
      <c r="A396" s="2">
        <f>IF(391&gt;$Z$1,"",391)</f>
      </c>
      <c r="B396" s="28">
        <f>IF(391&gt;$Z$1,"",EDATE('Your debts'!$D$21,390))</f>
      </c>
      <c r="C396" s="29">
        <f>IF(391&gt;$Z$1,"",IF('Your debts'!$D$20="Avalanche",'Avalanche workings'!$BC$398,'Snowball workings'!$BC$398))</f>
      </c>
      <c r="D396" s="29">
        <f>IF(391&gt;$Z$1,"",IF('Your debts'!$D$20="Avalanche",'Avalanche workings'!$BA$398,'Snowball workings'!$BA$398))</f>
      </c>
      <c r="E396" s="29">
        <f>IF(391&gt;$Z$1,"",IF('Your debts'!$D$20="Avalanche",'Avalanche workings'!$BB$398,'Snowball workings'!$BB$398))</f>
      </c>
      <c r="F396" s="29">
        <f>IF(OR(391&gt;$Z$1,NOT(OR('Your debts'!$B$6&lt;&gt;"",N('Your debts'!$C$6)&gt;0))),"",IF('Your debts'!$D$20="Avalanche",'Avalanche workings'!$L$398,'Snowball workings'!$L$398)+IF('Your debts'!$D$20="Avalanche",'Avalanche workings'!$AF$398,'Snowball workings'!$AF$398))</f>
      </c>
      <c r="G396" s="30">
        <f>IF(OR(391&gt;$Z$1,NOT(OR('Your debts'!$B$6&lt;&gt;"",N('Your debts'!$C$6)&gt;0))),"",IF('Your debts'!$D$20="Avalanche",'Avalanche workings'!$AP$398,'Snowball workings'!$AP$398))</f>
      </c>
      <c r="H396" s="29">
        <f>IF(OR(391&gt;$Z$1,NOT(OR('Your debts'!$B$7&lt;&gt;"",N('Your debts'!$C$7)&gt;0))),"",IF('Your debts'!$D$20="Avalanche",'Avalanche workings'!$M$398,'Snowball workings'!$M$398)+IF('Your debts'!$D$20="Avalanche",'Avalanche workings'!$AG$398,'Snowball workings'!$AG$398))</f>
      </c>
      <c r="I396" s="30">
        <f>IF(OR(391&gt;$Z$1,NOT(OR('Your debts'!$B$7&lt;&gt;"",N('Your debts'!$C$7)&gt;0))),"",IF('Your debts'!$D$20="Avalanche",'Avalanche workings'!$AQ$398,'Snowball workings'!$AQ$398))</f>
      </c>
      <c r="J396" s="29">
        <f>IF(OR(391&gt;$Z$1,NOT(OR('Your debts'!$B$8&lt;&gt;"",N('Your debts'!$C$8)&gt;0))),"",IF('Your debts'!$D$20="Avalanche",'Avalanche workings'!$N$398,'Snowball workings'!$N$398)+IF('Your debts'!$D$20="Avalanche",'Avalanche workings'!$AH$398,'Snowball workings'!$AH$398))</f>
      </c>
      <c r="K396" s="30">
        <f>IF(OR(391&gt;$Z$1,NOT(OR('Your debts'!$B$8&lt;&gt;"",N('Your debts'!$C$8)&gt;0))),"",IF('Your debts'!$D$20="Avalanche",'Avalanche workings'!$AR$398,'Snowball workings'!$AR$398))</f>
      </c>
      <c r="L396" s="29">
        <f>IF(OR(391&gt;$Z$1,NOT(OR('Your debts'!$B$9&lt;&gt;"",N('Your debts'!$C$9)&gt;0))),"",IF('Your debts'!$D$20="Avalanche",'Avalanche workings'!$O$398,'Snowball workings'!$O$398)+IF('Your debts'!$D$20="Avalanche",'Avalanche workings'!$AI$398,'Snowball workings'!$AI$398))</f>
      </c>
      <c r="M396" s="30">
        <f>IF(OR(391&gt;$Z$1,NOT(OR('Your debts'!$B$9&lt;&gt;"",N('Your debts'!$C$9)&gt;0))),"",IF('Your debts'!$D$20="Avalanche",'Avalanche workings'!$AS$398,'Snowball workings'!$AS$398))</f>
      </c>
      <c r="N396" s="29">
        <f>IF(OR(391&gt;$Z$1,NOT(OR('Your debts'!$B$10&lt;&gt;"",N('Your debts'!$C$10)&gt;0))),"",IF('Your debts'!$D$20="Avalanche",'Avalanche workings'!$P$398,'Snowball workings'!$P$398)+IF('Your debts'!$D$20="Avalanche",'Avalanche workings'!$AJ$398,'Snowball workings'!$AJ$398))</f>
      </c>
      <c r="O396" s="30">
        <f>IF(OR(391&gt;$Z$1,NOT(OR('Your debts'!$B$10&lt;&gt;"",N('Your debts'!$C$10)&gt;0))),"",IF('Your debts'!$D$20="Avalanche",'Avalanche workings'!$AT$398,'Snowball workings'!$AT$398))</f>
      </c>
      <c r="P396" s="29">
        <f>IF(OR(391&gt;$Z$1,NOT(OR('Your debts'!$B$11&lt;&gt;"",N('Your debts'!$C$11)&gt;0))),"",IF('Your debts'!$D$20="Avalanche",'Avalanche workings'!$Q$398,'Snowball workings'!$Q$398)+IF('Your debts'!$D$20="Avalanche",'Avalanche workings'!$AK$398,'Snowball workings'!$AK$398))</f>
      </c>
      <c r="Q396" s="30">
        <f>IF(OR(391&gt;$Z$1,NOT(OR('Your debts'!$B$11&lt;&gt;"",N('Your debts'!$C$11)&gt;0))),"",IF('Your debts'!$D$20="Avalanche",'Avalanche workings'!$AU$398,'Snowball workings'!$AU$398))</f>
      </c>
      <c r="R396" s="29">
        <f>IF(OR(391&gt;$Z$1,NOT(OR('Your debts'!$B$12&lt;&gt;"",N('Your debts'!$C$12)&gt;0))),"",IF('Your debts'!$D$20="Avalanche",'Avalanche workings'!$R$398,'Snowball workings'!$R$398)+IF('Your debts'!$D$20="Avalanche",'Avalanche workings'!$AL$398,'Snowball workings'!$AL$398))</f>
      </c>
      <c r="S396" s="30">
        <f>IF(OR(391&gt;$Z$1,NOT(OR('Your debts'!$B$12&lt;&gt;"",N('Your debts'!$C$12)&gt;0))),"",IF('Your debts'!$D$20="Avalanche",'Avalanche workings'!$AV$398,'Snowball workings'!$AV$398))</f>
      </c>
      <c r="T396" s="29">
        <f>IF(OR(391&gt;$Z$1,NOT(OR('Your debts'!$B$13&lt;&gt;"",N('Your debts'!$C$13)&gt;0))),"",IF('Your debts'!$D$20="Avalanche",'Avalanche workings'!$S$398,'Snowball workings'!$S$398)+IF('Your debts'!$D$20="Avalanche",'Avalanche workings'!$AM$398,'Snowball workings'!$AM$398))</f>
      </c>
      <c r="U396" s="30">
        <f>IF(OR(391&gt;$Z$1,NOT(OR('Your debts'!$B$13&lt;&gt;"",N('Your debts'!$C$13)&gt;0))),"",IF('Your debts'!$D$20="Avalanche",'Avalanche workings'!$AW$398,'Snowball workings'!$AW$398))</f>
      </c>
      <c r="V396" s="29">
        <f>IF(OR(391&gt;$Z$1,NOT(OR('Your debts'!$B$14&lt;&gt;"",N('Your debts'!$C$14)&gt;0))),"",IF('Your debts'!$D$20="Avalanche",'Avalanche workings'!$T$398,'Snowball workings'!$T$398)+IF('Your debts'!$D$20="Avalanche",'Avalanche workings'!$AN$398,'Snowball workings'!$AN$398))</f>
      </c>
      <c r="W396" s="30">
        <f>IF(OR(391&gt;$Z$1,NOT(OR('Your debts'!$B$14&lt;&gt;"",N('Your debts'!$C$14)&gt;0))),"",IF('Your debts'!$D$20="Avalanche",'Avalanche workings'!$AX$398,'Snowball workings'!$AX$398))</f>
      </c>
      <c r="X396" s="29">
        <f>IF(OR(391&gt;$Z$1,NOT(OR('Your debts'!$B$15&lt;&gt;"",N('Your debts'!$C$15)&gt;0))),"",IF('Your debts'!$D$20="Avalanche",'Avalanche workings'!$U$398,'Snowball workings'!$U$398)+IF('Your debts'!$D$20="Avalanche",'Avalanche workings'!$AO$398,'Snowball workings'!$AO$398))</f>
      </c>
      <c r="Y396" s="30">
        <f>IF(OR(391&gt;$Z$1,NOT(OR('Your debts'!$B$15&lt;&gt;"",N('Your debts'!$C$15)&gt;0))),"",IF('Your debts'!$D$20="Avalanche",'Avalanche workings'!$AY$398,'Snowball workings'!$AY$398))</f>
      </c>
    </row>
    <row r="397" spans="1:25" x14ac:dyDescent="0.25">
      <c r="A397" s="2">
        <f>IF(392&gt;$Z$1,"",392)</f>
      </c>
      <c r="B397" s="28">
        <f>IF(392&gt;$Z$1,"",EDATE('Your debts'!$D$21,391))</f>
      </c>
      <c r="C397" s="29">
        <f>IF(392&gt;$Z$1,"",IF('Your debts'!$D$20="Avalanche",'Avalanche workings'!$BC$399,'Snowball workings'!$BC$399))</f>
      </c>
      <c r="D397" s="29">
        <f>IF(392&gt;$Z$1,"",IF('Your debts'!$D$20="Avalanche",'Avalanche workings'!$BA$399,'Snowball workings'!$BA$399))</f>
      </c>
      <c r="E397" s="29">
        <f>IF(392&gt;$Z$1,"",IF('Your debts'!$D$20="Avalanche",'Avalanche workings'!$BB$399,'Snowball workings'!$BB$399))</f>
      </c>
      <c r="F397" s="29">
        <f>IF(OR(392&gt;$Z$1,NOT(OR('Your debts'!$B$6&lt;&gt;"",N('Your debts'!$C$6)&gt;0))),"",IF('Your debts'!$D$20="Avalanche",'Avalanche workings'!$L$399,'Snowball workings'!$L$399)+IF('Your debts'!$D$20="Avalanche",'Avalanche workings'!$AF$399,'Snowball workings'!$AF$399))</f>
      </c>
      <c r="G397" s="30">
        <f>IF(OR(392&gt;$Z$1,NOT(OR('Your debts'!$B$6&lt;&gt;"",N('Your debts'!$C$6)&gt;0))),"",IF('Your debts'!$D$20="Avalanche",'Avalanche workings'!$AP$399,'Snowball workings'!$AP$399))</f>
      </c>
      <c r="H397" s="29">
        <f>IF(OR(392&gt;$Z$1,NOT(OR('Your debts'!$B$7&lt;&gt;"",N('Your debts'!$C$7)&gt;0))),"",IF('Your debts'!$D$20="Avalanche",'Avalanche workings'!$M$399,'Snowball workings'!$M$399)+IF('Your debts'!$D$20="Avalanche",'Avalanche workings'!$AG$399,'Snowball workings'!$AG$399))</f>
      </c>
      <c r="I397" s="30">
        <f>IF(OR(392&gt;$Z$1,NOT(OR('Your debts'!$B$7&lt;&gt;"",N('Your debts'!$C$7)&gt;0))),"",IF('Your debts'!$D$20="Avalanche",'Avalanche workings'!$AQ$399,'Snowball workings'!$AQ$399))</f>
      </c>
      <c r="J397" s="29">
        <f>IF(OR(392&gt;$Z$1,NOT(OR('Your debts'!$B$8&lt;&gt;"",N('Your debts'!$C$8)&gt;0))),"",IF('Your debts'!$D$20="Avalanche",'Avalanche workings'!$N$399,'Snowball workings'!$N$399)+IF('Your debts'!$D$20="Avalanche",'Avalanche workings'!$AH$399,'Snowball workings'!$AH$399))</f>
      </c>
      <c r="K397" s="30">
        <f>IF(OR(392&gt;$Z$1,NOT(OR('Your debts'!$B$8&lt;&gt;"",N('Your debts'!$C$8)&gt;0))),"",IF('Your debts'!$D$20="Avalanche",'Avalanche workings'!$AR$399,'Snowball workings'!$AR$399))</f>
      </c>
      <c r="L397" s="29">
        <f>IF(OR(392&gt;$Z$1,NOT(OR('Your debts'!$B$9&lt;&gt;"",N('Your debts'!$C$9)&gt;0))),"",IF('Your debts'!$D$20="Avalanche",'Avalanche workings'!$O$399,'Snowball workings'!$O$399)+IF('Your debts'!$D$20="Avalanche",'Avalanche workings'!$AI$399,'Snowball workings'!$AI$399))</f>
      </c>
      <c r="M397" s="30">
        <f>IF(OR(392&gt;$Z$1,NOT(OR('Your debts'!$B$9&lt;&gt;"",N('Your debts'!$C$9)&gt;0))),"",IF('Your debts'!$D$20="Avalanche",'Avalanche workings'!$AS$399,'Snowball workings'!$AS$399))</f>
      </c>
      <c r="N397" s="29">
        <f>IF(OR(392&gt;$Z$1,NOT(OR('Your debts'!$B$10&lt;&gt;"",N('Your debts'!$C$10)&gt;0))),"",IF('Your debts'!$D$20="Avalanche",'Avalanche workings'!$P$399,'Snowball workings'!$P$399)+IF('Your debts'!$D$20="Avalanche",'Avalanche workings'!$AJ$399,'Snowball workings'!$AJ$399))</f>
      </c>
      <c r="O397" s="30">
        <f>IF(OR(392&gt;$Z$1,NOT(OR('Your debts'!$B$10&lt;&gt;"",N('Your debts'!$C$10)&gt;0))),"",IF('Your debts'!$D$20="Avalanche",'Avalanche workings'!$AT$399,'Snowball workings'!$AT$399))</f>
      </c>
      <c r="P397" s="29">
        <f>IF(OR(392&gt;$Z$1,NOT(OR('Your debts'!$B$11&lt;&gt;"",N('Your debts'!$C$11)&gt;0))),"",IF('Your debts'!$D$20="Avalanche",'Avalanche workings'!$Q$399,'Snowball workings'!$Q$399)+IF('Your debts'!$D$20="Avalanche",'Avalanche workings'!$AK$399,'Snowball workings'!$AK$399))</f>
      </c>
      <c r="Q397" s="30">
        <f>IF(OR(392&gt;$Z$1,NOT(OR('Your debts'!$B$11&lt;&gt;"",N('Your debts'!$C$11)&gt;0))),"",IF('Your debts'!$D$20="Avalanche",'Avalanche workings'!$AU$399,'Snowball workings'!$AU$399))</f>
      </c>
      <c r="R397" s="29">
        <f>IF(OR(392&gt;$Z$1,NOT(OR('Your debts'!$B$12&lt;&gt;"",N('Your debts'!$C$12)&gt;0))),"",IF('Your debts'!$D$20="Avalanche",'Avalanche workings'!$R$399,'Snowball workings'!$R$399)+IF('Your debts'!$D$20="Avalanche",'Avalanche workings'!$AL$399,'Snowball workings'!$AL$399))</f>
      </c>
      <c r="S397" s="30">
        <f>IF(OR(392&gt;$Z$1,NOT(OR('Your debts'!$B$12&lt;&gt;"",N('Your debts'!$C$12)&gt;0))),"",IF('Your debts'!$D$20="Avalanche",'Avalanche workings'!$AV$399,'Snowball workings'!$AV$399))</f>
      </c>
      <c r="T397" s="29">
        <f>IF(OR(392&gt;$Z$1,NOT(OR('Your debts'!$B$13&lt;&gt;"",N('Your debts'!$C$13)&gt;0))),"",IF('Your debts'!$D$20="Avalanche",'Avalanche workings'!$S$399,'Snowball workings'!$S$399)+IF('Your debts'!$D$20="Avalanche",'Avalanche workings'!$AM$399,'Snowball workings'!$AM$399))</f>
      </c>
      <c r="U397" s="30">
        <f>IF(OR(392&gt;$Z$1,NOT(OR('Your debts'!$B$13&lt;&gt;"",N('Your debts'!$C$13)&gt;0))),"",IF('Your debts'!$D$20="Avalanche",'Avalanche workings'!$AW$399,'Snowball workings'!$AW$399))</f>
      </c>
      <c r="V397" s="29">
        <f>IF(OR(392&gt;$Z$1,NOT(OR('Your debts'!$B$14&lt;&gt;"",N('Your debts'!$C$14)&gt;0))),"",IF('Your debts'!$D$20="Avalanche",'Avalanche workings'!$T$399,'Snowball workings'!$T$399)+IF('Your debts'!$D$20="Avalanche",'Avalanche workings'!$AN$399,'Snowball workings'!$AN$399))</f>
      </c>
      <c r="W397" s="30">
        <f>IF(OR(392&gt;$Z$1,NOT(OR('Your debts'!$B$14&lt;&gt;"",N('Your debts'!$C$14)&gt;0))),"",IF('Your debts'!$D$20="Avalanche",'Avalanche workings'!$AX$399,'Snowball workings'!$AX$399))</f>
      </c>
      <c r="X397" s="29">
        <f>IF(OR(392&gt;$Z$1,NOT(OR('Your debts'!$B$15&lt;&gt;"",N('Your debts'!$C$15)&gt;0))),"",IF('Your debts'!$D$20="Avalanche",'Avalanche workings'!$U$399,'Snowball workings'!$U$399)+IF('Your debts'!$D$20="Avalanche",'Avalanche workings'!$AO$399,'Snowball workings'!$AO$399))</f>
      </c>
      <c r="Y397" s="30">
        <f>IF(OR(392&gt;$Z$1,NOT(OR('Your debts'!$B$15&lt;&gt;"",N('Your debts'!$C$15)&gt;0))),"",IF('Your debts'!$D$20="Avalanche",'Avalanche workings'!$AY$399,'Snowball workings'!$AY$399))</f>
      </c>
    </row>
    <row r="398" spans="1:25" x14ac:dyDescent="0.25">
      <c r="A398" s="2">
        <f>IF(393&gt;$Z$1,"",393)</f>
      </c>
      <c r="B398" s="28">
        <f>IF(393&gt;$Z$1,"",EDATE('Your debts'!$D$21,392))</f>
      </c>
      <c r="C398" s="29">
        <f>IF(393&gt;$Z$1,"",IF('Your debts'!$D$20="Avalanche",'Avalanche workings'!$BC$400,'Snowball workings'!$BC$400))</f>
      </c>
      <c r="D398" s="29">
        <f>IF(393&gt;$Z$1,"",IF('Your debts'!$D$20="Avalanche",'Avalanche workings'!$BA$400,'Snowball workings'!$BA$400))</f>
      </c>
      <c r="E398" s="29">
        <f>IF(393&gt;$Z$1,"",IF('Your debts'!$D$20="Avalanche",'Avalanche workings'!$BB$400,'Snowball workings'!$BB$400))</f>
      </c>
      <c r="F398" s="29">
        <f>IF(OR(393&gt;$Z$1,NOT(OR('Your debts'!$B$6&lt;&gt;"",N('Your debts'!$C$6)&gt;0))),"",IF('Your debts'!$D$20="Avalanche",'Avalanche workings'!$L$400,'Snowball workings'!$L$400)+IF('Your debts'!$D$20="Avalanche",'Avalanche workings'!$AF$400,'Snowball workings'!$AF$400))</f>
      </c>
      <c r="G398" s="30">
        <f>IF(OR(393&gt;$Z$1,NOT(OR('Your debts'!$B$6&lt;&gt;"",N('Your debts'!$C$6)&gt;0))),"",IF('Your debts'!$D$20="Avalanche",'Avalanche workings'!$AP$400,'Snowball workings'!$AP$400))</f>
      </c>
      <c r="H398" s="29">
        <f>IF(OR(393&gt;$Z$1,NOT(OR('Your debts'!$B$7&lt;&gt;"",N('Your debts'!$C$7)&gt;0))),"",IF('Your debts'!$D$20="Avalanche",'Avalanche workings'!$M$400,'Snowball workings'!$M$400)+IF('Your debts'!$D$20="Avalanche",'Avalanche workings'!$AG$400,'Snowball workings'!$AG$400))</f>
      </c>
      <c r="I398" s="30">
        <f>IF(OR(393&gt;$Z$1,NOT(OR('Your debts'!$B$7&lt;&gt;"",N('Your debts'!$C$7)&gt;0))),"",IF('Your debts'!$D$20="Avalanche",'Avalanche workings'!$AQ$400,'Snowball workings'!$AQ$400))</f>
      </c>
      <c r="J398" s="29">
        <f>IF(OR(393&gt;$Z$1,NOT(OR('Your debts'!$B$8&lt;&gt;"",N('Your debts'!$C$8)&gt;0))),"",IF('Your debts'!$D$20="Avalanche",'Avalanche workings'!$N$400,'Snowball workings'!$N$400)+IF('Your debts'!$D$20="Avalanche",'Avalanche workings'!$AH$400,'Snowball workings'!$AH$400))</f>
      </c>
      <c r="K398" s="30">
        <f>IF(OR(393&gt;$Z$1,NOT(OR('Your debts'!$B$8&lt;&gt;"",N('Your debts'!$C$8)&gt;0))),"",IF('Your debts'!$D$20="Avalanche",'Avalanche workings'!$AR$400,'Snowball workings'!$AR$400))</f>
      </c>
      <c r="L398" s="29">
        <f>IF(OR(393&gt;$Z$1,NOT(OR('Your debts'!$B$9&lt;&gt;"",N('Your debts'!$C$9)&gt;0))),"",IF('Your debts'!$D$20="Avalanche",'Avalanche workings'!$O$400,'Snowball workings'!$O$400)+IF('Your debts'!$D$20="Avalanche",'Avalanche workings'!$AI$400,'Snowball workings'!$AI$400))</f>
      </c>
      <c r="M398" s="30">
        <f>IF(OR(393&gt;$Z$1,NOT(OR('Your debts'!$B$9&lt;&gt;"",N('Your debts'!$C$9)&gt;0))),"",IF('Your debts'!$D$20="Avalanche",'Avalanche workings'!$AS$400,'Snowball workings'!$AS$400))</f>
      </c>
      <c r="N398" s="29">
        <f>IF(OR(393&gt;$Z$1,NOT(OR('Your debts'!$B$10&lt;&gt;"",N('Your debts'!$C$10)&gt;0))),"",IF('Your debts'!$D$20="Avalanche",'Avalanche workings'!$P$400,'Snowball workings'!$P$400)+IF('Your debts'!$D$20="Avalanche",'Avalanche workings'!$AJ$400,'Snowball workings'!$AJ$400))</f>
      </c>
      <c r="O398" s="30">
        <f>IF(OR(393&gt;$Z$1,NOT(OR('Your debts'!$B$10&lt;&gt;"",N('Your debts'!$C$10)&gt;0))),"",IF('Your debts'!$D$20="Avalanche",'Avalanche workings'!$AT$400,'Snowball workings'!$AT$400))</f>
      </c>
      <c r="P398" s="29">
        <f>IF(OR(393&gt;$Z$1,NOT(OR('Your debts'!$B$11&lt;&gt;"",N('Your debts'!$C$11)&gt;0))),"",IF('Your debts'!$D$20="Avalanche",'Avalanche workings'!$Q$400,'Snowball workings'!$Q$400)+IF('Your debts'!$D$20="Avalanche",'Avalanche workings'!$AK$400,'Snowball workings'!$AK$400))</f>
      </c>
      <c r="Q398" s="30">
        <f>IF(OR(393&gt;$Z$1,NOT(OR('Your debts'!$B$11&lt;&gt;"",N('Your debts'!$C$11)&gt;0))),"",IF('Your debts'!$D$20="Avalanche",'Avalanche workings'!$AU$400,'Snowball workings'!$AU$400))</f>
      </c>
      <c r="R398" s="29">
        <f>IF(OR(393&gt;$Z$1,NOT(OR('Your debts'!$B$12&lt;&gt;"",N('Your debts'!$C$12)&gt;0))),"",IF('Your debts'!$D$20="Avalanche",'Avalanche workings'!$R$400,'Snowball workings'!$R$400)+IF('Your debts'!$D$20="Avalanche",'Avalanche workings'!$AL$400,'Snowball workings'!$AL$400))</f>
      </c>
      <c r="S398" s="30">
        <f>IF(OR(393&gt;$Z$1,NOT(OR('Your debts'!$B$12&lt;&gt;"",N('Your debts'!$C$12)&gt;0))),"",IF('Your debts'!$D$20="Avalanche",'Avalanche workings'!$AV$400,'Snowball workings'!$AV$400))</f>
      </c>
      <c r="T398" s="29">
        <f>IF(OR(393&gt;$Z$1,NOT(OR('Your debts'!$B$13&lt;&gt;"",N('Your debts'!$C$13)&gt;0))),"",IF('Your debts'!$D$20="Avalanche",'Avalanche workings'!$S$400,'Snowball workings'!$S$400)+IF('Your debts'!$D$20="Avalanche",'Avalanche workings'!$AM$400,'Snowball workings'!$AM$400))</f>
      </c>
      <c r="U398" s="30">
        <f>IF(OR(393&gt;$Z$1,NOT(OR('Your debts'!$B$13&lt;&gt;"",N('Your debts'!$C$13)&gt;0))),"",IF('Your debts'!$D$20="Avalanche",'Avalanche workings'!$AW$400,'Snowball workings'!$AW$400))</f>
      </c>
      <c r="V398" s="29">
        <f>IF(OR(393&gt;$Z$1,NOT(OR('Your debts'!$B$14&lt;&gt;"",N('Your debts'!$C$14)&gt;0))),"",IF('Your debts'!$D$20="Avalanche",'Avalanche workings'!$T$400,'Snowball workings'!$T$400)+IF('Your debts'!$D$20="Avalanche",'Avalanche workings'!$AN$400,'Snowball workings'!$AN$400))</f>
      </c>
      <c r="W398" s="30">
        <f>IF(OR(393&gt;$Z$1,NOT(OR('Your debts'!$B$14&lt;&gt;"",N('Your debts'!$C$14)&gt;0))),"",IF('Your debts'!$D$20="Avalanche",'Avalanche workings'!$AX$400,'Snowball workings'!$AX$400))</f>
      </c>
      <c r="X398" s="29">
        <f>IF(OR(393&gt;$Z$1,NOT(OR('Your debts'!$B$15&lt;&gt;"",N('Your debts'!$C$15)&gt;0))),"",IF('Your debts'!$D$20="Avalanche",'Avalanche workings'!$U$400,'Snowball workings'!$U$400)+IF('Your debts'!$D$20="Avalanche",'Avalanche workings'!$AO$400,'Snowball workings'!$AO$400))</f>
      </c>
      <c r="Y398" s="30">
        <f>IF(OR(393&gt;$Z$1,NOT(OR('Your debts'!$B$15&lt;&gt;"",N('Your debts'!$C$15)&gt;0))),"",IF('Your debts'!$D$20="Avalanche",'Avalanche workings'!$AY$400,'Snowball workings'!$AY$400))</f>
      </c>
    </row>
    <row r="399" spans="1:25" x14ac:dyDescent="0.25">
      <c r="A399" s="2">
        <f>IF(394&gt;$Z$1,"",394)</f>
      </c>
      <c r="B399" s="28">
        <f>IF(394&gt;$Z$1,"",EDATE('Your debts'!$D$21,393))</f>
      </c>
      <c r="C399" s="29">
        <f>IF(394&gt;$Z$1,"",IF('Your debts'!$D$20="Avalanche",'Avalanche workings'!$BC$401,'Snowball workings'!$BC$401))</f>
      </c>
      <c r="D399" s="29">
        <f>IF(394&gt;$Z$1,"",IF('Your debts'!$D$20="Avalanche",'Avalanche workings'!$BA$401,'Snowball workings'!$BA$401))</f>
      </c>
      <c r="E399" s="29">
        <f>IF(394&gt;$Z$1,"",IF('Your debts'!$D$20="Avalanche",'Avalanche workings'!$BB$401,'Snowball workings'!$BB$401))</f>
      </c>
      <c r="F399" s="29">
        <f>IF(OR(394&gt;$Z$1,NOT(OR('Your debts'!$B$6&lt;&gt;"",N('Your debts'!$C$6)&gt;0))),"",IF('Your debts'!$D$20="Avalanche",'Avalanche workings'!$L$401,'Snowball workings'!$L$401)+IF('Your debts'!$D$20="Avalanche",'Avalanche workings'!$AF$401,'Snowball workings'!$AF$401))</f>
      </c>
      <c r="G399" s="30">
        <f>IF(OR(394&gt;$Z$1,NOT(OR('Your debts'!$B$6&lt;&gt;"",N('Your debts'!$C$6)&gt;0))),"",IF('Your debts'!$D$20="Avalanche",'Avalanche workings'!$AP$401,'Snowball workings'!$AP$401))</f>
      </c>
      <c r="H399" s="29">
        <f>IF(OR(394&gt;$Z$1,NOT(OR('Your debts'!$B$7&lt;&gt;"",N('Your debts'!$C$7)&gt;0))),"",IF('Your debts'!$D$20="Avalanche",'Avalanche workings'!$M$401,'Snowball workings'!$M$401)+IF('Your debts'!$D$20="Avalanche",'Avalanche workings'!$AG$401,'Snowball workings'!$AG$401))</f>
      </c>
      <c r="I399" s="30">
        <f>IF(OR(394&gt;$Z$1,NOT(OR('Your debts'!$B$7&lt;&gt;"",N('Your debts'!$C$7)&gt;0))),"",IF('Your debts'!$D$20="Avalanche",'Avalanche workings'!$AQ$401,'Snowball workings'!$AQ$401))</f>
      </c>
      <c r="J399" s="29">
        <f>IF(OR(394&gt;$Z$1,NOT(OR('Your debts'!$B$8&lt;&gt;"",N('Your debts'!$C$8)&gt;0))),"",IF('Your debts'!$D$20="Avalanche",'Avalanche workings'!$N$401,'Snowball workings'!$N$401)+IF('Your debts'!$D$20="Avalanche",'Avalanche workings'!$AH$401,'Snowball workings'!$AH$401))</f>
      </c>
      <c r="K399" s="30">
        <f>IF(OR(394&gt;$Z$1,NOT(OR('Your debts'!$B$8&lt;&gt;"",N('Your debts'!$C$8)&gt;0))),"",IF('Your debts'!$D$20="Avalanche",'Avalanche workings'!$AR$401,'Snowball workings'!$AR$401))</f>
      </c>
      <c r="L399" s="29">
        <f>IF(OR(394&gt;$Z$1,NOT(OR('Your debts'!$B$9&lt;&gt;"",N('Your debts'!$C$9)&gt;0))),"",IF('Your debts'!$D$20="Avalanche",'Avalanche workings'!$O$401,'Snowball workings'!$O$401)+IF('Your debts'!$D$20="Avalanche",'Avalanche workings'!$AI$401,'Snowball workings'!$AI$401))</f>
      </c>
      <c r="M399" s="30">
        <f>IF(OR(394&gt;$Z$1,NOT(OR('Your debts'!$B$9&lt;&gt;"",N('Your debts'!$C$9)&gt;0))),"",IF('Your debts'!$D$20="Avalanche",'Avalanche workings'!$AS$401,'Snowball workings'!$AS$401))</f>
      </c>
      <c r="N399" s="29">
        <f>IF(OR(394&gt;$Z$1,NOT(OR('Your debts'!$B$10&lt;&gt;"",N('Your debts'!$C$10)&gt;0))),"",IF('Your debts'!$D$20="Avalanche",'Avalanche workings'!$P$401,'Snowball workings'!$P$401)+IF('Your debts'!$D$20="Avalanche",'Avalanche workings'!$AJ$401,'Snowball workings'!$AJ$401))</f>
      </c>
      <c r="O399" s="30">
        <f>IF(OR(394&gt;$Z$1,NOT(OR('Your debts'!$B$10&lt;&gt;"",N('Your debts'!$C$10)&gt;0))),"",IF('Your debts'!$D$20="Avalanche",'Avalanche workings'!$AT$401,'Snowball workings'!$AT$401))</f>
      </c>
      <c r="P399" s="29">
        <f>IF(OR(394&gt;$Z$1,NOT(OR('Your debts'!$B$11&lt;&gt;"",N('Your debts'!$C$11)&gt;0))),"",IF('Your debts'!$D$20="Avalanche",'Avalanche workings'!$Q$401,'Snowball workings'!$Q$401)+IF('Your debts'!$D$20="Avalanche",'Avalanche workings'!$AK$401,'Snowball workings'!$AK$401))</f>
      </c>
      <c r="Q399" s="30">
        <f>IF(OR(394&gt;$Z$1,NOT(OR('Your debts'!$B$11&lt;&gt;"",N('Your debts'!$C$11)&gt;0))),"",IF('Your debts'!$D$20="Avalanche",'Avalanche workings'!$AU$401,'Snowball workings'!$AU$401))</f>
      </c>
      <c r="R399" s="29">
        <f>IF(OR(394&gt;$Z$1,NOT(OR('Your debts'!$B$12&lt;&gt;"",N('Your debts'!$C$12)&gt;0))),"",IF('Your debts'!$D$20="Avalanche",'Avalanche workings'!$R$401,'Snowball workings'!$R$401)+IF('Your debts'!$D$20="Avalanche",'Avalanche workings'!$AL$401,'Snowball workings'!$AL$401))</f>
      </c>
      <c r="S399" s="30">
        <f>IF(OR(394&gt;$Z$1,NOT(OR('Your debts'!$B$12&lt;&gt;"",N('Your debts'!$C$12)&gt;0))),"",IF('Your debts'!$D$20="Avalanche",'Avalanche workings'!$AV$401,'Snowball workings'!$AV$401))</f>
      </c>
      <c r="T399" s="29">
        <f>IF(OR(394&gt;$Z$1,NOT(OR('Your debts'!$B$13&lt;&gt;"",N('Your debts'!$C$13)&gt;0))),"",IF('Your debts'!$D$20="Avalanche",'Avalanche workings'!$S$401,'Snowball workings'!$S$401)+IF('Your debts'!$D$20="Avalanche",'Avalanche workings'!$AM$401,'Snowball workings'!$AM$401))</f>
      </c>
      <c r="U399" s="30">
        <f>IF(OR(394&gt;$Z$1,NOT(OR('Your debts'!$B$13&lt;&gt;"",N('Your debts'!$C$13)&gt;0))),"",IF('Your debts'!$D$20="Avalanche",'Avalanche workings'!$AW$401,'Snowball workings'!$AW$401))</f>
      </c>
      <c r="V399" s="29">
        <f>IF(OR(394&gt;$Z$1,NOT(OR('Your debts'!$B$14&lt;&gt;"",N('Your debts'!$C$14)&gt;0))),"",IF('Your debts'!$D$20="Avalanche",'Avalanche workings'!$T$401,'Snowball workings'!$T$401)+IF('Your debts'!$D$20="Avalanche",'Avalanche workings'!$AN$401,'Snowball workings'!$AN$401))</f>
      </c>
      <c r="W399" s="30">
        <f>IF(OR(394&gt;$Z$1,NOT(OR('Your debts'!$B$14&lt;&gt;"",N('Your debts'!$C$14)&gt;0))),"",IF('Your debts'!$D$20="Avalanche",'Avalanche workings'!$AX$401,'Snowball workings'!$AX$401))</f>
      </c>
      <c r="X399" s="29">
        <f>IF(OR(394&gt;$Z$1,NOT(OR('Your debts'!$B$15&lt;&gt;"",N('Your debts'!$C$15)&gt;0))),"",IF('Your debts'!$D$20="Avalanche",'Avalanche workings'!$U$401,'Snowball workings'!$U$401)+IF('Your debts'!$D$20="Avalanche",'Avalanche workings'!$AO$401,'Snowball workings'!$AO$401))</f>
      </c>
      <c r="Y399" s="30">
        <f>IF(OR(394&gt;$Z$1,NOT(OR('Your debts'!$B$15&lt;&gt;"",N('Your debts'!$C$15)&gt;0))),"",IF('Your debts'!$D$20="Avalanche",'Avalanche workings'!$AY$401,'Snowball workings'!$AY$401))</f>
      </c>
    </row>
    <row r="400" spans="1:25" x14ac:dyDescent="0.25">
      <c r="A400" s="2">
        <f>IF(395&gt;$Z$1,"",395)</f>
      </c>
      <c r="B400" s="28">
        <f>IF(395&gt;$Z$1,"",EDATE('Your debts'!$D$21,394))</f>
      </c>
      <c r="C400" s="29">
        <f>IF(395&gt;$Z$1,"",IF('Your debts'!$D$20="Avalanche",'Avalanche workings'!$BC$402,'Snowball workings'!$BC$402))</f>
      </c>
      <c r="D400" s="29">
        <f>IF(395&gt;$Z$1,"",IF('Your debts'!$D$20="Avalanche",'Avalanche workings'!$BA$402,'Snowball workings'!$BA$402))</f>
      </c>
      <c r="E400" s="29">
        <f>IF(395&gt;$Z$1,"",IF('Your debts'!$D$20="Avalanche",'Avalanche workings'!$BB$402,'Snowball workings'!$BB$402))</f>
      </c>
      <c r="F400" s="29">
        <f>IF(OR(395&gt;$Z$1,NOT(OR('Your debts'!$B$6&lt;&gt;"",N('Your debts'!$C$6)&gt;0))),"",IF('Your debts'!$D$20="Avalanche",'Avalanche workings'!$L$402,'Snowball workings'!$L$402)+IF('Your debts'!$D$20="Avalanche",'Avalanche workings'!$AF$402,'Snowball workings'!$AF$402))</f>
      </c>
      <c r="G400" s="30">
        <f>IF(OR(395&gt;$Z$1,NOT(OR('Your debts'!$B$6&lt;&gt;"",N('Your debts'!$C$6)&gt;0))),"",IF('Your debts'!$D$20="Avalanche",'Avalanche workings'!$AP$402,'Snowball workings'!$AP$402))</f>
      </c>
      <c r="H400" s="29">
        <f>IF(OR(395&gt;$Z$1,NOT(OR('Your debts'!$B$7&lt;&gt;"",N('Your debts'!$C$7)&gt;0))),"",IF('Your debts'!$D$20="Avalanche",'Avalanche workings'!$M$402,'Snowball workings'!$M$402)+IF('Your debts'!$D$20="Avalanche",'Avalanche workings'!$AG$402,'Snowball workings'!$AG$402))</f>
      </c>
      <c r="I400" s="30">
        <f>IF(OR(395&gt;$Z$1,NOT(OR('Your debts'!$B$7&lt;&gt;"",N('Your debts'!$C$7)&gt;0))),"",IF('Your debts'!$D$20="Avalanche",'Avalanche workings'!$AQ$402,'Snowball workings'!$AQ$402))</f>
      </c>
      <c r="J400" s="29">
        <f>IF(OR(395&gt;$Z$1,NOT(OR('Your debts'!$B$8&lt;&gt;"",N('Your debts'!$C$8)&gt;0))),"",IF('Your debts'!$D$20="Avalanche",'Avalanche workings'!$N$402,'Snowball workings'!$N$402)+IF('Your debts'!$D$20="Avalanche",'Avalanche workings'!$AH$402,'Snowball workings'!$AH$402))</f>
      </c>
      <c r="K400" s="30">
        <f>IF(OR(395&gt;$Z$1,NOT(OR('Your debts'!$B$8&lt;&gt;"",N('Your debts'!$C$8)&gt;0))),"",IF('Your debts'!$D$20="Avalanche",'Avalanche workings'!$AR$402,'Snowball workings'!$AR$402))</f>
      </c>
      <c r="L400" s="29">
        <f>IF(OR(395&gt;$Z$1,NOT(OR('Your debts'!$B$9&lt;&gt;"",N('Your debts'!$C$9)&gt;0))),"",IF('Your debts'!$D$20="Avalanche",'Avalanche workings'!$O$402,'Snowball workings'!$O$402)+IF('Your debts'!$D$20="Avalanche",'Avalanche workings'!$AI$402,'Snowball workings'!$AI$402))</f>
      </c>
      <c r="M400" s="30">
        <f>IF(OR(395&gt;$Z$1,NOT(OR('Your debts'!$B$9&lt;&gt;"",N('Your debts'!$C$9)&gt;0))),"",IF('Your debts'!$D$20="Avalanche",'Avalanche workings'!$AS$402,'Snowball workings'!$AS$402))</f>
      </c>
      <c r="N400" s="29">
        <f>IF(OR(395&gt;$Z$1,NOT(OR('Your debts'!$B$10&lt;&gt;"",N('Your debts'!$C$10)&gt;0))),"",IF('Your debts'!$D$20="Avalanche",'Avalanche workings'!$P$402,'Snowball workings'!$P$402)+IF('Your debts'!$D$20="Avalanche",'Avalanche workings'!$AJ$402,'Snowball workings'!$AJ$402))</f>
      </c>
      <c r="O400" s="30">
        <f>IF(OR(395&gt;$Z$1,NOT(OR('Your debts'!$B$10&lt;&gt;"",N('Your debts'!$C$10)&gt;0))),"",IF('Your debts'!$D$20="Avalanche",'Avalanche workings'!$AT$402,'Snowball workings'!$AT$402))</f>
      </c>
      <c r="P400" s="29">
        <f>IF(OR(395&gt;$Z$1,NOT(OR('Your debts'!$B$11&lt;&gt;"",N('Your debts'!$C$11)&gt;0))),"",IF('Your debts'!$D$20="Avalanche",'Avalanche workings'!$Q$402,'Snowball workings'!$Q$402)+IF('Your debts'!$D$20="Avalanche",'Avalanche workings'!$AK$402,'Snowball workings'!$AK$402))</f>
      </c>
      <c r="Q400" s="30">
        <f>IF(OR(395&gt;$Z$1,NOT(OR('Your debts'!$B$11&lt;&gt;"",N('Your debts'!$C$11)&gt;0))),"",IF('Your debts'!$D$20="Avalanche",'Avalanche workings'!$AU$402,'Snowball workings'!$AU$402))</f>
      </c>
      <c r="R400" s="29">
        <f>IF(OR(395&gt;$Z$1,NOT(OR('Your debts'!$B$12&lt;&gt;"",N('Your debts'!$C$12)&gt;0))),"",IF('Your debts'!$D$20="Avalanche",'Avalanche workings'!$R$402,'Snowball workings'!$R$402)+IF('Your debts'!$D$20="Avalanche",'Avalanche workings'!$AL$402,'Snowball workings'!$AL$402))</f>
      </c>
      <c r="S400" s="30">
        <f>IF(OR(395&gt;$Z$1,NOT(OR('Your debts'!$B$12&lt;&gt;"",N('Your debts'!$C$12)&gt;0))),"",IF('Your debts'!$D$20="Avalanche",'Avalanche workings'!$AV$402,'Snowball workings'!$AV$402))</f>
      </c>
      <c r="T400" s="29">
        <f>IF(OR(395&gt;$Z$1,NOT(OR('Your debts'!$B$13&lt;&gt;"",N('Your debts'!$C$13)&gt;0))),"",IF('Your debts'!$D$20="Avalanche",'Avalanche workings'!$S$402,'Snowball workings'!$S$402)+IF('Your debts'!$D$20="Avalanche",'Avalanche workings'!$AM$402,'Snowball workings'!$AM$402))</f>
      </c>
      <c r="U400" s="30">
        <f>IF(OR(395&gt;$Z$1,NOT(OR('Your debts'!$B$13&lt;&gt;"",N('Your debts'!$C$13)&gt;0))),"",IF('Your debts'!$D$20="Avalanche",'Avalanche workings'!$AW$402,'Snowball workings'!$AW$402))</f>
      </c>
      <c r="V400" s="29">
        <f>IF(OR(395&gt;$Z$1,NOT(OR('Your debts'!$B$14&lt;&gt;"",N('Your debts'!$C$14)&gt;0))),"",IF('Your debts'!$D$20="Avalanche",'Avalanche workings'!$T$402,'Snowball workings'!$T$402)+IF('Your debts'!$D$20="Avalanche",'Avalanche workings'!$AN$402,'Snowball workings'!$AN$402))</f>
      </c>
      <c r="W400" s="30">
        <f>IF(OR(395&gt;$Z$1,NOT(OR('Your debts'!$B$14&lt;&gt;"",N('Your debts'!$C$14)&gt;0))),"",IF('Your debts'!$D$20="Avalanche",'Avalanche workings'!$AX$402,'Snowball workings'!$AX$402))</f>
      </c>
      <c r="X400" s="29">
        <f>IF(OR(395&gt;$Z$1,NOT(OR('Your debts'!$B$15&lt;&gt;"",N('Your debts'!$C$15)&gt;0))),"",IF('Your debts'!$D$20="Avalanche",'Avalanche workings'!$U$402,'Snowball workings'!$U$402)+IF('Your debts'!$D$20="Avalanche",'Avalanche workings'!$AO$402,'Snowball workings'!$AO$402))</f>
      </c>
      <c r="Y400" s="30">
        <f>IF(OR(395&gt;$Z$1,NOT(OR('Your debts'!$B$15&lt;&gt;"",N('Your debts'!$C$15)&gt;0))),"",IF('Your debts'!$D$20="Avalanche",'Avalanche workings'!$AY$402,'Snowball workings'!$AY$402))</f>
      </c>
    </row>
    <row r="401" spans="1:25" x14ac:dyDescent="0.25">
      <c r="A401" s="2">
        <f>IF(396&gt;$Z$1,"",396)</f>
      </c>
      <c r="B401" s="28">
        <f>IF(396&gt;$Z$1,"",EDATE('Your debts'!$D$21,395))</f>
      </c>
      <c r="C401" s="29">
        <f>IF(396&gt;$Z$1,"",IF('Your debts'!$D$20="Avalanche",'Avalanche workings'!$BC$403,'Snowball workings'!$BC$403))</f>
      </c>
      <c r="D401" s="29">
        <f>IF(396&gt;$Z$1,"",IF('Your debts'!$D$20="Avalanche",'Avalanche workings'!$BA$403,'Snowball workings'!$BA$403))</f>
      </c>
      <c r="E401" s="29">
        <f>IF(396&gt;$Z$1,"",IF('Your debts'!$D$20="Avalanche",'Avalanche workings'!$BB$403,'Snowball workings'!$BB$403))</f>
      </c>
      <c r="F401" s="29">
        <f>IF(OR(396&gt;$Z$1,NOT(OR('Your debts'!$B$6&lt;&gt;"",N('Your debts'!$C$6)&gt;0))),"",IF('Your debts'!$D$20="Avalanche",'Avalanche workings'!$L$403,'Snowball workings'!$L$403)+IF('Your debts'!$D$20="Avalanche",'Avalanche workings'!$AF$403,'Snowball workings'!$AF$403))</f>
      </c>
      <c r="G401" s="30">
        <f>IF(OR(396&gt;$Z$1,NOT(OR('Your debts'!$B$6&lt;&gt;"",N('Your debts'!$C$6)&gt;0))),"",IF('Your debts'!$D$20="Avalanche",'Avalanche workings'!$AP$403,'Snowball workings'!$AP$403))</f>
      </c>
      <c r="H401" s="29">
        <f>IF(OR(396&gt;$Z$1,NOT(OR('Your debts'!$B$7&lt;&gt;"",N('Your debts'!$C$7)&gt;0))),"",IF('Your debts'!$D$20="Avalanche",'Avalanche workings'!$M$403,'Snowball workings'!$M$403)+IF('Your debts'!$D$20="Avalanche",'Avalanche workings'!$AG$403,'Snowball workings'!$AG$403))</f>
      </c>
      <c r="I401" s="30">
        <f>IF(OR(396&gt;$Z$1,NOT(OR('Your debts'!$B$7&lt;&gt;"",N('Your debts'!$C$7)&gt;0))),"",IF('Your debts'!$D$20="Avalanche",'Avalanche workings'!$AQ$403,'Snowball workings'!$AQ$403))</f>
      </c>
      <c r="J401" s="29">
        <f>IF(OR(396&gt;$Z$1,NOT(OR('Your debts'!$B$8&lt;&gt;"",N('Your debts'!$C$8)&gt;0))),"",IF('Your debts'!$D$20="Avalanche",'Avalanche workings'!$N$403,'Snowball workings'!$N$403)+IF('Your debts'!$D$20="Avalanche",'Avalanche workings'!$AH$403,'Snowball workings'!$AH$403))</f>
      </c>
      <c r="K401" s="30">
        <f>IF(OR(396&gt;$Z$1,NOT(OR('Your debts'!$B$8&lt;&gt;"",N('Your debts'!$C$8)&gt;0))),"",IF('Your debts'!$D$20="Avalanche",'Avalanche workings'!$AR$403,'Snowball workings'!$AR$403))</f>
      </c>
      <c r="L401" s="29">
        <f>IF(OR(396&gt;$Z$1,NOT(OR('Your debts'!$B$9&lt;&gt;"",N('Your debts'!$C$9)&gt;0))),"",IF('Your debts'!$D$20="Avalanche",'Avalanche workings'!$O$403,'Snowball workings'!$O$403)+IF('Your debts'!$D$20="Avalanche",'Avalanche workings'!$AI$403,'Snowball workings'!$AI$403))</f>
      </c>
      <c r="M401" s="30">
        <f>IF(OR(396&gt;$Z$1,NOT(OR('Your debts'!$B$9&lt;&gt;"",N('Your debts'!$C$9)&gt;0))),"",IF('Your debts'!$D$20="Avalanche",'Avalanche workings'!$AS$403,'Snowball workings'!$AS$403))</f>
      </c>
      <c r="N401" s="29">
        <f>IF(OR(396&gt;$Z$1,NOT(OR('Your debts'!$B$10&lt;&gt;"",N('Your debts'!$C$10)&gt;0))),"",IF('Your debts'!$D$20="Avalanche",'Avalanche workings'!$P$403,'Snowball workings'!$P$403)+IF('Your debts'!$D$20="Avalanche",'Avalanche workings'!$AJ$403,'Snowball workings'!$AJ$403))</f>
      </c>
      <c r="O401" s="30">
        <f>IF(OR(396&gt;$Z$1,NOT(OR('Your debts'!$B$10&lt;&gt;"",N('Your debts'!$C$10)&gt;0))),"",IF('Your debts'!$D$20="Avalanche",'Avalanche workings'!$AT$403,'Snowball workings'!$AT$403))</f>
      </c>
      <c r="P401" s="29">
        <f>IF(OR(396&gt;$Z$1,NOT(OR('Your debts'!$B$11&lt;&gt;"",N('Your debts'!$C$11)&gt;0))),"",IF('Your debts'!$D$20="Avalanche",'Avalanche workings'!$Q$403,'Snowball workings'!$Q$403)+IF('Your debts'!$D$20="Avalanche",'Avalanche workings'!$AK$403,'Snowball workings'!$AK$403))</f>
      </c>
      <c r="Q401" s="30">
        <f>IF(OR(396&gt;$Z$1,NOT(OR('Your debts'!$B$11&lt;&gt;"",N('Your debts'!$C$11)&gt;0))),"",IF('Your debts'!$D$20="Avalanche",'Avalanche workings'!$AU$403,'Snowball workings'!$AU$403))</f>
      </c>
      <c r="R401" s="29">
        <f>IF(OR(396&gt;$Z$1,NOT(OR('Your debts'!$B$12&lt;&gt;"",N('Your debts'!$C$12)&gt;0))),"",IF('Your debts'!$D$20="Avalanche",'Avalanche workings'!$R$403,'Snowball workings'!$R$403)+IF('Your debts'!$D$20="Avalanche",'Avalanche workings'!$AL$403,'Snowball workings'!$AL$403))</f>
      </c>
      <c r="S401" s="30">
        <f>IF(OR(396&gt;$Z$1,NOT(OR('Your debts'!$B$12&lt;&gt;"",N('Your debts'!$C$12)&gt;0))),"",IF('Your debts'!$D$20="Avalanche",'Avalanche workings'!$AV$403,'Snowball workings'!$AV$403))</f>
      </c>
      <c r="T401" s="29">
        <f>IF(OR(396&gt;$Z$1,NOT(OR('Your debts'!$B$13&lt;&gt;"",N('Your debts'!$C$13)&gt;0))),"",IF('Your debts'!$D$20="Avalanche",'Avalanche workings'!$S$403,'Snowball workings'!$S$403)+IF('Your debts'!$D$20="Avalanche",'Avalanche workings'!$AM$403,'Snowball workings'!$AM$403))</f>
      </c>
      <c r="U401" s="30">
        <f>IF(OR(396&gt;$Z$1,NOT(OR('Your debts'!$B$13&lt;&gt;"",N('Your debts'!$C$13)&gt;0))),"",IF('Your debts'!$D$20="Avalanche",'Avalanche workings'!$AW$403,'Snowball workings'!$AW$403))</f>
      </c>
      <c r="V401" s="29">
        <f>IF(OR(396&gt;$Z$1,NOT(OR('Your debts'!$B$14&lt;&gt;"",N('Your debts'!$C$14)&gt;0))),"",IF('Your debts'!$D$20="Avalanche",'Avalanche workings'!$T$403,'Snowball workings'!$T$403)+IF('Your debts'!$D$20="Avalanche",'Avalanche workings'!$AN$403,'Snowball workings'!$AN$403))</f>
      </c>
      <c r="W401" s="30">
        <f>IF(OR(396&gt;$Z$1,NOT(OR('Your debts'!$B$14&lt;&gt;"",N('Your debts'!$C$14)&gt;0))),"",IF('Your debts'!$D$20="Avalanche",'Avalanche workings'!$AX$403,'Snowball workings'!$AX$403))</f>
      </c>
      <c r="X401" s="29">
        <f>IF(OR(396&gt;$Z$1,NOT(OR('Your debts'!$B$15&lt;&gt;"",N('Your debts'!$C$15)&gt;0))),"",IF('Your debts'!$D$20="Avalanche",'Avalanche workings'!$U$403,'Snowball workings'!$U$403)+IF('Your debts'!$D$20="Avalanche",'Avalanche workings'!$AO$403,'Snowball workings'!$AO$403))</f>
      </c>
      <c r="Y401" s="30">
        <f>IF(OR(396&gt;$Z$1,NOT(OR('Your debts'!$B$15&lt;&gt;"",N('Your debts'!$C$15)&gt;0))),"",IF('Your debts'!$D$20="Avalanche",'Avalanche workings'!$AY$403,'Snowball workings'!$AY$403))</f>
      </c>
    </row>
    <row r="402" spans="1:25" x14ac:dyDescent="0.25">
      <c r="A402" s="2">
        <f>IF(397&gt;$Z$1,"",397)</f>
      </c>
      <c r="B402" s="28">
        <f>IF(397&gt;$Z$1,"",EDATE('Your debts'!$D$21,396))</f>
      </c>
      <c r="C402" s="29">
        <f>IF(397&gt;$Z$1,"",IF('Your debts'!$D$20="Avalanche",'Avalanche workings'!$BC$404,'Snowball workings'!$BC$404))</f>
      </c>
      <c r="D402" s="29">
        <f>IF(397&gt;$Z$1,"",IF('Your debts'!$D$20="Avalanche",'Avalanche workings'!$BA$404,'Snowball workings'!$BA$404))</f>
      </c>
      <c r="E402" s="29">
        <f>IF(397&gt;$Z$1,"",IF('Your debts'!$D$20="Avalanche",'Avalanche workings'!$BB$404,'Snowball workings'!$BB$404))</f>
      </c>
      <c r="F402" s="29">
        <f>IF(OR(397&gt;$Z$1,NOT(OR('Your debts'!$B$6&lt;&gt;"",N('Your debts'!$C$6)&gt;0))),"",IF('Your debts'!$D$20="Avalanche",'Avalanche workings'!$L$404,'Snowball workings'!$L$404)+IF('Your debts'!$D$20="Avalanche",'Avalanche workings'!$AF$404,'Snowball workings'!$AF$404))</f>
      </c>
      <c r="G402" s="30">
        <f>IF(OR(397&gt;$Z$1,NOT(OR('Your debts'!$B$6&lt;&gt;"",N('Your debts'!$C$6)&gt;0))),"",IF('Your debts'!$D$20="Avalanche",'Avalanche workings'!$AP$404,'Snowball workings'!$AP$404))</f>
      </c>
      <c r="H402" s="29">
        <f>IF(OR(397&gt;$Z$1,NOT(OR('Your debts'!$B$7&lt;&gt;"",N('Your debts'!$C$7)&gt;0))),"",IF('Your debts'!$D$20="Avalanche",'Avalanche workings'!$M$404,'Snowball workings'!$M$404)+IF('Your debts'!$D$20="Avalanche",'Avalanche workings'!$AG$404,'Snowball workings'!$AG$404))</f>
      </c>
      <c r="I402" s="30">
        <f>IF(OR(397&gt;$Z$1,NOT(OR('Your debts'!$B$7&lt;&gt;"",N('Your debts'!$C$7)&gt;0))),"",IF('Your debts'!$D$20="Avalanche",'Avalanche workings'!$AQ$404,'Snowball workings'!$AQ$404))</f>
      </c>
      <c r="J402" s="29">
        <f>IF(OR(397&gt;$Z$1,NOT(OR('Your debts'!$B$8&lt;&gt;"",N('Your debts'!$C$8)&gt;0))),"",IF('Your debts'!$D$20="Avalanche",'Avalanche workings'!$N$404,'Snowball workings'!$N$404)+IF('Your debts'!$D$20="Avalanche",'Avalanche workings'!$AH$404,'Snowball workings'!$AH$404))</f>
      </c>
      <c r="K402" s="30">
        <f>IF(OR(397&gt;$Z$1,NOT(OR('Your debts'!$B$8&lt;&gt;"",N('Your debts'!$C$8)&gt;0))),"",IF('Your debts'!$D$20="Avalanche",'Avalanche workings'!$AR$404,'Snowball workings'!$AR$404))</f>
      </c>
      <c r="L402" s="29">
        <f>IF(OR(397&gt;$Z$1,NOT(OR('Your debts'!$B$9&lt;&gt;"",N('Your debts'!$C$9)&gt;0))),"",IF('Your debts'!$D$20="Avalanche",'Avalanche workings'!$O$404,'Snowball workings'!$O$404)+IF('Your debts'!$D$20="Avalanche",'Avalanche workings'!$AI$404,'Snowball workings'!$AI$404))</f>
      </c>
      <c r="M402" s="30">
        <f>IF(OR(397&gt;$Z$1,NOT(OR('Your debts'!$B$9&lt;&gt;"",N('Your debts'!$C$9)&gt;0))),"",IF('Your debts'!$D$20="Avalanche",'Avalanche workings'!$AS$404,'Snowball workings'!$AS$404))</f>
      </c>
      <c r="N402" s="29">
        <f>IF(OR(397&gt;$Z$1,NOT(OR('Your debts'!$B$10&lt;&gt;"",N('Your debts'!$C$10)&gt;0))),"",IF('Your debts'!$D$20="Avalanche",'Avalanche workings'!$P$404,'Snowball workings'!$P$404)+IF('Your debts'!$D$20="Avalanche",'Avalanche workings'!$AJ$404,'Snowball workings'!$AJ$404))</f>
      </c>
      <c r="O402" s="30">
        <f>IF(OR(397&gt;$Z$1,NOT(OR('Your debts'!$B$10&lt;&gt;"",N('Your debts'!$C$10)&gt;0))),"",IF('Your debts'!$D$20="Avalanche",'Avalanche workings'!$AT$404,'Snowball workings'!$AT$404))</f>
      </c>
      <c r="P402" s="29">
        <f>IF(OR(397&gt;$Z$1,NOT(OR('Your debts'!$B$11&lt;&gt;"",N('Your debts'!$C$11)&gt;0))),"",IF('Your debts'!$D$20="Avalanche",'Avalanche workings'!$Q$404,'Snowball workings'!$Q$404)+IF('Your debts'!$D$20="Avalanche",'Avalanche workings'!$AK$404,'Snowball workings'!$AK$404))</f>
      </c>
      <c r="Q402" s="30">
        <f>IF(OR(397&gt;$Z$1,NOT(OR('Your debts'!$B$11&lt;&gt;"",N('Your debts'!$C$11)&gt;0))),"",IF('Your debts'!$D$20="Avalanche",'Avalanche workings'!$AU$404,'Snowball workings'!$AU$404))</f>
      </c>
      <c r="R402" s="29">
        <f>IF(OR(397&gt;$Z$1,NOT(OR('Your debts'!$B$12&lt;&gt;"",N('Your debts'!$C$12)&gt;0))),"",IF('Your debts'!$D$20="Avalanche",'Avalanche workings'!$R$404,'Snowball workings'!$R$404)+IF('Your debts'!$D$20="Avalanche",'Avalanche workings'!$AL$404,'Snowball workings'!$AL$404))</f>
      </c>
      <c r="S402" s="30">
        <f>IF(OR(397&gt;$Z$1,NOT(OR('Your debts'!$B$12&lt;&gt;"",N('Your debts'!$C$12)&gt;0))),"",IF('Your debts'!$D$20="Avalanche",'Avalanche workings'!$AV$404,'Snowball workings'!$AV$404))</f>
      </c>
      <c r="T402" s="29">
        <f>IF(OR(397&gt;$Z$1,NOT(OR('Your debts'!$B$13&lt;&gt;"",N('Your debts'!$C$13)&gt;0))),"",IF('Your debts'!$D$20="Avalanche",'Avalanche workings'!$S$404,'Snowball workings'!$S$404)+IF('Your debts'!$D$20="Avalanche",'Avalanche workings'!$AM$404,'Snowball workings'!$AM$404))</f>
      </c>
      <c r="U402" s="30">
        <f>IF(OR(397&gt;$Z$1,NOT(OR('Your debts'!$B$13&lt;&gt;"",N('Your debts'!$C$13)&gt;0))),"",IF('Your debts'!$D$20="Avalanche",'Avalanche workings'!$AW$404,'Snowball workings'!$AW$404))</f>
      </c>
      <c r="V402" s="29">
        <f>IF(OR(397&gt;$Z$1,NOT(OR('Your debts'!$B$14&lt;&gt;"",N('Your debts'!$C$14)&gt;0))),"",IF('Your debts'!$D$20="Avalanche",'Avalanche workings'!$T$404,'Snowball workings'!$T$404)+IF('Your debts'!$D$20="Avalanche",'Avalanche workings'!$AN$404,'Snowball workings'!$AN$404))</f>
      </c>
      <c r="W402" s="30">
        <f>IF(OR(397&gt;$Z$1,NOT(OR('Your debts'!$B$14&lt;&gt;"",N('Your debts'!$C$14)&gt;0))),"",IF('Your debts'!$D$20="Avalanche",'Avalanche workings'!$AX$404,'Snowball workings'!$AX$404))</f>
      </c>
      <c r="X402" s="29">
        <f>IF(OR(397&gt;$Z$1,NOT(OR('Your debts'!$B$15&lt;&gt;"",N('Your debts'!$C$15)&gt;0))),"",IF('Your debts'!$D$20="Avalanche",'Avalanche workings'!$U$404,'Snowball workings'!$U$404)+IF('Your debts'!$D$20="Avalanche",'Avalanche workings'!$AO$404,'Snowball workings'!$AO$404))</f>
      </c>
      <c r="Y402" s="30">
        <f>IF(OR(397&gt;$Z$1,NOT(OR('Your debts'!$B$15&lt;&gt;"",N('Your debts'!$C$15)&gt;0))),"",IF('Your debts'!$D$20="Avalanche",'Avalanche workings'!$AY$404,'Snowball workings'!$AY$404))</f>
      </c>
    </row>
    <row r="403" spans="1:25" x14ac:dyDescent="0.25">
      <c r="A403" s="2">
        <f>IF(398&gt;$Z$1,"",398)</f>
      </c>
      <c r="B403" s="28">
        <f>IF(398&gt;$Z$1,"",EDATE('Your debts'!$D$21,397))</f>
      </c>
      <c r="C403" s="29">
        <f>IF(398&gt;$Z$1,"",IF('Your debts'!$D$20="Avalanche",'Avalanche workings'!$BC$405,'Snowball workings'!$BC$405))</f>
      </c>
      <c r="D403" s="29">
        <f>IF(398&gt;$Z$1,"",IF('Your debts'!$D$20="Avalanche",'Avalanche workings'!$BA$405,'Snowball workings'!$BA$405))</f>
      </c>
      <c r="E403" s="29">
        <f>IF(398&gt;$Z$1,"",IF('Your debts'!$D$20="Avalanche",'Avalanche workings'!$BB$405,'Snowball workings'!$BB$405))</f>
      </c>
      <c r="F403" s="29">
        <f>IF(OR(398&gt;$Z$1,NOT(OR('Your debts'!$B$6&lt;&gt;"",N('Your debts'!$C$6)&gt;0))),"",IF('Your debts'!$D$20="Avalanche",'Avalanche workings'!$L$405,'Snowball workings'!$L$405)+IF('Your debts'!$D$20="Avalanche",'Avalanche workings'!$AF$405,'Snowball workings'!$AF$405))</f>
      </c>
      <c r="G403" s="30">
        <f>IF(OR(398&gt;$Z$1,NOT(OR('Your debts'!$B$6&lt;&gt;"",N('Your debts'!$C$6)&gt;0))),"",IF('Your debts'!$D$20="Avalanche",'Avalanche workings'!$AP$405,'Snowball workings'!$AP$405))</f>
      </c>
      <c r="H403" s="29">
        <f>IF(OR(398&gt;$Z$1,NOT(OR('Your debts'!$B$7&lt;&gt;"",N('Your debts'!$C$7)&gt;0))),"",IF('Your debts'!$D$20="Avalanche",'Avalanche workings'!$M$405,'Snowball workings'!$M$405)+IF('Your debts'!$D$20="Avalanche",'Avalanche workings'!$AG$405,'Snowball workings'!$AG$405))</f>
      </c>
      <c r="I403" s="30">
        <f>IF(OR(398&gt;$Z$1,NOT(OR('Your debts'!$B$7&lt;&gt;"",N('Your debts'!$C$7)&gt;0))),"",IF('Your debts'!$D$20="Avalanche",'Avalanche workings'!$AQ$405,'Snowball workings'!$AQ$405))</f>
      </c>
      <c r="J403" s="29">
        <f>IF(OR(398&gt;$Z$1,NOT(OR('Your debts'!$B$8&lt;&gt;"",N('Your debts'!$C$8)&gt;0))),"",IF('Your debts'!$D$20="Avalanche",'Avalanche workings'!$N$405,'Snowball workings'!$N$405)+IF('Your debts'!$D$20="Avalanche",'Avalanche workings'!$AH$405,'Snowball workings'!$AH$405))</f>
      </c>
      <c r="K403" s="30">
        <f>IF(OR(398&gt;$Z$1,NOT(OR('Your debts'!$B$8&lt;&gt;"",N('Your debts'!$C$8)&gt;0))),"",IF('Your debts'!$D$20="Avalanche",'Avalanche workings'!$AR$405,'Snowball workings'!$AR$405))</f>
      </c>
      <c r="L403" s="29">
        <f>IF(OR(398&gt;$Z$1,NOT(OR('Your debts'!$B$9&lt;&gt;"",N('Your debts'!$C$9)&gt;0))),"",IF('Your debts'!$D$20="Avalanche",'Avalanche workings'!$O$405,'Snowball workings'!$O$405)+IF('Your debts'!$D$20="Avalanche",'Avalanche workings'!$AI$405,'Snowball workings'!$AI$405))</f>
      </c>
      <c r="M403" s="30">
        <f>IF(OR(398&gt;$Z$1,NOT(OR('Your debts'!$B$9&lt;&gt;"",N('Your debts'!$C$9)&gt;0))),"",IF('Your debts'!$D$20="Avalanche",'Avalanche workings'!$AS$405,'Snowball workings'!$AS$405))</f>
      </c>
      <c r="N403" s="29">
        <f>IF(OR(398&gt;$Z$1,NOT(OR('Your debts'!$B$10&lt;&gt;"",N('Your debts'!$C$10)&gt;0))),"",IF('Your debts'!$D$20="Avalanche",'Avalanche workings'!$P$405,'Snowball workings'!$P$405)+IF('Your debts'!$D$20="Avalanche",'Avalanche workings'!$AJ$405,'Snowball workings'!$AJ$405))</f>
      </c>
      <c r="O403" s="30">
        <f>IF(OR(398&gt;$Z$1,NOT(OR('Your debts'!$B$10&lt;&gt;"",N('Your debts'!$C$10)&gt;0))),"",IF('Your debts'!$D$20="Avalanche",'Avalanche workings'!$AT$405,'Snowball workings'!$AT$405))</f>
      </c>
      <c r="P403" s="29">
        <f>IF(OR(398&gt;$Z$1,NOT(OR('Your debts'!$B$11&lt;&gt;"",N('Your debts'!$C$11)&gt;0))),"",IF('Your debts'!$D$20="Avalanche",'Avalanche workings'!$Q$405,'Snowball workings'!$Q$405)+IF('Your debts'!$D$20="Avalanche",'Avalanche workings'!$AK$405,'Snowball workings'!$AK$405))</f>
      </c>
      <c r="Q403" s="30">
        <f>IF(OR(398&gt;$Z$1,NOT(OR('Your debts'!$B$11&lt;&gt;"",N('Your debts'!$C$11)&gt;0))),"",IF('Your debts'!$D$20="Avalanche",'Avalanche workings'!$AU$405,'Snowball workings'!$AU$405))</f>
      </c>
      <c r="R403" s="29">
        <f>IF(OR(398&gt;$Z$1,NOT(OR('Your debts'!$B$12&lt;&gt;"",N('Your debts'!$C$12)&gt;0))),"",IF('Your debts'!$D$20="Avalanche",'Avalanche workings'!$R$405,'Snowball workings'!$R$405)+IF('Your debts'!$D$20="Avalanche",'Avalanche workings'!$AL$405,'Snowball workings'!$AL$405))</f>
      </c>
      <c r="S403" s="30">
        <f>IF(OR(398&gt;$Z$1,NOT(OR('Your debts'!$B$12&lt;&gt;"",N('Your debts'!$C$12)&gt;0))),"",IF('Your debts'!$D$20="Avalanche",'Avalanche workings'!$AV$405,'Snowball workings'!$AV$405))</f>
      </c>
      <c r="T403" s="29">
        <f>IF(OR(398&gt;$Z$1,NOT(OR('Your debts'!$B$13&lt;&gt;"",N('Your debts'!$C$13)&gt;0))),"",IF('Your debts'!$D$20="Avalanche",'Avalanche workings'!$S$405,'Snowball workings'!$S$405)+IF('Your debts'!$D$20="Avalanche",'Avalanche workings'!$AM$405,'Snowball workings'!$AM$405))</f>
      </c>
      <c r="U403" s="30">
        <f>IF(OR(398&gt;$Z$1,NOT(OR('Your debts'!$B$13&lt;&gt;"",N('Your debts'!$C$13)&gt;0))),"",IF('Your debts'!$D$20="Avalanche",'Avalanche workings'!$AW$405,'Snowball workings'!$AW$405))</f>
      </c>
      <c r="V403" s="29">
        <f>IF(OR(398&gt;$Z$1,NOT(OR('Your debts'!$B$14&lt;&gt;"",N('Your debts'!$C$14)&gt;0))),"",IF('Your debts'!$D$20="Avalanche",'Avalanche workings'!$T$405,'Snowball workings'!$T$405)+IF('Your debts'!$D$20="Avalanche",'Avalanche workings'!$AN$405,'Snowball workings'!$AN$405))</f>
      </c>
      <c r="W403" s="30">
        <f>IF(OR(398&gt;$Z$1,NOT(OR('Your debts'!$B$14&lt;&gt;"",N('Your debts'!$C$14)&gt;0))),"",IF('Your debts'!$D$20="Avalanche",'Avalanche workings'!$AX$405,'Snowball workings'!$AX$405))</f>
      </c>
      <c r="X403" s="29">
        <f>IF(OR(398&gt;$Z$1,NOT(OR('Your debts'!$B$15&lt;&gt;"",N('Your debts'!$C$15)&gt;0))),"",IF('Your debts'!$D$20="Avalanche",'Avalanche workings'!$U$405,'Snowball workings'!$U$405)+IF('Your debts'!$D$20="Avalanche",'Avalanche workings'!$AO$405,'Snowball workings'!$AO$405))</f>
      </c>
      <c r="Y403" s="30">
        <f>IF(OR(398&gt;$Z$1,NOT(OR('Your debts'!$B$15&lt;&gt;"",N('Your debts'!$C$15)&gt;0))),"",IF('Your debts'!$D$20="Avalanche",'Avalanche workings'!$AY$405,'Snowball workings'!$AY$405))</f>
      </c>
    </row>
    <row r="404" spans="1:25" x14ac:dyDescent="0.25">
      <c r="A404" s="2">
        <f>IF(399&gt;$Z$1,"",399)</f>
      </c>
      <c r="B404" s="28">
        <f>IF(399&gt;$Z$1,"",EDATE('Your debts'!$D$21,398))</f>
      </c>
      <c r="C404" s="29">
        <f>IF(399&gt;$Z$1,"",IF('Your debts'!$D$20="Avalanche",'Avalanche workings'!$BC$406,'Snowball workings'!$BC$406))</f>
      </c>
      <c r="D404" s="29">
        <f>IF(399&gt;$Z$1,"",IF('Your debts'!$D$20="Avalanche",'Avalanche workings'!$BA$406,'Snowball workings'!$BA$406))</f>
      </c>
      <c r="E404" s="29">
        <f>IF(399&gt;$Z$1,"",IF('Your debts'!$D$20="Avalanche",'Avalanche workings'!$BB$406,'Snowball workings'!$BB$406))</f>
      </c>
      <c r="F404" s="29">
        <f>IF(OR(399&gt;$Z$1,NOT(OR('Your debts'!$B$6&lt;&gt;"",N('Your debts'!$C$6)&gt;0))),"",IF('Your debts'!$D$20="Avalanche",'Avalanche workings'!$L$406,'Snowball workings'!$L$406)+IF('Your debts'!$D$20="Avalanche",'Avalanche workings'!$AF$406,'Snowball workings'!$AF$406))</f>
      </c>
      <c r="G404" s="30">
        <f>IF(OR(399&gt;$Z$1,NOT(OR('Your debts'!$B$6&lt;&gt;"",N('Your debts'!$C$6)&gt;0))),"",IF('Your debts'!$D$20="Avalanche",'Avalanche workings'!$AP$406,'Snowball workings'!$AP$406))</f>
      </c>
      <c r="H404" s="29">
        <f>IF(OR(399&gt;$Z$1,NOT(OR('Your debts'!$B$7&lt;&gt;"",N('Your debts'!$C$7)&gt;0))),"",IF('Your debts'!$D$20="Avalanche",'Avalanche workings'!$M$406,'Snowball workings'!$M$406)+IF('Your debts'!$D$20="Avalanche",'Avalanche workings'!$AG$406,'Snowball workings'!$AG$406))</f>
      </c>
      <c r="I404" s="30">
        <f>IF(OR(399&gt;$Z$1,NOT(OR('Your debts'!$B$7&lt;&gt;"",N('Your debts'!$C$7)&gt;0))),"",IF('Your debts'!$D$20="Avalanche",'Avalanche workings'!$AQ$406,'Snowball workings'!$AQ$406))</f>
      </c>
      <c r="J404" s="29">
        <f>IF(OR(399&gt;$Z$1,NOT(OR('Your debts'!$B$8&lt;&gt;"",N('Your debts'!$C$8)&gt;0))),"",IF('Your debts'!$D$20="Avalanche",'Avalanche workings'!$N$406,'Snowball workings'!$N$406)+IF('Your debts'!$D$20="Avalanche",'Avalanche workings'!$AH$406,'Snowball workings'!$AH$406))</f>
      </c>
      <c r="K404" s="30">
        <f>IF(OR(399&gt;$Z$1,NOT(OR('Your debts'!$B$8&lt;&gt;"",N('Your debts'!$C$8)&gt;0))),"",IF('Your debts'!$D$20="Avalanche",'Avalanche workings'!$AR$406,'Snowball workings'!$AR$406))</f>
      </c>
      <c r="L404" s="29">
        <f>IF(OR(399&gt;$Z$1,NOT(OR('Your debts'!$B$9&lt;&gt;"",N('Your debts'!$C$9)&gt;0))),"",IF('Your debts'!$D$20="Avalanche",'Avalanche workings'!$O$406,'Snowball workings'!$O$406)+IF('Your debts'!$D$20="Avalanche",'Avalanche workings'!$AI$406,'Snowball workings'!$AI$406))</f>
      </c>
      <c r="M404" s="30">
        <f>IF(OR(399&gt;$Z$1,NOT(OR('Your debts'!$B$9&lt;&gt;"",N('Your debts'!$C$9)&gt;0))),"",IF('Your debts'!$D$20="Avalanche",'Avalanche workings'!$AS$406,'Snowball workings'!$AS$406))</f>
      </c>
      <c r="N404" s="29">
        <f>IF(OR(399&gt;$Z$1,NOT(OR('Your debts'!$B$10&lt;&gt;"",N('Your debts'!$C$10)&gt;0))),"",IF('Your debts'!$D$20="Avalanche",'Avalanche workings'!$P$406,'Snowball workings'!$P$406)+IF('Your debts'!$D$20="Avalanche",'Avalanche workings'!$AJ$406,'Snowball workings'!$AJ$406))</f>
      </c>
      <c r="O404" s="30">
        <f>IF(OR(399&gt;$Z$1,NOT(OR('Your debts'!$B$10&lt;&gt;"",N('Your debts'!$C$10)&gt;0))),"",IF('Your debts'!$D$20="Avalanche",'Avalanche workings'!$AT$406,'Snowball workings'!$AT$406))</f>
      </c>
      <c r="P404" s="29">
        <f>IF(OR(399&gt;$Z$1,NOT(OR('Your debts'!$B$11&lt;&gt;"",N('Your debts'!$C$11)&gt;0))),"",IF('Your debts'!$D$20="Avalanche",'Avalanche workings'!$Q$406,'Snowball workings'!$Q$406)+IF('Your debts'!$D$20="Avalanche",'Avalanche workings'!$AK$406,'Snowball workings'!$AK$406))</f>
      </c>
      <c r="Q404" s="30">
        <f>IF(OR(399&gt;$Z$1,NOT(OR('Your debts'!$B$11&lt;&gt;"",N('Your debts'!$C$11)&gt;0))),"",IF('Your debts'!$D$20="Avalanche",'Avalanche workings'!$AU$406,'Snowball workings'!$AU$406))</f>
      </c>
      <c r="R404" s="29">
        <f>IF(OR(399&gt;$Z$1,NOT(OR('Your debts'!$B$12&lt;&gt;"",N('Your debts'!$C$12)&gt;0))),"",IF('Your debts'!$D$20="Avalanche",'Avalanche workings'!$R$406,'Snowball workings'!$R$406)+IF('Your debts'!$D$20="Avalanche",'Avalanche workings'!$AL$406,'Snowball workings'!$AL$406))</f>
      </c>
      <c r="S404" s="30">
        <f>IF(OR(399&gt;$Z$1,NOT(OR('Your debts'!$B$12&lt;&gt;"",N('Your debts'!$C$12)&gt;0))),"",IF('Your debts'!$D$20="Avalanche",'Avalanche workings'!$AV$406,'Snowball workings'!$AV$406))</f>
      </c>
      <c r="T404" s="29">
        <f>IF(OR(399&gt;$Z$1,NOT(OR('Your debts'!$B$13&lt;&gt;"",N('Your debts'!$C$13)&gt;0))),"",IF('Your debts'!$D$20="Avalanche",'Avalanche workings'!$S$406,'Snowball workings'!$S$406)+IF('Your debts'!$D$20="Avalanche",'Avalanche workings'!$AM$406,'Snowball workings'!$AM$406))</f>
      </c>
      <c r="U404" s="30">
        <f>IF(OR(399&gt;$Z$1,NOT(OR('Your debts'!$B$13&lt;&gt;"",N('Your debts'!$C$13)&gt;0))),"",IF('Your debts'!$D$20="Avalanche",'Avalanche workings'!$AW$406,'Snowball workings'!$AW$406))</f>
      </c>
      <c r="V404" s="29">
        <f>IF(OR(399&gt;$Z$1,NOT(OR('Your debts'!$B$14&lt;&gt;"",N('Your debts'!$C$14)&gt;0))),"",IF('Your debts'!$D$20="Avalanche",'Avalanche workings'!$T$406,'Snowball workings'!$T$406)+IF('Your debts'!$D$20="Avalanche",'Avalanche workings'!$AN$406,'Snowball workings'!$AN$406))</f>
      </c>
      <c r="W404" s="30">
        <f>IF(OR(399&gt;$Z$1,NOT(OR('Your debts'!$B$14&lt;&gt;"",N('Your debts'!$C$14)&gt;0))),"",IF('Your debts'!$D$20="Avalanche",'Avalanche workings'!$AX$406,'Snowball workings'!$AX$406))</f>
      </c>
      <c r="X404" s="29">
        <f>IF(OR(399&gt;$Z$1,NOT(OR('Your debts'!$B$15&lt;&gt;"",N('Your debts'!$C$15)&gt;0))),"",IF('Your debts'!$D$20="Avalanche",'Avalanche workings'!$U$406,'Snowball workings'!$U$406)+IF('Your debts'!$D$20="Avalanche",'Avalanche workings'!$AO$406,'Snowball workings'!$AO$406))</f>
      </c>
      <c r="Y404" s="30">
        <f>IF(OR(399&gt;$Z$1,NOT(OR('Your debts'!$B$15&lt;&gt;"",N('Your debts'!$C$15)&gt;0))),"",IF('Your debts'!$D$20="Avalanche",'Avalanche workings'!$AY$406,'Snowball workings'!$AY$406))</f>
      </c>
    </row>
    <row r="405" spans="1:25" x14ac:dyDescent="0.25">
      <c r="A405" s="2">
        <f>IF(400&gt;$Z$1,"",400)</f>
      </c>
      <c r="B405" s="28">
        <f>IF(400&gt;$Z$1,"",EDATE('Your debts'!$D$21,399))</f>
      </c>
      <c r="C405" s="29">
        <f>IF(400&gt;$Z$1,"",IF('Your debts'!$D$20="Avalanche",'Avalanche workings'!$BC$407,'Snowball workings'!$BC$407))</f>
      </c>
      <c r="D405" s="29">
        <f>IF(400&gt;$Z$1,"",IF('Your debts'!$D$20="Avalanche",'Avalanche workings'!$BA$407,'Snowball workings'!$BA$407))</f>
      </c>
      <c r="E405" s="29">
        <f>IF(400&gt;$Z$1,"",IF('Your debts'!$D$20="Avalanche",'Avalanche workings'!$BB$407,'Snowball workings'!$BB$407))</f>
      </c>
      <c r="F405" s="29">
        <f>IF(OR(400&gt;$Z$1,NOT(OR('Your debts'!$B$6&lt;&gt;"",N('Your debts'!$C$6)&gt;0))),"",IF('Your debts'!$D$20="Avalanche",'Avalanche workings'!$L$407,'Snowball workings'!$L$407)+IF('Your debts'!$D$20="Avalanche",'Avalanche workings'!$AF$407,'Snowball workings'!$AF$407))</f>
      </c>
      <c r="G405" s="30">
        <f>IF(OR(400&gt;$Z$1,NOT(OR('Your debts'!$B$6&lt;&gt;"",N('Your debts'!$C$6)&gt;0))),"",IF('Your debts'!$D$20="Avalanche",'Avalanche workings'!$AP$407,'Snowball workings'!$AP$407))</f>
      </c>
      <c r="H405" s="29">
        <f>IF(OR(400&gt;$Z$1,NOT(OR('Your debts'!$B$7&lt;&gt;"",N('Your debts'!$C$7)&gt;0))),"",IF('Your debts'!$D$20="Avalanche",'Avalanche workings'!$M$407,'Snowball workings'!$M$407)+IF('Your debts'!$D$20="Avalanche",'Avalanche workings'!$AG$407,'Snowball workings'!$AG$407))</f>
      </c>
      <c r="I405" s="30">
        <f>IF(OR(400&gt;$Z$1,NOT(OR('Your debts'!$B$7&lt;&gt;"",N('Your debts'!$C$7)&gt;0))),"",IF('Your debts'!$D$20="Avalanche",'Avalanche workings'!$AQ$407,'Snowball workings'!$AQ$407))</f>
      </c>
      <c r="J405" s="29">
        <f>IF(OR(400&gt;$Z$1,NOT(OR('Your debts'!$B$8&lt;&gt;"",N('Your debts'!$C$8)&gt;0))),"",IF('Your debts'!$D$20="Avalanche",'Avalanche workings'!$N$407,'Snowball workings'!$N$407)+IF('Your debts'!$D$20="Avalanche",'Avalanche workings'!$AH$407,'Snowball workings'!$AH$407))</f>
      </c>
      <c r="K405" s="30">
        <f>IF(OR(400&gt;$Z$1,NOT(OR('Your debts'!$B$8&lt;&gt;"",N('Your debts'!$C$8)&gt;0))),"",IF('Your debts'!$D$20="Avalanche",'Avalanche workings'!$AR$407,'Snowball workings'!$AR$407))</f>
      </c>
      <c r="L405" s="29">
        <f>IF(OR(400&gt;$Z$1,NOT(OR('Your debts'!$B$9&lt;&gt;"",N('Your debts'!$C$9)&gt;0))),"",IF('Your debts'!$D$20="Avalanche",'Avalanche workings'!$O$407,'Snowball workings'!$O$407)+IF('Your debts'!$D$20="Avalanche",'Avalanche workings'!$AI$407,'Snowball workings'!$AI$407))</f>
      </c>
      <c r="M405" s="30">
        <f>IF(OR(400&gt;$Z$1,NOT(OR('Your debts'!$B$9&lt;&gt;"",N('Your debts'!$C$9)&gt;0))),"",IF('Your debts'!$D$20="Avalanche",'Avalanche workings'!$AS$407,'Snowball workings'!$AS$407))</f>
      </c>
      <c r="N405" s="29">
        <f>IF(OR(400&gt;$Z$1,NOT(OR('Your debts'!$B$10&lt;&gt;"",N('Your debts'!$C$10)&gt;0))),"",IF('Your debts'!$D$20="Avalanche",'Avalanche workings'!$P$407,'Snowball workings'!$P$407)+IF('Your debts'!$D$20="Avalanche",'Avalanche workings'!$AJ$407,'Snowball workings'!$AJ$407))</f>
      </c>
      <c r="O405" s="30">
        <f>IF(OR(400&gt;$Z$1,NOT(OR('Your debts'!$B$10&lt;&gt;"",N('Your debts'!$C$10)&gt;0))),"",IF('Your debts'!$D$20="Avalanche",'Avalanche workings'!$AT$407,'Snowball workings'!$AT$407))</f>
      </c>
      <c r="P405" s="29">
        <f>IF(OR(400&gt;$Z$1,NOT(OR('Your debts'!$B$11&lt;&gt;"",N('Your debts'!$C$11)&gt;0))),"",IF('Your debts'!$D$20="Avalanche",'Avalanche workings'!$Q$407,'Snowball workings'!$Q$407)+IF('Your debts'!$D$20="Avalanche",'Avalanche workings'!$AK$407,'Snowball workings'!$AK$407))</f>
      </c>
      <c r="Q405" s="30">
        <f>IF(OR(400&gt;$Z$1,NOT(OR('Your debts'!$B$11&lt;&gt;"",N('Your debts'!$C$11)&gt;0))),"",IF('Your debts'!$D$20="Avalanche",'Avalanche workings'!$AU$407,'Snowball workings'!$AU$407))</f>
      </c>
      <c r="R405" s="29">
        <f>IF(OR(400&gt;$Z$1,NOT(OR('Your debts'!$B$12&lt;&gt;"",N('Your debts'!$C$12)&gt;0))),"",IF('Your debts'!$D$20="Avalanche",'Avalanche workings'!$R$407,'Snowball workings'!$R$407)+IF('Your debts'!$D$20="Avalanche",'Avalanche workings'!$AL$407,'Snowball workings'!$AL$407))</f>
      </c>
      <c r="S405" s="30">
        <f>IF(OR(400&gt;$Z$1,NOT(OR('Your debts'!$B$12&lt;&gt;"",N('Your debts'!$C$12)&gt;0))),"",IF('Your debts'!$D$20="Avalanche",'Avalanche workings'!$AV$407,'Snowball workings'!$AV$407))</f>
      </c>
      <c r="T405" s="29">
        <f>IF(OR(400&gt;$Z$1,NOT(OR('Your debts'!$B$13&lt;&gt;"",N('Your debts'!$C$13)&gt;0))),"",IF('Your debts'!$D$20="Avalanche",'Avalanche workings'!$S$407,'Snowball workings'!$S$407)+IF('Your debts'!$D$20="Avalanche",'Avalanche workings'!$AM$407,'Snowball workings'!$AM$407))</f>
      </c>
      <c r="U405" s="30">
        <f>IF(OR(400&gt;$Z$1,NOT(OR('Your debts'!$B$13&lt;&gt;"",N('Your debts'!$C$13)&gt;0))),"",IF('Your debts'!$D$20="Avalanche",'Avalanche workings'!$AW$407,'Snowball workings'!$AW$407))</f>
      </c>
      <c r="V405" s="29">
        <f>IF(OR(400&gt;$Z$1,NOT(OR('Your debts'!$B$14&lt;&gt;"",N('Your debts'!$C$14)&gt;0))),"",IF('Your debts'!$D$20="Avalanche",'Avalanche workings'!$T$407,'Snowball workings'!$T$407)+IF('Your debts'!$D$20="Avalanche",'Avalanche workings'!$AN$407,'Snowball workings'!$AN$407))</f>
      </c>
      <c r="W405" s="30">
        <f>IF(OR(400&gt;$Z$1,NOT(OR('Your debts'!$B$14&lt;&gt;"",N('Your debts'!$C$14)&gt;0))),"",IF('Your debts'!$D$20="Avalanche",'Avalanche workings'!$AX$407,'Snowball workings'!$AX$407))</f>
      </c>
      <c r="X405" s="29">
        <f>IF(OR(400&gt;$Z$1,NOT(OR('Your debts'!$B$15&lt;&gt;"",N('Your debts'!$C$15)&gt;0))),"",IF('Your debts'!$D$20="Avalanche",'Avalanche workings'!$U$407,'Snowball workings'!$U$407)+IF('Your debts'!$D$20="Avalanche",'Avalanche workings'!$AO$407,'Snowball workings'!$AO$407))</f>
      </c>
      <c r="Y405" s="30">
        <f>IF(OR(400&gt;$Z$1,NOT(OR('Your debts'!$B$15&lt;&gt;"",N('Your debts'!$C$15)&gt;0))),"",IF('Your debts'!$D$20="Avalanche",'Avalanche workings'!$AY$407,'Snowball workings'!$AY$407))</f>
      </c>
    </row>
    <row r="406" spans="1:25" x14ac:dyDescent="0.25">
      <c r="A406" s="2">
        <f>IF(401&gt;$Z$1,"",401)</f>
      </c>
      <c r="B406" s="28">
        <f>IF(401&gt;$Z$1,"",EDATE('Your debts'!$D$21,400))</f>
      </c>
      <c r="C406" s="29">
        <f>IF(401&gt;$Z$1,"",IF('Your debts'!$D$20="Avalanche",'Avalanche workings'!$BC$408,'Snowball workings'!$BC$408))</f>
      </c>
      <c r="D406" s="29">
        <f>IF(401&gt;$Z$1,"",IF('Your debts'!$D$20="Avalanche",'Avalanche workings'!$BA$408,'Snowball workings'!$BA$408))</f>
      </c>
      <c r="E406" s="29">
        <f>IF(401&gt;$Z$1,"",IF('Your debts'!$D$20="Avalanche",'Avalanche workings'!$BB$408,'Snowball workings'!$BB$408))</f>
      </c>
      <c r="F406" s="29">
        <f>IF(OR(401&gt;$Z$1,NOT(OR('Your debts'!$B$6&lt;&gt;"",N('Your debts'!$C$6)&gt;0))),"",IF('Your debts'!$D$20="Avalanche",'Avalanche workings'!$L$408,'Snowball workings'!$L$408)+IF('Your debts'!$D$20="Avalanche",'Avalanche workings'!$AF$408,'Snowball workings'!$AF$408))</f>
      </c>
      <c r="G406" s="30">
        <f>IF(OR(401&gt;$Z$1,NOT(OR('Your debts'!$B$6&lt;&gt;"",N('Your debts'!$C$6)&gt;0))),"",IF('Your debts'!$D$20="Avalanche",'Avalanche workings'!$AP$408,'Snowball workings'!$AP$408))</f>
      </c>
      <c r="H406" s="29">
        <f>IF(OR(401&gt;$Z$1,NOT(OR('Your debts'!$B$7&lt;&gt;"",N('Your debts'!$C$7)&gt;0))),"",IF('Your debts'!$D$20="Avalanche",'Avalanche workings'!$M$408,'Snowball workings'!$M$408)+IF('Your debts'!$D$20="Avalanche",'Avalanche workings'!$AG$408,'Snowball workings'!$AG$408))</f>
      </c>
      <c r="I406" s="30">
        <f>IF(OR(401&gt;$Z$1,NOT(OR('Your debts'!$B$7&lt;&gt;"",N('Your debts'!$C$7)&gt;0))),"",IF('Your debts'!$D$20="Avalanche",'Avalanche workings'!$AQ$408,'Snowball workings'!$AQ$408))</f>
      </c>
      <c r="J406" s="29">
        <f>IF(OR(401&gt;$Z$1,NOT(OR('Your debts'!$B$8&lt;&gt;"",N('Your debts'!$C$8)&gt;0))),"",IF('Your debts'!$D$20="Avalanche",'Avalanche workings'!$N$408,'Snowball workings'!$N$408)+IF('Your debts'!$D$20="Avalanche",'Avalanche workings'!$AH$408,'Snowball workings'!$AH$408))</f>
      </c>
      <c r="K406" s="30">
        <f>IF(OR(401&gt;$Z$1,NOT(OR('Your debts'!$B$8&lt;&gt;"",N('Your debts'!$C$8)&gt;0))),"",IF('Your debts'!$D$20="Avalanche",'Avalanche workings'!$AR$408,'Snowball workings'!$AR$408))</f>
      </c>
      <c r="L406" s="29">
        <f>IF(OR(401&gt;$Z$1,NOT(OR('Your debts'!$B$9&lt;&gt;"",N('Your debts'!$C$9)&gt;0))),"",IF('Your debts'!$D$20="Avalanche",'Avalanche workings'!$O$408,'Snowball workings'!$O$408)+IF('Your debts'!$D$20="Avalanche",'Avalanche workings'!$AI$408,'Snowball workings'!$AI$408))</f>
      </c>
      <c r="M406" s="30">
        <f>IF(OR(401&gt;$Z$1,NOT(OR('Your debts'!$B$9&lt;&gt;"",N('Your debts'!$C$9)&gt;0))),"",IF('Your debts'!$D$20="Avalanche",'Avalanche workings'!$AS$408,'Snowball workings'!$AS$408))</f>
      </c>
      <c r="N406" s="29">
        <f>IF(OR(401&gt;$Z$1,NOT(OR('Your debts'!$B$10&lt;&gt;"",N('Your debts'!$C$10)&gt;0))),"",IF('Your debts'!$D$20="Avalanche",'Avalanche workings'!$P$408,'Snowball workings'!$P$408)+IF('Your debts'!$D$20="Avalanche",'Avalanche workings'!$AJ$408,'Snowball workings'!$AJ$408))</f>
      </c>
      <c r="O406" s="30">
        <f>IF(OR(401&gt;$Z$1,NOT(OR('Your debts'!$B$10&lt;&gt;"",N('Your debts'!$C$10)&gt;0))),"",IF('Your debts'!$D$20="Avalanche",'Avalanche workings'!$AT$408,'Snowball workings'!$AT$408))</f>
      </c>
      <c r="P406" s="29">
        <f>IF(OR(401&gt;$Z$1,NOT(OR('Your debts'!$B$11&lt;&gt;"",N('Your debts'!$C$11)&gt;0))),"",IF('Your debts'!$D$20="Avalanche",'Avalanche workings'!$Q$408,'Snowball workings'!$Q$408)+IF('Your debts'!$D$20="Avalanche",'Avalanche workings'!$AK$408,'Snowball workings'!$AK$408))</f>
      </c>
      <c r="Q406" s="30">
        <f>IF(OR(401&gt;$Z$1,NOT(OR('Your debts'!$B$11&lt;&gt;"",N('Your debts'!$C$11)&gt;0))),"",IF('Your debts'!$D$20="Avalanche",'Avalanche workings'!$AU$408,'Snowball workings'!$AU$408))</f>
      </c>
      <c r="R406" s="29">
        <f>IF(OR(401&gt;$Z$1,NOT(OR('Your debts'!$B$12&lt;&gt;"",N('Your debts'!$C$12)&gt;0))),"",IF('Your debts'!$D$20="Avalanche",'Avalanche workings'!$R$408,'Snowball workings'!$R$408)+IF('Your debts'!$D$20="Avalanche",'Avalanche workings'!$AL$408,'Snowball workings'!$AL$408))</f>
      </c>
      <c r="S406" s="30">
        <f>IF(OR(401&gt;$Z$1,NOT(OR('Your debts'!$B$12&lt;&gt;"",N('Your debts'!$C$12)&gt;0))),"",IF('Your debts'!$D$20="Avalanche",'Avalanche workings'!$AV$408,'Snowball workings'!$AV$408))</f>
      </c>
      <c r="T406" s="29">
        <f>IF(OR(401&gt;$Z$1,NOT(OR('Your debts'!$B$13&lt;&gt;"",N('Your debts'!$C$13)&gt;0))),"",IF('Your debts'!$D$20="Avalanche",'Avalanche workings'!$S$408,'Snowball workings'!$S$408)+IF('Your debts'!$D$20="Avalanche",'Avalanche workings'!$AM$408,'Snowball workings'!$AM$408))</f>
      </c>
      <c r="U406" s="30">
        <f>IF(OR(401&gt;$Z$1,NOT(OR('Your debts'!$B$13&lt;&gt;"",N('Your debts'!$C$13)&gt;0))),"",IF('Your debts'!$D$20="Avalanche",'Avalanche workings'!$AW$408,'Snowball workings'!$AW$408))</f>
      </c>
      <c r="V406" s="29">
        <f>IF(OR(401&gt;$Z$1,NOT(OR('Your debts'!$B$14&lt;&gt;"",N('Your debts'!$C$14)&gt;0))),"",IF('Your debts'!$D$20="Avalanche",'Avalanche workings'!$T$408,'Snowball workings'!$T$408)+IF('Your debts'!$D$20="Avalanche",'Avalanche workings'!$AN$408,'Snowball workings'!$AN$408))</f>
      </c>
      <c r="W406" s="30">
        <f>IF(OR(401&gt;$Z$1,NOT(OR('Your debts'!$B$14&lt;&gt;"",N('Your debts'!$C$14)&gt;0))),"",IF('Your debts'!$D$20="Avalanche",'Avalanche workings'!$AX$408,'Snowball workings'!$AX$408))</f>
      </c>
      <c r="X406" s="29">
        <f>IF(OR(401&gt;$Z$1,NOT(OR('Your debts'!$B$15&lt;&gt;"",N('Your debts'!$C$15)&gt;0))),"",IF('Your debts'!$D$20="Avalanche",'Avalanche workings'!$U$408,'Snowball workings'!$U$408)+IF('Your debts'!$D$20="Avalanche",'Avalanche workings'!$AO$408,'Snowball workings'!$AO$408))</f>
      </c>
      <c r="Y406" s="30">
        <f>IF(OR(401&gt;$Z$1,NOT(OR('Your debts'!$B$15&lt;&gt;"",N('Your debts'!$C$15)&gt;0))),"",IF('Your debts'!$D$20="Avalanche",'Avalanche workings'!$AY$408,'Snowball workings'!$AY$408))</f>
      </c>
    </row>
    <row r="407" spans="1:25" x14ac:dyDescent="0.25">
      <c r="A407" s="2">
        <f>IF(402&gt;$Z$1,"",402)</f>
      </c>
      <c r="B407" s="28">
        <f>IF(402&gt;$Z$1,"",EDATE('Your debts'!$D$21,401))</f>
      </c>
      <c r="C407" s="29">
        <f>IF(402&gt;$Z$1,"",IF('Your debts'!$D$20="Avalanche",'Avalanche workings'!$BC$409,'Snowball workings'!$BC$409))</f>
      </c>
      <c r="D407" s="29">
        <f>IF(402&gt;$Z$1,"",IF('Your debts'!$D$20="Avalanche",'Avalanche workings'!$BA$409,'Snowball workings'!$BA$409))</f>
      </c>
      <c r="E407" s="29">
        <f>IF(402&gt;$Z$1,"",IF('Your debts'!$D$20="Avalanche",'Avalanche workings'!$BB$409,'Snowball workings'!$BB$409))</f>
      </c>
      <c r="F407" s="29">
        <f>IF(OR(402&gt;$Z$1,NOT(OR('Your debts'!$B$6&lt;&gt;"",N('Your debts'!$C$6)&gt;0))),"",IF('Your debts'!$D$20="Avalanche",'Avalanche workings'!$L$409,'Snowball workings'!$L$409)+IF('Your debts'!$D$20="Avalanche",'Avalanche workings'!$AF$409,'Snowball workings'!$AF$409))</f>
      </c>
      <c r="G407" s="30">
        <f>IF(OR(402&gt;$Z$1,NOT(OR('Your debts'!$B$6&lt;&gt;"",N('Your debts'!$C$6)&gt;0))),"",IF('Your debts'!$D$20="Avalanche",'Avalanche workings'!$AP$409,'Snowball workings'!$AP$409))</f>
      </c>
      <c r="H407" s="29">
        <f>IF(OR(402&gt;$Z$1,NOT(OR('Your debts'!$B$7&lt;&gt;"",N('Your debts'!$C$7)&gt;0))),"",IF('Your debts'!$D$20="Avalanche",'Avalanche workings'!$M$409,'Snowball workings'!$M$409)+IF('Your debts'!$D$20="Avalanche",'Avalanche workings'!$AG$409,'Snowball workings'!$AG$409))</f>
      </c>
      <c r="I407" s="30">
        <f>IF(OR(402&gt;$Z$1,NOT(OR('Your debts'!$B$7&lt;&gt;"",N('Your debts'!$C$7)&gt;0))),"",IF('Your debts'!$D$20="Avalanche",'Avalanche workings'!$AQ$409,'Snowball workings'!$AQ$409))</f>
      </c>
      <c r="J407" s="29">
        <f>IF(OR(402&gt;$Z$1,NOT(OR('Your debts'!$B$8&lt;&gt;"",N('Your debts'!$C$8)&gt;0))),"",IF('Your debts'!$D$20="Avalanche",'Avalanche workings'!$N$409,'Snowball workings'!$N$409)+IF('Your debts'!$D$20="Avalanche",'Avalanche workings'!$AH$409,'Snowball workings'!$AH$409))</f>
      </c>
      <c r="K407" s="30">
        <f>IF(OR(402&gt;$Z$1,NOT(OR('Your debts'!$B$8&lt;&gt;"",N('Your debts'!$C$8)&gt;0))),"",IF('Your debts'!$D$20="Avalanche",'Avalanche workings'!$AR$409,'Snowball workings'!$AR$409))</f>
      </c>
      <c r="L407" s="29">
        <f>IF(OR(402&gt;$Z$1,NOT(OR('Your debts'!$B$9&lt;&gt;"",N('Your debts'!$C$9)&gt;0))),"",IF('Your debts'!$D$20="Avalanche",'Avalanche workings'!$O$409,'Snowball workings'!$O$409)+IF('Your debts'!$D$20="Avalanche",'Avalanche workings'!$AI$409,'Snowball workings'!$AI$409))</f>
      </c>
      <c r="M407" s="30">
        <f>IF(OR(402&gt;$Z$1,NOT(OR('Your debts'!$B$9&lt;&gt;"",N('Your debts'!$C$9)&gt;0))),"",IF('Your debts'!$D$20="Avalanche",'Avalanche workings'!$AS$409,'Snowball workings'!$AS$409))</f>
      </c>
      <c r="N407" s="29">
        <f>IF(OR(402&gt;$Z$1,NOT(OR('Your debts'!$B$10&lt;&gt;"",N('Your debts'!$C$10)&gt;0))),"",IF('Your debts'!$D$20="Avalanche",'Avalanche workings'!$P$409,'Snowball workings'!$P$409)+IF('Your debts'!$D$20="Avalanche",'Avalanche workings'!$AJ$409,'Snowball workings'!$AJ$409))</f>
      </c>
      <c r="O407" s="30">
        <f>IF(OR(402&gt;$Z$1,NOT(OR('Your debts'!$B$10&lt;&gt;"",N('Your debts'!$C$10)&gt;0))),"",IF('Your debts'!$D$20="Avalanche",'Avalanche workings'!$AT$409,'Snowball workings'!$AT$409))</f>
      </c>
      <c r="P407" s="29">
        <f>IF(OR(402&gt;$Z$1,NOT(OR('Your debts'!$B$11&lt;&gt;"",N('Your debts'!$C$11)&gt;0))),"",IF('Your debts'!$D$20="Avalanche",'Avalanche workings'!$Q$409,'Snowball workings'!$Q$409)+IF('Your debts'!$D$20="Avalanche",'Avalanche workings'!$AK$409,'Snowball workings'!$AK$409))</f>
      </c>
      <c r="Q407" s="30">
        <f>IF(OR(402&gt;$Z$1,NOT(OR('Your debts'!$B$11&lt;&gt;"",N('Your debts'!$C$11)&gt;0))),"",IF('Your debts'!$D$20="Avalanche",'Avalanche workings'!$AU$409,'Snowball workings'!$AU$409))</f>
      </c>
      <c r="R407" s="29">
        <f>IF(OR(402&gt;$Z$1,NOT(OR('Your debts'!$B$12&lt;&gt;"",N('Your debts'!$C$12)&gt;0))),"",IF('Your debts'!$D$20="Avalanche",'Avalanche workings'!$R$409,'Snowball workings'!$R$409)+IF('Your debts'!$D$20="Avalanche",'Avalanche workings'!$AL$409,'Snowball workings'!$AL$409))</f>
      </c>
      <c r="S407" s="30">
        <f>IF(OR(402&gt;$Z$1,NOT(OR('Your debts'!$B$12&lt;&gt;"",N('Your debts'!$C$12)&gt;0))),"",IF('Your debts'!$D$20="Avalanche",'Avalanche workings'!$AV$409,'Snowball workings'!$AV$409))</f>
      </c>
      <c r="T407" s="29">
        <f>IF(OR(402&gt;$Z$1,NOT(OR('Your debts'!$B$13&lt;&gt;"",N('Your debts'!$C$13)&gt;0))),"",IF('Your debts'!$D$20="Avalanche",'Avalanche workings'!$S$409,'Snowball workings'!$S$409)+IF('Your debts'!$D$20="Avalanche",'Avalanche workings'!$AM$409,'Snowball workings'!$AM$409))</f>
      </c>
      <c r="U407" s="30">
        <f>IF(OR(402&gt;$Z$1,NOT(OR('Your debts'!$B$13&lt;&gt;"",N('Your debts'!$C$13)&gt;0))),"",IF('Your debts'!$D$20="Avalanche",'Avalanche workings'!$AW$409,'Snowball workings'!$AW$409))</f>
      </c>
      <c r="V407" s="29">
        <f>IF(OR(402&gt;$Z$1,NOT(OR('Your debts'!$B$14&lt;&gt;"",N('Your debts'!$C$14)&gt;0))),"",IF('Your debts'!$D$20="Avalanche",'Avalanche workings'!$T$409,'Snowball workings'!$T$409)+IF('Your debts'!$D$20="Avalanche",'Avalanche workings'!$AN$409,'Snowball workings'!$AN$409))</f>
      </c>
      <c r="W407" s="30">
        <f>IF(OR(402&gt;$Z$1,NOT(OR('Your debts'!$B$14&lt;&gt;"",N('Your debts'!$C$14)&gt;0))),"",IF('Your debts'!$D$20="Avalanche",'Avalanche workings'!$AX$409,'Snowball workings'!$AX$409))</f>
      </c>
      <c r="X407" s="29">
        <f>IF(OR(402&gt;$Z$1,NOT(OR('Your debts'!$B$15&lt;&gt;"",N('Your debts'!$C$15)&gt;0))),"",IF('Your debts'!$D$20="Avalanche",'Avalanche workings'!$U$409,'Snowball workings'!$U$409)+IF('Your debts'!$D$20="Avalanche",'Avalanche workings'!$AO$409,'Snowball workings'!$AO$409))</f>
      </c>
      <c r="Y407" s="30">
        <f>IF(OR(402&gt;$Z$1,NOT(OR('Your debts'!$B$15&lt;&gt;"",N('Your debts'!$C$15)&gt;0))),"",IF('Your debts'!$D$20="Avalanche",'Avalanche workings'!$AY$409,'Snowball workings'!$AY$409))</f>
      </c>
    </row>
    <row r="408" spans="1:25" x14ac:dyDescent="0.25">
      <c r="A408" s="2">
        <f>IF(403&gt;$Z$1,"",403)</f>
      </c>
      <c r="B408" s="28">
        <f>IF(403&gt;$Z$1,"",EDATE('Your debts'!$D$21,402))</f>
      </c>
      <c r="C408" s="29">
        <f>IF(403&gt;$Z$1,"",IF('Your debts'!$D$20="Avalanche",'Avalanche workings'!$BC$410,'Snowball workings'!$BC$410))</f>
      </c>
      <c r="D408" s="29">
        <f>IF(403&gt;$Z$1,"",IF('Your debts'!$D$20="Avalanche",'Avalanche workings'!$BA$410,'Snowball workings'!$BA$410))</f>
      </c>
      <c r="E408" s="29">
        <f>IF(403&gt;$Z$1,"",IF('Your debts'!$D$20="Avalanche",'Avalanche workings'!$BB$410,'Snowball workings'!$BB$410))</f>
      </c>
      <c r="F408" s="29">
        <f>IF(OR(403&gt;$Z$1,NOT(OR('Your debts'!$B$6&lt;&gt;"",N('Your debts'!$C$6)&gt;0))),"",IF('Your debts'!$D$20="Avalanche",'Avalanche workings'!$L$410,'Snowball workings'!$L$410)+IF('Your debts'!$D$20="Avalanche",'Avalanche workings'!$AF$410,'Snowball workings'!$AF$410))</f>
      </c>
      <c r="G408" s="30">
        <f>IF(OR(403&gt;$Z$1,NOT(OR('Your debts'!$B$6&lt;&gt;"",N('Your debts'!$C$6)&gt;0))),"",IF('Your debts'!$D$20="Avalanche",'Avalanche workings'!$AP$410,'Snowball workings'!$AP$410))</f>
      </c>
      <c r="H408" s="29">
        <f>IF(OR(403&gt;$Z$1,NOT(OR('Your debts'!$B$7&lt;&gt;"",N('Your debts'!$C$7)&gt;0))),"",IF('Your debts'!$D$20="Avalanche",'Avalanche workings'!$M$410,'Snowball workings'!$M$410)+IF('Your debts'!$D$20="Avalanche",'Avalanche workings'!$AG$410,'Snowball workings'!$AG$410))</f>
      </c>
      <c r="I408" s="30">
        <f>IF(OR(403&gt;$Z$1,NOT(OR('Your debts'!$B$7&lt;&gt;"",N('Your debts'!$C$7)&gt;0))),"",IF('Your debts'!$D$20="Avalanche",'Avalanche workings'!$AQ$410,'Snowball workings'!$AQ$410))</f>
      </c>
      <c r="J408" s="29">
        <f>IF(OR(403&gt;$Z$1,NOT(OR('Your debts'!$B$8&lt;&gt;"",N('Your debts'!$C$8)&gt;0))),"",IF('Your debts'!$D$20="Avalanche",'Avalanche workings'!$N$410,'Snowball workings'!$N$410)+IF('Your debts'!$D$20="Avalanche",'Avalanche workings'!$AH$410,'Snowball workings'!$AH$410))</f>
      </c>
      <c r="K408" s="30">
        <f>IF(OR(403&gt;$Z$1,NOT(OR('Your debts'!$B$8&lt;&gt;"",N('Your debts'!$C$8)&gt;0))),"",IF('Your debts'!$D$20="Avalanche",'Avalanche workings'!$AR$410,'Snowball workings'!$AR$410))</f>
      </c>
      <c r="L408" s="29">
        <f>IF(OR(403&gt;$Z$1,NOT(OR('Your debts'!$B$9&lt;&gt;"",N('Your debts'!$C$9)&gt;0))),"",IF('Your debts'!$D$20="Avalanche",'Avalanche workings'!$O$410,'Snowball workings'!$O$410)+IF('Your debts'!$D$20="Avalanche",'Avalanche workings'!$AI$410,'Snowball workings'!$AI$410))</f>
      </c>
      <c r="M408" s="30">
        <f>IF(OR(403&gt;$Z$1,NOT(OR('Your debts'!$B$9&lt;&gt;"",N('Your debts'!$C$9)&gt;0))),"",IF('Your debts'!$D$20="Avalanche",'Avalanche workings'!$AS$410,'Snowball workings'!$AS$410))</f>
      </c>
      <c r="N408" s="29">
        <f>IF(OR(403&gt;$Z$1,NOT(OR('Your debts'!$B$10&lt;&gt;"",N('Your debts'!$C$10)&gt;0))),"",IF('Your debts'!$D$20="Avalanche",'Avalanche workings'!$P$410,'Snowball workings'!$P$410)+IF('Your debts'!$D$20="Avalanche",'Avalanche workings'!$AJ$410,'Snowball workings'!$AJ$410))</f>
      </c>
      <c r="O408" s="30">
        <f>IF(OR(403&gt;$Z$1,NOT(OR('Your debts'!$B$10&lt;&gt;"",N('Your debts'!$C$10)&gt;0))),"",IF('Your debts'!$D$20="Avalanche",'Avalanche workings'!$AT$410,'Snowball workings'!$AT$410))</f>
      </c>
      <c r="P408" s="29">
        <f>IF(OR(403&gt;$Z$1,NOT(OR('Your debts'!$B$11&lt;&gt;"",N('Your debts'!$C$11)&gt;0))),"",IF('Your debts'!$D$20="Avalanche",'Avalanche workings'!$Q$410,'Snowball workings'!$Q$410)+IF('Your debts'!$D$20="Avalanche",'Avalanche workings'!$AK$410,'Snowball workings'!$AK$410))</f>
      </c>
      <c r="Q408" s="30">
        <f>IF(OR(403&gt;$Z$1,NOT(OR('Your debts'!$B$11&lt;&gt;"",N('Your debts'!$C$11)&gt;0))),"",IF('Your debts'!$D$20="Avalanche",'Avalanche workings'!$AU$410,'Snowball workings'!$AU$410))</f>
      </c>
      <c r="R408" s="29">
        <f>IF(OR(403&gt;$Z$1,NOT(OR('Your debts'!$B$12&lt;&gt;"",N('Your debts'!$C$12)&gt;0))),"",IF('Your debts'!$D$20="Avalanche",'Avalanche workings'!$R$410,'Snowball workings'!$R$410)+IF('Your debts'!$D$20="Avalanche",'Avalanche workings'!$AL$410,'Snowball workings'!$AL$410))</f>
      </c>
      <c r="S408" s="30">
        <f>IF(OR(403&gt;$Z$1,NOT(OR('Your debts'!$B$12&lt;&gt;"",N('Your debts'!$C$12)&gt;0))),"",IF('Your debts'!$D$20="Avalanche",'Avalanche workings'!$AV$410,'Snowball workings'!$AV$410))</f>
      </c>
      <c r="T408" s="29">
        <f>IF(OR(403&gt;$Z$1,NOT(OR('Your debts'!$B$13&lt;&gt;"",N('Your debts'!$C$13)&gt;0))),"",IF('Your debts'!$D$20="Avalanche",'Avalanche workings'!$S$410,'Snowball workings'!$S$410)+IF('Your debts'!$D$20="Avalanche",'Avalanche workings'!$AM$410,'Snowball workings'!$AM$410))</f>
      </c>
      <c r="U408" s="30">
        <f>IF(OR(403&gt;$Z$1,NOT(OR('Your debts'!$B$13&lt;&gt;"",N('Your debts'!$C$13)&gt;0))),"",IF('Your debts'!$D$20="Avalanche",'Avalanche workings'!$AW$410,'Snowball workings'!$AW$410))</f>
      </c>
      <c r="V408" s="29">
        <f>IF(OR(403&gt;$Z$1,NOT(OR('Your debts'!$B$14&lt;&gt;"",N('Your debts'!$C$14)&gt;0))),"",IF('Your debts'!$D$20="Avalanche",'Avalanche workings'!$T$410,'Snowball workings'!$T$410)+IF('Your debts'!$D$20="Avalanche",'Avalanche workings'!$AN$410,'Snowball workings'!$AN$410))</f>
      </c>
      <c r="W408" s="30">
        <f>IF(OR(403&gt;$Z$1,NOT(OR('Your debts'!$B$14&lt;&gt;"",N('Your debts'!$C$14)&gt;0))),"",IF('Your debts'!$D$20="Avalanche",'Avalanche workings'!$AX$410,'Snowball workings'!$AX$410))</f>
      </c>
      <c r="X408" s="29">
        <f>IF(OR(403&gt;$Z$1,NOT(OR('Your debts'!$B$15&lt;&gt;"",N('Your debts'!$C$15)&gt;0))),"",IF('Your debts'!$D$20="Avalanche",'Avalanche workings'!$U$410,'Snowball workings'!$U$410)+IF('Your debts'!$D$20="Avalanche",'Avalanche workings'!$AO$410,'Snowball workings'!$AO$410))</f>
      </c>
      <c r="Y408" s="30">
        <f>IF(OR(403&gt;$Z$1,NOT(OR('Your debts'!$B$15&lt;&gt;"",N('Your debts'!$C$15)&gt;0))),"",IF('Your debts'!$D$20="Avalanche",'Avalanche workings'!$AY$410,'Snowball workings'!$AY$410))</f>
      </c>
    </row>
    <row r="409" spans="1:25" x14ac:dyDescent="0.25">
      <c r="A409" s="2">
        <f>IF(404&gt;$Z$1,"",404)</f>
      </c>
      <c r="B409" s="28">
        <f>IF(404&gt;$Z$1,"",EDATE('Your debts'!$D$21,403))</f>
      </c>
      <c r="C409" s="29">
        <f>IF(404&gt;$Z$1,"",IF('Your debts'!$D$20="Avalanche",'Avalanche workings'!$BC$411,'Snowball workings'!$BC$411))</f>
      </c>
      <c r="D409" s="29">
        <f>IF(404&gt;$Z$1,"",IF('Your debts'!$D$20="Avalanche",'Avalanche workings'!$BA$411,'Snowball workings'!$BA$411))</f>
      </c>
      <c r="E409" s="29">
        <f>IF(404&gt;$Z$1,"",IF('Your debts'!$D$20="Avalanche",'Avalanche workings'!$BB$411,'Snowball workings'!$BB$411))</f>
      </c>
      <c r="F409" s="29">
        <f>IF(OR(404&gt;$Z$1,NOT(OR('Your debts'!$B$6&lt;&gt;"",N('Your debts'!$C$6)&gt;0))),"",IF('Your debts'!$D$20="Avalanche",'Avalanche workings'!$L$411,'Snowball workings'!$L$411)+IF('Your debts'!$D$20="Avalanche",'Avalanche workings'!$AF$411,'Snowball workings'!$AF$411))</f>
      </c>
      <c r="G409" s="30">
        <f>IF(OR(404&gt;$Z$1,NOT(OR('Your debts'!$B$6&lt;&gt;"",N('Your debts'!$C$6)&gt;0))),"",IF('Your debts'!$D$20="Avalanche",'Avalanche workings'!$AP$411,'Snowball workings'!$AP$411))</f>
      </c>
      <c r="H409" s="29">
        <f>IF(OR(404&gt;$Z$1,NOT(OR('Your debts'!$B$7&lt;&gt;"",N('Your debts'!$C$7)&gt;0))),"",IF('Your debts'!$D$20="Avalanche",'Avalanche workings'!$M$411,'Snowball workings'!$M$411)+IF('Your debts'!$D$20="Avalanche",'Avalanche workings'!$AG$411,'Snowball workings'!$AG$411))</f>
      </c>
      <c r="I409" s="30">
        <f>IF(OR(404&gt;$Z$1,NOT(OR('Your debts'!$B$7&lt;&gt;"",N('Your debts'!$C$7)&gt;0))),"",IF('Your debts'!$D$20="Avalanche",'Avalanche workings'!$AQ$411,'Snowball workings'!$AQ$411))</f>
      </c>
      <c r="J409" s="29">
        <f>IF(OR(404&gt;$Z$1,NOT(OR('Your debts'!$B$8&lt;&gt;"",N('Your debts'!$C$8)&gt;0))),"",IF('Your debts'!$D$20="Avalanche",'Avalanche workings'!$N$411,'Snowball workings'!$N$411)+IF('Your debts'!$D$20="Avalanche",'Avalanche workings'!$AH$411,'Snowball workings'!$AH$411))</f>
      </c>
      <c r="K409" s="30">
        <f>IF(OR(404&gt;$Z$1,NOT(OR('Your debts'!$B$8&lt;&gt;"",N('Your debts'!$C$8)&gt;0))),"",IF('Your debts'!$D$20="Avalanche",'Avalanche workings'!$AR$411,'Snowball workings'!$AR$411))</f>
      </c>
      <c r="L409" s="29">
        <f>IF(OR(404&gt;$Z$1,NOT(OR('Your debts'!$B$9&lt;&gt;"",N('Your debts'!$C$9)&gt;0))),"",IF('Your debts'!$D$20="Avalanche",'Avalanche workings'!$O$411,'Snowball workings'!$O$411)+IF('Your debts'!$D$20="Avalanche",'Avalanche workings'!$AI$411,'Snowball workings'!$AI$411))</f>
      </c>
      <c r="M409" s="30">
        <f>IF(OR(404&gt;$Z$1,NOT(OR('Your debts'!$B$9&lt;&gt;"",N('Your debts'!$C$9)&gt;0))),"",IF('Your debts'!$D$20="Avalanche",'Avalanche workings'!$AS$411,'Snowball workings'!$AS$411))</f>
      </c>
      <c r="N409" s="29">
        <f>IF(OR(404&gt;$Z$1,NOT(OR('Your debts'!$B$10&lt;&gt;"",N('Your debts'!$C$10)&gt;0))),"",IF('Your debts'!$D$20="Avalanche",'Avalanche workings'!$P$411,'Snowball workings'!$P$411)+IF('Your debts'!$D$20="Avalanche",'Avalanche workings'!$AJ$411,'Snowball workings'!$AJ$411))</f>
      </c>
      <c r="O409" s="30">
        <f>IF(OR(404&gt;$Z$1,NOT(OR('Your debts'!$B$10&lt;&gt;"",N('Your debts'!$C$10)&gt;0))),"",IF('Your debts'!$D$20="Avalanche",'Avalanche workings'!$AT$411,'Snowball workings'!$AT$411))</f>
      </c>
      <c r="P409" s="29">
        <f>IF(OR(404&gt;$Z$1,NOT(OR('Your debts'!$B$11&lt;&gt;"",N('Your debts'!$C$11)&gt;0))),"",IF('Your debts'!$D$20="Avalanche",'Avalanche workings'!$Q$411,'Snowball workings'!$Q$411)+IF('Your debts'!$D$20="Avalanche",'Avalanche workings'!$AK$411,'Snowball workings'!$AK$411))</f>
      </c>
      <c r="Q409" s="30">
        <f>IF(OR(404&gt;$Z$1,NOT(OR('Your debts'!$B$11&lt;&gt;"",N('Your debts'!$C$11)&gt;0))),"",IF('Your debts'!$D$20="Avalanche",'Avalanche workings'!$AU$411,'Snowball workings'!$AU$411))</f>
      </c>
      <c r="R409" s="29">
        <f>IF(OR(404&gt;$Z$1,NOT(OR('Your debts'!$B$12&lt;&gt;"",N('Your debts'!$C$12)&gt;0))),"",IF('Your debts'!$D$20="Avalanche",'Avalanche workings'!$R$411,'Snowball workings'!$R$411)+IF('Your debts'!$D$20="Avalanche",'Avalanche workings'!$AL$411,'Snowball workings'!$AL$411))</f>
      </c>
      <c r="S409" s="30">
        <f>IF(OR(404&gt;$Z$1,NOT(OR('Your debts'!$B$12&lt;&gt;"",N('Your debts'!$C$12)&gt;0))),"",IF('Your debts'!$D$20="Avalanche",'Avalanche workings'!$AV$411,'Snowball workings'!$AV$411))</f>
      </c>
      <c r="T409" s="29">
        <f>IF(OR(404&gt;$Z$1,NOT(OR('Your debts'!$B$13&lt;&gt;"",N('Your debts'!$C$13)&gt;0))),"",IF('Your debts'!$D$20="Avalanche",'Avalanche workings'!$S$411,'Snowball workings'!$S$411)+IF('Your debts'!$D$20="Avalanche",'Avalanche workings'!$AM$411,'Snowball workings'!$AM$411))</f>
      </c>
      <c r="U409" s="30">
        <f>IF(OR(404&gt;$Z$1,NOT(OR('Your debts'!$B$13&lt;&gt;"",N('Your debts'!$C$13)&gt;0))),"",IF('Your debts'!$D$20="Avalanche",'Avalanche workings'!$AW$411,'Snowball workings'!$AW$411))</f>
      </c>
      <c r="V409" s="29">
        <f>IF(OR(404&gt;$Z$1,NOT(OR('Your debts'!$B$14&lt;&gt;"",N('Your debts'!$C$14)&gt;0))),"",IF('Your debts'!$D$20="Avalanche",'Avalanche workings'!$T$411,'Snowball workings'!$T$411)+IF('Your debts'!$D$20="Avalanche",'Avalanche workings'!$AN$411,'Snowball workings'!$AN$411))</f>
      </c>
      <c r="W409" s="30">
        <f>IF(OR(404&gt;$Z$1,NOT(OR('Your debts'!$B$14&lt;&gt;"",N('Your debts'!$C$14)&gt;0))),"",IF('Your debts'!$D$20="Avalanche",'Avalanche workings'!$AX$411,'Snowball workings'!$AX$411))</f>
      </c>
      <c r="X409" s="29">
        <f>IF(OR(404&gt;$Z$1,NOT(OR('Your debts'!$B$15&lt;&gt;"",N('Your debts'!$C$15)&gt;0))),"",IF('Your debts'!$D$20="Avalanche",'Avalanche workings'!$U$411,'Snowball workings'!$U$411)+IF('Your debts'!$D$20="Avalanche",'Avalanche workings'!$AO$411,'Snowball workings'!$AO$411))</f>
      </c>
      <c r="Y409" s="30">
        <f>IF(OR(404&gt;$Z$1,NOT(OR('Your debts'!$B$15&lt;&gt;"",N('Your debts'!$C$15)&gt;0))),"",IF('Your debts'!$D$20="Avalanche",'Avalanche workings'!$AY$411,'Snowball workings'!$AY$411))</f>
      </c>
    </row>
    <row r="410" spans="1:25" x14ac:dyDescent="0.25">
      <c r="A410" s="2">
        <f>IF(405&gt;$Z$1,"",405)</f>
      </c>
      <c r="B410" s="28">
        <f>IF(405&gt;$Z$1,"",EDATE('Your debts'!$D$21,404))</f>
      </c>
      <c r="C410" s="29">
        <f>IF(405&gt;$Z$1,"",IF('Your debts'!$D$20="Avalanche",'Avalanche workings'!$BC$412,'Snowball workings'!$BC$412))</f>
      </c>
      <c r="D410" s="29">
        <f>IF(405&gt;$Z$1,"",IF('Your debts'!$D$20="Avalanche",'Avalanche workings'!$BA$412,'Snowball workings'!$BA$412))</f>
      </c>
      <c r="E410" s="29">
        <f>IF(405&gt;$Z$1,"",IF('Your debts'!$D$20="Avalanche",'Avalanche workings'!$BB$412,'Snowball workings'!$BB$412))</f>
      </c>
      <c r="F410" s="29">
        <f>IF(OR(405&gt;$Z$1,NOT(OR('Your debts'!$B$6&lt;&gt;"",N('Your debts'!$C$6)&gt;0))),"",IF('Your debts'!$D$20="Avalanche",'Avalanche workings'!$L$412,'Snowball workings'!$L$412)+IF('Your debts'!$D$20="Avalanche",'Avalanche workings'!$AF$412,'Snowball workings'!$AF$412))</f>
      </c>
      <c r="G410" s="30">
        <f>IF(OR(405&gt;$Z$1,NOT(OR('Your debts'!$B$6&lt;&gt;"",N('Your debts'!$C$6)&gt;0))),"",IF('Your debts'!$D$20="Avalanche",'Avalanche workings'!$AP$412,'Snowball workings'!$AP$412))</f>
      </c>
      <c r="H410" s="29">
        <f>IF(OR(405&gt;$Z$1,NOT(OR('Your debts'!$B$7&lt;&gt;"",N('Your debts'!$C$7)&gt;0))),"",IF('Your debts'!$D$20="Avalanche",'Avalanche workings'!$M$412,'Snowball workings'!$M$412)+IF('Your debts'!$D$20="Avalanche",'Avalanche workings'!$AG$412,'Snowball workings'!$AG$412))</f>
      </c>
      <c r="I410" s="30">
        <f>IF(OR(405&gt;$Z$1,NOT(OR('Your debts'!$B$7&lt;&gt;"",N('Your debts'!$C$7)&gt;0))),"",IF('Your debts'!$D$20="Avalanche",'Avalanche workings'!$AQ$412,'Snowball workings'!$AQ$412))</f>
      </c>
      <c r="J410" s="29">
        <f>IF(OR(405&gt;$Z$1,NOT(OR('Your debts'!$B$8&lt;&gt;"",N('Your debts'!$C$8)&gt;0))),"",IF('Your debts'!$D$20="Avalanche",'Avalanche workings'!$N$412,'Snowball workings'!$N$412)+IF('Your debts'!$D$20="Avalanche",'Avalanche workings'!$AH$412,'Snowball workings'!$AH$412))</f>
      </c>
      <c r="K410" s="30">
        <f>IF(OR(405&gt;$Z$1,NOT(OR('Your debts'!$B$8&lt;&gt;"",N('Your debts'!$C$8)&gt;0))),"",IF('Your debts'!$D$20="Avalanche",'Avalanche workings'!$AR$412,'Snowball workings'!$AR$412))</f>
      </c>
      <c r="L410" s="29">
        <f>IF(OR(405&gt;$Z$1,NOT(OR('Your debts'!$B$9&lt;&gt;"",N('Your debts'!$C$9)&gt;0))),"",IF('Your debts'!$D$20="Avalanche",'Avalanche workings'!$O$412,'Snowball workings'!$O$412)+IF('Your debts'!$D$20="Avalanche",'Avalanche workings'!$AI$412,'Snowball workings'!$AI$412))</f>
      </c>
      <c r="M410" s="30">
        <f>IF(OR(405&gt;$Z$1,NOT(OR('Your debts'!$B$9&lt;&gt;"",N('Your debts'!$C$9)&gt;0))),"",IF('Your debts'!$D$20="Avalanche",'Avalanche workings'!$AS$412,'Snowball workings'!$AS$412))</f>
      </c>
      <c r="N410" s="29">
        <f>IF(OR(405&gt;$Z$1,NOT(OR('Your debts'!$B$10&lt;&gt;"",N('Your debts'!$C$10)&gt;0))),"",IF('Your debts'!$D$20="Avalanche",'Avalanche workings'!$P$412,'Snowball workings'!$P$412)+IF('Your debts'!$D$20="Avalanche",'Avalanche workings'!$AJ$412,'Snowball workings'!$AJ$412))</f>
      </c>
      <c r="O410" s="30">
        <f>IF(OR(405&gt;$Z$1,NOT(OR('Your debts'!$B$10&lt;&gt;"",N('Your debts'!$C$10)&gt;0))),"",IF('Your debts'!$D$20="Avalanche",'Avalanche workings'!$AT$412,'Snowball workings'!$AT$412))</f>
      </c>
      <c r="P410" s="29">
        <f>IF(OR(405&gt;$Z$1,NOT(OR('Your debts'!$B$11&lt;&gt;"",N('Your debts'!$C$11)&gt;0))),"",IF('Your debts'!$D$20="Avalanche",'Avalanche workings'!$Q$412,'Snowball workings'!$Q$412)+IF('Your debts'!$D$20="Avalanche",'Avalanche workings'!$AK$412,'Snowball workings'!$AK$412))</f>
      </c>
      <c r="Q410" s="30">
        <f>IF(OR(405&gt;$Z$1,NOT(OR('Your debts'!$B$11&lt;&gt;"",N('Your debts'!$C$11)&gt;0))),"",IF('Your debts'!$D$20="Avalanche",'Avalanche workings'!$AU$412,'Snowball workings'!$AU$412))</f>
      </c>
      <c r="R410" s="29">
        <f>IF(OR(405&gt;$Z$1,NOT(OR('Your debts'!$B$12&lt;&gt;"",N('Your debts'!$C$12)&gt;0))),"",IF('Your debts'!$D$20="Avalanche",'Avalanche workings'!$R$412,'Snowball workings'!$R$412)+IF('Your debts'!$D$20="Avalanche",'Avalanche workings'!$AL$412,'Snowball workings'!$AL$412))</f>
      </c>
      <c r="S410" s="30">
        <f>IF(OR(405&gt;$Z$1,NOT(OR('Your debts'!$B$12&lt;&gt;"",N('Your debts'!$C$12)&gt;0))),"",IF('Your debts'!$D$20="Avalanche",'Avalanche workings'!$AV$412,'Snowball workings'!$AV$412))</f>
      </c>
      <c r="T410" s="29">
        <f>IF(OR(405&gt;$Z$1,NOT(OR('Your debts'!$B$13&lt;&gt;"",N('Your debts'!$C$13)&gt;0))),"",IF('Your debts'!$D$20="Avalanche",'Avalanche workings'!$S$412,'Snowball workings'!$S$412)+IF('Your debts'!$D$20="Avalanche",'Avalanche workings'!$AM$412,'Snowball workings'!$AM$412))</f>
      </c>
      <c r="U410" s="30">
        <f>IF(OR(405&gt;$Z$1,NOT(OR('Your debts'!$B$13&lt;&gt;"",N('Your debts'!$C$13)&gt;0))),"",IF('Your debts'!$D$20="Avalanche",'Avalanche workings'!$AW$412,'Snowball workings'!$AW$412))</f>
      </c>
      <c r="V410" s="29">
        <f>IF(OR(405&gt;$Z$1,NOT(OR('Your debts'!$B$14&lt;&gt;"",N('Your debts'!$C$14)&gt;0))),"",IF('Your debts'!$D$20="Avalanche",'Avalanche workings'!$T$412,'Snowball workings'!$T$412)+IF('Your debts'!$D$20="Avalanche",'Avalanche workings'!$AN$412,'Snowball workings'!$AN$412))</f>
      </c>
      <c r="W410" s="30">
        <f>IF(OR(405&gt;$Z$1,NOT(OR('Your debts'!$B$14&lt;&gt;"",N('Your debts'!$C$14)&gt;0))),"",IF('Your debts'!$D$20="Avalanche",'Avalanche workings'!$AX$412,'Snowball workings'!$AX$412))</f>
      </c>
      <c r="X410" s="29">
        <f>IF(OR(405&gt;$Z$1,NOT(OR('Your debts'!$B$15&lt;&gt;"",N('Your debts'!$C$15)&gt;0))),"",IF('Your debts'!$D$20="Avalanche",'Avalanche workings'!$U$412,'Snowball workings'!$U$412)+IF('Your debts'!$D$20="Avalanche",'Avalanche workings'!$AO$412,'Snowball workings'!$AO$412))</f>
      </c>
      <c r="Y410" s="30">
        <f>IF(OR(405&gt;$Z$1,NOT(OR('Your debts'!$B$15&lt;&gt;"",N('Your debts'!$C$15)&gt;0))),"",IF('Your debts'!$D$20="Avalanche",'Avalanche workings'!$AY$412,'Snowball workings'!$AY$412))</f>
      </c>
    </row>
    <row r="411" spans="1:25" x14ac:dyDescent="0.25">
      <c r="A411" s="2">
        <f>IF(406&gt;$Z$1,"",406)</f>
      </c>
      <c r="B411" s="28">
        <f>IF(406&gt;$Z$1,"",EDATE('Your debts'!$D$21,405))</f>
      </c>
      <c r="C411" s="29">
        <f>IF(406&gt;$Z$1,"",IF('Your debts'!$D$20="Avalanche",'Avalanche workings'!$BC$413,'Snowball workings'!$BC$413))</f>
      </c>
      <c r="D411" s="29">
        <f>IF(406&gt;$Z$1,"",IF('Your debts'!$D$20="Avalanche",'Avalanche workings'!$BA$413,'Snowball workings'!$BA$413))</f>
      </c>
      <c r="E411" s="29">
        <f>IF(406&gt;$Z$1,"",IF('Your debts'!$D$20="Avalanche",'Avalanche workings'!$BB$413,'Snowball workings'!$BB$413))</f>
      </c>
      <c r="F411" s="29">
        <f>IF(OR(406&gt;$Z$1,NOT(OR('Your debts'!$B$6&lt;&gt;"",N('Your debts'!$C$6)&gt;0))),"",IF('Your debts'!$D$20="Avalanche",'Avalanche workings'!$L$413,'Snowball workings'!$L$413)+IF('Your debts'!$D$20="Avalanche",'Avalanche workings'!$AF$413,'Snowball workings'!$AF$413))</f>
      </c>
      <c r="G411" s="30">
        <f>IF(OR(406&gt;$Z$1,NOT(OR('Your debts'!$B$6&lt;&gt;"",N('Your debts'!$C$6)&gt;0))),"",IF('Your debts'!$D$20="Avalanche",'Avalanche workings'!$AP$413,'Snowball workings'!$AP$413))</f>
      </c>
      <c r="H411" s="29">
        <f>IF(OR(406&gt;$Z$1,NOT(OR('Your debts'!$B$7&lt;&gt;"",N('Your debts'!$C$7)&gt;0))),"",IF('Your debts'!$D$20="Avalanche",'Avalanche workings'!$M$413,'Snowball workings'!$M$413)+IF('Your debts'!$D$20="Avalanche",'Avalanche workings'!$AG$413,'Snowball workings'!$AG$413))</f>
      </c>
      <c r="I411" s="30">
        <f>IF(OR(406&gt;$Z$1,NOT(OR('Your debts'!$B$7&lt;&gt;"",N('Your debts'!$C$7)&gt;0))),"",IF('Your debts'!$D$20="Avalanche",'Avalanche workings'!$AQ$413,'Snowball workings'!$AQ$413))</f>
      </c>
      <c r="J411" s="29">
        <f>IF(OR(406&gt;$Z$1,NOT(OR('Your debts'!$B$8&lt;&gt;"",N('Your debts'!$C$8)&gt;0))),"",IF('Your debts'!$D$20="Avalanche",'Avalanche workings'!$N$413,'Snowball workings'!$N$413)+IF('Your debts'!$D$20="Avalanche",'Avalanche workings'!$AH$413,'Snowball workings'!$AH$413))</f>
      </c>
      <c r="K411" s="30">
        <f>IF(OR(406&gt;$Z$1,NOT(OR('Your debts'!$B$8&lt;&gt;"",N('Your debts'!$C$8)&gt;0))),"",IF('Your debts'!$D$20="Avalanche",'Avalanche workings'!$AR$413,'Snowball workings'!$AR$413))</f>
      </c>
      <c r="L411" s="29">
        <f>IF(OR(406&gt;$Z$1,NOT(OR('Your debts'!$B$9&lt;&gt;"",N('Your debts'!$C$9)&gt;0))),"",IF('Your debts'!$D$20="Avalanche",'Avalanche workings'!$O$413,'Snowball workings'!$O$413)+IF('Your debts'!$D$20="Avalanche",'Avalanche workings'!$AI$413,'Snowball workings'!$AI$413))</f>
      </c>
      <c r="M411" s="30">
        <f>IF(OR(406&gt;$Z$1,NOT(OR('Your debts'!$B$9&lt;&gt;"",N('Your debts'!$C$9)&gt;0))),"",IF('Your debts'!$D$20="Avalanche",'Avalanche workings'!$AS$413,'Snowball workings'!$AS$413))</f>
      </c>
      <c r="N411" s="29">
        <f>IF(OR(406&gt;$Z$1,NOT(OR('Your debts'!$B$10&lt;&gt;"",N('Your debts'!$C$10)&gt;0))),"",IF('Your debts'!$D$20="Avalanche",'Avalanche workings'!$P$413,'Snowball workings'!$P$413)+IF('Your debts'!$D$20="Avalanche",'Avalanche workings'!$AJ$413,'Snowball workings'!$AJ$413))</f>
      </c>
      <c r="O411" s="30">
        <f>IF(OR(406&gt;$Z$1,NOT(OR('Your debts'!$B$10&lt;&gt;"",N('Your debts'!$C$10)&gt;0))),"",IF('Your debts'!$D$20="Avalanche",'Avalanche workings'!$AT$413,'Snowball workings'!$AT$413))</f>
      </c>
      <c r="P411" s="29">
        <f>IF(OR(406&gt;$Z$1,NOT(OR('Your debts'!$B$11&lt;&gt;"",N('Your debts'!$C$11)&gt;0))),"",IF('Your debts'!$D$20="Avalanche",'Avalanche workings'!$Q$413,'Snowball workings'!$Q$413)+IF('Your debts'!$D$20="Avalanche",'Avalanche workings'!$AK$413,'Snowball workings'!$AK$413))</f>
      </c>
      <c r="Q411" s="30">
        <f>IF(OR(406&gt;$Z$1,NOT(OR('Your debts'!$B$11&lt;&gt;"",N('Your debts'!$C$11)&gt;0))),"",IF('Your debts'!$D$20="Avalanche",'Avalanche workings'!$AU$413,'Snowball workings'!$AU$413))</f>
      </c>
      <c r="R411" s="29">
        <f>IF(OR(406&gt;$Z$1,NOT(OR('Your debts'!$B$12&lt;&gt;"",N('Your debts'!$C$12)&gt;0))),"",IF('Your debts'!$D$20="Avalanche",'Avalanche workings'!$R$413,'Snowball workings'!$R$413)+IF('Your debts'!$D$20="Avalanche",'Avalanche workings'!$AL$413,'Snowball workings'!$AL$413))</f>
      </c>
      <c r="S411" s="30">
        <f>IF(OR(406&gt;$Z$1,NOT(OR('Your debts'!$B$12&lt;&gt;"",N('Your debts'!$C$12)&gt;0))),"",IF('Your debts'!$D$20="Avalanche",'Avalanche workings'!$AV$413,'Snowball workings'!$AV$413))</f>
      </c>
      <c r="T411" s="29">
        <f>IF(OR(406&gt;$Z$1,NOT(OR('Your debts'!$B$13&lt;&gt;"",N('Your debts'!$C$13)&gt;0))),"",IF('Your debts'!$D$20="Avalanche",'Avalanche workings'!$S$413,'Snowball workings'!$S$413)+IF('Your debts'!$D$20="Avalanche",'Avalanche workings'!$AM$413,'Snowball workings'!$AM$413))</f>
      </c>
      <c r="U411" s="30">
        <f>IF(OR(406&gt;$Z$1,NOT(OR('Your debts'!$B$13&lt;&gt;"",N('Your debts'!$C$13)&gt;0))),"",IF('Your debts'!$D$20="Avalanche",'Avalanche workings'!$AW$413,'Snowball workings'!$AW$413))</f>
      </c>
      <c r="V411" s="29">
        <f>IF(OR(406&gt;$Z$1,NOT(OR('Your debts'!$B$14&lt;&gt;"",N('Your debts'!$C$14)&gt;0))),"",IF('Your debts'!$D$20="Avalanche",'Avalanche workings'!$T$413,'Snowball workings'!$T$413)+IF('Your debts'!$D$20="Avalanche",'Avalanche workings'!$AN$413,'Snowball workings'!$AN$413))</f>
      </c>
      <c r="W411" s="30">
        <f>IF(OR(406&gt;$Z$1,NOT(OR('Your debts'!$B$14&lt;&gt;"",N('Your debts'!$C$14)&gt;0))),"",IF('Your debts'!$D$20="Avalanche",'Avalanche workings'!$AX$413,'Snowball workings'!$AX$413))</f>
      </c>
      <c r="X411" s="29">
        <f>IF(OR(406&gt;$Z$1,NOT(OR('Your debts'!$B$15&lt;&gt;"",N('Your debts'!$C$15)&gt;0))),"",IF('Your debts'!$D$20="Avalanche",'Avalanche workings'!$U$413,'Snowball workings'!$U$413)+IF('Your debts'!$D$20="Avalanche",'Avalanche workings'!$AO$413,'Snowball workings'!$AO$413))</f>
      </c>
      <c r="Y411" s="30">
        <f>IF(OR(406&gt;$Z$1,NOT(OR('Your debts'!$B$15&lt;&gt;"",N('Your debts'!$C$15)&gt;0))),"",IF('Your debts'!$D$20="Avalanche",'Avalanche workings'!$AY$413,'Snowball workings'!$AY$413))</f>
      </c>
    </row>
    <row r="412" spans="1:25" x14ac:dyDescent="0.25">
      <c r="A412" s="2">
        <f>IF(407&gt;$Z$1,"",407)</f>
      </c>
      <c r="B412" s="28">
        <f>IF(407&gt;$Z$1,"",EDATE('Your debts'!$D$21,406))</f>
      </c>
      <c r="C412" s="29">
        <f>IF(407&gt;$Z$1,"",IF('Your debts'!$D$20="Avalanche",'Avalanche workings'!$BC$414,'Snowball workings'!$BC$414))</f>
      </c>
      <c r="D412" s="29">
        <f>IF(407&gt;$Z$1,"",IF('Your debts'!$D$20="Avalanche",'Avalanche workings'!$BA$414,'Snowball workings'!$BA$414))</f>
      </c>
      <c r="E412" s="29">
        <f>IF(407&gt;$Z$1,"",IF('Your debts'!$D$20="Avalanche",'Avalanche workings'!$BB$414,'Snowball workings'!$BB$414))</f>
      </c>
      <c r="F412" s="29">
        <f>IF(OR(407&gt;$Z$1,NOT(OR('Your debts'!$B$6&lt;&gt;"",N('Your debts'!$C$6)&gt;0))),"",IF('Your debts'!$D$20="Avalanche",'Avalanche workings'!$L$414,'Snowball workings'!$L$414)+IF('Your debts'!$D$20="Avalanche",'Avalanche workings'!$AF$414,'Snowball workings'!$AF$414))</f>
      </c>
      <c r="G412" s="30">
        <f>IF(OR(407&gt;$Z$1,NOT(OR('Your debts'!$B$6&lt;&gt;"",N('Your debts'!$C$6)&gt;0))),"",IF('Your debts'!$D$20="Avalanche",'Avalanche workings'!$AP$414,'Snowball workings'!$AP$414))</f>
      </c>
      <c r="H412" s="29">
        <f>IF(OR(407&gt;$Z$1,NOT(OR('Your debts'!$B$7&lt;&gt;"",N('Your debts'!$C$7)&gt;0))),"",IF('Your debts'!$D$20="Avalanche",'Avalanche workings'!$M$414,'Snowball workings'!$M$414)+IF('Your debts'!$D$20="Avalanche",'Avalanche workings'!$AG$414,'Snowball workings'!$AG$414))</f>
      </c>
      <c r="I412" s="30">
        <f>IF(OR(407&gt;$Z$1,NOT(OR('Your debts'!$B$7&lt;&gt;"",N('Your debts'!$C$7)&gt;0))),"",IF('Your debts'!$D$20="Avalanche",'Avalanche workings'!$AQ$414,'Snowball workings'!$AQ$414))</f>
      </c>
      <c r="J412" s="29">
        <f>IF(OR(407&gt;$Z$1,NOT(OR('Your debts'!$B$8&lt;&gt;"",N('Your debts'!$C$8)&gt;0))),"",IF('Your debts'!$D$20="Avalanche",'Avalanche workings'!$N$414,'Snowball workings'!$N$414)+IF('Your debts'!$D$20="Avalanche",'Avalanche workings'!$AH$414,'Snowball workings'!$AH$414))</f>
      </c>
      <c r="K412" s="30">
        <f>IF(OR(407&gt;$Z$1,NOT(OR('Your debts'!$B$8&lt;&gt;"",N('Your debts'!$C$8)&gt;0))),"",IF('Your debts'!$D$20="Avalanche",'Avalanche workings'!$AR$414,'Snowball workings'!$AR$414))</f>
      </c>
      <c r="L412" s="29">
        <f>IF(OR(407&gt;$Z$1,NOT(OR('Your debts'!$B$9&lt;&gt;"",N('Your debts'!$C$9)&gt;0))),"",IF('Your debts'!$D$20="Avalanche",'Avalanche workings'!$O$414,'Snowball workings'!$O$414)+IF('Your debts'!$D$20="Avalanche",'Avalanche workings'!$AI$414,'Snowball workings'!$AI$414))</f>
      </c>
      <c r="M412" s="30">
        <f>IF(OR(407&gt;$Z$1,NOT(OR('Your debts'!$B$9&lt;&gt;"",N('Your debts'!$C$9)&gt;0))),"",IF('Your debts'!$D$20="Avalanche",'Avalanche workings'!$AS$414,'Snowball workings'!$AS$414))</f>
      </c>
      <c r="N412" s="29">
        <f>IF(OR(407&gt;$Z$1,NOT(OR('Your debts'!$B$10&lt;&gt;"",N('Your debts'!$C$10)&gt;0))),"",IF('Your debts'!$D$20="Avalanche",'Avalanche workings'!$P$414,'Snowball workings'!$P$414)+IF('Your debts'!$D$20="Avalanche",'Avalanche workings'!$AJ$414,'Snowball workings'!$AJ$414))</f>
      </c>
      <c r="O412" s="30">
        <f>IF(OR(407&gt;$Z$1,NOT(OR('Your debts'!$B$10&lt;&gt;"",N('Your debts'!$C$10)&gt;0))),"",IF('Your debts'!$D$20="Avalanche",'Avalanche workings'!$AT$414,'Snowball workings'!$AT$414))</f>
      </c>
      <c r="P412" s="29">
        <f>IF(OR(407&gt;$Z$1,NOT(OR('Your debts'!$B$11&lt;&gt;"",N('Your debts'!$C$11)&gt;0))),"",IF('Your debts'!$D$20="Avalanche",'Avalanche workings'!$Q$414,'Snowball workings'!$Q$414)+IF('Your debts'!$D$20="Avalanche",'Avalanche workings'!$AK$414,'Snowball workings'!$AK$414))</f>
      </c>
      <c r="Q412" s="30">
        <f>IF(OR(407&gt;$Z$1,NOT(OR('Your debts'!$B$11&lt;&gt;"",N('Your debts'!$C$11)&gt;0))),"",IF('Your debts'!$D$20="Avalanche",'Avalanche workings'!$AU$414,'Snowball workings'!$AU$414))</f>
      </c>
      <c r="R412" s="29">
        <f>IF(OR(407&gt;$Z$1,NOT(OR('Your debts'!$B$12&lt;&gt;"",N('Your debts'!$C$12)&gt;0))),"",IF('Your debts'!$D$20="Avalanche",'Avalanche workings'!$R$414,'Snowball workings'!$R$414)+IF('Your debts'!$D$20="Avalanche",'Avalanche workings'!$AL$414,'Snowball workings'!$AL$414))</f>
      </c>
      <c r="S412" s="30">
        <f>IF(OR(407&gt;$Z$1,NOT(OR('Your debts'!$B$12&lt;&gt;"",N('Your debts'!$C$12)&gt;0))),"",IF('Your debts'!$D$20="Avalanche",'Avalanche workings'!$AV$414,'Snowball workings'!$AV$414))</f>
      </c>
      <c r="T412" s="29">
        <f>IF(OR(407&gt;$Z$1,NOT(OR('Your debts'!$B$13&lt;&gt;"",N('Your debts'!$C$13)&gt;0))),"",IF('Your debts'!$D$20="Avalanche",'Avalanche workings'!$S$414,'Snowball workings'!$S$414)+IF('Your debts'!$D$20="Avalanche",'Avalanche workings'!$AM$414,'Snowball workings'!$AM$414))</f>
      </c>
      <c r="U412" s="30">
        <f>IF(OR(407&gt;$Z$1,NOT(OR('Your debts'!$B$13&lt;&gt;"",N('Your debts'!$C$13)&gt;0))),"",IF('Your debts'!$D$20="Avalanche",'Avalanche workings'!$AW$414,'Snowball workings'!$AW$414))</f>
      </c>
      <c r="V412" s="29">
        <f>IF(OR(407&gt;$Z$1,NOT(OR('Your debts'!$B$14&lt;&gt;"",N('Your debts'!$C$14)&gt;0))),"",IF('Your debts'!$D$20="Avalanche",'Avalanche workings'!$T$414,'Snowball workings'!$T$414)+IF('Your debts'!$D$20="Avalanche",'Avalanche workings'!$AN$414,'Snowball workings'!$AN$414))</f>
      </c>
      <c r="W412" s="30">
        <f>IF(OR(407&gt;$Z$1,NOT(OR('Your debts'!$B$14&lt;&gt;"",N('Your debts'!$C$14)&gt;0))),"",IF('Your debts'!$D$20="Avalanche",'Avalanche workings'!$AX$414,'Snowball workings'!$AX$414))</f>
      </c>
      <c r="X412" s="29">
        <f>IF(OR(407&gt;$Z$1,NOT(OR('Your debts'!$B$15&lt;&gt;"",N('Your debts'!$C$15)&gt;0))),"",IF('Your debts'!$D$20="Avalanche",'Avalanche workings'!$U$414,'Snowball workings'!$U$414)+IF('Your debts'!$D$20="Avalanche",'Avalanche workings'!$AO$414,'Snowball workings'!$AO$414))</f>
      </c>
      <c r="Y412" s="30">
        <f>IF(OR(407&gt;$Z$1,NOT(OR('Your debts'!$B$15&lt;&gt;"",N('Your debts'!$C$15)&gt;0))),"",IF('Your debts'!$D$20="Avalanche",'Avalanche workings'!$AY$414,'Snowball workings'!$AY$414))</f>
      </c>
    </row>
    <row r="413" spans="1:25" x14ac:dyDescent="0.25">
      <c r="A413" s="2">
        <f>IF(408&gt;$Z$1,"",408)</f>
      </c>
      <c r="B413" s="28">
        <f>IF(408&gt;$Z$1,"",EDATE('Your debts'!$D$21,407))</f>
      </c>
      <c r="C413" s="29">
        <f>IF(408&gt;$Z$1,"",IF('Your debts'!$D$20="Avalanche",'Avalanche workings'!$BC$415,'Snowball workings'!$BC$415))</f>
      </c>
      <c r="D413" s="29">
        <f>IF(408&gt;$Z$1,"",IF('Your debts'!$D$20="Avalanche",'Avalanche workings'!$BA$415,'Snowball workings'!$BA$415))</f>
      </c>
      <c r="E413" s="29">
        <f>IF(408&gt;$Z$1,"",IF('Your debts'!$D$20="Avalanche",'Avalanche workings'!$BB$415,'Snowball workings'!$BB$415))</f>
      </c>
      <c r="F413" s="29">
        <f>IF(OR(408&gt;$Z$1,NOT(OR('Your debts'!$B$6&lt;&gt;"",N('Your debts'!$C$6)&gt;0))),"",IF('Your debts'!$D$20="Avalanche",'Avalanche workings'!$L$415,'Snowball workings'!$L$415)+IF('Your debts'!$D$20="Avalanche",'Avalanche workings'!$AF$415,'Snowball workings'!$AF$415))</f>
      </c>
      <c r="G413" s="30">
        <f>IF(OR(408&gt;$Z$1,NOT(OR('Your debts'!$B$6&lt;&gt;"",N('Your debts'!$C$6)&gt;0))),"",IF('Your debts'!$D$20="Avalanche",'Avalanche workings'!$AP$415,'Snowball workings'!$AP$415))</f>
      </c>
      <c r="H413" s="29">
        <f>IF(OR(408&gt;$Z$1,NOT(OR('Your debts'!$B$7&lt;&gt;"",N('Your debts'!$C$7)&gt;0))),"",IF('Your debts'!$D$20="Avalanche",'Avalanche workings'!$M$415,'Snowball workings'!$M$415)+IF('Your debts'!$D$20="Avalanche",'Avalanche workings'!$AG$415,'Snowball workings'!$AG$415))</f>
      </c>
      <c r="I413" s="30">
        <f>IF(OR(408&gt;$Z$1,NOT(OR('Your debts'!$B$7&lt;&gt;"",N('Your debts'!$C$7)&gt;0))),"",IF('Your debts'!$D$20="Avalanche",'Avalanche workings'!$AQ$415,'Snowball workings'!$AQ$415))</f>
      </c>
      <c r="J413" s="29">
        <f>IF(OR(408&gt;$Z$1,NOT(OR('Your debts'!$B$8&lt;&gt;"",N('Your debts'!$C$8)&gt;0))),"",IF('Your debts'!$D$20="Avalanche",'Avalanche workings'!$N$415,'Snowball workings'!$N$415)+IF('Your debts'!$D$20="Avalanche",'Avalanche workings'!$AH$415,'Snowball workings'!$AH$415))</f>
      </c>
      <c r="K413" s="30">
        <f>IF(OR(408&gt;$Z$1,NOT(OR('Your debts'!$B$8&lt;&gt;"",N('Your debts'!$C$8)&gt;0))),"",IF('Your debts'!$D$20="Avalanche",'Avalanche workings'!$AR$415,'Snowball workings'!$AR$415))</f>
      </c>
      <c r="L413" s="29">
        <f>IF(OR(408&gt;$Z$1,NOT(OR('Your debts'!$B$9&lt;&gt;"",N('Your debts'!$C$9)&gt;0))),"",IF('Your debts'!$D$20="Avalanche",'Avalanche workings'!$O$415,'Snowball workings'!$O$415)+IF('Your debts'!$D$20="Avalanche",'Avalanche workings'!$AI$415,'Snowball workings'!$AI$415))</f>
      </c>
      <c r="M413" s="30">
        <f>IF(OR(408&gt;$Z$1,NOT(OR('Your debts'!$B$9&lt;&gt;"",N('Your debts'!$C$9)&gt;0))),"",IF('Your debts'!$D$20="Avalanche",'Avalanche workings'!$AS$415,'Snowball workings'!$AS$415))</f>
      </c>
      <c r="N413" s="29">
        <f>IF(OR(408&gt;$Z$1,NOT(OR('Your debts'!$B$10&lt;&gt;"",N('Your debts'!$C$10)&gt;0))),"",IF('Your debts'!$D$20="Avalanche",'Avalanche workings'!$P$415,'Snowball workings'!$P$415)+IF('Your debts'!$D$20="Avalanche",'Avalanche workings'!$AJ$415,'Snowball workings'!$AJ$415))</f>
      </c>
      <c r="O413" s="30">
        <f>IF(OR(408&gt;$Z$1,NOT(OR('Your debts'!$B$10&lt;&gt;"",N('Your debts'!$C$10)&gt;0))),"",IF('Your debts'!$D$20="Avalanche",'Avalanche workings'!$AT$415,'Snowball workings'!$AT$415))</f>
      </c>
      <c r="P413" s="29">
        <f>IF(OR(408&gt;$Z$1,NOT(OR('Your debts'!$B$11&lt;&gt;"",N('Your debts'!$C$11)&gt;0))),"",IF('Your debts'!$D$20="Avalanche",'Avalanche workings'!$Q$415,'Snowball workings'!$Q$415)+IF('Your debts'!$D$20="Avalanche",'Avalanche workings'!$AK$415,'Snowball workings'!$AK$415))</f>
      </c>
      <c r="Q413" s="30">
        <f>IF(OR(408&gt;$Z$1,NOT(OR('Your debts'!$B$11&lt;&gt;"",N('Your debts'!$C$11)&gt;0))),"",IF('Your debts'!$D$20="Avalanche",'Avalanche workings'!$AU$415,'Snowball workings'!$AU$415))</f>
      </c>
      <c r="R413" s="29">
        <f>IF(OR(408&gt;$Z$1,NOT(OR('Your debts'!$B$12&lt;&gt;"",N('Your debts'!$C$12)&gt;0))),"",IF('Your debts'!$D$20="Avalanche",'Avalanche workings'!$R$415,'Snowball workings'!$R$415)+IF('Your debts'!$D$20="Avalanche",'Avalanche workings'!$AL$415,'Snowball workings'!$AL$415))</f>
      </c>
      <c r="S413" s="30">
        <f>IF(OR(408&gt;$Z$1,NOT(OR('Your debts'!$B$12&lt;&gt;"",N('Your debts'!$C$12)&gt;0))),"",IF('Your debts'!$D$20="Avalanche",'Avalanche workings'!$AV$415,'Snowball workings'!$AV$415))</f>
      </c>
      <c r="T413" s="29">
        <f>IF(OR(408&gt;$Z$1,NOT(OR('Your debts'!$B$13&lt;&gt;"",N('Your debts'!$C$13)&gt;0))),"",IF('Your debts'!$D$20="Avalanche",'Avalanche workings'!$S$415,'Snowball workings'!$S$415)+IF('Your debts'!$D$20="Avalanche",'Avalanche workings'!$AM$415,'Snowball workings'!$AM$415))</f>
      </c>
      <c r="U413" s="30">
        <f>IF(OR(408&gt;$Z$1,NOT(OR('Your debts'!$B$13&lt;&gt;"",N('Your debts'!$C$13)&gt;0))),"",IF('Your debts'!$D$20="Avalanche",'Avalanche workings'!$AW$415,'Snowball workings'!$AW$415))</f>
      </c>
      <c r="V413" s="29">
        <f>IF(OR(408&gt;$Z$1,NOT(OR('Your debts'!$B$14&lt;&gt;"",N('Your debts'!$C$14)&gt;0))),"",IF('Your debts'!$D$20="Avalanche",'Avalanche workings'!$T$415,'Snowball workings'!$T$415)+IF('Your debts'!$D$20="Avalanche",'Avalanche workings'!$AN$415,'Snowball workings'!$AN$415))</f>
      </c>
      <c r="W413" s="30">
        <f>IF(OR(408&gt;$Z$1,NOT(OR('Your debts'!$B$14&lt;&gt;"",N('Your debts'!$C$14)&gt;0))),"",IF('Your debts'!$D$20="Avalanche",'Avalanche workings'!$AX$415,'Snowball workings'!$AX$415))</f>
      </c>
      <c r="X413" s="29">
        <f>IF(OR(408&gt;$Z$1,NOT(OR('Your debts'!$B$15&lt;&gt;"",N('Your debts'!$C$15)&gt;0))),"",IF('Your debts'!$D$20="Avalanche",'Avalanche workings'!$U$415,'Snowball workings'!$U$415)+IF('Your debts'!$D$20="Avalanche",'Avalanche workings'!$AO$415,'Snowball workings'!$AO$415))</f>
      </c>
      <c r="Y413" s="30">
        <f>IF(OR(408&gt;$Z$1,NOT(OR('Your debts'!$B$15&lt;&gt;"",N('Your debts'!$C$15)&gt;0))),"",IF('Your debts'!$D$20="Avalanche",'Avalanche workings'!$AY$415,'Snowball workings'!$AY$415))</f>
      </c>
    </row>
    <row r="414" spans="1:25" x14ac:dyDescent="0.25">
      <c r="A414" s="2">
        <f>IF(409&gt;$Z$1,"",409)</f>
      </c>
      <c r="B414" s="28">
        <f>IF(409&gt;$Z$1,"",EDATE('Your debts'!$D$21,408))</f>
      </c>
      <c r="C414" s="29">
        <f>IF(409&gt;$Z$1,"",IF('Your debts'!$D$20="Avalanche",'Avalanche workings'!$BC$416,'Snowball workings'!$BC$416))</f>
      </c>
      <c r="D414" s="29">
        <f>IF(409&gt;$Z$1,"",IF('Your debts'!$D$20="Avalanche",'Avalanche workings'!$BA$416,'Snowball workings'!$BA$416))</f>
      </c>
      <c r="E414" s="29">
        <f>IF(409&gt;$Z$1,"",IF('Your debts'!$D$20="Avalanche",'Avalanche workings'!$BB$416,'Snowball workings'!$BB$416))</f>
      </c>
      <c r="F414" s="29">
        <f>IF(OR(409&gt;$Z$1,NOT(OR('Your debts'!$B$6&lt;&gt;"",N('Your debts'!$C$6)&gt;0))),"",IF('Your debts'!$D$20="Avalanche",'Avalanche workings'!$L$416,'Snowball workings'!$L$416)+IF('Your debts'!$D$20="Avalanche",'Avalanche workings'!$AF$416,'Snowball workings'!$AF$416))</f>
      </c>
      <c r="G414" s="30">
        <f>IF(OR(409&gt;$Z$1,NOT(OR('Your debts'!$B$6&lt;&gt;"",N('Your debts'!$C$6)&gt;0))),"",IF('Your debts'!$D$20="Avalanche",'Avalanche workings'!$AP$416,'Snowball workings'!$AP$416))</f>
      </c>
      <c r="H414" s="29">
        <f>IF(OR(409&gt;$Z$1,NOT(OR('Your debts'!$B$7&lt;&gt;"",N('Your debts'!$C$7)&gt;0))),"",IF('Your debts'!$D$20="Avalanche",'Avalanche workings'!$M$416,'Snowball workings'!$M$416)+IF('Your debts'!$D$20="Avalanche",'Avalanche workings'!$AG$416,'Snowball workings'!$AG$416))</f>
      </c>
      <c r="I414" s="30">
        <f>IF(OR(409&gt;$Z$1,NOT(OR('Your debts'!$B$7&lt;&gt;"",N('Your debts'!$C$7)&gt;0))),"",IF('Your debts'!$D$20="Avalanche",'Avalanche workings'!$AQ$416,'Snowball workings'!$AQ$416))</f>
      </c>
      <c r="J414" s="29">
        <f>IF(OR(409&gt;$Z$1,NOT(OR('Your debts'!$B$8&lt;&gt;"",N('Your debts'!$C$8)&gt;0))),"",IF('Your debts'!$D$20="Avalanche",'Avalanche workings'!$N$416,'Snowball workings'!$N$416)+IF('Your debts'!$D$20="Avalanche",'Avalanche workings'!$AH$416,'Snowball workings'!$AH$416))</f>
      </c>
      <c r="K414" s="30">
        <f>IF(OR(409&gt;$Z$1,NOT(OR('Your debts'!$B$8&lt;&gt;"",N('Your debts'!$C$8)&gt;0))),"",IF('Your debts'!$D$20="Avalanche",'Avalanche workings'!$AR$416,'Snowball workings'!$AR$416))</f>
      </c>
      <c r="L414" s="29">
        <f>IF(OR(409&gt;$Z$1,NOT(OR('Your debts'!$B$9&lt;&gt;"",N('Your debts'!$C$9)&gt;0))),"",IF('Your debts'!$D$20="Avalanche",'Avalanche workings'!$O$416,'Snowball workings'!$O$416)+IF('Your debts'!$D$20="Avalanche",'Avalanche workings'!$AI$416,'Snowball workings'!$AI$416))</f>
      </c>
      <c r="M414" s="30">
        <f>IF(OR(409&gt;$Z$1,NOT(OR('Your debts'!$B$9&lt;&gt;"",N('Your debts'!$C$9)&gt;0))),"",IF('Your debts'!$D$20="Avalanche",'Avalanche workings'!$AS$416,'Snowball workings'!$AS$416))</f>
      </c>
      <c r="N414" s="29">
        <f>IF(OR(409&gt;$Z$1,NOT(OR('Your debts'!$B$10&lt;&gt;"",N('Your debts'!$C$10)&gt;0))),"",IF('Your debts'!$D$20="Avalanche",'Avalanche workings'!$P$416,'Snowball workings'!$P$416)+IF('Your debts'!$D$20="Avalanche",'Avalanche workings'!$AJ$416,'Snowball workings'!$AJ$416))</f>
      </c>
      <c r="O414" s="30">
        <f>IF(OR(409&gt;$Z$1,NOT(OR('Your debts'!$B$10&lt;&gt;"",N('Your debts'!$C$10)&gt;0))),"",IF('Your debts'!$D$20="Avalanche",'Avalanche workings'!$AT$416,'Snowball workings'!$AT$416))</f>
      </c>
      <c r="P414" s="29">
        <f>IF(OR(409&gt;$Z$1,NOT(OR('Your debts'!$B$11&lt;&gt;"",N('Your debts'!$C$11)&gt;0))),"",IF('Your debts'!$D$20="Avalanche",'Avalanche workings'!$Q$416,'Snowball workings'!$Q$416)+IF('Your debts'!$D$20="Avalanche",'Avalanche workings'!$AK$416,'Snowball workings'!$AK$416))</f>
      </c>
      <c r="Q414" s="30">
        <f>IF(OR(409&gt;$Z$1,NOT(OR('Your debts'!$B$11&lt;&gt;"",N('Your debts'!$C$11)&gt;0))),"",IF('Your debts'!$D$20="Avalanche",'Avalanche workings'!$AU$416,'Snowball workings'!$AU$416))</f>
      </c>
      <c r="R414" s="29">
        <f>IF(OR(409&gt;$Z$1,NOT(OR('Your debts'!$B$12&lt;&gt;"",N('Your debts'!$C$12)&gt;0))),"",IF('Your debts'!$D$20="Avalanche",'Avalanche workings'!$R$416,'Snowball workings'!$R$416)+IF('Your debts'!$D$20="Avalanche",'Avalanche workings'!$AL$416,'Snowball workings'!$AL$416))</f>
      </c>
      <c r="S414" s="30">
        <f>IF(OR(409&gt;$Z$1,NOT(OR('Your debts'!$B$12&lt;&gt;"",N('Your debts'!$C$12)&gt;0))),"",IF('Your debts'!$D$20="Avalanche",'Avalanche workings'!$AV$416,'Snowball workings'!$AV$416))</f>
      </c>
      <c r="T414" s="29">
        <f>IF(OR(409&gt;$Z$1,NOT(OR('Your debts'!$B$13&lt;&gt;"",N('Your debts'!$C$13)&gt;0))),"",IF('Your debts'!$D$20="Avalanche",'Avalanche workings'!$S$416,'Snowball workings'!$S$416)+IF('Your debts'!$D$20="Avalanche",'Avalanche workings'!$AM$416,'Snowball workings'!$AM$416))</f>
      </c>
      <c r="U414" s="30">
        <f>IF(OR(409&gt;$Z$1,NOT(OR('Your debts'!$B$13&lt;&gt;"",N('Your debts'!$C$13)&gt;0))),"",IF('Your debts'!$D$20="Avalanche",'Avalanche workings'!$AW$416,'Snowball workings'!$AW$416))</f>
      </c>
      <c r="V414" s="29">
        <f>IF(OR(409&gt;$Z$1,NOT(OR('Your debts'!$B$14&lt;&gt;"",N('Your debts'!$C$14)&gt;0))),"",IF('Your debts'!$D$20="Avalanche",'Avalanche workings'!$T$416,'Snowball workings'!$T$416)+IF('Your debts'!$D$20="Avalanche",'Avalanche workings'!$AN$416,'Snowball workings'!$AN$416))</f>
      </c>
      <c r="W414" s="30">
        <f>IF(OR(409&gt;$Z$1,NOT(OR('Your debts'!$B$14&lt;&gt;"",N('Your debts'!$C$14)&gt;0))),"",IF('Your debts'!$D$20="Avalanche",'Avalanche workings'!$AX$416,'Snowball workings'!$AX$416))</f>
      </c>
      <c r="X414" s="29">
        <f>IF(OR(409&gt;$Z$1,NOT(OR('Your debts'!$B$15&lt;&gt;"",N('Your debts'!$C$15)&gt;0))),"",IF('Your debts'!$D$20="Avalanche",'Avalanche workings'!$U$416,'Snowball workings'!$U$416)+IF('Your debts'!$D$20="Avalanche",'Avalanche workings'!$AO$416,'Snowball workings'!$AO$416))</f>
      </c>
      <c r="Y414" s="30">
        <f>IF(OR(409&gt;$Z$1,NOT(OR('Your debts'!$B$15&lt;&gt;"",N('Your debts'!$C$15)&gt;0))),"",IF('Your debts'!$D$20="Avalanche",'Avalanche workings'!$AY$416,'Snowball workings'!$AY$416))</f>
      </c>
    </row>
    <row r="415" spans="1:25" x14ac:dyDescent="0.25">
      <c r="A415" s="2">
        <f>IF(410&gt;$Z$1,"",410)</f>
      </c>
      <c r="B415" s="28">
        <f>IF(410&gt;$Z$1,"",EDATE('Your debts'!$D$21,409))</f>
      </c>
      <c r="C415" s="29">
        <f>IF(410&gt;$Z$1,"",IF('Your debts'!$D$20="Avalanche",'Avalanche workings'!$BC$417,'Snowball workings'!$BC$417))</f>
      </c>
      <c r="D415" s="29">
        <f>IF(410&gt;$Z$1,"",IF('Your debts'!$D$20="Avalanche",'Avalanche workings'!$BA$417,'Snowball workings'!$BA$417))</f>
      </c>
      <c r="E415" s="29">
        <f>IF(410&gt;$Z$1,"",IF('Your debts'!$D$20="Avalanche",'Avalanche workings'!$BB$417,'Snowball workings'!$BB$417))</f>
      </c>
      <c r="F415" s="29">
        <f>IF(OR(410&gt;$Z$1,NOT(OR('Your debts'!$B$6&lt;&gt;"",N('Your debts'!$C$6)&gt;0))),"",IF('Your debts'!$D$20="Avalanche",'Avalanche workings'!$L$417,'Snowball workings'!$L$417)+IF('Your debts'!$D$20="Avalanche",'Avalanche workings'!$AF$417,'Snowball workings'!$AF$417))</f>
      </c>
      <c r="G415" s="30">
        <f>IF(OR(410&gt;$Z$1,NOT(OR('Your debts'!$B$6&lt;&gt;"",N('Your debts'!$C$6)&gt;0))),"",IF('Your debts'!$D$20="Avalanche",'Avalanche workings'!$AP$417,'Snowball workings'!$AP$417))</f>
      </c>
      <c r="H415" s="29">
        <f>IF(OR(410&gt;$Z$1,NOT(OR('Your debts'!$B$7&lt;&gt;"",N('Your debts'!$C$7)&gt;0))),"",IF('Your debts'!$D$20="Avalanche",'Avalanche workings'!$M$417,'Snowball workings'!$M$417)+IF('Your debts'!$D$20="Avalanche",'Avalanche workings'!$AG$417,'Snowball workings'!$AG$417))</f>
      </c>
      <c r="I415" s="30">
        <f>IF(OR(410&gt;$Z$1,NOT(OR('Your debts'!$B$7&lt;&gt;"",N('Your debts'!$C$7)&gt;0))),"",IF('Your debts'!$D$20="Avalanche",'Avalanche workings'!$AQ$417,'Snowball workings'!$AQ$417))</f>
      </c>
      <c r="J415" s="29">
        <f>IF(OR(410&gt;$Z$1,NOT(OR('Your debts'!$B$8&lt;&gt;"",N('Your debts'!$C$8)&gt;0))),"",IF('Your debts'!$D$20="Avalanche",'Avalanche workings'!$N$417,'Snowball workings'!$N$417)+IF('Your debts'!$D$20="Avalanche",'Avalanche workings'!$AH$417,'Snowball workings'!$AH$417))</f>
      </c>
      <c r="K415" s="30">
        <f>IF(OR(410&gt;$Z$1,NOT(OR('Your debts'!$B$8&lt;&gt;"",N('Your debts'!$C$8)&gt;0))),"",IF('Your debts'!$D$20="Avalanche",'Avalanche workings'!$AR$417,'Snowball workings'!$AR$417))</f>
      </c>
      <c r="L415" s="29">
        <f>IF(OR(410&gt;$Z$1,NOT(OR('Your debts'!$B$9&lt;&gt;"",N('Your debts'!$C$9)&gt;0))),"",IF('Your debts'!$D$20="Avalanche",'Avalanche workings'!$O$417,'Snowball workings'!$O$417)+IF('Your debts'!$D$20="Avalanche",'Avalanche workings'!$AI$417,'Snowball workings'!$AI$417))</f>
      </c>
      <c r="M415" s="30">
        <f>IF(OR(410&gt;$Z$1,NOT(OR('Your debts'!$B$9&lt;&gt;"",N('Your debts'!$C$9)&gt;0))),"",IF('Your debts'!$D$20="Avalanche",'Avalanche workings'!$AS$417,'Snowball workings'!$AS$417))</f>
      </c>
      <c r="N415" s="29">
        <f>IF(OR(410&gt;$Z$1,NOT(OR('Your debts'!$B$10&lt;&gt;"",N('Your debts'!$C$10)&gt;0))),"",IF('Your debts'!$D$20="Avalanche",'Avalanche workings'!$P$417,'Snowball workings'!$P$417)+IF('Your debts'!$D$20="Avalanche",'Avalanche workings'!$AJ$417,'Snowball workings'!$AJ$417))</f>
      </c>
      <c r="O415" s="30">
        <f>IF(OR(410&gt;$Z$1,NOT(OR('Your debts'!$B$10&lt;&gt;"",N('Your debts'!$C$10)&gt;0))),"",IF('Your debts'!$D$20="Avalanche",'Avalanche workings'!$AT$417,'Snowball workings'!$AT$417))</f>
      </c>
      <c r="P415" s="29">
        <f>IF(OR(410&gt;$Z$1,NOT(OR('Your debts'!$B$11&lt;&gt;"",N('Your debts'!$C$11)&gt;0))),"",IF('Your debts'!$D$20="Avalanche",'Avalanche workings'!$Q$417,'Snowball workings'!$Q$417)+IF('Your debts'!$D$20="Avalanche",'Avalanche workings'!$AK$417,'Snowball workings'!$AK$417))</f>
      </c>
      <c r="Q415" s="30">
        <f>IF(OR(410&gt;$Z$1,NOT(OR('Your debts'!$B$11&lt;&gt;"",N('Your debts'!$C$11)&gt;0))),"",IF('Your debts'!$D$20="Avalanche",'Avalanche workings'!$AU$417,'Snowball workings'!$AU$417))</f>
      </c>
      <c r="R415" s="29">
        <f>IF(OR(410&gt;$Z$1,NOT(OR('Your debts'!$B$12&lt;&gt;"",N('Your debts'!$C$12)&gt;0))),"",IF('Your debts'!$D$20="Avalanche",'Avalanche workings'!$R$417,'Snowball workings'!$R$417)+IF('Your debts'!$D$20="Avalanche",'Avalanche workings'!$AL$417,'Snowball workings'!$AL$417))</f>
      </c>
      <c r="S415" s="30">
        <f>IF(OR(410&gt;$Z$1,NOT(OR('Your debts'!$B$12&lt;&gt;"",N('Your debts'!$C$12)&gt;0))),"",IF('Your debts'!$D$20="Avalanche",'Avalanche workings'!$AV$417,'Snowball workings'!$AV$417))</f>
      </c>
      <c r="T415" s="29">
        <f>IF(OR(410&gt;$Z$1,NOT(OR('Your debts'!$B$13&lt;&gt;"",N('Your debts'!$C$13)&gt;0))),"",IF('Your debts'!$D$20="Avalanche",'Avalanche workings'!$S$417,'Snowball workings'!$S$417)+IF('Your debts'!$D$20="Avalanche",'Avalanche workings'!$AM$417,'Snowball workings'!$AM$417))</f>
      </c>
      <c r="U415" s="30">
        <f>IF(OR(410&gt;$Z$1,NOT(OR('Your debts'!$B$13&lt;&gt;"",N('Your debts'!$C$13)&gt;0))),"",IF('Your debts'!$D$20="Avalanche",'Avalanche workings'!$AW$417,'Snowball workings'!$AW$417))</f>
      </c>
      <c r="V415" s="29">
        <f>IF(OR(410&gt;$Z$1,NOT(OR('Your debts'!$B$14&lt;&gt;"",N('Your debts'!$C$14)&gt;0))),"",IF('Your debts'!$D$20="Avalanche",'Avalanche workings'!$T$417,'Snowball workings'!$T$417)+IF('Your debts'!$D$20="Avalanche",'Avalanche workings'!$AN$417,'Snowball workings'!$AN$417))</f>
      </c>
      <c r="W415" s="30">
        <f>IF(OR(410&gt;$Z$1,NOT(OR('Your debts'!$B$14&lt;&gt;"",N('Your debts'!$C$14)&gt;0))),"",IF('Your debts'!$D$20="Avalanche",'Avalanche workings'!$AX$417,'Snowball workings'!$AX$417))</f>
      </c>
      <c r="X415" s="29">
        <f>IF(OR(410&gt;$Z$1,NOT(OR('Your debts'!$B$15&lt;&gt;"",N('Your debts'!$C$15)&gt;0))),"",IF('Your debts'!$D$20="Avalanche",'Avalanche workings'!$U$417,'Snowball workings'!$U$417)+IF('Your debts'!$D$20="Avalanche",'Avalanche workings'!$AO$417,'Snowball workings'!$AO$417))</f>
      </c>
      <c r="Y415" s="30">
        <f>IF(OR(410&gt;$Z$1,NOT(OR('Your debts'!$B$15&lt;&gt;"",N('Your debts'!$C$15)&gt;0))),"",IF('Your debts'!$D$20="Avalanche",'Avalanche workings'!$AY$417,'Snowball workings'!$AY$417))</f>
      </c>
    </row>
    <row r="416" spans="1:25" x14ac:dyDescent="0.25">
      <c r="A416" s="2">
        <f>IF(411&gt;$Z$1,"",411)</f>
      </c>
      <c r="B416" s="28">
        <f>IF(411&gt;$Z$1,"",EDATE('Your debts'!$D$21,410))</f>
      </c>
      <c r="C416" s="29">
        <f>IF(411&gt;$Z$1,"",IF('Your debts'!$D$20="Avalanche",'Avalanche workings'!$BC$418,'Snowball workings'!$BC$418))</f>
      </c>
      <c r="D416" s="29">
        <f>IF(411&gt;$Z$1,"",IF('Your debts'!$D$20="Avalanche",'Avalanche workings'!$BA$418,'Snowball workings'!$BA$418))</f>
      </c>
      <c r="E416" s="29">
        <f>IF(411&gt;$Z$1,"",IF('Your debts'!$D$20="Avalanche",'Avalanche workings'!$BB$418,'Snowball workings'!$BB$418))</f>
      </c>
      <c r="F416" s="29">
        <f>IF(OR(411&gt;$Z$1,NOT(OR('Your debts'!$B$6&lt;&gt;"",N('Your debts'!$C$6)&gt;0))),"",IF('Your debts'!$D$20="Avalanche",'Avalanche workings'!$L$418,'Snowball workings'!$L$418)+IF('Your debts'!$D$20="Avalanche",'Avalanche workings'!$AF$418,'Snowball workings'!$AF$418))</f>
      </c>
      <c r="G416" s="30">
        <f>IF(OR(411&gt;$Z$1,NOT(OR('Your debts'!$B$6&lt;&gt;"",N('Your debts'!$C$6)&gt;0))),"",IF('Your debts'!$D$20="Avalanche",'Avalanche workings'!$AP$418,'Snowball workings'!$AP$418))</f>
      </c>
      <c r="H416" s="29">
        <f>IF(OR(411&gt;$Z$1,NOT(OR('Your debts'!$B$7&lt;&gt;"",N('Your debts'!$C$7)&gt;0))),"",IF('Your debts'!$D$20="Avalanche",'Avalanche workings'!$M$418,'Snowball workings'!$M$418)+IF('Your debts'!$D$20="Avalanche",'Avalanche workings'!$AG$418,'Snowball workings'!$AG$418))</f>
      </c>
      <c r="I416" s="30">
        <f>IF(OR(411&gt;$Z$1,NOT(OR('Your debts'!$B$7&lt;&gt;"",N('Your debts'!$C$7)&gt;0))),"",IF('Your debts'!$D$20="Avalanche",'Avalanche workings'!$AQ$418,'Snowball workings'!$AQ$418))</f>
      </c>
      <c r="J416" s="29">
        <f>IF(OR(411&gt;$Z$1,NOT(OR('Your debts'!$B$8&lt;&gt;"",N('Your debts'!$C$8)&gt;0))),"",IF('Your debts'!$D$20="Avalanche",'Avalanche workings'!$N$418,'Snowball workings'!$N$418)+IF('Your debts'!$D$20="Avalanche",'Avalanche workings'!$AH$418,'Snowball workings'!$AH$418))</f>
      </c>
      <c r="K416" s="30">
        <f>IF(OR(411&gt;$Z$1,NOT(OR('Your debts'!$B$8&lt;&gt;"",N('Your debts'!$C$8)&gt;0))),"",IF('Your debts'!$D$20="Avalanche",'Avalanche workings'!$AR$418,'Snowball workings'!$AR$418))</f>
      </c>
      <c r="L416" s="29">
        <f>IF(OR(411&gt;$Z$1,NOT(OR('Your debts'!$B$9&lt;&gt;"",N('Your debts'!$C$9)&gt;0))),"",IF('Your debts'!$D$20="Avalanche",'Avalanche workings'!$O$418,'Snowball workings'!$O$418)+IF('Your debts'!$D$20="Avalanche",'Avalanche workings'!$AI$418,'Snowball workings'!$AI$418))</f>
      </c>
      <c r="M416" s="30">
        <f>IF(OR(411&gt;$Z$1,NOT(OR('Your debts'!$B$9&lt;&gt;"",N('Your debts'!$C$9)&gt;0))),"",IF('Your debts'!$D$20="Avalanche",'Avalanche workings'!$AS$418,'Snowball workings'!$AS$418))</f>
      </c>
      <c r="N416" s="29">
        <f>IF(OR(411&gt;$Z$1,NOT(OR('Your debts'!$B$10&lt;&gt;"",N('Your debts'!$C$10)&gt;0))),"",IF('Your debts'!$D$20="Avalanche",'Avalanche workings'!$P$418,'Snowball workings'!$P$418)+IF('Your debts'!$D$20="Avalanche",'Avalanche workings'!$AJ$418,'Snowball workings'!$AJ$418))</f>
      </c>
      <c r="O416" s="30">
        <f>IF(OR(411&gt;$Z$1,NOT(OR('Your debts'!$B$10&lt;&gt;"",N('Your debts'!$C$10)&gt;0))),"",IF('Your debts'!$D$20="Avalanche",'Avalanche workings'!$AT$418,'Snowball workings'!$AT$418))</f>
      </c>
      <c r="P416" s="29">
        <f>IF(OR(411&gt;$Z$1,NOT(OR('Your debts'!$B$11&lt;&gt;"",N('Your debts'!$C$11)&gt;0))),"",IF('Your debts'!$D$20="Avalanche",'Avalanche workings'!$Q$418,'Snowball workings'!$Q$418)+IF('Your debts'!$D$20="Avalanche",'Avalanche workings'!$AK$418,'Snowball workings'!$AK$418))</f>
      </c>
      <c r="Q416" s="30">
        <f>IF(OR(411&gt;$Z$1,NOT(OR('Your debts'!$B$11&lt;&gt;"",N('Your debts'!$C$11)&gt;0))),"",IF('Your debts'!$D$20="Avalanche",'Avalanche workings'!$AU$418,'Snowball workings'!$AU$418))</f>
      </c>
      <c r="R416" s="29">
        <f>IF(OR(411&gt;$Z$1,NOT(OR('Your debts'!$B$12&lt;&gt;"",N('Your debts'!$C$12)&gt;0))),"",IF('Your debts'!$D$20="Avalanche",'Avalanche workings'!$R$418,'Snowball workings'!$R$418)+IF('Your debts'!$D$20="Avalanche",'Avalanche workings'!$AL$418,'Snowball workings'!$AL$418))</f>
      </c>
      <c r="S416" s="30">
        <f>IF(OR(411&gt;$Z$1,NOT(OR('Your debts'!$B$12&lt;&gt;"",N('Your debts'!$C$12)&gt;0))),"",IF('Your debts'!$D$20="Avalanche",'Avalanche workings'!$AV$418,'Snowball workings'!$AV$418))</f>
      </c>
      <c r="T416" s="29">
        <f>IF(OR(411&gt;$Z$1,NOT(OR('Your debts'!$B$13&lt;&gt;"",N('Your debts'!$C$13)&gt;0))),"",IF('Your debts'!$D$20="Avalanche",'Avalanche workings'!$S$418,'Snowball workings'!$S$418)+IF('Your debts'!$D$20="Avalanche",'Avalanche workings'!$AM$418,'Snowball workings'!$AM$418))</f>
      </c>
      <c r="U416" s="30">
        <f>IF(OR(411&gt;$Z$1,NOT(OR('Your debts'!$B$13&lt;&gt;"",N('Your debts'!$C$13)&gt;0))),"",IF('Your debts'!$D$20="Avalanche",'Avalanche workings'!$AW$418,'Snowball workings'!$AW$418))</f>
      </c>
      <c r="V416" s="29">
        <f>IF(OR(411&gt;$Z$1,NOT(OR('Your debts'!$B$14&lt;&gt;"",N('Your debts'!$C$14)&gt;0))),"",IF('Your debts'!$D$20="Avalanche",'Avalanche workings'!$T$418,'Snowball workings'!$T$418)+IF('Your debts'!$D$20="Avalanche",'Avalanche workings'!$AN$418,'Snowball workings'!$AN$418))</f>
      </c>
      <c r="W416" s="30">
        <f>IF(OR(411&gt;$Z$1,NOT(OR('Your debts'!$B$14&lt;&gt;"",N('Your debts'!$C$14)&gt;0))),"",IF('Your debts'!$D$20="Avalanche",'Avalanche workings'!$AX$418,'Snowball workings'!$AX$418))</f>
      </c>
      <c r="X416" s="29">
        <f>IF(OR(411&gt;$Z$1,NOT(OR('Your debts'!$B$15&lt;&gt;"",N('Your debts'!$C$15)&gt;0))),"",IF('Your debts'!$D$20="Avalanche",'Avalanche workings'!$U$418,'Snowball workings'!$U$418)+IF('Your debts'!$D$20="Avalanche",'Avalanche workings'!$AO$418,'Snowball workings'!$AO$418))</f>
      </c>
      <c r="Y416" s="30">
        <f>IF(OR(411&gt;$Z$1,NOT(OR('Your debts'!$B$15&lt;&gt;"",N('Your debts'!$C$15)&gt;0))),"",IF('Your debts'!$D$20="Avalanche",'Avalanche workings'!$AY$418,'Snowball workings'!$AY$418))</f>
      </c>
    </row>
    <row r="417" spans="1:25" x14ac:dyDescent="0.25">
      <c r="A417" s="2">
        <f>IF(412&gt;$Z$1,"",412)</f>
      </c>
      <c r="B417" s="28">
        <f>IF(412&gt;$Z$1,"",EDATE('Your debts'!$D$21,411))</f>
      </c>
      <c r="C417" s="29">
        <f>IF(412&gt;$Z$1,"",IF('Your debts'!$D$20="Avalanche",'Avalanche workings'!$BC$419,'Snowball workings'!$BC$419))</f>
      </c>
      <c r="D417" s="29">
        <f>IF(412&gt;$Z$1,"",IF('Your debts'!$D$20="Avalanche",'Avalanche workings'!$BA$419,'Snowball workings'!$BA$419))</f>
      </c>
      <c r="E417" s="29">
        <f>IF(412&gt;$Z$1,"",IF('Your debts'!$D$20="Avalanche",'Avalanche workings'!$BB$419,'Snowball workings'!$BB$419))</f>
      </c>
      <c r="F417" s="29">
        <f>IF(OR(412&gt;$Z$1,NOT(OR('Your debts'!$B$6&lt;&gt;"",N('Your debts'!$C$6)&gt;0))),"",IF('Your debts'!$D$20="Avalanche",'Avalanche workings'!$L$419,'Snowball workings'!$L$419)+IF('Your debts'!$D$20="Avalanche",'Avalanche workings'!$AF$419,'Snowball workings'!$AF$419))</f>
      </c>
      <c r="G417" s="30">
        <f>IF(OR(412&gt;$Z$1,NOT(OR('Your debts'!$B$6&lt;&gt;"",N('Your debts'!$C$6)&gt;0))),"",IF('Your debts'!$D$20="Avalanche",'Avalanche workings'!$AP$419,'Snowball workings'!$AP$419))</f>
      </c>
      <c r="H417" s="29">
        <f>IF(OR(412&gt;$Z$1,NOT(OR('Your debts'!$B$7&lt;&gt;"",N('Your debts'!$C$7)&gt;0))),"",IF('Your debts'!$D$20="Avalanche",'Avalanche workings'!$M$419,'Snowball workings'!$M$419)+IF('Your debts'!$D$20="Avalanche",'Avalanche workings'!$AG$419,'Snowball workings'!$AG$419))</f>
      </c>
      <c r="I417" s="30">
        <f>IF(OR(412&gt;$Z$1,NOT(OR('Your debts'!$B$7&lt;&gt;"",N('Your debts'!$C$7)&gt;0))),"",IF('Your debts'!$D$20="Avalanche",'Avalanche workings'!$AQ$419,'Snowball workings'!$AQ$419))</f>
      </c>
      <c r="J417" s="29">
        <f>IF(OR(412&gt;$Z$1,NOT(OR('Your debts'!$B$8&lt;&gt;"",N('Your debts'!$C$8)&gt;0))),"",IF('Your debts'!$D$20="Avalanche",'Avalanche workings'!$N$419,'Snowball workings'!$N$419)+IF('Your debts'!$D$20="Avalanche",'Avalanche workings'!$AH$419,'Snowball workings'!$AH$419))</f>
      </c>
      <c r="K417" s="30">
        <f>IF(OR(412&gt;$Z$1,NOT(OR('Your debts'!$B$8&lt;&gt;"",N('Your debts'!$C$8)&gt;0))),"",IF('Your debts'!$D$20="Avalanche",'Avalanche workings'!$AR$419,'Snowball workings'!$AR$419))</f>
      </c>
      <c r="L417" s="29">
        <f>IF(OR(412&gt;$Z$1,NOT(OR('Your debts'!$B$9&lt;&gt;"",N('Your debts'!$C$9)&gt;0))),"",IF('Your debts'!$D$20="Avalanche",'Avalanche workings'!$O$419,'Snowball workings'!$O$419)+IF('Your debts'!$D$20="Avalanche",'Avalanche workings'!$AI$419,'Snowball workings'!$AI$419))</f>
      </c>
      <c r="M417" s="30">
        <f>IF(OR(412&gt;$Z$1,NOT(OR('Your debts'!$B$9&lt;&gt;"",N('Your debts'!$C$9)&gt;0))),"",IF('Your debts'!$D$20="Avalanche",'Avalanche workings'!$AS$419,'Snowball workings'!$AS$419))</f>
      </c>
      <c r="N417" s="29">
        <f>IF(OR(412&gt;$Z$1,NOT(OR('Your debts'!$B$10&lt;&gt;"",N('Your debts'!$C$10)&gt;0))),"",IF('Your debts'!$D$20="Avalanche",'Avalanche workings'!$P$419,'Snowball workings'!$P$419)+IF('Your debts'!$D$20="Avalanche",'Avalanche workings'!$AJ$419,'Snowball workings'!$AJ$419))</f>
      </c>
      <c r="O417" s="30">
        <f>IF(OR(412&gt;$Z$1,NOT(OR('Your debts'!$B$10&lt;&gt;"",N('Your debts'!$C$10)&gt;0))),"",IF('Your debts'!$D$20="Avalanche",'Avalanche workings'!$AT$419,'Snowball workings'!$AT$419))</f>
      </c>
      <c r="P417" s="29">
        <f>IF(OR(412&gt;$Z$1,NOT(OR('Your debts'!$B$11&lt;&gt;"",N('Your debts'!$C$11)&gt;0))),"",IF('Your debts'!$D$20="Avalanche",'Avalanche workings'!$Q$419,'Snowball workings'!$Q$419)+IF('Your debts'!$D$20="Avalanche",'Avalanche workings'!$AK$419,'Snowball workings'!$AK$419))</f>
      </c>
      <c r="Q417" s="30">
        <f>IF(OR(412&gt;$Z$1,NOT(OR('Your debts'!$B$11&lt;&gt;"",N('Your debts'!$C$11)&gt;0))),"",IF('Your debts'!$D$20="Avalanche",'Avalanche workings'!$AU$419,'Snowball workings'!$AU$419))</f>
      </c>
      <c r="R417" s="29">
        <f>IF(OR(412&gt;$Z$1,NOT(OR('Your debts'!$B$12&lt;&gt;"",N('Your debts'!$C$12)&gt;0))),"",IF('Your debts'!$D$20="Avalanche",'Avalanche workings'!$R$419,'Snowball workings'!$R$419)+IF('Your debts'!$D$20="Avalanche",'Avalanche workings'!$AL$419,'Snowball workings'!$AL$419))</f>
      </c>
      <c r="S417" s="30">
        <f>IF(OR(412&gt;$Z$1,NOT(OR('Your debts'!$B$12&lt;&gt;"",N('Your debts'!$C$12)&gt;0))),"",IF('Your debts'!$D$20="Avalanche",'Avalanche workings'!$AV$419,'Snowball workings'!$AV$419))</f>
      </c>
      <c r="T417" s="29">
        <f>IF(OR(412&gt;$Z$1,NOT(OR('Your debts'!$B$13&lt;&gt;"",N('Your debts'!$C$13)&gt;0))),"",IF('Your debts'!$D$20="Avalanche",'Avalanche workings'!$S$419,'Snowball workings'!$S$419)+IF('Your debts'!$D$20="Avalanche",'Avalanche workings'!$AM$419,'Snowball workings'!$AM$419))</f>
      </c>
      <c r="U417" s="30">
        <f>IF(OR(412&gt;$Z$1,NOT(OR('Your debts'!$B$13&lt;&gt;"",N('Your debts'!$C$13)&gt;0))),"",IF('Your debts'!$D$20="Avalanche",'Avalanche workings'!$AW$419,'Snowball workings'!$AW$419))</f>
      </c>
      <c r="V417" s="29">
        <f>IF(OR(412&gt;$Z$1,NOT(OR('Your debts'!$B$14&lt;&gt;"",N('Your debts'!$C$14)&gt;0))),"",IF('Your debts'!$D$20="Avalanche",'Avalanche workings'!$T$419,'Snowball workings'!$T$419)+IF('Your debts'!$D$20="Avalanche",'Avalanche workings'!$AN$419,'Snowball workings'!$AN$419))</f>
      </c>
      <c r="W417" s="30">
        <f>IF(OR(412&gt;$Z$1,NOT(OR('Your debts'!$B$14&lt;&gt;"",N('Your debts'!$C$14)&gt;0))),"",IF('Your debts'!$D$20="Avalanche",'Avalanche workings'!$AX$419,'Snowball workings'!$AX$419))</f>
      </c>
      <c r="X417" s="29">
        <f>IF(OR(412&gt;$Z$1,NOT(OR('Your debts'!$B$15&lt;&gt;"",N('Your debts'!$C$15)&gt;0))),"",IF('Your debts'!$D$20="Avalanche",'Avalanche workings'!$U$419,'Snowball workings'!$U$419)+IF('Your debts'!$D$20="Avalanche",'Avalanche workings'!$AO$419,'Snowball workings'!$AO$419))</f>
      </c>
      <c r="Y417" s="30">
        <f>IF(OR(412&gt;$Z$1,NOT(OR('Your debts'!$B$15&lt;&gt;"",N('Your debts'!$C$15)&gt;0))),"",IF('Your debts'!$D$20="Avalanche",'Avalanche workings'!$AY$419,'Snowball workings'!$AY$419))</f>
      </c>
    </row>
    <row r="418" spans="1:25" x14ac:dyDescent="0.25">
      <c r="A418" s="2">
        <f>IF(413&gt;$Z$1,"",413)</f>
      </c>
      <c r="B418" s="28">
        <f>IF(413&gt;$Z$1,"",EDATE('Your debts'!$D$21,412))</f>
      </c>
      <c r="C418" s="29">
        <f>IF(413&gt;$Z$1,"",IF('Your debts'!$D$20="Avalanche",'Avalanche workings'!$BC$420,'Snowball workings'!$BC$420))</f>
      </c>
      <c r="D418" s="29">
        <f>IF(413&gt;$Z$1,"",IF('Your debts'!$D$20="Avalanche",'Avalanche workings'!$BA$420,'Snowball workings'!$BA$420))</f>
      </c>
      <c r="E418" s="29">
        <f>IF(413&gt;$Z$1,"",IF('Your debts'!$D$20="Avalanche",'Avalanche workings'!$BB$420,'Snowball workings'!$BB$420))</f>
      </c>
      <c r="F418" s="29">
        <f>IF(OR(413&gt;$Z$1,NOT(OR('Your debts'!$B$6&lt;&gt;"",N('Your debts'!$C$6)&gt;0))),"",IF('Your debts'!$D$20="Avalanche",'Avalanche workings'!$L$420,'Snowball workings'!$L$420)+IF('Your debts'!$D$20="Avalanche",'Avalanche workings'!$AF$420,'Snowball workings'!$AF$420))</f>
      </c>
      <c r="G418" s="30">
        <f>IF(OR(413&gt;$Z$1,NOT(OR('Your debts'!$B$6&lt;&gt;"",N('Your debts'!$C$6)&gt;0))),"",IF('Your debts'!$D$20="Avalanche",'Avalanche workings'!$AP$420,'Snowball workings'!$AP$420))</f>
      </c>
      <c r="H418" s="29">
        <f>IF(OR(413&gt;$Z$1,NOT(OR('Your debts'!$B$7&lt;&gt;"",N('Your debts'!$C$7)&gt;0))),"",IF('Your debts'!$D$20="Avalanche",'Avalanche workings'!$M$420,'Snowball workings'!$M$420)+IF('Your debts'!$D$20="Avalanche",'Avalanche workings'!$AG$420,'Snowball workings'!$AG$420))</f>
      </c>
      <c r="I418" s="30">
        <f>IF(OR(413&gt;$Z$1,NOT(OR('Your debts'!$B$7&lt;&gt;"",N('Your debts'!$C$7)&gt;0))),"",IF('Your debts'!$D$20="Avalanche",'Avalanche workings'!$AQ$420,'Snowball workings'!$AQ$420))</f>
      </c>
      <c r="J418" s="29">
        <f>IF(OR(413&gt;$Z$1,NOT(OR('Your debts'!$B$8&lt;&gt;"",N('Your debts'!$C$8)&gt;0))),"",IF('Your debts'!$D$20="Avalanche",'Avalanche workings'!$N$420,'Snowball workings'!$N$420)+IF('Your debts'!$D$20="Avalanche",'Avalanche workings'!$AH$420,'Snowball workings'!$AH$420))</f>
      </c>
      <c r="K418" s="30">
        <f>IF(OR(413&gt;$Z$1,NOT(OR('Your debts'!$B$8&lt;&gt;"",N('Your debts'!$C$8)&gt;0))),"",IF('Your debts'!$D$20="Avalanche",'Avalanche workings'!$AR$420,'Snowball workings'!$AR$420))</f>
      </c>
      <c r="L418" s="29">
        <f>IF(OR(413&gt;$Z$1,NOT(OR('Your debts'!$B$9&lt;&gt;"",N('Your debts'!$C$9)&gt;0))),"",IF('Your debts'!$D$20="Avalanche",'Avalanche workings'!$O$420,'Snowball workings'!$O$420)+IF('Your debts'!$D$20="Avalanche",'Avalanche workings'!$AI$420,'Snowball workings'!$AI$420))</f>
      </c>
      <c r="M418" s="30">
        <f>IF(OR(413&gt;$Z$1,NOT(OR('Your debts'!$B$9&lt;&gt;"",N('Your debts'!$C$9)&gt;0))),"",IF('Your debts'!$D$20="Avalanche",'Avalanche workings'!$AS$420,'Snowball workings'!$AS$420))</f>
      </c>
      <c r="N418" s="29">
        <f>IF(OR(413&gt;$Z$1,NOT(OR('Your debts'!$B$10&lt;&gt;"",N('Your debts'!$C$10)&gt;0))),"",IF('Your debts'!$D$20="Avalanche",'Avalanche workings'!$P$420,'Snowball workings'!$P$420)+IF('Your debts'!$D$20="Avalanche",'Avalanche workings'!$AJ$420,'Snowball workings'!$AJ$420))</f>
      </c>
      <c r="O418" s="30">
        <f>IF(OR(413&gt;$Z$1,NOT(OR('Your debts'!$B$10&lt;&gt;"",N('Your debts'!$C$10)&gt;0))),"",IF('Your debts'!$D$20="Avalanche",'Avalanche workings'!$AT$420,'Snowball workings'!$AT$420))</f>
      </c>
      <c r="P418" s="29">
        <f>IF(OR(413&gt;$Z$1,NOT(OR('Your debts'!$B$11&lt;&gt;"",N('Your debts'!$C$11)&gt;0))),"",IF('Your debts'!$D$20="Avalanche",'Avalanche workings'!$Q$420,'Snowball workings'!$Q$420)+IF('Your debts'!$D$20="Avalanche",'Avalanche workings'!$AK$420,'Snowball workings'!$AK$420))</f>
      </c>
      <c r="Q418" s="30">
        <f>IF(OR(413&gt;$Z$1,NOT(OR('Your debts'!$B$11&lt;&gt;"",N('Your debts'!$C$11)&gt;0))),"",IF('Your debts'!$D$20="Avalanche",'Avalanche workings'!$AU$420,'Snowball workings'!$AU$420))</f>
      </c>
      <c r="R418" s="29">
        <f>IF(OR(413&gt;$Z$1,NOT(OR('Your debts'!$B$12&lt;&gt;"",N('Your debts'!$C$12)&gt;0))),"",IF('Your debts'!$D$20="Avalanche",'Avalanche workings'!$R$420,'Snowball workings'!$R$420)+IF('Your debts'!$D$20="Avalanche",'Avalanche workings'!$AL$420,'Snowball workings'!$AL$420))</f>
      </c>
      <c r="S418" s="30">
        <f>IF(OR(413&gt;$Z$1,NOT(OR('Your debts'!$B$12&lt;&gt;"",N('Your debts'!$C$12)&gt;0))),"",IF('Your debts'!$D$20="Avalanche",'Avalanche workings'!$AV$420,'Snowball workings'!$AV$420))</f>
      </c>
      <c r="T418" s="29">
        <f>IF(OR(413&gt;$Z$1,NOT(OR('Your debts'!$B$13&lt;&gt;"",N('Your debts'!$C$13)&gt;0))),"",IF('Your debts'!$D$20="Avalanche",'Avalanche workings'!$S$420,'Snowball workings'!$S$420)+IF('Your debts'!$D$20="Avalanche",'Avalanche workings'!$AM$420,'Snowball workings'!$AM$420))</f>
      </c>
      <c r="U418" s="30">
        <f>IF(OR(413&gt;$Z$1,NOT(OR('Your debts'!$B$13&lt;&gt;"",N('Your debts'!$C$13)&gt;0))),"",IF('Your debts'!$D$20="Avalanche",'Avalanche workings'!$AW$420,'Snowball workings'!$AW$420))</f>
      </c>
      <c r="V418" s="29">
        <f>IF(OR(413&gt;$Z$1,NOT(OR('Your debts'!$B$14&lt;&gt;"",N('Your debts'!$C$14)&gt;0))),"",IF('Your debts'!$D$20="Avalanche",'Avalanche workings'!$T$420,'Snowball workings'!$T$420)+IF('Your debts'!$D$20="Avalanche",'Avalanche workings'!$AN$420,'Snowball workings'!$AN$420))</f>
      </c>
      <c r="W418" s="30">
        <f>IF(OR(413&gt;$Z$1,NOT(OR('Your debts'!$B$14&lt;&gt;"",N('Your debts'!$C$14)&gt;0))),"",IF('Your debts'!$D$20="Avalanche",'Avalanche workings'!$AX$420,'Snowball workings'!$AX$420))</f>
      </c>
      <c r="X418" s="29">
        <f>IF(OR(413&gt;$Z$1,NOT(OR('Your debts'!$B$15&lt;&gt;"",N('Your debts'!$C$15)&gt;0))),"",IF('Your debts'!$D$20="Avalanche",'Avalanche workings'!$U$420,'Snowball workings'!$U$420)+IF('Your debts'!$D$20="Avalanche",'Avalanche workings'!$AO$420,'Snowball workings'!$AO$420))</f>
      </c>
      <c r="Y418" s="30">
        <f>IF(OR(413&gt;$Z$1,NOT(OR('Your debts'!$B$15&lt;&gt;"",N('Your debts'!$C$15)&gt;0))),"",IF('Your debts'!$D$20="Avalanche",'Avalanche workings'!$AY$420,'Snowball workings'!$AY$420))</f>
      </c>
    </row>
    <row r="419" spans="1:25" x14ac:dyDescent="0.25">
      <c r="A419" s="2">
        <f>IF(414&gt;$Z$1,"",414)</f>
      </c>
      <c r="B419" s="28">
        <f>IF(414&gt;$Z$1,"",EDATE('Your debts'!$D$21,413))</f>
      </c>
      <c r="C419" s="29">
        <f>IF(414&gt;$Z$1,"",IF('Your debts'!$D$20="Avalanche",'Avalanche workings'!$BC$421,'Snowball workings'!$BC$421))</f>
      </c>
      <c r="D419" s="29">
        <f>IF(414&gt;$Z$1,"",IF('Your debts'!$D$20="Avalanche",'Avalanche workings'!$BA$421,'Snowball workings'!$BA$421))</f>
      </c>
      <c r="E419" s="29">
        <f>IF(414&gt;$Z$1,"",IF('Your debts'!$D$20="Avalanche",'Avalanche workings'!$BB$421,'Snowball workings'!$BB$421))</f>
      </c>
      <c r="F419" s="29">
        <f>IF(OR(414&gt;$Z$1,NOT(OR('Your debts'!$B$6&lt;&gt;"",N('Your debts'!$C$6)&gt;0))),"",IF('Your debts'!$D$20="Avalanche",'Avalanche workings'!$L$421,'Snowball workings'!$L$421)+IF('Your debts'!$D$20="Avalanche",'Avalanche workings'!$AF$421,'Snowball workings'!$AF$421))</f>
      </c>
      <c r="G419" s="30">
        <f>IF(OR(414&gt;$Z$1,NOT(OR('Your debts'!$B$6&lt;&gt;"",N('Your debts'!$C$6)&gt;0))),"",IF('Your debts'!$D$20="Avalanche",'Avalanche workings'!$AP$421,'Snowball workings'!$AP$421))</f>
      </c>
      <c r="H419" s="29">
        <f>IF(OR(414&gt;$Z$1,NOT(OR('Your debts'!$B$7&lt;&gt;"",N('Your debts'!$C$7)&gt;0))),"",IF('Your debts'!$D$20="Avalanche",'Avalanche workings'!$M$421,'Snowball workings'!$M$421)+IF('Your debts'!$D$20="Avalanche",'Avalanche workings'!$AG$421,'Snowball workings'!$AG$421))</f>
      </c>
      <c r="I419" s="30">
        <f>IF(OR(414&gt;$Z$1,NOT(OR('Your debts'!$B$7&lt;&gt;"",N('Your debts'!$C$7)&gt;0))),"",IF('Your debts'!$D$20="Avalanche",'Avalanche workings'!$AQ$421,'Snowball workings'!$AQ$421))</f>
      </c>
      <c r="J419" s="29">
        <f>IF(OR(414&gt;$Z$1,NOT(OR('Your debts'!$B$8&lt;&gt;"",N('Your debts'!$C$8)&gt;0))),"",IF('Your debts'!$D$20="Avalanche",'Avalanche workings'!$N$421,'Snowball workings'!$N$421)+IF('Your debts'!$D$20="Avalanche",'Avalanche workings'!$AH$421,'Snowball workings'!$AH$421))</f>
      </c>
      <c r="K419" s="30">
        <f>IF(OR(414&gt;$Z$1,NOT(OR('Your debts'!$B$8&lt;&gt;"",N('Your debts'!$C$8)&gt;0))),"",IF('Your debts'!$D$20="Avalanche",'Avalanche workings'!$AR$421,'Snowball workings'!$AR$421))</f>
      </c>
      <c r="L419" s="29">
        <f>IF(OR(414&gt;$Z$1,NOT(OR('Your debts'!$B$9&lt;&gt;"",N('Your debts'!$C$9)&gt;0))),"",IF('Your debts'!$D$20="Avalanche",'Avalanche workings'!$O$421,'Snowball workings'!$O$421)+IF('Your debts'!$D$20="Avalanche",'Avalanche workings'!$AI$421,'Snowball workings'!$AI$421))</f>
      </c>
      <c r="M419" s="30">
        <f>IF(OR(414&gt;$Z$1,NOT(OR('Your debts'!$B$9&lt;&gt;"",N('Your debts'!$C$9)&gt;0))),"",IF('Your debts'!$D$20="Avalanche",'Avalanche workings'!$AS$421,'Snowball workings'!$AS$421))</f>
      </c>
      <c r="N419" s="29">
        <f>IF(OR(414&gt;$Z$1,NOT(OR('Your debts'!$B$10&lt;&gt;"",N('Your debts'!$C$10)&gt;0))),"",IF('Your debts'!$D$20="Avalanche",'Avalanche workings'!$P$421,'Snowball workings'!$P$421)+IF('Your debts'!$D$20="Avalanche",'Avalanche workings'!$AJ$421,'Snowball workings'!$AJ$421))</f>
      </c>
      <c r="O419" s="30">
        <f>IF(OR(414&gt;$Z$1,NOT(OR('Your debts'!$B$10&lt;&gt;"",N('Your debts'!$C$10)&gt;0))),"",IF('Your debts'!$D$20="Avalanche",'Avalanche workings'!$AT$421,'Snowball workings'!$AT$421))</f>
      </c>
      <c r="P419" s="29">
        <f>IF(OR(414&gt;$Z$1,NOT(OR('Your debts'!$B$11&lt;&gt;"",N('Your debts'!$C$11)&gt;0))),"",IF('Your debts'!$D$20="Avalanche",'Avalanche workings'!$Q$421,'Snowball workings'!$Q$421)+IF('Your debts'!$D$20="Avalanche",'Avalanche workings'!$AK$421,'Snowball workings'!$AK$421))</f>
      </c>
      <c r="Q419" s="30">
        <f>IF(OR(414&gt;$Z$1,NOT(OR('Your debts'!$B$11&lt;&gt;"",N('Your debts'!$C$11)&gt;0))),"",IF('Your debts'!$D$20="Avalanche",'Avalanche workings'!$AU$421,'Snowball workings'!$AU$421))</f>
      </c>
      <c r="R419" s="29">
        <f>IF(OR(414&gt;$Z$1,NOT(OR('Your debts'!$B$12&lt;&gt;"",N('Your debts'!$C$12)&gt;0))),"",IF('Your debts'!$D$20="Avalanche",'Avalanche workings'!$R$421,'Snowball workings'!$R$421)+IF('Your debts'!$D$20="Avalanche",'Avalanche workings'!$AL$421,'Snowball workings'!$AL$421))</f>
      </c>
      <c r="S419" s="30">
        <f>IF(OR(414&gt;$Z$1,NOT(OR('Your debts'!$B$12&lt;&gt;"",N('Your debts'!$C$12)&gt;0))),"",IF('Your debts'!$D$20="Avalanche",'Avalanche workings'!$AV$421,'Snowball workings'!$AV$421))</f>
      </c>
      <c r="T419" s="29">
        <f>IF(OR(414&gt;$Z$1,NOT(OR('Your debts'!$B$13&lt;&gt;"",N('Your debts'!$C$13)&gt;0))),"",IF('Your debts'!$D$20="Avalanche",'Avalanche workings'!$S$421,'Snowball workings'!$S$421)+IF('Your debts'!$D$20="Avalanche",'Avalanche workings'!$AM$421,'Snowball workings'!$AM$421))</f>
      </c>
      <c r="U419" s="30">
        <f>IF(OR(414&gt;$Z$1,NOT(OR('Your debts'!$B$13&lt;&gt;"",N('Your debts'!$C$13)&gt;0))),"",IF('Your debts'!$D$20="Avalanche",'Avalanche workings'!$AW$421,'Snowball workings'!$AW$421))</f>
      </c>
      <c r="V419" s="29">
        <f>IF(OR(414&gt;$Z$1,NOT(OR('Your debts'!$B$14&lt;&gt;"",N('Your debts'!$C$14)&gt;0))),"",IF('Your debts'!$D$20="Avalanche",'Avalanche workings'!$T$421,'Snowball workings'!$T$421)+IF('Your debts'!$D$20="Avalanche",'Avalanche workings'!$AN$421,'Snowball workings'!$AN$421))</f>
      </c>
      <c r="W419" s="30">
        <f>IF(OR(414&gt;$Z$1,NOT(OR('Your debts'!$B$14&lt;&gt;"",N('Your debts'!$C$14)&gt;0))),"",IF('Your debts'!$D$20="Avalanche",'Avalanche workings'!$AX$421,'Snowball workings'!$AX$421))</f>
      </c>
      <c r="X419" s="29">
        <f>IF(OR(414&gt;$Z$1,NOT(OR('Your debts'!$B$15&lt;&gt;"",N('Your debts'!$C$15)&gt;0))),"",IF('Your debts'!$D$20="Avalanche",'Avalanche workings'!$U$421,'Snowball workings'!$U$421)+IF('Your debts'!$D$20="Avalanche",'Avalanche workings'!$AO$421,'Snowball workings'!$AO$421))</f>
      </c>
      <c r="Y419" s="30">
        <f>IF(OR(414&gt;$Z$1,NOT(OR('Your debts'!$B$15&lt;&gt;"",N('Your debts'!$C$15)&gt;0))),"",IF('Your debts'!$D$20="Avalanche",'Avalanche workings'!$AY$421,'Snowball workings'!$AY$421))</f>
      </c>
    </row>
    <row r="420" spans="1:25" x14ac:dyDescent="0.25">
      <c r="A420" s="2">
        <f>IF(415&gt;$Z$1,"",415)</f>
      </c>
      <c r="B420" s="28">
        <f>IF(415&gt;$Z$1,"",EDATE('Your debts'!$D$21,414))</f>
      </c>
      <c r="C420" s="29">
        <f>IF(415&gt;$Z$1,"",IF('Your debts'!$D$20="Avalanche",'Avalanche workings'!$BC$422,'Snowball workings'!$BC$422))</f>
      </c>
      <c r="D420" s="29">
        <f>IF(415&gt;$Z$1,"",IF('Your debts'!$D$20="Avalanche",'Avalanche workings'!$BA$422,'Snowball workings'!$BA$422))</f>
      </c>
      <c r="E420" s="29">
        <f>IF(415&gt;$Z$1,"",IF('Your debts'!$D$20="Avalanche",'Avalanche workings'!$BB$422,'Snowball workings'!$BB$422))</f>
      </c>
      <c r="F420" s="29">
        <f>IF(OR(415&gt;$Z$1,NOT(OR('Your debts'!$B$6&lt;&gt;"",N('Your debts'!$C$6)&gt;0))),"",IF('Your debts'!$D$20="Avalanche",'Avalanche workings'!$L$422,'Snowball workings'!$L$422)+IF('Your debts'!$D$20="Avalanche",'Avalanche workings'!$AF$422,'Snowball workings'!$AF$422))</f>
      </c>
      <c r="G420" s="30">
        <f>IF(OR(415&gt;$Z$1,NOT(OR('Your debts'!$B$6&lt;&gt;"",N('Your debts'!$C$6)&gt;0))),"",IF('Your debts'!$D$20="Avalanche",'Avalanche workings'!$AP$422,'Snowball workings'!$AP$422))</f>
      </c>
      <c r="H420" s="29">
        <f>IF(OR(415&gt;$Z$1,NOT(OR('Your debts'!$B$7&lt;&gt;"",N('Your debts'!$C$7)&gt;0))),"",IF('Your debts'!$D$20="Avalanche",'Avalanche workings'!$M$422,'Snowball workings'!$M$422)+IF('Your debts'!$D$20="Avalanche",'Avalanche workings'!$AG$422,'Snowball workings'!$AG$422))</f>
      </c>
      <c r="I420" s="30">
        <f>IF(OR(415&gt;$Z$1,NOT(OR('Your debts'!$B$7&lt;&gt;"",N('Your debts'!$C$7)&gt;0))),"",IF('Your debts'!$D$20="Avalanche",'Avalanche workings'!$AQ$422,'Snowball workings'!$AQ$422))</f>
      </c>
      <c r="J420" s="29">
        <f>IF(OR(415&gt;$Z$1,NOT(OR('Your debts'!$B$8&lt;&gt;"",N('Your debts'!$C$8)&gt;0))),"",IF('Your debts'!$D$20="Avalanche",'Avalanche workings'!$N$422,'Snowball workings'!$N$422)+IF('Your debts'!$D$20="Avalanche",'Avalanche workings'!$AH$422,'Snowball workings'!$AH$422))</f>
      </c>
      <c r="K420" s="30">
        <f>IF(OR(415&gt;$Z$1,NOT(OR('Your debts'!$B$8&lt;&gt;"",N('Your debts'!$C$8)&gt;0))),"",IF('Your debts'!$D$20="Avalanche",'Avalanche workings'!$AR$422,'Snowball workings'!$AR$422))</f>
      </c>
      <c r="L420" s="29">
        <f>IF(OR(415&gt;$Z$1,NOT(OR('Your debts'!$B$9&lt;&gt;"",N('Your debts'!$C$9)&gt;0))),"",IF('Your debts'!$D$20="Avalanche",'Avalanche workings'!$O$422,'Snowball workings'!$O$422)+IF('Your debts'!$D$20="Avalanche",'Avalanche workings'!$AI$422,'Snowball workings'!$AI$422))</f>
      </c>
      <c r="M420" s="30">
        <f>IF(OR(415&gt;$Z$1,NOT(OR('Your debts'!$B$9&lt;&gt;"",N('Your debts'!$C$9)&gt;0))),"",IF('Your debts'!$D$20="Avalanche",'Avalanche workings'!$AS$422,'Snowball workings'!$AS$422))</f>
      </c>
      <c r="N420" s="29">
        <f>IF(OR(415&gt;$Z$1,NOT(OR('Your debts'!$B$10&lt;&gt;"",N('Your debts'!$C$10)&gt;0))),"",IF('Your debts'!$D$20="Avalanche",'Avalanche workings'!$P$422,'Snowball workings'!$P$422)+IF('Your debts'!$D$20="Avalanche",'Avalanche workings'!$AJ$422,'Snowball workings'!$AJ$422))</f>
      </c>
      <c r="O420" s="30">
        <f>IF(OR(415&gt;$Z$1,NOT(OR('Your debts'!$B$10&lt;&gt;"",N('Your debts'!$C$10)&gt;0))),"",IF('Your debts'!$D$20="Avalanche",'Avalanche workings'!$AT$422,'Snowball workings'!$AT$422))</f>
      </c>
      <c r="P420" s="29">
        <f>IF(OR(415&gt;$Z$1,NOT(OR('Your debts'!$B$11&lt;&gt;"",N('Your debts'!$C$11)&gt;0))),"",IF('Your debts'!$D$20="Avalanche",'Avalanche workings'!$Q$422,'Snowball workings'!$Q$422)+IF('Your debts'!$D$20="Avalanche",'Avalanche workings'!$AK$422,'Snowball workings'!$AK$422))</f>
      </c>
      <c r="Q420" s="30">
        <f>IF(OR(415&gt;$Z$1,NOT(OR('Your debts'!$B$11&lt;&gt;"",N('Your debts'!$C$11)&gt;0))),"",IF('Your debts'!$D$20="Avalanche",'Avalanche workings'!$AU$422,'Snowball workings'!$AU$422))</f>
      </c>
      <c r="R420" s="29">
        <f>IF(OR(415&gt;$Z$1,NOT(OR('Your debts'!$B$12&lt;&gt;"",N('Your debts'!$C$12)&gt;0))),"",IF('Your debts'!$D$20="Avalanche",'Avalanche workings'!$R$422,'Snowball workings'!$R$422)+IF('Your debts'!$D$20="Avalanche",'Avalanche workings'!$AL$422,'Snowball workings'!$AL$422))</f>
      </c>
      <c r="S420" s="30">
        <f>IF(OR(415&gt;$Z$1,NOT(OR('Your debts'!$B$12&lt;&gt;"",N('Your debts'!$C$12)&gt;0))),"",IF('Your debts'!$D$20="Avalanche",'Avalanche workings'!$AV$422,'Snowball workings'!$AV$422))</f>
      </c>
      <c r="T420" s="29">
        <f>IF(OR(415&gt;$Z$1,NOT(OR('Your debts'!$B$13&lt;&gt;"",N('Your debts'!$C$13)&gt;0))),"",IF('Your debts'!$D$20="Avalanche",'Avalanche workings'!$S$422,'Snowball workings'!$S$422)+IF('Your debts'!$D$20="Avalanche",'Avalanche workings'!$AM$422,'Snowball workings'!$AM$422))</f>
      </c>
      <c r="U420" s="30">
        <f>IF(OR(415&gt;$Z$1,NOT(OR('Your debts'!$B$13&lt;&gt;"",N('Your debts'!$C$13)&gt;0))),"",IF('Your debts'!$D$20="Avalanche",'Avalanche workings'!$AW$422,'Snowball workings'!$AW$422))</f>
      </c>
      <c r="V420" s="29">
        <f>IF(OR(415&gt;$Z$1,NOT(OR('Your debts'!$B$14&lt;&gt;"",N('Your debts'!$C$14)&gt;0))),"",IF('Your debts'!$D$20="Avalanche",'Avalanche workings'!$T$422,'Snowball workings'!$T$422)+IF('Your debts'!$D$20="Avalanche",'Avalanche workings'!$AN$422,'Snowball workings'!$AN$422))</f>
      </c>
      <c r="W420" s="30">
        <f>IF(OR(415&gt;$Z$1,NOT(OR('Your debts'!$B$14&lt;&gt;"",N('Your debts'!$C$14)&gt;0))),"",IF('Your debts'!$D$20="Avalanche",'Avalanche workings'!$AX$422,'Snowball workings'!$AX$422))</f>
      </c>
      <c r="X420" s="29">
        <f>IF(OR(415&gt;$Z$1,NOT(OR('Your debts'!$B$15&lt;&gt;"",N('Your debts'!$C$15)&gt;0))),"",IF('Your debts'!$D$20="Avalanche",'Avalanche workings'!$U$422,'Snowball workings'!$U$422)+IF('Your debts'!$D$20="Avalanche",'Avalanche workings'!$AO$422,'Snowball workings'!$AO$422))</f>
      </c>
      <c r="Y420" s="30">
        <f>IF(OR(415&gt;$Z$1,NOT(OR('Your debts'!$B$15&lt;&gt;"",N('Your debts'!$C$15)&gt;0))),"",IF('Your debts'!$D$20="Avalanche",'Avalanche workings'!$AY$422,'Snowball workings'!$AY$422))</f>
      </c>
    </row>
    <row r="421" spans="1:25" x14ac:dyDescent="0.25">
      <c r="A421" s="2">
        <f>IF(416&gt;$Z$1,"",416)</f>
      </c>
      <c r="B421" s="28">
        <f>IF(416&gt;$Z$1,"",EDATE('Your debts'!$D$21,415))</f>
      </c>
      <c r="C421" s="29">
        <f>IF(416&gt;$Z$1,"",IF('Your debts'!$D$20="Avalanche",'Avalanche workings'!$BC$423,'Snowball workings'!$BC$423))</f>
      </c>
      <c r="D421" s="29">
        <f>IF(416&gt;$Z$1,"",IF('Your debts'!$D$20="Avalanche",'Avalanche workings'!$BA$423,'Snowball workings'!$BA$423))</f>
      </c>
      <c r="E421" s="29">
        <f>IF(416&gt;$Z$1,"",IF('Your debts'!$D$20="Avalanche",'Avalanche workings'!$BB$423,'Snowball workings'!$BB$423))</f>
      </c>
      <c r="F421" s="29">
        <f>IF(OR(416&gt;$Z$1,NOT(OR('Your debts'!$B$6&lt;&gt;"",N('Your debts'!$C$6)&gt;0))),"",IF('Your debts'!$D$20="Avalanche",'Avalanche workings'!$L$423,'Snowball workings'!$L$423)+IF('Your debts'!$D$20="Avalanche",'Avalanche workings'!$AF$423,'Snowball workings'!$AF$423))</f>
      </c>
      <c r="G421" s="30">
        <f>IF(OR(416&gt;$Z$1,NOT(OR('Your debts'!$B$6&lt;&gt;"",N('Your debts'!$C$6)&gt;0))),"",IF('Your debts'!$D$20="Avalanche",'Avalanche workings'!$AP$423,'Snowball workings'!$AP$423))</f>
      </c>
      <c r="H421" s="29">
        <f>IF(OR(416&gt;$Z$1,NOT(OR('Your debts'!$B$7&lt;&gt;"",N('Your debts'!$C$7)&gt;0))),"",IF('Your debts'!$D$20="Avalanche",'Avalanche workings'!$M$423,'Snowball workings'!$M$423)+IF('Your debts'!$D$20="Avalanche",'Avalanche workings'!$AG$423,'Snowball workings'!$AG$423))</f>
      </c>
      <c r="I421" s="30">
        <f>IF(OR(416&gt;$Z$1,NOT(OR('Your debts'!$B$7&lt;&gt;"",N('Your debts'!$C$7)&gt;0))),"",IF('Your debts'!$D$20="Avalanche",'Avalanche workings'!$AQ$423,'Snowball workings'!$AQ$423))</f>
      </c>
      <c r="J421" s="29">
        <f>IF(OR(416&gt;$Z$1,NOT(OR('Your debts'!$B$8&lt;&gt;"",N('Your debts'!$C$8)&gt;0))),"",IF('Your debts'!$D$20="Avalanche",'Avalanche workings'!$N$423,'Snowball workings'!$N$423)+IF('Your debts'!$D$20="Avalanche",'Avalanche workings'!$AH$423,'Snowball workings'!$AH$423))</f>
      </c>
      <c r="K421" s="30">
        <f>IF(OR(416&gt;$Z$1,NOT(OR('Your debts'!$B$8&lt;&gt;"",N('Your debts'!$C$8)&gt;0))),"",IF('Your debts'!$D$20="Avalanche",'Avalanche workings'!$AR$423,'Snowball workings'!$AR$423))</f>
      </c>
      <c r="L421" s="29">
        <f>IF(OR(416&gt;$Z$1,NOT(OR('Your debts'!$B$9&lt;&gt;"",N('Your debts'!$C$9)&gt;0))),"",IF('Your debts'!$D$20="Avalanche",'Avalanche workings'!$O$423,'Snowball workings'!$O$423)+IF('Your debts'!$D$20="Avalanche",'Avalanche workings'!$AI$423,'Snowball workings'!$AI$423))</f>
      </c>
      <c r="M421" s="30">
        <f>IF(OR(416&gt;$Z$1,NOT(OR('Your debts'!$B$9&lt;&gt;"",N('Your debts'!$C$9)&gt;0))),"",IF('Your debts'!$D$20="Avalanche",'Avalanche workings'!$AS$423,'Snowball workings'!$AS$423))</f>
      </c>
      <c r="N421" s="29">
        <f>IF(OR(416&gt;$Z$1,NOT(OR('Your debts'!$B$10&lt;&gt;"",N('Your debts'!$C$10)&gt;0))),"",IF('Your debts'!$D$20="Avalanche",'Avalanche workings'!$P$423,'Snowball workings'!$P$423)+IF('Your debts'!$D$20="Avalanche",'Avalanche workings'!$AJ$423,'Snowball workings'!$AJ$423))</f>
      </c>
      <c r="O421" s="30">
        <f>IF(OR(416&gt;$Z$1,NOT(OR('Your debts'!$B$10&lt;&gt;"",N('Your debts'!$C$10)&gt;0))),"",IF('Your debts'!$D$20="Avalanche",'Avalanche workings'!$AT$423,'Snowball workings'!$AT$423))</f>
      </c>
      <c r="P421" s="29">
        <f>IF(OR(416&gt;$Z$1,NOT(OR('Your debts'!$B$11&lt;&gt;"",N('Your debts'!$C$11)&gt;0))),"",IF('Your debts'!$D$20="Avalanche",'Avalanche workings'!$Q$423,'Snowball workings'!$Q$423)+IF('Your debts'!$D$20="Avalanche",'Avalanche workings'!$AK$423,'Snowball workings'!$AK$423))</f>
      </c>
      <c r="Q421" s="30">
        <f>IF(OR(416&gt;$Z$1,NOT(OR('Your debts'!$B$11&lt;&gt;"",N('Your debts'!$C$11)&gt;0))),"",IF('Your debts'!$D$20="Avalanche",'Avalanche workings'!$AU$423,'Snowball workings'!$AU$423))</f>
      </c>
      <c r="R421" s="29">
        <f>IF(OR(416&gt;$Z$1,NOT(OR('Your debts'!$B$12&lt;&gt;"",N('Your debts'!$C$12)&gt;0))),"",IF('Your debts'!$D$20="Avalanche",'Avalanche workings'!$R$423,'Snowball workings'!$R$423)+IF('Your debts'!$D$20="Avalanche",'Avalanche workings'!$AL$423,'Snowball workings'!$AL$423))</f>
      </c>
      <c r="S421" s="30">
        <f>IF(OR(416&gt;$Z$1,NOT(OR('Your debts'!$B$12&lt;&gt;"",N('Your debts'!$C$12)&gt;0))),"",IF('Your debts'!$D$20="Avalanche",'Avalanche workings'!$AV$423,'Snowball workings'!$AV$423))</f>
      </c>
      <c r="T421" s="29">
        <f>IF(OR(416&gt;$Z$1,NOT(OR('Your debts'!$B$13&lt;&gt;"",N('Your debts'!$C$13)&gt;0))),"",IF('Your debts'!$D$20="Avalanche",'Avalanche workings'!$S$423,'Snowball workings'!$S$423)+IF('Your debts'!$D$20="Avalanche",'Avalanche workings'!$AM$423,'Snowball workings'!$AM$423))</f>
      </c>
      <c r="U421" s="30">
        <f>IF(OR(416&gt;$Z$1,NOT(OR('Your debts'!$B$13&lt;&gt;"",N('Your debts'!$C$13)&gt;0))),"",IF('Your debts'!$D$20="Avalanche",'Avalanche workings'!$AW$423,'Snowball workings'!$AW$423))</f>
      </c>
      <c r="V421" s="29">
        <f>IF(OR(416&gt;$Z$1,NOT(OR('Your debts'!$B$14&lt;&gt;"",N('Your debts'!$C$14)&gt;0))),"",IF('Your debts'!$D$20="Avalanche",'Avalanche workings'!$T$423,'Snowball workings'!$T$423)+IF('Your debts'!$D$20="Avalanche",'Avalanche workings'!$AN$423,'Snowball workings'!$AN$423))</f>
      </c>
      <c r="W421" s="30">
        <f>IF(OR(416&gt;$Z$1,NOT(OR('Your debts'!$B$14&lt;&gt;"",N('Your debts'!$C$14)&gt;0))),"",IF('Your debts'!$D$20="Avalanche",'Avalanche workings'!$AX$423,'Snowball workings'!$AX$423))</f>
      </c>
      <c r="X421" s="29">
        <f>IF(OR(416&gt;$Z$1,NOT(OR('Your debts'!$B$15&lt;&gt;"",N('Your debts'!$C$15)&gt;0))),"",IF('Your debts'!$D$20="Avalanche",'Avalanche workings'!$U$423,'Snowball workings'!$U$423)+IF('Your debts'!$D$20="Avalanche",'Avalanche workings'!$AO$423,'Snowball workings'!$AO$423))</f>
      </c>
      <c r="Y421" s="30">
        <f>IF(OR(416&gt;$Z$1,NOT(OR('Your debts'!$B$15&lt;&gt;"",N('Your debts'!$C$15)&gt;0))),"",IF('Your debts'!$D$20="Avalanche",'Avalanche workings'!$AY$423,'Snowball workings'!$AY$423))</f>
      </c>
    </row>
    <row r="422" spans="1:25" x14ac:dyDescent="0.25">
      <c r="A422" s="2">
        <f>IF(417&gt;$Z$1,"",417)</f>
      </c>
      <c r="B422" s="28">
        <f>IF(417&gt;$Z$1,"",EDATE('Your debts'!$D$21,416))</f>
      </c>
      <c r="C422" s="29">
        <f>IF(417&gt;$Z$1,"",IF('Your debts'!$D$20="Avalanche",'Avalanche workings'!$BC$424,'Snowball workings'!$BC$424))</f>
      </c>
      <c r="D422" s="29">
        <f>IF(417&gt;$Z$1,"",IF('Your debts'!$D$20="Avalanche",'Avalanche workings'!$BA$424,'Snowball workings'!$BA$424))</f>
      </c>
      <c r="E422" s="29">
        <f>IF(417&gt;$Z$1,"",IF('Your debts'!$D$20="Avalanche",'Avalanche workings'!$BB$424,'Snowball workings'!$BB$424))</f>
      </c>
      <c r="F422" s="29">
        <f>IF(OR(417&gt;$Z$1,NOT(OR('Your debts'!$B$6&lt;&gt;"",N('Your debts'!$C$6)&gt;0))),"",IF('Your debts'!$D$20="Avalanche",'Avalanche workings'!$L$424,'Snowball workings'!$L$424)+IF('Your debts'!$D$20="Avalanche",'Avalanche workings'!$AF$424,'Snowball workings'!$AF$424))</f>
      </c>
      <c r="G422" s="30">
        <f>IF(OR(417&gt;$Z$1,NOT(OR('Your debts'!$B$6&lt;&gt;"",N('Your debts'!$C$6)&gt;0))),"",IF('Your debts'!$D$20="Avalanche",'Avalanche workings'!$AP$424,'Snowball workings'!$AP$424))</f>
      </c>
      <c r="H422" s="29">
        <f>IF(OR(417&gt;$Z$1,NOT(OR('Your debts'!$B$7&lt;&gt;"",N('Your debts'!$C$7)&gt;0))),"",IF('Your debts'!$D$20="Avalanche",'Avalanche workings'!$M$424,'Snowball workings'!$M$424)+IF('Your debts'!$D$20="Avalanche",'Avalanche workings'!$AG$424,'Snowball workings'!$AG$424))</f>
      </c>
      <c r="I422" s="30">
        <f>IF(OR(417&gt;$Z$1,NOT(OR('Your debts'!$B$7&lt;&gt;"",N('Your debts'!$C$7)&gt;0))),"",IF('Your debts'!$D$20="Avalanche",'Avalanche workings'!$AQ$424,'Snowball workings'!$AQ$424))</f>
      </c>
      <c r="J422" s="29">
        <f>IF(OR(417&gt;$Z$1,NOT(OR('Your debts'!$B$8&lt;&gt;"",N('Your debts'!$C$8)&gt;0))),"",IF('Your debts'!$D$20="Avalanche",'Avalanche workings'!$N$424,'Snowball workings'!$N$424)+IF('Your debts'!$D$20="Avalanche",'Avalanche workings'!$AH$424,'Snowball workings'!$AH$424))</f>
      </c>
      <c r="K422" s="30">
        <f>IF(OR(417&gt;$Z$1,NOT(OR('Your debts'!$B$8&lt;&gt;"",N('Your debts'!$C$8)&gt;0))),"",IF('Your debts'!$D$20="Avalanche",'Avalanche workings'!$AR$424,'Snowball workings'!$AR$424))</f>
      </c>
      <c r="L422" s="29">
        <f>IF(OR(417&gt;$Z$1,NOT(OR('Your debts'!$B$9&lt;&gt;"",N('Your debts'!$C$9)&gt;0))),"",IF('Your debts'!$D$20="Avalanche",'Avalanche workings'!$O$424,'Snowball workings'!$O$424)+IF('Your debts'!$D$20="Avalanche",'Avalanche workings'!$AI$424,'Snowball workings'!$AI$424))</f>
      </c>
      <c r="M422" s="30">
        <f>IF(OR(417&gt;$Z$1,NOT(OR('Your debts'!$B$9&lt;&gt;"",N('Your debts'!$C$9)&gt;0))),"",IF('Your debts'!$D$20="Avalanche",'Avalanche workings'!$AS$424,'Snowball workings'!$AS$424))</f>
      </c>
      <c r="N422" s="29">
        <f>IF(OR(417&gt;$Z$1,NOT(OR('Your debts'!$B$10&lt;&gt;"",N('Your debts'!$C$10)&gt;0))),"",IF('Your debts'!$D$20="Avalanche",'Avalanche workings'!$P$424,'Snowball workings'!$P$424)+IF('Your debts'!$D$20="Avalanche",'Avalanche workings'!$AJ$424,'Snowball workings'!$AJ$424))</f>
      </c>
      <c r="O422" s="30">
        <f>IF(OR(417&gt;$Z$1,NOT(OR('Your debts'!$B$10&lt;&gt;"",N('Your debts'!$C$10)&gt;0))),"",IF('Your debts'!$D$20="Avalanche",'Avalanche workings'!$AT$424,'Snowball workings'!$AT$424))</f>
      </c>
      <c r="P422" s="29">
        <f>IF(OR(417&gt;$Z$1,NOT(OR('Your debts'!$B$11&lt;&gt;"",N('Your debts'!$C$11)&gt;0))),"",IF('Your debts'!$D$20="Avalanche",'Avalanche workings'!$Q$424,'Snowball workings'!$Q$424)+IF('Your debts'!$D$20="Avalanche",'Avalanche workings'!$AK$424,'Snowball workings'!$AK$424))</f>
      </c>
      <c r="Q422" s="30">
        <f>IF(OR(417&gt;$Z$1,NOT(OR('Your debts'!$B$11&lt;&gt;"",N('Your debts'!$C$11)&gt;0))),"",IF('Your debts'!$D$20="Avalanche",'Avalanche workings'!$AU$424,'Snowball workings'!$AU$424))</f>
      </c>
      <c r="R422" s="29">
        <f>IF(OR(417&gt;$Z$1,NOT(OR('Your debts'!$B$12&lt;&gt;"",N('Your debts'!$C$12)&gt;0))),"",IF('Your debts'!$D$20="Avalanche",'Avalanche workings'!$R$424,'Snowball workings'!$R$424)+IF('Your debts'!$D$20="Avalanche",'Avalanche workings'!$AL$424,'Snowball workings'!$AL$424))</f>
      </c>
      <c r="S422" s="30">
        <f>IF(OR(417&gt;$Z$1,NOT(OR('Your debts'!$B$12&lt;&gt;"",N('Your debts'!$C$12)&gt;0))),"",IF('Your debts'!$D$20="Avalanche",'Avalanche workings'!$AV$424,'Snowball workings'!$AV$424))</f>
      </c>
      <c r="T422" s="29">
        <f>IF(OR(417&gt;$Z$1,NOT(OR('Your debts'!$B$13&lt;&gt;"",N('Your debts'!$C$13)&gt;0))),"",IF('Your debts'!$D$20="Avalanche",'Avalanche workings'!$S$424,'Snowball workings'!$S$424)+IF('Your debts'!$D$20="Avalanche",'Avalanche workings'!$AM$424,'Snowball workings'!$AM$424))</f>
      </c>
      <c r="U422" s="30">
        <f>IF(OR(417&gt;$Z$1,NOT(OR('Your debts'!$B$13&lt;&gt;"",N('Your debts'!$C$13)&gt;0))),"",IF('Your debts'!$D$20="Avalanche",'Avalanche workings'!$AW$424,'Snowball workings'!$AW$424))</f>
      </c>
      <c r="V422" s="29">
        <f>IF(OR(417&gt;$Z$1,NOT(OR('Your debts'!$B$14&lt;&gt;"",N('Your debts'!$C$14)&gt;0))),"",IF('Your debts'!$D$20="Avalanche",'Avalanche workings'!$T$424,'Snowball workings'!$T$424)+IF('Your debts'!$D$20="Avalanche",'Avalanche workings'!$AN$424,'Snowball workings'!$AN$424))</f>
      </c>
      <c r="W422" s="30">
        <f>IF(OR(417&gt;$Z$1,NOT(OR('Your debts'!$B$14&lt;&gt;"",N('Your debts'!$C$14)&gt;0))),"",IF('Your debts'!$D$20="Avalanche",'Avalanche workings'!$AX$424,'Snowball workings'!$AX$424))</f>
      </c>
      <c r="X422" s="29">
        <f>IF(OR(417&gt;$Z$1,NOT(OR('Your debts'!$B$15&lt;&gt;"",N('Your debts'!$C$15)&gt;0))),"",IF('Your debts'!$D$20="Avalanche",'Avalanche workings'!$U$424,'Snowball workings'!$U$424)+IF('Your debts'!$D$20="Avalanche",'Avalanche workings'!$AO$424,'Snowball workings'!$AO$424))</f>
      </c>
      <c r="Y422" s="30">
        <f>IF(OR(417&gt;$Z$1,NOT(OR('Your debts'!$B$15&lt;&gt;"",N('Your debts'!$C$15)&gt;0))),"",IF('Your debts'!$D$20="Avalanche",'Avalanche workings'!$AY$424,'Snowball workings'!$AY$424))</f>
      </c>
    </row>
    <row r="423" spans="1:25" x14ac:dyDescent="0.25">
      <c r="A423" s="2">
        <f>IF(418&gt;$Z$1,"",418)</f>
      </c>
      <c r="B423" s="28">
        <f>IF(418&gt;$Z$1,"",EDATE('Your debts'!$D$21,417))</f>
      </c>
      <c r="C423" s="29">
        <f>IF(418&gt;$Z$1,"",IF('Your debts'!$D$20="Avalanche",'Avalanche workings'!$BC$425,'Snowball workings'!$BC$425))</f>
      </c>
      <c r="D423" s="29">
        <f>IF(418&gt;$Z$1,"",IF('Your debts'!$D$20="Avalanche",'Avalanche workings'!$BA$425,'Snowball workings'!$BA$425))</f>
      </c>
      <c r="E423" s="29">
        <f>IF(418&gt;$Z$1,"",IF('Your debts'!$D$20="Avalanche",'Avalanche workings'!$BB$425,'Snowball workings'!$BB$425))</f>
      </c>
      <c r="F423" s="29">
        <f>IF(OR(418&gt;$Z$1,NOT(OR('Your debts'!$B$6&lt;&gt;"",N('Your debts'!$C$6)&gt;0))),"",IF('Your debts'!$D$20="Avalanche",'Avalanche workings'!$L$425,'Snowball workings'!$L$425)+IF('Your debts'!$D$20="Avalanche",'Avalanche workings'!$AF$425,'Snowball workings'!$AF$425))</f>
      </c>
      <c r="G423" s="30">
        <f>IF(OR(418&gt;$Z$1,NOT(OR('Your debts'!$B$6&lt;&gt;"",N('Your debts'!$C$6)&gt;0))),"",IF('Your debts'!$D$20="Avalanche",'Avalanche workings'!$AP$425,'Snowball workings'!$AP$425))</f>
      </c>
      <c r="H423" s="29">
        <f>IF(OR(418&gt;$Z$1,NOT(OR('Your debts'!$B$7&lt;&gt;"",N('Your debts'!$C$7)&gt;0))),"",IF('Your debts'!$D$20="Avalanche",'Avalanche workings'!$M$425,'Snowball workings'!$M$425)+IF('Your debts'!$D$20="Avalanche",'Avalanche workings'!$AG$425,'Snowball workings'!$AG$425))</f>
      </c>
      <c r="I423" s="30">
        <f>IF(OR(418&gt;$Z$1,NOT(OR('Your debts'!$B$7&lt;&gt;"",N('Your debts'!$C$7)&gt;0))),"",IF('Your debts'!$D$20="Avalanche",'Avalanche workings'!$AQ$425,'Snowball workings'!$AQ$425))</f>
      </c>
      <c r="J423" s="29">
        <f>IF(OR(418&gt;$Z$1,NOT(OR('Your debts'!$B$8&lt;&gt;"",N('Your debts'!$C$8)&gt;0))),"",IF('Your debts'!$D$20="Avalanche",'Avalanche workings'!$N$425,'Snowball workings'!$N$425)+IF('Your debts'!$D$20="Avalanche",'Avalanche workings'!$AH$425,'Snowball workings'!$AH$425))</f>
      </c>
      <c r="K423" s="30">
        <f>IF(OR(418&gt;$Z$1,NOT(OR('Your debts'!$B$8&lt;&gt;"",N('Your debts'!$C$8)&gt;0))),"",IF('Your debts'!$D$20="Avalanche",'Avalanche workings'!$AR$425,'Snowball workings'!$AR$425))</f>
      </c>
      <c r="L423" s="29">
        <f>IF(OR(418&gt;$Z$1,NOT(OR('Your debts'!$B$9&lt;&gt;"",N('Your debts'!$C$9)&gt;0))),"",IF('Your debts'!$D$20="Avalanche",'Avalanche workings'!$O$425,'Snowball workings'!$O$425)+IF('Your debts'!$D$20="Avalanche",'Avalanche workings'!$AI$425,'Snowball workings'!$AI$425))</f>
      </c>
      <c r="M423" s="30">
        <f>IF(OR(418&gt;$Z$1,NOT(OR('Your debts'!$B$9&lt;&gt;"",N('Your debts'!$C$9)&gt;0))),"",IF('Your debts'!$D$20="Avalanche",'Avalanche workings'!$AS$425,'Snowball workings'!$AS$425))</f>
      </c>
      <c r="N423" s="29">
        <f>IF(OR(418&gt;$Z$1,NOT(OR('Your debts'!$B$10&lt;&gt;"",N('Your debts'!$C$10)&gt;0))),"",IF('Your debts'!$D$20="Avalanche",'Avalanche workings'!$P$425,'Snowball workings'!$P$425)+IF('Your debts'!$D$20="Avalanche",'Avalanche workings'!$AJ$425,'Snowball workings'!$AJ$425))</f>
      </c>
      <c r="O423" s="30">
        <f>IF(OR(418&gt;$Z$1,NOT(OR('Your debts'!$B$10&lt;&gt;"",N('Your debts'!$C$10)&gt;0))),"",IF('Your debts'!$D$20="Avalanche",'Avalanche workings'!$AT$425,'Snowball workings'!$AT$425))</f>
      </c>
      <c r="P423" s="29">
        <f>IF(OR(418&gt;$Z$1,NOT(OR('Your debts'!$B$11&lt;&gt;"",N('Your debts'!$C$11)&gt;0))),"",IF('Your debts'!$D$20="Avalanche",'Avalanche workings'!$Q$425,'Snowball workings'!$Q$425)+IF('Your debts'!$D$20="Avalanche",'Avalanche workings'!$AK$425,'Snowball workings'!$AK$425))</f>
      </c>
      <c r="Q423" s="30">
        <f>IF(OR(418&gt;$Z$1,NOT(OR('Your debts'!$B$11&lt;&gt;"",N('Your debts'!$C$11)&gt;0))),"",IF('Your debts'!$D$20="Avalanche",'Avalanche workings'!$AU$425,'Snowball workings'!$AU$425))</f>
      </c>
      <c r="R423" s="29">
        <f>IF(OR(418&gt;$Z$1,NOT(OR('Your debts'!$B$12&lt;&gt;"",N('Your debts'!$C$12)&gt;0))),"",IF('Your debts'!$D$20="Avalanche",'Avalanche workings'!$R$425,'Snowball workings'!$R$425)+IF('Your debts'!$D$20="Avalanche",'Avalanche workings'!$AL$425,'Snowball workings'!$AL$425))</f>
      </c>
      <c r="S423" s="30">
        <f>IF(OR(418&gt;$Z$1,NOT(OR('Your debts'!$B$12&lt;&gt;"",N('Your debts'!$C$12)&gt;0))),"",IF('Your debts'!$D$20="Avalanche",'Avalanche workings'!$AV$425,'Snowball workings'!$AV$425))</f>
      </c>
      <c r="T423" s="29">
        <f>IF(OR(418&gt;$Z$1,NOT(OR('Your debts'!$B$13&lt;&gt;"",N('Your debts'!$C$13)&gt;0))),"",IF('Your debts'!$D$20="Avalanche",'Avalanche workings'!$S$425,'Snowball workings'!$S$425)+IF('Your debts'!$D$20="Avalanche",'Avalanche workings'!$AM$425,'Snowball workings'!$AM$425))</f>
      </c>
      <c r="U423" s="30">
        <f>IF(OR(418&gt;$Z$1,NOT(OR('Your debts'!$B$13&lt;&gt;"",N('Your debts'!$C$13)&gt;0))),"",IF('Your debts'!$D$20="Avalanche",'Avalanche workings'!$AW$425,'Snowball workings'!$AW$425))</f>
      </c>
      <c r="V423" s="29">
        <f>IF(OR(418&gt;$Z$1,NOT(OR('Your debts'!$B$14&lt;&gt;"",N('Your debts'!$C$14)&gt;0))),"",IF('Your debts'!$D$20="Avalanche",'Avalanche workings'!$T$425,'Snowball workings'!$T$425)+IF('Your debts'!$D$20="Avalanche",'Avalanche workings'!$AN$425,'Snowball workings'!$AN$425))</f>
      </c>
      <c r="W423" s="30">
        <f>IF(OR(418&gt;$Z$1,NOT(OR('Your debts'!$B$14&lt;&gt;"",N('Your debts'!$C$14)&gt;0))),"",IF('Your debts'!$D$20="Avalanche",'Avalanche workings'!$AX$425,'Snowball workings'!$AX$425))</f>
      </c>
      <c r="X423" s="29">
        <f>IF(OR(418&gt;$Z$1,NOT(OR('Your debts'!$B$15&lt;&gt;"",N('Your debts'!$C$15)&gt;0))),"",IF('Your debts'!$D$20="Avalanche",'Avalanche workings'!$U$425,'Snowball workings'!$U$425)+IF('Your debts'!$D$20="Avalanche",'Avalanche workings'!$AO$425,'Snowball workings'!$AO$425))</f>
      </c>
      <c r="Y423" s="30">
        <f>IF(OR(418&gt;$Z$1,NOT(OR('Your debts'!$B$15&lt;&gt;"",N('Your debts'!$C$15)&gt;0))),"",IF('Your debts'!$D$20="Avalanche",'Avalanche workings'!$AY$425,'Snowball workings'!$AY$425))</f>
      </c>
    </row>
    <row r="424" spans="1:25" x14ac:dyDescent="0.25">
      <c r="A424" s="2">
        <f>IF(419&gt;$Z$1,"",419)</f>
      </c>
      <c r="B424" s="28">
        <f>IF(419&gt;$Z$1,"",EDATE('Your debts'!$D$21,418))</f>
      </c>
      <c r="C424" s="29">
        <f>IF(419&gt;$Z$1,"",IF('Your debts'!$D$20="Avalanche",'Avalanche workings'!$BC$426,'Snowball workings'!$BC$426))</f>
      </c>
      <c r="D424" s="29">
        <f>IF(419&gt;$Z$1,"",IF('Your debts'!$D$20="Avalanche",'Avalanche workings'!$BA$426,'Snowball workings'!$BA$426))</f>
      </c>
      <c r="E424" s="29">
        <f>IF(419&gt;$Z$1,"",IF('Your debts'!$D$20="Avalanche",'Avalanche workings'!$BB$426,'Snowball workings'!$BB$426))</f>
      </c>
      <c r="F424" s="29">
        <f>IF(OR(419&gt;$Z$1,NOT(OR('Your debts'!$B$6&lt;&gt;"",N('Your debts'!$C$6)&gt;0))),"",IF('Your debts'!$D$20="Avalanche",'Avalanche workings'!$L$426,'Snowball workings'!$L$426)+IF('Your debts'!$D$20="Avalanche",'Avalanche workings'!$AF$426,'Snowball workings'!$AF$426))</f>
      </c>
      <c r="G424" s="30">
        <f>IF(OR(419&gt;$Z$1,NOT(OR('Your debts'!$B$6&lt;&gt;"",N('Your debts'!$C$6)&gt;0))),"",IF('Your debts'!$D$20="Avalanche",'Avalanche workings'!$AP$426,'Snowball workings'!$AP$426))</f>
      </c>
      <c r="H424" s="29">
        <f>IF(OR(419&gt;$Z$1,NOT(OR('Your debts'!$B$7&lt;&gt;"",N('Your debts'!$C$7)&gt;0))),"",IF('Your debts'!$D$20="Avalanche",'Avalanche workings'!$M$426,'Snowball workings'!$M$426)+IF('Your debts'!$D$20="Avalanche",'Avalanche workings'!$AG$426,'Snowball workings'!$AG$426))</f>
      </c>
      <c r="I424" s="30">
        <f>IF(OR(419&gt;$Z$1,NOT(OR('Your debts'!$B$7&lt;&gt;"",N('Your debts'!$C$7)&gt;0))),"",IF('Your debts'!$D$20="Avalanche",'Avalanche workings'!$AQ$426,'Snowball workings'!$AQ$426))</f>
      </c>
      <c r="J424" s="29">
        <f>IF(OR(419&gt;$Z$1,NOT(OR('Your debts'!$B$8&lt;&gt;"",N('Your debts'!$C$8)&gt;0))),"",IF('Your debts'!$D$20="Avalanche",'Avalanche workings'!$N$426,'Snowball workings'!$N$426)+IF('Your debts'!$D$20="Avalanche",'Avalanche workings'!$AH$426,'Snowball workings'!$AH$426))</f>
      </c>
      <c r="K424" s="30">
        <f>IF(OR(419&gt;$Z$1,NOT(OR('Your debts'!$B$8&lt;&gt;"",N('Your debts'!$C$8)&gt;0))),"",IF('Your debts'!$D$20="Avalanche",'Avalanche workings'!$AR$426,'Snowball workings'!$AR$426))</f>
      </c>
      <c r="L424" s="29">
        <f>IF(OR(419&gt;$Z$1,NOT(OR('Your debts'!$B$9&lt;&gt;"",N('Your debts'!$C$9)&gt;0))),"",IF('Your debts'!$D$20="Avalanche",'Avalanche workings'!$O$426,'Snowball workings'!$O$426)+IF('Your debts'!$D$20="Avalanche",'Avalanche workings'!$AI$426,'Snowball workings'!$AI$426))</f>
      </c>
      <c r="M424" s="30">
        <f>IF(OR(419&gt;$Z$1,NOT(OR('Your debts'!$B$9&lt;&gt;"",N('Your debts'!$C$9)&gt;0))),"",IF('Your debts'!$D$20="Avalanche",'Avalanche workings'!$AS$426,'Snowball workings'!$AS$426))</f>
      </c>
      <c r="N424" s="29">
        <f>IF(OR(419&gt;$Z$1,NOT(OR('Your debts'!$B$10&lt;&gt;"",N('Your debts'!$C$10)&gt;0))),"",IF('Your debts'!$D$20="Avalanche",'Avalanche workings'!$P$426,'Snowball workings'!$P$426)+IF('Your debts'!$D$20="Avalanche",'Avalanche workings'!$AJ$426,'Snowball workings'!$AJ$426))</f>
      </c>
      <c r="O424" s="30">
        <f>IF(OR(419&gt;$Z$1,NOT(OR('Your debts'!$B$10&lt;&gt;"",N('Your debts'!$C$10)&gt;0))),"",IF('Your debts'!$D$20="Avalanche",'Avalanche workings'!$AT$426,'Snowball workings'!$AT$426))</f>
      </c>
      <c r="P424" s="29">
        <f>IF(OR(419&gt;$Z$1,NOT(OR('Your debts'!$B$11&lt;&gt;"",N('Your debts'!$C$11)&gt;0))),"",IF('Your debts'!$D$20="Avalanche",'Avalanche workings'!$Q$426,'Snowball workings'!$Q$426)+IF('Your debts'!$D$20="Avalanche",'Avalanche workings'!$AK$426,'Snowball workings'!$AK$426))</f>
      </c>
      <c r="Q424" s="30">
        <f>IF(OR(419&gt;$Z$1,NOT(OR('Your debts'!$B$11&lt;&gt;"",N('Your debts'!$C$11)&gt;0))),"",IF('Your debts'!$D$20="Avalanche",'Avalanche workings'!$AU$426,'Snowball workings'!$AU$426))</f>
      </c>
      <c r="R424" s="29">
        <f>IF(OR(419&gt;$Z$1,NOT(OR('Your debts'!$B$12&lt;&gt;"",N('Your debts'!$C$12)&gt;0))),"",IF('Your debts'!$D$20="Avalanche",'Avalanche workings'!$R$426,'Snowball workings'!$R$426)+IF('Your debts'!$D$20="Avalanche",'Avalanche workings'!$AL$426,'Snowball workings'!$AL$426))</f>
      </c>
      <c r="S424" s="30">
        <f>IF(OR(419&gt;$Z$1,NOT(OR('Your debts'!$B$12&lt;&gt;"",N('Your debts'!$C$12)&gt;0))),"",IF('Your debts'!$D$20="Avalanche",'Avalanche workings'!$AV$426,'Snowball workings'!$AV$426))</f>
      </c>
      <c r="T424" s="29">
        <f>IF(OR(419&gt;$Z$1,NOT(OR('Your debts'!$B$13&lt;&gt;"",N('Your debts'!$C$13)&gt;0))),"",IF('Your debts'!$D$20="Avalanche",'Avalanche workings'!$S$426,'Snowball workings'!$S$426)+IF('Your debts'!$D$20="Avalanche",'Avalanche workings'!$AM$426,'Snowball workings'!$AM$426))</f>
      </c>
      <c r="U424" s="30">
        <f>IF(OR(419&gt;$Z$1,NOT(OR('Your debts'!$B$13&lt;&gt;"",N('Your debts'!$C$13)&gt;0))),"",IF('Your debts'!$D$20="Avalanche",'Avalanche workings'!$AW$426,'Snowball workings'!$AW$426))</f>
      </c>
      <c r="V424" s="29">
        <f>IF(OR(419&gt;$Z$1,NOT(OR('Your debts'!$B$14&lt;&gt;"",N('Your debts'!$C$14)&gt;0))),"",IF('Your debts'!$D$20="Avalanche",'Avalanche workings'!$T$426,'Snowball workings'!$T$426)+IF('Your debts'!$D$20="Avalanche",'Avalanche workings'!$AN$426,'Snowball workings'!$AN$426))</f>
      </c>
      <c r="W424" s="30">
        <f>IF(OR(419&gt;$Z$1,NOT(OR('Your debts'!$B$14&lt;&gt;"",N('Your debts'!$C$14)&gt;0))),"",IF('Your debts'!$D$20="Avalanche",'Avalanche workings'!$AX$426,'Snowball workings'!$AX$426))</f>
      </c>
      <c r="X424" s="29">
        <f>IF(OR(419&gt;$Z$1,NOT(OR('Your debts'!$B$15&lt;&gt;"",N('Your debts'!$C$15)&gt;0))),"",IF('Your debts'!$D$20="Avalanche",'Avalanche workings'!$U$426,'Snowball workings'!$U$426)+IF('Your debts'!$D$20="Avalanche",'Avalanche workings'!$AO$426,'Snowball workings'!$AO$426))</f>
      </c>
      <c r="Y424" s="30">
        <f>IF(OR(419&gt;$Z$1,NOT(OR('Your debts'!$B$15&lt;&gt;"",N('Your debts'!$C$15)&gt;0))),"",IF('Your debts'!$D$20="Avalanche",'Avalanche workings'!$AY$426,'Snowball workings'!$AY$426))</f>
      </c>
    </row>
    <row r="425" spans="1:25" x14ac:dyDescent="0.25">
      <c r="A425" s="2">
        <f>IF(420&gt;$Z$1,"",420)</f>
      </c>
      <c r="B425" s="28">
        <f>IF(420&gt;$Z$1,"",EDATE('Your debts'!$D$21,419))</f>
      </c>
      <c r="C425" s="29">
        <f>IF(420&gt;$Z$1,"",IF('Your debts'!$D$20="Avalanche",'Avalanche workings'!$BC$427,'Snowball workings'!$BC$427))</f>
      </c>
      <c r="D425" s="29">
        <f>IF(420&gt;$Z$1,"",IF('Your debts'!$D$20="Avalanche",'Avalanche workings'!$BA$427,'Snowball workings'!$BA$427))</f>
      </c>
      <c r="E425" s="29">
        <f>IF(420&gt;$Z$1,"",IF('Your debts'!$D$20="Avalanche",'Avalanche workings'!$BB$427,'Snowball workings'!$BB$427))</f>
      </c>
      <c r="F425" s="29">
        <f>IF(OR(420&gt;$Z$1,NOT(OR('Your debts'!$B$6&lt;&gt;"",N('Your debts'!$C$6)&gt;0))),"",IF('Your debts'!$D$20="Avalanche",'Avalanche workings'!$L$427,'Snowball workings'!$L$427)+IF('Your debts'!$D$20="Avalanche",'Avalanche workings'!$AF$427,'Snowball workings'!$AF$427))</f>
      </c>
      <c r="G425" s="30">
        <f>IF(OR(420&gt;$Z$1,NOT(OR('Your debts'!$B$6&lt;&gt;"",N('Your debts'!$C$6)&gt;0))),"",IF('Your debts'!$D$20="Avalanche",'Avalanche workings'!$AP$427,'Snowball workings'!$AP$427))</f>
      </c>
      <c r="H425" s="29">
        <f>IF(OR(420&gt;$Z$1,NOT(OR('Your debts'!$B$7&lt;&gt;"",N('Your debts'!$C$7)&gt;0))),"",IF('Your debts'!$D$20="Avalanche",'Avalanche workings'!$M$427,'Snowball workings'!$M$427)+IF('Your debts'!$D$20="Avalanche",'Avalanche workings'!$AG$427,'Snowball workings'!$AG$427))</f>
      </c>
      <c r="I425" s="30">
        <f>IF(OR(420&gt;$Z$1,NOT(OR('Your debts'!$B$7&lt;&gt;"",N('Your debts'!$C$7)&gt;0))),"",IF('Your debts'!$D$20="Avalanche",'Avalanche workings'!$AQ$427,'Snowball workings'!$AQ$427))</f>
      </c>
      <c r="J425" s="29">
        <f>IF(OR(420&gt;$Z$1,NOT(OR('Your debts'!$B$8&lt;&gt;"",N('Your debts'!$C$8)&gt;0))),"",IF('Your debts'!$D$20="Avalanche",'Avalanche workings'!$N$427,'Snowball workings'!$N$427)+IF('Your debts'!$D$20="Avalanche",'Avalanche workings'!$AH$427,'Snowball workings'!$AH$427))</f>
      </c>
      <c r="K425" s="30">
        <f>IF(OR(420&gt;$Z$1,NOT(OR('Your debts'!$B$8&lt;&gt;"",N('Your debts'!$C$8)&gt;0))),"",IF('Your debts'!$D$20="Avalanche",'Avalanche workings'!$AR$427,'Snowball workings'!$AR$427))</f>
      </c>
      <c r="L425" s="29">
        <f>IF(OR(420&gt;$Z$1,NOT(OR('Your debts'!$B$9&lt;&gt;"",N('Your debts'!$C$9)&gt;0))),"",IF('Your debts'!$D$20="Avalanche",'Avalanche workings'!$O$427,'Snowball workings'!$O$427)+IF('Your debts'!$D$20="Avalanche",'Avalanche workings'!$AI$427,'Snowball workings'!$AI$427))</f>
      </c>
      <c r="M425" s="30">
        <f>IF(OR(420&gt;$Z$1,NOT(OR('Your debts'!$B$9&lt;&gt;"",N('Your debts'!$C$9)&gt;0))),"",IF('Your debts'!$D$20="Avalanche",'Avalanche workings'!$AS$427,'Snowball workings'!$AS$427))</f>
      </c>
      <c r="N425" s="29">
        <f>IF(OR(420&gt;$Z$1,NOT(OR('Your debts'!$B$10&lt;&gt;"",N('Your debts'!$C$10)&gt;0))),"",IF('Your debts'!$D$20="Avalanche",'Avalanche workings'!$P$427,'Snowball workings'!$P$427)+IF('Your debts'!$D$20="Avalanche",'Avalanche workings'!$AJ$427,'Snowball workings'!$AJ$427))</f>
      </c>
      <c r="O425" s="30">
        <f>IF(OR(420&gt;$Z$1,NOT(OR('Your debts'!$B$10&lt;&gt;"",N('Your debts'!$C$10)&gt;0))),"",IF('Your debts'!$D$20="Avalanche",'Avalanche workings'!$AT$427,'Snowball workings'!$AT$427))</f>
      </c>
      <c r="P425" s="29">
        <f>IF(OR(420&gt;$Z$1,NOT(OR('Your debts'!$B$11&lt;&gt;"",N('Your debts'!$C$11)&gt;0))),"",IF('Your debts'!$D$20="Avalanche",'Avalanche workings'!$Q$427,'Snowball workings'!$Q$427)+IF('Your debts'!$D$20="Avalanche",'Avalanche workings'!$AK$427,'Snowball workings'!$AK$427))</f>
      </c>
      <c r="Q425" s="30">
        <f>IF(OR(420&gt;$Z$1,NOT(OR('Your debts'!$B$11&lt;&gt;"",N('Your debts'!$C$11)&gt;0))),"",IF('Your debts'!$D$20="Avalanche",'Avalanche workings'!$AU$427,'Snowball workings'!$AU$427))</f>
      </c>
      <c r="R425" s="29">
        <f>IF(OR(420&gt;$Z$1,NOT(OR('Your debts'!$B$12&lt;&gt;"",N('Your debts'!$C$12)&gt;0))),"",IF('Your debts'!$D$20="Avalanche",'Avalanche workings'!$R$427,'Snowball workings'!$R$427)+IF('Your debts'!$D$20="Avalanche",'Avalanche workings'!$AL$427,'Snowball workings'!$AL$427))</f>
      </c>
      <c r="S425" s="30">
        <f>IF(OR(420&gt;$Z$1,NOT(OR('Your debts'!$B$12&lt;&gt;"",N('Your debts'!$C$12)&gt;0))),"",IF('Your debts'!$D$20="Avalanche",'Avalanche workings'!$AV$427,'Snowball workings'!$AV$427))</f>
      </c>
      <c r="T425" s="29">
        <f>IF(OR(420&gt;$Z$1,NOT(OR('Your debts'!$B$13&lt;&gt;"",N('Your debts'!$C$13)&gt;0))),"",IF('Your debts'!$D$20="Avalanche",'Avalanche workings'!$S$427,'Snowball workings'!$S$427)+IF('Your debts'!$D$20="Avalanche",'Avalanche workings'!$AM$427,'Snowball workings'!$AM$427))</f>
      </c>
      <c r="U425" s="30">
        <f>IF(OR(420&gt;$Z$1,NOT(OR('Your debts'!$B$13&lt;&gt;"",N('Your debts'!$C$13)&gt;0))),"",IF('Your debts'!$D$20="Avalanche",'Avalanche workings'!$AW$427,'Snowball workings'!$AW$427))</f>
      </c>
      <c r="V425" s="29">
        <f>IF(OR(420&gt;$Z$1,NOT(OR('Your debts'!$B$14&lt;&gt;"",N('Your debts'!$C$14)&gt;0))),"",IF('Your debts'!$D$20="Avalanche",'Avalanche workings'!$T$427,'Snowball workings'!$T$427)+IF('Your debts'!$D$20="Avalanche",'Avalanche workings'!$AN$427,'Snowball workings'!$AN$427))</f>
      </c>
      <c r="W425" s="30">
        <f>IF(OR(420&gt;$Z$1,NOT(OR('Your debts'!$B$14&lt;&gt;"",N('Your debts'!$C$14)&gt;0))),"",IF('Your debts'!$D$20="Avalanche",'Avalanche workings'!$AX$427,'Snowball workings'!$AX$427))</f>
      </c>
      <c r="X425" s="29">
        <f>IF(OR(420&gt;$Z$1,NOT(OR('Your debts'!$B$15&lt;&gt;"",N('Your debts'!$C$15)&gt;0))),"",IF('Your debts'!$D$20="Avalanche",'Avalanche workings'!$U$427,'Snowball workings'!$U$427)+IF('Your debts'!$D$20="Avalanche",'Avalanche workings'!$AO$427,'Snowball workings'!$AO$427))</f>
      </c>
      <c r="Y425" s="30">
        <f>IF(OR(420&gt;$Z$1,NOT(OR('Your debts'!$B$15&lt;&gt;"",N('Your debts'!$C$15)&gt;0))),"",IF('Your debts'!$D$20="Avalanche",'Avalanche workings'!$AY$427,'Snowball workings'!$AY$427))</f>
      </c>
    </row>
    <row r="426" spans="1:25" x14ac:dyDescent="0.25">
      <c r="A426" s="2">
        <f>IF(421&gt;$Z$1,"",421)</f>
      </c>
      <c r="B426" s="28">
        <f>IF(421&gt;$Z$1,"",EDATE('Your debts'!$D$21,420))</f>
      </c>
      <c r="C426" s="29">
        <f>IF(421&gt;$Z$1,"",IF('Your debts'!$D$20="Avalanche",'Avalanche workings'!$BC$428,'Snowball workings'!$BC$428))</f>
      </c>
      <c r="D426" s="29">
        <f>IF(421&gt;$Z$1,"",IF('Your debts'!$D$20="Avalanche",'Avalanche workings'!$BA$428,'Snowball workings'!$BA$428))</f>
      </c>
      <c r="E426" s="29">
        <f>IF(421&gt;$Z$1,"",IF('Your debts'!$D$20="Avalanche",'Avalanche workings'!$BB$428,'Snowball workings'!$BB$428))</f>
      </c>
      <c r="F426" s="29">
        <f>IF(OR(421&gt;$Z$1,NOT(OR('Your debts'!$B$6&lt;&gt;"",N('Your debts'!$C$6)&gt;0))),"",IF('Your debts'!$D$20="Avalanche",'Avalanche workings'!$L$428,'Snowball workings'!$L$428)+IF('Your debts'!$D$20="Avalanche",'Avalanche workings'!$AF$428,'Snowball workings'!$AF$428))</f>
      </c>
      <c r="G426" s="30">
        <f>IF(OR(421&gt;$Z$1,NOT(OR('Your debts'!$B$6&lt;&gt;"",N('Your debts'!$C$6)&gt;0))),"",IF('Your debts'!$D$20="Avalanche",'Avalanche workings'!$AP$428,'Snowball workings'!$AP$428))</f>
      </c>
      <c r="H426" s="29">
        <f>IF(OR(421&gt;$Z$1,NOT(OR('Your debts'!$B$7&lt;&gt;"",N('Your debts'!$C$7)&gt;0))),"",IF('Your debts'!$D$20="Avalanche",'Avalanche workings'!$M$428,'Snowball workings'!$M$428)+IF('Your debts'!$D$20="Avalanche",'Avalanche workings'!$AG$428,'Snowball workings'!$AG$428))</f>
      </c>
      <c r="I426" s="30">
        <f>IF(OR(421&gt;$Z$1,NOT(OR('Your debts'!$B$7&lt;&gt;"",N('Your debts'!$C$7)&gt;0))),"",IF('Your debts'!$D$20="Avalanche",'Avalanche workings'!$AQ$428,'Snowball workings'!$AQ$428))</f>
      </c>
      <c r="J426" s="29">
        <f>IF(OR(421&gt;$Z$1,NOT(OR('Your debts'!$B$8&lt;&gt;"",N('Your debts'!$C$8)&gt;0))),"",IF('Your debts'!$D$20="Avalanche",'Avalanche workings'!$N$428,'Snowball workings'!$N$428)+IF('Your debts'!$D$20="Avalanche",'Avalanche workings'!$AH$428,'Snowball workings'!$AH$428))</f>
      </c>
      <c r="K426" s="30">
        <f>IF(OR(421&gt;$Z$1,NOT(OR('Your debts'!$B$8&lt;&gt;"",N('Your debts'!$C$8)&gt;0))),"",IF('Your debts'!$D$20="Avalanche",'Avalanche workings'!$AR$428,'Snowball workings'!$AR$428))</f>
      </c>
      <c r="L426" s="29">
        <f>IF(OR(421&gt;$Z$1,NOT(OR('Your debts'!$B$9&lt;&gt;"",N('Your debts'!$C$9)&gt;0))),"",IF('Your debts'!$D$20="Avalanche",'Avalanche workings'!$O$428,'Snowball workings'!$O$428)+IF('Your debts'!$D$20="Avalanche",'Avalanche workings'!$AI$428,'Snowball workings'!$AI$428))</f>
      </c>
      <c r="M426" s="30">
        <f>IF(OR(421&gt;$Z$1,NOT(OR('Your debts'!$B$9&lt;&gt;"",N('Your debts'!$C$9)&gt;0))),"",IF('Your debts'!$D$20="Avalanche",'Avalanche workings'!$AS$428,'Snowball workings'!$AS$428))</f>
      </c>
      <c r="N426" s="29">
        <f>IF(OR(421&gt;$Z$1,NOT(OR('Your debts'!$B$10&lt;&gt;"",N('Your debts'!$C$10)&gt;0))),"",IF('Your debts'!$D$20="Avalanche",'Avalanche workings'!$P$428,'Snowball workings'!$P$428)+IF('Your debts'!$D$20="Avalanche",'Avalanche workings'!$AJ$428,'Snowball workings'!$AJ$428))</f>
      </c>
      <c r="O426" s="30">
        <f>IF(OR(421&gt;$Z$1,NOT(OR('Your debts'!$B$10&lt;&gt;"",N('Your debts'!$C$10)&gt;0))),"",IF('Your debts'!$D$20="Avalanche",'Avalanche workings'!$AT$428,'Snowball workings'!$AT$428))</f>
      </c>
      <c r="P426" s="29">
        <f>IF(OR(421&gt;$Z$1,NOT(OR('Your debts'!$B$11&lt;&gt;"",N('Your debts'!$C$11)&gt;0))),"",IF('Your debts'!$D$20="Avalanche",'Avalanche workings'!$Q$428,'Snowball workings'!$Q$428)+IF('Your debts'!$D$20="Avalanche",'Avalanche workings'!$AK$428,'Snowball workings'!$AK$428))</f>
      </c>
      <c r="Q426" s="30">
        <f>IF(OR(421&gt;$Z$1,NOT(OR('Your debts'!$B$11&lt;&gt;"",N('Your debts'!$C$11)&gt;0))),"",IF('Your debts'!$D$20="Avalanche",'Avalanche workings'!$AU$428,'Snowball workings'!$AU$428))</f>
      </c>
      <c r="R426" s="29">
        <f>IF(OR(421&gt;$Z$1,NOT(OR('Your debts'!$B$12&lt;&gt;"",N('Your debts'!$C$12)&gt;0))),"",IF('Your debts'!$D$20="Avalanche",'Avalanche workings'!$R$428,'Snowball workings'!$R$428)+IF('Your debts'!$D$20="Avalanche",'Avalanche workings'!$AL$428,'Snowball workings'!$AL$428))</f>
      </c>
      <c r="S426" s="30">
        <f>IF(OR(421&gt;$Z$1,NOT(OR('Your debts'!$B$12&lt;&gt;"",N('Your debts'!$C$12)&gt;0))),"",IF('Your debts'!$D$20="Avalanche",'Avalanche workings'!$AV$428,'Snowball workings'!$AV$428))</f>
      </c>
      <c r="T426" s="29">
        <f>IF(OR(421&gt;$Z$1,NOT(OR('Your debts'!$B$13&lt;&gt;"",N('Your debts'!$C$13)&gt;0))),"",IF('Your debts'!$D$20="Avalanche",'Avalanche workings'!$S$428,'Snowball workings'!$S$428)+IF('Your debts'!$D$20="Avalanche",'Avalanche workings'!$AM$428,'Snowball workings'!$AM$428))</f>
      </c>
      <c r="U426" s="30">
        <f>IF(OR(421&gt;$Z$1,NOT(OR('Your debts'!$B$13&lt;&gt;"",N('Your debts'!$C$13)&gt;0))),"",IF('Your debts'!$D$20="Avalanche",'Avalanche workings'!$AW$428,'Snowball workings'!$AW$428))</f>
      </c>
      <c r="V426" s="29">
        <f>IF(OR(421&gt;$Z$1,NOT(OR('Your debts'!$B$14&lt;&gt;"",N('Your debts'!$C$14)&gt;0))),"",IF('Your debts'!$D$20="Avalanche",'Avalanche workings'!$T$428,'Snowball workings'!$T$428)+IF('Your debts'!$D$20="Avalanche",'Avalanche workings'!$AN$428,'Snowball workings'!$AN$428))</f>
      </c>
      <c r="W426" s="30">
        <f>IF(OR(421&gt;$Z$1,NOT(OR('Your debts'!$B$14&lt;&gt;"",N('Your debts'!$C$14)&gt;0))),"",IF('Your debts'!$D$20="Avalanche",'Avalanche workings'!$AX$428,'Snowball workings'!$AX$428))</f>
      </c>
      <c r="X426" s="29">
        <f>IF(OR(421&gt;$Z$1,NOT(OR('Your debts'!$B$15&lt;&gt;"",N('Your debts'!$C$15)&gt;0))),"",IF('Your debts'!$D$20="Avalanche",'Avalanche workings'!$U$428,'Snowball workings'!$U$428)+IF('Your debts'!$D$20="Avalanche",'Avalanche workings'!$AO$428,'Snowball workings'!$AO$428))</f>
      </c>
      <c r="Y426" s="30">
        <f>IF(OR(421&gt;$Z$1,NOT(OR('Your debts'!$B$15&lt;&gt;"",N('Your debts'!$C$15)&gt;0))),"",IF('Your debts'!$D$20="Avalanche",'Avalanche workings'!$AY$428,'Snowball workings'!$AY$428))</f>
      </c>
    </row>
    <row r="427" spans="1:25" x14ac:dyDescent="0.25">
      <c r="A427" s="2">
        <f>IF(422&gt;$Z$1,"",422)</f>
      </c>
      <c r="B427" s="28">
        <f>IF(422&gt;$Z$1,"",EDATE('Your debts'!$D$21,421))</f>
      </c>
      <c r="C427" s="29">
        <f>IF(422&gt;$Z$1,"",IF('Your debts'!$D$20="Avalanche",'Avalanche workings'!$BC$429,'Snowball workings'!$BC$429))</f>
      </c>
      <c r="D427" s="29">
        <f>IF(422&gt;$Z$1,"",IF('Your debts'!$D$20="Avalanche",'Avalanche workings'!$BA$429,'Snowball workings'!$BA$429))</f>
      </c>
      <c r="E427" s="29">
        <f>IF(422&gt;$Z$1,"",IF('Your debts'!$D$20="Avalanche",'Avalanche workings'!$BB$429,'Snowball workings'!$BB$429))</f>
      </c>
      <c r="F427" s="29">
        <f>IF(OR(422&gt;$Z$1,NOT(OR('Your debts'!$B$6&lt;&gt;"",N('Your debts'!$C$6)&gt;0))),"",IF('Your debts'!$D$20="Avalanche",'Avalanche workings'!$L$429,'Snowball workings'!$L$429)+IF('Your debts'!$D$20="Avalanche",'Avalanche workings'!$AF$429,'Snowball workings'!$AF$429))</f>
      </c>
      <c r="G427" s="30">
        <f>IF(OR(422&gt;$Z$1,NOT(OR('Your debts'!$B$6&lt;&gt;"",N('Your debts'!$C$6)&gt;0))),"",IF('Your debts'!$D$20="Avalanche",'Avalanche workings'!$AP$429,'Snowball workings'!$AP$429))</f>
      </c>
      <c r="H427" s="29">
        <f>IF(OR(422&gt;$Z$1,NOT(OR('Your debts'!$B$7&lt;&gt;"",N('Your debts'!$C$7)&gt;0))),"",IF('Your debts'!$D$20="Avalanche",'Avalanche workings'!$M$429,'Snowball workings'!$M$429)+IF('Your debts'!$D$20="Avalanche",'Avalanche workings'!$AG$429,'Snowball workings'!$AG$429))</f>
      </c>
      <c r="I427" s="30">
        <f>IF(OR(422&gt;$Z$1,NOT(OR('Your debts'!$B$7&lt;&gt;"",N('Your debts'!$C$7)&gt;0))),"",IF('Your debts'!$D$20="Avalanche",'Avalanche workings'!$AQ$429,'Snowball workings'!$AQ$429))</f>
      </c>
      <c r="J427" s="29">
        <f>IF(OR(422&gt;$Z$1,NOT(OR('Your debts'!$B$8&lt;&gt;"",N('Your debts'!$C$8)&gt;0))),"",IF('Your debts'!$D$20="Avalanche",'Avalanche workings'!$N$429,'Snowball workings'!$N$429)+IF('Your debts'!$D$20="Avalanche",'Avalanche workings'!$AH$429,'Snowball workings'!$AH$429))</f>
      </c>
      <c r="K427" s="30">
        <f>IF(OR(422&gt;$Z$1,NOT(OR('Your debts'!$B$8&lt;&gt;"",N('Your debts'!$C$8)&gt;0))),"",IF('Your debts'!$D$20="Avalanche",'Avalanche workings'!$AR$429,'Snowball workings'!$AR$429))</f>
      </c>
      <c r="L427" s="29">
        <f>IF(OR(422&gt;$Z$1,NOT(OR('Your debts'!$B$9&lt;&gt;"",N('Your debts'!$C$9)&gt;0))),"",IF('Your debts'!$D$20="Avalanche",'Avalanche workings'!$O$429,'Snowball workings'!$O$429)+IF('Your debts'!$D$20="Avalanche",'Avalanche workings'!$AI$429,'Snowball workings'!$AI$429))</f>
      </c>
      <c r="M427" s="30">
        <f>IF(OR(422&gt;$Z$1,NOT(OR('Your debts'!$B$9&lt;&gt;"",N('Your debts'!$C$9)&gt;0))),"",IF('Your debts'!$D$20="Avalanche",'Avalanche workings'!$AS$429,'Snowball workings'!$AS$429))</f>
      </c>
      <c r="N427" s="29">
        <f>IF(OR(422&gt;$Z$1,NOT(OR('Your debts'!$B$10&lt;&gt;"",N('Your debts'!$C$10)&gt;0))),"",IF('Your debts'!$D$20="Avalanche",'Avalanche workings'!$P$429,'Snowball workings'!$P$429)+IF('Your debts'!$D$20="Avalanche",'Avalanche workings'!$AJ$429,'Snowball workings'!$AJ$429))</f>
      </c>
      <c r="O427" s="30">
        <f>IF(OR(422&gt;$Z$1,NOT(OR('Your debts'!$B$10&lt;&gt;"",N('Your debts'!$C$10)&gt;0))),"",IF('Your debts'!$D$20="Avalanche",'Avalanche workings'!$AT$429,'Snowball workings'!$AT$429))</f>
      </c>
      <c r="P427" s="29">
        <f>IF(OR(422&gt;$Z$1,NOT(OR('Your debts'!$B$11&lt;&gt;"",N('Your debts'!$C$11)&gt;0))),"",IF('Your debts'!$D$20="Avalanche",'Avalanche workings'!$Q$429,'Snowball workings'!$Q$429)+IF('Your debts'!$D$20="Avalanche",'Avalanche workings'!$AK$429,'Snowball workings'!$AK$429))</f>
      </c>
      <c r="Q427" s="30">
        <f>IF(OR(422&gt;$Z$1,NOT(OR('Your debts'!$B$11&lt;&gt;"",N('Your debts'!$C$11)&gt;0))),"",IF('Your debts'!$D$20="Avalanche",'Avalanche workings'!$AU$429,'Snowball workings'!$AU$429))</f>
      </c>
      <c r="R427" s="29">
        <f>IF(OR(422&gt;$Z$1,NOT(OR('Your debts'!$B$12&lt;&gt;"",N('Your debts'!$C$12)&gt;0))),"",IF('Your debts'!$D$20="Avalanche",'Avalanche workings'!$R$429,'Snowball workings'!$R$429)+IF('Your debts'!$D$20="Avalanche",'Avalanche workings'!$AL$429,'Snowball workings'!$AL$429))</f>
      </c>
      <c r="S427" s="30">
        <f>IF(OR(422&gt;$Z$1,NOT(OR('Your debts'!$B$12&lt;&gt;"",N('Your debts'!$C$12)&gt;0))),"",IF('Your debts'!$D$20="Avalanche",'Avalanche workings'!$AV$429,'Snowball workings'!$AV$429))</f>
      </c>
      <c r="T427" s="29">
        <f>IF(OR(422&gt;$Z$1,NOT(OR('Your debts'!$B$13&lt;&gt;"",N('Your debts'!$C$13)&gt;0))),"",IF('Your debts'!$D$20="Avalanche",'Avalanche workings'!$S$429,'Snowball workings'!$S$429)+IF('Your debts'!$D$20="Avalanche",'Avalanche workings'!$AM$429,'Snowball workings'!$AM$429))</f>
      </c>
      <c r="U427" s="30">
        <f>IF(OR(422&gt;$Z$1,NOT(OR('Your debts'!$B$13&lt;&gt;"",N('Your debts'!$C$13)&gt;0))),"",IF('Your debts'!$D$20="Avalanche",'Avalanche workings'!$AW$429,'Snowball workings'!$AW$429))</f>
      </c>
      <c r="V427" s="29">
        <f>IF(OR(422&gt;$Z$1,NOT(OR('Your debts'!$B$14&lt;&gt;"",N('Your debts'!$C$14)&gt;0))),"",IF('Your debts'!$D$20="Avalanche",'Avalanche workings'!$T$429,'Snowball workings'!$T$429)+IF('Your debts'!$D$20="Avalanche",'Avalanche workings'!$AN$429,'Snowball workings'!$AN$429))</f>
      </c>
      <c r="W427" s="30">
        <f>IF(OR(422&gt;$Z$1,NOT(OR('Your debts'!$B$14&lt;&gt;"",N('Your debts'!$C$14)&gt;0))),"",IF('Your debts'!$D$20="Avalanche",'Avalanche workings'!$AX$429,'Snowball workings'!$AX$429))</f>
      </c>
      <c r="X427" s="29">
        <f>IF(OR(422&gt;$Z$1,NOT(OR('Your debts'!$B$15&lt;&gt;"",N('Your debts'!$C$15)&gt;0))),"",IF('Your debts'!$D$20="Avalanche",'Avalanche workings'!$U$429,'Snowball workings'!$U$429)+IF('Your debts'!$D$20="Avalanche",'Avalanche workings'!$AO$429,'Snowball workings'!$AO$429))</f>
      </c>
      <c r="Y427" s="30">
        <f>IF(OR(422&gt;$Z$1,NOT(OR('Your debts'!$B$15&lt;&gt;"",N('Your debts'!$C$15)&gt;0))),"",IF('Your debts'!$D$20="Avalanche",'Avalanche workings'!$AY$429,'Snowball workings'!$AY$429))</f>
      </c>
    </row>
    <row r="428" spans="1:25" x14ac:dyDescent="0.25">
      <c r="A428" s="2">
        <f>IF(423&gt;$Z$1,"",423)</f>
      </c>
      <c r="B428" s="28">
        <f>IF(423&gt;$Z$1,"",EDATE('Your debts'!$D$21,422))</f>
      </c>
      <c r="C428" s="29">
        <f>IF(423&gt;$Z$1,"",IF('Your debts'!$D$20="Avalanche",'Avalanche workings'!$BC$430,'Snowball workings'!$BC$430))</f>
      </c>
      <c r="D428" s="29">
        <f>IF(423&gt;$Z$1,"",IF('Your debts'!$D$20="Avalanche",'Avalanche workings'!$BA$430,'Snowball workings'!$BA$430))</f>
      </c>
      <c r="E428" s="29">
        <f>IF(423&gt;$Z$1,"",IF('Your debts'!$D$20="Avalanche",'Avalanche workings'!$BB$430,'Snowball workings'!$BB$430))</f>
      </c>
      <c r="F428" s="29">
        <f>IF(OR(423&gt;$Z$1,NOT(OR('Your debts'!$B$6&lt;&gt;"",N('Your debts'!$C$6)&gt;0))),"",IF('Your debts'!$D$20="Avalanche",'Avalanche workings'!$L$430,'Snowball workings'!$L$430)+IF('Your debts'!$D$20="Avalanche",'Avalanche workings'!$AF$430,'Snowball workings'!$AF$430))</f>
      </c>
      <c r="G428" s="30">
        <f>IF(OR(423&gt;$Z$1,NOT(OR('Your debts'!$B$6&lt;&gt;"",N('Your debts'!$C$6)&gt;0))),"",IF('Your debts'!$D$20="Avalanche",'Avalanche workings'!$AP$430,'Snowball workings'!$AP$430))</f>
      </c>
      <c r="H428" s="29">
        <f>IF(OR(423&gt;$Z$1,NOT(OR('Your debts'!$B$7&lt;&gt;"",N('Your debts'!$C$7)&gt;0))),"",IF('Your debts'!$D$20="Avalanche",'Avalanche workings'!$M$430,'Snowball workings'!$M$430)+IF('Your debts'!$D$20="Avalanche",'Avalanche workings'!$AG$430,'Snowball workings'!$AG$430))</f>
      </c>
      <c r="I428" s="30">
        <f>IF(OR(423&gt;$Z$1,NOT(OR('Your debts'!$B$7&lt;&gt;"",N('Your debts'!$C$7)&gt;0))),"",IF('Your debts'!$D$20="Avalanche",'Avalanche workings'!$AQ$430,'Snowball workings'!$AQ$430))</f>
      </c>
      <c r="J428" s="29">
        <f>IF(OR(423&gt;$Z$1,NOT(OR('Your debts'!$B$8&lt;&gt;"",N('Your debts'!$C$8)&gt;0))),"",IF('Your debts'!$D$20="Avalanche",'Avalanche workings'!$N$430,'Snowball workings'!$N$430)+IF('Your debts'!$D$20="Avalanche",'Avalanche workings'!$AH$430,'Snowball workings'!$AH$430))</f>
      </c>
      <c r="K428" s="30">
        <f>IF(OR(423&gt;$Z$1,NOT(OR('Your debts'!$B$8&lt;&gt;"",N('Your debts'!$C$8)&gt;0))),"",IF('Your debts'!$D$20="Avalanche",'Avalanche workings'!$AR$430,'Snowball workings'!$AR$430))</f>
      </c>
      <c r="L428" s="29">
        <f>IF(OR(423&gt;$Z$1,NOT(OR('Your debts'!$B$9&lt;&gt;"",N('Your debts'!$C$9)&gt;0))),"",IF('Your debts'!$D$20="Avalanche",'Avalanche workings'!$O$430,'Snowball workings'!$O$430)+IF('Your debts'!$D$20="Avalanche",'Avalanche workings'!$AI$430,'Snowball workings'!$AI$430))</f>
      </c>
      <c r="M428" s="30">
        <f>IF(OR(423&gt;$Z$1,NOT(OR('Your debts'!$B$9&lt;&gt;"",N('Your debts'!$C$9)&gt;0))),"",IF('Your debts'!$D$20="Avalanche",'Avalanche workings'!$AS$430,'Snowball workings'!$AS$430))</f>
      </c>
      <c r="N428" s="29">
        <f>IF(OR(423&gt;$Z$1,NOT(OR('Your debts'!$B$10&lt;&gt;"",N('Your debts'!$C$10)&gt;0))),"",IF('Your debts'!$D$20="Avalanche",'Avalanche workings'!$P$430,'Snowball workings'!$P$430)+IF('Your debts'!$D$20="Avalanche",'Avalanche workings'!$AJ$430,'Snowball workings'!$AJ$430))</f>
      </c>
      <c r="O428" s="30">
        <f>IF(OR(423&gt;$Z$1,NOT(OR('Your debts'!$B$10&lt;&gt;"",N('Your debts'!$C$10)&gt;0))),"",IF('Your debts'!$D$20="Avalanche",'Avalanche workings'!$AT$430,'Snowball workings'!$AT$430))</f>
      </c>
      <c r="P428" s="29">
        <f>IF(OR(423&gt;$Z$1,NOT(OR('Your debts'!$B$11&lt;&gt;"",N('Your debts'!$C$11)&gt;0))),"",IF('Your debts'!$D$20="Avalanche",'Avalanche workings'!$Q$430,'Snowball workings'!$Q$430)+IF('Your debts'!$D$20="Avalanche",'Avalanche workings'!$AK$430,'Snowball workings'!$AK$430))</f>
      </c>
      <c r="Q428" s="30">
        <f>IF(OR(423&gt;$Z$1,NOT(OR('Your debts'!$B$11&lt;&gt;"",N('Your debts'!$C$11)&gt;0))),"",IF('Your debts'!$D$20="Avalanche",'Avalanche workings'!$AU$430,'Snowball workings'!$AU$430))</f>
      </c>
      <c r="R428" s="29">
        <f>IF(OR(423&gt;$Z$1,NOT(OR('Your debts'!$B$12&lt;&gt;"",N('Your debts'!$C$12)&gt;0))),"",IF('Your debts'!$D$20="Avalanche",'Avalanche workings'!$R$430,'Snowball workings'!$R$430)+IF('Your debts'!$D$20="Avalanche",'Avalanche workings'!$AL$430,'Snowball workings'!$AL$430))</f>
      </c>
      <c r="S428" s="30">
        <f>IF(OR(423&gt;$Z$1,NOT(OR('Your debts'!$B$12&lt;&gt;"",N('Your debts'!$C$12)&gt;0))),"",IF('Your debts'!$D$20="Avalanche",'Avalanche workings'!$AV$430,'Snowball workings'!$AV$430))</f>
      </c>
      <c r="T428" s="29">
        <f>IF(OR(423&gt;$Z$1,NOT(OR('Your debts'!$B$13&lt;&gt;"",N('Your debts'!$C$13)&gt;0))),"",IF('Your debts'!$D$20="Avalanche",'Avalanche workings'!$S$430,'Snowball workings'!$S$430)+IF('Your debts'!$D$20="Avalanche",'Avalanche workings'!$AM$430,'Snowball workings'!$AM$430))</f>
      </c>
      <c r="U428" s="30">
        <f>IF(OR(423&gt;$Z$1,NOT(OR('Your debts'!$B$13&lt;&gt;"",N('Your debts'!$C$13)&gt;0))),"",IF('Your debts'!$D$20="Avalanche",'Avalanche workings'!$AW$430,'Snowball workings'!$AW$430))</f>
      </c>
      <c r="V428" s="29">
        <f>IF(OR(423&gt;$Z$1,NOT(OR('Your debts'!$B$14&lt;&gt;"",N('Your debts'!$C$14)&gt;0))),"",IF('Your debts'!$D$20="Avalanche",'Avalanche workings'!$T$430,'Snowball workings'!$T$430)+IF('Your debts'!$D$20="Avalanche",'Avalanche workings'!$AN$430,'Snowball workings'!$AN$430))</f>
      </c>
      <c r="W428" s="30">
        <f>IF(OR(423&gt;$Z$1,NOT(OR('Your debts'!$B$14&lt;&gt;"",N('Your debts'!$C$14)&gt;0))),"",IF('Your debts'!$D$20="Avalanche",'Avalanche workings'!$AX$430,'Snowball workings'!$AX$430))</f>
      </c>
      <c r="X428" s="29">
        <f>IF(OR(423&gt;$Z$1,NOT(OR('Your debts'!$B$15&lt;&gt;"",N('Your debts'!$C$15)&gt;0))),"",IF('Your debts'!$D$20="Avalanche",'Avalanche workings'!$U$430,'Snowball workings'!$U$430)+IF('Your debts'!$D$20="Avalanche",'Avalanche workings'!$AO$430,'Snowball workings'!$AO$430))</f>
      </c>
      <c r="Y428" s="30">
        <f>IF(OR(423&gt;$Z$1,NOT(OR('Your debts'!$B$15&lt;&gt;"",N('Your debts'!$C$15)&gt;0))),"",IF('Your debts'!$D$20="Avalanche",'Avalanche workings'!$AY$430,'Snowball workings'!$AY$430))</f>
      </c>
    </row>
    <row r="429" spans="1:25" x14ac:dyDescent="0.25">
      <c r="A429" s="2">
        <f>IF(424&gt;$Z$1,"",424)</f>
      </c>
      <c r="B429" s="28">
        <f>IF(424&gt;$Z$1,"",EDATE('Your debts'!$D$21,423))</f>
      </c>
      <c r="C429" s="29">
        <f>IF(424&gt;$Z$1,"",IF('Your debts'!$D$20="Avalanche",'Avalanche workings'!$BC$431,'Snowball workings'!$BC$431))</f>
      </c>
      <c r="D429" s="29">
        <f>IF(424&gt;$Z$1,"",IF('Your debts'!$D$20="Avalanche",'Avalanche workings'!$BA$431,'Snowball workings'!$BA$431))</f>
      </c>
      <c r="E429" s="29">
        <f>IF(424&gt;$Z$1,"",IF('Your debts'!$D$20="Avalanche",'Avalanche workings'!$BB$431,'Snowball workings'!$BB$431))</f>
      </c>
      <c r="F429" s="29">
        <f>IF(OR(424&gt;$Z$1,NOT(OR('Your debts'!$B$6&lt;&gt;"",N('Your debts'!$C$6)&gt;0))),"",IF('Your debts'!$D$20="Avalanche",'Avalanche workings'!$L$431,'Snowball workings'!$L$431)+IF('Your debts'!$D$20="Avalanche",'Avalanche workings'!$AF$431,'Snowball workings'!$AF$431))</f>
      </c>
      <c r="G429" s="30">
        <f>IF(OR(424&gt;$Z$1,NOT(OR('Your debts'!$B$6&lt;&gt;"",N('Your debts'!$C$6)&gt;0))),"",IF('Your debts'!$D$20="Avalanche",'Avalanche workings'!$AP$431,'Snowball workings'!$AP$431))</f>
      </c>
      <c r="H429" s="29">
        <f>IF(OR(424&gt;$Z$1,NOT(OR('Your debts'!$B$7&lt;&gt;"",N('Your debts'!$C$7)&gt;0))),"",IF('Your debts'!$D$20="Avalanche",'Avalanche workings'!$M$431,'Snowball workings'!$M$431)+IF('Your debts'!$D$20="Avalanche",'Avalanche workings'!$AG$431,'Snowball workings'!$AG$431))</f>
      </c>
      <c r="I429" s="30">
        <f>IF(OR(424&gt;$Z$1,NOT(OR('Your debts'!$B$7&lt;&gt;"",N('Your debts'!$C$7)&gt;0))),"",IF('Your debts'!$D$20="Avalanche",'Avalanche workings'!$AQ$431,'Snowball workings'!$AQ$431))</f>
      </c>
      <c r="J429" s="29">
        <f>IF(OR(424&gt;$Z$1,NOT(OR('Your debts'!$B$8&lt;&gt;"",N('Your debts'!$C$8)&gt;0))),"",IF('Your debts'!$D$20="Avalanche",'Avalanche workings'!$N$431,'Snowball workings'!$N$431)+IF('Your debts'!$D$20="Avalanche",'Avalanche workings'!$AH$431,'Snowball workings'!$AH$431))</f>
      </c>
      <c r="K429" s="30">
        <f>IF(OR(424&gt;$Z$1,NOT(OR('Your debts'!$B$8&lt;&gt;"",N('Your debts'!$C$8)&gt;0))),"",IF('Your debts'!$D$20="Avalanche",'Avalanche workings'!$AR$431,'Snowball workings'!$AR$431))</f>
      </c>
      <c r="L429" s="29">
        <f>IF(OR(424&gt;$Z$1,NOT(OR('Your debts'!$B$9&lt;&gt;"",N('Your debts'!$C$9)&gt;0))),"",IF('Your debts'!$D$20="Avalanche",'Avalanche workings'!$O$431,'Snowball workings'!$O$431)+IF('Your debts'!$D$20="Avalanche",'Avalanche workings'!$AI$431,'Snowball workings'!$AI$431))</f>
      </c>
      <c r="M429" s="30">
        <f>IF(OR(424&gt;$Z$1,NOT(OR('Your debts'!$B$9&lt;&gt;"",N('Your debts'!$C$9)&gt;0))),"",IF('Your debts'!$D$20="Avalanche",'Avalanche workings'!$AS$431,'Snowball workings'!$AS$431))</f>
      </c>
      <c r="N429" s="29">
        <f>IF(OR(424&gt;$Z$1,NOT(OR('Your debts'!$B$10&lt;&gt;"",N('Your debts'!$C$10)&gt;0))),"",IF('Your debts'!$D$20="Avalanche",'Avalanche workings'!$P$431,'Snowball workings'!$P$431)+IF('Your debts'!$D$20="Avalanche",'Avalanche workings'!$AJ$431,'Snowball workings'!$AJ$431))</f>
      </c>
      <c r="O429" s="30">
        <f>IF(OR(424&gt;$Z$1,NOT(OR('Your debts'!$B$10&lt;&gt;"",N('Your debts'!$C$10)&gt;0))),"",IF('Your debts'!$D$20="Avalanche",'Avalanche workings'!$AT$431,'Snowball workings'!$AT$431))</f>
      </c>
      <c r="P429" s="29">
        <f>IF(OR(424&gt;$Z$1,NOT(OR('Your debts'!$B$11&lt;&gt;"",N('Your debts'!$C$11)&gt;0))),"",IF('Your debts'!$D$20="Avalanche",'Avalanche workings'!$Q$431,'Snowball workings'!$Q$431)+IF('Your debts'!$D$20="Avalanche",'Avalanche workings'!$AK$431,'Snowball workings'!$AK$431))</f>
      </c>
      <c r="Q429" s="30">
        <f>IF(OR(424&gt;$Z$1,NOT(OR('Your debts'!$B$11&lt;&gt;"",N('Your debts'!$C$11)&gt;0))),"",IF('Your debts'!$D$20="Avalanche",'Avalanche workings'!$AU$431,'Snowball workings'!$AU$431))</f>
      </c>
      <c r="R429" s="29">
        <f>IF(OR(424&gt;$Z$1,NOT(OR('Your debts'!$B$12&lt;&gt;"",N('Your debts'!$C$12)&gt;0))),"",IF('Your debts'!$D$20="Avalanche",'Avalanche workings'!$R$431,'Snowball workings'!$R$431)+IF('Your debts'!$D$20="Avalanche",'Avalanche workings'!$AL$431,'Snowball workings'!$AL$431))</f>
      </c>
      <c r="S429" s="30">
        <f>IF(OR(424&gt;$Z$1,NOT(OR('Your debts'!$B$12&lt;&gt;"",N('Your debts'!$C$12)&gt;0))),"",IF('Your debts'!$D$20="Avalanche",'Avalanche workings'!$AV$431,'Snowball workings'!$AV$431))</f>
      </c>
      <c r="T429" s="29">
        <f>IF(OR(424&gt;$Z$1,NOT(OR('Your debts'!$B$13&lt;&gt;"",N('Your debts'!$C$13)&gt;0))),"",IF('Your debts'!$D$20="Avalanche",'Avalanche workings'!$S$431,'Snowball workings'!$S$431)+IF('Your debts'!$D$20="Avalanche",'Avalanche workings'!$AM$431,'Snowball workings'!$AM$431))</f>
      </c>
      <c r="U429" s="30">
        <f>IF(OR(424&gt;$Z$1,NOT(OR('Your debts'!$B$13&lt;&gt;"",N('Your debts'!$C$13)&gt;0))),"",IF('Your debts'!$D$20="Avalanche",'Avalanche workings'!$AW$431,'Snowball workings'!$AW$431))</f>
      </c>
      <c r="V429" s="29">
        <f>IF(OR(424&gt;$Z$1,NOT(OR('Your debts'!$B$14&lt;&gt;"",N('Your debts'!$C$14)&gt;0))),"",IF('Your debts'!$D$20="Avalanche",'Avalanche workings'!$T$431,'Snowball workings'!$T$431)+IF('Your debts'!$D$20="Avalanche",'Avalanche workings'!$AN$431,'Snowball workings'!$AN$431))</f>
      </c>
      <c r="W429" s="30">
        <f>IF(OR(424&gt;$Z$1,NOT(OR('Your debts'!$B$14&lt;&gt;"",N('Your debts'!$C$14)&gt;0))),"",IF('Your debts'!$D$20="Avalanche",'Avalanche workings'!$AX$431,'Snowball workings'!$AX$431))</f>
      </c>
      <c r="X429" s="29">
        <f>IF(OR(424&gt;$Z$1,NOT(OR('Your debts'!$B$15&lt;&gt;"",N('Your debts'!$C$15)&gt;0))),"",IF('Your debts'!$D$20="Avalanche",'Avalanche workings'!$U$431,'Snowball workings'!$U$431)+IF('Your debts'!$D$20="Avalanche",'Avalanche workings'!$AO$431,'Snowball workings'!$AO$431))</f>
      </c>
      <c r="Y429" s="30">
        <f>IF(OR(424&gt;$Z$1,NOT(OR('Your debts'!$B$15&lt;&gt;"",N('Your debts'!$C$15)&gt;0))),"",IF('Your debts'!$D$20="Avalanche",'Avalanche workings'!$AY$431,'Snowball workings'!$AY$431))</f>
      </c>
    </row>
    <row r="430" spans="1:25" x14ac:dyDescent="0.25">
      <c r="A430" s="2">
        <f>IF(425&gt;$Z$1,"",425)</f>
      </c>
      <c r="B430" s="28">
        <f>IF(425&gt;$Z$1,"",EDATE('Your debts'!$D$21,424))</f>
      </c>
      <c r="C430" s="29">
        <f>IF(425&gt;$Z$1,"",IF('Your debts'!$D$20="Avalanche",'Avalanche workings'!$BC$432,'Snowball workings'!$BC$432))</f>
      </c>
      <c r="D430" s="29">
        <f>IF(425&gt;$Z$1,"",IF('Your debts'!$D$20="Avalanche",'Avalanche workings'!$BA$432,'Snowball workings'!$BA$432))</f>
      </c>
      <c r="E430" s="29">
        <f>IF(425&gt;$Z$1,"",IF('Your debts'!$D$20="Avalanche",'Avalanche workings'!$BB$432,'Snowball workings'!$BB$432))</f>
      </c>
      <c r="F430" s="29">
        <f>IF(OR(425&gt;$Z$1,NOT(OR('Your debts'!$B$6&lt;&gt;"",N('Your debts'!$C$6)&gt;0))),"",IF('Your debts'!$D$20="Avalanche",'Avalanche workings'!$L$432,'Snowball workings'!$L$432)+IF('Your debts'!$D$20="Avalanche",'Avalanche workings'!$AF$432,'Snowball workings'!$AF$432))</f>
      </c>
      <c r="G430" s="30">
        <f>IF(OR(425&gt;$Z$1,NOT(OR('Your debts'!$B$6&lt;&gt;"",N('Your debts'!$C$6)&gt;0))),"",IF('Your debts'!$D$20="Avalanche",'Avalanche workings'!$AP$432,'Snowball workings'!$AP$432))</f>
      </c>
      <c r="H430" s="29">
        <f>IF(OR(425&gt;$Z$1,NOT(OR('Your debts'!$B$7&lt;&gt;"",N('Your debts'!$C$7)&gt;0))),"",IF('Your debts'!$D$20="Avalanche",'Avalanche workings'!$M$432,'Snowball workings'!$M$432)+IF('Your debts'!$D$20="Avalanche",'Avalanche workings'!$AG$432,'Snowball workings'!$AG$432))</f>
      </c>
      <c r="I430" s="30">
        <f>IF(OR(425&gt;$Z$1,NOT(OR('Your debts'!$B$7&lt;&gt;"",N('Your debts'!$C$7)&gt;0))),"",IF('Your debts'!$D$20="Avalanche",'Avalanche workings'!$AQ$432,'Snowball workings'!$AQ$432))</f>
      </c>
      <c r="J430" s="29">
        <f>IF(OR(425&gt;$Z$1,NOT(OR('Your debts'!$B$8&lt;&gt;"",N('Your debts'!$C$8)&gt;0))),"",IF('Your debts'!$D$20="Avalanche",'Avalanche workings'!$N$432,'Snowball workings'!$N$432)+IF('Your debts'!$D$20="Avalanche",'Avalanche workings'!$AH$432,'Snowball workings'!$AH$432))</f>
      </c>
      <c r="K430" s="30">
        <f>IF(OR(425&gt;$Z$1,NOT(OR('Your debts'!$B$8&lt;&gt;"",N('Your debts'!$C$8)&gt;0))),"",IF('Your debts'!$D$20="Avalanche",'Avalanche workings'!$AR$432,'Snowball workings'!$AR$432))</f>
      </c>
      <c r="L430" s="29">
        <f>IF(OR(425&gt;$Z$1,NOT(OR('Your debts'!$B$9&lt;&gt;"",N('Your debts'!$C$9)&gt;0))),"",IF('Your debts'!$D$20="Avalanche",'Avalanche workings'!$O$432,'Snowball workings'!$O$432)+IF('Your debts'!$D$20="Avalanche",'Avalanche workings'!$AI$432,'Snowball workings'!$AI$432))</f>
      </c>
      <c r="M430" s="30">
        <f>IF(OR(425&gt;$Z$1,NOT(OR('Your debts'!$B$9&lt;&gt;"",N('Your debts'!$C$9)&gt;0))),"",IF('Your debts'!$D$20="Avalanche",'Avalanche workings'!$AS$432,'Snowball workings'!$AS$432))</f>
      </c>
      <c r="N430" s="29">
        <f>IF(OR(425&gt;$Z$1,NOT(OR('Your debts'!$B$10&lt;&gt;"",N('Your debts'!$C$10)&gt;0))),"",IF('Your debts'!$D$20="Avalanche",'Avalanche workings'!$P$432,'Snowball workings'!$P$432)+IF('Your debts'!$D$20="Avalanche",'Avalanche workings'!$AJ$432,'Snowball workings'!$AJ$432))</f>
      </c>
      <c r="O430" s="30">
        <f>IF(OR(425&gt;$Z$1,NOT(OR('Your debts'!$B$10&lt;&gt;"",N('Your debts'!$C$10)&gt;0))),"",IF('Your debts'!$D$20="Avalanche",'Avalanche workings'!$AT$432,'Snowball workings'!$AT$432))</f>
      </c>
      <c r="P430" s="29">
        <f>IF(OR(425&gt;$Z$1,NOT(OR('Your debts'!$B$11&lt;&gt;"",N('Your debts'!$C$11)&gt;0))),"",IF('Your debts'!$D$20="Avalanche",'Avalanche workings'!$Q$432,'Snowball workings'!$Q$432)+IF('Your debts'!$D$20="Avalanche",'Avalanche workings'!$AK$432,'Snowball workings'!$AK$432))</f>
      </c>
      <c r="Q430" s="30">
        <f>IF(OR(425&gt;$Z$1,NOT(OR('Your debts'!$B$11&lt;&gt;"",N('Your debts'!$C$11)&gt;0))),"",IF('Your debts'!$D$20="Avalanche",'Avalanche workings'!$AU$432,'Snowball workings'!$AU$432))</f>
      </c>
      <c r="R430" s="29">
        <f>IF(OR(425&gt;$Z$1,NOT(OR('Your debts'!$B$12&lt;&gt;"",N('Your debts'!$C$12)&gt;0))),"",IF('Your debts'!$D$20="Avalanche",'Avalanche workings'!$R$432,'Snowball workings'!$R$432)+IF('Your debts'!$D$20="Avalanche",'Avalanche workings'!$AL$432,'Snowball workings'!$AL$432))</f>
      </c>
      <c r="S430" s="30">
        <f>IF(OR(425&gt;$Z$1,NOT(OR('Your debts'!$B$12&lt;&gt;"",N('Your debts'!$C$12)&gt;0))),"",IF('Your debts'!$D$20="Avalanche",'Avalanche workings'!$AV$432,'Snowball workings'!$AV$432))</f>
      </c>
      <c r="T430" s="29">
        <f>IF(OR(425&gt;$Z$1,NOT(OR('Your debts'!$B$13&lt;&gt;"",N('Your debts'!$C$13)&gt;0))),"",IF('Your debts'!$D$20="Avalanche",'Avalanche workings'!$S$432,'Snowball workings'!$S$432)+IF('Your debts'!$D$20="Avalanche",'Avalanche workings'!$AM$432,'Snowball workings'!$AM$432))</f>
      </c>
      <c r="U430" s="30">
        <f>IF(OR(425&gt;$Z$1,NOT(OR('Your debts'!$B$13&lt;&gt;"",N('Your debts'!$C$13)&gt;0))),"",IF('Your debts'!$D$20="Avalanche",'Avalanche workings'!$AW$432,'Snowball workings'!$AW$432))</f>
      </c>
      <c r="V430" s="29">
        <f>IF(OR(425&gt;$Z$1,NOT(OR('Your debts'!$B$14&lt;&gt;"",N('Your debts'!$C$14)&gt;0))),"",IF('Your debts'!$D$20="Avalanche",'Avalanche workings'!$T$432,'Snowball workings'!$T$432)+IF('Your debts'!$D$20="Avalanche",'Avalanche workings'!$AN$432,'Snowball workings'!$AN$432))</f>
      </c>
      <c r="W430" s="30">
        <f>IF(OR(425&gt;$Z$1,NOT(OR('Your debts'!$B$14&lt;&gt;"",N('Your debts'!$C$14)&gt;0))),"",IF('Your debts'!$D$20="Avalanche",'Avalanche workings'!$AX$432,'Snowball workings'!$AX$432))</f>
      </c>
      <c r="X430" s="29">
        <f>IF(OR(425&gt;$Z$1,NOT(OR('Your debts'!$B$15&lt;&gt;"",N('Your debts'!$C$15)&gt;0))),"",IF('Your debts'!$D$20="Avalanche",'Avalanche workings'!$U$432,'Snowball workings'!$U$432)+IF('Your debts'!$D$20="Avalanche",'Avalanche workings'!$AO$432,'Snowball workings'!$AO$432))</f>
      </c>
      <c r="Y430" s="30">
        <f>IF(OR(425&gt;$Z$1,NOT(OR('Your debts'!$B$15&lt;&gt;"",N('Your debts'!$C$15)&gt;0))),"",IF('Your debts'!$D$20="Avalanche",'Avalanche workings'!$AY$432,'Snowball workings'!$AY$432))</f>
      </c>
    </row>
    <row r="431" spans="1:25" x14ac:dyDescent="0.25">
      <c r="A431" s="2">
        <f>IF(426&gt;$Z$1,"",426)</f>
      </c>
      <c r="B431" s="28">
        <f>IF(426&gt;$Z$1,"",EDATE('Your debts'!$D$21,425))</f>
      </c>
      <c r="C431" s="29">
        <f>IF(426&gt;$Z$1,"",IF('Your debts'!$D$20="Avalanche",'Avalanche workings'!$BC$433,'Snowball workings'!$BC$433))</f>
      </c>
      <c r="D431" s="29">
        <f>IF(426&gt;$Z$1,"",IF('Your debts'!$D$20="Avalanche",'Avalanche workings'!$BA$433,'Snowball workings'!$BA$433))</f>
      </c>
      <c r="E431" s="29">
        <f>IF(426&gt;$Z$1,"",IF('Your debts'!$D$20="Avalanche",'Avalanche workings'!$BB$433,'Snowball workings'!$BB$433))</f>
      </c>
      <c r="F431" s="29">
        <f>IF(OR(426&gt;$Z$1,NOT(OR('Your debts'!$B$6&lt;&gt;"",N('Your debts'!$C$6)&gt;0))),"",IF('Your debts'!$D$20="Avalanche",'Avalanche workings'!$L$433,'Snowball workings'!$L$433)+IF('Your debts'!$D$20="Avalanche",'Avalanche workings'!$AF$433,'Snowball workings'!$AF$433))</f>
      </c>
      <c r="G431" s="30">
        <f>IF(OR(426&gt;$Z$1,NOT(OR('Your debts'!$B$6&lt;&gt;"",N('Your debts'!$C$6)&gt;0))),"",IF('Your debts'!$D$20="Avalanche",'Avalanche workings'!$AP$433,'Snowball workings'!$AP$433))</f>
      </c>
      <c r="H431" s="29">
        <f>IF(OR(426&gt;$Z$1,NOT(OR('Your debts'!$B$7&lt;&gt;"",N('Your debts'!$C$7)&gt;0))),"",IF('Your debts'!$D$20="Avalanche",'Avalanche workings'!$M$433,'Snowball workings'!$M$433)+IF('Your debts'!$D$20="Avalanche",'Avalanche workings'!$AG$433,'Snowball workings'!$AG$433))</f>
      </c>
      <c r="I431" s="30">
        <f>IF(OR(426&gt;$Z$1,NOT(OR('Your debts'!$B$7&lt;&gt;"",N('Your debts'!$C$7)&gt;0))),"",IF('Your debts'!$D$20="Avalanche",'Avalanche workings'!$AQ$433,'Snowball workings'!$AQ$433))</f>
      </c>
      <c r="J431" s="29">
        <f>IF(OR(426&gt;$Z$1,NOT(OR('Your debts'!$B$8&lt;&gt;"",N('Your debts'!$C$8)&gt;0))),"",IF('Your debts'!$D$20="Avalanche",'Avalanche workings'!$N$433,'Snowball workings'!$N$433)+IF('Your debts'!$D$20="Avalanche",'Avalanche workings'!$AH$433,'Snowball workings'!$AH$433))</f>
      </c>
      <c r="K431" s="30">
        <f>IF(OR(426&gt;$Z$1,NOT(OR('Your debts'!$B$8&lt;&gt;"",N('Your debts'!$C$8)&gt;0))),"",IF('Your debts'!$D$20="Avalanche",'Avalanche workings'!$AR$433,'Snowball workings'!$AR$433))</f>
      </c>
      <c r="L431" s="29">
        <f>IF(OR(426&gt;$Z$1,NOT(OR('Your debts'!$B$9&lt;&gt;"",N('Your debts'!$C$9)&gt;0))),"",IF('Your debts'!$D$20="Avalanche",'Avalanche workings'!$O$433,'Snowball workings'!$O$433)+IF('Your debts'!$D$20="Avalanche",'Avalanche workings'!$AI$433,'Snowball workings'!$AI$433))</f>
      </c>
      <c r="M431" s="30">
        <f>IF(OR(426&gt;$Z$1,NOT(OR('Your debts'!$B$9&lt;&gt;"",N('Your debts'!$C$9)&gt;0))),"",IF('Your debts'!$D$20="Avalanche",'Avalanche workings'!$AS$433,'Snowball workings'!$AS$433))</f>
      </c>
      <c r="N431" s="29">
        <f>IF(OR(426&gt;$Z$1,NOT(OR('Your debts'!$B$10&lt;&gt;"",N('Your debts'!$C$10)&gt;0))),"",IF('Your debts'!$D$20="Avalanche",'Avalanche workings'!$P$433,'Snowball workings'!$P$433)+IF('Your debts'!$D$20="Avalanche",'Avalanche workings'!$AJ$433,'Snowball workings'!$AJ$433))</f>
      </c>
      <c r="O431" s="30">
        <f>IF(OR(426&gt;$Z$1,NOT(OR('Your debts'!$B$10&lt;&gt;"",N('Your debts'!$C$10)&gt;0))),"",IF('Your debts'!$D$20="Avalanche",'Avalanche workings'!$AT$433,'Snowball workings'!$AT$433))</f>
      </c>
      <c r="P431" s="29">
        <f>IF(OR(426&gt;$Z$1,NOT(OR('Your debts'!$B$11&lt;&gt;"",N('Your debts'!$C$11)&gt;0))),"",IF('Your debts'!$D$20="Avalanche",'Avalanche workings'!$Q$433,'Snowball workings'!$Q$433)+IF('Your debts'!$D$20="Avalanche",'Avalanche workings'!$AK$433,'Snowball workings'!$AK$433))</f>
      </c>
      <c r="Q431" s="30">
        <f>IF(OR(426&gt;$Z$1,NOT(OR('Your debts'!$B$11&lt;&gt;"",N('Your debts'!$C$11)&gt;0))),"",IF('Your debts'!$D$20="Avalanche",'Avalanche workings'!$AU$433,'Snowball workings'!$AU$433))</f>
      </c>
      <c r="R431" s="29">
        <f>IF(OR(426&gt;$Z$1,NOT(OR('Your debts'!$B$12&lt;&gt;"",N('Your debts'!$C$12)&gt;0))),"",IF('Your debts'!$D$20="Avalanche",'Avalanche workings'!$R$433,'Snowball workings'!$R$433)+IF('Your debts'!$D$20="Avalanche",'Avalanche workings'!$AL$433,'Snowball workings'!$AL$433))</f>
      </c>
      <c r="S431" s="30">
        <f>IF(OR(426&gt;$Z$1,NOT(OR('Your debts'!$B$12&lt;&gt;"",N('Your debts'!$C$12)&gt;0))),"",IF('Your debts'!$D$20="Avalanche",'Avalanche workings'!$AV$433,'Snowball workings'!$AV$433))</f>
      </c>
      <c r="T431" s="29">
        <f>IF(OR(426&gt;$Z$1,NOT(OR('Your debts'!$B$13&lt;&gt;"",N('Your debts'!$C$13)&gt;0))),"",IF('Your debts'!$D$20="Avalanche",'Avalanche workings'!$S$433,'Snowball workings'!$S$433)+IF('Your debts'!$D$20="Avalanche",'Avalanche workings'!$AM$433,'Snowball workings'!$AM$433))</f>
      </c>
      <c r="U431" s="30">
        <f>IF(OR(426&gt;$Z$1,NOT(OR('Your debts'!$B$13&lt;&gt;"",N('Your debts'!$C$13)&gt;0))),"",IF('Your debts'!$D$20="Avalanche",'Avalanche workings'!$AW$433,'Snowball workings'!$AW$433))</f>
      </c>
      <c r="V431" s="29">
        <f>IF(OR(426&gt;$Z$1,NOT(OR('Your debts'!$B$14&lt;&gt;"",N('Your debts'!$C$14)&gt;0))),"",IF('Your debts'!$D$20="Avalanche",'Avalanche workings'!$T$433,'Snowball workings'!$T$433)+IF('Your debts'!$D$20="Avalanche",'Avalanche workings'!$AN$433,'Snowball workings'!$AN$433))</f>
      </c>
      <c r="W431" s="30">
        <f>IF(OR(426&gt;$Z$1,NOT(OR('Your debts'!$B$14&lt;&gt;"",N('Your debts'!$C$14)&gt;0))),"",IF('Your debts'!$D$20="Avalanche",'Avalanche workings'!$AX$433,'Snowball workings'!$AX$433))</f>
      </c>
      <c r="X431" s="29">
        <f>IF(OR(426&gt;$Z$1,NOT(OR('Your debts'!$B$15&lt;&gt;"",N('Your debts'!$C$15)&gt;0))),"",IF('Your debts'!$D$20="Avalanche",'Avalanche workings'!$U$433,'Snowball workings'!$U$433)+IF('Your debts'!$D$20="Avalanche",'Avalanche workings'!$AO$433,'Snowball workings'!$AO$433))</f>
      </c>
      <c r="Y431" s="30">
        <f>IF(OR(426&gt;$Z$1,NOT(OR('Your debts'!$B$15&lt;&gt;"",N('Your debts'!$C$15)&gt;0))),"",IF('Your debts'!$D$20="Avalanche",'Avalanche workings'!$AY$433,'Snowball workings'!$AY$433))</f>
      </c>
    </row>
    <row r="432" spans="1:25" x14ac:dyDescent="0.25">
      <c r="A432" s="2">
        <f>IF(427&gt;$Z$1,"",427)</f>
      </c>
      <c r="B432" s="28">
        <f>IF(427&gt;$Z$1,"",EDATE('Your debts'!$D$21,426))</f>
      </c>
      <c r="C432" s="29">
        <f>IF(427&gt;$Z$1,"",IF('Your debts'!$D$20="Avalanche",'Avalanche workings'!$BC$434,'Snowball workings'!$BC$434))</f>
      </c>
      <c r="D432" s="29">
        <f>IF(427&gt;$Z$1,"",IF('Your debts'!$D$20="Avalanche",'Avalanche workings'!$BA$434,'Snowball workings'!$BA$434))</f>
      </c>
      <c r="E432" s="29">
        <f>IF(427&gt;$Z$1,"",IF('Your debts'!$D$20="Avalanche",'Avalanche workings'!$BB$434,'Snowball workings'!$BB$434))</f>
      </c>
      <c r="F432" s="29">
        <f>IF(OR(427&gt;$Z$1,NOT(OR('Your debts'!$B$6&lt;&gt;"",N('Your debts'!$C$6)&gt;0))),"",IF('Your debts'!$D$20="Avalanche",'Avalanche workings'!$L$434,'Snowball workings'!$L$434)+IF('Your debts'!$D$20="Avalanche",'Avalanche workings'!$AF$434,'Snowball workings'!$AF$434))</f>
      </c>
      <c r="G432" s="30">
        <f>IF(OR(427&gt;$Z$1,NOT(OR('Your debts'!$B$6&lt;&gt;"",N('Your debts'!$C$6)&gt;0))),"",IF('Your debts'!$D$20="Avalanche",'Avalanche workings'!$AP$434,'Snowball workings'!$AP$434))</f>
      </c>
      <c r="H432" s="29">
        <f>IF(OR(427&gt;$Z$1,NOT(OR('Your debts'!$B$7&lt;&gt;"",N('Your debts'!$C$7)&gt;0))),"",IF('Your debts'!$D$20="Avalanche",'Avalanche workings'!$M$434,'Snowball workings'!$M$434)+IF('Your debts'!$D$20="Avalanche",'Avalanche workings'!$AG$434,'Snowball workings'!$AG$434))</f>
      </c>
      <c r="I432" s="30">
        <f>IF(OR(427&gt;$Z$1,NOT(OR('Your debts'!$B$7&lt;&gt;"",N('Your debts'!$C$7)&gt;0))),"",IF('Your debts'!$D$20="Avalanche",'Avalanche workings'!$AQ$434,'Snowball workings'!$AQ$434))</f>
      </c>
      <c r="J432" s="29">
        <f>IF(OR(427&gt;$Z$1,NOT(OR('Your debts'!$B$8&lt;&gt;"",N('Your debts'!$C$8)&gt;0))),"",IF('Your debts'!$D$20="Avalanche",'Avalanche workings'!$N$434,'Snowball workings'!$N$434)+IF('Your debts'!$D$20="Avalanche",'Avalanche workings'!$AH$434,'Snowball workings'!$AH$434))</f>
      </c>
      <c r="K432" s="30">
        <f>IF(OR(427&gt;$Z$1,NOT(OR('Your debts'!$B$8&lt;&gt;"",N('Your debts'!$C$8)&gt;0))),"",IF('Your debts'!$D$20="Avalanche",'Avalanche workings'!$AR$434,'Snowball workings'!$AR$434))</f>
      </c>
      <c r="L432" s="29">
        <f>IF(OR(427&gt;$Z$1,NOT(OR('Your debts'!$B$9&lt;&gt;"",N('Your debts'!$C$9)&gt;0))),"",IF('Your debts'!$D$20="Avalanche",'Avalanche workings'!$O$434,'Snowball workings'!$O$434)+IF('Your debts'!$D$20="Avalanche",'Avalanche workings'!$AI$434,'Snowball workings'!$AI$434))</f>
      </c>
      <c r="M432" s="30">
        <f>IF(OR(427&gt;$Z$1,NOT(OR('Your debts'!$B$9&lt;&gt;"",N('Your debts'!$C$9)&gt;0))),"",IF('Your debts'!$D$20="Avalanche",'Avalanche workings'!$AS$434,'Snowball workings'!$AS$434))</f>
      </c>
      <c r="N432" s="29">
        <f>IF(OR(427&gt;$Z$1,NOT(OR('Your debts'!$B$10&lt;&gt;"",N('Your debts'!$C$10)&gt;0))),"",IF('Your debts'!$D$20="Avalanche",'Avalanche workings'!$P$434,'Snowball workings'!$P$434)+IF('Your debts'!$D$20="Avalanche",'Avalanche workings'!$AJ$434,'Snowball workings'!$AJ$434))</f>
      </c>
      <c r="O432" s="30">
        <f>IF(OR(427&gt;$Z$1,NOT(OR('Your debts'!$B$10&lt;&gt;"",N('Your debts'!$C$10)&gt;0))),"",IF('Your debts'!$D$20="Avalanche",'Avalanche workings'!$AT$434,'Snowball workings'!$AT$434))</f>
      </c>
      <c r="P432" s="29">
        <f>IF(OR(427&gt;$Z$1,NOT(OR('Your debts'!$B$11&lt;&gt;"",N('Your debts'!$C$11)&gt;0))),"",IF('Your debts'!$D$20="Avalanche",'Avalanche workings'!$Q$434,'Snowball workings'!$Q$434)+IF('Your debts'!$D$20="Avalanche",'Avalanche workings'!$AK$434,'Snowball workings'!$AK$434))</f>
      </c>
      <c r="Q432" s="30">
        <f>IF(OR(427&gt;$Z$1,NOT(OR('Your debts'!$B$11&lt;&gt;"",N('Your debts'!$C$11)&gt;0))),"",IF('Your debts'!$D$20="Avalanche",'Avalanche workings'!$AU$434,'Snowball workings'!$AU$434))</f>
      </c>
      <c r="R432" s="29">
        <f>IF(OR(427&gt;$Z$1,NOT(OR('Your debts'!$B$12&lt;&gt;"",N('Your debts'!$C$12)&gt;0))),"",IF('Your debts'!$D$20="Avalanche",'Avalanche workings'!$R$434,'Snowball workings'!$R$434)+IF('Your debts'!$D$20="Avalanche",'Avalanche workings'!$AL$434,'Snowball workings'!$AL$434))</f>
      </c>
      <c r="S432" s="30">
        <f>IF(OR(427&gt;$Z$1,NOT(OR('Your debts'!$B$12&lt;&gt;"",N('Your debts'!$C$12)&gt;0))),"",IF('Your debts'!$D$20="Avalanche",'Avalanche workings'!$AV$434,'Snowball workings'!$AV$434))</f>
      </c>
      <c r="T432" s="29">
        <f>IF(OR(427&gt;$Z$1,NOT(OR('Your debts'!$B$13&lt;&gt;"",N('Your debts'!$C$13)&gt;0))),"",IF('Your debts'!$D$20="Avalanche",'Avalanche workings'!$S$434,'Snowball workings'!$S$434)+IF('Your debts'!$D$20="Avalanche",'Avalanche workings'!$AM$434,'Snowball workings'!$AM$434))</f>
      </c>
      <c r="U432" s="30">
        <f>IF(OR(427&gt;$Z$1,NOT(OR('Your debts'!$B$13&lt;&gt;"",N('Your debts'!$C$13)&gt;0))),"",IF('Your debts'!$D$20="Avalanche",'Avalanche workings'!$AW$434,'Snowball workings'!$AW$434))</f>
      </c>
      <c r="V432" s="29">
        <f>IF(OR(427&gt;$Z$1,NOT(OR('Your debts'!$B$14&lt;&gt;"",N('Your debts'!$C$14)&gt;0))),"",IF('Your debts'!$D$20="Avalanche",'Avalanche workings'!$T$434,'Snowball workings'!$T$434)+IF('Your debts'!$D$20="Avalanche",'Avalanche workings'!$AN$434,'Snowball workings'!$AN$434))</f>
      </c>
      <c r="W432" s="30">
        <f>IF(OR(427&gt;$Z$1,NOT(OR('Your debts'!$B$14&lt;&gt;"",N('Your debts'!$C$14)&gt;0))),"",IF('Your debts'!$D$20="Avalanche",'Avalanche workings'!$AX$434,'Snowball workings'!$AX$434))</f>
      </c>
      <c r="X432" s="29">
        <f>IF(OR(427&gt;$Z$1,NOT(OR('Your debts'!$B$15&lt;&gt;"",N('Your debts'!$C$15)&gt;0))),"",IF('Your debts'!$D$20="Avalanche",'Avalanche workings'!$U$434,'Snowball workings'!$U$434)+IF('Your debts'!$D$20="Avalanche",'Avalanche workings'!$AO$434,'Snowball workings'!$AO$434))</f>
      </c>
      <c r="Y432" s="30">
        <f>IF(OR(427&gt;$Z$1,NOT(OR('Your debts'!$B$15&lt;&gt;"",N('Your debts'!$C$15)&gt;0))),"",IF('Your debts'!$D$20="Avalanche",'Avalanche workings'!$AY$434,'Snowball workings'!$AY$434))</f>
      </c>
    </row>
    <row r="433" spans="1:25" x14ac:dyDescent="0.25">
      <c r="A433" s="2">
        <f>IF(428&gt;$Z$1,"",428)</f>
      </c>
      <c r="B433" s="28">
        <f>IF(428&gt;$Z$1,"",EDATE('Your debts'!$D$21,427))</f>
      </c>
      <c r="C433" s="29">
        <f>IF(428&gt;$Z$1,"",IF('Your debts'!$D$20="Avalanche",'Avalanche workings'!$BC$435,'Snowball workings'!$BC$435))</f>
      </c>
      <c r="D433" s="29">
        <f>IF(428&gt;$Z$1,"",IF('Your debts'!$D$20="Avalanche",'Avalanche workings'!$BA$435,'Snowball workings'!$BA$435))</f>
      </c>
      <c r="E433" s="29">
        <f>IF(428&gt;$Z$1,"",IF('Your debts'!$D$20="Avalanche",'Avalanche workings'!$BB$435,'Snowball workings'!$BB$435))</f>
      </c>
      <c r="F433" s="29">
        <f>IF(OR(428&gt;$Z$1,NOT(OR('Your debts'!$B$6&lt;&gt;"",N('Your debts'!$C$6)&gt;0))),"",IF('Your debts'!$D$20="Avalanche",'Avalanche workings'!$L$435,'Snowball workings'!$L$435)+IF('Your debts'!$D$20="Avalanche",'Avalanche workings'!$AF$435,'Snowball workings'!$AF$435))</f>
      </c>
      <c r="G433" s="30">
        <f>IF(OR(428&gt;$Z$1,NOT(OR('Your debts'!$B$6&lt;&gt;"",N('Your debts'!$C$6)&gt;0))),"",IF('Your debts'!$D$20="Avalanche",'Avalanche workings'!$AP$435,'Snowball workings'!$AP$435))</f>
      </c>
      <c r="H433" s="29">
        <f>IF(OR(428&gt;$Z$1,NOT(OR('Your debts'!$B$7&lt;&gt;"",N('Your debts'!$C$7)&gt;0))),"",IF('Your debts'!$D$20="Avalanche",'Avalanche workings'!$M$435,'Snowball workings'!$M$435)+IF('Your debts'!$D$20="Avalanche",'Avalanche workings'!$AG$435,'Snowball workings'!$AG$435))</f>
      </c>
      <c r="I433" s="30">
        <f>IF(OR(428&gt;$Z$1,NOT(OR('Your debts'!$B$7&lt;&gt;"",N('Your debts'!$C$7)&gt;0))),"",IF('Your debts'!$D$20="Avalanche",'Avalanche workings'!$AQ$435,'Snowball workings'!$AQ$435))</f>
      </c>
      <c r="J433" s="29">
        <f>IF(OR(428&gt;$Z$1,NOT(OR('Your debts'!$B$8&lt;&gt;"",N('Your debts'!$C$8)&gt;0))),"",IF('Your debts'!$D$20="Avalanche",'Avalanche workings'!$N$435,'Snowball workings'!$N$435)+IF('Your debts'!$D$20="Avalanche",'Avalanche workings'!$AH$435,'Snowball workings'!$AH$435))</f>
      </c>
      <c r="K433" s="30">
        <f>IF(OR(428&gt;$Z$1,NOT(OR('Your debts'!$B$8&lt;&gt;"",N('Your debts'!$C$8)&gt;0))),"",IF('Your debts'!$D$20="Avalanche",'Avalanche workings'!$AR$435,'Snowball workings'!$AR$435))</f>
      </c>
      <c r="L433" s="29">
        <f>IF(OR(428&gt;$Z$1,NOT(OR('Your debts'!$B$9&lt;&gt;"",N('Your debts'!$C$9)&gt;0))),"",IF('Your debts'!$D$20="Avalanche",'Avalanche workings'!$O$435,'Snowball workings'!$O$435)+IF('Your debts'!$D$20="Avalanche",'Avalanche workings'!$AI$435,'Snowball workings'!$AI$435))</f>
      </c>
      <c r="M433" s="30">
        <f>IF(OR(428&gt;$Z$1,NOT(OR('Your debts'!$B$9&lt;&gt;"",N('Your debts'!$C$9)&gt;0))),"",IF('Your debts'!$D$20="Avalanche",'Avalanche workings'!$AS$435,'Snowball workings'!$AS$435))</f>
      </c>
      <c r="N433" s="29">
        <f>IF(OR(428&gt;$Z$1,NOT(OR('Your debts'!$B$10&lt;&gt;"",N('Your debts'!$C$10)&gt;0))),"",IF('Your debts'!$D$20="Avalanche",'Avalanche workings'!$P$435,'Snowball workings'!$P$435)+IF('Your debts'!$D$20="Avalanche",'Avalanche workings'!$AJ$435,'Snowball workings'!$AJ$435))</f>
      </c>
      <c r="O433" s="30">
        <f>IF(OR(428&gt;$Z$1,NOT(OR('Your debts'!$B$10&lt;&gt;"",N('Your debts'!$C$10)&gt;0))),"",IF('Your debts'!$D$20="Avalanche",'Avalanche workings'!$AT$435,'Snowball workings'!$AT$435))</f>
      </c>
      <c r="P433" s="29">
        <f>IF(OR(428&gt;$Z$1,NOT(OR('Your debts'!$B$11&lt;&gt;"",N('Your debts'!$C$11)&gt;0))),"",IF('Your debts'!$D$20="Avalanche",'Avalanche workings'!$Q$435,'Snowball workings'!$Q$435)+IF('Your debts'!$D$20="Avalanche",'Avalanche workings'!$AK$435,'Snowball workings'!$AK$435))</f>
      </c>
      <c r="Q433" s="30">
        <f>IF(OR(428&gt;$Z$1,NOT(OR('Your debts'!$B$11&lt;&gt;"",N('Your debts'!$C$11)&gt;0))),"",IF('Your debts'!$D$20="Avalanche",'Avalanche workings'!$AU$435,'Snowball workings'!$AU$435))</f>
      </c>
      <c r="R433" s="29">
        <f>IF(OR(428&gt;$Z$1,NOT(OR('Your debts'!$B$12&lt;&gt;"",N('Your debts'!$C$12)&gt;0))),"",IF('Your debts'!$D$20="Avalanche",'Avalanche workings'!$R$435,'Snowball workings'!$R$435)+IF('Your debts'!$D$20="Avalanche",'Avalanche workings'!$AL$435,'Snowball workings'!$AL$435))</f>
      </c>
      <c r="S433" s="30">
        <f>IF(OR(428&gt;$Z$1,NOT(OR('Your debts'!$B$12&lt;&gt;"",N('Your debts'!$C$12)&gt;0))),"",IF('Your debts'!$D$20="Avalanche",'Avalanche workings'!$AV$435,'Snowball workings'!$AV$435))</f>
      </c>
      <c r="T433" s="29">
        <f>IF(OR(428&gt;$Z$1,NOT(OR('Your debts'!$B$13&lt;&gt;"",N('Your debts'!$C$13)&gt;0))),"",IF('Your debts'!$D$20="Avalanche",'Avalanche workings'!$S$435,'Snowball workings'!$S$435)+IF('Your debts'!$D$20="Avalanche",'Avalanche workings'!$AM$435,'Snowball workings'!$AM$435))</f>
      </c>
      <c r="U433" s="30">
        <f>IF(OR(428&gt;$Z$1,NOT(OR('Your debts'!$B$13&lt;&gt;"",N('Your debts'!$C$13)&gt;0))),"",IF('Your debts'!$D$20="Avalanche",'Avalanche workings'!$AW$435,'Snowball workings'!$AW$435))</f>
      </c>
      <c r="V433" s="29">
        <f>IF(OR(428&gt;$Z$1,NOT(OR('Your debts'!$B$14&lt;&gt;"",N('Your debts'!$C$14)&gt;0))),"",IF('Your debts'!$D$20="Avalanche",'Avalanche workings'!$T$435,'Snowball workings'!$T$435)+IF('Your debts'!$D$20="Avalanche",'Avalanche workings'!$AN$435,'Snowball workings'!$AN$435))</f>
      </c>
      <c r="W433" s="30">
        <f>IF(OR(428&gt;$Z$1,NOT(OR('Your debts'!$B$14&lt;&gt;"",N('Your debts'!$C$14)&gt;0))),"",IF('Your debts'!$D$20="Avalanche",'Avalanche workings'!$AX$435,'Snowball workings'!$AX$435))</f>
      </c>
      <c r="X433" s="29">
        <f>IF(OR(428&gt;$Z$1,NOT(OR('Your debts'!$B$15&lt;&gt;"",N('Your debts'!$C$15)&gt;0))),"",IF('Your debts'!$D$20="Avalanche",'Avalanche workings'!$U$435,'Snowball workings'!$U$435)+IF('Your debts'!$D$20="Avalanche",'Avalanche workings'!$AO$435,'Snowball workings'!$AO$435))</f>
      </c>
      <c r="Y433" s="30">
        <f>IF(OR(428&gt;$Z$1,NOT(OR('Your debts'!$B$15&lt;&gt;"",N('Your debts'!$C$15)&gt;0))),"",IF('Your debts'!$D$20="Avalanche",'Avalanche workings'!$AY$435,'Snowball workings'!$AY$435))</f>
      </c>
    </row>
    <row r="434" spans="1:25" x14ac:dyDescent="0.25">
      <c r="A434" s="2">
        <f>IF(429&gt;$Z$1,"",429)</f>
      </c>
      <c r="B434" s="28">
        <f>IF(429&gt;$Z$1,"",EDATE('Your debts'!$D$21,428))</f>
      </c>
      <c r="C434" s="29">
        <f>IF(429&gt;$Z$1,"",IF('Your debts'!$D$20="Avalanche",'Avalanche workings'!$BC$436,'Snowball workings'!$BC$436))</f>
      </c>
      <c r="D434" s="29">
        <f>IF(429&gt;$Z$1,"",IF('Your debts'!$D$20="Avalanche",'Avalanche workings'!$BA$436,'Snowball workings'!$BA$436))</f>
      </c>
      <c r="E434" s="29">
        <f>IF(429&gt;$Z$1,"",IF('Your debts'!$D$20="Avalanche",'Avalanche workings'!$BB$436,'Snowball workings'!$BB$436))</f>
      </c>
      <c r="F434" s="29">
        <f>IF(OR(429&gt;$Z$1,NOT(OR('Your debts'!$B$6&lt;&gt;"",N('Your debts'!$C$6)&gt;0))),"",IF('Your debts'!$D$20="Avalanche",'Avalanche workings'!$L$436,'Snowball workings'!$L$436)+IF('Your debts'!$D$20="Avalanche",'Avalanche workings'!$AF$436,'Snowball workings'!$AF$436))</f>
      </c>
      <c r="G434" s="30">
        <f>IF(OR(429&gt;$Z$1,NOT(OR('Your debts'!$B$6&lt;&gt;"",N('Your debts'!$C$6)&gt;0))),"",IF('Your debts'!$D$20="Avalanche",'Avalanche workings'!$AP$436,'Snowball workings'!$AP$436))</f>
      </c>
      <c r="H434" s="29">
        <f>IF(OR(429&gt;$Z$1,NOT(OR('Your debts'!$B$7&lt;&gt;"",N('Your debts'!$C$7)&gt;0))),"",IF('Your debts'!$D$20="Avalanche",'Avalanche workings'!$M$436,'Snowball workings'!$M$436)+IF('Your debts'!$D$20="Avalanche",'Avalanche workings'!$AG$436,'Snowball workings'!$AG$436))</f>
      </c>
      <c r="I434" s="30">
        <f>IF(OR(429&gt;$Z$1,NOT(OR('Your debts'!$B$7&lt;&gt;"",N('Your debts'!$C$7)&gt;0))),"",IF('Your debts'!$D$20="Avalanche",'Avalanche workings'!$AQ$436,'Snowball workings'!$AQ$436))</f>
      </c>
      <c r="J434" s="29">
        <f>IF(OR(429&gt;$Z$1,NOT(OR('Your debts'!$B$8&lt;&gt;"",N('Your debts'!$C$8)&gt;0))),"",IF('Your debts'!$D$20="Avalanche",'Avalanche workings'!$N$436,'Snowball workings'!$N$436)+IF('Your debts'!$D$20="Avalanche",'Avalanche workings'!$AH$436,'Snowball workings'!$AH$436))</f>
      </c>
      <c r="K434" s="30">
        <f>IF(OR(429&gt;$Z$1,NOT(OR('Your debts'!$B$8&lt;&gt;"",N('Your debts'!$C$8)&gt;0))),"",IF('Your debts'!$D$20="Avalanche",'Avalanche workings'!$AR$436,'Snowball workings'!$AR$436))</f>
      </c>
      <c r="L434" s="29">
        <f>IF(OR(429&gt;$Z$1,NOT(OR('Your debts'!$B$9&lt;&gt;"",N('Your debts'!$C$9)&gt;0))),"",IF('Your debts'!$D$20="Avalanche",'Avalanche workings'!$O$436,'Snowball workings'!$O$436)+IF('Your debts'!$D$20="Avalanche",'Avalanche workings'!$AI$436,'Snowball workings'!$AI$436))</f>
      </c>
      <c r="M434" s="30">
        <f>IF(OR(429&gt;$Z$1,NOT(OR('Your debts'!$B$9&lt;&gt;"",N('Your debts'!$C$9)&gt;0))),"",IF('Your debts'!$D$20="Avalanche",'Avalanche workings'!$AS$436,'Snowball workings'!$AS$436))</f>
      </c>
      <c r="N434" s="29">
        <f>IF(OR(429&gt;$Z$1,NOT(OR('Your debts'!$B$10&lt;&gt;"",N('Your debts'!$C$10)&gt;0))),"",IF('Your debts'!$D$20="Avalanche",'Avalanche workings'!$P$436,'Snowball workings'!$P$436)+IF('Your debts'!$D$20="Avalanche",'Avalanche workings'!$AJ$436,'Snowball workings'!$AJ$436))</f>
      </c>
      <c r="O434" s="30">
        <f>IF(OR(429&gt;$Z$1,NOT(OR('Your debts'!$B$10&lt;&gt;"",N('Your debts'!$C$10)&gt;0))),"",IF('Your debts'!$D$20="Avalanche",'Avalanche workings'!$AT$436,'Snowball workings'!$AT$436))</f>
      </c>
      <c r="P434" s="29">
        <f>IF(OR(429&gt;$Z$1,NOT(OR('Your debts'!$B$11&lt;&gt;"",N('Your debts'!$C$11)&gt;0))),"",IF('Your debts'!$D$20="Avalanche",'Avalanche workings'!$Q$436,'Snowball workings'!$Q$436)+IF('Your debts'!$D$20="Avalanche",'Avalanche workings'!$AK$436,'Snowball workings'!$AK$436))</f>
      </c>
      <c r="Q434" s="30">
        <f>IF(OR(429&gt;$Z$1,NOT(OR('Your debts'!$B$11&lt;&gt;"",N('Your debts'!$C$11)&gt;0))),"",IF('Your debts'!$D$20="Avalanche",'Avalanche workings'!$AU$436,'Snowball workings'!$AU$436))</f>
      </c>
      <c r="R434" s="29">
        <f>IF(OR(429&gt;$Z$1,NOT(OR('Your debts'!$B$12&lt;&gt;"",N('Your debts'!$C$12)&gt;0))),"",IF('Your debts'!$D$20="Avalanche",'Avalanche workings'!$R$436,'Snowball workings'!$R$436)+IF('Your debts'!$D$20="Avalanche",'Avalanche workings'!$AL$436,'Snowball workings'!$AL$436))</f>
      </c>
      <c r="S434" s="30">
        <f>IF(OR(429&gt;$Z$1,NOT(OR('Your debts'!$B$12&lt;&gt;"",N('Your debts'!$C$12)&gt;0))),"",IF('Your debts'!$D$20="Avalanche",'Avalanche workings'!$AV$436,'Snowball workings'!$AV$436))</f>
      </c>
      <c r="T434" s="29">
        <f>IF(OR(429&gt;$Z$1,NOT(OR('Your debts'!$B$13&lt;&gt;"",N('Your debts'!$C$13)&gt;0))),"",IF('Your debts'!$D$20="Avalanche",'Avalanche workings'!$S$436,'Snowball workings'!$S$436)+IF('Your debts'!$D$20="Avalanche",'Avalanche workings'!$AM$436,'Snowball workings'!$AM$436))</f>
      </c>
      <c r="U434" s="30">
        <f>IF(OR(429&gt;$Z$1,NOT(OR('Your debts'!$B$13&lt;&gt;"",N('Your debts'!$C$13)&gt;0))),"",IF('Your debts'!$D$20="Avalanche",'Avalanche workings'!$AW$436,'Snowball workings'!$AW$436))</f>
      </c>
      <c r="V434" s="29">
        <f>IF(OR(429&gt;$Z$1,NOT(OR('Your debts'!$B$14&lt;&gt;"",N('Your debts'!$C$14)&gt;0))),"",IF('Your debts'!$D$20="Avalanche",'Avalanche workings'!$T$436,'Snowball workings'!$T$436)+IF('Your debts'!$D$20="Avalanche",'Avalanche workings'!$AN$436,'Snowball workings'!$AN$436))</f>
      </c>
      <c r="W434" s="30">
        <f>IF(OR(429&gt;$Z$1,NOT(OR('Your debts'!$B$14&lt;&gt;"",N('Your debts'!$C$14)&gt;0))),"",IF('Your debts'!$D$20="Avalanche",'Avalanche workings'!$AX$436,'Snowball workings'!$AX$436))</f>
      </c>
      <c r="X434" s="29">
        <f>IF(OR(429&gt;$Z$1,NOT(OR('Your debts'!$B$15&lt;&gt;"",N('Your debts'!$C$15)&gt;0))),"",IF('Your debts'!$D$20="Avalanche",'Avalanche workings'!$U$436,'Snowball workings'!$U$436)+IF('Your debts'!$D$20="Avalanche",'Avalanche workings'!$AO$436,'Snowball workings'!$AO$436))</f>
      </c>
      <c r="Y434" s="30">
        <f>IF(OR(429&gt;$Z$1,NOT(OR('Your debts'!$B$15&lt;&gt;"",N('Your debts'!$C$15)&gt;0))),"",IF('Your debts'!$D$20="Avalanche",'Avalanche workings'!$AY$436,'Snowball workings'!$AY$436))</f>
      </c>
    </row>
    <row r="435" spans="1:25" x14ac:dyDescent="0.25">
      <c r="A435" s="2">
        <f>IF(430&gt;$Z$1,"",430)</f>
      </c>
      <c r="B435" s="28">
        <f>IF(430&gt;$Z$1,"",EDATE('Your debts'!$D$21,429))</f>
      </c>
      <c r="C435" s="29">
        <f>IF(430&gt;$Z$1,"",IF('Your debts'!$D$20="Avalanche",'Avalanche workings'!$BC$437,'Snowball workings'!$BC$437))</f>
      </c>
      <c r="D435" s="29">
        <f>IF(430&gt;$Z$1,"",IF('Your debts'!$D$20="Avalanche",'Avalanche workings'!$BA$437,'Snowball workings'!$BA$437))</f>
      </c>
      <c r="E435" s="29">
        <f>IF(430&gt;$Z$1,"",IF('Your debts'!$D$20="Avalanche",'Avalanche workings'!$BB$437,'Snowball workings'!$BB$437))</f>
      </c>
      <c r="F435" s="29">
        <f>IF(OR(430&gt;$Z$1,NOT(OR('Your debts'!$B$6&lt;&gt;"",N('Your debts'!$C$6)&gt;0))),"",IF('Your debts'!$D$20="Avalanche",'Avalanche workings'!$L$437,'Snowball workings'!$L$437)+IF('Your debts'!$D$20="Avalanche",'Avalanche workings'!$AF$437,'Snowball workings'!$AF$437))</f>
      </c>
      <c r="G435" s="30">
        <f>IF(OR(430&gt;$Z$1,NOT(OR('Your debts'!$B$6&lt;&gt;"",N('Your debts'!$C$6)&gt;0))),"",IF('Your debts'!$D$20="Avalanche",'Avalanche workings'!$AP$437,'Snowball workings'!$AP$437))</f>
      </c>
      <c r="H435" s="29">
        <f>IF(OR(430&gt;$Z$1,NOT(OR('Your debts'!$B$7&lt;&gt;"",N('Your debts'!$C$7)&gt;0))),"",IF('Your debts'!$D$20="Avalanche",'Avalanche workings'!$M$437,'Snowball workings'!$M$437)+IF('Your debts'!$D$20="Avalanche",'Avalanche workings'!$AG$437,'Snowball workings'!$AG$437))</f>
      </c>
      <c r="I435" s="30">
        <f>IF(OR(430&gt;$Z$1,NOT(OR('Your debts'!$B$7&lt;&gt;"",N('Your debts'!$C$7)&gt;0))),"",IF('Your debts'!$D$20="Avalanche",'Avalanche workings'!$AQ$437,'Snowball workings'!$AQ$437))</f>
      </c>
      <c r="J435" s="29">
        <f>IF(OR(430&gt;$Z$1,NOT(OR('Your debts'!$B$8&lt;&gt;"",N('Your debts'!$C$8)&gt;0))),"",IF('Your debts'!$D$20="Avalanche",'Avalanche workings'!$N$437,'Snowball workings'!$N$437)+IF('Your debts'!$D$20="Avalanche",'Avalanche workings'!$AH$437,'Snowball workings'!$AH$437))</f>
      </c>
      <c r="K435" s="30">
        <f>IF(OR(430&gt;$Z$1,NOT(OR('Your debts'!$B$8&lt;&gt;"",N('Your debts'!$C$8)&gt;0))),"",IF('Your debts'!$D$20="Avalanche",'Avalanche workings'!$AR$437,'Snowball workings'!$AR$437))</f>
      </c>
      <c r="L435" s="29">
        <f>IF(OR(430&gt;$Z$1,NOT(OR('Your debts'!$B$9&lt;&gt;"",N('Your debts'!$C$9)&gt;0))),"",IF('Your debts'!$D$20="Avalanche",'Avalanche workings'!$O$437,'Snowball workings'!$O$437)+IF('Your debts'!$D$20="Avalanche",'Avalanche workings'!$AI$437,'Snowball workings'!$AI$437))</f>
      </c>
      <c r="M435" s="30">
        <f>IF(OR(430&gt;$Z$1,NOT(OR('Your debts'!$B$9&lt;&gt;"",N('Your debts'!$C$9)&gt;0))),"",IF('Your debts'!$D$20="Avalanche",'Avalanche workings'!$AS$437,'Snowball workings'!$AS$437))</f>
      </c>
      <c r="N435" s="29">
        <f>IF(OR(430&gt;$Z$1,NOT(OR('Your debts'!$B$10&lt;&gt;"",N('Your debts'!$C$10)&gt;0))),"",IF('Your debts'!$D$20="Avalanche",'Avalanche workings'!$P$437,'Snowball workings'!$P$437)+IF('Your debts'!$D$20="Avalanche",'Avalanche workings'!$AJ$437,'Snowball workings'!$AJ$437))</f>
      </c>
      <c r="O435" s="30">
        <f>IF(OR(430&gt;$Z$1,NOT(OR('Your debts'!$B$10&lt;&gt;"",N('Your debts'!$C$10)&gt;0))),"",IF('Your debts'!$D$20="Avalanche",'Avalanche workings'!$AT$437,'Snowball workings'!$AT$437))</f>
      </c>
      <c r="P435" s="29">
        <f>IF(OR(430&gt;$Z$1,NOT(OR('Your debts'!$B$11&lt;&gt;"",N('Your debts'!$C$11)&gt;0))),"",IF('Your debts'!$D$20="Avalanche",'Avalanche workings'!$Q$437,'Snowball workings'!$Q$437)+IF('Your debts'!$D$20="Avalanche",'Avalanche workings'!$AK$437,'Snowball workings'!$AK$437))</f>
      </c>
      <c r="Q435" s="30">
        <f>IF(OR(430&gt;$Z$1,NOT(OR('Your debts'!$B$11&lt;&gt;"",N('Your debts'!$C$11)&gt;0))),"",IF('Your debts'!$D$20="Avalanche",'Avalanche workings'!$AU$437,'Snowball workings'!$AU$437))</f>
      </c>
      <c r="R435" s="29">
        <f>IF(OR(430&gt;$Z$1,NOT(OR('Your debts'!$B$12&lt;&gt;"",N('Your debts'!$C$12)&gt;0))),"",IF('Your debts'!$D$20="Avalanche",'Avalanche workings'!$R$437,'Snowball workings'!$R$437)+IF('Your debts'!$D$20="Avalanche",'Avalanche workings'!$AL$437,'Snowball workings'!$AL$437))</f>
      </c>
      <c r="S435" s="30">
        <f>IF(OR(430&gt;$Z$1,NOT(OR('Your debts'!$B$12&lt;&gt;"",N('Your debts'!$C$12)&gt;0))),"",IF('Your debts'!$D$20="Avalanche",'Avalanche workings'!$AV$437,'Snowball workings'!$AV$437))</f>
      </c>
      <c r="T435" s="29">
        <f>IF(OR(430&gt;$Z$1,NOT(OR('Your debts'!$B$13&lt;&gt;"",N('Your debts'!$C$13)&gt;0))),"",IF('Your debts'!$D$20="Avalanche",'Avalanche workings'!$S$437,'Snowball workings'!$S$437)+IF('Your debts'!$D$20="Avalanche",'Avalanche workings'!$AM$437,'Snowball workings'!$AM$437))</f>
      </c>
      <c r="U435" s="30">
        <f>IF(OR(430&gt;$Z$1,NOT(OR('Your debts'!$B$13&lt;&gt;"",N('Your debts'!$C$13)&gt;0))),"",IF('Your debts'!$D$20="Avalanche",'Avalanche workings'!$AW$437,'Snowball workings'!$AW$437))</f>
      </c>
      <c r="V435" s="29">
        <f>IF(OR(430&gt;$Z$1,NOT(OR('Your debts'!$B$14&lt;&gt;"",N('Your debts'!$C$14)&gt;0))),"",IF('Your debts'!$D$20="Avalanche",'Avalanche workings'!$T$437,'Snowball workings'!$T$437)+IF('Your debts'!$D$20="Avalanche",'Avalanche workings'!$AN$437,'Snowball workings'!$AN$437))</f>
      </c>
      <c r="W435" s="30">
        <f>IF(OR(430&gt;$Z$1,NOT(OR('Your debts'!$B$14&lt;&gt;"",N('Your debts'!$C$14)&gt;0))),"",IF('Your debts'!$D$20="Avalanche",'Avalanche workings'!$AX$437,'Snowball workings'!$AX$437))</f>
      </c>
      <c r="X435" s="29">
        <f>IF(OR(430&gt;$Z$1,NOT(OR('Your debts'!$B$15&lt;&gt;"",N('Your debts'!$C$15)&gt;0))),"",IF('Your debts'!$D$20="Avalanche",'Avalanche workings'!$U$437,'Snowball workings'!$U$437)+IF('Your debts'!$D$20="Avalanche",'Avalanche workings'!$AO$437,'Snowball workings'!$AO$437))</f>
      </c>
      <c r="Y435" s="30">
        <f>IF(OR(430&gt;$Z$1,NOT(OR('Your debts'!$B$15&lt;&gt;"",N('Your debts'!$C$15)&gt;0))),"",IF('Your debts'!$D$20="Avalanche",'Avalanche workings'!$AY$437,'Snowball workings'!$AY$437))</f>
      </c>
    </row>
    <row r="436" spans="1:25" x14ac:dyDescent="0.25">
      <c r="A436" s="2">
        <f>IF(431&gt;$Z$1,"",431)</f>
      </c>
      <c r="B436" s="28">
        <f>IF(431&gt;$Z$1,"",EDATE('Your debts'!$D$21,430))</f>
      </c>
      <c r="C436" s="29">
        <f>IF(431&gt;$Z$1,"",IF('Your debts'!$D$20="Avalanche",'Avalanche workings'!$BC$438,'Snowball workings'!$BC$438))</f>
      </c>
      <c r="D436" s="29">
        <f>IF(431&gt;$Z$1,"",IF('Your debts'!$D$20="Avalanche",'Avalanche workings'!$BA$438,'Snowball workings'!$BA$438))</f>
      </c>
      <c r="E436" s="29">
        <f>IF(431&gt;$Z$1,"",IF('Your debts'!$D$20="Avalanche",'Avalanche workings'!$BB$438,'Snowball workings'!$BB$438))</f>
      </c>
      <c r="F436" s="29">
        <f>IF(OR(431&gt;$Z$1,NOT(OR('Your debts'!$B$6&lt;&gt;"",N('Your debts'!$C$6)&gt;0))),"",IF('Your debts'!$D$20="Avalanche",'Avalanche workings'!$L$438,'Snowball workings'!$L$438)+IF('Your debts'!$D$20="Avalanche",'Avalanche workings'!$AF$438,'Snowball workings'!$AF$438))</f>
      </c>
      <c r="G436" s="30">
        <f>IF(OR(431&gt;$Z$1,NOT(OR('Your debts'!$B$6&lt;&gt;"",N('Your debts'!$C$6)&gt;0))),"",IF('Your debts'!$D$20="Avalanche",'Avalanche workings'!$AP$438,'Snowball workings'!$AP$438))</f>
      </c>
      <c r="H436" s="29">
        <f>IF(OR(431&gt;$Z$1,NOT(OR('Your debts'!$B$7&lt;&gt;"",N('Your debts'!$C$7)&gt;0))),"",IF('Your debts'!$D$20="Avalanche",'Avalanche workings'!$M$438,'Snowball workings'!$M$438)+IF('Your debts'!$D$20="Avalanche",'Avalanche workings'!$AG$438,'Snowball workings'!$AG$438))</f>
      </c>
      <c r="I436" s="30">
        <f>IF(OR(431&gt;$Z$1,NOT(OR('Your debts'!$B$7&lt;&gt;"",N('Your debts'!$C$7)&gt;0))),"",IF('Your debts'!$D$20="Avalanche",'Avalanche workings'!$AQ$438,'Snowball workings'!$AQ$438))</f>
      </c>
      <c r="J436" s="29">
        <f>IF(OR(431&gt;$Z$1,NOT(OR('Your debts'!$B$8&lt;&gt;"",N('Your debts'!$C$8)&gt;0))),"",IF('Your debts'!$D$20="Avalanche",'Avalanche workings'!$N$438,'Snowball workings'!$N$438)+IF('Your debts'!$D$20="Avalanche",'Avalanche workings'!$AH$438,'Snowball workings'!$AH$438))</f>
      </c>
      <c r="K436" s="30">
        <f>IF(OR(431&gt;$Z$1,NOT(OR('Your debts'!$B$8&lt;&gt;"",N('Your debts'!$C$8)&gt;0))),"",IF('Your debts'!$D$20="Avalanche",'Avalanche workings'!$AR$438,'Snowball workings'!$AR$438))</f>
      </c>
      <c r="L436" s="29">
        <f>IF(OR(431&gt;$Z$1,NOT(OR('Your debts'!$B$9&lt;&gt;"",N('Your debts'!$C$9)&gt;0))),"",IF('Your debts'!$D$20="Avalanche",'Avalanche workings'!$O$438,'Snowball workings'!$O$438)+IF('Your debts'!$D$20="Avalanche",'Avalanche workings'!$AI$438,'Snowball workings'!$AI$438))</f>
      </c>
      <c r="M436" s="30">
        <f>IF(OR(431&gt;$Z$1,NOT(OR('Your debts'!$B$9&lt;&gt;"",N('Your debts'!$C$9)&gt;0))),"",IF('Your debts'!$D$20="Avalanche",'Avalanche workings'!$AS$438,'Snowball workings'!$AS$438))</f>
      </c>
      <c r="N436" s="29">
        <f>IF(OR(431&gt;$Z$1,NOT(OR('Your debts'!$B$10&lt;&gt;"",N('Your debts'!$C$10)&gt;0))),"",IF('Your debts'!$D$20="Avalanche",'Avalanche workings'!$P$438,'Snowball workings'!$P$438)+IF('Your debts'!$D$20="Avalanche",'Avalanche workings'!$AJ$438,'Snowball workings'!$AJ$438))</f>
      </c>
      <c r="O436" s="30">
        <f>IF(OR(431&gt;$Z$1,NOT(OR('Your debts'!$B$10&lt;&gt;"",N('Your debts'!$C$10)&gt;0))),"",IF('Your debts'!$D$20="Avalanche",'Avalanche workings'!$AT$438,'Snowball workings'!$AT$438))</f>
      </c>
      <c r="P436" s="29">
        <f>IF(OR(431&gt;$Z$1,NOT(OR('Your debts'!$B$11&lt;&gt;"",N('Your debts'!$C$11)&gt;0))),"",IF('Your debts'!$D$20="Avalanche",'Avalanche workings'!$Q$438,'Snowball workings'!$Q$438)+IF('Your debts'!$D$20="Avalanche",'Avalanche workings'!$AK$438,'Snowball workings'!$AK$438))</f>
      </c>
      <c r="Q436" s="30">
        <f>IF(OR(431&gt;$Z$1,NOT(OR('Your debts'!$B$11&lt;&gt;"",N('Your debts'!$C$11)&gt;0))),"",IF('Your debts'!$D$20="Avalanche",'Avalanche workings'!$AU$438,'Snowball workings'!$AU$438))</f>
      </c>
      <c r="R436" s="29">
        <f>IF(OR(431&gt;$Z$1,NOT(OR('Your debts'!$B$12&lt;&gt;"",N('Your debts'!$C$12)&gt;0))),"",IF('Your debts'!$D$20="Avalanche",'Avalanche workings'!$R$438,'Snowball workings'!$R$438)+IF('Your debts'!$D$20="Avalanche",'Avalanche workings'!$AL$438,'Snowball workings'!$AL$438))</f>
      </c>
      <c r="S436" s="30">
        <f>IF(OR(431&gt;$Z$1,NOT(OR('Your debts'!$B$12&lt;&gt;"",N('Your debts'!$C$12)&gt;0))),"",IF('Your debts'!$D$20="Avalanche",'Avalanche workings'!$AV$438,'Snowball workings'!$AV$438))</f>
      </c>
      <c r="T436" s="29">
        <f>IF(OR(431&gt;$Z$1,NOT(OR('Your debts'!$B$13&lt;&gt;"",N('Your debts'!$C$13)&gt;0))),"",IF('Your debts'!$D$20="Avalanche",'Avalanche workings'!$S$438,'Snowball workings'!$S$438)+IF('Your debts'!$D$20="Avalanche",'Avalanche workings'!$AM$438,'Snowball workings'!$AM$438))</f>
      </c>
      <c r="U436" s="30">
        <f>IF(OR(431&gt;$Z$1,NOT(OR('Your debts'!$B$13&lt;&gt;"",N('Your debts'!$C$13)&gt;0))),"",IF('Your debts'!$D$20="Avalanche",'Avalanche workings'!$AW$438,'Snowball workings'!$AW$438))</f>
      </c>
      <c r="V436" s="29">
        <f>IF(OR(431&gt;$Z$1,NOT(OR('Your debts'!$B$14&lt;&gt;"",N('Your debts'!$C$14)&gt;0))),"",IF('Your debts'!$D$20="Avalanche",'Avalanche workings'!$T$438,'Snowball workings'!$T$438)+IF('Your debts'!$D$20="Avalanche",'Avalanche workings'!$AN$438,'Snowball workings'!$AN$438))</f>
      </c>
      <c r="W436" s="30">
        <f>IF(OR(431&gt;$Z$1,NOT(OR('Your debts'!$B$14&lt;&gt;"",N('Your debts'!$C$14)&gt;0))),"",IF('Your debts'!$D$20="Avalanche",'Avalanche workings'!$AX$438,'Snowball workings'!$AX$438))</f>
      </c>
      <c r="X436" s="29">
        <f>IF(OR(431&gt;$Z$1,NOT(OR('Your debts'!$B$15&lt;&gt;"",N('Your debts'!$C$15)&gt;0))),"",IF('Your debts'!$D$20="Avalanche",'Avalanche workings'!$U$438,'Snowball workings'!$U$438)+IF('Your debts'!$D$20="Avalanche",'Avalanche workings'!$AO$438,'Snowball workings'!$AO$438))</f>
      </c>
      <c r="Y436" s="30">
        <f>IF(OR(431&gt;$Z$1,NOT(OR('Your debts'!$B$15&lt;&gt;"",N('Your debts'!$C$15)&gt;0))),"",IF('Your debts'!$D$20="Avalanche",'Avalanche workings'!$AY$438,'Snowball workings'!$AY$438))</f>
      </c>
    </row>
    <row r="437" spans="1:25" x14ac:dyDescent="0.25">
      <c r="A437" s="2">
        <f>IF(432&gt;$Z$1,"",432)</f>
      </c>
      <c r="B437" s="28">
        <f>IF(432&gt;$Z$1,"",EDATE('Your debts'!$D$21,431))</f>
      </c>
      <c r="C437" s="29">
        <f>IF(432&gt;$Z$1,"",IF('Your debts'!$D$20="Avalanche",'Avalanche workings'!$BC$439,'Snowball workings'!$BC$439))</f>
      </c>
      <c r="D437" s="29">
        <f>IF(432&gt;$Z$1,"",IF('Your debts'!$D$20="Avalanche",'Avalanche workings'!$BA$439,'Snowball workings'!$BA$439))</f>
      </c>
      <c r="E437" s="29">
        <f>IF(432&gt;$Z$1,"",IF('Your debts'!$D$20="Avalanche",'Avalanche workings'!$BB$439,'Snowball workings'!$BB$439))</f>
      </c>
      <c r="F437" s="29">
        <f>IF(OR(432&gt;$Z$1,NOT(OR('Your debts'!$B$6&lt;&gt;"",N('Your debts'!$C$6)&gt;0))),"",IF('Your debts'!$D$20="Avalanche",'Avalanche workings'!$L$439,'Snowball workings'!$L$439)+IF('Your debts'!$D$20="Avalanche",'Avalanche workings'!$AF$439,'Snowball workings'!$AF$439))</f>
      </c>
      <c r="G437" s="30">
        <f>IF(OR(432&gt;$Z$1,NOT(OR('Your debts'!$B$6&lt;&gt;"",N('Your debts'!$C$6)&gt;0))),"",IF('Your debts'!$D$20="Avalanche",'Avalanche workings'!$AP$439,'Snowball workings'!$AP$439))</f>
      </c>
      <c r="H437" s="29">
        <f>IF(OR(432&gt;$Z$1,NOT(OR('Your debts'!$B$7&lt;&gt;"",N('Your debts'!$C$7)&gt;0))),"",IF('Your debts'!$D$20="Avalanche",'Avalanche workings'!$M$439,'Snowball workings'!$M$439)+IF('Your debts'!$D$20="Avalanche",'Avalanche workings'!$AG$439,'Snowball workings'!$AG$439))</f>
      </c>
      <c r="I437" s="30">
        <f>IF(OR(432&gt;$Z$1,NOT(OR('Your debts'!$B$7&lt;&gt;"",N('Your debts'!$C$7)&gt;0))),"",IF('Your debts'!$D$20="Avalanche",'Avalanche workings'!$AQ$439,'Snowball workings'!$AQ$439))</f>
      </c>
      <c r="J437" s="29">
        <f>IF(OR(432&gt;$Z$1,NOT(OR('Your debts'!$B$8&lt;&gt;"",N('Your debts'!$C$8)&gt;0))),"",IF('Your debts'!$D$20="Avalanche",'Avalanche workings'!$N$439,'Snowball workings'!$N$439)+IF('Your debts'!$D$20="Avalanche",'Avalanche workings'!$AH$439,'Snowball workings'!$AH$439))</f>
      </c>
      <c r="K437" s="30">
        <f>IF(OR(432&gt;$Z$1,NOT(OR('Your debts'!$B$8&lt;&gt;"",N('Your debts'!$C$8)&gt;0))),"",IF('Your debts'!$D$20="Avalanche",'Avalanche workings'!$AR$439,'Snowball workings'!$AR$439))</f>
      </c>
      <c r="L437" s="29">
        <f>IF(OR(432&gt;$Z$1,NOT(OR('Your debts'!$B$9&lt;&gt;"",N('Your debts'!$C$9)&gt;0))),"",IF('Your debts'!$D$20="Avalanche",'Avalanche workings'!$O$439,'Snowball workings'!$O$439)+IF('Your debts'!$D$20="Avalanche",'Avalanche workings'!$AI$439,'Snowball workings'!$AI$439))</f>
      </c>
      <c r="M437" s="30">
        <f>IF(OR(432&gt;$Z$1,NOT(OR('Your debts'!$B$9&lt;&gt;"",N('Your debts'!$C$9)&gt;0))),"",IF('Your debts'!$D$20="Avalanche",'Avalanche workings'!$AS$439,'Snowball workings'!$AS$439))</f>
      </c>
      <c r="N437" s="29">
        <f>IF(OR(432&gt;$Z$1,NOT(OR('Your debts'!$B$10&lt;&gt;"",N('Your debts'!$C$10)&gt;0))),"",IF('Your debts'!$D$20="Avalanche",'Avalanche workings'!$P$439,'Snowball workings'!$P$439)+IF('Your debts'!$D$20="Avalanche",'Avalanche workings'!$AJ$439,'Snowball workings'!$AJ$439))</f>
      </c>
      <c r="O437" s="30">
        <f>IF(OR(432&gt;$Z$1,NOT(OR('Your debts'!$B$10&lt;&gt;"",N('Your debts'!$C$10)&gt;0))),"",IF('Your debts'!$D$20="Avalanche",'Avalanche workings'!$AT$439,'Snowball workings'!$AT$439))</f>
      </c>
      <c r="P437" s="29">
        <f>IF(OR(432&gt;$Z$1,NOT(OR('Your debts'!$B$11&lt;&gt;"",N('Your debts'!$C$11)&gt;0))),"",IF('Your debts'!$D$20="Avalanche",'Avalanche workings'!$Q$439,'Snowball workings'!$Q$439)+IF('Your debts'!$D$20="Avalanche",'Avalanche workings'!$AK$439,'Snowball workings'!$AK$439))</f>
      </c>
      <c r="Q437" s="30">
        <f>IF(OR(432&gt;$Z$1,NOT(OR('Your debts'!$B$11&lt;&gt;"",N('Your debts'!$C$11)&gt;0))),"",IF('Your debts'!$D$20="Avalanche",'Avalanche workings'!$AU$439,'Snowball workings'!$AU$439))</f>
      </c>
      <c r="R437" s="29">
        <f>IF(OR(432&gt;$Z$1,NOT(OR('Your debts'!$B$12&lt;&gt;"",N('Your debts'!$C$12)&gt;0))),"",IF('Your debts'!$D$20="Avalanche",'Avalanche workings'!$R$439,'Snowball workings'!$R$439)+IF('Your debts'!$D$20="Avalanche",'Avalanche workings'!$AL$439,'Snowball workings'!$AL$439))</f>
      </c>
      <c r="S437" s="30">
        <f>IF(OR(432&gt;$Z$1,NOT(OR('Your debts'!$B$12&lt;&gt;"",N('Your debts'!$C$12)&gt;0))),"",IF('Your debts'!$D$20="Avalanche",'Avalanche workings'!$AV$439,'Snowball workings'!$AV$439))</f>
      </c>
      <c r="T437" s="29">
        <f>IF(OR(432&gt;$Z$1,NOT(OR('Your debts'!$B$13&lt;&gt;"",N('Your debts'!$C$13)&gt;0))),"",IF('Your debts'!$D$20="Avalanche",'Avalanche workings'!$S$439,'Snowball workings'!$S$439)+IF('Your debts'!$D$20="Avalanche",'Avalanche workings'!$AM$439,'Snowball workings'!$AM$439))</f>
      </c>
      <c r="U437" s="30">
        <f>IF(OR(432&gt;$Z$1,NOT(OR('Your debts'!$B$13&lt;&gt;"",N('Your debts'!$C$13)&gt;0))),"",IF('Your debts'!$D$20="Avalanche",'Avalanche workings'!$AW$439,'Snowball workings'!$AW$439))</f>
      </c>
      <c r="V437" s="29">
        <f>IF(OR(432&gt;$Z$1,NOT(OR('Your debts'!$B$14&lt;&gt;"",N('Your debts'!$C$14)&gt;0))),"",IF('Your debts'!$D$20="Avalanche",'Avalanche workings'!$T$439,'Snowball workings'!$T$439)+IF('Your debts'!$D$20="Avalanche",'Avalanche workings'!$AN$439,'Snowball workings'!$AN$439))</f>
      </c>
      <c r="W437" s="30">
        <f>IF(OR(432&gt;$Z$1,NOT(OR('Your debts'!$B$14&lt;&gt;"",N('Your debts'!$C$14)&gt;0))),"",IF('Your debts'!$D$20="Avalanche",'Avalanche workings'!$AX$439,'Snowball workings'!$AX$439))</f>
      </c>
      <c r="X437" s="29">
        <f>IF(OR(432&gt;$Z$1,NOT(OR('Your debts'!$B$15&lt;&gt;"",N('Your debts'!$C$15)&gt;0))),"",IF('Your debts'!$D$20="Avalanche",'Avalanche workings'!$U$439,'Snowball workings'!$U$439)+IF('Your debts'!$D$20="Avalanche",'Avalanche workings'!$AO$439,'Snowball workings'!$AO$439))</f>
      </c>
      <c r="Y437" s="30">
        <f>IF(OR(432&gt;$Z$1,NOT(OR('Your debts'!$B$15&lt;&gt;"",N('Your debts'!$C$15)&gt;0))),"",IF('Your debts'!$D$20="Avalanche",'Avalanche workings'!$AY$439,'Snowball workings'!$AY$439))</f>
      </c>
    </row>
    <row r="438" spans="1:25" x14ac:dyDescent="0.25">
      <c r="A438" s="2">
        <f>IF(433&gt;$Z$1,"",433)</f>
      </c>
      <c r="B438" s="28">
        <f>IF(433&gt;$Z$1,"",EDATE('Your debts'!$D$21,432))</f>
      </c>
      <c r="C438" s="29">
        <f>IF(433&gt;$Z$1,"",IF('Your debts'!$D$20="Avalanche",'Avalanche workings'!$BC$440,'Snowball workings'!$BC$440))</f>
      </c>
      <c r="D438" s="29">
        <f>IF(433&gt;$Z$1,"",IF('Your debts'!$D$20="Avalanche",'Avalanche workings'!$BA$440,'Snowball workings'!$BA$440))</f>
      </c>
      <c r="E438" s="29">
        <f>IF(433&gt;$Z$1,"",IF('Your debts'!$D$20="Avalanche",'Avalanche workings'!$BB$440,'Snowball workings'!$BB$440))</f>
      </c>
      <c r="F438" s="29">
        <f>IF(OR(433&gt;$Z$1,NOT(OR('Your debts'!$B$6&lt;&gt;"",N('Your debts'!$C$6)&gt;0))),"",IF('Your debts'!$D$20="Avalanche",'Avalanche workings'!$L$440,'Snowball workings'!$L$440)+IF('Your debts'!$D$20="Avalanche",'Avalanche workings'!$AF$440,'Snowball workings'!$AF$440))</f>
      </c>
      <c r="G438" s="30">
        <f>IF(OR(433&gt;$Z$1,NOT(OR('Your debts'!$B$6&lt;&gt;"",N('Your debts'!$C$6)&gt;0))),"",IF('Your debts'!$D$20="Avalanche",'Avalanche workings'!$AP$440,'Snowball workings'!$AP$440))</f>
      </c>
      <c r="H438" s="29">
        <f>IF(OR(433&gt;$Z$1,NOT(OR('Your debts'!$B$7&lt;&gt;"",N('Your debts'!$C$7)&gt;0))),"",IF('Your debts'!$D$20="Avalanche",'Avalanche workings'!$M$440,'Snowball workings'!$M$440)+IF('Your debts'!$D$20="Avalanche",'Avalanche workings'!$AG$440,'Snowball workings'!$AG$440))</f>
      </c>
      <c r="I438" s="30">
        <f>IF(OR(433&gt;$Z$1,NOT(OR('Your debts'!$B$7&lt;&gt;"",N('Your debts'!$C$7)&gt;0))),"",IF('Your debts'!$D$20="Avalanche",'Avalanche workings'!$AQ$440,'Snowball workings'!$AQ$440))</f>
      </c>
      <c r="J438" s="29">
        <f>IF(OR(433&gt;$Z$1,NOT(OR('Your debts'!$B$8&lt;&gt;"",N('Your debts'!$C$8)&gt;0))),"",IF('Your debts'!$D$20="Avalanche",'Avalanche workings'!$N$440,'Snowball workings'!$N$440)+IF('Your debts'!$D$20="Avalanche",'Avalanche workings'!$AH$440,'Snowball workings'!$AH$440))</f>
      </c>
      <c r="K438" s="30">
        <f>IF(OR(433&gt;$Z$1,NOT(OR('Your debts'!$B$8&lt;&gt;"",N('Your debts'!$C$8)&gt;0))),"",IF('Your debts'!$D$20="Avalanche",'Avalanche workings'!$AR$440,'Snowball workings'!$AR$440))</f>
      </c>
      <c r="L438" s="29">
        <f>IF(OR(433&gt;$Z$1,NOT(OR('Your debts'!$B$9&lt;&gt;"",N('Your debts'!$C$9)&gt;0))),"",IF('Your debts'!$D$20="Avalanche",'Avalanche workings'!$O$440,'Snowball workings'!$O$440)+IF('Your debts'!$D$20="Avalanche",'Avalanche workings'!$AI$440,'Snowball workings'!$AI$440))</f>
      </c>
      <c r="M438" s="30">
        <f>IF(OR(433&gt;$Z$1,NOT(OR('Your debts'!$B$9&lt;&gt;"",N('Your debts'!$C$9)&gt;0))),"",IF('Your debts'!$D$20="Avalanche",'Avalanche workings'!$AS$440,'Snowball workings'!$AS$440))</f>
      </c>
      <c r="N438" s="29">
        <f>IF(OR(433&gt;$Z$1,NOT(OR('Your debts'!$B$10&lt;&gt;"",N('Your debts'!$C$10)&gt;0))),"",IF('Your debts'!$D$20="Avalanche",'Avalanche workings'!$P$440,'Snowball workings'!$P$440)+IF('Your debts'!$D$20="Avalanche",'Avalanche workings'!$AJ$440,'Snowball workings'!$AJ$440))</f>
      </c>
      <c r="O438" s="30">
        <f>IF(OR(433&gt;$Z$1,NOT(OR('Your debts'!$B$10&lt;&gt;"",N('Your debts'!$C$10)&gt;0))),"",IF('Your debts'!$D$20="Avalanche",'Avalanche workings'!$AT$440,'Snowball workings'!$AT$440))</f>
      </c>
      <c r="P438" s="29">
        <f>IF(OR(433&gt;$Z$1,NOT(OR('Your debts'!$B$11&lt;&gt;"",N('Your debts'!$C$11)&gt;0))),"",IF('Your debts'!$D$20="Avalanche",'Avalanche workings'!$Q$440,'Snowball workings'!$Q$440)+IF('Your debts'!$D$20="Avalanche",'Avalanche workings'!$AK$440,'Snowball workings'!$AK$440))</f>
      </c>
      <c r="Q438" s="30">
        <f>IF(OR(433&gt;$Z$1,NOT(OR('Your debts'!$B$11&lt;&gt;"",N('Your debts'!$C$11)&gt;0))),"",IF('Your debts'!$D$20="Avalanche",'Avalanche workings'!$AU$440,'Snowball workings'!$AU$440))</f>
      </c>
      <c r="R438" s="29">
        <f>IF(OR(433&gt;$Z$1,NOT(OR('Your debts'!$B$12&lt;&gt;"",N('Your debts'!$C$12)&gt;0))),"",IF('Your debts'!$D$20="Avalanche",'Avalanche workings'!$R$440,'Snowball workings'!$R$440)+IF('Your debts'!$D$20="Avalanche",'Avalanche workings'!$AL$440,'Snowball workings'!$AL$440))</f>
      </c>
      <c r="S438" s="30">
        <f>IF(OR(433&gt;$Z$1,NOT(OR('Your debts'!$B$12&lt;&gt;"",N('Your debts'!$C$12)&gt;0))),"",IF('Your debts'!$D$20="Avalanche",'Avalanche workings'!$AV$440,'Snowball workings'!$AV$440))</f>
      </c>
      <c r="T438" s="29">
        <f>IF(OR(433&gt;$Z$1,NOT(OR('Your debts'!$B$13&lt;&gt;"",N('Your debts'!$C$13)&gt;0))),"",IF('Your debts'!$D$20="Avalanche",'Avalanche workings'!$S$440,'Snowball workings'!$S$440)+IF('Your debts'!$D$20="Avalanche",'Avalanche workings'!$AM$440,'Snowball workings'!$AM$440))</f>
      </c>
      <c r="U438" s="30">
        <f>IF(OR(433&gt;$Z$1,NOT(OR('Your debts'!$B$13&lt;&gt;"",N('Your debts'!$C$13)&gt;0))),"",IF('Your debts'!$D$20="Avalanche",'Avalanche workings'!$AW$440,'Snowball workings'!$AW$440))</f>
      </c>
      <c r="V438" s="29">
        <f>IF(OR(433&gt;$Z$1,NOT(OR('Your debts'!$B$14&lt;&gt;"",N('Your debts'!$C$14)&gt;0))),"",IF('Your debts'!$D$20="Avalanche",'Avalanche workings'!$T$440,'Snowball workings'!$T$440)+IF('Your debts'!$D$20="Avalanche",'Avalanche workings'!$AN$440,'Snowball workings'!$AN$440))</f>
      </c>
      <c r="W438" s="30">
        <f>IF(OR(433&gt;$Z$1,NOT(OR('Your debts'!$B$14&lt;&gt;"",N('Your debts'!$C$14)&gt;0))),"",IF('Your debts'!$D$20="Avalanche",'Avalanche workings'!$AX$440,'Snowball workings'!$AX$440))</f>
      </c>
      <c r="X438" s="29">
        <f>IF(OR(433&gt;$Z$1,NOT(OR('Your debts'!$B$15&lt;&gt;"",N('Your debts'!$C$15)&gt;0))),"",IF('Your debts'!$D$20="Avalanche",'Avalanche workings'!$U$440,'Snowball workings'!$U$440)+IF('Your debts'!$D$20="Avalanche",'Avalanche workings'!$AO$440,'Snowball workings'!$AO$440))</f>
      </c>
      <c r="Y438" s="30">
        <f>IF(OR(433&gt;$Z$1,NOT(OR('Your debts'!$B$15&lt;&gt;"",N('Your debts'!$C$15)&gt;0))),"",IF('Your debts'!$D$20="Avalanche",'Avalanche workings'!$AY$440,'Snowball workings'!$AY$440))</f>
      </c>
    </row>
    <row r="439" spans="1:25" x14ac:dyDescent="0.25">
      <c r="A439" s="2">
        <f>IF(434&gt;$Z$1,"",434)</f>
      </c>
      <c r="B439" s="28">
        <f>IF(434&gt;$Z$1,"",EDATE('Your debts'!$D$21,433))</f>
      </c>
      <c r="C439" s="29">
        <f>IF(434&gt;$Z$1,"",IF('Your debts'!$D$20="Avalanche",'Avalanche workings'!$BC$441,'Snowball workings'!$BC$441))</f>
      </c>
      <c r="D439" s="29">
        <f>IF(434&gt;$Z$1,"",IF('Your debts'!$D$20="Avalanche",'Avalanche workings'!$BA$441,'Snowball workings'!$BA$441))</f>
      </c>
      <c r="E439" s="29">
        <f>IF(434&gt;$Z$1,"",IF('Your debts'!$D$20="Avalanche",'Avalanche workings'!$BB$441,'Snowball workings'!$BB$441))</f>
      </c>
      <c r="F439" s="29">
        <f>IF(OR(434&gt;$Z$1,NOT(OR('Your debts'!$B$6&lt;&gt;"",N('Your debts'!$C$6)&gt;0))),"",IF('Your debts'!$D$20="Avalanche",'Avalanche workings'!$L$441,'Snowball workings'!$L$441)+IF('Your debts'!$D$20="Avalanche",'Avalanche workings'!$AF$441,'Snowball workings'!$AF$441))</f>
      </c>
      <c r="G439" s="30">
        <f>IF(OR(434&gt;$Z$1,NOT(OR('Your debts'!$B$6&lt;&gt;"",N('Your debts'!$C$6)&gt;0))),"",IF('Your debts'!$D$20="Avalanche",'Avalanche workings'!$AP$441,'Snowball workings'!$AP$441))</f>
      </c>
      <c r="H439" s="29">
        <f>IF(OR(434&gt;$Z$1,NOT(OR('Your debts'!$B$7&lt;&gt;"",N('Your debts'!$C$7)&gt;0))),"",IF('Your debts'!$D$20="Avalanche",'Avalanche workings'!$M$441,'Snowball workings'!$M$441)+IF('Your debts'!$D$20="Avalanche",'Avalanche workings'!$AG$441,'Snowball workings'!$AG$441))</f>
      </c>
      <c r="I439" s="30">
        <f>IF(OR(434&gt;$Z$1,NOT(OR('Your debts'!$B$7&lt;&gt;"",N('Your debts'!$C$7)&gt;0))),"",IF('Your debts'!$D$20="Avalanche",'Avalanche workings'!$AQ$441,'Snowball workings'!$AQ$441))</f>
      </c>
      <c r="J439" s="29">
        <f>IF(OR(434&gt;$Z$1,NOT(OR('Your debts'!$B$8&lt;&gt;"",N('Your debts'!$C$8)&gt;0))),"",IF('Your debts'!$D$20="Avalanche",'Avalanche workings'!$N$441,'Snowball workings'!$N$441)+IF('Your debts'!$D$20="Avalanche",'Avalanche workings'!$AH$441,'Snowball workings'!$AH$441))</f>
      </c>
      <c r="K439" s="30">
        <f>IF(OR(434&gt;$Z$1,NOT(OR('Your debts'!$B$8&lt;&gt;"",N('Your debts'!$C$8)&gt;0))),"",IF('Your debts'!$D$20="Avalanche",'Avalanche workings'!$AR$441,'Snowball workings'!$AR$441))</f>
      </c>
      <c r="L439" s="29">
        <f>IF(OR(434&gt;$Z$1,NOT(OR('Your debts'!$B$9&lt;&gt;"",N('Your debts'!$C$9)&gt;0))),"",IF('Your debts'!$D$20="Avalanche",'Avalanche workings'!$O$441,'Snowball workings'!$O$441)+IF('Your debts'!$D$20="Avalanche",'Avalanche workings'!$AI$441,'Snowball workings'!$AI$441))</f>
      </c>
      <c r="M439" s="30">
        <f>IF(OR(434&gt;$Z$1,NOT(OR('Your debts'!$B$9&lt;&gt;"",N('Your debts'!$C$9)&gt;0))),"",IF('Your debts'!$D$20="Avalanche",'Avalanche workings'!$AS$441,'Snowball workings'!$AS$441))</f>
      </c>
      <c r="N439" s="29">
        <f>IF(OR(434&gt;$Z$1,NOT(OR('Your debts'!$B$10&lt;&gt;"",N('Your debts'!$C$10)&gt;0))),"",IF('Your debts'!$D$20="Avalanche",'Avalanche workings'!$P$441,'Snowball workings'!$P$441)+IF('Your debts'!$D$20="Avalanche",'Avalanche workings'!$AJ$441,'Snowball workings'!$AJ$441))</f>
      </c>
      <c r="O439" s="30">
        <f>IF(OR(434&gt;$Z$1,NOT(OR('Your debts'!$B$10&lt;&gt;"",N('Your debts'!$C$10)&gt;0))),"",IF('Your debts'!$D$20="Avalanche",'Avalanche workings'!$AT$441,'Snowball workings'!$AT$441))</f>
      </c>
      <c r="P439" s="29">
        <f>IF(OR(434&gt;$Z$1,NOT(OR('Your debts'!$B$11&lt;&gt;"",N('Your debts'!$C$11)&gt;0))),"",IF('Your debts'!$D$20="Avalanche",'Avalanche workings'!$Q$441,'Snowball workings'!$Q$441)+IF('Your debts'!$D$20="Avalanche",'Avalanche workings'!$AK$441,'Snowball workings'!$AK$441))</f>
      </c>
      <c r="Q439" s="30">
        <f>IF(OR(434&gt;$Z$1,NOT(OR('Your debts'!$B$11&lt;&gt;"",N('Your debts'!$C$11)&gt;0))),"",IF('Your debts'!$D$20="Avalanche",'Avalanche workings'!$AU$441,'Snowball workings'!$AU$441))</f>
      </c>
      <c r="R439" s="29">
        <f>IF(OR(434&gt;$Z$1,NOT(OR('Your debts'!$B$12&lt;&gt;"",N('Your debts'!$C$12)&gt;0))),"",IF('Your debts'!$D$20="Avalanche",'Avalanche workings'!$R$441,'Snowball workings'!$R$441)+IF('Your debts'!$D$20="Avalanche",'Avalanche workings'!$AL$441,'Snowball workings'!$AL$441))</f>
      </c>
      <c r="S439" s="30">
        <f>IF(OR(434&gt;$Z$1,NOT(OR('Your debts'!$B$12&lt;&gt;"",N('Your debts'!$C$12)&gt;0))),"",IF('Your debts'!$D$20="Avalanche",'Avalanche workings'!$AV$441,'Snowball workings'!$AV$441))</f>
      </c>
      <c r="T439" s="29">
        <f>IF(OR(434&gt;$Z$1,NOT(OR('Your debts'!$B$13&lt;&gt;"",N('Your debts'!$C$13)&gt;0))),"",IF('Your debts'!$D$20="Avalanche",'Avalanche workings'!$S$441,'Snowball workings'!$S$441)+IF('Your debts'!$D$20="Avalanche",'Avalanche workings'!$AM$441,'Snowball workings'!$AM$441))</f>
      </c>
      <c r="U439" s="30">
        <f>IF(OR(434&gt;$Z$1,NOT(OR('Your debts'!$B$13&lt;&gt;"",N('Your debts'!$C$13)&gt;0))),"",IF('Your debts'!$D$20="Avalanche",'Avalanche workings'!$AW$441,'Snowball workings'!$AW$441))</f>
      </c>
      <c r="V439" s="29">
        <f>IF(OR(434&gt;$Z$1,NOT(OR('Your debts'!$B$14&lt;&gt;"",N('Your debts'!$C$14)&gt;0))),"",IF('Your debts'!$D$20="Avalanche",'Avalanche workings'!$T$441,'Snowball workings'!$T$441)+IF('Your debts'!$D$20="Avalanche",'Avalanche workings'!$AN$441,'Snowball workings'!$AN$441))</f>
      </c>
      <c r="W439" s="30">
        <f>IF(OR(434&gt;$Z$1,NOT(OR('Your debts'!$B$14&lt;&gt;"",N('Your debts'!$C$14)&gt;0))),"",IF('Your debts'!$D$20="Avalanche",'Avalanche workings'!$AX$441,'Snowball workings'!$AX$441))</f>
      </c>
      <c r="X439" s="29">
        <f>IF(OR(434&gt;$Z$1,NOT(OR('Your debts'!$B$15&lt;&gt;"",N('Your debts'!$C$15)&gt;0))),"",IF('Your debts'!$D$20="Avalanche",'Avalanche workings'!$U$441,'Snowball workings'!$U$441)+IF('Your debts'!$D$20="Avalanche",'Avalanche workings'!$AO$441,'Snowball workings'!$AO$441))</f>
      </c>
      <c r="Y439" s="30">
        <f>IF(OR(434&gt;$Z$1,NOT(OR('Your debts'!$B$15&lt;&gt;"",N('Your debts'!$C$15)&gt;0))),"",IF('Your debts'!$D$20="Avalanche",'Avalanche workings'!$AY$441,'Snowball workings'!$AY$441))</f>
      </c>
    </row>
    <row r="440" spans="1:25" x14ac:dyDescent="0.25">
      <c r="A440" s="2">
        <f>IF(435&gt;$Z$1,"",435)</f>
      </c>
      <c r="B440" s="28">
        <f>IF(435&gt;$Z$1,"",EDATE('Your debts'!$D$21,434))</f>
      </c>
      <c r="C440" s="29">
        <f>IF(435&gt;$Z$1,"",IF('Your debts'!$D$20="Avalanche",'Avalanche workings'!$BC$442,'Snowball workings'!$BC$442))</f>
      </c>
      <c r="D440" s="29">
        <f>IF(435&gt;$Z$1,"",IF('Your debts'!$D$20="Avalanche",'Avalanche workings'!$BA$442,'Snowball workings'!$BA$442))</f>
      </c>
      <c r="E440" s="29">
        <f>IF(435&gt;$Z$1,"",IF('Your debts'!$D$20="Avalanche",'Avalanche workings'!$BB$442,'Snowball workings'!$BB$442))</f>
      </c>
      <c r="F440" s="29">
        <f>IF(OR(435&gt;$Z$1,NOT(OR('Your debts'!$B$6&lt;&gt;"",N('Your debts'!$C$6)&gt;0))),"",IF('Your debts'!$D$20="Avalanche",'Avalanche workings'!$L$442,'Snowball workings'!$L$442)+IF('Your debts'!$D$20="Avalanche",'Avalanche workings'!$AF$442,'Snowball workings'!$AF$442))</f>
      </c>
      <c r="G440" s="30">
        <f>IF(OR(435&gt;$Z$1,NOT(OR('Your debts'!$B$6&lt;&gt;"",N('Your debts'!$C$6)&gt;0))),"",IF('Your debts'!$D$20="Avalanche",'Avalanche workings'!$AP$442,'Snowball workings'!$AP$442))</f>
      </c>
      <c r="H440" s="29">
        <f>IF(OR(435&gt;$Z$1,NOT(OR('Your debts'!$B$7&lt;&gt;"",N('Your debts'!$C$7)&gt;0))),"",IF('Your debts'!$D$20="Avalanche",'Avalanche workings'!$M$442,'Snowball workings'!$M$442)+IF('Your debts'!$D$20="Avalanche",'Avalanche workings'!$AG$442,'Snowball workings'!$AG$442))</f>
      </c>
      <c r="I440" s="30">
        <f>IF(OR(435&gt;$Z$1,NOT(OR('Your debts'!$B$7&lt;&gt;"",N('Your debts'!$C$7)&gt;0))),"",IF('Your debts'!$D$20="Avalanche",'Avalanche workings'!$AQ$442,'Snowball workings'!$AQ$442))</f>
      </c>
      <c r="J440" s="29">
        <f>IF(OR(435&gt;$Z$1,NOT(OR('Your debts'!$B$8&lt;&gt;"",N('Your debts'!$C$8)&gt;0))),"",IF('Your debts'!$D$20="Avalanche",'Avalanche workings'!$N$442,'Snowball workings'!$N$442)+IF('Your debts'!$D$20="Avalanche",'Avalanche workings'!$AH$442,'Snowball workings'!$AH$442))</f>
      </c>
      <c r="K440" s="30">
        <f>IF(OR(435&gt;$Z$1,NOT(OR('Your debts'!$B$8&lt;&gt;"",N('Your debts'!$C$8)&gt;0))),"",IF('Your debts'!$D$20="Avalanche",'Avalanche workings'!$AR$442,'Snowball workings'!$AR$442))</f>
      </c>
      <c r="L440" s="29">
        <f>IF(OR(435&gt;$Z$1,NOT(OR('Your debts'!$B$9&lt;&gt;"",N('Your debts'!$C$9)&gt;0))),"",IF('Your debts'!$D$20="Avalanche",'Avalanche workings'!$O$442,'Snowball workings'!$O$442)+IF('Your debts'!$D$20="Avalanche",'Avalanche workings'!$AI$442,'Snowball workings'!$AI$442))</f>
      </c>
      <c r="M440" s="30">
        <f>IF(OR(435&gt;$Z$1,NOT(OR('Your debts'!$B$9&lt;&gt;"",N('Your debts'!$C$9)&gt;0))),"",IF('Your debts'!$D$20="Avalanche",'Avalanche workings'!$AS$442,'Snowball workings'!$AS$442))</f>
      </c>
      <c r="N440" s="29">
        <f>IF(OR(435&gt;$Z$1,NOT(OR('Your debts'!$B$10&lt;&gt;"",N('Your debts'!$C$10)&gt;0))),"",IF('Your debts'!$D$20="Avalanche",'Avalanche workings'!$P$442,'Snowball workings'!$P$442)+IF('Your debts'!$D$20="Avalanche",'Avalanche workings'!$AJ$442,'Snowball workings'!$AJ$442))</f>
      </c>
      <c r="O440" s="30">
        <f>IF(OR(435&gt;$Z$1,NOT(OR('Your debts'!$B$10&lt;&gt;"",N('Your debts'!$C$10)&gt;0))),"",IF('Your debts'!$D$20="Avalanche",'Avalanche workings'!$AT$442,'Snowball workings'!$AT$442))</f>
      </c>
      <c r="P440" s="29">
        <f>IF(OR(435&gt;$Z$1,NOT(OR('Your debts'!$B$11&lt;&gt;"",N('Your debts'!$C$11)&gt;0))),"",IF('Your debts'!$D$20="Avalanche",'Avalanche workings'!$Q$442,'Snowball workings'!$Q$442)+IF('Your debts'!$D$20="Avalanche",'Avalanche workings'!$AK$442,'Snowball workings'!$AK$442))</f>
      </c>
      <c r="Q440" s="30">
        <f>IF(OR(435&gt;$Z$1,NOT(OR('Your debts'!$B$11&lt;&gt;"",N('Your debts'!$C$11)&gt;0))),"",IF('Your debts'!$D$20="Avalanche",'Avalanche workings'!$AU$442,'Snowball workings'!$AU$442))</f>
      </c>
      <c r="R440" s="29">
        <f>IF(OR(435&gt;$Z$1,NOT(OR('Your debts'!$B$12&lt;&gt;"",N('Your debts'!$C$12)&gt;0))),"",IF('Your debts'!$D$20="Avalanche",'Avalanche workings'!$R$442,'Snowball workings'!$R$442)+IF('Your debts'!$D$20="Avalanche",'Avalanche workings'!$AL$442,'Snowball workings'!$AL$442))</f>
      </c>
      <c r="S440" s="30">
        <f>IF(OR(435&gt;$Z$1,NOT(OR('Your debts'!$B$12&lt;&gt;"",N('Your debts'!$C$12)&gt;0))),"",IF('Your debts'!$D$20="Avalanche",'Avalanche workings'!$AV$442,'Snowball workings'!$AV$442))</f>
      </c>
      <c r="T440" s="29">
        <f>IF(OR(435&gt;$Z$1,NOT(OR('Your debts'!$B$13&lt;&gt;"",N('Your debts'!$C$13)&gt;0))),"",IF('Your debts'!$D$20="Avalanche",'Avalanche workings'!$S$442,'Snowball workings'!$S$442)+IF('Your debts'!$D$20="Avalanche",'Avalanche workings'!$AM$442,'Snowball workings'!$AM$442))</f>
      </c>
      <c r="U440" s="30">
        <f>IF(OR(435&gt;$Z$1,NOT(OR('Your debts'!$B$13&lt;&gt;"",N('Your debts'!$C$13)&gt;0))),"",IF('Your debts'!$D$20="Avalanche",'Avalanche workings'!$AW$442,'Snowball workings'!$AW$442))</f>
      </c>
      <c r="V440" s="29">
        <f>IF(OR(435&gt;$Z$1,NOT(OR('Your debts'!$B$14&lt;&gt;"",N('Your debts'!$C$14)&gt;0))),"",IF('Your debts'!$D$20="Avalanche",'Avalanche workings'!$T$442,'Snowball workings'!$T$442)+IF('Your debts'!$D$20="Avalanche",'Avalanche workings'!$AN$442,'Snowball workings'!$AN$442))</f>
      </c>
      <c r="W440" s="30">
        <f>IF(OR(435&gt;$Z$1,NOT(OR('Your debts'!$B$14&lt;&gt;"",N('Your debts'!$C$14)&gt;0))),"",IF('Your debts'!$D$20="Avalanche",'Avalanche workings'!$AX$442,'Snowball workings'!$AX$442))</f>
      </c>
      <c r="X440" s="29">
        <f>IF(OR(435&gt;$Z$1,NOT(OR('Your debts'!$B$15&lt;&gt;"",N('Your debts'!$C$15)&gt;0))),"",IF('Your debts'!$D$20="Avalanche",'Avalanche workings'!$U$442,'Snowball workings'!$U$442)+IF('Your debts'!$D$20="Avalanche",'Avalanche workings'!$AO$442,'Snowball workings'!$AO$442))</f>
      </c>
      <c r="Y440" s="30">
        <f>IF(OR(435&gt;$Z$1,NOT(OR('Your debts'!$B$15&lt;&gt;"",N('Your debts'!$C$15)&gt;0))),"",IF('Your debts'!$D$20="Avalanche",'Avalanche workings'!$AY$442,'Snowball workings'!$AY$442))</f>
      </c>
    </row>
    <row r="441" spans="1:25" x14ac:dyDescent="0.25">
      <c r="A441" s="2">
        <f>IF(436&gt;$Z$1,"",436)</f>
      </c>
      <c r="B441" s="28">
        <f>IF(436&gt;$Z$1,"",EDATE('Your debts'!$D$21,435))</f>
      </c>
      <c r="C441" s="29">
        <f>IF(436&gt;$Z$1,"",IF('Your debts'!$D$20="Avalanche",'Avalanche workings'!$BC$443,'Snowball workings'!$BC$443))</f>
      </c>
      <c r="D441" s="29">
        <f>IF(436&gt;$Z$1,"",IF('Your debts'!$D$20="Avalanche",'Avalanche workings'!$BA$443,'Snowball workings'!$BA$443))</f>
      </c>
      <c r="E441" s="29">
        <f>IF(436&gt;$Z$1,"",IF('Your debts'!$D$20="Avalanche",'Avalanche workings'!$BB$443,'Snowball workings'!$BB$443))</f>
      </c>
      <c r="F441" s="29">
        <f>IF(OR(436&gt;$Z$1,NOT(OR('Your debts'!$B$6&lt;&gt;"",N('Your debts'!$C$6)&gt;0))),"",IF('Your debts'!$D$20="Avalanche",'Avalanche workings'!$L$443,'Snowball workings'!$L$443)+IF('Your debts'!$D$20="Avalanche",'Avalanche workings'!$AF$443,'Snowball workings'!$AF$443))</f>
      </c>
      <c r="G441" s="30">
        <f>IF(OR(436&gt;$Z$1,NOT(OR('Your debts'!$B$6&lt;&gt;"",N('Your debts'!$C$6)&gt;0))),"",IF('Your debts'!$D$20="Avalanche",'Avalanche workings'!$AP$443,'Snowball workings'!$AP$443))</f>
      </c>
      <c r="H441" s="29">
        <f>IF(OR(436&gt;$Z$1,NOT(OR('Your debts'!$B$7&lt;&gt;"",N('Your debts'!$C$7)&gt;0))),"",IF('Your debts'!$D$20="Avalanche",'Avalanche workings'!$M$443,'Snowball workings'!$M$443)+IF('Your debts'!$D$20="Avalanche",'Avalanche workings'!$AG$443,'Snowball workings'!$AG$443))</f>
      </c>
      <c r="I441" s="30">
        <f>IF(OR(436&gt;$Z$1,NOT(OR('Your debts'!$B$7&lt;&gt;"",N('Your debts'!$C$7)&gt;0))),"",IF('Your debts'!$D$20="Avalanche",'Avalanche workings'!$AQ$443,'Snowball workings'!$AQ$443))</f>
      </c>
      <c r="J441" s="29">
        <f>IF(OR(436&gt;$Z$1,NOT(OR('Your debts'!$B$8&lt;&gt;"",N('Your debts'!$C$8)&gt;0))),"",IF('Your debts'!$D$20="Avalanche",'Avalanche workings'!$N$443,'Snowball workings'!$N$443)+IF('Your debts'!$D$20="Avalanche",'Avalanche workings'!$AH$443,'Snowball workings'!$AH$443))</f>
      </c>
      <c r="K441" s="30">
        <f>IF(OR(436&gt;$Z$1,NOT(OR('Your debts'!$B$8&lt;&gt;"",N('Your debts'!$C$8)&gt;0))),"",IF('Your debts'!$D$20="Avalanche",'Avalanche workings'!$AR$443,'Snowball workings'!$AR$443))</f>
      </c>
      <c r="L441" s="29">
        <f>IF(OR(436&gt;$Z$1,NOT(OR('Your debts'!$B$9&lt;&gt;"",N('Your debts'!$C$9)&gt;0))),"",IF('Your debts'!$D$20="Avalanche",'Avalanche workings'!$O$443,'Snowball workings'!$O$443)+IF('Your debts'!$D$20="Avalanche",'Avalanche workings'!$AI$443,'Snowball workings'!$AI$443))</f>
      </c>
      <c r="M441" s="30">
        <f>IF(OR(436&gt;$Z$1,NOT(OR('Your debts'!$B$9&lt;&gt;"",N('Your debts'!$C$9)&gt;0))),"",IF('Your debts'!$D$20="Avalanche",'Avalanche workings'!$AS$443,'Snowball workings'!$AS$443))</f>
      </c>
      <c r="N441" s="29">
        <f>IF(OR(436&gt;$Z$1,NOT(OR('Your debts'!$B$10&lt;&gt;"",N('Your debts'!$C$10)&gt;0))),"",IF('Your debts'!$D$20="Avalanche",'Avalanche workings'!$P$443,'Snowball workings'!$P$443)+IF('Your debts'!$D$20="Avalanche",'Avalanche workings'!$AJ$443,'Snowball workings'!$AJ$443))</f>
      </c>
      <c r="O441" s="30">
        <f>IF(OR(436&gt;$Z$1,NOT(OR('Your debts'!$B$10&lt;&gt;"",N('Your debts'!$C$10)&gt;0))),"",IF('Your debts'!$D$20="Avalanche",'Avalanche workings'!$AT$443,'Snowball workings'!$AT$443))</f>
      </c>
      <c r="P441" s="29">
        <f>IF(OR(436&gt;$Z$1,NOT(OR('Your debts'!$B$11&lt;&gt;"",N('Your debts'!$C$11)&gt;0))),"",IF('Your debts'!$D$20="Avalanche",'Avalanche workings'!$Q$443,'Snowball workings'!$Q$443)+IF('Your debts'!$D$20="Avalanche",'Avalanche workings'!$AK$443,'Snowball workings'!$AK$443))</f>
      </c>
      <c r="Q441" s="30">
        <f>IF(OR(436&gt;$Z$1,NOT(OR('Your debts'!$B$11&lt;&gt;"",N('Your debts'!$C$11)&gt;0))),"",IF('Your debts'!$D$20="Avalanche",'Avalanche workings'!$AU$443,'Snowball workings'!$AU$443))</f>
      </c>
      <c r="R441" s="29">
        <f>IF(OR(436&gt;$Z$1,NOT(OR('Your debts'!$B$12&lt;&gt;"",N('Your debts'!$C$12)&gt;0))),"",IF('Your debts'!$D$20="Avalanche",'Avalanche workings'!$R$443,'Snowball workings'!$R$443)+IF('Your debts'!$D$20="Avalanche",'Avalanche workings'!$AL$443,'Snowball workings'!$AL$443))</f>
      </c>
      <c r="S441" s="30">
        <f>IF(OR(436&gt;$Z$1,NOT(OR('Your debts'!$B$12&lt;&gt;"",N('Your debts'!$C$12)&gt;0))),"",IF('Your debts'!$D$20="Avalanche",'Avalanche workings'!$AV$443,'Snowball workings'!$AV$443))</f>
      </c>
      <c r="T441" s="29">
        <f>IF(OR(436&gt;$Z$1,NOT(OR('Your debts'!$B$13&lt;&gt;"",N('Your debts'!$C$13)&gt;0))),"",IF('Your debts'!$D$20="Avalanche",'Avalanche workings'!$S$443,'Snowball workings'!$S$443)+IF('Your debts'!$D$20="Avalanche",'Avalanche workings'!$AM$443,'Snowball workings'!$AM$443))</f>
      </c>
      <c r="U441" s="30">
        <f>IF(OR(436&gt;$Z$1,NOT(OR('Your debts'!$B$13&lt;&gt;"",N('Your debts'!$C$13)&gt;0))),"",IF('Your debts'!$D$20="Avalanche",'Avalanche workings'!$AW$443,'Snowball workings'!$AW$443))</f>
      </c>
      <c r="V441" s="29">
        <f>IF(OR(436&gt;$Z$1,NOT(OR('Your debts'!$B$14&lt;&gt;"",N('Your debts'!$C$14)&gt;0))),"",IF('Your debts'!$D$20="Avalanche",'Avalanche workings'!$T$443,'Snowball workings'!$T$443)+IF('Your debts'!$D$20="Avalanche",'Avalanche workings'!$AN$443,'Snowball workings'!$AN$443))</f>
      </c>
      <c r="W441" s="30">
        <f>IF(OR(436&gt;$Z$1,NOT(OR('Your debts'!$B$14&lt;&gt;"",N('Your debts'!$C$14)&gt;0))),"",IF('Your debts'!$D$20="Avalanche",'Avalanche workings'!$AX$443,'Snowball workings'!$AX$443))</f>
      </c>
      <c r="X441" s="29">
        <f>IF(OR(436&gt;$Z$1,NOT(OR('Your debts'!$B$15&lt;&gt;"",N('Your debts'!$C$15)&gt;0))),"",IF('Your debts'!$D$20="Avalanche",'Avalanche workings'!$U$443,'Snowball workings'!$U$443)+IF('Your debts'!$D$20="Avalanche",'Avalanche workings'!$AO$443,'Snowball workings'!$AO$443))</f>
      </c>
      <c r="Y441" s="30">
        <f>IF(OR(436&gt;$Z$1,NOT(OR('Your debts'!$B$15&lt;&gt;"",N('Your debts'!$C$15)&gt;0))),"",IF('Your debts'!$D$20="Avalanche",'Avalanche workings'!$AY$443,'Snowball workings'!$AY$443))</f>
      </c>
    </row>
    <row r="442" spans="1:25" x14ac:dyDescent="0.25">
      <c r="A442" s="2">
        <f>IF(437&gt;$Z$1,"",437)</f>
      </c>
      <c r="B442" s="28">
        <f>IF(437&gt;$Z$1,"",EDATE('Your debts'!$D$21,436))</f>
      </c>
      <c r="C442" s="29">
        <f>IF(437&gt;$Z$1,"",IF('Your debts'!$D$20="Avalanche",'Avalanche workings'!$BC$444,'Snowball workings'!$BC$444))</f>
      </c>
      <c r="D442" s="29">
        <f>IF(437&gt;$Z$1,"",IF('Your debts'!$D$20="Avalanche",'Avalanche workings'!$BA$444,'Snowball workings'!$BA$444))</f>
      </c>
      <c r="E442" s="29">
        <f>IF(437&gt;$Z$1,"",IF('Your debts'!$D$20="Avalanche",'Avalanche workings'!$BB$444,'Snowball workings'!$BB$444))</f>
      </c>
      <c r="F442" s="29">
        <f>IF(OR(437&gt;$Z$1,NOT(OR('Your debts'!$B$6&lt;&gt;"",N('Your debts'!$C$6)&gt;0))),"",IF('Your debts'!$D$20="Avalanche",'Avalanche workings'!$L$444,'Snowball workings'!$L$444)+IF('Your debts'!$D$20="Avalanche",'Avalanche workings'!$AF$444,'Snowball workings'!$AF$444))</f>
      </c>
      <c r="G442" s="30">
        <f>IF(OR(437&gt;$Z$1,NOT(OR('Your debts'!$B$6&lt;&gt;"",N('Your debts'!$C$6)&gt;0))),"",IF('Your debts'!$D$20="Avalanche",'Avalanche workings'!$AP$444,'Snowball workings'!$AP$444))</f>
      </c>
      <c r="H442" s="29">
        <f>IF(OR(437&gt;$Z$1,NOT(OR('Your debts'!$B$7&lt;&gt;"",N('Your debts'!$C$7)&gt;0))),"",IF('Your debts'!$D$20="Avalanche",'Avalanche workings'!$M$444,'Snowball workings'!$M$444)+IF('Your debts'!$D$20="Avalanche",'Avalanche workings'!$AG$444,'Snowball workings'!$AG$444))</f>
      </c>
      <c r="I442" s="30">
        <f>IF(OR(437&gt;$Z$1,NOT(OR('Your debts'!$B$7&lt;&gt;"",N('Your debts'!$C$7)&gt;0))),"",IF('Your debts'!$D$20="Avalanche",'Avalanche workings'!$AQ$444,'Snowball workings'!$AQ$444))</f>
      </c>
      <c r="J442" s="29">
        <f>IF(OR(437&gt;$Z$1,NOT(OR('Your debts'!$B$8&lt;&gt;"",N('Your debts'!$C$8)&gt;0))),"",IF('Your debts'!$D$20="Avalanche",'Avalanche workings'!$N$444,'Snowball workings'!$N$444)+IF('Your debts'!$D$20="Avalanche",'Avalanche workings'!$AH$444,'Snowball workings'!$AH$444))</f>
      </c>
      <c r="K442" s="30">
        <f>IF(OR(437&gt;$Z$1,NOT(OR('Your debts'!$B$8&lt;&gt;"",N('Your debts'!$C$8)&gt;0))),"",IF('Your debts'!$D$20="Avalanche",'Avalanche workings'!$AR$444,'Snowball workings'!$AR$444))</f>
      </c>
      <c r="L442" s="29">
        <f>IF(OR(437&gt;$Z$1,NOT(OR('Your debts'!$B$9&lt;&gt;"",N('Your debts'!$C$9)&gt;0))),"",IF('Your debts'!$D$20="Avalanche",'Avalanche workings'!$O$444,'Snowball workings'!$O$444)+IF('Your debts'!$D$20="Avalanche",'Avalanche workings'!$AI$444,'Snowball workings'!$AI$444))</f>
      </c>
      <c r="M442" s="30">
        <f>IF(OR(437&gt;$Z$1,NOT(OR('Your debts'!$B$9&lt;&gt;"",N('Your debts'!$C$9)&gt;0))),"",IF('Your debts'!$D$20="Avalanche",'Avalanche workings'!$AS$444,'Snowball workings'!$AS$444))</f>
      </c>
      <c r="N442" s="29">
        <f>IF(OR(437&gt;$Z$1,NOT(OR('Your debts'!$B$10&lt;&gt;"",N('Your debts'!$C$10)&gt;0))),"",IF('Your debts'!$D$20="Avalanche",'Avalanche workings'!$P$444,'Snowball workings'!$P$444)+IF('Your debts'!$D$20="Avalanche",'Avalanche workings'!$AJ$444,'Snowball workings'!$AJ$444))</f>
      </c>
      <c r="O442" s="30">
        <f>IF(OR(437&gt;$Z$1,NOT(OR('Your debts'!$B$10&lt;&gt;"",N('Your debts'!$C$10)&gt;0))),"",IF('Your debts'!$D$20="Avalanche",'Avalanche workings'!$AT$444,'Snowball workings'!$AT$444))</f>
      </c>
      <c r="P442" s="29">
        <f>IF(OR(437&gt;$Z$1,NOT(OR('Your debts'!$B$11&lt;&gt;"",N('Your debts'!$C$11)&gt;0))),"",IF('Your debts'!$D$20="Avalanche",'Avalanche workings'!$Q$444,'Snowball workings'!$Q$444)+IF('Your debts'!$D$20="Avalanche",'Avalanche workings'!$AK$444,'Snowball workings'!$AK$444))</f>
      </c>
      <c r="Q442" s="30">
        <f>IF(OR(437&gt;$Z$1,NOT(OR('Your debts'!$B$11&lt;&gt;"",N('Your debts'!$C$11)&gt;0))),"",IF('Your debts'!$D$20="Avalanche",'Avalanche workings'!$AU$444,'Snowball workings'!$AU$444))</f>
      </c>
      <c r="R442" s="29">
        <f>IF(OR(437&gt;$Z$1,NOT(OR('Your debts'!$B$12&lt;&gt;"",N('Your debts'!$C$12)&gt;0))),"",IF('Your debts'!$D$20="Avalanche",'Avalanche workings'!$R$444,'Snowball workings'!$R$444)+IF('Your debts'!$D$20="Avalanche",'Avalanche workings'!$AL$444,'Snowball workings'!$AL$444))</f>
      </c>
      <c r="S442" s="30">
        <f>IF(OR(437&gt;$Z$1,NOT(OR('Your debts'!$B$12&lt;&gt;"",N('Your debts'!$C$12)&gt;0))),"",IF('Your debts'!$D$20="Avalanche",'Avalanche workings'!$AV$444,'Snowball workings'!$AV$444))</f>
      </c>
      <c r="T442" s="29">
        <f>IF(OR(437&gt;$Z$1,NOT(OR('Your debts'!$B$13&lt;&gt;"",N('Your debts'!$C$13)&gt;0))),"",IF('Your debts'!$D$20="Avalanche",'Avalanche workings'!$S$444,'Snowball workings'!$S$444)+IF('Your debts'!$D$20="Avalanche",'Avalanche workings'!$AM$444,'Snowball workings'!$AM$444))</f>
      </c>
      <c r="U442" s="30">
        <f>IF(OR(437&gt;$Z$1,NOT(OR('Your debts'!$B$13&lt;&gt;"",N('Your debts'!$C$13)&gt;0))),"",IF('Your debts'!$D$20="Avalanche",'Avalanche workings'!$AW$444,'Snowball workings'!$AW$444))</f>
      </c>
      <c r="V442" s="29">
        <f>IF(OR(437&gt;$Z$1,NOT(OR('Your debts'!$B$14&lt;&gt;"",N('Your debts'!$C$14)&gt;0))),"",IF('Your debts'!$D$20="Avalanche",'Avalanche workings'!$T$444,'Snowball workings'!$T$444)+IF('Your debts'!$D$20="Avalanche",'Avalanche workings'!$AN$444,'Snowball workings'!$AN$444))</f>
      </c>
      <c r="W442" s="30">
        <f>IF(OR(437&gt;$Z$1,NOT(OR('Your debts'!$B$14&lt;&gt;"",N('Your debts'!$C$14)&gt;0))),"",IF('Your debts'!$D$20="Avalanche",'Avalanche workings'!$AX$444,'Snowball workings'!$AX$444))</f>
      </c>
      <c r="X442" s="29">
        <f>IF(OR(437&gt;$Z$1,NOT(OR('Your debts'!$B$15&lt;&gt;"",N('Your debts'!$C$15)&gt;0))),"",IF('Your debts'!$D$20="Avalanche",'Avalanche workings'!$U$444,'Snowball workings'!$U$444)+IF('Your debts'!$D$20="Avalanche",'Avalanche workings'!$AO$444,'Snowball workings'!$AO$444))</f>
      </c>
      <c r="Y442" s="30">
        <f>IF(OR(437&gt;$Z$1,NOT(OR('Your debts'!$B$15&lt;&gt;"",N('Your debts'!$C$15)&gt;0))),"",IF('Your debts'!$D$20="Avalanche",'Avalanche workings'!$AY$444,'Snowball workings'!$AY$444))</f>
      </c>
    </row>
    <row r="443" spans="1:25" x14ac:dyDescent="0.25">
      <c r="A443" s="2">
        <f>IF(438&gt;$Z$1,"",438)</f>
      </c>
      <c r="B443" s="28">
        <f>IF(438&gt;$Z$1,"",EDATE('Your debts'!$D$21,437))</f>
      </c>
      <c r="C443" s="29">
        <f>IF(438&gt;$Z$1,"",IF('Your debts'!$D$20="Avalanche",'Avalanche workings'!$BC$445,'Snowball workings'!$BC$445))</f>
      </c>
      <c r="D443" s="29">
        <f>IF(438&gt;$Z$1,"",IF('Your debts'!$D$20="Avalanche",'Avalanche workings'!$BA$445,'Snowball workings'!$BA$445))</f>
      </c>
      <c r="E443" s="29">
        <f>IF(438&gt;$Z$1,"",IF('Your debts'!$D$20="Avalanche",'Avalanche workings'!$BB$445,'Snowball workings'!$BB$445))</f>
      </c>
      <c r="F443" s="29">
        <f>IF(OR(438&gt;$Z$1,NOT(OR('Your debts'!$B$6&lt;&gt;"",N('Your debts'!$C$6)&gt;0))),"",IF('Your debts'!$D$20="Avalanche",'Avalanche workings'!$L$445,'Snowball workings'!$L$445)+IF('Your debts'!$D$20="Avalanche",'Avalanche workings'!$AF$445,'Snowball workings'!$AF$445))</f>
      </c>
      <c r="G443" s="30">
        <f>IF(OR(438&gt;$Z$1,NOT(OR('Your debts'!$B$6&lt;&gt;"",N('Your debts'!$C$6)&gt;0))),"",IF('Your debts'!$D$20="Avalanche",'Avalanche workings'!$AP$445,'Snowball workings'!$AP$445))</f>
      </c>
      <c r="H443" s="29">
        <f>IF(OR(438&gt;$Z$1,NOT(OR('Your debts'!$B$7&lt;&gt;"",N('Your debts'!$C$7)&gt;0))),"",IF('Your debts'!$D$20="Avalanche",'Avalanche workings'!$M$445,'Snowball workings'!$M$445)+IF('Your debts'!$D$20="Avalanche",'Avalanche workings'!$AG$445,'Snowball workings'!$AG$445))</f>
      </c>
      <c r="I443" s="30">
        <f>IF(OR(438&gt;$Z$1,NOT(OR('Your debts'!$B$7&lt;&gt;"",N('Your debts'!$C$7)&gt;0))),"",IF('Your debts'!$D$20="Avalanche",'Avalanche workings'!$AQ$445,'Snowball workings'!$AQ$445))</f>
      </c>
      <c r="J443" s="29">
        <f>IF(OR(438&gt;$Z$1,NOT(OR('Your debts'!$B$8&lt;&gt;"",N('Your debts'!$C$8)&gt;0))),"",IF('Your debts'!$D$20="Avalanche",'Avalanche workings'!$N$445,'Snowball workings'!$N$445)+IF('Your debts'!$D$20="Avalanche",'Avalanche workings'!$AH$445,'Snowball workings'!$AH$445))</f>
      </c>
      <c r="K443" s="30">
        <f>IF(OR(438&gt;$Z$1,NOT(OR('Your debts'!$B$8&lt;&gt;"",N('Your debts'!$C$8)&gt;0))),"",IF('Your debts'!$D$20="Avalanche",'Avalanche workings'!$AR$445,'Snowball workings'!$AR$445))</f>
      </c>
      <c r="L443" s="29">
        <f>IF(OR(438&gt;$Z$1,NOT(OR('Your debts'!$B$9&lt;&gt;"",N('Your debts'!$C$9)&gt;0))),"",IF('Your debts'!$D$20="Avalanche",'Avalanche workings'!$O$445,'Snowball workings'!$O$445)+IF('Your debts'!$D$20="Avalanche",'Avalanche workings'!$AI$445,'Snowball workings'!$AI$445))</f>
      </c>
      <c r="M443" s="30">
        <f>IF(OR(438&gt;$Z$1,NOT(OR('Your debts'!$B$9&lt;&gt;"",N('Your debts'!$C$9)&gt;0))),"",IF('Your debts'!$D$20="Avalanche",'Avalanche workings'!$AS$445,'Snowball workings'!$AS$445))</f>
      </c>
      <c r="N443" s="29">
        <f>IF(OR(438&gt;$Z$1,NOT(OR('Your debts'!$B$10&lt;&gt;"",N('Your debts'!$C$10)&gt;0))),"",IF('Your debts'!$D$20="Avalanche",'Avalanche workings'!$P$445,'Snowball workings'!$P$445)+IF('Your debts'!$D$20="Avalanche",'Avalanche workings'!$AJ$445,'Snowball workings'!$AJ$445))</f>
      </c>
      <c r="O443" s="30">
        <f>IF(OR(438&gt;$Z$1,NOT(OR('Your debts'!$B$10&lt;&gt;"",N('Your debts'!$C$10)&gt;0))),"",IF('Your debts'!$D$20="Avalanche",'Avalanche workings'!$AT$445,'Snowball workings'!$AT$445))</f>
      </c>
      <c r="P443" s="29">
        <f>IF(OR(438&gt;$Z$1,NOT(OR('Your debts'!$B$11&lt;&gt;"",N('Your debts'!$C$11)&gt;0))),"",IF('Your debts'!$D$20="Avalanche",'Avalanche workings'!$Q$445,'Snowball workings'!$Q$445)+IF('Your debts'!$D$20="Avalanche",'Avalanche workings'!$AK$445,'Snowball workings'!$AK$445))</f>
      </c>
      <c r="Q443" s="30">
        <f>IF(OR(438&gt;$Z$1,NOT(OR('Your debts'!$B$11&lt;&gt;"",N('Your debts'!$C$11)&gt;0))),"",IF('Your debts'!$D$20="Avalanche",'Avalanche workings'!$AU$445,'Snowball workings'!$AU$445))</f>
      </c>
      <c r="R443" s="29">
        <f>IF(OR(438&gt;$Z$1,NOT(OR('Your debts'!$B$12&lt;&gt;"",N('Your debts'!$C$12)&gt;0))),"",IF('Your debts'!$D$20="Avalanche",'Avalanche workings'!$R$445,'Snowball workings'!$R$445)+IF('Your debts'!$D$20="Avalanche",'Avalanche workings'!$AL$445,'Snowball workings'!$AL$445))</f>
      </c>
      <c r="S443" s="30">
        <f>IF(OR(438&gt;$Z$1,NOT(OR('Your debts'!$B$12&lt;&gt;"",N('Your debts'!$C$12)&gt;0))),"",IF('Your debts'!$D$20="Avalanche",'Avalanche workings'!$AV$445,'Snowball workings'!$AV$445))</f>
      </c>
      <c r="T443" s="29">
        <f>IF(OR(438&gt;$Z$1,NOT(OR('Your debts'!$B$13&lt;&gt;"",N('Your debts'!$C$13)&gt;0))),"",IF('Your debts'!$D$20="Avalanche",'Avalanche workings'!$S$445,'Snowball workings'!$S$445)+IF('Your debts'!$D$20="Avalanche",'Avalanche workings'!$AM$445,'Snowball workings'!$AM$445))</f>
      </c>
      <c r="U443" s="30">
        <f>IF(OR(438&gt;$Z$1,NOT(OR('Your debts'!$B$13&lt;&gt;"",N('Your debts'!$C$13)&gt;0))),"",IF('Your debts'!$D$20="Avalanche",'Avalanche workings'!$AW$445,'Snowball workings'!$AW$445))</f>
      </c>
      <c r="V443" s="29">
        <f>IF(OR(438&gt;$Z$1,NOT(OR('Your debts'!$B$14&lt;&gt;"",N('Your debts'!$C$14)&gt;0))),"",IF('Your debts'!$D$20="Avalanche",'Avalanche workings'!$T$445,'Snowball workings'!$T$445)+IF('Your debts'!$D$20="Avalanche",'Avalanche workings'!$AN$445,'Snowball workings'!$AN$445))</f>
      </c>
      <c r="W443" s="30">
        <f>IF(OR(438&gt;$Z$1,NOT(OR('Your debts'!$B$14&lt;&gt;"",N('Your debts'!$C$14)&gt;0))),"",IF('Your debts'!$D$20="Avalanche",'Avalanche workings'!$AX$445,'Snowball workings'!$AX$445))</f>
      </c>
      <c r="X443" s="29">
        <f>IF(OR(438&gt;$Z$1,NOT(OR('Your debts'!$B$15&lt;&gt;"",N('Your debts'!$C$15)&gt;0))),"",IF('Your debts'!$D$20="Avalanche",'Avalanche workings'!$U$445,'Snowball workings'!$U$445)+IF('Your debts'!$D$20="Avalanche",'Avalanche workings'!$AO$445,'Snowball workings'!$AO$445))</f>
      </c>
      <c r="Y443" s="30">
        <f>IF(OR(438&gt;$Z$1,NOT(OR('Your debts'!$B$15&lt;&gt;"",N('Your debts'!$C$15)&gt;0))),"",IF('Your debts'!$D$20="Avalanche",'Avalanche workings'!$AY$445,'Snowball workings'!$AY$445))</f>
      </c>
    </row>
    <row r="444" spans="1:25" x14ac:dyDescent="0.25">
      <c r="A444" s="2">
        <f>IF(439&gt;$Z$1,"",439)</f>
      </c>
      <c r="B444" s="28">
        <f>IF(439&gt;$Z$1,"",EDATE('Your debts'!$D$21,438))</f>
      </c>
      <c r="C444" s="29">
        <f>IF(439&gt;$Z$1,"",IF('Your debts'!$D$20="Avalanche",'Avalanche workings'!$BC$446,'Snowball workings'!$BC$446))</f>
      </c>
      <c r="D444" s="29">
        <f>IF(439&gt;$Z$1,"",IF('Your debts'!$D$20="Avalanche",'Avalanche workings'!$BA$446,'Snowball workings'!$BA$446))</f>
      </c>
      <c r="E444" s="29">
        <f>IF(439&gt;$Z$1,"",IF('Your debts'!$D$20="Avalanche",'Avalanche workings'!$BB$446,'Snowball workings'!$BB$446))</f>
      </c>
      <c r="F444" s="29">
        <f>IF(OR(439&gt;$Z$1,NOT(OR('Your debts'!$B$6&lt;&gt;"",N('Your debts'!$C$6)&gt;0))),"",IF('Your debts'!$D$20="Avalanche",'Avalanche workings'!$L$446,'Snowball workings'!$L$446)+IF('Your debts'!$D$20="Avalanche",'Avalanche workings'!$AF$446,'Snowball workings'!$AF$446))</f>
      </c>
      <c r="G444" s="30">
        <f>IF(OR(439&gt;$Z$1,NOT(OR('Your debts'!$B$6&lt;&gt;"",N('Your debts'!$C$6)&gt;0))),"",IF('Your debts'!$D$20="Avalanche",'Avalanche workings'!$AP$446,'Snowball workings'!$AP$446))</f>
      </c>
      <c r="H444" s="29">
        <f>IF(OR(439&gt;$Z$1,NOT(OR('Your debts'!$B$7&lt;&gt;"",N('Your debts'!$C$7)&gt;0))),"",IF('Your debts'!$D$20="Avalanche",'Avalanche workings'!$M$446,'Snowball workings'!$M$446)+IF('Your debts'!$D$20="Avalanche",'Avalanche workings'!$AG$446,'Snowball workings'!$AG$446))</f>
      </c>
      <c r="I444" s="30">
        <f>IF(OR(439&gt;$Z$1,NOT(OR('Your debts'!$B$7&lt;&gt;"",N('Your debts'!$C$7)&gt;0))),"",IF('Your debts'!$D$20="Avalanche",'Avalanche workings'!$AQ$446,'Snowball workings'!$AQ$446))</f>
      </c>
      <c r="J444" s="29">
        <f>IF(OR(439&gt;$Z$1,NOT(OR('Your debts'!$B$8&lt;&gt;"",N('Your debts'!$C$8)&gt;0))),"",IF('Your debts'!$D$20="Avalanche",'Avalanche workings'!$N$446,'Snowball workings'!$N$446)+IF('Your debts'!$D$20="Avalanche",'Avalanche workings'!$AH$446,'Snowball workings'!$AH$446))</f>
      </c>
      <c r="K444" s="30">
        <f>IF(OR(439&gt;$Z$1,NOT(OR('Your debts'!$B$8&lt;&gt;"",N('Your debts'!$C$8)&gt;0))),"",IF('Your debts'!$D$20="Avalanche",'Avalanche workings'!$AR$446,'Snowball workings'!$AR$446))</f>
      </c>
      <c r="L444" s="29">
        <f>IF(OR(439&gt;$Z$1,NOT(OR('Your debts'!$B$9&lt;&gt;"",N('Your debts'!$C$9)&gt;0))),"",IF('Your debts'!$D$20="Avalanche",'Avalanche workings'!$O$446,'Snowball workings'!$O$446)+IF('Your debts'!$D$20="Avalanche",'Avalanche workings'!$AI$446,'Snowball workings'!$AI$446))</f>
      </c>
      <c r="M444" s="30">
        <f>IF(OR(439&gt;$Z$1,NOT(OR('Your debts'!$B$9&lt;&gt;"",N('Your debts'!$C$9)&gt;0))),"",IF('Your debts'!$D$20="Avalanche",'Avalanche workings'!$AS$446,'Snowball workings'!$AS$446))</f>
      </c>
      <c r="N444" s="29">
        <f>IF(OR(439&gt;$Z$1,NOT(OR('Your debts'!$B$10&lt;&gt;"",N('Your debts'!$C$10)&gt;0))),"",IF('Your debts'!$D$20="Avalanche",'Avalanche workings'!$P$446,'Snowball workings'!$P$446)+IF('Your debts'!$D$20="Avalanche",'Avalanche workings'!$AJ$446,'Snowball workings'!$AJ$446))</f>
      </c>
      <c r="O444" s="30">
        <f>IF(OR(439&gt;$Z$1,NOT(OR('Your debts'!$B$10&lt;&gt;"",N('Your debts'!$C$10)&gt;0))),"",IF('Your debts'!$D$20="Avalanche",'Avalanche workings'!$AT$446,'Snowball workings'!$AT$446))</f>
      </c>
      <c r="P444" s="29">
        <f>IF(OR(439&gt;$Z$1,NOT(OR('Your debts'!$B$11&lt;&gt;"",N('Your debts'!$C$11)&gt;0))),"",IF('Your debts'!$D$20="Avalanche",'Avalanche workings'!$Q$446,'Snowball workings'!$Q$446)+IF('Your debts'!$D$20="Avalanche",'Avalanche workings'!$AK$446,'Snowball workings'!$AK$446))</f>
      </c>
      <c r="Q444" s="30">
        <f>IF(OR(439&gt;$Z$1,NOT(OR('Your debts'!$B$11&lt;&gt;"",N('Your debts'!$C$11)&gt;0))),"",IF('Your debts'!$D$20="Avalanche",'Avalanche workings'!$AU$446,'Snowball workings'!$AU$446))</f>
      </c>
      <c r="R444" s="29">
        <f>IF(OR(439&gt;$Z$1,NOT(OR('Your debts'!$B$12&lt;&gt;"",N('Your debts'!$C$12)&gt;0))),"",IF('Your debts'!$D$20="Avalanche",'Avalanche workings'!$R$446,'Snowball workings'!$R$446)+IF('Your debts'!$D$20="Avalanche",'Avalanche workings'!$AL$446,'Snowball workings'!$AL$446))</f>
      </c>
      <c r="S444" s="30">
        <f>IF(OR(439&gt;$Z$1,NOT(OR('Your debts'!$B$12&lt;&gt;"",N('Your debts'!$C$12)&gt;0))),"",IF('Your debts'!$D$20="Avalanche",'Avalanche workings'!$AV$446,'Snowball workings'!$AV$446))</f>
      </c>
      <c r="T444" s="29">
        <f>IF(OR(439&gt;$Z$1,NOT(OR('Your debts'!$B$13&lt;&gt;"",N('Your debts'!$C$13)&gt;0))),"",IF('Your debts'!$D$20="Avalanche",'Avalanche workings'!$S$446,'Snowball workings'!$S$446)+IF('Your debts'!$D$20="Avalanche",'Avalanche workings'!$AM$446,'Snowball workings'!$AM$446))</f>
      </c>
      <c r="U444" s="30">
        <f>IF(OR(439&gt;$Z$1,NOT(OR('Your debts'!$B$13&lt;&gt;"",N('Your debts'!$C$13)&gt;0))),"",IF('Your debts'!$D$20="Avalanche",'Avalanche workings'!$AW$446,'Snowball workings'!$AW$446))</f>
      </c>
      <c r="V444" s="29">
        <f>IF(OR(439&gt;$Z$1,NOT(OR('Your debts'!$B$14&lt;&gt;"",N('Your debts'!$C$14)&gt;0))),"",IF('Your debts'!$D$20="Avalanche",'Avalanche workings'!$T$446,'Snowball workings'!$T$446)+IF('Your debts'!$D$20="Avalanche",'Avalanche workings'!$AN$446,'Snowball workings'!$AN$446))</f>
      </c>
      <c r="W444" s="30">
        <f>IF(OR(439&gt;$Z$1,NOT(OR('Your debts'!$B$14&lt;&gt;"",N('Your debts'!$C$14)&gt;0))),"",IF('Your debts'!$D$20="Avalanche",'Avalanche workings'!$AX$446,'Snowball workings'!$AX$446))</f>
      </c>
      <c r="X444" s="29">
        <f>IF(OR(439&gt;$Z$1,NOT(OR('Your debts'!$B$15&lt;&gt;"",N('Your debts'!$C$15)&gt;0))),"",IF('Your debts'!$D$20="Avalanche",'Avalanche workings'!$U$446,'Snowball workings'!$U$446)+IF('Your debts'!$D$20="Avalanche",'Avalanche workings'!$AO$446,'Snowball workings'!$AO$446))</f>
      </c>
      <c r="Y444" s="30">
        <f>IF(OR(439&gt;$Z$1,NOT(OR('Your debts'!$B$15&lt;&gt;"",N('Your debts'!$C$15)&gt;0))),"",IF('Your debts'!$D$20="Avalanche",'Avalanche workings'!$AY$446,'Snowball workings'!$AY$446))</f>
      </c>
    </row>
    <row r="445" spans="1:25" x14ac:dyDescent="0.25">
      <c r="A445" s="2">
        <f>IF(440&gt;$Z$1,"",440)</f>
      </c>
      <c r="B445" s="28">
        <f>IF(440&gt;$Z$1,"",EDATE('Your debts'!$D$21,439))</f>
      </c>
      <c r="C445" s="29">
        <f>IF(440&gt;$Z$1,"",IF('Your debts'!$D$20="Avalanche",'Avalanche workings'!$BC$447,'Snowball workings'!$BC$447))</f>
      </c>
      <c r="D445" s="29">
        <f>IF(440&gt;$Z$1,"",IF('Your debts'!$D$20="Avalanche",'Avalanche workings'!$BA$447,'Snowball workings'!$BA$447))</f>
      </c>
      <c r="E445" s="29">
        <f>IF(440&gt;$Z$1,"",IF('Your debts'!$D$20="Avalanche",'Avalanche workings'!$BB$447,'Snowball workings'!$BB$447))</f>
      </c>
      <c r="F445" s="29">
        <f>IF(OR(440&gt;$Z$1,NOT(OR('Your debts'!$B$6&lt;&gt;"",N('Your debts'!$C$6)&gt;0))),"",IF('Your debts'!$D$20="Avalanche",'Avalanche workings'!$L$447,'Snowball workings'!$L$447)+IF('Your debts'!$D$20="Avalanche",'Avalanche workings'!$AF$447,'Snowball workings'!$AF$447))</f>
      </c>
      <c r="G445" s="30">
        <f>IF(OR(440&gt;$Z$1,NOT(OR('Your debts'!$B$6&lt;&gt;"",N('Your debts'!$C$6)&gt;0))),"",IF('Your debts'!$D$20="Avalanche",'Avalanche workings'!$AP$447,'Snowball workings'!$AP$447))</f>
      </c>
      <c r="H445" s="29">
        <f>IF(OR(440&gt;$Z$1,NOT(OR('Your debts'!$B$7&lt;&gt;"",N('Your debts'!$C$7)&gt;0))),"",IF('Your debts'!$D$20="Avalanche",'Avalanche workings'!$M$447,'Snowball workings'!$M$447)+IF('Your debts'!$D$20="Avalanche",'Avalanche workings'!$AG$447,'Snowball workings'!$AG$447))</f>
      </c>
      <c r="I445" s="30">
        <f>IF(OR(440&gt;$Z$1,NOT(OR('Your debts'!$B$7&lt;&gt;"",N('Your debts'!$C$7)&gt;0))),"",IF('Your debts'!$D$20="Avalanche",'Avalanche workings'!$AQ$447,'Snowball workings'!$AQ$447))</f>
      </c>
      <c r="J445" s="29">
        <f>IF(OR(440&gt;$Z$1,NOT(OR('Your debts'!$B$8&lt;&gt;"",N('Your debts'!$C$8)&gt;0))),"",IF('Your debts'!$D$20="Avalanche",'Avalanche workings'!$N$447,'Snowball workings'!$N$447)+IF('Your debts'!$D$20="Avalanche",'Avalanche workings'!$AH$447,'Snowball workings'!$AH$447))</f>
      </c>
      <c r="K445" s="30">
        <f>IF(OR(440&gt;$Z$1,NOT(OR('Your debts'!$B$8&lt;&gt;"",N('Your debts'!$C$8)&gt;0))),"",IF('Your debts'!$D$20="Avalanche",'Avalanche workings'!$AR$447,'Snowball workings'!$AR$447))</f>
      </c>
      <c r="L445" s="29">
        <f>IF(OR(440&gt;$Z$1,NOT(OR('Your debts'!$B$9&lt;&gt;"",N('Your debts'!$C$9)&gt;0))),"",IF('Your debts'!$D$20="Avalanche",'Avalanche workings'!$O$447,'Snowball workings'!$O$447)+IF('Your debts'!$D$20="Avalanche",'Avalanche workings'!$AI$447,'Snowball workings'!$AI$447))</f>
      </c>
      <c r="M445" s="30">
        <f>IF(OR(440&gt;$Z$1,NOT(OR('Your debts'!$B$9&lt;&gt;"",N('Your debts'!$C$9)&gt;0))),"",IF('Your debts'!$D$20="Avalanche",'Avalanche workings'!$AS$447,'Snowball workings'!$AS$447))</f>
      </c>
      <c r="N445" s="29">
        <f>IF(OR(440&gt;$Z$1,NOT(OR('Your debts'!$B$10&lt;&gt;"",N('Your debts'!$C$10)&gt;0))),"",IF('Your debts'!$D$20="Avalanche",'Avalanche workings'!$P$447,'Snowball workings'!$P$447)+IF('Your debts'!$D$20="Avalanche",'Avalanche workings'!$AJ$447,'Snowball workings'!$AJ$447))</f>
      </c>
      <c r="O445" s="30">
        <f>IF(OR(440&gt;$Z$1,NOT(OR('Your debts'!$B$10&lt;&gt;"",N('Your debts'!$C$10)&gt;0))),"",IF('Your debts'!$D$20="Avalanche",'Avalanche workings'!$AT$447,'Snowball workings'!$AT$447))</f>
      </c>
      <c r="P445" s="29">
        <f>IF(OR(440&gt;$Z$1,NOT(OR('Your debts'!$B$11&lt;&gt;"",N('Your debts'!$C$11)&gt;0))),"",IF('Your debts'!$D$20="Avalanche",'Avalanche workings'!$Q$447,'Snowball workings'!$Q$447)+IF('Your debts'!$D$20="Avalanche",'Avalanche workings'!$AK$447,'Snowball workings'!$AK$447))</f>
      </c>
      <c r="Q445" s="30">
        <f>IF(OR(440&gt;$Z$1,NOT(OR('Your debts'!$B$11&lt;&gt;"",N('Your debts'!$C$11)&gt;0))),"",IF('Your debts'!$D$20="Avalanche",'Avalanche workings'!$AU$447,'Snowball workings'!$AU$447))</f>
      </c>
      <c r="R445" s="29">
        <f>IF(OR(440&gt;$Z$1,NOT(OR('Your debts'!$B$12&lt;&gt;"",N('Your debts'!$C$12)&gt;0))),"",IF('Your debts'!$D$20="Avalanche",'Avalanche workings'!$R$447,'Snowball workings'!$R$447)+IF('Your debts'!$D$20="Avalanche",'Avalanche workings'!$AL$447,'Snowball workings'!$AL$447))</f>
      </c>
      <c r="S445" s="30">
        <f>IF(OR(440&gt;$Z$1,NOT(OR('Your debts'!$B$12&lt;&gt;"",N('Your debts'!$C$12)&gt;0))),"",IF('Your debts'!$D$20="Avalanche",'Avalanche workings'!$AV$447,'Snowball workings'!$AV$447))</f>
      </c>
      <c r="T445" s="29">
        <f>IF(OR(440&gt;$Z$1,NOT(OR('Your debts'!$B$13&lt;&gt;"",N('Your debts'!$C$13)&gt;0))),"",IF('Your debts'!$D$20="Avalanche",'Avalanche workings'!$S$447,'Snowball workings'!$S$447)+IF('Your debts'!$D$20="Avalanche",'Avalanche workings'!$AM$447,'Snowball workings'!$AM$447))</f>
      </c>
      <c r="U445" s="30">
        <f>IF(OR(440&gt;$Z$1,NOT(OR('Your debts'!$B$13&lt;&gt;"",N('Your debts'!$C$13)&gt;0))),"",IF('Your debts'!$D$20="Avalanche",'Avalanche workings'!$AW$447,'Snowball workings'!$AW$447))</f>
      </c>
      <c r="V445" s="29">
        <f>IF(OR(440&gt;$Z$1,NOT(OR('Your debts'!$B$14&lt;&gt;"",N('Your debts'!$C$14)&gt;0))),"",IF('Your debts'!$D$20="Avalanche",'Avalanche workings'!$T$447,'Snowball workings'!$T$447)+IF('Your debts'!$D$20="Avalanche",'Avalanche workings'!$AN$447,'Snowball workings'!$AN$447))</f>
      </c>
      <c r="W445" s="30">
        <f>IF(OR(440&gt;$Z$1,NOT(OR('Your debts'!$B$14&lt;&gt;"",N('Your debts'!$C$14)&gt;0))),"",IF('Your debts'!$D$20="Avalanche",'Avalanche workings'!$AX$447,'Snowball workings'!$AX$447))</f>
      </c>
      <c r="X445" s="29">
        <f>IF(OR(440&gt;$Z$1,NOT(OR('Your debts'!$B$15&lt;&gt;"",N('Your debts'!$C$15)&gt;0))),"",IF('Your debts'!$D$20="Avalanche",'Avalanche workings'!$U$447,'Snowball workings'!$U$447)+IF('Your debts'!$D$20="Avalanche",'Avalanche workings'!$AO$447,'Snowball workings'!$AO$447))</f>
      </c>
      <c r="Y445" s="30">
        <f>IF(OR(440&gt;$Z$1,NOT(OR('Your debts'!$B$15&lt;&gt;"",N('Your debts'!$C$15)&gt;0))),"",IF('Your debts'!$D$20="Avalanche",'Avalanche workings'!$AY$447,'Snowball workings'!$AY$447))</f>
      </c>
    </row>
    <row r="446" spans="1:25" x14ac:dyDescent="0.25">
      <c r="A446" s="2">
        <f>IF(441&gt;$Z$1,"",441)</f>
      </c>
      <c r="B446" s="28">
        <f>IF(441&gt;$Z$1,"",EDATE('Your debts'!$D$21,440))</f>
      </c>
      <c r="C446" s="29">
        <f>IF(441&gt;$Z$1,"",IF('Your debts'!$D$20="Avalanche",'Avalanche workings'!$BC$448,'Snowball workings'!$BC$448))</f>
      </c>
      <c r="D446" s="29">
        <f>IF(441&gt;$Z$1,"",IF('Your debts'!$D$20="Avalanche",'Avalanche workings'!$BA$448,'Snowball workings'!$BA$448))</f>
      </c>
      <c r="E446" s="29">
        <f>IF(441&gt;$Z$1,"",IF('Your debts'!$D$20="Avalanche",'Avalanche workings'!$BB$448,'Snowball workings'!$BB$448))</f>
      </c>
      <c r="F446" s="29">
        <f>IF(OR(441&gt;$Z$1,NOT(OR('Your debts'!$B$6&lt;&gt;"",N('Your debts'!$C$6)&gt;0))),"",IF('Your debts'!$D$20="Avalanche",'Avalanche workings'!$L$448,'Snowball workings'!$L$448)+IF('Your debts'!$D$20="Avalanche",'Avalanche workings'!$AF$448,'Snowball workings'!$AF$448))</f>
      </c>
      <c r="G446" s="30">
        <f>IF(OR(441&gt;$Z$1,NOT(OR('Your debts'!$B$6&lt;&gt;"",N('Your debts'!$C$6)&gt;0))),"",IF('Your debts'!$D$20="Avalanche",'Avalanche workings'!$AP$448,'Snowball workings'!$AP$448))</f>
      </c>
      <c r="H446" s="29">
        <f>IF(OR(441&gt;$Z$1,NOT(OR('Your debts'!$B$7&lt;&gt;"",N('Your debts'!$C$7)&gt;0))),"",IF('Your debts'!$D$20="Avalanche",'Avalanche workings'!$M$448,'Snowball workings'!$M$448)+IF('Your debts'!$D$20="Avalanche",'Avalanche workings'!$AG$448,'Snowball workings'!$AG$448))</f>
      </c>
      <c r="I446" s="30">
        <f>IF(OR(441&gt;$Z$1,NOT(OR('Your debts'!$B$7&lt;&gt;"",N('Your debts'!$C$7)&gt;0))),"",IF('Your debts'!$D$20="Avalanche",'Avalanche workings'!$AQ$448,'Snowball workings'!$AQ$448))</f>
      </c>
      <c r="J446" s="29">
        <f>IF(OR(441&gt;$Z$1,NOT(OR('Your debts'!$B$8&lt;&gt;"",N('Your debts'!$C$8)&gt;0))),"",IF('Your debts'!$D$20="Avalanche",'Avalanche workings'!$N$448,'Snowball workings'!$N$448)+IF('Your debts'!$D$20="Avalanche",'Avalanche workings'!$AH$448,'Snowball workings'!$AH$448))</f>
      </c>
      <c r="K446" s="30">
        <f>IF(OR(441&gt;$Z$1,NOT(OR('Your debts'!$B$8&lt;&gt;"",N('Your debts'!$C$8)&gt;0))),"",IF('Your debts'!$D$20="Avalanche",'Avalanche workings'!$AR$448,'Snowball workings'!$AR$448))</f>
      </c>
      <c r="L446" s="29">
        <f>IF(OR(441&gt;$Z$1,NOT(OR('Your debts'!$B$9&lt;&gt;"",N('Your debts'!$C$9)&gt;0))),"",IF('Your debts'!$D$20="Avalanche",'Avalanche workings'!$O$448,'Snowball workings'!$O$448)+IF('Your debts'!$D$20="Avalanche",'Avalanche workings'!$AI$448,'Snowball workings'!$AI$448))</f>
      </c>
      <c r="M446" s="30">
        <f>IF(OR(441&gt;$Z$1,NOT(OR('Your debts'!$B$9&lt;&gt;"",N('Your debts'!$C$9)&gt;0))),"",IF('Your debts'!$D$20="Avalanche",'Avalanche workings'!$AS$448,'Snowball workings'!$AS$448))</f>
      </c>
      <c r="N446" s="29">
        <f>IF(OR(441&gt;$Z$1,NOT(OR('Your debts'!$B$10&lt;&gt;"",N('Your debts'!$C$10)&gt;0))),"",IF('Your debts'!$D$20="Avalanche",'Avalanche workings'!$P$448,'Snowball workings'!$P$448)+IF('Your debts'!$D$20="Avalanche",'Avalanche workings'!$AJ$448,'Snowball workings'!$AJ$448))</f>
      </c>
      <c r="O446" s="30">
        <f>IF(OR(441&gt;$Z$1,NOT(OR('Your debts'!$B$10&lt;&gt;"",N('Your debts'!$C$10)&gt;0))),"",IF('Your debts'!$D$20="Avalanche",'Avalanche workings'!$AT$448,'Snowball workings'!$AT$448))</f>
      </c>
      <c r="P446" s="29">
        <f>IF(OR(441&gt;$Z$1,NOT(OR('Your debts'!$B$11&lt;&gt;"",N('Your debts'!$C$11)&gt;0))),"",IF('Your debts'!$D$20="Avalanche",'Avalanche workings'!$Q$448,'Snowball workings'!$Q$448)+IF('Your debts'!$D$20="Avalanche",'Avalanche workings'!$AK$448,'Snowball workings'!$AK$448))</f>
      </c>
      <c r="Q446" s="30">
        <f>IF(OR(441&gt;$Z$1,NOT(OR('Your debts'!$B$11&lt;&gt;"",N('Your debts'!$C$11)&gt;0))),"",IF('Your debts'!$D$20="Avalanche",'Avalanche workings'!$AU$448,'Snowball workings'!$AU$448))</f>
      </c>
      <c r="R446" s="29">
        <f>IF(OR(441&gt;$Z$1,NOT(OR('Your debts'!$B$12&lt;&gt;"",N('Your debts'!$C$12)&gt;0))),"",IF('Your debts'!$D$20="Avalanche",'Avalanche workings'!$R$448,'Snowball workings'!$R$448)+IF('Your debts'!$D$20="Avalanche",'Avalanche workings'!$AL$448,'Snowball workings'!$AL$448))</f>
      </c>
      <c r="S446" s="30">
        <f>IF(OR(441&gt;$Z$1,NOT(OR('Your debts'!$B$12&lt;&gt;"",N('Your debts'!$C$12)&gt;0))),"",IF('Your debts'!$D$20="Avalanche",'Avalanche workings'!$AV$448,'Snowball workings'!$AV$448))</f>
      </c>
      <c r="T446" s="29">
        <f>IF(OR(441&gt;$Z$1,NOT(OR('Your debts'!$B$13&lt;&gt;"",N('Your debts'!$C$13)&gt;0))),"",IF('Your debts'!$D$20="Avalanche",'Avalanche workings'!$S$448,'Snowball workings'!$S$448)+IF('Your debts'!$D$20="Avalanche",'Avalanche workings'!$AM$448,'Snowball workings'!$AM$448))</f>
      </c>
      <c r="U446" s="30">
        <f>IF(OR(441&gt;$Z$1,NOT(OR('Your debts'!$B$13&lt;&gt;"",N('Your debts'!$C$13)&gt;0))),"",IF('Your debts'!$D$20="Avalanche",'Avalanche workings'!$AW$448,'Snowball workings'!$AW$448))</f>
      </c>
      <c r="V446" s="29">
        <f>IF(OR(441&gt;$Z$1,NOT(OR('Your debts'!$B$14&lt;&gt;"",N('Your debts'!$C$14)&gt;0))),"",IF('Your debts'!$D$20="Avalanche",'Avalanche workings'!$T$448,'Snowball workings'!$T$448)+IF('Your debts'!$D$20="Avalanche",'Avalanche workings'!$AN$448,'Snowball workings'!$AN$448))</f>
      </c>
      <c r="W446" s="30">
        <f>IF(OR(441&gt;$Z$1,NOT(OR('Your debts'!$B$14&lt;&gt;"",N('Your debts'!$C$14)&gt;0))),"",IF('Your debts'!$D$20="Avalanche",'Avalanche workings'!$AX$448,'Snowball workings'!$AX$448))</f>
      </c>
      <c r="X446" s="29">
        <f>IF(OR(441&gt;$Z$1,NOT(OR('Your debts'!$B$15&lt;&gt;"",N('Your debts'!$C$15)&gt;0))),"",IF('Your debts'!$D$20="Avalanche",'Avalanche workings'!$U$448,'Snowball workings'!$U$448)+IF('Your debts'!$D$20="Avalanche",'Avalanche workings'!$AO$448,'Snowball workings'!$AO$448))</f>
      </c>
      <c r="Y446" s="30">
        <f>IF(OR(441&gt;$Z$1,NOT(OR('Your debts'!$B$15&lt;&gt;"",N('Your debts'!$C$15)&gt;0))),"",IF('Your debts'!$D$20="Avalanche",'Avalanche workings'!$AY$448,'Snowball workings'!$AY$448))</f>
      </c>
    </row>
    <row r="447" spans="1:25" x14ac:dyDescent="0.25">
      <c r="A447" s="2">
        <f>IF(442&gt;$Z$1,"",442)</f>
      </c>
      <c r="B447" s="28">
        <f>IF(442&gt;$Z$1,"",EDATE('Your debts'!$D$21,441))</f>
      </c>
      <c r="C447" s="29">
        <f>IF(442&gt;$Z$1,"",IF('Your debts'!$D$20="Avalanche",'Avalanche workings'!$BC$449,'Snowball workings'!$BC$449))</f>
      </c>
      <c r="D447" s="29">
        <f>IF(442&gt;$Z$1,"",IF('Your debts'!$D$20="Avalanche",'Avalanche workings'!$BA$449,'Snowball workings'!$BA$449))</f>
      </c>
      <c r="E447" s="29">
        <f>IF(442&gt;$Z$1,"",IF('Your debts'!$D$20="Avalanche",'Avalanche workings'!$BB$449,'Snowball workings'!$BB$449))</f>
      </c>
      <c r="F447" s="29">
        <f>IF(OR(442&gt;$Z$1,NOT(OR('Your debts'!$B$6&lt;&gt;"",N('Your debts'!$C$6)&gt;0))),"",IF('Your debts'!$D$20="Avalanche",'Avalanche workings'!$L$449,'Snowball workings'!$L$449)+IF('Your debts'!$D$20="Avalanche",'Avalanche workings'!$AF$449,'Snowball workings'!$AF$449))</f>
      </c>
      <c r="G447" s="30">
        <f>IF(OR(442&gt;$Z$1,NOT(OR('Your debts'!$B$6&lt;&gt;"",N('Your debts'!$C$6)&gt;0))),"",IF('Your debts'!$D$20="Avalanche",'Avalanche workings'!$AP$449,'Snowball workings'!$AP$449))</f>
      </c>
      <c r="H447" s="29">
        <f>IF(OR(442&gt;$Z$1,NOT(OR('Your debts'!$B$7&lt;&gt;"",N('Your debts'!$C$7)&gt;0))),"",IF('Your debts'!$D$20="Avalanche",'Avalanche workings'!$M$449,'Snowball workings'!$M$449)+IF('Your debts'!$D$20="Avalanche",'Avalanche workings'!$AG$449,'Snowball workings'!$AG$449))</f>
      </c>
      <c r="I447" s="30">
        <f>IF(OR(442&gt;$Z$1,NOT(OR('Your debts'!$B$7&lt;&gt;"",N('Your debts'!$C$7)&gt;0))),"",IF('Your debts'!$D$20="Avalanche",'Avalanche workings'!$AQ$449,'Snowball workings'!$AQ$449))</f>
      </c>
      <c r="J447" s="29">
        <f>IF(OR(442&gt;$Z$1,NOT(OR('Your debts'!$B$8&lt;&gt;"",N('Your debts'!$C$8)&gt;0))),"",IF('Your debts'!$D$20="Avalanche",'Avalanche workings'!$N$449,'Snowball workings'!$N$449)+IF('Your debts'!$D$20="Avalanche",'Avalanche workings'!$AH$449,'Snowball workings'!$AH$449))</f>
      </c>
      <c r="K447" s="30">
        <f>IF(OR(442&gt;$Z$1,NOT(OR('Your debts'!$B$8&lt;&gt;"",N('Your debts'!$C$8)&gt;0))),"",IF('Your debts'!$D$20="Avalanche",'Avalanche workings'!$AR$449,'Snowball workings'!$AR$449))</f>
      </c>
      <c r="L447" s="29">
        <f>IF(OR(442&gt;$Z$1,NOT(OR('Your debts'!$B$9&lt;&gt;"",N('Your debts'!$C$9)&gt;0))),"",IF('Your debts'!$D$20="Avalanche",'Avalanche workings'!$O$449,'Snowball workings'!$O$449)+IF('Your debts'!$D$20="Avalanche",'Avalanche workings'!$AI$449,'Snowball workings'!$AI$449))</f>
      </c>
      <c r="M447" s="30">
        <f>IF(OR(442&gt;$Z$1,NOT(OR('Your debts'!$B$9&lt;&gt;"",N('Your debts'!$C$9)&gt;0))),"",IF('Your debts'!$D$20="Avalanche",'Avalanche workings'!$AS$449,'Snowball workings'!$AS$449))</f>
      </c>
      <c r="N447" s="29">
        <f>IF(OR(442&gt;$Z$1,NOT(OR('Your debts'!$B$10&lt;&gt;"",N('Your debts'!$C$10)&gt;0))),"",IF('Your debts'!$D$20="Avalanche",'Avalanche workings'!$P$449,'Snowball workings'!$P$449)+IF('Your debts'!$D$20="Avalanche",'Avalanche workings'!$AJ$449,'Snowball workings'!$AJ$449))</f>
      </c>
      <c r="O447" s="30">
        <f>IF(OR(442&gt;$Z$1,NOT(OR('Your debts'!$B$10&lt;&gt;"",N('Your debts'!$C$10)&gt;0))),"",IF('Your debts'!$D$20="Avalanche",'Avalanche workings'!$AT$449,'Snowball workings'!$AT$449))</f>
      </c>
      <c r="P447" s="29">
        <f>IF(OR(442&gt;$Z$1,NOT(OR('Your debts'!$B$11&lt;&gt;"",N('Your debts'!$C$11)&gt;0))),"",IF('Your debts'!$D$20="Avalanche",'Avalanche workings'!$Q$449,'Snowball workings'!$Q$449)+IF('Your debts'!$D$20="Avalanche",'Avalanche workings'!$AK$449,'Snowball workings'!$AK$449))</f>
      </c>
      <c r="Q447" s="30">
        <f>IF(OR(442&gt;$Z$1,NOT(OR('Your debts'!$B$11&lt;&gt;"",N('Your debts'!$C$11)&gt;0))),"",IF('Your debts'!$D$20="Avalanche",'Avalanche workings'!$AU$449,'Snowball workings'!$AU$449))</f>
      </c>
      <c r="R447" s="29">
        <f>IF(OR(442&gt;$Z$1,NOT(OR('Your debts'!$B$12&lt;&gt;"",N('Your debts'!$C$12)&gt;0))),"",IF('Your debts'!$D$20="Avalanche",'Avalanche workings'!$R$449,'Snowball workings'!$R$449)+IF('Your debts'!$D$20="Avalanche",'Avalanche workings'!$AL$449,'Snowball workings'!$AL$449))</f>
      </c>
      <c r="S447" s="30">
        <f>IF(OR(442&gt;$Z$1,NOT(OR('Your debts'!$B$12&lt;&gt;"",N('Your debts'!$C$12)&gt;0))),"",IF('Your debts'!$D$20="Avalanche",'Avalanche workings'!$AV$449,'Snowball workings'!$AV$449))</f>
      </c>
      <c r="T447" s="29">
        <f>IF(OR(442&gt;$Z$1,NOT(OR('Your debts'!$B$13&lt;&gt;"",N('Your debts'!$C$13)&gt;0))),"",IF('Your debts'!$D$20="Avalanche",'Avalanche workings'!$S$449,'Snowball workings'!$S$449)+IF('Your debts'!$D$20="Avalanche",'Avalanche workings'!$AM$449,'Snowball workings'!$AM$449))</f>
      </c>
      <c r="U447" s="30">
        <f>IF(OR(442&gt;$Z$1,NOT(OR('Your debts'!$B$13&lt;&gt;"",N('Your debts'!$C$13)&gt;0))),"",IF('Your debts'!$D$20="Avalanche",'Avalanche workings'!$AW$449,'Snowball workings'!$AW$449))</f>
      </c>
      <c r="V447" s="29">
        <f>IF(OR(442&gt;$Z$1,NOT(OR('Your debts'!$B$14&lt;&gt;"",N('Your debts'!$C$14)&gt;0))),"",IF('Your debts'!$D$20="Avalanche",'Avalanche workings'!$T$449,'Snowball workings'!$T$449)+IF('Your debts'!$D$20="Avalanche",'Avalanche workings'!$AN$449,'Snowball workings'!$AN$449))</f>
      </c>
      <c r="W447" s="30">
        <f>IF(OR(442&gt;$Z$1,NOT(OR('Your debts'!$B$14&lt;&gt;"",N('Your debts'!$C$14)&gt;0))),"",IF('Your debts'!$D$20="Avalanche",'Avalanche workings'!$AX$449,'Snowball workings'!$AX$449))</f>
      </c>
      <c r="X447" s="29">
        <f>IF(OR(442&gt;$Z$1,NOT(OR('Your debts'!$B$15&lt;&gt;"",N('Your debts'!$C$15)&gt;0))),"",IF('Your debts'!$D$20="Avalanche",'Avalanche workings'!$U$449,'Snowball workings'!$U$449)+IF('Your debts'!$D$20="Avalanche",'Avalanche workings'!$AO$449,'Snowball workings'!$AO$449))</f>
      </c>
      <c r="Y447" s="30">
        <f>IF(OR(442&gt;$Z$1,NOT(OR('Your debts'!$B$15&lt;&gt;"",N('Your debts'!$C$15)&gt;0))),"",IF('Your debts'!$D$20="Avalanche",'Avalanche workings'!$AY$449,'Snowball workings'!$AY$449))</f>
      </c>
    </row>
    <row r="448" spans="1:25" x14ac:dyDescent="0.25">
      <c r="A448" s="2">
        <f>IF(443&gt;$Z$1,"",443)</f>
      </c>
      <c r="B448" s="28">
        <f>IF(443&gt;$Z$1,"",EDATE('Your debts'!$D$21,442))</f>
      </c>
      <c r="C448" s="29">
        <f>IF(443&gt;$Z$1,"",IF('Your debts'!$D$20="Avalanche",'Avalanche workings'!$BC$450,'Snowball workings'!$BC$450))</f>
      </c>
      <c r="D448" s="29">
        <f>IF(443&gt;$Z$1,"",IF('Your debts'!$D$20="Avalanche",'Avalanche workings'!$BA$450,'Snowball workings'!$BA$450))</f>
      </c>
      <c r="E448" s="29">
        <f>IF(443&gt;$Z$1,"",IF('Your debts'!$D$20="Avalanche",'Avalanche workings'!$BB$450,'Snowball workings'!$BB$450))</f>
      </c>
      <c r="F448" s="29">
        <f>IF(OR(443&gt;$Z$1,NOT(OR('Your debts'!$B$6&lt;&gt;"",N('Your debts'!$C$6)&gt;0))),"",IF('Your debts'!$D$20="Avalanche",'Avalanche workings'!$L$450,'Snowball workings'!$L$450)+IF('Your debts'!$D$20="Avalanche",'Avalanche workings'!$AF$450,'Snowball workings'!$AF$450))</f>
      </c>
      <c r="G448" s="30">
        <f>IF(OR(443&gt;$Z$1,NOT(OR('Your debts'!$B$6&lt;&gt;"",N('Your debts'!$C$6)&gt;0))),"",IF('Your debts'!$D$20="Avalanche",'Avalanche workings'!$AP$450,'Snowball workings'!$AP$450))</f>
      </c>
      <c r="H448" s="29">
        <f>IF(OR(443&gt;$Z$1,NOT(OR('Your debts'!$B$7&lt;&gt;"",N('Your debts'!$C$7)&gt;0))),"",IF('Your debts'!$D$20="Avalanche",'Avalanche workings'!$M$450,'Snowball workings'!$M$450)+IF('Your debts'!$D$20="Avalanche",'Avalanche workings'!$AG$450,'Snowball workings'!$AG$450))</f>
      </c>
      <c r="I448" s="30">
        <f>IF(OR(443&gt;$Z$1,NOT(OR('Your debts'!$B$7&lt;&gt;"",N('Your debts'!$C$7)&gt;0))),"",IF('Your debts'!$D$20="Avalanche",'Avalanche workings'!$AQ$450,'Snowball workings'!$AQ$450))</f>
      </c>
      <c r="J448" s="29">
        <f>IF(OR(443&gt;$Z$1,NOT(OR('Your debts'!$B$8&lt;&gt;"",N('Your debts'!$C$8)&gt;0))),"",IF('Your debts'!$D$20="Avalanche",'Avalanche workings'!$N$450,'Snowball workings'!$N$450)+IF('Your debts'!$D$20="Avalanche",'Avalanche workings'!$AH$450,'Snowball workings'!$AH$450))</f>
      </c>
      <c r="K448" s="30">
        <f>IF(OR(443&gt;$Z$1,NOT(OR('Your debts'!$B$8&lt;&gt;"",N('Your debts'!$C$8)&gt;0))),"",IF('Your debts'!$D$20="Avalanche",'Avalanche workings'!$AR$450,'Snowball workings'!$AR$450))</f>
      </c>
      <c r="L448" s="29">
        <f>IF(OR(443&gt;$Z$1,NOT(OR('Your debts'!$B$9&lt;&gt;"",N('Your debts'!$C$9)&gt;0))),"",IF('Your debts'!$D$20="Avalanche",'Avalanche workings'!$O$450,'Snowball workings'!$O$450)+IF('Your debts'!$D$20="Avalanche",'Avalanche workings'!$AI$450,'Snowball workings'!$AI$450))</f>
      </c>
      <c r="M448" s="30">
        <f>IF(OR(443&gt;$Z$1,NOT(OR('Your debts'!$B$9&lt;&gt;"",N('Your debts'!$C$9)&gt;0))),"",IF('Your debts'!$D$20="Avalanche",'Avalanche workings'!$AS$450,'Snowball workings'!$AS$450))</f>
      </c>
      <c r="N448" s="29">
        <f>IF(OR(443&gt;$Z$1,NOT(OR('Your debts'!$B$10&lt;&gt;"",N('Your debts'!$C$10)&gt;0))),"",IF('Your debts'!$D$20="Avalanche",'Avalanche workings'!$P$450,'Snowball workings'!$P$450)+IF('Your debts'!$D$20="Avalanche",'Avalanche workings'!$AJ$450,'Snowball workings'!$AJ$450))</f>
      </c>
      <c r="O448" s="30">
        <f>IF(OR(443&gt;$Z$1,NOT(OR('Your debts'!$B$10&lt;&gt;"",N('Your debts'!$C$10)&gt;0))),"",IF('Your debts'!$D$20="Avalanche",'Avalanche workings'!$AT$450,'Snowball workings'!$AT$450))</f>
      </c>
      <c r="P448" s="29">
        <f>IF(OR(443&gt;$Z$1,NOT(OR('Your debts'!$B$11&lt;&gt;"",N('Your debts'!$C$11)&gt;0))),"",IF('Your debts'!$D$20="Avalanche",'Avalanche workings'!$Q$450,'Snowball workings'!$Q$450)+IF('Your debts'!$D$20="Avalanche",'Avalanche workings'!$AK$450,'Snowball workings'!$AK$450))</f>
      </c>
      <c r="Q448" s="30">
        <f>IF(OR(443&gt;$Z$1,NOT(OR('Your debts'!$B$11&lt;&gt;"",N('Your debts'!$C$11)&gt;0))),"",IF('Your debts'!$D$20="Avalanche",'Avalanche workings'!$AU$450,'Snowball workings'!$AU$450))</f>
      </c>
      <c r="R448" s="29">
        <f>IF(OR(443&gt;$Z$1,NOT(OR('Your debts'!$B$12&lt;&gt;"",N('Your debts'!$C$12)&gt;0))),"",IF('Your debts'!$D$20="Avalanche",'Avalanche workings'!$R$450,'Snowball workings'!$R$450)+IF('Your debts'!$D$20="Avalanche",'Avalanche workings'!$AL$450,'Snowball workings'!$AL$450))</f>
      </c>
      <c r="S448" s="30">
        <f>IF(OR(443&gt;$Z$1,NOT(OR('Your debts'!$B$12&lt;&gt;"",N('Your debts'!$C$12)&gt;0))),"",IF('Your debts'!$D$20="Avalanche",'Avalanche workings'!$AV$450,'Snowball workings'!$AV$450))</f>
      </c>
      <c r="T448" s="29">
        <f>IF(OR(443&gt;$Z$1,NOT(OR('Your debts'!$B$13&lt;&gt;"",N('Your debts'!$C$13)&gt;0))),"",IF('Your debts'!$D$20="Avalanche",'Avalanche workings'!$S$450,'Snowball workings'!$S$450)+IF('Your debts'!$D$20="Avalanche",'Avalanche workings'!$AM$450,'Snowball workings'!$AM$450))</f>
      </c>
      <c r="U448" s="30">
        <f>IF(OR(443&gt;$Z$1,NOT(OR('Your debts'!$B$13&lt;&gt;"",N('Your debts'!$C$13)&gt;0))),"",IF('Your debts'!$D$20="Avalanche",'Avalanche workings'!$AW$450,'Snowball workings'!$AW$450))</f>
      </c>
      <c r="V448" s="29">
        <f>IF(OR(443&gt;$Z$1,NOT(OR('Your debts'!$B$14&lt;&gt;"",N('Your debts'!$C$14)&gt;0))),"",IF('Your debts'!$D$20="Avalanche",'Avalanche workings'!$T$450,'Snowball workings'!$T$450)+IF('Your debts'!$D$20="Avalanche",'Avalanche workings'!$AN$450,'Snowball workings'!$AN$450))</f>
      </c>
      <c r="W448" s="30">
        <f>IF(OR(443&gt;$Z$1,NOT(OR('Your debts'!$B$14&lt;&gt;"",N('Your debts'!$C$14)&gt;0))),"",IF('Your debts'!$D$20="Avalanche",'Avalanche workings'!$AX$450,'Snowball workings'!$AX$450))</f>
      </c>
      <c r="X448" s="29">
        <f>IF(OR(443&gt;$Z$1,NOT(OR('Your debts'!$B$15&lt;&gt;"",N('Your debts'!$C$15)&gt;0))),"",IF('Your debts'!$D$20="Avalanche",'Avalanche workings'!$U$450,'Snowball workings'!$U$450)+IF('Your debts'!$D$20="Avalanche",'Avalanche workings'!$AO$450,'Snowball workings'!$AO$450))</f>
      </c>
      <c r="Y448" s="30">
        <f>IF(OR(443&gt;$Z$1,NOT(OR('Your debts'!$B$15&lt;&gt;"",N('Your debts'!$C$15)&gt;0))),"",IF('Your debts'!$D$20="Avalanche",'Avalanche workings'!$AY$450,'Snowball workings'!$AY$450))</f>
      </c>
    </row>
    <row r="449" spans="1:25" x14ac:dyDescent="0.25">
      <c r="A449" s="2">
        <f>IF(444&gt;$Z$1,"",444)</f>
      </c>
      <c r="B449" s="28">
        <f>IF(444&gt;$Z$1,"",EDATE('Your debts'!$D$21,443))</f>
      </c>
      <c r="C449" s="29">
        <f>IF(444&gt;$Z$1,"",IF('Your debts'!$D$20="Avalanche",'Avalanche workings'!$BC$451,'Snowball workings'!$BC$451))</f>
      </c>
      <c r="D449" s="29">
        <f>IF(444&gt;$Z$1,"",IF('Your debts'!$D$20="Avalanche",'Avalanche workings'!$BA$451,'Snowball workings'!$BA$451))</f>
      </c>
      <c r="E449" s="29">
        <f>IF(444&gt;$Z$1,"",IF('Your debts'!$D$20="Avalanche",'Avalanche workings'!$BB$451,'Snowball workings'!$BB$451))</f>
      </c>
      <c r="F449" s="29">
        <f>IF(OR(444&gt;$Z$1,NOT(OR('Your debts'!$B$6&lt;&gt;"",N('Your debts'!$C$6)&gt;0))),"",IF('Your debts'!$D$20="Avalanche",'Avalanche workings'!$L$451,'Snowball workings'!$L$451)+IF('Your debts'!$D$20="Avalanche",'Avalanche workings'!$AF$451,'Snowball workings'!$AF$451))</f>
      </c>
      <c r="G449" s="30">
        <f>IF(OR(444&gt;$Z$1,NOT(OR('Your debts'!$B$6&lt;&gt;"",N('Your debts'!$C$6)&gt;0))),"",IF('Your debts'!$D$20="Avalanche",'Avalanche workings'!$AP$451,'Snowball workings'!$AP$451))</f>
      </c>
      <c r="H449" s="29">
        <f>IF(OR(444&gt;$Z$1,NOT(OR('Your debts'!$B$7&lt;&gt;"",N('Your debts'!$C$7)&gt;0))),"",IF('Your debts'!$D$20="Avalanche",'Avalanche workings'!$M$451,'Snowball workings'!$M$451)+IF('Your debts'!$D$20="Avalanche",'Avalanche workings'!$AG$451,'Snowball workings'!$AG$451))</f>
      </c>
      <c r="I449" s="30">
        <f>IF(OR(444&gt;$Z$1,NOT(OR('Your debts'!$B$7&lt;&gt;"",N('Your debts'!$C$7)&gt;0))),"",IF('Your debts'!$D$20="Avalanche",'Avalanche workings'!$AQ$451,'Snowball workings'!$AQ$451))</f>
      </c>
      <c r="J449" s="29">
        <f>IF(OR(444&gt;$Z$1,NOT(OR('Your debts'!$B$8&lt;&gt;"",N('Your debts'!$C$8)&gt;0))),"",IF('Your debts'!$D$20="Avalanche",'Avalanche workings'!$N$451,'Snowball workings'!$N$451)+IF('Your debts'!$D$20="Avalanche",'Avalanche workings'!$AH$451,'Snowball workings'!$AH$451))</f>
      </c>
      <c r="K449" s="30">
        <f>IF(OR(444&gt;$Z$1,NOT(OR('Your debts'!$B$8&lt;&gt;"",N('Your debts'!$C$8)&gt;0))),"",IF('Your debts'!$D$20="Avalanche",'Avalanche workings'!$AR$451,'Snowball workings'!$AR$451))</f>
      </c>
      <c r="L449" s="29">
        <f>IF(OR(444&gt;$Z$1,NOT(OR('Your debts'!$B$9&lt;&gt;"",N('Your debts'!$C$9)&gt;0))),"",IF('Your debts'!$D$20="Avalanche",'Avalanche workings'!$O$451,'Snowball workings'!$O$451)+IF('Your debts'!$D$20="Avalanche",'Avalanche workings'!$AI$451,'Snowball workings'!$AI$451))</f>
      </c>
      <c r="M449" s="30">
        <f>IF(OR(444&gt;$Z$1,NOT(OR('Your debts'!$B$9&lt;&gt;"",N('Your debts'!$C$9)&gt;0))),"",IF('Your debts'!$D$20="Avalanche",'Avalanche workings'!$AS$451,'Snowball workings'!$AS$451))</f>
      </c>
      <c r="N449" s="29">
        <f>IF(OR(444&gt;$Z$1,NOT(OR('Your debts'!$B$10&lt;&gt;"",N('Your debts'!$C$10)&gt;0))),"",IF('Your debts'!$D$20="Avalanche",'Avalanche workings'!$P$451,'Snowball workings'!$P$451)+IF('Your debts'!$D$20="Avalanche",'Avalanche workings'!$AJ$451,'Snowball workings'!$AJ$451))</f>
      </c>
      <c r="O449" s="30">
        <f>IF(OR(444&gt;$Z$1,NOT(OR('Your debts'!$B$10&lt;&gt;"",N('Your debts'!$C$10)&gt;0))),"",IF('Your debts'!$D$20="Avalanche",'Avalanche workings'!$AT$451,'Snowball workings'!$AT$451))</f>
      </c>
      <c r="P449" s="29">
        <f>IF(OR(444&gt;$Z$1,NOT(OR('Your debts'!$B$11&lt;&gt;"",N('Your debts'!$C$11)&gt;0))),"",IF('Your debts'!$D$20="Avalanche",'Avalanche workings'!$Q$451,'Snowball workings'!$Q$451)+IF('Your debts'!$D$20="Avalanche",'Avalanche workings'!$AK$451,'Snowball workings'!$AK$451))</f>
      </c>
      <c r="Q449" s="30">
        <f>IF(OR(444&gt;$Z$1,NOT(OR('Your debts'!$B$11&lt;&gt;"",N('Your debts'!$C$11)&gt;0))),"",IF('Your debts'!$D$20="Avalanche",'Avalanche workings'!$AU$451,'Snowball workings'!$AU$451))</f>
      </c>
      <c r="R449" s="29">
        <f>IF(OR(444&gt;$Z$1,NOT(OR('Your debts'!$B$12&lt;&gt;"",N('Your debts'!$C$12)&gt;0))),"",IF('Your debts'!$D$20="Avalanche",'Avalanche workings'!$R$451,'Snowball workings'!$R$451)+IF('Your debts'!$D$20="Avalanche",'Avalanche workings'!$AL$451,'Snowball workings'!$AL$451))</f>
      </c>
      <c r="S449" s="30">
        <f>IF(OR(444&gt;$Z$1,NOT(OR('Your debts'!$B$12&lt;&gt;"",N('Your debts'!$C$12)&gt;0))),"",IF('Your debts'!$D$20="Avalanche",'Avalanche workings'!$AV$451,'Snowball workings'!$AV$451))</f>
      </c>
      <c r="T449" s="29">
        <f>IF(OR(444&gt;$Z$1,NOT(OR('Your debts'!$B$13&lt;&gt;"",N('Your debts'!$C$13)&gt;0))),"",IF('Your debts'!$D$20="Avalanche",'Avalanche workings'!$S$451,'Snowball workings'!$S$451)+IF('Your debts'!$D$20="Avalanche",'Avalanche workings'!$AM$451,'Snowball workings'!$AM$451))</f>
      </c>
      <c r="U449" s="30">
        <f>IF(OR(444&gt;$Z$1,NOT(OR('Your debts'!$B$13&lt;&gt;"",N('Your debts'!$C$13)&gt;0))),"",IF('Your debts'!$D$20="Avalanche",'Avalanche workings'!$AW$451,'Snowball workings'!$AW$451))</f>
      </c>
      <c r="V449" s="29">
        <f>IF(OR(444&gt;$Z$1,NOT(OR('Your debts'!$B$14&lt;&gt;"",N('Your debts'!$C$14)&gt;0))),"",IF('Your debts'!$D$20="Avalanche",'Avalanche workings'!$T$451,'Snowball workings'!$T$451)+IF('Your debts'!$D$20="Avalanche",'Avalanche workings'!$AN$451,'Snowball workings'!$AN$451))</f>
      </c>
      <c r="W449" s="30">
        <f>IF(OR(444&gt;$Z$1,NOT(OR('Your debts'!$B$14&lt;&gt;"",N('Your debts'!$C$14)&gt;0))),"",IF('Your debts'!$D$20="Avalanche",'Avalanche workings'!$AX$451,'Snowball workings'!$AX$451))</f>
      </c>
      <c r="X449" s="29">
        <f>IF(OR(444&gt;$Z$1,NOT(OR('Your debts'!$B$15&lt;&gt;"",N('Your debts'!$C$15)&gt;0))),"",IF('Your debts'!$D$20="Avalanche",'Avalanche workings'!$U$451,'Snowball workings'!$U$451)+IF('Your debts'!$D$20="Avalanche",'Avalanche workings'!$AO$451,'Snowball workings'!$AO$451))</f>
      </c>
      <c r="Y449" s="30">
        <f>IF(OR(444&gt;$Z$1,NOT(OR('Your debts'!$B$15&lt;&gt;"",N('Your debts'!$C$15)&gt;0))),"",IF('Your debts'!$D$20="Avalanche",'Avalanche workings'!$AY$451,'Snowball workings'!$AY$451))</f>
      </c>
    </row>
    <row r="450" spans="1:25" x14ac:dyDescent="0.25">
      <c r="A450" s="2">
        <f>IF(445&gt;$Z$1,"",445)</f>
      </c>
      <c r="B450" s="28">
        <f>IF(445&gt;$Z$1,"",EDATE('Your debts'!$D$21,444))</f>
      </c>
      <c r="C450" s="29">
        <f>IF(445&gt;$Z$1,"",IF('Your debts'!$D$20="Avalanche",'Avalanche workings'!$BC$452,'Snowball workings'!$BC$452))</f>
      </c>
      <c r="D450" s="29">
        <f>IF(445&gt;$Z$1,"",IF('Your debts'!$D$20="Avalanche",'Avalanche workings'!$BA$452,'Snowball workings'!$BA$452))</f>
      </c>
      <c r="E450" s="29">
        <f>IF(445&gt;$Z$1,"",IF('Your debts'!$D$20="Avalanche",'Avalanche workings'!$BB$452,'Snowball workings'!$BB$452))</f>
      </c>
      <c r="F450" s="29">
        <f>IF(OR(445&gt;$Z$1,NOT(OR('Your debts'!$B$6&lt;&gt;"",N('Your debts'!$C$6)&gt;0))),"",IF('Your debts'!$D$20="Avalanche",'Avalanche workings'!$L$452,'Snowball workings'!$L$452)+IF('Your debts'!$D$20="Avalanche",'Avalanche workings'!$AF$452,'Snowball workings'!$AF$452))</f>
      </c>
      <c r="G450" s="30">
        <f>IF(OR(445&gt;$Z$1,NOT(OR('Your debts'!$B$6&lt;&gt;"",N('Your debts'!$C$6)&gt;0))),"",IF('Your debts'!$D$20="Avalanche",'Avalanche workings'!$AP$452,'Snowball workings'!$AP$452))</f>
      </c>
      <c r="H450" s="29">
        <f>IF(OR(445&gt;$Z$1,NOT(OR('Your debts'!$B$7&lt;&gt;"",N('Your debts'!$C$7)&gt;0))),"",IF('Your debts'!$D$20="Avalanche",'Avalanche workings'!$M$452,'Snowball workings'!$M$452)+IF('Your debts'!$D$20="Avalanche",'Avalanche workings'!$AG$452,'Snowball workings'!$AG$452))</f>
      </c>
      <c r="I450" s="30">
        <f>IF(OR(445&gt;$Z$1,NOT(OR('Your debts'!$B$7&lt;&gt;"",N('Your debts'!$C$7)&gt;0))),"",IF('Your debts'!$D$20="Avalanche",'Avalanche workings'!$AQ$452,'Snowball workings'!$AQ$452))</f>
      </c>
      <c r="J450" s="29">
        <f>IF(OR(445&gt;$Z$1,NOT(OR('Your debts'!$B$8&lt;&gt;"",N('Your debts'!$C$8)&gt;0))),"",IF('Your debts'!$D$20="Avalanche",'Avalanche workings'!$N$452,'Snowball workings'!$N$452)+IF('Your debts'!$D$20="Avalanche",'Avalanche workings'!$AH$452,'Snowball workings'!$AH$452))</f>
      </c>
      <c r="K450" s="30">
        <f>IF(OR(445&gt;$Z$1,NOT(OR('Your debts'!$B$8&lt;&gt;"",N('Your debts'!$C$8)&gt;0))),"",IF('Your debts'!$D$20="Avalanche",'Avalanche workings'!$AR$452,'Snowball workings'!$AR$452))</f>
      </c>
      <c r="L450" s="29">
        <f>IF(OR(445&gt;$Z$1,NOT(OR('Your debts'!$B$9&lt;&gt;"",N('Your debts'!$C$9)&gt;0))),"",IF('Your debts'!$D$20="Avalanche",'Avalanche workings'!$O$452,'Snowball workings'!$O$452)+IF('Your debts'!$D$20="Avalanche",'Avalanche workings'!$AI$452,'Snowball workings'!$AI$452))</f>
      </c>
      <c r="M450" s="30">
        <f>IF(OR(445&gt;$Z$1,NOT(OR('Your debts'!$B$9&lt;&gt;"",N('Your debts'!$C$9)&gt;0))),"",IF('Your debts'!$D$20="Avalanche",'Avalanche workings'!$AS$452,'Snowball workings'!$AS$452))</f>
      </c>
      <c r="N450" s="29">
        <f>IF(OR(445&gt;$Z$1,NOT(OR('Your debts'!$B$10&lt;&gt;"",N('Your debts'!$C$10)&gt;0))),"",IF('Your debts'!$D$20="Avalanche",'Avalanche workings'!$P$452,'Snowball workings'!$P$452)+IF('Your debts'!$D$20="Avalanche",'Avalanche workings'!$AJ$452,'Snowball workings'!$AJ$452))</f>
      </c>
      <c r="O450" s="30">
        <f>IF(OR(445&gt;$Z$1,NOT(OR('Your debts'!$B$10&lt;&gt;"",N('Your debts'!$C$10)&gt;0))),"",IF('Your debts'!$D$20="Avalanche",'Avalanche workings'!$AT$452,'Snowball workings'!$AT$452))</f>
      </c>
      <c r="P450" s="29">
        <f>IF(OR(445&gt;$Z$1,NOT(OR('Your debts'!$B$11&lt;&gt;"",N('Your debts'!$C$11)&gt;0))),"",IF('Your debts'!$D$20="Avalanche",'Avalanche workings'!$Q$452,'Snowball workings'!$Q$452)+IF('Your debts'!$D$20="Avalanche",'Avalanche workings'!$AK$452,'Snowball workings'!$AK$452))</f>
      </c>
      <c r="Q450" s="30">
        <f>IF(OR(445&gt;$Z$1,NOT(OR('Your debts'!$B$11&lt;&gt;"",N('Your debts'!$C$11)&gt;0))),"",IF('Your debts'!$D$20="Avalanche",'Avalanche workings'!$AU$452,'Snowball workings'!$AU$452))</f>
      </c>
      <c r="R450" s="29">
        <f>IF(OR(445&gt;$Z$1,NOT(OR('Your debts'!$B$12&lt;&gt;"",N('Your debts'!$C$12)&gt;0))),"",IF('Your debts'!$D$20="Avalanche",'Avalanche workings'!$R$452,'Snowball workings'!$R$452)+IF('Your debts'!$D$20="Avalanche",'Avalanche workings'!$AL$452,'Snowball workings'!$AL$452))</f>
      </c>
      <c r="S450" s="30">
        <f>IF(OR(445&gt;$Z$1,NOT(OR('Your debts'!$B$12&lt;&gt;"",N('Your debts'!$C$12)&gt;0))),"",IF('Your debts'!$D$20="Avalanche",'Avalanche workings'!$AV$452,'Snowball workings'!$AV$452))</f>
      </c>
      <c r="T450" s="29">
        <f>IF(OR(445&gt;$Z$1,NOT(OR('Your debts'!$B$13&lt;&gt;"",N('Your debts'!$C$13)&gt;0))),"",IF('Your debts'!$D$20="Avalanche",'Avalanche workings'!$S$452,'Snowball workings'!$S$452)+IF('Your debts'!$D$20="Avalanche",'Avalanche workings'!$AM$452,'Snowball workings'!$AM$452))</f>
      </c>
      <c r="U450" s="30">
        <f>IF(OR(445&gt;$Z$1,NOT(OR('Your debts'!$B$13&lt;&gt;"",N('Your debts'!$C$13)&gt;0))),"",IF('Your debts'!$D$20="Avalanche",'Avalanche workings'!$AW$452,'Snowball workings'!$AW$452))</f>
      </c>
      <c r="V450" s="29">
        <f>IF(OR(445&gt;$Z$1,NOT(OR('Your debts'!$B$14&lt;&gt;"",N('Your debts'!$C$14)&gt;0))),"",IF('Your debts'!$D$20="Avalanche",'Avalanche workings'!$T$452,'Snowball workings'!$T$452)+IF('Your debts'!$D$20="Avalanche",'Avalanche workings'!$AN$452,'Snowball workings'!$AN$452))</f>
      </c>
      <c r="W450" s="30">
        <f>IF(OR(445&gt;$Z$1,NOT(OR('Your debts'!$B$14&lt;&gt;"",N('Your debts'!$C$14)&gt;0))),"",IF('Your debts'!$D$20="Avalanche",'Avalanche workings'!$AX$452,'Snowball workings'!$AX$452))</f>
      </c>
      <c r="X450" s="29">
        <f>IF(OR(445&gt;$Z$1,NOT(OR('Your debts'!$B$15&lt;&gt;"",N('Your debts'!$C$15)&gt;0))),"",IF('Your debts'!$D$20="Avalanche",'Avalanche workings'!$U$452,'Snowball workings'!$U$452)+IF('Your debts'!$D$20="Avalanche",'Avalanche workings'!$AO$452,'Snowball workings'!$AO$452))</f>
      </c>
      <c r="Y450" s="30">
        <f>IF(OR(445&gt;$Z$1,NOT(OR('Your debts'!$B$15&lt;&gt;"",N('Your debts'!$C$15)&gt;0))),"",IF('Your debts'!$D$20="Avalanche",'Avalanche workings'!$AY$452,'Snowball workings'!$AY$452))</f>
      </c>
    </row>
    <row r="451" spans="1:25" x14ac:dyDescent="0.25">
      <c r="A451" s="2">
        <f>IF(446&gt;$Z$1,"",446)</f>
      </c>
      <c r="B451" s="28">
        <f>IF(446&gt;$Z$1,"",EDATE('Your debts'!$D$21,445))</f>
      </c>
      <c r="C451" s="29">
        <f>IF(446&gt;$Z$1,"",IF('Your debts'!$D$20="Avalanche",'Avalanche workings'!$BC$453,'Snowball workings'!$BC$453))</f>
      </c>
      <c r="D451" s="29">
        <f>IF(446&gt;$Z$1,"",IF('Your debts'!$D$20="Avalanche",'Avalanche workings'!$BA$453,'Snowball workings'!$BA$453))</f>
      </c>
      <c r="E451" s="29">
        <f>IF(446&gt;$Z$1,"",IF('Your debts'!$D$20="Avalanche",'Avalanche workings'!$BB$453,'Snowball workings'!$BB$453))</f>
      </c>
      <c r="F451" s="29">
        <f>IF(OR(446&gt;$Z$1,NOT(OR('Your debts'!$B$6&lt;&gt;"",N('Your debts'!$C$6)&gt;0))),"",IF('Your debts'!$D$20="Avalanche",'Avalanche workings'!$L$453,'Snowball workings'!$L$453)+IF('Your debts'!$D$20="Avalanche",'Avalanche workings'!$AF$453,'Snowball workings'!$AF$453))</f>
      </c>
      <c r="G451" s="30">
        <f>IF(OR(446&gt;$Z$1,NOT(OR('Your debts'!$B$6&lt;&gt;"",N('Your debts'!$C$6)&gt;0))),"",IF('Your debts'!$D$20="Avalanche",'Avalanche workings'!$AP$453,'Snowball workings'!$AP$453))</f>
      </c>
      <c r="H451" s="29">
        <f>IF(OR(446&gt;$Z$1,NOT(OR('Your debts'!$B$7&lt;&gt;"",N('Your debts'!$C$7)&gt;0))),"",IF('Your debts'!$D$20="Avalanche",'Avalanche workings'!$M$453,'Snowball workings'!$M$453)+IF('Your debts'!$D$20="Avalanche",'Avalanche workings'!$AG$453,'Snowball workings'!$AG$453))</f>
      </c>
      <c r="I451" s="30">
        <f>IF(OR(446&gt;$Z$1,NOT(OR('Your debts'!$B$7&lt;&gt;"",N('Your debts'!$C$7)&gt;0))),"",IF('Your debts'!$D$20="Avalanche",'Avalanche workings'!$AQ$453,'Snowball workings'!$AQ$453))</f>
      </c>
      <c r="J451" s="29">
        <f>IF(OR(446&gt;$Z$1,NOT(OR('Your debts'!$B$8&lt;&gt;"",N('Your debts'!$C$8)&gt;0))),"",IF('Your debts'!$D$20="Avalanche",'Avalanche workings'!$N$453,'Snowball workings'!$N$453)+IF('Your debts'!$D$20="Avalanche",'Avalanche workings'!$AH$453,'Snowball workings'!$AH$453))</f>
      </c>
      <c r="K451" s="30">
        <f>IF(OR(446&gt;$Z$1,NOT(OR('Your debts'!$B$8&lt;&gt;"",N('Your debts'!$C$8)&gt;0))),"",IF('Your debts'!$D$20="Avalanche",'Avalanche workings'!$AR$453,'Snowball workings'!$AR$453))</f>
      </c>
      <c r="L451" s="29">
        <f>IF(OR(446&gt;$Z$1,NOT(OR('Your debts'!$B$9&lt;&gt;"",N('Your debts'!$C$9)&gt;0))),"",IF('Your debts'!$D$20="Avalanche",'Avalanche workings'!$O$453,'Snowball workings'!$O$453)+IF('Your debts'!$D$20="Avalanche",'Avalanche workings'!$AI$453,'Snowball workings'!$AI$453))</f>
      </c>
      <c r="M451" s="30">
        <f>IF(OR(446&gt;$Z$1,NOT(OR('Your debts'!$B$9&lt;&gt;"",N('Your debts'!$C$9)&gt;0))),"",IF('Your debts'!$D$20="Avalanche",'Avalanche workings'!$AS$453,'Snowball workings'!$AS$453))</f>
      </c>
      <c r="N451" s="29">
        <f>IF(OR(446&gt;$Z$1,NOT(OR('Your debts'!$B$10&lt;&gt;"",N('Your debts'!$C$10)&gt;0))),"",IF('Your debts'!$D$20="Avalanche",'Avalanche workings'!$P$453,'Snowball workings'!$P$453)+IF('Your debts'!$D$20="Avalanche",'Avalanche workings'!$AJ$453,'Snowball workings'!$AJ$453))</f>
      </c>
      <c r="O451" s="30">
        <f>IF(OR(446&gt;$Z$1,NOT(OR('Your debts'!$B$10&lt;&gt;"",N('Your debts'!$C$10)&gt;0))),"",IF('Your debts'!$D$20="Avalanche",'Avalanche workings'!$AT$453,'Snowball workings'!$AT$453))</f>
      </c>
      <c r="P451" s="29">
        <f>IF(OR(446&gt;$Z$1,NOT(OR('Your debts'!$B$11&lt;&gt;"",N('Your debts'!$C$11)&gt;0))),"",IF('Your debts'!$D$20="Avalanche",'Avalanche workings'!$Q$453,'Snowball workings'!$Q$453)+IF('Your debts'!$D$20="Avalanche",'Avalanche workings'!$AK$453,'Snowball workings'!$AK$453))</f>
      </c>
      <c r="Q451" s="30">
        <f>IF(OR(446&gt;$Z$1,NOT(OR('Your debts'!$B$11&lt;&gt;"",N('Your debts'!$C$11)&gt;0))),"",IF('Your debts'!$D$20="Avalanche",'Avalanche workings'!$AU$453,'Snowball workings'!$AU$453))</f>
      </c>
      <c r="R451" s="29">
        <f>IF(OR(446&gt;$Z$1,NOT(OR('Your debts'!$B$12&lt;&gt;"",N('Your debts'!$C$12)&gt;0))),"",IF('Your debts'!$D$20="Avalanche",'Avalanche workings'!$R$453,'Snowball workings'!$R$453)+IF('Your debts'!$D$20="Avalanche",'Avalanche workings'!$AL$453,'Snowball workings'!$AL$453))</f>
      </c>
      <c r="S451" s="30">
        <f>IF(OR(446&gt;$Z$1,NOT(OR('Your debts'!$B$12&lt;&gt;"",N('Your debts'!$C$12)&gt;0))),"",IF('Your debts'!$D$20="Avalanche",'Avalanche workings'!$AV$453,'Snowball workings'!$AV$453))</f>
      </c>
      <c r="T451" s="29">
        <f>IF(OR(446&gt;$Z$1,NOT(OR('Your debts'!$B$13&lt;&gt;"",N('Your debts'!$C$13)&gt;0))),"",IF('Your debts'!$D$20="Avalanche",'Avalanche workings'!$S$453,'Snowball workings'!$S$453)+IF('Your debts'!$D$20="Avalanche",'Avalanche workings'!$AM$453,'Snowball workings'!$AM$453))</f>
      </c>
      <c r="U451" s="30">
        <f>IF(OR(446&gt;$Z$1,NOT(OR('Your debts'!$B$13&lt;&gt;"",N('Your debts'!$C$13)&gt;0))),"",IF('Your debts'!$D$20="Avalanche",'Avalanche workings'!$AW$453,'Snowball workings'!$AW$453))</f>
      </c>
      <c r="V451" s="29">
        <f>IF(OR(446&gt;$Z$1,NOT(OR('Your debts'!$B$14&lt;&gt;"",N('Your debts'!$C$14)&gt;0))),"",IF('Your debts'!$D$20="Avalanche",'Avalanche workings'!$T$453,'Snowball workings'!$T$453)+IF('Your debts'!$D$20="Avalanche",'Avalanche workings'!$AN$453,'Snowball workings'!$AN$453))</f>
      </c>
      <c r="W451" s="30">
        <f>IF(OR(446&gt;$Z$1,NOT(OR('Your debts'!$B$14&lt;&gt;"",N('Your debts'!$C$14)&gt;0))),"",IF('Your debts'!$D$20="Avalanche",'Avalanche workings'!$AX$453,'Snowball workings'!$AX$453))</f>
      </c>
      <c r="X451" s="29">
        <f>IF(OR(446&gt;$Z$1,NOT(OR('Your debts'!$B$15&lt;&gt;"",N('Your debts'!$C$15)&gt;0))),"",IF('Your debts'!$D$20="Avalanche",'Avalanche workings'!$U$453,'Snowball workings'!$U$453)+IF('Your debts'!$D$20="Avalanche",'Avalanche workings'!$AO$453,'Snowball workings'!$AO$453))</f>
      </c>
      <c r="Y451" s="30">
        <f>IF(OR(446&gt;$Z$1,NOT(OR('Your debts'!$B$15&lt;&gt;"",N('Your debts'!$C$15)&gt;0))),"",IF('Your debts'!$D$20="Avalanche",'Avalanche workings'!$AY$453,'Snowball workings'!$AY$453))</f>
      </c>
    </row>
    <row r="452" spans="1:25" x14ac:dyDescent="0.25">
      <c r="A452" s="2">
        <f>IF(447&gt;$Z$1,"",447)</f>
      </c>
      <c r="B452" s="28">
        <f>IF(447&gt;$Z$1,"",EDATE('Your debts'!$D$21,446))</f>
      </c>
      <c r="C452" s="29">
        <f>IF(447&gt;$Z$1,"",IF('Your debts'!$D$20="Avalanche",'Avalanche workings'!$BC$454,'Snowball workings'!$BC$454))</f>
      </c>
      <c r="D452" s="29">
        <f>IF(447&gt;$Z$1,"",IF('Your debts'!$D$20="Avalanche",'Avalanche workings'!$BA$454,'Snowball workings'!$BA$454))</f>
      </c>
      <c r="E452" s="29">
        <f>IF(447&gt;$Z$1,"",IF('Your debts'!$D$20="Avalanche",'Avalanche workings'!$BB$454,'Snowball workings'!$BB$454))</f>
      </c>
      <c r="F452" s="29">
        <f>IF(OR(447&gt;$Z$1,NOT(OR('Your debts'!$B$6&lt;&gt;"",N('Your debts'!$C$6)&gt;0))),"",IF('Your debts'!$D$20="Avalanche",'Avalanche workings'!$L$454,'Snowball workings'!$L$454)+IF('Your debts'!$D$20="Avalanche",'Avalanche workings'!$AF$454,'Snowball workings'!$AF$454))</f>
      </c>
      <c r="G452" s="30">
        <f>IF(OR(447&gt;$Z$1,NOT(OR('Your debts'!$B$6&lt;&gt;"",N('Your debts'!$C$6)&gt;0))),"",IF('Your debts'!$D$20="Avalanche",'Avalanche workings'!$AP$454,'Snowball workings'!$AP$454))</f>
      </c>
      <c r="H452" s="29">
        <f>IF(OR(447&gt;$Z$1,NOT(OR('Your debts'!$B$7&lt;&gt;"",N('Your debts'!$C$7)&gt;0))),"",IF('Your debts'!$D$20="Avalanche",'Avalanche workings'!$M$454,'Snowball workings'!$M$454)+IF('Your debts'!$D$20="Avalanche",'Avalanche workings'!$AG$454,'Snowball workings'!$AG$454))</f>
      </c>
      <c r="I452" s="30">
        <f>IF(OR(447&gt;$Z$1,NOT(OR('Your debts'!$B$7&lt;&gt;"",N('Your debts'!$C$7)&gt;0))),"",IF('Your debts'!$D$20="Avalanche",'Avalanche workings'!$AQ$454,'Snowball workings'!$AQ$454))</f>
      </c>
      <c r="J452" s="29">
        <f>IF(OR(447&gt;$Z$1,NOT(OR('Your debts'!$B$8&lt;&gt;"",N('Your debts'!$C$8)&gt;0))),"",IF('Your debts'!$D$20="Avalanche",'Avalanche workings'!$N$454,'Snowball workings'!$N$454)+IF('Your debts'!$D$20="Avalanche",'Avalanche workings'!$AH$454,'Snowball workings'!$AH$454))</f>
      </c>
      <c r="K452" s="30">
        <f>IF(OR(447&gt;$Z$1,NOT(OR('Your debts'!$B$8&lt;&gt;"",N('Your debts'!$C$8)&gt;0))),"",IF('Your debts'!$D$20="Avalanche",'Avalanche workings'!$AR$454,'Snowball workings'!$AR$454))</f>
      </c>
      <c r="L452" s="29">
        <f>IF(OR(447&gt;$Z$1,NOT(OR('Your debts'!$B$9&lt;&gt;"",N('Your debts'!$C$9)&gt;0))),"",IF('Your debts'!$D$20="Avalanche",'Avalanche workings'!$O$454,'Snowball workings'!$O$454)+IF('Your debts'!$D$20="Avalanche",'Avalanche workings'!$AI$454,'Snowball workings'!$AI$454))</f>
      </c>
      <c r="M452" s="30">
        <f>IF(OR(447&gt;$Z$1,NOT(OR('Your debts'!$B$9&lt;&gt;"",N('Your debts'!$C$9)&gt;0))),"",IF('Your debts'!$D$20="Avalanche",'Avalanche workings'!$AS$454,'Snowball workings'!$AS$454))</f>
      </c>
      <c r="N452" s="29">
        <f>IF(OR(447&gt;$Z$1,NOT(OR('Your debts'!$B$10&lt;&gt;"",N('Your debts'!$C$10)&gt;0))),"",IF('Your debts'!$D$20="Avalanche",'Avalanche workings'!$P$454,'Snowball workings'!$P$454)+IF('Your debts'!$D$20="Avalanche",'Avalanche workings'!$AJ$454,'Snowball workings'!$AJ$454))</f>
      </c>
      <c r="O452" s="30">
        <f>IF(OR(447&gt;$Z$1,NOT(OR('Your debts'!$B$10&lt;&gt;"",N('Your debts'!$C$10)&gt;0))),"",IF('Your debts'!$D$20="Avalanche",'Avalanche workings'!$AT$454,'Snowball workings'!$AT$454))</f>
      </c>
      <c r="P452" s="29">
        <f>IF(OR(447&gt;$Z$1,NOT(OR('Your debts'!$B$11&lt;&gt;"",N('Your debts'!$C$11)&gt;0))),"",IF('Your debts'!$D$20="Avalanche",'Avalanche workings'!$Q$454,'Snowball workings'!$Q$454)+IF('Your debts'!$D$20="Avalanche",'Avalanche workings'!$AK$454,'Snowball workings'!$AK$454))</f>
      </c>
      <c r="Q452" s="30">
        <f>IF(OR(447&gt;$Z$1,NOT(OR('Your debts'!$B$11&lt;&gt;"",N('Your debts'!$C$11)&gt;0))),"",IF('Your debts'!$D$20="Avalanche",'Avalanche workings'!$AU$454,'Snowball workings'!$AU$454))</f>
      </c>
      <c r="R452" s="29">
        <f>IF(OR(447&gt;$Z$1,NOT(OR('Your debts'!$B$12&lt;&gt;"",N('Your debts'!$C$12)&gt;0))),"",IF('Your debts'!$D$20="Avalanche",'Avalanche workings'!$R$454,'Snowball workings'!$R$454)+IF('Your debts'!$D$20="Avalanche",'Avalanche workings'!$AL$454,'Snowball workings'!$AL$454))</f>
      </c>
      <c r="S452" s="30">
        <f>IF(OR(447&gt;$Z$1,NOT(OR('Your debts'!$B$12&lt;&gt;"",N('Your debts'!$C$12)&gt;0))),"",IF('Your debts'!$D$20="Avalanche",'Avalanche workings'!$AV$454,'Snowball workings'!$AV$454))</f>
      </c>
      <c r="T452" s="29">
        <f>IF(OR(447&gt;$Z$1,NOT(OR('Your debts'!$B$13&lt;&gt;"",N('Your debts'!$C$13)&gt;0))),"",IF('Your debts'!$D$20="Avalanche",'Avalanche workings'!$S$454,'Snowball workings'!$S$454)+IF('Your debts'!$D$20="Avalanche",'Avalanche workings'!$AM$454,'Snowball workings'!$AM$454))</f>
      </c>
      <c r="U452" s="30">
        <f>IF(OR(447&gt;$Z$1,NOT(OR('Your debts'!$B$13&lt;&gt;"",N('Your debts'!$C$13)&gt;0))),"",IF('Your debts'!$D$20="Avalanche",'Avalanche workings'!$AW$454,'Snowball workings'!$AW$454))</f>
      </c>
      <c r="V452" s="29">
        <f>IF(OR(447&gt;$Z$1,NOT(OR('Your debts'!$B$14&lt;&gt;"",N('Your debts'!$C$14)&gt;0))),"",IF('Your debts'!$D$20="Avalanche",'Avalanche workings'!$T$454,'Snowball workings'!$T$454)+IF('Your debts'!$D$20="Avalanche",'Avalanche workings'!$AN$454,'Snowball workings'!$AN$454))</f>
      </c>
      <c r="W452" s="30">
        <f>IF(OR(447&gt;$Z$1,NOT(OR('Your debts'!$B$14&lt;&gt;"",N('Your debts'!$C$14)&gt;0))),"",IF('Your debts'!$D$20="Avalanche",'Avalanche workings'!$AX$454,'Snowball workings'!$AX$454))</f>
      </c>
      <c r="X452" s="29">
        <f>IF(OR(447&gt;$Z$1,NOT(OR('Your debts'!$B$15&lt;&gt;"",N('Your debts'!$C$15)&gt;0))),"",IF('Your debts'!$D$20="Avalanche",'Avalanche workings'!$U$454,'Snowball workings'!$U$454)+IF('Your debts'!$D$20="Avalanche",'Avalanche workings'!$AO$454,'Snowball workings'!$AO$454))</f>
      </c>
      <c r="Y452" s="30">
        <f>IF(OR(447&gt;$Z$1,NOT(OR('Your debts'!$B$15&lt;&gt;"",N('Your debts'!$C$15)&gt;0))),"",IF('Your debts'!$D$20="Avalanche",'Avalanche workings'!$AY$454,'Snowball workings'!$AY$454))</f>
      </c>
    </row>
    <row r="453" spans="1:25" x14ac:dyDescent="0.25">
      <c r="A453" s="2">
        <f>IF(448&gt;$Z$1,"",448)</f>
      </c>
      <c r="B453" s="28">
        <f>IF(448&gt;$Z$1,"",EDATE('Your debts'!$D$21,447))</f>
      </c>
      <c r="C453" s="29">
        <f>IF(448&gt;$Z$1,"",IF('Your debts'!$D$20="Avalanche",'Avalanche workings'!$BC$455,'Snowball workings'!$BC$455))</f>
      </c>
      <c r="D453" s="29">
        <f>IF(448&gt;$Z$1,"",IF('Your debts'!$D$20="Avalanche",'Avalanche workings'!$BA$455,'Snowball workings'!$BA$455))</f>
      </c>
      <c r="E453" s="29">
        <f>IF(448&gt;$Z$1,"",IF('Your debts'!$D$20="Avalanche",'Avalanche workings'!$BB$455,'Snowball workings'!$BB$455))</f>
      </c>
      <c r="F453" s="29">
        <f>IF(OR(448&gt;$Z$1,NOT(OR('Your debts'!$B$6&lt;&gt;"",N('Your debts'!$C$6)&gt;0))),"",IF('Your debts'!$D$20="Avalanche",'Avalanche workings'!$L$455,'Snowball workings'!$L$455)+IF('Your debts'!$D$20="Avalanche",'Avalanche workings'!$AF$455,'Snowball workings'!$AF$455))</f>
      </c>
      <c r="G453" s="30">
        <f>IF(OR(448&gt;$Z$1,NOT(OR('Your debts'!$B$6&lt;&gt;"",N('Your debts'!$C$6)&gt;0))),"",IF('Your debts'!$D$20="Avalanche",'Avalanche workings'!$AP$455,'Snowball workings'!$AP$455))</f>
      </c>
      <c r="H453" s="29">
        <f>IF(OR(448&gt;$Z$1,NOT(OR('Your debts'!$B$7&lt;&gt;"",N('Your debts'!$C$7)&gt;0))),"",IF('Your debts'!$D$20="Avalanche",'Avalanche workings'!$M$455,'Snowball workings'!$M$455)+IF('Your debts'!$D$20="Avalanche",'Avalanche workings'!$AG$455,'Snowball workings'!$AG$455))</f>
      </c>
      <c r="I453" s="30">
        <f>IF(OR(448&gt;$Z$1,NOT(OR('Your debts'!$B$7&lt;&gt;"",N('Your debts'!$C$7)&gt;0))),"",IF('Your debts'!$D$20="Avalanche",'Avalanche workings'!$AQ$455,'Snowball workings'!$AQ$455))</f>
      </c>
      <c r="J453" s="29">
        <f>IF(OR(448&gt;$Z$1,NOT(OR('Your debts'!$B$8&lt;&gt;"",N('Your debts'!$C$8)&gt;0))),"",IF('Your debts'!$D$20="Avalanche",'Avalanche workings'!$N$455,'Snowball workings'!$N$455)+IF('Your debts'!$D$20="Avalanche",'Avalanche workings'!$AH$455,'Snowball workings'!$AH$455))</f>
      </c>
      <c r="K453" s="30">
        <f>IF(OR(448&gt;$Z$1,NOT(OR('Your debts'!$B$8&lt;&gt;"",N('Your debts'!$C$8)&gt;0))),"",IF('Your debts'!$D$20="Avalanche",'Avalanche workings'!$AR$455,'Snowball workings'!$AR$455))</f>
      </c>
      <c r="L453" s="29">
        <f>IF(OR(448&gt;$Z$1,NOT(OR('Your debts'!$B$9&lt;&gt;"",N('Your debts'!$C$9)&gt;0))),"",IF('Your debts'!$D$20="Avalanche",'Avalanche workings'!$O$455,'Snowball workings'!$O$455)+IF('Your debts'!$D$20="Avalanche",'Avalanche workings'!$AI$455,'Snowball workings'!$AI$455))</f>
      </c>
      <c r="M453" s="30">
        <f>IF(OR(448&gt;$Z$1,NOT(OR('Your debts'!$B$9&lt;&gt;"",N('Your debts'!$C$9)&gt;0))),"",IF('Your debts'!$D$20="Avalanche",'Avalanche workings'!$AS$455,'Snowball workings'!$AS$455))</f>
      </c>
      <c r="N453" s="29">
        <f>IF(OR(448&gt;$Z$1,NOT(OR('Your debts'!$B$10&lt;&gt;"",N('Your debts'!$C$10)&gt;0))),"",IF('Your debts'!$D$20="Avalanche",'Avalanche workings'!$P$455,'Snowball workings'!$P$455)+IF('Your debts'!$D$20="Avalanche",'Avalanche workings'!$AJ$455,'Snowball workings'!$AJ$455))</f>
      </c>
      <c r="O453" s="30">
        <f>IF(OR(448&gt;$Z$1,NOT(OR('Your debts'!$B$10&lt;&gt;"",N('Your debts'!$C$10)&gt;0))),"",IF('Your debts'!$D$20="Avalanche",'Avalanche workings'!$AT$455,'Snowball workings'!$AT$455))</f>
      </c>
      <c r="P453" s="29">
        <f>IF(OR(448&gt;$Z$1,NOT(OR('Your debts'!$B$11&lt;&gt;"",N('Your debts'!$C$11)&gt;0))),"",IF('Your debts'!$D$20="Avalanche",'Avalanche workings'!$Q$455,'Snowball workings'!$Q$455)+IF('Your debts'!$D$20="Avalanche",'Avalanche workings'!$AK$455,'Snowball workings'!$AK$455))</f>
      </c>
      <c r="Q453" s="30">
        <f>IF(OR(448&gt;$Z$1,NOT(OR('Your debts'!$B$11&lt;&gt;"",N('Your debts'!$C$11)&gt;0))),"",IF('Your debts'!$D$20="Avalanche",'Avalanche workings'!$AU$455,'Snowball workings'!$AU$455))</f>
      </c>
      <c r="R453" s="29">
        <f>IF(OR(448&gt;$Z$1,NOT(OR('Your debts'!$B$12&lt;&gt;"",N('Your debts'!$C$12)&gt;0))),"",IF('Your debts'!$D$20="Avalanche",'Avalanche workings'!$R$455,'Snowball workings'!$R$455)+IF('Your debts'!$D$20="Avalanche",'Avalanche workings'!$AL$455,'Snowball workings'!$AL$455))</f>
      </c>
      <c r="S453" s="30">
        <f>IF(OR(448&gt;$Z$1,NOT(OR('Your debts'!$B$12&lt;&gt;"",N('Your debts'!$C$12)&gt;0))),"",IF('Your debts'!$D$20="Avalanche",'Avalanche workings'!$AV$455,'Snowball workings'!$AV$455))</f>
      </c>
      <c r="T453" s="29">
        <f>IF(OR(448&gt;$Z$1,NOT(OR('Your debts'!$B$13&lt;&gt;"",N('Your debts'!$C$13)&gt;0))),"",IF('Your debts'!$D$20="Avalanche",'Avalanche workings'!$S$455,'Snowball workings'!$S$455)+IF('Your debts'!$D$20="Avalanche",'Avalanche workings'!$AM$455,'Snowball workings'!$AM$455))</f>
      </c>
      <c r="U453" s="30">
        <f>IF(OR(448&gt;$Z$1,NOT(OR('Your debts'!$B$13&lt;&gt;"",N('Your debts'!$C$13)&gt;0))),"",IF('Your debts'!$D$20="Avalanche",'Avalanche workings'!$AW$455,'Snowball workings'!$AW$455))</f>
      </c>
      <c r="V453" s="29">
        <f>IF(OR(448&gt;$Z$1,NOT(OR('Your debts'!$B$14&lt;&gt;"",N('Your debts'!$C$14)&gt;0))),"",IF('Your debts'!$D$20="Avalanche",'Avalanche workings'!$T$455,'Snowball workings'!$T$455)+IF('Your debts'!$D$20="Avalanche",'Avalanche workings'!$AN$455,'Snowball workings'!$AN$455))</f>
      </c>
      <c r="W453" s="30">
        <f>IF(OR(448&gt;$Z$1,NOT(OR('Your debts'!$B$14&lt;&gt;"",N('Your debts'!$C$14)&gt;0))),"",IF('Your debts'!$D$20="Avalanche",'Avalanche workings'!$AX$455,'Snowball workings'!$AX$455))</f>
      </c>
      <c r="X453" s="29">
        <f>IF(OR(448&gt;$Z$1,NOT(OR('Your debts'!$B$15&lt;&gt;"",N('Your debts'!$C$15)&gt;0))),"",IF('Your debts'!$D$20="Avalanche",'Avalanche workings'!$U$455,'Snowball workings'!$U$455)+IF('Your debts'!$D$20="Avalanche",'Avalanche workings'!$AO$455,'Snowball workings'!$AO$455))</f>
      </c>
      <c r="Y453" s="30">
        <f>IF(OR(448&gt;$Z$1,NOT(OR('Your debts'!$B$15&lt;&gt;"",N('Your debts'!$C$15)&gt;0))),"",IF('Your debts'!$D$20="Avalanche",'Avalanche workings'!$AY$455,'Snowball workings'!$AY$455))</f>
      </c>
    </row>
    <row r="454" spans="1:25" x14ac:dyDescent="0.25">
      <c r="A454" s="2">
        <f>IF(449&gt;$Z$1,"",449)</f>
      </c>
      <c r="B454" s="28">
        <f>IF(449&gt;$Z$1,"",EDATE('Your debts'!$D$21,448))</f>
      </c>
      <c r="C454" s="29">
        <f>IF(449&gt;$Z$1,"",IF('Your debts'!$D$20="Avalanche",'Avalanche workings'!$BC$456,'Snowball workings'!$BC$456))</f>
      </c>
      <c r="D454" s="29">
        <f>IF(449&gt;$Z$1,"",IF('Your debts'!$D$20="Avalanche",'Avalanche workings'!$BA$456,'Snowball workings'!$BA$456))</f>
      </c>
      <c r="E454" s="29">
        <f>IF(449&gt;$Z$1,"",IF('Your debts'!$D$20="Avalanche",'Avalanche workings'!$BB$456,'Snowball workings'!$BB$456))</f>
      </c>
      <c r="F454" s="29">
        <f>IF(OR(449&gt;$Z$1,NOT(OR('Your debts'!$B$6&lt;&gt;"",N('Your debts'!$C$6)&gt;0))),"",IF('Your debts'!$D$20="Avalanche",'Avalanche workings'!$L$456,'Snowball workings'!$L$456)+IF('Your debts'!$D$20="Avalanche",'Avalanche workings'!$AF$456,'Snowball workings'!$AF$456))</f>
      </c>
      <c r="G454" s="30">
        <f>IF(OR(449&gt;$Z$1,NOT(OR('Your debts'!$B$6&lt;&gt;"",N('Your debts'!$C$6)&gt;0))),"",IF('Your debts'!$D$20="Avalanche",'Avalanche workings'!$AP$456,'Snowball workings'!$AP$456))</f>
      </c>
      <c r="H454" s="29">
        <f>IF(OR(449&gt;$Z$1,NOT(OR('Your debts'!$B$7&lt;&gt;"",N('Your debts'!$C$7)&gt;0))),"",IF('Your debts'!$D$20="Avalanche",'Avalanche workings'!$M$456,'Snowball workings'!$M$456)+IF('Your debts'!$D$20="Avalanche",'Avalanche workings'!$AG$456,'Snowball workings'!$AG$456))</f>
      </c>
      <c r="I454" s="30">
        <f>IF(OR(449&gt;$Z$1,NOT(OR('Your debts'!$B$7&lt;&gt;"",N('Your debts'!$C$7)&gt;0))),"",IF('Your debts'!$D$20="Avalanche",'Avalanche workings'!$AQ$456,'Snowball workings'!$AQ$456))</f>
      </c>
      <c r="J454" s="29">
        <f>IF(OR(449&gt;$Z$1,NOT(OR('Your debts'!$B$8&lt;&gt;"",N('Your debts'!$C$8)&gt;0))),"",IF('Your debts'!$D$20="Avalanche",'Avalanche workings'!$N$456,'Snowball workings'!$N$456)+IF('Your debts'!$D$20="Avalanche",'Avalanche workings'!$AH$456,'Snowball workings'!$AH$456))</f>
      </c>
      <c r="K454" s="30">
        <f>IF(OR(449&gt;$Z$1,NOT(OR('Your debts'!$B$8&lt;&gt;"",N('Your debts'!$C$8)&gt;0))),"",IF('Your debts'!$D$20="Avalanche",'Avalanche workings'!$AR$456,'Snowball workings'!$AR$456))</f>
      </c>
      <c r="L454" s="29">
        <f>IF(OR(449&gt;$Z$1,NOT(OR('Your debts'!$B$9&lt;&gt;"",N('Your debts'!$C$9)&gt;0))),"",IF('Your debts'!$D$20="Avalanche",'Avalanche workings'!$O$456,'Snowball workings'!$O$456)+IF('Your debts'!$D$20="Avalanche",'Avalanche workings'!$AI$456,'Snowball workings'!$AI$456))</f>
      </c>
      <c r="M454" s="30">
        <f>IF(OR(449&gt;$Z$1,NOT(OR('Your debts'!$B$9&lt;&gt;"",N('Your debts'!$C$9)&gt;0))),"",IF('Your debts'!$D$20="Avalanche",'Avalanche workings'!$AS$456,'Snowball workings'!$AS$456))</f>
      </c>
      <c r="N454" s="29">
        <f>IF(OR(449&gt;$Z$1,NOT(OR('Your debts'!$B$10&lt;&gt;"",N('Your debts'!$C$10)&gt;0))),"",IF('Your debts'!$D$20="Avalanche",'Avalanche workings'!$P$456,'Snowball workings'!$P$456)+IF('Your debts'!$D$20="Avalanche",'Avalanche workings'!$AJ$456,'Snowball workings'!$AJ$456))</f>
      </c>
      <c r="O454" s="30">
        <f>IF(OR(449&gt;$Z$1,NOT(OR('Your debts'!$B$10&lt;&gt;"",N('Your debts'!$C$10)&gt;0))),"",IF('Your debts'!$D$20="Avalanche",'Avalanche workings'!$AT$456,'Snowball workings'!$AT$456))</f>
      </c>
      <c r="P454" s="29">
        <f>IF(OR(449&gt;$Z$1,NOT(OR('Your debts'!$B$11&lt;&gt;"",N('Your debts'!$C$11)&gt;0))),"",IF('Your debts'!$D$20="Avalanche",'Avalanche workings'!$Q$456,'Snowball workings'!$Q$456)+IF('Your debts'!$D$20="Avalanche",'Avalanche workings'!$AK$456,'Snowball workings'!$AK$456))</f>
      </c>
      <c r="Q454" s="30">
        <f>IF(OR(449&gt;$Z$1,NOT(OR('Your debts'!$B$11&lt;&gt;"",N('Your debts'!$C$11)&gt;0))),"",IF('Your debts'!$D$20="Avalanche",'Avalanche workings'!$AU$456,'Snowball workings'!$AU$456))</f>
      </c>
      <c r="R454" s="29">
        <f>IF(OR(449&gt;$Z$1,NOT(OR('Your debts'!$B$12&lt;&gt;"",N('Your debts'!$C$12)&gt;0))),"",IF('Your debts'!$D$20="Avalanche",'Avalanche workings'!$R$456,'Snowball workings'!$R$456)+IF('Your debts'!$D$20="Avalanche",'Avalanche workings'!$AL$456,'Snowball workings'!$AL$456))</f>
      </c>
      <c r="S454" s="30">
        <f>IF(OR(449&gt;$Z$1,NOT(OR('Your debts'!$B$12&lt;&gt;"",N('Your debts'!$C$12)&gt;0))),"",IF('Your debts'!$D$20="Avalanche",'Avalanche workings'!$AV$456,'Snowball workings'!$AV$456))</f>
      </c>
      <c r="T454" s="29">
        <f>IF(OR(449&gt;$Z$1,NOT(OR('Your debts'!$B$13&lt;&gt;"",N('Your debts'!$C$13)&gt;0))),"",IF('Your debts'!$D$20="Avalanche",'Avalanche workings'!$S$456,'Snowball workings'!$S$456)+IF('Your debts'!$D$20="Avalanche",'Avalanche workings'!$AM$456,'Snowball workings'!$AM$456))</f>
      </c>
      <c r="U454" s="30">
        <f>IF(OR(449&gt;$Z$1,NOT(OR('Your debts'!$B$13&lt;&gt;"",N('Your debts'!$C$13)&gt;0))),"",IF('Your debts'!$D$20="Avalanche",'Avalanche workings'!$AW$456,'Snowball workings'!$AW$456))</f>
      </c>
      <c r="V454" s="29">
        <f>IF(OR(449&gt;$Z$1,NOT(OR('Your debts'!$B$14&lt;&gt;"",N('Your debts'!$C$14)&gt;0))),"",IF('Your debts'!$D$20="Avalanche",'Avalanche workings'!$T$456,'Snowball workings'!$T$456)+IF('Your debts'!$D$20="Avalanche",'Avalanche workings'!$AN$456,'Snowball workings'!$AN$456))</f>
      </c>
      <c r="W454" s="30">
        <f>IF(OR(449&gt;$Z$1,NOT(OR('Your debts'!$B$14&lt;&gt;"",N('Your debts'!$C$14)&gt;0))),"",IF('Your debts'!$D$20="Avalanche",'Avalanche workings'!$AX$456,'Snowball workings'!$AX$456))</f>
      </c>
      <c r="X454" s="29">
        <f>IF(OR(449&gt;$Z$1,NOT(OR('Your debts'!$B$15&lt;&gt;"",N('Your debts'!$C$15)&gt;0))),"",IF('Your debts'!$D$20="Avalanche",'Avalanche workings'!$U$456,'Snowball workings'!$U$456)+IF('Your debts'!$D$20="Avalanche",'Avalanche workings'!$AO$456,'Snowball workings'!$AO$456))</f>
      </c>
      <c r="Y454" s="30">
        <f>IF(OR(449&gt;$Z$1,NOT(OR('Your debts'!$B$15&lt;&gt;"",N('Your debts'!$C$15)&gt;0))),"",IF('Your debts'!$D$20="Avalanche",'Avalanche workings'!$AY$456,'Snowball workings'!$AY$456))</f>
      </c>
    </row>
    <row r="455" spans="1:25" x14ac:dyDescent="0.25">
      <c r="A455" s="2">
        <f>IF(450&gt;$Z$1,"",450)</f>
      </c>
      <c r="B455" s="28">
        <f>IF(450&gt;$Z$1,"",EDATE('Your debts'!$D$21,449))</f>
      </c>
      <c r="C455" s="29">
        <f>IF(450&gt;$Z$1,"",IF('Your debts'!$D$20="Avalanche",'Avalanche workings'!$BC$457,'Snowball workings'!$BC$457))</f>
      </c>
      <c r="D455" s="29">
        <f>IF(450&gt;$Z$1,"",IF('Your debts'!$D$20="Avalanche",'Avalanche workings'!$BA$457,'Snowball workings'!$BA$457))</f>
      </c>
      <c r="E455" s="29">
        <f>IF(450&gt;$Z$1,"",IF('Your debts'!$D$20="Avalanche",'Avalanche workings'!$BB$457,'Snowball workings'!$BB$457))</f>
      </c>
      <c r="F455" s="29">
        <f>IF(OR(450&gt;$Z$1,NOT(OR('Your debts'!$B$6&lt;&gt;"",N('Your debts'!$C$6)&gt;0))),"",IF('Your debts'!$D$20="Avalanche",'Avalanche workings'!$L$457,'Snowball workings'!$L$457)+IF('Your debts'!$D$20="Avalanche",'Avalanche workings'!$AF$457,'Snowball workings'!$AF$457))</f>
      </c>
      <c r="G455" s="30">
        <f>IF(OR(450&gt;$Z$1,NOT(OR('Your debts'!$B$6&lt;&gt;"",N('Your debts'!$C$6)&gt;0))),"",IF('Your debts'!$D$20="Avalanche",'Avalanche workings'!$AP$457,'Snowball workings'!$AP$457))</f>
      </c>
      <c r="H455" s="29">
        <f>IF(OR(450&gt;$Z$1,NOT(OR('Your debts'!$B$7&lt;&gt;"",N('Your debts'!$C$7)&gt;0))),"",IF('Your debts'!$D$20="Avalanche",'Avalanche workings'!$M$457,'Snowball workings'!$M$457)+IF('Your debts'!$D$20="Avalanche",'Avalanche workings'!$AG$457,'Snowball workings'!$AG$457))</f>
      </c>
      <c r="I455" s="30">
        <f>IF(OR(450&gt;$Z$1,NOT(OR('Your debts'!$B$7&lt;&gt;"",N('Your debts'!$C$7)&gt;0))),"",IF('Your debts'!$D$20="Avalanche",'Avalanche workings'!$AQ$457,'Snowball workings'!$AQ$457))</f>
      </c>
      <c r="J455" s="29">
        <f>IF(OR(450&gt;$Z$1,NOT(OR('Your debts'!$B$8&lt;&gt;"",N('Your debts'!$C$8)&gt;0))),"",IF('Your debts'!$D$20="Avalanche",'Avalanche workings'!$N$457,'Snowball workings'!$N$457)+IF('Your debts'!$D$20="Avalanche",'Avalanche workings'!$AH$457,'Snowball workings'!$AH$457))</f>
      </c>
      <c r="K455" s="30">
        <f>IF(OR(450&gt;$Z$1,NOT(OR('Your debts'!$B$8&lt;&gt;"",N('Your debts'!$C$8)&gt;0))),"",IF('Your debts'!$D$20="Avalanche",'Avalanche workings'!$AR$457,'Snowball workings'!$AR$457))</f>
      </c>
      <c r="L455" s="29">
        <f>IF(OR(450&gt;$Z$1,NOT(OR('Your debts'!$B$9&lt;&gt;"",N('Your debts'!$C$9)&gt;0))),"",IF('Your debts'!$D$20="Avalanche",'Avalanche workings'!$O$457,'Snowball workings'!$O$457)+IF('Your debts'!$D$20="Avalanche",'Avalanche workings'!$AI$457,'Snowball workings'!$AI$457))</f>
      </c>
      <c r="M455" s="30">
        <f>IF(OR(450&gt;$Z$1,NOT(OR('Your debts'!$B$9&lt;&gt;"",N('Your debts'!$C$9)&gt;0))),"",IF('Your debts'!$D$20="Avalanche",'Avalanche workings'!$AS$457,'Snowball workings'!$AS$457))</f>
      </c>
      <c r="N455" s="29">
        <f>IF(OR(450&gt;$Z$1,NOT(OR('Your debts'!$B$10&lt;&gt;"",N('Your debts'!$C$10)&gt;0))),"",IF('Your debts'!$D$20="Avalanche",'Avalanche workings'!$P$457,'Snowball workings'!$P$457)+IF('Your debts'!$D$20="Avalanche",'Avalanche workings'!$AJ$457,'Snowball workings'!$AJ$457))</f>
      </c>
      <c r="O455" s="30">
        <f>IF(OR(450&gt;$Z$1,NOT(OR('Your debts'!$B$10&lt;&gt;"",N('Your debts'!$C$10)&gt;0))),"",IF('Your debts'!$D$20="Avalanche",'Avalanche workings'!$AT$457,'Snowball workings'!$AT$457))</f>
      </c>
      <c r="P455" s="29">
        <f>IF(OR(450&gt;$Z$1,NOT(OR('Your debts'!$B$11&lt;&gt;"",N('Your debts'!$C$11)&gt;0))),"",IF('Your debts'!$D$20="Avalanche",'Avalanche workings'!$Q$457,'Snowball workings'!$Q$457)+IF('Your debts'!$D$20="Avalanche",'Avalanche workings'!$AK$457,'Snowball workings'!$AK$457))</f>
      </c>
      <c r="Q455" s="30">
        <f>IF(OR(450&gt;$Z$1,NOT(OR('Your debts'!$B$11&lt;&gt;"",N('Your debts'!$C$11)&gt;0))),"",IF('Your debts'!$D$20="Avalanche",'Avalanche workings'!$AU$457,'Snowball workings'!$AU$457))</f>
      </c>
      <c r="R455" s="29">
        <f>IF(OR(450&gt;$Z$1,NOT(OR('Your debts'!$B$12&lt;&gt;"",N('Your debts'!$C$12)&gt;0))),"",IF('Your debts'!$D$20="Avalanche",'Avalanche workings'!$R$457,'Snowball workings'!$R$457)+IF('Your debts'!$D$20="Avalanche",'Avalanche workings'!$AL$457,'Snowball workings'!$AL$457))</f>
      </c>
      <c r="S455" s="30">
        <f>IF(OR(450&gt;$Z$1,NOT(OR('Your debts'!$B$12&lt;&gt;"",N('Your debts'!$C$12)&gt;0))),"",IF('Your debts'!$D$20="Avalanche",'Avalanche workings'!$AV$457,'Snowball workings'!$AV$457))</f>
      </c>
      <c r="T455" s="29">
        <f>IF(OR(450&gt;$Z$1,NOT(OR('Your debts'!$B$13&lt;&gt;"",N('Your debts'!$C$13)&gt;0))),"",IF('Your debts'!$D$20="Avalanche",'Avalanche workings'!$S$457,'Snowball workings'!$S$457)+IF('Your debts'!$D$20="Avalanche",'Avalanche workings'!$AM$457,'Snowball workings'!$AM$457))</f>
      </c>
      <c r="U455" s="30">
        <f>IF(OR(450&gt;$Z$1,NOT(OR('Your debts'!$B$13&lt;&gt;"",N('Your debts'!$C$13)&gt;0))),"",IF('Your debts'!$D$20="Avalanche",'Avalanche workings'!$AW$457,'Snowball workings'!$AW$457))</f>
      </c>
      <c r="V455" s="29">
        <f>IF(OR(450&gt;$Z$1,NOT(OR('Your debts'!$B$14&lt;&gt;"",N('Your debts'!$C$14)&gt;0))),"",IF('Your debts'!$D$20="Avalanche",'Avalanche workings'!$T$457,'Snowball workings'!$T$457)+IF('Your debts'!$D$20="Avalanche",'Avalanche workings'!$AN$457,'Snowball workings'!$AN$457))</f>
      </c>
      <c r="W455" s="30">
        <f>IF(OR(450&gt;$Z$1,NOT(OR('Your debts'!$B$14&lt;&gt;"",N('Your debts'!$C$14)&gt;0))),"",IF('Your debts'!$D$20="Avalanche",'Avalanche workings'!$AX$457,'Snowball workings'!$AX$457))</f>
      </c>
      <c r="X455" s="29">
        <f>IF(OR(450&gt;$Z$1,NOT(OR('Your debts'!$B$15&lt;&gt;"",N('Your debts'!$C$15)&gt;0))),"",IF('Your debts'!$D$20="Avalanche",'Avalanche workings'!$U$457,'Snowball workings'!$U$457)+IF('Your debts'!$D$20="Avalanche",'Avalanche workings'!$AO$457,'Snowball workings'!$AO$457))</f>
      </c>
      <c r="Y455" s="30">
        <f>IF(OR(450&gt;$Z$1,NOT(OR('Your debts'!$B$15&lt;&gt;"",N('Your debts'!$C$15)&gt;0))),"",IF('Your debts'!$D$20="Avalanche",'Avalanche workings'!$AY$457,'Snowball workings'!$AY$457))</f>
      </c>
    </row>
    <row r="456" spans="1:25" x14ac:dyDescent="0.25">
      <c r="A456" s="2">
        <f>IF(451&gt;$Z$1,"",451)</f>
      </c>
      <c r="B456" s="28">
        <f>IF(451&gt;$Z$1,"",EDATE('Your debts'!$D$21,450))</f>
      </c>
      <c r="C456" s="29">
        <f>IF(451&gt;$Z$1,"",IF('Your debts'!$D$20="Avalanche",'Avalanche workings'!$BC$458,'Snowball workings'!$BC$458))</f>
      </c>
      <c r="D456" s="29">
        <f>IF(451&gt;$Z$1,"",IF('Your debts'!$D$20="Avalanche",'Avalanche workings'!$BA$458,'Snowball workings'!$BA$458))</f>
      </c>
      <c r="E456" s="29">
        <f>IF(451&gt;$Z$1,"",IF('Your debts'!$D$20="Avalanche",'Avalanche workings'!$BB$458,'Snowball workings'!$BB$458))</f>
      </c>
      <c r="F456" s="29">
        <f>IF(OR(451&gt;$Z$1,NOT(OR('Your debts'!$B$6&lt;&gt;"",N('Your debts'!$C$6)&gt;0))),"",IF('Your debts'!$D$20="Avalanche",'Avalanche workings'!$L$458,'Snowball workings'!$L$458)+IF('Your debts'!$D$20="Avalanche",'Avalanche workings'!$AF$458,'Snowball workings'!$AF$458))</f>
      </c>
      <c r="G456" s="30">
        <f>IF(OR(451&gt;$Z$1,NOT(OR('Your debts'!$B$6&lt;&gt;"",N('Your debts'!$C$6)&gt;0))),"",IF('Your debts'!$D$20="Avalanche",'Avalanche workings'!$AP$458,'Snowball workings'!$AP$458))</f>
      </c>
      <c r="H456" s="29">
        <f>IF(OR(451&gt;$Z$1,NOT(OR('Your debts'!$B$7&lt;&gt;"",N('Your debts'!$C$7)&gt;0))),"",IF('Your debts'!$D$20="Avalanche",'Avalanche workings'!$M$458,'Snowball workings'!$M$458)+IF('Your debts'!$D$20="Avalanche",'Avalanche workings'!$AG$458,'Snowball workings'!$AG$458))</f>
      </c>
      <c r="I456" s="30">
        <f>IF(OR(451&gt;$Z$1,NOT(OR('Your debts'!$B$7&lt;&gt;"",N('Your debts'!$C$7)&gt;0))),"",IF('Your debts'!$D$20="Avalanche",'Avalanche workings'!$AQ$458,'Snowball workings'!$AQ$458))</f>
      </c>
      <c r="J456" s="29">
        <f>IF(OR(451&gt;$Z$1,NOT(OR('Your debts'!$B$8&lt;&gt;"",N('Your debts'!$C$8)&gt;0))),"",IF('Your debts'!$D$20="Avalanche",'Avalanche workings'!$N$458,'Snowball workings'!$N$458)+IF('Your debts'!$D$20="Avalanche",'Avalanche workings'!$AH$458,'Snowball workings'!$AH$458))</f>
      </c>
      <c r="K456" s="30">
        <f>IF(OR(451&gt;$Z$1,NOT(OR('Your debts'!$B$8&lt;&gt;"",N('Your debts'!$C$8)&gt;0))),"",IF('Your debts'!$D$20="Avalanche",'Avalanche workings'!$AR$458,'Snowball workings'!$AR$458))</f>
      </c>
      <c r="L456" s="29">
        <f>IF(OR(451&gt;$Z$1,NOT(OR('Your debts'!$B$9&lt;&gt;"",N('Your debts'!$C$9)&gt;0))),"",IF('Your debts'!$D$20="Avalanche",'Avalanche workings'!$O$458,'Snowball workings'!$O$458)+IF('Your debts'!$D$20="Avalanche",'Avalanche workings'!$AI$458,'Snowball workings'!$AI$458))</f>
      </c>
      <c r="M456" s="30">
        <f>IF(OR(451&gt;$Z$1,NOT(OR('Your debts'!$B$9&lt;&gt;"",N('Your debts'!$C$9)&gt;0))),"",IF('Your debts'!$D$20="Avalanche",'Avalanche workings'!$AS$458,'Snowball workings'!$AS$458))</f>
      </c>
      <c r="N456" s="29">
        <f>IF(OR(451&gt;$Z$1,NOT(OR('Your debts'!$B$10&lt;&gt;"",N('Your debts'!$C$10)&gt;0))),"",IF('Your debts'!$D$20="Avalanche",'Avalanche workings'!$P$458,'Snowball workings'!$P$458)+IF('Your debts'!$D$20="Avalanche",'Avalanche workings'!$AJ$458,'Snowball workings'!$AJ$458))</f>
      </c>
      <c r="O456" s="30">
        <f>IF(OR(451&gt;$Z$1,NOT(OR('Your debts'!$B$10&lt;&gt;"",N('Your debts'!$C$10)&gt;0))),"",IF('Your debts'!$D$20="Avalanche",'Avalanche workings'!$AT$458,'Snowball workings'!$AT$458))</f>
      </c>
      <c r="P456" s="29">
        <f>IF(OR(451&gt;$Z$1,NOT(OR('Your debts'!$B$11&lt;&gt;"",N('Your debts'!$C$11)&gt;0))),"",IF('Your debts'!$D$20="Avalanche",'Avalanche workings'!$Q$458,'Snowball workings'!$Q$458)+IF('Your debts'!$D$20="Avalanche",'Avalanche workings'!$AK$458,'Snowball workings'!$AK$458))</f>
      </c>
      <c r="Q456" s="30">
        <f>IF(OR(451&gt;$Z$1,NOT(OR('Your debts'!$B$11&lt;&gt;"",N('Your debts'!$C$11)&gt;0))),"",IF('Your debts'!$D$20="Avalanche",'Avalanche workings'!$AU$458,'Snowball workings'!$AU$458))</f>
      </c>
      <c r="R456" s="29">
        <f>IF(OR(451&gt;$Z$1,NOT(OR('Your debts'!$B$12&lt;&gt;"",N('Your debts'!$C$12)&gt;0))),"",IF('Your debts'!$D$20="Avalanche",'Avalanche workings'!$R$458,'Snowball workings'!$R$458)+IF('Your debts'!$D$20="Avalanche",'Avalanche workings'!$AL$458,'Snowball workings'!$AL$458))</f>
      </c>
      <c r="S456" s="30">
        <f>IF(OR(451&gt;$Z$1,NOT(OR('Your debts'!$B$12&lt;&gt;"",N('Your debts'!$C$12)&gt;0))),"",IF('Your debts'!$D$20="Avalanche",'Avalanche workings'!$AV$458,'Snowball workings'!$AV$458))</f>
      </c>
      <c r="T456" s="29">
        <f>IF(OR(451&gt;$Z$1,NOT(OR('Your debts'!$B$13&lt;&gt;"",N('Your debts'!$C$13)&gt;0))),"",IF('Your debts'!$D$20="Avalanche",'Avalanche workings'!$S$458,'Snowball workings'!$S$458)+IF('Your debts'!$D$20="Avalanche",'Avalanche workings'!$AM$458,'Snowball workings'!$AM$458))</f>
      </c>
      <c r="U456" s="30">
        <f>IF(OR(451&gt;$Z$1,NOT(OR('Your debts'!$B$13&lt;&gt;"",N('Your debts'!$C$13)&gt;0))),"",IF('Your debts'!$D$20="Avalanche",'Avalanche workings'!$AW$458,'Snowball workings'!$AW$458))</f>
      </c>
      <c r="V456" s="29">
        <f>IF(OR(451&gt;$Z$1,NOT(OR('Your debts'!$B$14&lt;&gt;"",N('Your debts'!$C$14)&gt;0))),"",IF('Your debts'!$D$20="Avalanche",'Avalanche workings'!$T$458,'Snowball workings'!$T$458)+IF('Your debts'!$D$20="Avalanche",'Avalanche workings'!$AN$458,'Snowball workings'!$AN$458))</f>
      </c>
      <c r="W456" s="30">
        <f>IF(OR(451&gt;$Z$1,NOT(OR('Your debts'!$B$14&lt;&gt;"",N('Your debts'!$C$14)&gt;0))),"",IF('Your debts'!$D$20="Avalanche",'Avalanche workings'!$AX$458,'Snowball workings'!$AX$458))</f>
      </c>
      <c r="X456" s="29">
        <f>IF(OR(451&gt;$Z$1,NOT(OR('Your debts'!$B$15&lt;&gt;"",N('Your debts'!$C$15)&gt;0))),"",IF('Your debts'!$D$20="Avalanche",'Avalanche workings'!$U$458,'Snowball workings'!$U$458)+IF('Your debts'!$D$20="Avalanche",'Avalanche workings'!$AO$458,'Snowball workings'!$AO$458))</f>
      </c>
      <c r="Y456" s="30">
        <f>IF(OR(451&gt;$Z$1,NOT(OR('Your debts'!$B$15&lt;&gt;"",N('Your debts'!$C$15)&gt;0))),"",IF('Your debts'!$D$20="Avalanche",'Avalanche workings'!$AY$458,'Snowball workings'!$AY$458))</f>
      </c>
    </row>
    <row r="457" spans="1:25" x14ac:dyDescent="0.25">
      <c r="A457" s="2">
        <f>IF(452&gt;$Z$1,"",452)</f>
      </c>
      <c r="B457" s="28">
        <f>IF(452&gt;$Z$1,"",EDATE('Your debts'!$D$21,451))</f>
      </c>
      <c r="C457" s="29">
        <f>IF(452&gt;$Z$1,"",IF('Your debts'!$D$20="Avalanche",'Avalanche workings'!$BC$459,'Snowball workings'!$BC$459))</f>
      </c>
      <c r="D457" s="29">
        <f>IF(452&gt;$Z$1,"",IF('Your debts'!$D$20="Avalanche",'Avalanche workings'!$BA$459,'Snowball workings'!$BA$459))</f>
      </c>
      <c r="E457" s="29">
        <f>IF(452&gt;$Z$1,"",IF('Your debts'!$D$20="Avalanche",'Avalanche workings'!$BB$459,'Snowball workings'!$BB$459))</f>
      </c>
      <c r="F457" s="29">
        <f>IF(OR(452&gt;$Z$1,NOT(OR('Your debts'!$B$6&lt;&gt;"",N('Your debts'!$C$6)&gt;0))),"",IF('Your debts'!$D$20="Avalanche",'Avalanche workings'!$L$459,'Snowball workings'!$L$459)+IF('Your debts'!$D$20="Avalanche",'Avalanche workings'!$AF$459,'Snowball workings'!$AF$459))</f>
      </c>
      <c r="G457" s="30">
        <f>IF(OR(452&gt;$Z$1,NOT(OR('Your debts'!$B$6&lt;&gt;"",N('Your debts'!$C$6)&gt;0))),"",IF('Your debts'!$D$20="Avalanche",'Avalanche workings'!$AP$459,'Snowball workings'!$AP$459))</f>
      </c>
      <c r="H457" s="29">
        <f>IF(OR(452&gt;$Z$1,NOT(OR('Your debts'!$B$7&lt;&gt;"",N('Your debts'!$C$7)&gt;0))),"",IF('Your debts'!$D$20="Avalanche",'Avalanche workings'!$M$459,'Snowball workings'!$M$459)+IF('Your debts'!$D$20="Avalanche",'Avalanche workings'!$AG$459,'Snowball workings'!$AG$459))</f>
      </c>
      <c r="I457" s="30">
        <f>IF(OR(452&gt;$Z$1,NOT(OR('Your debts'!$B$7&lt;&gt;"",N('Your debts'!$C$7)&gt;0))),"",IF('Your debts'!$D$20="Avalanche",'Avalanche workings'!$AQ$459,'Snowball workings'!$AQ$459))</f>
      </c>
      <c r="J457" s="29">
        <f>IF(OR(452&gt;$Z$1,NOT(OR('Your debts'!$B$8&lt;&gt;"",N('Your debts'!$C$8)&gt;0))),"",IF('Your debts'!$D$20="Avalanche",'Avalanche workings'!$N$459,'Snowball workings'!$N$459)+IF('Your debts'!$D$20="Avalanche",'Avalanche workings'!$AH$459,'Snowball workings'!$AH$459))</f>
      </c>
      <c r="K457" s="30">
        <f>IF(OR(452&gt;$Z$1,NOT(OR('Your debts'!$B$8&lt;&gt;"",N('Your debts'!$C$8)&gt;0))),"",IF('Your debts'!$D$20="Avalanche",'Avalanche workings'!$AR$459,'Snowball workings'!$AR$459))</f>
      </c>
      <c r="L457" s="29">
        <f>IF(OR(452&gt;$Z$1,NOT(OR('Your debts'!$B$9&lt;&gt;"",N('Your debts'!$C$9)&gt;0))),"",IF('Your debts'!$D$20="Avalanche",'Avalanche workings'!$O$459,'Snowball workings'!$O$459)+IF('Your debts'!$D$20="Avalanche",'Avalanche workings'!$AI$459,'Snowball workings'!$AI$459))</f>
      </c>
      <c r="M457" s="30">
        <f>IF(OR(452&gt;$Z$1,NOT(OR('Your debts'!$B$9&lt;&gt;"",N('Your debts'!$C$9)&gt;0))),"",IF('Your debts'!$D$20="Avalanche",'Avalanche workings'!$AS$459,'Snowball workings'!$AS$459))</f>
      </c>
      <c r="N457" s="29">
        <f>IF(OR(452&gt;$Z$1,NOT(OR('Your debts'!$B$10&lt;&gt;"",N('Your debts'!$C$10)&gt;0))),"",IF('Your debts'!$D$20="Avalanche",'Avalanche workings'!$P$459,'Snowball workings'!$P$459)+IF('Your debts'!$D$20="Avalanche",'Avalanche workings'!$AJ$459,'Snowball workings'!$AJ$459))</f>
      </c>
      <c r="O457" s="30">
        <f>IF(OR(452&gt;$Z$1,NOT(OR('Your debts'!$B$10&lt;&gt;"",N('Your debts'!$C$10)&gt;0))),"",IF('Your debts'!$D$20="Avalanche",'Avalanche workings'!$AT$459,'Snowball workings'!$AT$459))</f>
      </c>
      <c r="P457" s="29">
        <f>IF(OR(452&gt;$Z$1,NOT(OR('Your debts'!$B$11&lt;&gt;"",N('Your debts'!$C$11)&gt;0))),"",IF('Your debts'!$D$20="Avalanche",'Avalanche workings'!$Q$459,'Snowball workings'!$Q$459)+IF('Your debts'!$D$20="Avalanche",'Avalanche workings'!$AK$459,'Snowball workings'!$AK$459))</f>
      </c>
      <c r="Q457" s="30">
        <f>IF(OR(452&gt;$Z$1,NOT(OR('Your debts'!$B$11&lt;&gt;"",N('Your debts'!$C$11)&gt;0))),"",IF('Your debts'!$D$20="Avalanche",'Avalanche workings'!$AU$459,'Snowball workings'!$AU$459))</f>
      </c>
      <c r="R457" s="29">
        <f>IF(OR(452&gt;$Z$1,NOT(OR('Your debts'!$B$12&lt;&gt;"",N('Your debts'!$C$12)&gt;0))),"",IF('Your debts'!$D$20="Avalanche",'Avalanche workings'!$R$459,'Snowball workings'!$R$459)+IF('Your debts'!$D$20="Avalanche",'Avalanche workings'!$AL$459,'Snowball workings'!$AL$459))</f>
      </c>
      <c r="S457" s="30">
        <f>IF(OR(452&gt;$Z$1,NOT(OR('Your debts'!$B$12&lt;&gt;"",N('Your debts'!$C$12)&gt;0))),"",IF('Your debts'!$D$20="Avalanche",'Avalanche workings'!$AV$459,'Snowball workings'!$AV$459))</f>
      </c>
      <c r="T457" s="29">
        <f>IF(OR(452&gt;$Z$1,NOT(OR('Your debts'!$B$13&lt;&gt;"",N('Your debts'!$C$13)&gt;0))),"",IF('Your debts'!$D$20="Avalanche",'Avalanche workings'!$S$459,'Snowball workings'!$S$459)+IF('Your debts'!$D$20="Avalanche",'Avalanche workings'!$AM$459,'Snowball workings'!$AM$459))</f>
      </c>
      <c r="U457" s="30">
        <f>IF(OR(452&gt;$Z$1,NOT(OR('Your debts'!$B$13&lt;&gt;"",N('Your debts'!$C$13)&gt;0))),"",IF('Your debts'!$D$20="Avalanche",'Avalanche workings'!$AW$459,'Snowball workings'!$AW$459))</f>
      </c>
      <c r="V457" s="29">
        <f>IF(OR(452&gt;$Z$1,NOT(OR('Your debts'!$B$14&lt;&gt;"",N('Your debts'!$C$14)&gt;0))),"",IF('Your debts'!$D$20="Avalanche",'Avalanche workings'!$T$459,'Snowball workings'!$T$459)+IF('Your debts'!$D$20="Avalanche",'Avalanche workings'!$AN$459,'Snowball workings'!$AN$459))</f>
      </c>
      <c r="W457" s="30">
        <f>IF(OR(452&gt;$Z$1,NOT(OR('Your debts'!$B$14&lt;&gt;"",N('Your debts'!$C$14)&gt;0))),"",IF('Your debts'!$D$20="Avalanche",'Avalanche workings'!$AX$459,'Snowball workings'!$AX$459))</f>
      </c>
      <c r="X457" s="29">
        <f>IF(OR(452&gt;$Z$1,NOT(OR('Your debts'!$B$15&lt;&gt;"",N('Your debts'!$C$15)&gt;0))),"",IF('Your debts'!$D$20="Avalanche",'Avalanche workings'!$U$459,'Snowball workings'!$U$459)+IF('Your debts'!$D$20="Avalanche",'Avalanche workings'!$AO$459,'Snowball workings'!$AO$459))</f>
      </c>
      <c r="Y457" s="30">
        <f>IF(OR(452&gt;$Z$1,NOT(OR('Your debts'!$B$15&lt;&gt;"",N('Your debts'!$C$15)&gt;0))),"",IF('Your debts'!$D$20="Avalanche",'Avalanche workings'!$AY$459,'Snowball workings'!$AY$459))</f>
      </c>
    </row>
    <row r="458" spans="1:25" x14ac:dyDescent="0.25">
      <c r="A458" s="2">
        <f>IF(453&gt;$Z$1,"",453)</f>
      </c>
      <c r="B458" s="28">
        <f>IF(453&gt;$Z$1,"",EDATE('Your debts'!$D$21,452))</f>
      </c>
      <c r="C458" s="29">
        <f>IF(453&gt;$Z$1,"",IF('Your debts'!$D$20="Avalanche",'Avalanche workings'!$BC$460,'Snowball workings'!$BC$460))</f>
      </c>
      <c r="D458" s="29">
        <f>IF(453&gt;$Z$1,"",IF('Your debts'!$D$20="Avalanche",'Avalanche workings'!$BA$460,'Snowball workings'!$BA$460))</f>
      </c>
      <c r="E458" s="29">
        <f>IF(453&gt;$Z$1,"",IF('Your debts'!$D$20="Avalanche",'Avalanche workings'!$BB$460,'Snowball workings'!$BB$460))</f>
      </c>
      <c r="F458" s="29">
        <f>IF(OR(453&gt;$Z$1,NOT(OR('Your debts'!$B$6&lt;&gt;"",N('Your debts'!$C$6)&gt;0))),"",IF('Your debts'!$D$20="Avalanche",'Avalanche workings'!$L$460,'Snowball workings'!$L$460)+IF('Your debts'!$D$20="Avalanche",'Avalanche workings'!$AF$460,'Snowball workings'!$AF$460))</f>
      </c>
      <c r="G458" s="30">
        <f>IF(OR(453&gt;$Z$1,NOT(OR('Your debts'!$B$6&lt;&gt;"",N('Your debts'!$C$6)&gt;0))),"",IF('Your debts'!$D$20="Avalanche",'Avalanche workings'!$AP$460,'Snowball workings'!$AP$460))</f>
      </c>
      <c r="H458" s="29">
        <f>IF(OR(453&gt;$Z$1,NOT(OR('Your debts'!$B$7&lt;&gt;"",N('Your debts'!$C$7)&gt;0))),"",IF('Your debts'!$D$20="Avalanche",'Avalanche workings'!$M$460,'Snowball workings'!$M$460)+IF('Your debts'!$D$20="Avalanche",'Avalanche workings'!$AG$460,'Snowball workings'!$AG$460))</f>
      </c>
      <c r="I458" s="30">
        <f>IF(OR(453&gt;$Z$1,NOT(OR('Your debts'!$B$7&lt;&gt;"",N('Your debts'!$C$7)&gt;0))),"",IF('Your debts'!$D$20="Avalanche",'Avalanche workings'!$AQ$460,'Snowball workings'!$AQ$460))</f>
      </c>
      <c r="J458" s="29">
        <f>IF(OR(453&gt;$Z$1,NOT(OR('Your debts'!$B$8&lt;&gt;"",N('Your debts'!$C$8)&gt;0))),"",IF('Your debts'!$D$20="Avalanche",'Avalanche workings'!$N$460,'Snowball workings'!$N$460)+IF('Your debts'!$D$20="Avalanche",'Avalanche workings'!$AH$460,'Snowball workings'!$AH$460))</f>
      </c>
      <c r="K458" s="30">
        <f>IF(OR(453&gt;$Z$1,NOT(OR('Your debts'!$B$8&lt;&gt;"",N('Your debts'!$C$8)&gt;0))),"",IF('Your debts'!$D$20="Avalanche",'Avalanche workings'!$AR$460,'Snowball workings'!$AR$460))</f>
      </c>
      <c r="L458" s="29">
        <f>IF(OR(453&gt;$Z$1,NOT(OR('Your debts'!$B$9&lt;&gt;"",N('Your debts'!$C$9)&gt;0))),"",IF('Your debts'!$D$20="Avalanche",'Avalanche workings'!$O$460,'Snowball workings'!$O$460)+IF('Your debts'!$D$20="Avalanche",'Avalanche workings'!$AI$460,'Snowball workings'!$AI$460))</f>
      </c>
      <c r="M458" s="30">
        <f>IF(OR(453&gt;$Z$1,NOT(OR('Your debts'!$B$9&lt;&gt;"",N('Your debts'!$C$9)&gt;0))),"",IF('Your debts'!$D$20="Avalanche",'Avalanche workings'!$AS$460,'Snowball workings'!$AS$460))</f>
      </c>
      <c r="N458" s="29">
        <f>IF(OR(453&gt;$Z$1,NOT(OR('Your debts'!$B$10&lt;&gt;"",N('Your debts'!$C$10)&gt;0))),"",IF('Your debts'!$D$20="Avalanche",'Avalanche workings'!$P$460,'Snowball workings'!$P$460)+IF('Your debts'!$D$20="Avalanche",'Avalanche workings'!$AJ$460,'Snowball workings'!$AJ$460))</f>
      </c>
      <c r="O458" s="30">
        <f>IF(OR(453&gt;$Z$1,NOT(OR('Your debts'!$B$10&lt;&gt;"",N('Your debts'!$C$10)&gt;0))),"",IF('Your debts'!$D$20="Avalanche",'Avalanche workings'!$AT$460,'Snowball workings'!$AT$460))</f>
      </c>
      <c r="P458" s="29">
        <f>IF(OR(453&gt;$Z$1,NOT(OR('Your debts'!$B$11&lt;&gt;"",N('Your debts'!$C$11)&gt;0))),"",IF('Your debts'!$D$20="Avalanche",'Avalanche workings'!$Q$460,'Snowball workings'!$Q$460)+IF('Your debts'!$D$20="Avalanche",'Avalanche workings'!$AK$460,'Snowball workings'!$AK$460))</f>
      </c>
      <c r="Q458" s="30">
        <f>IF(OR(453&gt;$Z$1,NOT(OR('Your debts'!$B$11&lt;&gt;"",N('Your debts'!$C$11)&gt;0))),"",IF('Your debts'!$D$20="Avalanche",'Avalanche workings'!$AU$460,'Snowball workings'!$AU$460))</f>
      </c>
      <c r="R458" s="29">
        <f>IF(OR(453&gt;$Z$1,NOT(OR('Your debts'!$B$12&lt;&gt;"",N('Your debts'!$C$12)&gt;0))),"",IF('Your debts'!$D$20="Avalanche",'Avalanche workings'!$R$460,'Snowball workings'!$R$460)+IF('Your debts'!$D$20="Avalanche",'Avalanche workings'!$AL$460,'Snowball workings'!$AL$460))</f>
      </c>
      <c r="S458" s="30">
        <f>IF(OR(453&gt;$Z$1,NOT(OR('Your debts'!$B$12&lt;&gt;"",N('Your debts'!$C$12)&gt;0))),"",IF('Your debts'!$D$20="Avalanche",'Avalanche workings'!$AV$460,'Snowball workings'!$AV$460))</f>
      </c>
      <c r="T458" s="29">
        <f>IF(OR(453&gt;$Z$1,NOT(OR('Your debts'!$B$13&lt;&gt;"",N('Your debts'!$C$13)&gt;0))),"",IF('Your debts'!$D$20="Avalanche",'Avalanche workings'!$S$460,'Snowball workings'!$S$460)+IF('Your debts'!$D$20="Avalanche",'Avalanche workings'!$AM$460,'Snowball workings'!$AM$460))</f>
      </c>
      <c r="U458" s="30">
        <f>IF(OR(453&gt;$Z$1,NOT(OR('Your debts'!$B$13&lt;&gt;"",N('Your debts'!$C$13)&gt;0))),"",IF('Your debts'!$D$20="Avalanche",'Avalanche workings'!$AW$460,'Snowball workings'!$AW$460))</f>
      </c>
      <c r="V458" s="29">
        <f>IF(OR(453&gt;$Z$1,NOT(OR('Your debts'!$B$14&lt;&gt;"",N('Your debts'!$C$14)&gt;0))),"",IF('Your debts'!$D$20="Avalanche",'Avalanche workings'!$T$460,'Snowball workings'!$T$460)+IF('Your debts'!$D$20="Avalanche",'Avalanche workings'!$AN$460,'Snowball workings'!$AN$460))</f>
      </c>
      <c r="W458" s="30">
        <f>IF(OR(453&gt;$Z$1,NOT(OR('Your debts'!$B$14&lt;&gt;"",N('Your debts'!$C$14)&gt;0))),"",IF('Your debts'!$D$20="Avalanche",'Avalanche workings'!$AX$460,'Snowball workings'!$AX$460))</f>
      </c>
      <c r="X458" s="29">
        <f>IF(OR(453&gt;$Z$1,NOT(OR('Your debts'!$B$15&lt;&gt;"",N('Your debts'!$C$15)&gt;0))),"",IF('Your debts'!$D$20="Avalanche",'Avalanche workings'!$U$460,'Snowball workings'!$U$460)+IF('Your debts'!$D$20="Avalanche",'Avalanche workings'!$AO$460,'Snowball workings'!$AO$460))</f>
      </c>
      <c r="Y458" s="30">
        <f>IF(OR(453&gt;$Z$1,NOT(OR('Your debts'!$B$15&lt;&gt;"",N('Your debts'!$C$15)&gt;0))),"",IF('Your debts'!$D$20="Avalanche",'Avalanche workings'!$AY$460,'Snowball workings'!$AY$460))</f>
      </c>
    </row>
    <row r="459" spans="1:25" x14ac:dyDescent="0.25">
      <c r="A459" s="2">
        <f>IF(454&gt;$Z$1,"",454)</f>
      </c>
      <c r="B459" s="28">
        <f>IF(454&gt;$Z$1,"",EDATE('Your debts'!$D$21,453))</f>
      </c>
      <c r="C459" s="29">
        <f>IF(454&gt;$Z$1,"",IF('Your debts'!$D$20="Avalanche",'Avalanche workings'!$BC$461,'Snowball workings'!$BC$461))</f>
      </c>
      <c r="D459" s="29">
        <f>IF(454&gt;$Z$1,"",IF('Your debts'!$D$20="Avalanche",'Avalanche workings'!$BA$461,'Snowball workings'!$BA$461))</f>
      </c>
      <c r="E459" s="29">
        <f>IF(454&gt;$Z$1,"",IF('Your debts'!$D$20="Avalanche",'Avalanche workings'!$BB$461,'Snowball workings'!$BB$461))</f>
      </c>
      <c r="F459" s="29">
        <f>IF(OR(454&gt;$Z$1,NOT(OR('Your debts'!$B$6&lt;&gt;"",N('Your debts'!$C$6)&gt;0))),"",IF('Your debts'!$D$20="Avalanche",'Avalanche workings'!$L$461,'Snowball workings'!$L$461)+IF('Your debts'!$D$20="Avalanche",'Avalanche workings'!$AF$461,'Snowball workings'!$AF$461))</f>
      </c>
      <c r="G459" s="30">
        <f>IF(OR(454&gt;$Z$1,NOT(OR('Your debts'!$B$6&lt;&gt;"",N('Your debts'!$C$6)&gt;0))),"",IF('Your debts'!$D$20="Avalanche",'Avalanche workings'!$AP$461,'Snowball workings'!$AP$461))</f>
      </c>
      <c r="H459" s="29">
        <f>IF(OR(454&gt;$Z$1,NOT(OR('Your debts'!$B$7&lt;&gt;"",N('Your debts'!$C$7)&gt;0))),"",IF('Your debts'!$D$20="Avalanche",'Avalanche workings'!$M$461,'Snowball workings'!$M$461)+IF('Your debts'!$D$20="Avalanche",'Avalanche workings'!$AG$461,'Snowball workings'!$AG$461))</f>
      </c>
      <c r="I459" s="30">
        <f>IF(OR(454&gt;$Z$1,NOT(OR('Your debts'!$B$7&lt;&gt;"",N('Your debts'!$C$7)&gt;0))),"",IF('Your debts'!$D$20="Avalanche",'Avalanche workings'!$AQ$461,'Snowball workings'!$AQ$461))</f>
      </c>
      <c r="J459" s="29">
        <f>IF(OR(454&gt;$Z$1,NOT(OR('Your debts'!$B$8&lt;&gt;"",N('Your debts'!$C$8)&gt;0))),"",IF('Your debts'!$D$20="Avalanche",'Avalanche workings'!$N$461,'Snowball workings'!$N$461)+IF('Your debts'!$D$20="Avalanche",'Avalanche workings'!$AH$461,'Snowball workings'!$AH$461))</f>
      </c>
      <c r="K459" s="30">
        <f>IF(OR(454&gt;$Z$1,NOT(OR('Your debts'!$B$8&lt;&gt;"",N('Your debts'!$C$8)&gt;0))),"",IF('Your debts'!$D$20="Avalanche",'Avalanche workings'!$AR$461,'Snowball workings'!$AR$461))</f>
      </c>
      <c r="L459" s="29">
        <f>IF(OR(454&gt;$Z$1,NOT(OR('Your debts'!$B$9&lt;&gt;"",N('Your debts'!$C$9)&gt;0))),"",IF('Your debts'!$D$20="Avalanche",'Avalanche workings'!$O$461,'Snowball workings'!$O$461)+IF('Your debts'!$D$20="Avalanche",'Avalanche workings'!$AI$461,'Snowball workings'!$AI$461))</f>
      </c>
      <c r="M459" s="30">
        <f>IF(OR(454&gt;$Z$1,NOT(OR('Your debts'!$B$9&lt;&gt;"",N('Your debts'!$C$9)&gt;0))),"",IF('Your debts'!$D$20="Avalanche",'Avalanche workings'!$AS$461,'Snowball workings'!$AS$461))</f>
      </c>
      <c r="N459" s="29">
        <f>IF(OR(454&gt;$Z$1,NOT(OR('Your debts'!$B$10&lt;&gt;"",N('Your debts'!$C$10)&gt;0))),"",IF('Your debts'!$D$20="Avalanche",'Avalanche workings'!$P$461,'Snowball workings'!$P$461)+IF('Your debts'!$D$20="Avalanche",'Avalanche workings'!$AJ$461,'Snowball workings'!$AJ$461))</f>
      </c>
      <c r="O459" s="30">
        <f>IF(OR(454&gt;$Z$1,NOT(OR('Your debts'!$B$10&lt;&gt;"",N('Your debts'!$C$10)&gt;0))),"",IF('Your debts'!$D$20="Avalanche",'Avalanche workings'!$AT$461,'Snowball workings'!$AT$461))</f>
      </c>
      <c r="P459" s="29">
        <f>IF(OR(454&gt;$Z$1,NOT(OR('Your debts'!$B$11&lt;&gt;"",N('Your debts'!$C$11)&gt;0))),"",IF('Your debts'!$D$20="Avalanche",'Avalanche workings'!$Q$461,'Snowball workings'!$Q$461)+IF('Your debts'!$D$20="Avalanche",'Avalanche workings'!$AK$461,'Snowball workings'!$AK$461))</f>
      </c>
      <c r="Q459" s="30">
        <f>IF(OR(454&gt;$Z$1,NOT(OR('Your debts'!$B$11&lt;&gt;"",N('Your debts'!$C$11)&gt;0))),"",IF('Your debts'!$D$20="Avalanche",'Avalanche workings'!$AU$461,'Snowball workings'!$AU$461))</f>
      </c>
      <c r="R459" s="29">
        <f>IF(OR(454&gt;$Z$1,NOT(OR('Your debts'!$B$12&lt;&gt;"",N('Your debts'!$C$12)&gt;0))),"",IF('Your debts'!$D$20="Avalanche",'Avalanche workings'!$R$461,'Snowball workings'!$R$461)+IF('Your debts'!$D$20="Avalanche",'Avalanche workings'!$AL$461,'Snowball workings'!$AL$461))</f>
      </c>
      <c r="S459" s="30">
        <f>IF(OR(454&gt;$Z$1,NOT(OR('Your debts'!$B$12&lt;&gt;"",N('Your debts'!$C$12)&gt;0))),"",IF('Your debts'!$D$20="Avalanche",'Avalanche workings'!$AV$461,'Snowball workings'!$AV$461))</f>
      </c>
      <c r="T459" s="29">
        <f>IF(OR(454&gt;$Z$1,NOT(OR('Your debts'!$B$13&lt;&gt;"",N('Your debts'!$C$13)&gt;0))),"",IF('Your debts'!$D$20="Avalanche",'Avalanche workings'!$S$461,'Snowball workings'!$S$461)+IF('Your debts'!$D$20="Avalanche",'Avalanche workings'!$AM$461,'Snowball workings'!$AM$461))</f>
      </c>
      <c r="U459" s="30">
        <f>IF(OR(454&gt;$Z$1,NOT(OR('Your debts'!$B$13&lt;&gt;"",N('Your debts'!$C$13)&gt;0))),"",IF('Your debts'!$D$20="Avalanche",'Avalanche workings'!$AW$461,'Snowball workings'!$AW$461))</f>
      </c>
      <c r="V459" s="29">
        <f>IF(OR(454&gt;$Z$1,NOT(OR('Your debts'!$B$14&lt;&gt;"",N('Your debts'!$C$14)&gt;0))),"",IF('Your debts'!$D$20="Avalanche",'Avalanche workings'!$T$461,'Snowball workings'!$T$461)+IF('Your debts'!$D$20="Avalanche",'Avalanche workings'!$AN$461,'Snowball workings'!$AN$461))</f>
      </c>
      <c r="W459" s="30">
        <f>IF(OR(454&gt;$Z$1,NOT(OR('Your debts'!$B$14&lt;&gt;"",N('Your debts'!$C$14)&gt;0))),"",IF('Your debts'!$D$20="Avalanche",'Avalanche workings'!$AX$461,'Snowball workings'!$AX$461))</f>
      </c>
      <c r="X459" s="29">
        <f>IF(OR(454&gt;$Z$1,NOT(OR('Your debts'!$B$15&lt;&gt;"",N('Your debts'!$C$15)&gt;0))),"",IF('Your debts'!$D$20="Avalanche",'Avalanche workings'!$U$461,'Snowball workings'!$U$461)+IF('Your debts'!$D$20="Avalanche",'Avalanche workings'!$AO$461,'Snowball workings'!$AO$461))</f>
      </c>
      <c r="Y459" s="30">
        <f>IF(OR(454&gt;$Z$1,NOT(OR('Your debts'!$B$15&lt;&gt;"",N('Your debts'!$C$15)&gt;0))),"",IF('Your debts'!$D$20="Avalanche",'Avalanche workings'!$AY$461,'Snowball workings'!$AY$461))</f>
      </c>
    </row>
    <row r="460" spans="1:25" x14ac:dyDescent="0.25">
      <c r="A460" s="2">
        <f>IF(455&gt;$Z$1,"",455)</f>
      </c>
      <c r="B460" s="28">
        <f>IF(455&gt;$Z$1,"",EDATE('Your debts'!$D$21,454))</f>
      </c>
      <c r="C460" s="29">
        <f>IF(455&gt;$Z$1,"",IF('Your debts'!$D$20="Avalanche",'Avalanche workings'!$BC$462,'Snowball workings'!$BC$462))</f>
      </c>
      <c r="D460" s="29">
        <f>IF(455&gt;$Z$1,"",IF('Your debts'!$D$20="Avalanche",'Avalanche workings'!$BA$462,'Snowball workings'!$BA$462))</f>
      </c>
      <c r="E460" s="29">
        <f>IF(455&gt;$Z$1,"",IF('Your debts'!$D$20="Avalanche",'Avalanche workings'!$BB$462,'Snowball workings'!$BB$462))</f>
      </c>
      <c r="F460" s="29">
        <f>IF(OR(455&gt;$Z$1,NOT(OR('Your debts'!$B$6&lt;&gt;"",N('Your debts'!$C$6)&gt;0))),"",IF('Your debts'!$D$20="Avalanche",'Avalanche workings'!$L$462,'Snowball workings'!$L$462)+IF('Your debts'!$D$20="Avalanche",'Avalanche workings'!$AF$462,'Snowball workings'!$AF$462))</f>
      </c>
      <c r="G460" s="30">
        <f>IF(OR(455&gt;$Z$1,NOT(OR('Your debts'!$B$6&lt;&gt;"",N('Your debts'!$C$6)&gt;0))),"",IF('Your debts'!$D$20="Avalanche",'Avalanche workings'!$AP$462,'Snowball workings'!$AP$462))</f>
      </c>
      <c r="H460" s="29">
        <f>IF(OR(455&gt;$Z$1,NOT(OR('Your debts'!$B$7&lt;&gt;"",N('Your debts'!$C$7)&gt;0))),"",IF('Your debts'!$D$20="Avalanche",'Avalanche workings'!$M$462,'Snowball workings'!$M$462)+IF('Your debts'!$D$20="Avalanche",'Avalanche workings'!$AG$462,'Snowball workings'!$AG$462))</f>
      </c>
      <c r="I460" s="30">
        <f>IF(OR(455&gt;$Z$1,NOT(OR('Your debts'!$B$7&lt;&gt;"",N('Your debts'!$C$7)&gt;0))),"",IF('Your debts'!$D$20="Avalanche",'Avalanche workings'!$AQ$462,'Snowball workings'!$AQ$462))</f>
      </c>
      <c r="J460" s="29">
        <f>IF(OR(455&gt;$Z$1,NOT(OR('Your debts'!$B$8&lt;&gt;"",N('Your debts'!$C$8)&gt;0))),"",IF('Your debts'!$D$20="Avalanche",'Avalanche workings'!$N$462,'Snowball workings'!$N$462)+IF('Your debts'!$D$20="Avalanche",'Avalanche workings'!$AH$462,'Snowball workings'!$AH$462))</f>
      </c>
      <c r="K460" s="30">
        <f>IF(OR(455&gt;$Z$1,NOT(OR('Your debts'!$B$8&lt;&gt;"",N('Your debts'!$C$8)&gt;0))),"",IF('Your debts'!$D$20="Avalanche",'Avalanche workings'!$AR$462,'Snowball workings'!$AR$462))</f>
      </c>
      <c r="L460" s="29">
        <f>IF(OR(455&gt;$Z$1,NOT(OR('Your debts'!$B$9&lt;&gt;"",N('Your debts'!$C$9)&gt;0))),"",IF('Your debts'!$D$20="Avalanche",'Avalanche workings'!$O$462,'Snowball workings'!$O$462)+IF('Your debts'!$D$20="Avalanche",'Avalanche workings'!$AI$462,'Snowball workings'!$AI$462))</f>
      </c>
      <c r="M460" s="30">
        <f>IF(OR(455&gt;$Z$1,NOT(OR('Your debts'!$B$9&lt;&gt;"",N('Your debts'!$C$9)&gt;0))),"",IF('Your debts'!$D$20="Avalanche",'Avalanche workings'!$AS$462,'Snowball workings'!$AS$462))</f>
      </c>
      <c r="N460" s="29">
        <f>IF(OR(455&gt;$Z$1,NOT(OR('Your debts'!$B$10&lt;&gt;"",N('Your debts'!$C$10)&gt;0))),"",IF('Your debts'!$D$20="Avalanche",'Avalanche workings'!$P$462,'Snowball workings'!$P$462)+IF('Your debts'!$D$20="Avalanche",'Avalanche workings'!$AJ$462,'Snowball workings'!$AJ$462))</f>
      </c>
      <c r="O460" s="30">
        <f>IF(OR(455&gt;$Z$1,NOT(OR('Your debts'!$B$10&lt;&gt;"",N('Your debts'!$C$10)&gt;0))),"",IF('Your debts'!$D$20="Avalanche",'Avalanche workings'!$AT$462,'Snowball workings'!$AT$462))</f>
      </c>
      <c r="P460" s="29">
        <f>IF(OR(455&gt;$Z$1,NOT(OR('Your debts'!$B$11&lt;&gt;"",N('Your debts'!$C$11)&gt;0))),"",IF('Your debts'!$D$20="Avalanche",'Avalanche workings'!$Q$462,'Snowball workings'!$Q$462)+IF('Your debts'!$D$20="Avalanche",'Avalanche workings'!$AK$462,'Snowball workings'!$AK$462))</f>
      </c>
      <c r="Q460" s="30">
        <f>IF(OR(455&gt;$Z$1,NOT(OR('Your debts'!$B$11&lt;&gt;"",N('Your debts'!$C$11)&gt;0))),"",IF('Your debts'!$D$20="Avalanche",'Avalanche workings'!$AU$462,'Snowball workings'!$AU$462))</f>
      </c>
      <c r="R460" s="29">
        <f>IF(OR(455&gt;$Z$1,NOT(OR('Your debts'!$B$12&lt;&gt;"",N('Your debts'!$C$12)&gt;0))),"",IF('Your debts'!$D$20="Avalanche",'Avalanche workings'!$R$462,'Snowball workings'!$R$462)+IF('Your debts'!$D$20="Avalanche",'Avalanche workings'!$AL$462,'Snowball workings'!$AL$462))</f>
      </c>
      <c r="S460" s="30">
        <f>IF(OR(455&gt;$Z$1,NOT(OR('Your debts'!$B$12&lt;&gt;"",N('Your debts'!$C$12)&gt;0))),"",IF('Your debts'!$D$20="Avalanche",'Avalanche workings'!$AV$462,'Snowball workings'!$AV$462))</f>
      </c>
      <c r="T460" s="29">
        <f>IF(OR(455&gt;$Z$1,NOT(OR('Your debts'!$B$13&lt;&gt;"",N('Your debts'!$C$13)&gt;0))),"",IF('Your debts'!$D$20="Avalanche",'Avalanche workings'!$S$462,'Snowball workings'!$S$462)+IF('Your debts'!$D$20="Avalanche",'Avalanche workings'!$AM$462,'Snowball workings'!$AM$462))</f>
      </c>
      <c r="U460" s="30">
        <f>IF(OR(455&gt;$Z$1,NOT(OR('Your debts'!$B$13&lt;&gt;"",N('Your debts'!$C$13)&gt;0))),"",IF('Your debts'!$D$20="Avalanche",'Avalanche workings'!$AW$462,'Snowball workings'!$AW$462))</f>
      </c>
      <c r="V460" s="29">
        <f>IF(OR(455&gt;$Z$1,NOT(OR('Your debts'!$B$14&lt;&gt;"",N('Your debts'!$C$14)&gt;0))),"",IF('Your debts'!$D$20="Avalanche",'Avalanche workings'!$T$462,'Snowball workings'!$T$462)+IF('Your debts'!$D$20="Avalanche",'Avalanche workings'!$AN$462,'Snowball workings'!$AN$462))</f>
      </c>
      <c r="W460" s="30">
        <f>IF(OR(455&gt;$Z$1,NOT(OR('Your debts'!$B$14&lt;&gt;"",N('Your debts'!$C$14)&gt;0))),"",IF('Your debts'!$D$20="Avalanche",'Avalanche workings'!$AX$462,'Snowball workings'!$AX$462))</f>
      </c>
      <c r="X460" s="29">
        <f>IF(OR(455&gt;$Z$1,NOT(OR('Your debts'!$B$15&lt;&gt;"",N('Your debts'!$C$15)&gt;0))),"",IF('Your debts'!$D$20="Avalanche",'Avalanche workings'!$U$462,'Snowball workings'!$U$462)+IF('Your debts'!$D$20="Avalanche",'Avalanche workings'!$AO$462,'Snowball workings'!$AO$462))</f>
      </c>
      <c r="Y460" s="30">
        <f>IF(OR(455&gt;$Z$1,NOT(OR('Your debts'!$B$15&lt;&gt;"",N('Your debts'!$C$15)&gt;0))),"",IF('Your debts'!$D$20="Avalanche",'Avalanche workings'!$AY$462,'Snowball workings'!$AY$462))</f>
      </c>
    </row>
    <row r="461" spans="1:25" x14ac:dyDescent="0.25">
      <c r="A461" s="2">
        <f>IF(456&gt;$Z$1,"",456)</f>
      </c>
      <c r="B461" s="28">
        <f>IF(456&gt;$Z$1,"",EDATE('Your debts'!$D$21,455))</f>
      </c>
      <c r="C461" s="29">
        <f>IF(456&gt;$Z$1,"",IF('Your debts'!$D$20="Avalanche",'Avalanche workings'!$BC$463,'Snowball workings'!$BC$463))</f>
      </c>
      <c r="D461" s="29">
        <f>IF(456&gt;$Z$1,"",IF('Your debts'!$D$20="Avalanche",'Avalanche workings'!$BA$463,'Snowball workings'!$BA$463))</f>
      </c>
      <c r="E461" s="29">
        <f>IF(456&gt;$Z$1,"",IF('Your debts'!$D$20="Avalanche",'Avalanche workings'!$BB$463,'Snowball workings'!$BB$463))</f>
      </c>
      <c r="F461" s="29">
        <f>IF(OR(456&gt;$Z$1,NOT(OR('Your debts'!$B$6&lt;&gt;"",N('Your debts'!$C$6)&gt;0))),"",IF('Your debts'!$D$20="Avalanche",'Avalanche workings'!$L$463,'Snowball workings'!$L$463)+IF('Your debts'!$D$20="Avalanche",'Avalanche workings'!$AF$463,'Snowball workings'!$AF$463))</f>
      </c>
      <c r="G461" s="30">
        <f>IF(OR(456&gt;$Z$1,NOT(OR('Your debts'!$B$6&lt;&gt;"",N('Your debts'!$C$6)&gt;0))),"",IF('Your debts'!$D$20="Avalanche",'Avalanche workings'!$AP$463,'Snowball workings'!$AP$463))</f>
      </c>
      <c r="H461" s="29">
        <f>IF(OR(456&gt;$Z$1,NOT(OR('Your debts'!$B$7&lt;&gt;"",N('Your debts'!$C$7)&gt;0))),"",IF('Your debts'!$D$20="Avalanche",'Avalanche workings'!$M$463,'Snowball workings'!$M$463)+IF('Your debts'!$D$20="Avalanche",'Avalanche workings'!$AG$463,'Snowball workings'!$AG$463))</f>
      </c>
      <c r="I461" s="30">
        <f>IF(OR(456&gt;$Z$1,NOT(OR('Your debts'!$B$7&lt;&gt;"",N('Your debts'!$C$7)&gt;0))),"",IF('Your debts'!$D$20="Avalanche",'Avalanche workings'!$AQ$463,'Snowball workings'!$AQ$463))</f>
      </c>
      <c r="J461" s="29">
        <f>IF(OR(456&gt;$Z$1,NOT(OR('Your debts'!$B$8&lt;&gt;"",N('Your debts'!$C$8)&gt;0))),"",IF('Your debts'!$D$20="Avalanche",'Avalanche workings'!$N$463,'Snowball workings'!$N$463)+IF('Your debts'!$D$20="Avalanche",'Avalanche workings'!$AH$463,'Snowball workings'!$AH$463))</f>
      </c>
      <c r="K461" s="30">
        <f>IF(OR(456&gt;$Z$1,NOT(OR('Your debts'!$B$8&lt;&gt;"",N('Your debts'!$C$8)&gt;0))),"",IF('Your debts'!$D$20="Avalanche",'Avalanche workings'!$AR$463,'Snowball workings'!$AR$463))</f>
      </c>
      <c r="L461" s="29">
        <f>IF(OR(456&gt;$Z$1,NOT(OR('Your debts'!$B$9&lt;&gt;"",N('Your debts'!$C$9)&gt;0))),"",IF('Your debts'!$D$20="Avalanche",'Avalanche workings'!$O$463,'Snowball workings'!$O$463)+IF('Your debts'!$D$20="Avalanche",'Avalanche workings'!$AI$463,'Snowball workings'!$AI$463))</f>
      </c>
      <c r="M461" s="30">
        <f>IF(OR(456&gt;$Z$1,NOT(OR('Your debts'!$B$9&lt;&gt;"",N('Your debts'!$C$9)&gt;0))),"",IF('Your debts'!$D$20="Avalanche",'Avalanche workings'!$AS$463,'Snowball workings'!$AS$463))</f>
      </c>
      <c r="N461" s="29">
        <f>IF(OR(456&gt;$Z$1,NOT(OR('Your debts'!$B$10&lt;&gt;"",N('Your debts'!$C$10)&gt;0))),"",IF('Your debts'!$D$20="Avalanche",'Avalanche workings'!$P$463,'Snowball workings'!$P$463)+IF('Your debts'!$D$20="Avalanche",'Avalanche workings'!$AJ$463,'Snowball workings'!$AJ$463))</f>
      </c>
      <c r="O461" s="30">
        <f>IF(OR(456&gt;$Z$1,NOT(OR('Your debts'!$B$10&lt;&gt;"",N('Your debts'!$C$10)&gt;0))),"",IF('Your debts'!$D$20="Avalanche",'Avalanche workings'!$AT$463,'Snowball workings'!$AT$463))</f>
      </c>
      <c r="P461" s="29">
        <f>IF(OR(456&gt;$Z$1,NOT(OR('Your debts'!$B$11&lt;&gt;"",N('Your debts'!$C$11)&gt;0))),"",IF('Your debts'!$D$20="Avalanche",'Avalanche workings'!$Q$463,'Snowball workings'!$Q$463)+IF('Your debts'!$D$20="Avalanche",'Avalanche workings'!$AK$463,'Snowball workings'!$AK$463))</f>
      </c>
      <c r="Q461" s="30">
        <f>IF(OR(456&gt;$Z$1,NOT(OR('Your debts'!$B$11&lt;&gt;"",N('Your debts'!$C$11)&gt;0))),"",IF('Your debts'!$D$20="Avalanche",'Avalanche workings'!$AU$463,'Snowball workings'!$AU$463))</f>
      </c>
      <c r="R461" s="29">
        <f>IF(OR(456&gt;$Z$1,NOT(OR('Your debts'!$B$12&lt;&gt;"",N('Your debts'!$C$12)&gt;0))),"",IF('Your debts'!$D$20="Avalanche",'Avalanche workings'!$R$463,'Snowball workings'!$R$463)+IF('Your debts'!$D$20="Avalanche",'Avalanche workings'!$AL$463,'Snowball workings'!$AL$463))</f>
      </c>
      <c r="S461" s="30">
        <f>IF(OR(456&gt;$Z$1,NOT(OR('Your debts'!$B$12&lt;&gt;"",N('Your debts'!$C$12)&gt;0))),"",IF('Your debts'!$D$20="Avalanche",'Avalanche workings'!$AV$463,'Snowball workings'!$AV$463))</f>
      </c>
      <c r="T461" s="29">
        <f>IF(OR(456&gt;$Z$1,NOT(OR('Your debts'!$B$13&lt;&gt;"",N('Your debts'!$C$13)&gt;0))),"",IF('Your debts'!$D$20="Avalanche",'Avalanche workings'!$S$463,'Snowball workings'!$S$463)+IF('Your debts'!$D$20="Avalanche",'Avalanche workings'!$AM$463,'Snowball workings'!$AM$463))</f>
      </c>
      <c r="U461" s="30">
        <f>IF(OR(456&gt;$Z$1,NOT(OR('Your debts'!$B$13&lt;&gt;"",N('Your debts'!$C$13)&gt;0))),"",IF('Your debts'!$D$20="Avalanche",'Avalanche workings'!$AW$463,'Snowball workings'!$AW$463))</f>
      </c>
      <c r="V461" s="29">
        <f>IF(OR(456&gt;$Z$1,NOT(OR('Your debts'!$B$14&lt;&gt;"",N('Your debts'!$C$14)&gt;0))),"",IF('Your debts'!$D$20="Avalanche",'Avalanche workings'!$T$463,'Snowball workings'!$T$463)+IF('Your debts'!$D$20="Avalanche",'Avalanche workings'!$AN$463,'Snowball workings'!$AN$463))</f>
      </c>
      <c r="W461" s="30">
        <f>IF(OR(456&gt;$Z$1,NOT(OR('Your debts'!$B$14&lt;&gt;"",N('Your debts'!$C$14)&gt;0))),"",IF('Your debts'!$D$20="Avalanche",'Avalanche workings'!$AX$463,'Snowball workings'!$AX$463))</f>
      </c>
      <c r="X461" s="29">
        <f>IF(OR(456&gt;$Z$1,NOT(OR('Your debts'!$B$15&lt;&gt;"",N('Your debts'!$C$15)&gt;0))),"",IF('Your debts'!$D$20="Avalanche",'Avalanche workings'!$U$463,'Snowball workings'!$U$463)+IF('Your debts'!$D$20="Avalanche",'Avalanche workings'!$AO$463,'Snowball workings'!$AO$463))</f>
      </c>
      <c r="Y461" s="30">
        <f>IF(OR(456&gt;$Z$1,NOT(OR('Your debts'!$B$15&lt;&gt;"",N('Your debts'!$C$15)&gt;0))),"",IF('Your debts'!$D$20="Avalanche",'Avalanche workings'!$AY$463,'Snowball workings'!$AY$463))</f>
      </c>
    </row>
    <row r="462" spans="1:25" x14ac:dyDescent="0.25">
      <c r="A462" s="2">
        <f>IF(457&gt;$Z$1,"",457)</f>
      </c>
      <c r="B462" s="28">
        <f>IF(457&gt;$Z$1,"",EDATE('Your debts'!$D$21,456))</f>
      </c>
      <c r="C462" s="29">
        <f>IF(457&gt;$Z$1,"",IF('Your debts'!$D$20="Avalanche",'Avalanche workings'!$BC$464,'Snowball workings'!$BC$464))</f>
      </c>
      <c r="D462" s="29">
        <f>IF(457&gt;$Z$1,"",IF('Your debts'!$D$20="Avalanche",'Avalanche workings'!$BA$464,'Snowball workings'!$BA$464))</f>
      </c>
      <c r="E462" s="29">
        <f>IF(457&gt;$Z$1,"",IF('Your debts'!$D$20="Avalanche",'Avalanche workings'!$BB$464,'Snowball workings'!$BB$464))</f>
      </c>
      <c r="F462" s="29">
        <f>IF(OR(457&gt;$Z$1,NOT(OR('Your debts'!$B$6&lt;&gt;"",N('Your debts'!$C$6)&gt;0))),"",IF('Your debts'!$D$20="Avalanche",'Avalanche workings'!$L$464,'Snowball workings'!$L$464)+IF('Your debts'!$D$20="Avalanche",'Avalanche workings'!$AF$464,'Snowball workings'!$AF$464))</f>
      </c>
      <c r="G462" s="30">
        <f>IF(OR(457&gt;$Z$1,NOT(OR('Your debts'!$B$6&lt;&gt;"",N('Your debts'!$C$6)&gt;0))),"",IF('Your debts'!$D$20="Avalanche",'Avalanche workings'!$AP$464,'Snowball workings'!$AP$464))</f>
      </c>
      <c r="H462" s="29">
        <f>IF(OR(457&gt;$Z$1,NOT(OR('Your debts'!$B$7&lt;&gt;"",N('Your debts'!$C$7)&gt;0))),"",IF('Your debts'!$D$20="Avalanche",'Avalanche workings'!$M$464,'Snowball workings'!$M$464)+IF('Your debts'!$D$20="Avalanche",'Avalanche workings'!$AG$464,'Snowball workings'!$AG$464))</f>
      </c>
      <c r="I462" s="30">
        <f>IF(OR(457&gt;$Z$1,NOT(OR('Your debts'!$B$7&lt;&gt;"",N('Your debts'!$C$7)&gt;0))),"",IF('Your debts'!$D$20="Avalanche",'Avalanche workings'!$AQ$464,'Snowball workings'!$AQ$464))</f>
      </c>
      <c r="J462" s="29">
        <f>IF(OR(457&gt;$Z$1,NOT(OR('Your debts'!$B$8&lt;&gt;"",N('Your debts'!$C$8)&gt;0))),"",IF('Your debts'!$D$20="Avalanche",'Avalanche workings'!$N$464,'Snowball workings'!$N$464)+IF('Your debts'!$D$20="Avalanche",'Avalanche workings'!$AH$464,'Snowball workings'!$AH$464))</f>
      </c>
      <c r="K462" s="30">
        <f>IF(OR(457&gt;$Z$1,NOT(OR('Your debts'!$B$8&lt;&gt;"",N('Your debts'!$C$8)&gt;0))),"",IF('Your debts'!$D$20="Avalanche",'Avalanche workings'!$AR$464,'Snowball workings'!$AR$464))</f>
      </c>
      <c r="L462" s="29">
        <f>IF(OR(457&gt;$Z$1,NOT(OR('Your debts'!$B$9&lt;&gt;"",N('Your debts'!$C$9)&gt;0))),"",IF('Your debts'!$D$20="Avalanche",'Avalanche workings'!$O$464,'Snowball workings'!$O$464)+IF('Your debts'!$D$20="Avalanche",'Avalanche workings'!$AI$464,'Snowball workings'!$AI$464))</f>
      </c>
      <c r="M462" s="30">
        <f>IF(OR(457&gt;$Z$1,NOT(OR('Your debts'!$B$9&lt;&gt;"",N('Your debts'!$C$9)&gt;0))),"",IF('Your debts'!$D$20="Avalanche",'Avalanche workings'!$AS$464,'Snowball workings'!$AS$464))</f>
      </c>
      <c r="N462" s="29">
        <f>IF(OR(457&gt;$Z$1,NOT(OR('Your debts'!$B$10&lt;&gt;"",N('Your debts'!$C$10)&gt;0))),"",IF('Your debts'!$D$20="Avalanche",'Avalanche workings'!$P$464,'Snowball workings'!$P$464)+IF('Your debts'!$D$20="Avalanche",'Avalanche workings'!$AJ$464,'Snowball workings'!$AJ$464))</f>
      </c>
      <c r="O462" s="30">
        <f>IF(OR(457&gt;$Z$1,NOT(OR('Your debts'!$B$10&lt;&gt;"",N('Your debts'!$C$10)&gt;0))),"",IF('Your debts'!$D$20="Avalanche",'Avalanche workings'!$AT$464,'Snowball workings'!$AT$464))</f>
      </c>
      <c r="P462" s="29">
        <f>IF(OR(457&gt;$Z$1,NOT(OR('Your debts'!$B$11&lt;&gt;"",N('Your debts'!$C$11)&gt;0))),"",IF('Your debts'!$D$20="Avalanche",'Avalanche workings'!$Q$464,'Snowball workings'!$Q$464)+IF('Your debts'!$D$20="Avalanche",'Avalanche workings'!$AK$464,'Snowball workings'!$AK$464))</f>
      </c>
      <c r="Q462" s="30">
        <f>IF(OR(457&gt;$Z$1,NOT(OR('Your debts'!$B$11&lt;&gt;"",N('Your debts'!$C$11)&gt;0))),"",IF('Your debts'!$D$20="Avalanche",'Avalanche workings'!$AU$464,'Snowball workings'!$AU$464))</f>
      </c>
      <c r="R462" s="29">
        <f>IF(OR(457&gt;$Z$1,NOT(OR('Your debts'!$B$12&lt;&gt;"",N('Your debts'!$C$12)&gt;0))),"",IF('Your debts'!$D$20="Avalanche",'Avalanche workings'!$R$464,'Snowball workings'!$R$464)+IF('Your debts'!$D$20="Avalanche",'Avalanche workings'!$AL$464,'Snowball workings'!$AL$464))</f>
      </c>
      <c r="S462" s="30">
        <f>IF(OR(457&gt;$Z$1,NOT(OR('Your debts'!$B$12&lt;&gt;"",N('Your debts'!$C$12)&gt;0))),"",IF('Your debts'!$D$20="Avalanche",'Avalanche workings'!$AV$464,'Snowball workings'!$AV$464))</f>
      </c>
      <c r="T462" s="29">
        <f>IF(OR(457&gt;$Z$1,NOT(OR('Your debts'!$B$13&lt;&gt;"",N('Your debts'!$C$13)&gt;0))),"",IF('Your debts'!$D$20="Avalanche",'Avalanche workings'!$S$464,'Snowball workings'!$S$464)+IF('Your debts'!$D$20="Avalanche",'Avalanche workings'!$AM$464,'Snowball workings'!$AM$464))</f>
      </c>
      <c r="U462" s="30">
        <f>IF(OR(457&gt;$Z$1,NOT(OR('Your debts'!$B$13&lt;&gt;"",N('Your debts'!$C$13)&gt;0))),"",IF('Your debts'!$D$20="Avalanche",'Avalanche workings'!$AW$464,'Snowball workings'!$AW$464))</f>
      </c>
      <c r="V462" s="29">
        <f>IF(OR(457&gt;$Z$1,NOT(OR('Your debts'!$B$14&lt;&gt;"",N('Your debts'!$C$14)&gt;0))),"",IF('Your debts'!$D$20="Avalanche",'Avalanche workings'!$T$464,'Snowball workings'!$T$464)+IF('Your debts'!$D$20="Avalanche",'Avalanche workings'!$AN$464,'Snowball workings'!$AN$464))</f>
      </c>
      <c r="W462" s="30">
        <f>IF(OR(457&gt;$Z$1,NOT(OR('Your debts'!$B$14&lt;&gt;"",N('Your debts'!$C$14)&gt;0))),"",IF('Your debts'!$D$20="Avalanche",'Avalanche workings'!$AX$464,'Snowball workings'!$AX$464))</f>
      </c>
      <c r="X462" s="29">
        <f>IF(OR(457&gt;$Z$1,NOT(OR('Your debts'!$B$15&lt;&gt;"",N('Your debts'!$C$15)&gt;0))),"",IF('Your debts'!$D$20="Avalanche",'Avalanche workings'!$U$464,'Snowball workings'!$U$464)+IF('Your debts'!$D$20="Avalanche",'Avalanche workings'!$AO$464,'Snowball workings'!$AO$464))</f>
      </c>
      <c r="Y462" s="30">
        <f>IF(OR(457&gt;$Z$1,NOT(OR('Your debts'!$B$15&lt;&gt;"",N('Your debts'!$C$15)&gt;0))),"",IF('Your debts'!$D$20="Avalanche",'Avalanche workings'!$AY$464,'Snowball workings'!$AY$464))</f>
      </c>
    </row>
    <row r="463" spans="1:25" x14ac:dyDescent="0.25">
      <c r="A463" s="2">
        <f>IF(458&gt;$Z$1,"",458)</f>
      </c>
      <c r="B463" s="28">
        <f>IF(458&gt;$Z$1,"",EDATE('Your debts'!$D$21,457))</f>
      </c>
      <c r="C463" s="29">
        <f>IF(458&gt;$Z$1,"",IF('Your debts'!$D$20="Avalanche",'Avalanche workings'!$BC$465,'Snowball workings'!$BC$465))</f>
      </c>
      <c r="D463" s="29">
        <f>IF(458&gt;$Z$1,"",IF('Your debts'!$D$20="Avalanche",'Avalanche workings'!$BA$465,'Snowball workings'!$BA$465))</f>
      </c>
      <c r="E463" s="29">
        <f>IF(458&gt;$Z$1,"",IF('Your debts'!$D$20="Avalanche",'Avalanche workings'!$BB$465,'Snowball workings'!$BB$465))</f>
      </c>
      <c r="F463" s="29">
        <f>IF(OR(458&gt;$Z$1,NOT(OR('Your debts'!$B$6&lt;&gt;"",N('Your debts'!$C$6)&gt;0))),"",IF('Your debts'!$D$20="Avalanche",'Avalanche workings'!$L$465,'Snowball workings'!$L$465)+IF('Your debts'!$D$20="Avalanche",'Avalanche workings'!$AF$465,'Snowball workings'!$AF$465))</f>
      </c>
      <c r="G463" s="30">
        <f>IF(OR(458&gt;$Z$1,NOT(OR('Your debts'!$B$6&lt;&gt;"",N('Your debts'!$C$6)&gt;0))),"",IF('Your debts'!$D$20="Avalanche",'Avalanche workings'!$AP$465,'Snowball workings'!$AP$465))</f>
      </c>
      <c r="H463" s="29">
        <f>IF(OR(458&gt;$Z$1,NOT(OR('Your debts'!$B$7&lt;&gt;"",N('Your debts'!$C$7)&gt;0))),"",IF('Your debts'!$D$20="Avalanche",'Avalanche workings'!$M$465,'Snowball workings'!$M$465)+IF('Your debts'!$D$20="Avalanche",'Avalanche workings'!$AG$465,'Snowball workings'!$AG$465))</f>
      </c>
      <c r="I463" s="30">
        <f>IF(OR(458&gt;$Z$1,NOT(OR('Your debts'!$B$7&lt;&gt;"",N('Your debts'!$C$7)&gt;0))),"",IF('Your debts'!$D$20="Avalanche",'Avalanche workings'!$AQ$465,'Snowball workings'!$AQ$465))</f>
      </c>
      <c r="J463" s="29">
        <f>IF(OR(458&gt;$Z$1,NOT(OR('Your debts'!$B$8&lt;&gt;"",N('Your debts'!$C$8)&gt;0))),"",IF('Your debts'!$D$20="Avalanche",'Avalanche workings'!$N$465,'Snowball workings'!$N$465)+IF('Your debts'!$D$20="Avalanche",'Avalanche workings'!$AH$465,'Snowball workings'!$AH$465))</f>
      </c>
      <c r="K463" s="30">
        <f>IF(OR(458&gt;$Z$1,NOT(OR('Your debts'!$B$8&lt;&gt;"",N('Your debts'!$C$8)&gt;0))),"",IF('Your debts'!$D$20="Avalanche",'Avalanche workings'!$AR$465,'Snowball workings'!$AR$465))</f>
      </c>
      <c r="L463" s="29">
        <f>IF(OR(458&gt;$Z$1,NOT(OR('Your debts'!$B$9&lt;&gt;"",N('Your debts'!$C$9)&gt;0))),"",IF('Your debts'!$D$20="Avalanche",'Avalanche workings'!$O$465,'Snowball workings'!$O$465)+IF('Your debts'!$D$20="Avalanche",'Avalanche workings'!$AI$465,'Snowball workings'!$AI$465))</f>
      </c>
      <c r="M463" s="30">
        <f>IF(OR(458&gt;$Z$1,NOT(OR('Your debts'!$B$9&lt;&gt;"",N('Your debts'!$C$9)&gt;0))),"",IF('Your debts'!$D$20="Avalanche",'Avalanche workings'!$AS$465,'Snowball workings'!$AS$465))</f>
      </c>
      <c r="N463" s="29">
        <f>IF(OR(458&gt;$Z$1,NOT(OR('Your debts'!$B$10&lt;&gt;"",N('Your debts'!$C$10)&gt;0))),"",IF('Your debts'!$D$20="Avalanche",'Avalanche workings'!$P$465,'Snowball workings'!$P$465)+IF('Your debts'!$D$20="Avalanche",'Avalanche workings'!$AJ$465,'Snowball workings'!$AJ$465))</f>
      </c>
      <c r="O463" s="30">
        <f>IF(OR(458&gt;$Z$1,NOT(OR('Your debts'!$B$10&lt;&gt;"",N('Your debts'!$C$10)&gt;0))),"",IF('Your debts'!$D$20="Avalanche",'Avalanche workings'!$AT$465,'Snowball workings'!$AT$465))</f>
      </c>
      <c r="P463" s="29">
        <f>IF(OR(458&gt;$Z$1,NOT(OR('Your debts'!$B$11&lt;&gt;"",N('Your debts'!$C$11)&gt;0))),"",IF('Your debts'!$D$20="Avalanche",'Avalanche workings'!$Q$465,'Snowball workings'!$Q$465)+IF('Your debts'!$D$20="Avalanche",'Avalanche workings'!$AK$465,'Snowball workings'!$AK$465))</f>
      </c>
      <c r="Q463" s="30">
        <f>IF(OR(458&gt;$Z$1,NOT(OR('Your debts'!$B$11&lt;&gt;"",N('Your debts'!$C$11)&gt;0))),"",IF('Your debts'!$D$20="Avalanche",'Avalanche workings'!$AU$465,'Snowball workings'!$AU$465))</f>
      </c>
      <c r="R463" s="29">
        <f>IF(OR(458&gt;$Z$1,NOT(OR('Your debts'!$B$12&lt;&gt;"",N('Your debts'!$C$12)&gt;0))),"",IF('Your debts'!$D$20="Avalanche",'Avalanche workings'!$R$465,'Snowball workings'!$R$465)+IF('Your debts'!$D$20="Avalanche",'Avalanche workings'!$AL$465,'Snowball workings'!$AL$465))</f>
      </c>
      <c r="S463" s="30">
        <f>IF(OR(458&gt;$Z$1,NOT(OR('Your debts'!$B$12&lt;&gt;"",N('Your debts'!$C$12)&gt;0))),"",IF('Your debts'!$D$20="Avalanche",'Avalanche workings'!$AV$465,'Snowball workings'!$AV$465))</f>
      </c>
      <c r="T463" s="29">
        <f>IF(OR(458&gt;$Z$1,NOT(OR('Your debts'!$B$13&lt;&gt;"",N('Your debts'!$C$13)&gt;0))),"",IF('Your debts'!$D$20="Avalanche",'Avalanche workings'!$S$465,'Snowball workings'!$S$465)+IF('Your debts'!$D$20="Avalanche",'Avalanche workings'!$AM$465,'Snowball workings'!$AM$465))</f>
      </c>
      <c r="U463" s="30">
        <f>IF(OR(458&gt;$Z$1,NOT(OR('Your debts'!$B$13&lt;&gt;"",N('Your debts'!$C$13)&gt;0))),"",IF('Your debts'!$D$20="Avalanche",'Avalanche workings'!$AW$465,'Snowball workings'!$AW$465))</f>
      </c>
      <c r="V463" s="29">
        <f>IF(OR(458&gt;$Z$1,NOT(OR('Your debts'!$B$14&lt;&gt;"",N('Your debts'!$C$14)&gt;0))),"",IF('Your debts'!$D$20="Avalanche",'Avalanche workings'!$T$465,'Snowball workings'!$T$465)+IF('Your debts'!$D$20="Avalanche",'Avalanche workings'!$AN$465,'Snowball workings'!$AN$465))</f>
      </c>
      <c r="W463" s="30">
        <f>IF(OR(458&gt;$Z$1,NOT(OR('Your debts'!$B$14&lt;&gt;"",N('Your debts'!$C$14)&gt;0))),"",IF('Your debts'!$D$20="Avalanche",'Avalanche workings'!$AX$465,'Snowball workings'!$AX$465))</f>
      </c>
      <c r="X463" s="29">
        <f>IF(OR(458&gt;$Z$1,NOT(OR('Your debts'!$B$15&lt;&gt;"",N('Your debts'!$C$15)&gt;0))),"",IF('Your debts'!$D$20="Avalanche",'Avalanche workings'!$U$465,'Snowball workings'!$U$465)+IF('Your debts'!$D$20="Avalanche",'Avalanche workings'!$AO$465,'Snowball workings'!$AO$465))</f>
      </c>
      <c r="Y463" s="30">
        <f>IF(OR(458&gt;$Z$1,NOT(OR('Your debts'!$B$15&lt;&gt;"",N('Your debts'!$C$15)&gt;0))),"",IF('Your debts'!$D$20="Avalanche",'Avalanche workings'!$AY$465,'Snowball workings'!$AY$465))</f>
      </c>
    </row>
    <row r="464" spans="1:25" x14ac:dyDescent="0.25">
      <c r="A464" s="2">
        <f>IF(459&gt;$Z$1,"",459)</f>
      </c>
      <c r="B464" s="28">
        <f>IF(459&gt;$Z$1,"",EDATE('Your debts'!$D$21,458))</f>
      </c>
      <c r="C464" s="29">
        <f>IF(459&gt;$Z$1,"",IF('Your debts'!$D$20="Avalanche",'Avalanche workings'!$BC$466,'Snowball workings'!$BC$466))</f>
      </c>
      <c r="D464" s="29">
        <f>IF(459&gt;$Z$1,"",IF('Your debts'!$D$20="Avalanche",'Avalanche workings'!$BA$466,'Snowball workings'!$BA$466))</f>
      </c>
      <c r="E464" s="29">
        <f>IF(459&gt;$Z$1,"",IF('Your debts'!$D$20="Avalanche",'Avalanche workings'!$BB$466,'Snowball workings'!$BB$466))</f>
      </c>
      <c r="F464" s="29">
        <f>IF(OR(459&gt;$Z$1,NOT(OR('Your debts'!$B$6&lt;&gt;"",N('Your debts'!$C$6)&gt;0))),"",IF('Your debts'!$D$20="Avalanche",'Avalanche workings'!$L$466,'Snowball workings'!$L$466)+IF('Your debts'!$D$20="Avalanche",'Avalanche workings'!$AF$466,'Snowball workings'!$AF$466))</f>
      </c>
      <c r="G464" s="30">
        <f>IF(OR(459&gt;$Z$1,NOT(OR('Your debts'!$B$6&lt;&gt;"",N('Your debts'!$C$6)&gt;0))),"",IF('Your debts'!$D$20="Avalanche",'Avalanche workings'!$AP$466,'Snowball workings'!$AP$466))</f>
      </c>
      <c r="H464" s="29">
        <f>IF(OR(459&gt;$Z$1,NOT(OR('Your debts'!$B$7&lt;&gt;"",N('Your debts'!$C$7)&gt;0))),"",IF('Your debts'!$D$20="Avalanche",'Avalanche workings'!$M$466,'Snowball workings'!$M$466)+IF('Your debts'!$D$20="Avalanche",'Avalanche workings'!$AG$466,'Snowball workings'!$AG$466))</f>
      </c>
      <c r="I464" s="30">
        <f>IF(OR(459&gt;$Z$1,NOT(OR('Your debts'!$B$7&lt;&gt;"",N('Your debts'!$C$7)&gt;0))),"",IF('Your debts'!$D$20="Avalanche",'Avalanche workings'!$AQ$466,'Snowball workings'!$AQ$466))</f>
      </c>
      <c r="J464" s="29">
        <f>IF(OR(459&gt;$Z$1,NOT(OR('Your debts'!$B$8&lt;&gt;"",N('Your debts'!$C$8)&gt;0))),"",IF('Your debts'!$D$20="Avalanche",'Avalanche workings'!$N$466,'Snowball workings'!$N$466)+IF('Your debts'!$D$20="Avalanche",'Avalanche workings'!$AH$466,'Snowball workings'!$AH$466))</f>
      </c>
      <c r="K464" s="30">
        <f>IF(OR(459&gt;$Z$1,NOT(OR('Your debts'!$B$8&lt;&gt;"",N('Your debts'!$C$8)&gt;0))),"",IF('Your debts'!$D$20="Avalanche",'Avalanche workings'!$AR$466,'Snowball workings'!$AR$466))</f>
      </c>
      <c r="L464" s="29">
        <f>IF(OR(459&gt;$Z$1,NOT(OR('Your debts'!$B$9&lt;&gt;"",N('Your debts'!$C$9)&gt;0))),"",IF('Your debts'!$D$20="Avalanche",'Avalanche workings'!$O$466,'Snowball workings'!$O$466)+IF('Your debts'!$D$20="Avalanche",'Avalanche workings'!$AI$466,'Snowball workings'!$AI$466))</f>
      </c>
      <c r="M464" s="30">
        <f>IF(OR(459&gt;$Z$1,NOT(OR('Your debts'!$B$9&lt;&gt;"",N('Your debts'!$C$9)&gt;0))),"",IF('Your debts'!$D$20="Avalanche",'Avalanche workings'!$AS$466,'Snowball workings'!$AS$466))</f>
      </c>
      <c r="N464" s="29">
        <f>IF(OR(459&gt;$Z$1,NOT(OR('Your debts'!$B$10&lt;&gt;"",N('Your debts'!$C$10)&gt;0))),"",IF('Your debts'!$D$20="Avalanche",'Avalanche workings'!$P$466,'Snowball workings'!$P$466)+IF('Your debts'!$D$20="Avalanche",'Avalanche workings'!$AJ$466,'Snowball workings'!$AJ$466))</f>
      </c>
      <c r="O464" s="30">
        <f>IF(OR(459&gt;$Z$1,NOT(OR('Your debts'!$B$10&lt;&gt;"",N('Your debts'!$C$10)&gt;0))),"",IF('Your debts'!$D$20="Avalanche",'Avalanche workings'!$AT$466,'Snowball workings'!$AT$466))</f>
      </c>
      <c r="P464" s="29">
        <f>IF(OR(459&gt;$Z$1,NOT(OR('Your debts'!$B$11&lt;&gt;"",N('Your debts'!$C$11)&gt;0))),"",IF('Your debts'!$D$20="Avalanche",'Avalanche workings'!$Q$466,'Snowball workings'!$Q$466)+IF('Your debts'!$D$20="Avalanche",'Avalanche workings'!$AK$466,'Snowball workings'!$AK$466))</f>
      </c>
      <c r="Q464" s="30">
        <f>IF(OR(459&gt;$Z$1,NOT(OR('Your debts'!$B$11&lt;&gt;"",N('Your debts'!$C$11)&gt;0))),"",IF('Your debts'!$D$20="Avalanche",'Avalanche workings'!$AU$466,'Snowball workings'!$AU$466))</f>
      </c>
      <c r="R464" s="29">
        <f>IF(OR(459&gt;$Z$1,NOT(OR('Your debts'!$B$12&lt;&gt;"",N('Your debts'!$C$12)&gt;0))),"",IF('Your debts'!$D$20="Avalanche",'Avalanche workings'!$R$466,'Snowball workings'!$R$466)+IF('Your debts'!$D$20="Avalanche",'Avalanche workings'!$AL$466,'Snowball workings'!$AL$466))</f>
      </c>
      <c r="S464" s="30">
        <f>IF(OR(459&gt;$Z$1,NOT(OR('Your debts'!$B$12&lt;&gt;"",N('Your debts'!$C$12)&gt;0))),"",IF('Your debts'!$D$20="Avalanche",'Avalanche workings'!$AV$466,'Snowball workings'!$AV$466))</f>
      </c>
      <c r="T464" s="29">
        <f>IF(OR(459&gt;$Z$1,NOT(OR('Your debts'!$B$13&lt;&gt;"",N('Your debts'!$C$13)&gt;0))),"",IF('Your debts'!$D$20="Avalanche",'Avalanche workings'!$S$466,'Snowball workings'!$S$466)+IF('Your debts'!$D$20="Avalanche",'Avalanche workings'!$AM$466,'Snowball workings'!$AM$466))</f>
      </c>
      <c r="U464" s="30">
        <f>IF(OR(459&gt;$Z$1,NOT(OR('Your debts'!$B$13&lt;&gt;"",N('Your debts'!$C$13)&gt;0))),"",IF('Your debts'!$D$20="Avalanche",'Avalanche workings'!$AW$466,'Snowball workings'!$AW$466))</f>
      </c>
      <c r="V464" s="29">
        <f>IF(OR(459&gt;$Z$1,NOT(OR('Your debts'!$B$14&lt;&gt;"",N('Your debts'!$C$14)&gt;0))),"",IF('Your debts'!$D$20="Avalanche",'Avalanche workings'!$T$466,'Snowball workings'!$T$466)+IF('Your debts'!$D$20="Avalanche",'Avalanche workings'!$AN$466,'Snowball workings'!$AN$466))</f>
      </c>
      <c r="W464" s="30">
        <f>IF(OR(459&gt;$Z$1,NOT(OR('Your debts'!$B$14&lt;&gt;"",N('Your debts'!$C$14)&gt;0))),"",IF('Your debts'!$D$20="Avalanche",'Avalanche workings'!$AX$466,'Snowball workings'!$AX$466))</f>
      </c>
      <c r="X464" s="29">
        <f>IF(OR(459&gt;$Z$1,NOT(OR('Your debts'!$B$15&lt;&gt;"",N('Your debts'!$C$15)&gt;0))),"",IF('Your debts'!$D$20="Avalanche",'Avalanche workings'!$U$466,'Snowball workings'!$U$466)+IF('Your debts'!$D$20="Avalanche",'Avalanche workings'!$AO$466,'Snowball workings'!$AO$466))</f>
      </c>
      <c r="Y464" s="30">
        <f>IF(OR(459&gt;$Z$1,NOT(OR('Your debts'!$B$15&lt;&gt;"",N('Your debts'!$C$15)&gt;0))),"",IF('Your debts'!$D$20="Avalanche",'Avalanche workings'!$AY$466,'Snowball workings'!$AY$466))</f>
      </c>
    </row>
    <row r="465" spans="1:25" x14ac:dyDescent="0.25">
      <c r="A465" s="2">
        <f>IF(460&gt;$Z$1,"",460)</f>
      </c>
      <c r="B465" s="28">
        <f>IF(460&gt;$Z$1,"",EDATE('Your debts'!$D$21,459))</f>
      </c>
      <c r="C465" s="29">
        <f>IF(460&gt;$Z$1,"",IF('Your debts'!$D$20="Avalanche",'Avalanche workings'!$BC$467,'Snowball workings'!$BC$467))</f>
      </c>
      <c r="D465" s="29">
        <f>IF(460&gt;$Z$1,"",IF('Your debts'!$D$20="Avalanche",'Avalanche workings'!$BA$467,'Snowball workings'!$BA$467))</f>
      </c>
      <c r="E465" s="29">
        <f>IF(460&gt;$Z$1,"",IF('Your debts'!$D$20="Avalanche",'Avalanche workings'!$BB$467,'Snowball workings'!$BB$467))</f>
      </c>
      <c r="F465" s="29">
        <f>IF(OR(460&gt;$Z$1,NOT(OR('Your debts'!$B$6&lt;&gt;"",N('Your debts'!$C$6)&gt;0))),"",IF('Your debts'!$D$20="Avalanche",'Avalanche workings'!$L$467,'Snowball workings'!$L$467)+IF('Your debts'!$D$20="Avalanche",'Avalanche workings'!$AF$467,'Snowball workings'!$AF$467))</f>
      </c>
      <c r="G465" s="30">
        <f>IF(OR(460&gt;$Z$1,NOT(OR('Your debts'!$B$6&lt;&gt;"",N('Your debts'!$C$6)&gt;0))),"",IF('Your debts'!$D$20="Avalanche",'Avalanche workings'!$AP$467,'Snowball workings'!$AP$467))</f>
      </c>
      <c r="H465" s="29">
        <f>IF(OR(460&gt;$Z$1,NOT(OR('Your debts'!$B$7&lt;&gt;"",N('Your debts'!$C$7)&gt;0))),"",IF('Your debts'!$D$20="Avalanche",'Avalanche workings'!$M$467,'Snowball workings'!$M$467)+IF('Your debts'!$D$20="Avalanche",'Avalanche workings'!$AG$467,'Snowball workings'!$AG$467))</f>
      </c>
      <c r="I465" s="30">
        <f>IF(OR(460&gt;$Z$1,NOT(OR('Your debts'!$B$7&lt;&gt;"",N('Your debts'!$C$7)&gt;0))),"",IF('Your debts'!$D$20="Avalanche",'Avalanche workings'!$AQ$467,'Snowball workings'!$AQ$467))</f>
      </c>
      <c r="J465" s="29">
        <f>IF(OR(460&gt;$Z$1,NOT(OR('Your debts'!$B$8&lt;&gt;"",N('Your debts'!$C$8)&gt;0))),"",IF('Your debts'!$D$20="Avalanche",'Avalanche workings'!$N$467,'Snowball workings'!$N$467)+IF('Your debts'!$D$20="Avalanche",'Avalanche workings'!$AH$467,'Snowball workings'!$AH$467))</f>
      </c>
      <c r="K465" s="30">
        <f>IF(OR(460&gt;$Z$1,NOT(OR('Your debts'!$B$8&lt;&gt;"",N('Your debts'!$C$8)&gt;0))),"",IF('Your debts'!$D$20="Avalanche",'Avalanche workings'!$AR$467,'Snowball workings'!$AR$467))</f>
      </c>
      <c r="L465" s="29">
        <f>IF(OR(460&gt;$Z$1,NOT(OR('Your debts'!$B$9&lt;&gt;"",N('Your debts'!$C$9)&gt;0))),"",IF('Your debts'!$D$20="Avalanche",'Avalanche workings'!$O$467,'Snowball workings'!$O$467)+IF('Your debts'!$D$20="Avalanche",'Avalanche workings'!$AI$467,'Snowball workings'!$AI$467))</f>
      </c>
      <c r="M465" s="30">
        <f>IF(OR(460&gt;$Z$1,NOT(OR('Your debts'!$B$9&lt;&gt;"",N('Your debts'!$C$9)&gt;0))),"",IF('Your debts'!$D$20="Avalanche",'Avalanche workings'!$AS$467,'Snowball workings'!$AS$467))</f>
      </c>
      <c r="N465" s="29">
        <f>IF(OR(460&gt;$Z$1,NOT(OR('Your debts'!$B$10&lt;&gt;"",N('Your debts'!$C$10)&gt;0))),"",IF('Your debts'!$D$20="Avalanche",'Avalanche workings'!$P$467,'Snowball workings'!$P$467)+IF('Your debts'!$D$20="Avalanche",'Avalanche workings'!$AJ$467,'Snowball workings'!$AJ$467))</f>
      </c>
      <c r="O465" s="30">
        <f>IF(OR(460&gt;$Z$1,NOT(OR('Your debts'!$B$10&lt;&gt;"",N('Your debts'!$C$10)&gt;0))),"",IF('Your debts'!$D$20="Avalanche",'Avalanche workings'!$AT$467,'Snowball workings'!$AT$467))</f>
      </c>
      <c r="P465" s="29">
        <f>IF(OR(460&gt;$Z$1,NOT(OR('Your debts'!$B$11&lt;&gt;"",N('Your debts'!$C$11)&gt;0))),"",IF('Your debts'!$D$20="Avalanche",'Avalanche workings'!$Q$467,'Snowball workings'!$Q$467)+IF('Your debts'!$D$20="Avalanche",'Avalanche workings'!$AK$467,'Snowball workings'!$AK$467))</f>
      </c>
      <c r="Q465" s="30">
        <f>IF(OR(460&gt;$Z$1,NOT(OR('Your debts'!$B$11&lt;&gt;"",N('Your debts'!$C$11)&gt;0))),"",IF('Your debts'!$D$20="Avalanche",'Avalanche workings'!$AU$467,'Snowball workings'!$AU$467))</f>
      </c>
      <c r="R465" s="29">
        <f>IF(OR(460&gt;$Z$1,NOT(OR('Your debts'!$B$12&lt;&gt;"",N('Your debts'!$C$12)&gt;0))),"",IF('Your debts'!$D$20="Avalanche",'Avalanche workings'!$R$467,'Snowball workings'!$R$467)+IF('Your debts'!$D$20="Avalanche",'Avalanche workings'!$AL$467,'Snowball workings'!$AL$467))</f>
      </c>
      <c r="S465" s="30">
        <f>IF(OR(460&gt;$Z$1,NOT(OR('Your debts'!$B$12&lt;&gt;"",N('Your debts'!$C$12)&gt;0))),"",IF('Your debts'!$D$20="Avalanche",'Avalanche workings'!$AV$467,'Snowball workings'!$AV$467))</f>
      </c>
      <c r="T465" s="29">
        <f>IF(OR(460&gt;$Z$1,NOT(OR('Your debts'!$B$13&lt;&gt;"",N('Your debts'!$C$13)&gt;0))),"",IF('Your debts'!$D$20="Avalanche",'Avalanche workings'!$S$467,'Snowball workings'!$S$467)+IF('Your debts'!$D$20="Avalanche",'Avalanche workings'!$AM$467,'Snowball workings'!$AM$467))</f>
      </c>
      <c r="U465" s="30">
        <f>IF(OR(460&gt;$Z$1,NOT(OR('Your debts'!$B$13&lt;&gt;"",N('Your debts'!$C$13)&gt;0))),"",IF('Your debts'!$D$20="Avalanche",'Avalanche workings'!$AW$467,'Snowball workings'!$AW$467))</f>
      </c>
      <c r="V465" s="29">
        <f>IF(OR(460&gt;$Z$1,NOT(OR('Your debts'!$B$14&lt;&gt;"",N('Your debts'!$C$14)&gt;0))),"",IF('Your debts'!$D$20="Avalanche",'Avalanche workings'!$T$467,'Snowball workings'!$T$467)+IF('Your debts'!$D$20="Avalanche",'Avalanche workings'!$AN$467,'Snowball workings'!$AN$467))</f>
      </c>
      <c r="W465" s="30">
        <f>IF(OR(460&gt;$Z$1,NOT(OR('Your debts'!$B$14&lt;&gt;"",N('Your debts'!$C$14)&gt;0))),"",IF('Your debts'!$D$20="Avalanche",'Avalanche workings'!$AX$467,'Snowball workings'!$AX$467))</f>
      </c>
      <c r="X465" s="29">
        <f>IF(OR(460&gt;$Z$1,NOT(OR('Your debts'!$B$15&lt;&gt;"",N('Your debts'!$C$15)&gt;0))),"",IF('Your debts'!$D$20="Avalanche",'Avalanche workings'!$U$467,'Snowball workings'!$U$467)+IF('Your debts'!$D$20="Avalanche",'Avalanche workings'!$AO$467,'Snowball workings'!$AO$467))</f>
      </c>
      <c r="Y465" s="30">
        <f>IF(OR(460&gt;$Z$1,NOT(OR('Your debts'!$B$15&lt;&gt;"",N('Your debts'!$C$15)&gt;0))),"",IF('Your debts'!$D$20="Avalanche",'Avalanche workings'!$AY$467,'Snowball workings'!$AY$467))</f>
      </c>
    </row>
    <row r="466" spans="1:25" x14ac:dyDescent="0.25">
      <c r="A466" s="2">
        <f>IF(461&gt;$Z$1,"",461)</f>
      </c>
      <c r="B466" s="28">
        <f>IF(461&gt;$Z$1,"",EDATE('Your debts'!$D$21,460))</f>
      </c>
      <c r="C466" s="29">
        <f>IF(461&gt;$Z$1,"",IF('Your debts'!$D$20="Avalanche",'Avalanche workings'!$BC$468,'Snowball workings'!$BC$468))</f>
      </c>
      <c r="D466" s="29">
        <f>IF(461&gt;$Z$1,"",IF('Your debts'!$D$20="Avalanche",'Avalanche workings'!$BA$468,'Snowball workings'!$BA$468))</f>
      </c>
      <c r="E466" s="29">
        <f>IF(461&gt;$Z$1,"",IF('Your debts'!$D$20="Avalanche",'Avalanche workings'!$BB$468,'Snowball workings'!$BB$468))</f>
      </c>
      <c r="F466" s="29">
        <f>IF(OR(461&gt;$Z$1,NOT(OR('Your debts'!$B$6&lt;&gt;"",N('Your debts'!$C$6)&gt;0))),"",IF('Your debts'!$D$20="Avalanche",'Avalanche workings'!$L$468,'Snowball workings'!$L$468)+IF('Your debts'!$D$20="Avalanche",'Avalanche workings'!$AF$468,'Snowball workings'!$AF$468))</f>
      </c>
      <c r="G466" s="30">
        <f>IF(OR(461&gt;$Z$1,NOT(OR('Your debts'!$B$6&lt;&gt;"",N('Your debts'!$C$6)&gt;0))),"",IF('Your debts'!$D$20="Avalanche",'Avalanche workings'!$AP$468,'Snowball workings'!$AP$468))</f>
      </c>
      <c r="H466" s="29">
        <f>IF(OR(461&gt;$Z$1,NOT(OR('Your debts'!$B$7&lt;&gt;"",N('Your debts'!$C$7)&gt;0))),"",IF('Your debts'!$D$20="Avalanche",'Avalanche workings'!$M$468,'Snowball workings'!$M$468)+IF('Your debts'!$D$20="Avalanche",'Avalanche workings'!$AG$468,'Snowball workings'!$AG$468))</f>
      </c>
      <c r="I466" s="30">
        <f>IF(OR(461&gt;$Z$1,NOT(OR('Your debts'!$B$7&lt;&gt;"",N('Your debts'!$C$7)&gt;0))),"",IF('Your debts'!$D$20="Avalanche",'Avalanche workings'!$AQ$468,'Snowball workings'!$AQ$468))</f>
      </c>
      <c r="J466" s="29">
        <f>IF(OR(461&gt;$Z$1,NOT(OR('Your debts'!$B$8&lt;&gt;"",N('Your debts'!$C$8)&gt;0))),"",IF('Your debts'!$D$20="Avalanche",'Avalanche workings'!$N$468,'Snowball workings'!$N$468)+IF('Your debts'!$D$20="Avalanche",'Avalanche workings'!$AH$468,'Snowball workings'!$AH$468))</f>
      </c>
      <c r="K466" s="30">
        <f>IF(OR(461&gt;$Z$1,NOT(OR('Your debts'!$B$8&lt;&gt;"",N('Your debts'!$C$8)&gt;0))),"",IF('Your debts'!$D$20="Avalanche",'Avalanche workings'!$AR$468,'Snowball workings'!$AR$468))</f>
      </c>
      <c r="L466" s="29">
        <f>IF(OR(461&gt;$Z$1,NOT(OR('Your debts'!$B$9&lt;&gt;"",N('Your debts'!$C$9)&gt;0))),"",IF('Your debts'!$D$20="Avalanche",'Avalanche workings'!$O$468,'Snowball workings'!$O$468)+IF('Your debts'!$D$20="Avalanche",'Avalanche workings'!$AI$468,'Snowball workings'!$AI$468))</f>
      </c>
      <c r="M466" s="30">
        <f>IF(OR(461&gt;$Z$1,NOT(OR('Your debts'!$B$9&lt;&gt;"",N('Your debts'!$C$9)&gt;0))),"",IF('Your debts'!$D$20="Avalanche",'Avalanche workings'!$AS$468,'Snowball workings'!$AS$468))</f>
      </c>
      <c r="N466" s="29">
        <f>IF(OR(461&gt;$Z$1,NOT(OR('Your debts'!$B$10&lt;&gt;"",N('Your debts'!$C$10)&gt;0))),"",IF('Your debts'!$D$20="Avalanche",'Avalanche workings'!$P$468,'Snowball workings'!$P$468)+IF('Your debts'!$D$20="Avalanche",'Avalanche workings'!$AJ$468,'Snowball workings'!$AJ$468))</f>
      </c>
      <c r="O466" s="30">
        <f>IF(OR(461&gt;$Z$1,NOT(OR('Your debts'!$B$10&lt;&gt;"",N('Your debts'!$C$10)&gt;0))),"",IF('Your debts'!$D$20="Avalanche",'Avalanche workings'!$AT$468,'Snowball workings'!$AT$468))</f>
      </c>
      <c r="P466" s="29">
        <f>IF(OR(461&gt;$Z$1,NOT(OR('Your debts'!$B$11&lt;&gt;"",N('Your debts'!$C$11)&gt;0))),"",IF('Your debts'!$D$20="Avalanche",'Avalanche workings'!$Q$468,'Snowball workings'!$Q$468)+IF('Your debts'!$D$20="Avalanche",'Avalanche workings'!$AK$468,'Snowball workings'!$AK$468))</f>
      </c>
      <c r="Q466" s="30">
        <f>IF(OR(461&gt;$Z$1,NOT(OR('Your debts'!$B$11&lt;&gt;"",N('Your debts'!$C$11)&gt;0))),"",IF('Your debts'!$D$20="Avalanche",'Avalanche workings'!$AU$468,'Snowball workings'!$AU$468))</f>
      </c>
      <c r="R466" s="29">
        <f>IF(OR(461&gt;$Z$1,NOT(OR('Your debts'!$B$12&lt;&gt;"",N('Your debts'!$C$12)&gt;0))),"",IF('Your debts'!$D$20="Avalanche",'Avalanche workings'!$R$468,'Snowball workings'!$R$468)+IF('Your debts'!$D$20="Avalanche",'Avalanche workings'!$AL$468,'Snowball workings'!$AL$468))</f>
      </c>
      <c r="S466" s="30">
        <f>IF(OR(461&gt;$Z$1,NOT(OR('Your debts'!$B$12&lt;&gt;"",N('Your debts'!$C$12)&gt;0))),"",IF('Your debts'!$D$20="Avalanche",'Avalanche workings'!$AV$468,'Snowball workings'!$AV$468))</f>
      </c>
      <c r="T466" s="29">
        <f>IF(OR(461&gt;$Z$1,NOT(OR('Your debts'!$B$13&lt;&gt;"",N('Your debts'!$C$13)&gt;0))),"",IF('Your debts'!$D$20="Avalanche",'Avalanche workings'!$S$468,'Snowball workings'!$S$468)+IF('Your debts'!$D$20="Avalanche",'Avalanche workings'!$AM$468,'Snowball workings'!$AM$468))</f>
      </c>
      <c r="U466" s="30">
        <f>IF(OR(461&gt;$Z$1,NOT(OR('Your debts'!$B$13&lt;&gt;"",N('Your debts'!$C$13)&gt;0))),"",IF('Your debts'!$D$20="Avalanche",'Avalanche workings'!$AW$468,'Snowball workings'!$AW$468))</f>
      </c>
      <c r="V466" s="29">
        <f>IF(OR(461&gt;$Z$1,NOT(OR('Your debts'!$B$14&lt;&gt;"",N('Your debts'!$C$14)&gt;0))),"",IF('Your debts'!$D$20="Avalanche",'Avalanche workings'!$T$468,'Snowball workings'!$T$468)+IF('Your debts'!$D$20="Avalanche",'Avalanche workings'!$AN$468,'Snowball workings'!$AN$468))</f>
      </c>
      <c r="W466" s="30">
        <f>IF(OR(461&gt;$Z$1,NOT(OR('Your debts'!$B$14&lt;&gt;"",N('Your debts'!$C$14)&gt;0))),"",IF('Your debts'!$D$20="Avalanche",'Avalanche workings'!$AX$468,'Snowball workings'!$AX$468))</f>
      </c>
      <c r="X466" s="29">
        <f>IF(OR(461&gt;$Z$1,NOT(OR('Your debts'!$B$15&lt;&gt;"",N('Your debts'!$C$15)&gt;0))),"",IF('Your debts'!$D$20="Avalanche",'Avalanche workings'!$U$468,'Snowball workings'!$U$468)+IF('Your debts'!$D$20="Avalanche",'Avalanche workings'!$AO$468,'Snowball workings'!$AO$468))</f>
      </c>
      <c r="Y466" s="30">
        <f>IF(OR(461&gt;$Z$1,NOT(OR('Your debts'!$B$15&lt;&gt;"",N('Your debts'!$C$15)&gt;0))),"",IF('Your debts'!$D$20="Avalanche",'Avalanche workings'!$AY$468,'Snowball workings'!$AY$468))</f>
      </c>
    </row>
    <row r="467" spans="1:25" x14ac:dyDescent="0.25">
      <c r="A467" s="2">
        <f>IF(462&gt;$Z$1,"",462)</f>
      </c>
      <c r="B467" s="28">
        <f>IF(462&gt;$Z$1,"",EDATE('Your debts'!$D$21,461))</f>
      </c>
      <c r="C467" s="29">
        <f>IF(462&gt;$Z$1,"",IF('Your debts'!$D$20="Avalanche",'Avalanche workings'!$BC$469,'Snowball workings'!$BC$469))</f>
      </c>
      <c r="D467" s="29">
        <f>IF(462&gt;$Z$1,"",IF('Your debts'!$D$20="Avalanche",'Avalanche workings'!$BA$469,'Snowball workings'!$BA$469))</f>
      </c>
      <c r="E467" s="29">
        <f>IF(462&gt;$Z$1,"",IF('Your debts'!$D$20="Avalanche",'Avalanche workings'!$BB$469,'Snowball workings'!$BB$469))</f>
      </c>
      <c r="F467" s="29">
        <f>IF(OR(462&gt;$Z$1,NOT(OR('Your debts'!$B$6&lt;&gt;"",N('Your debts'!$C$6)&gt;0))),"",IF('Your debts'!$D$20="Avalanche",'Avalanche workings'!$L$469,'Snowball workings'!$L$469)+IF('Your debts'!$D$20="Avalanche",'Avalanche workings'!$AF$469,'Snowball workings'!$AF$469))</f>
      </c>
      <c r="G467" s="30">
        <f>IF(OR(462&gt;$Z$1,NOT(OR('Your debts'!$B$6&lt;&gt;"",N('Your debts'!$C$6)&gt;0))),"",IF('Your debts'!$D$20="Avalanche",'Avalanche workings'!$AP$469,'Snowball workings'!$AP$469))</f>
      </c>
      <c r="H467" s="29">
        <f>IF(OR(462&gt;$Z$1,NOT(OR('Your debts'!$B$7&lt;&gt;"",N('Your debts'!$C$7)&gt;0))),"",IF('Your debts'!$D$20="Avalanche",'Avalanche workings'!$M$469,'Snowball workings'!$M$469)+IF('Your debts'!$D$20="Avalanche",'Avalanche workings'!$AG$469,'Snowball workings'!$AG$469))</f>
      </c>
      <c r="I467" s="30">
        <f>IF(OR(462&gt;$Z$1,NOT(OR('Your debts'!$B$7&lt;&gt;"",N('Your debts'!$C$7)&gt;0))),"",IF('Your debts'!$D$20="Avalanche",'Avalanche workings'!$AQ$469,'Snowball workings'!$AQ$469))</f>
      </c>
      <c r="J467" s="29">
        <f>IF(OR(462&gt;$Z$1,NOT(OR('Your debts'!$B$8&lt;&gt;"",N('Your debts'!$C$8)&gt;0))),"",IF('Your debts'!$D$20="Avalanche",'Avalanche workings'!$N$469,'Snowball workings'!$N$469)+IF('Your debts'!$D$20="Avalanche",'Avalanche workings'!$AH$469,'Snowball workings'!$AH$469))</f>
      </c>
      <c r="K467" s="30">
        <f>IF(OR(462&gt;$Z$1,NOT(OR('Your debts'!$B$8&lt;&gt;"",N('Your debts'!$C$8)&gt;0))),"",IF('Your debts'!$D$20="Avalanche",'Avalanche workings'!$AR$469,'Snowball workings'!$AR$469))</f>
      </c>
      <c r="L467" s="29">
        <f>IF(OR(462&gt;$Z$1,NOT(OR('Your debts'!$B$9&lt;&gt;"",N('Your debts'!$C$9)&gt;0))),"",IF('Your debts'!$D$20="Avalanche",'Avalanche workings'!$O$469,'Snowball workings'!$O$469)+IF('Your debts'!$D$20="Avalanche",'Avalanche workings'!$AI$469,'Snowball workings'!$AI$469))</f>
      </c>
      <c r="M467" s="30">
        <f>IF(OR(462&gt;$Z$1,NOT(OR('Your debts'!$B$9&lt;&gt;"",N('Your debts'!$C$9)&gt;0))),"",IF('Your debts'!$D$20="Avalanche",'Avalanche workings'!$AS$469,'Snowball workings'!$AS$469))</f>
      </c>
      <c r="N467" s="29">
        <f>IF(OR(462&gt;$Z$1,NOT(OR('Your debts'!$B$10&lt;&gt;"",N('Your debts'!$C$10)&gt;0))),"",IF('Your debts'!$D$20="Avalanche",'Avalanche workings'!$P$469,'Snowball workings'!$P$469)+IF('Your debts'!$D$20="Avalanche",'Avalanche workings'!$AJ$469,'Snowball workings'!$AJ$469))</f>
      </c>
      <c r="O467" s="30">
        <f>IF(OR(462&gt;$Z$1,NOT(OR('Your debts'!$B$10&lt;&gt;"",N('Your debts'!$C$10)&gt;0))),"",IF('Your debts'!$D$20="Avalanche",'Avalanche workings'!$AT$469,'Snowball workings'!$AT$469))</f>
      </c>
      <c r="P467" s="29">
        <f>IF(OR(462&gt;$Z$1,NOT(OR('Your debts'!$B$11&lt;&gt;"",N('Your debts'!$C$11)&gt;0))),"",IF('Your debts'!$D$20="Avalanche",'Avalanche workings'!$Q$469,'Snowball workings'!$Q$469)+IF('Your debts'!$D$20="Avalanche",'Avalanche workings'!$AK$469,'Snowball workings'!$AK$469))</f>
      </c>
      <c r="Q467" s="30">
        <f>IF(OR(462&gt;$Z$1,NOT(OR('Your debts'!$B$11&lt;&gt;"",N('Your debts'!$C$11)&gt;0))),"",IF('Your debts'!$D$20="Avalanche",'Avalanche workings'!$AU$469,'Snowball workings'!$AU$469))</f>
      </c>
      <c r="R467" s="29">
        <f>IF(OR(462&gt;$Z$1,NOT(OR('Your debts'!$B$12&lt;&gt;"",N('Your debts'!$C$12)&gt;0))),"",IF('Your debts'!$D$20="Avalanche",'Avalanche workings'!$R$469,'Snowball workings'!$R$469)+IF('Your debts'!$D$20="Avalanche",'Avalanche workings'!$AL$469,'Snowball workings'!$AL$469))</f>
      </c>
      <c r="S467" s="30">
        <f>IF(OR(462&gt;$Z$1,NOT(OR('Your debts'!$B$12&lt;&gt;"",N('Your debts'!$C$12)&gt;0))),"",IF('Your debts'!$D$20="Avalanche",'Avalanche workings'!$AV$469,'Snowball workings'!$AV$469))</f>
      </c>
      <c r="T467" s="29">
        <f>IF(OR(462&gt;$Z$1,NOT(OR('Your debts'!$B$13&lt;&gt;"",N('Your debts'!$C$13)&gt;0))),"",IF('Your debts'!$D$20="Avalanche",'Avalanche workings'!$S$469,'Snowball workings'!$S$469)+IF('Your debts'!$D$20="Avalanche",'Avalanche workings'!$AM$469,'Snowball workings'!$AM$469))</f>
      </c>
      <c r="U467" s="30">
        <f>IF(OR(462&gt;$Z$1,NOT(OR('Your debts'!$B$13&lt;&gt;"",N('Your debts'!$C$13)&gt;0))),"",IF('Your debts'!$D$20="Avalanche",'Avalanche workings'!$AW$469,'Snowball workings'!$AW$469))</f>
      </c>
      <c r="V467" s="29">
        <f>IF(OR(462&gt;$Z$1,NOT(OR('Your debts'!$B$14&lt;&gt;"",N('Your debts'!$C$14)&gt;0))),"",IF('Your debts'!$D$20="Avalanche",'Avalanche workings'!$T$469,'Snowball workings'!$T$469)+IF('Your debts'!$D$20="Avalanche",'Avalanche workings'!$AN$469,'Snowball workings'!$AN$469))</f>
      </c>
      <c r="W467" s="30">
        <f>IF(OR(462&gt;$Z$1,NOT(OR('Your debts'!$B$14&lt;&gt;"",N('Your debts'!$C$14)&gt;0))),"",IF('Your debts'!$D$20="Avalanche",'Avalanche workings'!$AX$469,'Snowball workings'!$AX$469))</f>
      </c>
      <c r="X467" s="29">
        <f>IF(OR(462&gt;$Z$1,NOT(OR('Your debts'!$B$15&lt;&gt;"",N('Your debts'!$C$15)&gt;0))),"",IF('Your debts'!$D$20="Avalanche",'Avalanche workings'!$U$469,'Snowball workings'!$U$469)+IF('Your debts'!$D$20="Avalanche",'Avalanche workings'!$AO$469,'Snowball workings'!$AO$469))</f>
      </c>
      <c r="Y467" s="30">
        <f>IF(OR(462&gt;$Z$1,NOT(OR('Your debts'!$B$15&lt;&gt;"",N('Your debts'!$C$15)&gt;0))),"",IF('Your debts'!$D$20="Avalanche",'Avalanche workings'!$AY$469,'Snowball workings'!$AY$469))</f>
      </c>
    </row>
    <row r="468" spans="1:25" x14ac:dyDescent="0.25">
      <c r="A468" s="2">
        <f>IF(463&gt;$Z$1,"",463)</f>
      </c>
      <c r="B468" s="28">
        <f>IF(463&gt;$Z$1,"",EDATE('Your debts'!$D$21,462))</f>
      </c>
      <c r="C468" s="29">
        <f>IF(463&gt;$Z$1,"",IF('Your debts'!$D$20="Avalanche",'Avalanche workings'!$BC$470,'Snowball workings'!$BC$470))</f>
      </c>
      <c r="D468" s="29">
        <f>IF(463&gt;$Z$1,"",IF('Your debts'!$D$20="Avalanche",'Avalanche workings'!$BA$470,'Snowball workings'!$BA$470))</f>
      </c>
      <c r="E468" s="29">
        <f>IF(463&gt;$Z$1,"",IF('Your debts'!$D$20="Avalanche",'Avalanche workings'!$BB$470,'Snowball workings'!$BB$470))</f>
      </c>
      <c r="F468" s="29">
        <f>IF(OR(463&gt;$Z$1,NOT(OR('Your debts'!$B$6&lt;&gt;"",N('Your debts'!$C$6)&gt;0))),"",IF('Your debts'!$D$20="Avalanche",'Avalanche workings'!$L$470,'Snowball workings'!$L$470)+IF('Your debts'!$D$20="Avalanche",'Avalanche workings'!$AF$470,'Snowball workings'!$AF$470))</f>
      </c>
      <c r="G468" s="30">
        <f>IF(OR(463&gt;$Z$1,NOT(OR('Your debts'!$B$6&lt;&gt;"",N('Your debts'!$C$6)&gt;0))),"",IF('Your debts'!$D$20="Avalanche",'Avalanche workings'!$AP$470,'Snowball workings'!$AP$470))</f>
      </c>
      <c r="H468" s="29">
        <f>IF(OR(463&gt;$Z$1,NOT(OR('Your debts'!$B$7&lt;&gt;"",N('Your debts'!$C$7)&gt;0))),"",IF('Your debts'!$D$20="Avalanche",'Avalanche workings'!$M$470,'Snowball workings'!$M$470)+IF('Your debts'!$D$20="Avalanche",'Avalanche workings'!$AG$470,'Snowball workings'!$AG$470))</f>
      </c>
      <c r="I468" s="30">
        <f>IF(OR(463&gt;$Z$1,NOT(OR('Your debts'!$B$7&lt;&gt;"",N('Your debts'!$C$7)&gt;0))),"",IF('Your debts'!$D$20="Avalanche",'Avalanche workings'!$AQ$470,'Snowball workings'!$AQ$470))</f>
      </c>
      <c r="J468" s="29">
        <f>IF(OR(463&gt;$Z$1,NOT(OR('Your debts'!$B$8&lt;&gt;"",N('Your debts'!$C$8)&gt;0))),"",IF('Your debts'!$D$20="Avalanche",'Avalanche workings'!$N$470,'Snowball workings'!$N$470)+IF('Your debts'!$D$20="Avalanche",'Avalanche workings'!$AH$470,'Snowball workings'!$AH$470))</f>
      </c>
      <c r="K468" s="30">
        <f>IF(OR(463&gt;$Z$1,NOT(OR('Your debts'!$B$8&lt;&gt;"",N('Your debts'!$C$8)&gt;0))),"",IF('Your debts'!$D$20="Avalanche",'Avalanche workings'!$AR$470,'Snowball workings'!$AR$470))</f>
      </c>
      <c r="L468" s="29">
        <f>IF(OR(463&gt;$Z$1,NOT(OR('Your debts'!$B$9&lt;&gt;"",N('Your debts'!$C$9)&gt;0))),"",IF('Your debts'!$D$20="Avalanche",'Avalanche workings'!$O$470,'Snowball workings'!$O$470)+IF('Your debts'!$D$20="Avalanche",'Avalanche workings'!$AI$470,'Snowball workings'!$AI$470))</f>
      </c>
      <c r="M468" s="30">
        <f>IF(OR(463&gt;$Z$1,NOT(OR('Your debts'!$B$9&lt;&gt;"",N('Your debts'!$C$9)&gt;0))),"",IF('Your debts'!$D$20="Avalanche",'Avalanche workings'!$AS$470,'Snowball workings'!$AS$470))</f>
      </c>
      <c r="N468" s="29">
        <f>IF(OR(463&gt;$Z$1,NOT(OR('Your debts'!$B$10&lt;&gt;"",N('Your debts'!$C$10)&gt;0))),"",IF('Your debts'!$D$20="Avalanche",'Avalanche workings'!$P$470,'Snowball workings'!$P$470)+IF('Your debts'!$D$20="Avalanche",'Avalanche workings'!$AJ$470,'Snowball workings'!$AJ$470))</f>
      </c>
      <c r="O468" s="30">
        <f>IF(OR(463&gt;$Z$1,NOT(OR('Your debts'!$B$10&lt;&gt;"",N('Your debts'!$C$10)&gt;0))),"",IF('Your debts'!$D$20="Avalanche",'Avalanche workings'!$AT$470,'Snowball workings'!$AT$470))</f>
      </c>
      <c r="P468" s="29">
        <f>IF(OR(463&gt;$Z$1,NOT(OR('Your debts'!$B$11&lt;&gt;"",N('Your debts'!$C$11)&gt;0))),"",IF('Your debts'!$D$20="Avalanche",'Avalanche workings'!$Q$470,'Snowball workings'!$Q$470)+IF('Your debts'!$D$20="Avalanche",'Avalanche workings'!$AK$470,'Snowball workings'!$AK$470))</f>
      </c>
      <c r="Q468" s="30">
        <f>IF(OR(463&gt;$Z$1,NOT(OR('Your debts'!$B$11&lt;&gt;"",N('Your debts'!$C$11)&gt;0))),"",IF('Your debts'!$D$20="Avalanche",'Avalanche workings'!$AU$470,'Snowball workings'!$AU$470))</f>
      </c>
      <c r="R468" s="29">
        <f>IF(OR(463&gt;$Z$1,NOT(OR('Your debts'!$B$12&lt;&gt;"",N('Your debts'!$C$12)&gt;0))),"",IF('Your debts'!$D$20="Avalanche",'Avalanche workings'!$R$470,'Snowball workings'!$R$470)+IF('Your debts'!$D$20="Avalanche",'Avalanche workings'!$AL$470,'Snowball workings'!$AL$470))</f>
      </c>
      <c r="S468" s="30">
        <f>IF(OR(463&gt;$Z$1,NOT(OR('Your debts'!$B$12&lt;&gt;"",N('Your debts'!$C$12)&gt;0))),"",IF('Your debts'!$D$20="Avalanche",'Avalanche workings'!$AV$470,'Snowball workings'!$AV$470))</f>
      </c>
      <c r="T468" s="29">
        <f>IF(OR(463&gt;$Z$1,NOT(OR('Your debts'!$B$13&lt;&gt;"",N('Your debts'!$C$13)&gt;0))),"",IF('Your debts'!$D$20="Avalanche",'Avalanche workings'!$S$470,'Snowball workings'!$S$470)+IF('Your debts'!$D$20="Avalanche",'Avalanche workings'!$AM$470,'Snowball workings'!$AM$470))</f>
      </c>
      <c r="U468" s="30">
        <f>IF(OR(463&gt;$Z$1,NOT(OR('Your debts'!$B$13&lt;&gt;"",N('Your debts'!$C$13)&gt;0))),"",IF('Your debts'!$D$20="Avalanche",'Avalanche workings'!$AW$470,'Snowball workings'!$AW$470))</f>
      </c>
      <c r="V468" s="29">
        <f>IF(OR(463&gt;$Z$1,NOT(OR('Your debts'!$B$14&lt;&gt;"",N('Your debts'!$C$14)&gt;0))),"",IF('Your debts'!$D$20="Avalanche",'Avalanche workings'!$T$470,'Snowball workings'!$T$470)+IF('Your debts'!$D$20="Avalanche",'Avalanche workings'!$AN$470,'Snowball workings'!$AN$470))</f>
      </c>
      <c r="W468" s="30">
        <f>IF(OR(463&gt;$Z$1,NOT(OR('Your debts'!$B$14&lt;&gt;"",N('Your debts'!$C$14)&gt;0))),"",IF('Your debts'!$D$20="Avalanche",'Avalanche workings'!$AX$470,'Snowball workings'!$AX$470))</f>
      </c>
      <c r="X468" s="29">
        <f>IF(OR(463&gt;$Z$1,NOT(OR('Your debts'!$B$15&lt;&gt;"",N('Your debts'!$C$15)&gt;0))),"",IF('Your debts'!$D$20="Avalanche",'Avalanche workings'!$U$470,'Snowball workings'!$U$470)+IF('Your debts'!$D$20="Avalanche",'Avalanche workings'!$AO$470,'Snowball workings'!$AO$470))</f>
      </c>
      <c r="Y468" s="30">
        <f>IF(OR(463&gt;$Z$1,NOT(OR('Your debts'!$B$15&lt;&gt;"",N('Your debts'!$C$15)&gt;0))),"",IF('Your debts'!$D$20="Avalanche",'Avalanche workings'!$AY$470,'Snowball workings'!$AY$470))</f>
      </c>
    </row>
    <row r="469" spans="1:25" x14ac:dyDescent="0.25">
      <c r="A469" s="2">
        <f>IF(464&gt;$Z$1,"",464)</f>
      </c>
      <c r="B469" s="28">
        <f>IF(464&gt;$Z$1,"",EDATE('Your debts'!$D$21,463))</f>
      </c>
      <c r="C469" s="29">
        <f>IF(464&gt;$Z$1,"",IF('Your debts'!$D$20="Avalanche",'Avalanche workings'!$BC$471,'Snowball workings'!$BC$471))</f>
      </c>
      <c r="D469" s="29">
        <f>IF(464&gt;$Z$1,"",IF('Your debts'!$D$20="Avalanche",'Avalanche workings'!$BA$471,'Snowball workings'!$BA$471))</f>
      </c>
      <c r="E469" s="29">
        <f>IF(464&gt;$Z$1,"",IF('Your debts'!$D$20="Avalanche",'Avalanche workings'!$BB$471,'Snowball workings'!$BB$471))</f>
      </c>
      <c r="F469" s="29">
        <f>IF(OR(464&gt;$Z$1,NOT(OR('Your debts'!$B$6&lt;&gt;"",N('Your debts'!$C$6)&gt;0))),"",IF('Your debts'!$D$20="Avalanche",'Avalanche workings'!$L$471,'Snowball workings'!$L$471)+IF('Your debts'!$D$20="Avalanche",'Avalanche workings'!$AF$471,'Snowball workings'!$AF$471))</f>
      </c>
      <c r="G469" s="30">
        <f>IF(OR(464&gt;$Z$1,NOT(OR('Your debts'!$B$6&lt;&gt;"",N('Your debts'!$C$6)&gt;0))),"",IF('Your debts'!$D$20="Avalanche",'Avalanche workings'!$AP$471,'Snowball workings'!$AP$471))</f>
      </c>
      <c r="H469" s="29">
        <f>IF(OR(464&gt;$Z$1,NOT(OR('Your debts'!$B$7&lt;&gt;"",N('Your debts'!$C$7)&gt;0))),"",IF('Your debts'!$D$20="Avalanche",'Avalanche workings'!$M$471,'Snowball workings'!$M$471)+IF('Your debts'!$D$20="Avalanche",'Avalanche workings'!$AG$471,'Snowball workings'!$AG$471))</f>
      </c>
      <c r="I469" s="30">
        <f>IF(OR(464&gt;$Z$1,NOT(OR('Your debts'!$B$7&lt;&gt;"",N('Your debts'!$C$7)&gt;0))),"",IF('Your debts'!$D$20="Avalanche",'Avalanche workings'!$AQ$471,'Snowball workings'!$AQ$471))</f>
      </c>
      <c r="J469" s="29">
        <f>IF(OR(464&gt;$Z$1,NOT(OR('Your debts'!$B$8&lt;&gt;"",N('Your debts'!$C$8)&gt;0))),"",IF('Your debts'!$D$20="Avalanche",'Avalanche workings'!$N$471,'Snowball workings'!$N$471)+IF('Your debts'!$D$20="Avalanche",'Avalanche workings'!$AH$471,'Snowball workings'!$AH$471))</f>
      </c>
      <c r="K469" s="30">
        <f>IF(OR(464&gt;$Z$1,NOT(OR('Your debts'!$B$8&lt;&gt;"",N('Your debts'!$C$8)&gt;0))),"",IF('Your debts'!$D$20="Avalanche",'Avalanche workings'!$AR$471,'Snowball workings'!$AR$471))</f>
      </c>
      <c r="L469" s="29">
        <f>IF(OR(464&gt;$Z$1,NOT(OR('Your debts'!$B$9&lt;&gt;"",N('Your debts'!$C$9)&gt;0))),"",IF('Your debts'!$D$20="Avalanche",'Avalanche workings'!$O$471,'Snowball workings'!$O$471)+IF('Your debts'!$D$20="Avalanche",'Avalanche workings'!$AI$471,'Snowball workings'!$AI$471))</f>
      </c>
      <c r="M469" s="30">
        <f>IF(OR(464&gt;$Z$1,NOT(OR('Your debts'!$B$9&lt;&gt;"",N('Your debts'!$C$9)&gt;0))),"",IF('Your debts'!$D$20="Avalanche",'Avalanche workings'!$AS$471,'Snowball workings'!$AS$471))</f>
      </c>
      <c r="N469" s="29">
        <f>IF(OR(464&gt;$Z$1,NOT(OR('Your debts'!$B$10&lt;&gt;"",N('Your debts'!$C$10)&gt;0))),"",IF('Your debts'!$D$20="Avalanche",'Avalanche workings'!$P$471,'Snowball workings'!$P$471)+IF('Your debts'!$D$20="Avalanche",'Avalanche workings'!$AJ$471,'Snowball workings'!$AJ$471))</f>
      </c>
      <c r="O469" s="30">
        <f>IF(OR(464&gt;$Z$1,NOT(OR('Your debts'!$B$10&lt;&gt;"",N('Your debts'!$C$10)&gt;0))),"",IF('Your debts'!$D$20="Avalanche",'Avalanche workings'!$AT$471,'Snowball workings'!$AT$471))</f>
      </c>
      <c r="P469" s="29">
        <f>IF(OR(464&gt;$Z$1,NOT(OR('Your debts'!$B$11&lt;&gt;"",N('Your debts'!$C$11)&gt;0))),"",IF('Your debts'!$D$20="Avalanche",'Avalanche workings'!$Q$471,'Snowball workings'!$Q$471)+IF('Your debts'!$D$20="Avalanche",'Avalanche workings'!$AK$471,'Snowball workings'!$AK$471))</f>
      </c>
      <c r="Q469" s="30">
        <f>IF(OR(464&gt;$Z$1,NOT(OR('Your debts'!$B$11&lt;&gt;"",N('Your debts'!$C$11)&gt;0))),"",IF('Your debts'!$D$20="Avalanche",'Avalanche workings'!$AU$471,'Snowball workings'!$AU$471))</f>
      </c>
      <c r="R469" s="29">
        <f>IF(OR(464&gt;$Z$1,NOT(OR('Your debts'!$B$12&lt;&gt;"",N('Your debts'!$C$12)&gt;0))),"",IF('Your debts'!$D$20="Avalanche",'Avalanche workings'!$R$471,'Snowball workings'!$R$471)+IF('Your debts'!$D$20="Avalanche",'Avalanche workings'!$AL$471,'Snowball workings'!$AL$471))</f>
      </c>
      <c r="S469" s="30">
        <f>IF(OR(464&gt;$Z$1,NOT(OR('Your debts'!$B$12&lt;&gt;"",N('Your debts'!$C$12)&gt;0))),"",IF('Your debts'!$D$20="Avalanche",'Avalanche workings'!$AV$471,'Snowball workings'!$AV$471))</f>
      </c>
      <c r="T469" s="29">
        <f>IF(OR(464&gt;$Z$1,NOT(OR('Your debts'!$B$13&lt;&gt;"",N('Your debts'!$C$13)&gt;0))),"",IF('Your debts'!$D$20="Avalanche",'Avalanche workings'!$S$471,'Snowball workings'!$S$471)+IF('Your debts'!$D$20="Avalanche",'Avalanche workings'!$AM$471,'Snowball workings'!$AM$471))</f>
      </c>
      <c r="U469" s="30">
        <f>IF(OR(464&gt;$Z$1,NOT(OR('Your debts'!$B$13&lt;&gt;"",N('Your debts'!$C$13)&gt;0))),"",IF('Your debts'!$D$20="Avalanche",'Avalanche workings'!$AW$471,'Snowball workings'!$AW$471))</f>
      </c>
      <c r="V469" s="29">
        <f>IF(OR(464&gt;$Z$1,NOT(OR('Your debts'!$B$14&lt;&gt;"",N('Your debts'!$C$14)&gt;0))),"",IF('Your debts'!$D$20="Avalanche",'Avalanche workings'!$T$471,'Snowball workings'!$T$471)+IF('Your debts'!$D$20="Avalanche",'Avalanche workings'!$AN$471,'Snowball workings'!$AN$471))</f>
      </c>
      <c r="W469" s="30">
        <f>IF(OR(464&gt;$Z$1,NOT(OR('Your debts'!$B$14&lt;&gt;"",N('Your debts'!$C$14)&gt;0))),"",IF('Your debts'!$D$20="Avalanche",'Avalanche workings'!$AX$471,'Snowball workings'!$AX$471))</f>
      </c>
      <c r="X469" s="29">
        <f>IF(OR(464&gt;$Z$1,NOT(OR('Your debts'!$B$15&lt;&gt;"",N('Your debts'!$C$15)&gt;0))),"",IF('Your debts'!$D$20="Avalanche",'Avalanche workings'!$U$471,'Snowball workings'!$U$471)+IF('Your debts'!$D$20="Avalanche",'Avalanche workings'!$AO$471,'Snowball workings'!$AO$471))</f>
      </c>
      <c r="Y469" s="30">
        <f>IF(OR(464&gt;$Z$1,NOT(OR('Your debts'!$B$15&lt;&gt;"",N('Your debts'!$C$15)&gt;0))),"",IF('Your debts'!$D$20="Avalanche",'Avalanche workings'!$AY$471,'Snowball workings'!$AY$471))</f>
      </c>
    </row>
    <row r="470" spans="1:25" x14ac:dyDescent="0.25">
      <c r="A470" s="2">
        <f>IF(465&gt;$Z$1,"",465)</f>
      </c>
      <c r="B470" s="28">
        <f>IF(465&gt;$Z$1,"",EDATE('Your debts'!$D$21,464))</f>
      </c>
      <c r="C470" s="29">
        <f>IF(465&gt;$Z$1,"",IF('Your debts'!$D$20="Avalanche",'Avalanche workings'!$BC$472,'Snowball workings'!$BC$472))</f>
      </c>
      <c r="D470" s="29">
        <f>IF(465&gt;$Z$1,"",IF('Your debts'!$D$20="Avalanche",'Avalanche workings'!$BA$472,'Snowball workings'!$BA$472))</f>
      </c>
      <c r="E470" s="29">
        <f>IF(465&gt;$Z$1,"",IF('Your debts'!$D$20="Avalanche",'Avalanche workings'!$BB$472,'Snowball workings'!$BB$472))</f>
      </c>
      <c r="F470" s="29">
        <f>IF(OR(465&gt;$Z$1,NOT(OR('Your debts'!$B$6&lt;&gt;"",N('Your debts'!$C$6)&gt;0))),"",IF('Your debts'!$D$20="Avalanche",'Avalanche workings'!$L$472,'Snowball workings'!$L$472)+IF('Your debts'!$D$20="Avalanche",'Avalanche workings'!$AF$472,'Snowball workings'!$AF$472))</f>
      </c>
      <c r="G470" s="30">
        <f>IF(OR(465&gt;$Z$1,NOT(OR('Your debts'!$B$6&lt;&gt;"",N('Your debts'!$C$6)&gt;0))),"",IF('Your debts'!$D$20="Avalanche",'Avalanche workings'!$AP$472,'Snowball workings'!$AP$472))</f>
      </c>
      <c r="H470" s="29">
        <f>IF(OR(465&gt;$Z$1,NOT(OR('Your debts'!$B$7&lt;&gt;"",N('Your debts'!$C$7)&gt;0))),"",IF('Your debts'!$D$20="Avalanche",'Avalanche workings'!$M$472,'Snowball workings'!$M$472)+IF('Your debts'!$D$20="Avalanche",'Avalanche workings'!$AG$472,'Snowball workings'!$AG$472))</f>
      </c>
      <c r="I470" s="30">
        <f>IF(OR(465&gt;$Z$1,NOT(OR('Your debts'!$B$7&lt;&gt;"",N('Your debts'!$C$7)&gt;0))),"",IF('Your debts'!$D$20="Avalanche",'Avalanche workings'!$AQ$472,'Snowball workings'!$AQ$472))</f>
      </c>
      <c r="J470" s="29">
        <f>IF(OR(465&gt;$Z$1,NOT(OR('Your debts'!$B$8&lt;&gt;"",N('Your debts'!$C$8)&gt;0))),"",IF('Your debts'!$D$20="Avalanche",'Avalanche workings'!$N$472,'Snowball workings'!$N$472)+IF('Your debts'!$D$20="Avalanche",'Avalanche workings'!$AH$472,'Snowball workings'!$AH$472))</f>
      </c>
      <c r="K470" s="30">
        <f>IF(OR(465&gt;$Z$1,NOT(OR('Your debts'!$B$8&lt;&gt;"",N('Your debts'!$C$8)&gt;0))),"",IF('Your debts'!$D$20="Avalanche",'Avalanche workings'!$AR$472,'Snowball workings'!$AR$472))</f>
      </c>
      <c r="L470" s="29">
        <f>IF(OR(465&gt;$Z$1,NOT(OR('Your debts'!$B$9&lt;&gt;"",N('Your debts'!$C$9)&gt;0))),"",IF('Your debts'!$D$20="Avalanche",'Avalanche workings'!$O$472,'Snowball workings'!$O$472)+IF('Your debts'!$D$20="Avalanche",'Avalanche workings'!$AI$472,'Snowball workings'!$AI$472))</f>
      </c>
      <c r="M470" s="30">
        <f>IF(OR(465&gt;$Z$1,NOT(OR('Your debts'!$B$9&lt;&gt;"",N('Your debts'!$C$9)&gt;0))),"",IF('Your debts'!$D$20="Avalanche",'Avalanche workings'!$AS$472,'Snowball workings'!$AS$472))</f>
      </c>
      <c r="N470" s="29">
        <f>IF(OR(465&gt;$Z$1,NOT(OR('Your debts'!$B$10&lt;&gt;"",N('Your debts'!$C$10)&gt;0))),"",IF('Your debts'!$D$20="Avalanche",'Avalanche workings'!$P$472,'Snowball workings'!$P$472)+IF('Your debts'!$D$20="Avalanche",'Avalanche workings'!$AJ$472,'Snowball workings'!$AJ$472))</f>
      </c>
      <c r="O470" s="30">
        <f>IF(OR(465&gt;$Z$1,NOT(OR('Your debts'!$B$10&lt;&gt;"",N('Your debts'!$C$10)&gt;0))),"",IF('Your debts'!$D$20="Avalanche",'Avalanche workings'!$AT$472,'Snowball workings'!$AT$472))</f>
      </c>
      <c r="P470" s="29">
        <f>IF(OR(465&gt;$Z$1,NOT(OR('Your debts'!$B$11&lt;&gt;"",N('Your debts'!$C$11)&gt;0))),"",IF('Your debts'!$D$20="Avalanche",'Avalanche workings'!$Q$472,'Snowball workings'!$Q$472)+IF('Your debts'!$D$20="Avalanche",'Avalanche workings'!$AK$472,'Snowball workings'!$AK$472))</f>
      </c>
      <c r="Q470" s="30">
        <f>IF(OR(465&gt;$Z$1,NOT(OR('Your debts'!$B$11&lt;&gt;"",N('Your debts'!$C$11)&gt;0))),"",IF('Your debts'!$D$20="Avalanche",'Avalanche workings'!$AU$472,'Snowball workings'!$AU$472))</f>
      </c>
      <c r="R470" s="29">
        <f>IF(OR(465&gt;$Z$1,NOT(OR('Your debts'!$B$12&lt;&gt;"",N('Your debts'!$C$12)&gt;0))),"",IF('Your debts'!$D$20="Avalanche",'Avalanche workings'!$R$472,'Snowball workings'!$R$472)+IF('Your debts'!$D$20="Avalanche",'Avalanche workings'!$AL$472,'Snowball workings'!$AL$472))</f>
      </c>
      <c r="S470" s="30">
        <f>IF(OR(465&gt;$Z$1,NOT(OR('Your debts'!$B$12&lt;&gt;"",N('Your debts'!$C$12)&gt;0))),"",IF('Your debts'!$D$20="Avalanche",'Avalanche workings'!$AV$472,'Snowball workings'!$AV$472))</f>
      </c>
      <c r="T470" s="29">
        <f>IF(OR(465&gt;$Z$1,NOT(OR('Your debts'!$B$13&lt;&gt;"",N('Your debts'!$C$13)&gt;0))),"",IF('Your debts'!$D$20="Avalanche",'Avalanche workings'!$S$472,'Snowball workings'!$S$472)+IF('Your debts'!$D$20="Avalanche",'Avalanche workings'!$AM$472,'Snowball workings'!$AM$472))</f>
      </c>
      <c r="U470" s="30">
        <f>IF(OR(465&gt;$Z$1,NOT(OR('Your debts'!$B$13&lt;&gt;"",N('Your debts'!$C$13)&gt;0))),"",IF('Your debts'!$D$20="Avalanche",'Avalanche workings'!$AW$472,'Snowball workings'!$AW$472))</f>
      </c>
      <c r="V470" s="29">
        <f>IF(OR(465&gt;$Z$1,NOT(OR('Your debts'!$B$14&lt;&gt;"",N('Your debts'!$C$14)&gt;0))),"",IF('Your debts'!$D$20="Avalanche",'Avalanche workings'!$T$472,'Snowball workings'!$T$472)+IF('Your debts'!$D$20="Avalanche",'Avalanche workings'!$AN$472,'Snowball workings'!$AN$472))</f>
      </c>
      <c r="W470" s="30">
        <f>IF(OR(465&gt;$Z$1,NOT(OR('Your debts'!$B$14&lt;&gt;"",N('Your debts'!$C$14)&gt;0))),"",IF('Your debts'!$D$20="Avalanche",'Avalanche workings'!$AX$472,'Snowball workings'!$AX$472))</f>
      </c>
      <c r="X470" s="29">
        <f>IF(OR(465&gt;$Z$1,NOT(OR('Your debts'!$B$15&lt;&gt;"",N('Your debts'!$C$15)&gt;0))),"",IF('Your debts'!$D$20="Avalanche",'Avalanche workings'!$U$472,'Snowball workings'!$U$472)+IF('Your debts'!$D$20="Avalanche",'Avalanche workings'!$AO$472,'Snowball workings'!$AO$472))</f>
      </c>
      <c r="Y470" s="30">
        <f>IF(OR(465&gt;$Z$1,NOT(OR('Your debts'!$B$15&lt;&gt;"",N('Your debts'!$C$15)&gt;0))),"",IF('Your debts'!$D$20="Avalanche",'Avalanche workings'!$AY$472,'Snowball workings'!$AY$472))</f>
      </c>
    </row>
    <row r="471" spans="1:25" x14ac:dyDescent="0.25">
      <c r="A471" s="2">
        <f>IF(466&gt;$Z$1,"",466)</f>
      </c>
      <c r="B471" s="28">
        <f>IF(466&gt;$Z$1,"",EDATE('Your debts'!$D$21,465))</f>
      </c>
      <c r="C471" s="29">
        <f>IF(466&gt;$Z$1,"",IF('Your debts'!$D$20="Avalanche",'Avalanche workings'!$BC$473,'Snowball workings'!$BC$473))</f>
      </c>
      <c r="D471" s="29">
        <f>IF(466&gt;$Z$1,"",IF('Your debts'!$D$20="Avalanche",'Avalanche workings'!$BA$473,'Snowball workings'!$BA$473))</f>
      </c>
      <c r="E471" s="29">
        <f>IF(466&gt;$Z$1,"",IF('Your debts'!$D$20="Avalanche",'Avalanche workings'!$BB$473,'Snowball workings'!$BB$473))</f>
      </c>
      <c r="F471" s="29">
        <f>IF(OR(466&gt;$Z$1,NOT(OR('Your debts'!$B$6&lt;&gt;"",N('Your debts'!$C$6)&gt;0))),"",IF('Your debts'!$D$20="Avalanche",'Avalanche workings'!$L$473,'Snowball workings'!$L$473)+IF('Your debts'!$D$20="Avalanche",'Avalanche workings'!$AF$473,'Snowball workings'!$AF$473))</f>
      </c>
      <c r="G471" s="30">
        <f>IF(OR(466&gt;$Z$1,NOT(OR('Your debts'!$B$6&lt;&gt;"",N('Your debts'!$C$6)&gt;0))),"",IF('Your debts'!$D$20="Avalanche",'Avalanche workings'!$AP$473,'Snowball workings'!$AP$473))</f>
      </c>
      <c r="H471" s="29">
        <f>IF(OR(466&gt;$Z$1,NOT(OR('Your debts'!$B$7&lt;&gt;"",N('Your debts'!$C$7)&gt;0))),"",IF('Your debts'!$D$20="Avalanche",'Avalanche workings'!$M$473,'Snowball workings'!$M$473)+IF('Your debts'!$D$20="Avalanche",'Avalanche workings'!$AG$473,'Snowball workings'!$AG$473))</f>
      </c>
      <c r="I471" s="30">
        <f>IF(OR(466&gt;$Z$1,NOT(OR('Your debts'!$B$7&lt;&gt;"",N('Your debts'!$C$7)&gt;0))),"",IF('Your debts'!$D$20="Avalanche",'Avalanche workings'!$AQ$473,'Snowball workings'!$AQ$473))</f>
      </c>
      <c r="J471" s="29">
        <f>IF(OR(466&gt;$Z$1,NOT(OR('Your debts'!$B$8&lt;&gt;"",N('Your debts'!$C$8)&gt;0))),"",IF('Your debts'!$D$20="Avalanche",'Avalanche workings'!$N$473,'Snowball workings'!$N$473)+IF('Your debts'!$D$20="Avalanche",'Avalanche workings'!$AH$473,'Snowball workings'!$AH$473))</f>
      </c>
      <c r="K471" s="30">
        <f>IF(OR(466&gt;$Z$1,NOT(OR('Your debts'!$B$8&lt;&gt;"",N('Your debts'!$C$8)&gt;0))),"",IF('Your debts'!$D$20="Avalanche",'Avalanche workings'!$AR$473,'Snowball workings'!$AR$473))</f>
      </c>
      <c r="L471" s="29">
        <f>IF(OR(466&gt;$Z$1,NOT(OR('Your debts'!$B$9&lt;&gt;"",N('Your debts'!$C$9)&gt;0))),"",IF('Your debts'!$D$20="Avalanche",'Avalanche workings'!$O$473,'Snowball workings'!$O$473)+IF('Your debts'!$D$20="Avalanche",'Avalanche workings'!$AI$473,'Snowball workings'!$AI$473))</f>
      </c>
      <c r="M471" s="30">
        <f>IF(OR(466&gt;$Z$1,NOT(OR('Your debts'!$B$9&lt;&gt;"",N('Your debts'!$C$9)&gt;0))),"",IF('Your debts'!$D$20="Avalanche",'Avalanche workings'!$AS$473,'Snowball workings'!$AS$473))</f>
      </c>
      <c r="N471" s="29">
        <f>IF(OR(466&gt;$Z$1,NOT(OR('Your debts'!$B$10&lt;&gt;"",N('Your debts'!$C$10)&gt;0))),"",IF('Your debts'!$D$20="Avalanche",'Avalanche workings'!$P$473,'Snowball workings'!$P$473)+IF('Your debts'!$D$20="Avalanche",'Avalanche workings'!$AJ$473,'Snowball workings'!$AJ$473))</f>
      </c>
      <c r="O471" s="30">
        <f>IF(OR(466&gt;$Z$1,NOT(OR('Your debts'!$B$10&lt;&gt;"",N('Your debts'!$C$10)&gt;0))),"",IF('Your debts'!$D$20="Avalanche",'Avalanche workings'!$AT$473,'Snowball workings'!$AT$473))</f>
      </c>
      <c r="P471" s="29">
        <f>IF(OR(466&gt;$Z$1,NOT(OR('Your debts'!$B$11&lt;&gt;"",N('Your debts'!$C$11)&gt;0))),"",IF('Your debts'!$D$20="Avalanche",'Avalanche workings'!$Q$473,'Snowball workings'!$Q$473)+IF('Your debts'!$D$20="Avalanche",'Avalanche workings'!$AK$473,'Snowball workings'!$AK$473))</f>
      </c>
      <c r="Q471" s="30">
        <f>IF(OR(466&gt;$Z$1,NOT(OR('Your debts'!$B$11&lt;&gt;"",N('Your debts'!$C$11)&gt;0))),"",IF('Your debts'!$D$20="Avalanche",'Avalanche workings'!$AU$473,'Snowball workings'!$AU$473))</f>
      </c>
      <c r="R471" s="29">
        <f>IF(OR(466&gt;$Z$1,NOT(OR('Your debts'!$B$12&lt;&gt;"",N('Your debts'!$C$12)&gt;0))),"",IF('Your debts'!$D$20="Avalanche",'Avalanche workings'!$R$473,'Snowball workings'!$R$473)+IF('Your debts'!$D$20="Avalanche",'Avalanche workings'!$AL$473,'Snowball workings'!$AL$473))</f>
      </c>
      <c r="S471" s="30">
        <f>IF(OR(466&gt;$Z$1,NOT(OR('Your debts'!$B$12&lt;&gt;"",N('Your debts'!$C$12)&gt;0))),"",IF('Your debts'!$D$20="Avalanche",'Avalanche workings'!$AV$473,'Snowball workings'!$AV$473))</f>
      </c>
      <c r="T471" s="29">
        <f>IF(OR(466&gt;$Z$1,NOT(OR('Your debts'!$B$13&lt;&gt;"",N('Your debts'!$C$13)&gt;0))),"",IF('Your debts'!$D$20="Avalanche",'Avalanche workings'!$S$473,'Snowball workings'!$S$473)+IF('Your debts'!$D$20="Avalanche",'Avalanche workings'!$AM$473,'Snowball workings'!$AM$473))</f>
      </c>
      <c r="U471" s="30">
        <f>IF(OR(466&gt;$Z$1,NOT(OR('Your debts'!$B$13&lt;&gt;"",N('Your debts'!$C$13)&gt;0))),"",IF('Your debts'!$D$20="Avalanche",'Avalanche workings'!$AW$473,'Snowball workings'!$AW$473))</f>
      </c>
      <c r="V471" s="29">
        <f>IF(OR(466&gt;$Z$1,NOT(OR('Your debts'!$B$14&lt;&gt;"",N('Your debts'!$C$14)&gt;0))),"",IF('Your debts'!$D$20="Avalanche",'Avalanche workings'!$T$473,'Snowball workings'!$T$473)+IF('Your debts'!$D$20="Avalanche",'Avalanche workings'!$AN$473,'Snowball workings'!$AN$473))</f>
      </c>
      <c r="W471" s="30">
        <f>IF(OR(466&gt;$Z$1,NOT(OR('Your debts'!$B$14&lt;&gt;"",N('Your debts'!$C$14)&gt;0))),"",IF('Your debts'!$D$20="Avalanche",'Avalanche workings'!$AX$473,'Snowball workings'!$AX$473))</f>
      </c>
      <c r="X471" s="29">
        <f>IF(OR(466&gt;$Z$1,NOT(OR('Your debts'!$B$15&lt;&gt;"",N('Your debts'!$C$15)&gt;0))),"",IF('Your debts'!$D$20="Avalanche",'Avalanche workings'!$U$473,'Snowball workings'!$U$473)+IF('Your debts'!$D$20="Avalanche",'Avalanche workings'!$AO$473,'Snowball workings'!$AO$473))</f>
      </c>
      <c r="Y471" s="30">
        <f>IF(OR(466&gt;$Z$1,NOT(OR('Your debts'!$B$15&lt;&gt;"",N('Your debts'!$C$15)&gt;0))),"",IF('Your debts'!$D$20="Avalanche",'Avalanche workings'!$AY$473,'Snowball workings'!$AY$473))</f>
      </c>
    </row>
    <row r="472" spans="1:25" x14ac:dyDescent="0.25">
      <c r="A472" s="2">
        <f>IF(467&gt;$Z$1,"",467)</f>
      </c>
      <c r="B472" s="28">
        <f>IF(467&gt;$Z$1,"",EDATE('Your debts'!$D$21,466))</f>
      </c>
      <c r="C472" s="29">
        <f>IF(467&gt;$Z$1,"",IF('Your debts'!$D$20="Avalanche",'Avalanche workings'!$BC$474,'Snowball workings'!$BC$474))</f>
      </c>
      <c r="D472" s="29">
        <f>IF(467&gt;$Z$1,"",IF('Your debts'!$D$20="Avalanche",'Avalanche workings'!$BA$474,'Snowball workings'!$BA$474))</f>
      </c>
      <c r="E472" s="29">
        <f>IF(467&gt;$Z$1,"",IF('Your debts'!$D$20="Avalanche",'Avalanche workings'!$BB$474,'Snowball workings'!$BB$474))</f>
      </c>
      <c r="F472" s="29">
        <f>IF(OR(467&gt;$Z$1,NOT(OR('Your debts'!$B$6&lt;&gt;"",N('Your debts'!$C$6)&gt;0))),"",IF('Your debts'!$D$20="Avalanche",'Avalanche workings'!$L$474,'Snowball workings'!$L$474)+IF('Your debts'!$D$20="Avalanche",'Avalanche workings'!$AF$474,'Snowball workings'!$AF$474))</f>
      </c>
      <c r="G472" s="30">
        <f>IF(OR(467&gt;$Z$1,NOT(OR('Your debts'!$B$6&lt;&gt;"",N('Your debts'!$C$6)&gt;0))),"",IF('Your debts'!$D$20="Avalanche",'Avalanche workings'!$AP$474,'Snowball workings'!$AP$474))</f>
      </c>
      <c r="H472" s="29">
        <f>IF(OR(467&gt;$Z$1,NOT(OR('Your debts'!$B$7&lt;&gt;"",N('Your debts'!$C$7)&gt;0))),"",IF('Your debts'!$D$20="Avalanche",'Avalanche workings'!$M$474,'Snowball workings'!$M$474)+IF('Your debts'!$D$20="Avalanche",'Avalanche workings'!$AG$474,'Snowball workings'!$AG$474))</f>
      </c>
      <c r="I472" s="30">
        <f>IF(OR(467&gt;$Z$1,NOT(OR('Your debts'!$B$7&lt;&gt;"",N('Your debts'!$C$7)&gt;0))),"",IF('Your debts'!$D$20="Avalanche",'Avalanche workings'!$AQ$474,'Snowball workings'!$AQ$474))</f>
      </c>
      <c r="J472" s="29">
        <f>IF(OR(467&gt;$Z$1,NOT(OR('Your debts'!$B$8&lt;&gt;"",N('Your debts'!$C$8)&gt;0))),"",IF('Your debts'!$D$20="Avalanche",'Avalanche workings'!$N$474,'Snowball workings'!$N$474)+IF('Your debts'!$D$20="Avalanche",'Avalanche workings'!$AH$474,'Snowball workings'!$AH$474))</f>
      </c>
      <c r="K472" s="30">
        <f>IF(OR(467&gt;$Z$1,NOT(OR('Your debts'!$B$8&lt;&gt;"",N('Your debts'!$C$8)&gt;0))),"",IF('Your debts'!$D$20="Avalanche",'Avalanche workings'!$AR$474,'Snowball workings'!$AR$474))</f>
      </c>
      <c r="L472" s="29">
        <f>IF(OR(467&gt;$Z$1,NOT(OR('Your debts'!$B$9&lt;&gt;"",N('Your debts'!$C$9)&gt;0))),"",IF('Your debts'!$D$20="Avalanche",'Avalanche workings'!$O$474,'Snowball workings'!$O$474)+IF('Your debts'!$D$20="Avalanche",'Avalanche workings'!$AI$474,'Snowball workings'!$AI$474))</f>
      </c>
      <c r="M472" s="30">
        <f>IF(OR(467&gt;$Z$1,NOT(OR('Your debts'!$B$9&lt;&gt;"",N('Your debts'!$C$9)&gt;0))),"",IF('Your debts'!$D$20="Avalanche",'Avalanche workings'!$AS$474,'Snowball workings'!$AS$474))</f>
      </c>
      <c r="N472" s="29">
        <f>IF(OR(467&gt;$Z$1,NOT(OR('Your debts'!$B$10&lt;&gt;"",N('Your debts'!$C$10)&gt;0))),"",IF('Your debts'!$D$20="Avalanche",'Avalanche workings'!$P$474,'Snowball workings'!$P$474)+IF('Your debts'!$D$20="Avalanche",'Avalanche workings'!$AJ$474,'Snowball workings'!$AJ$474))</f>
      </c>
      <c r="O472" s="30">
        <f>IF(OR(467&gt;$Z$1,NOT(OR('Your debts'!$B$10&lt;&gt;"",N('Your debts'!$C$10)&gt;0))),"",IF('Your debts'!$D$20="Avalanche",'Avalanche workings'!$AT$474,'Snowball workings'!$AT$474))</f>
      </c>
      <c r="P472" s="29">
        <f>IF(OR(467&gt;$Z$1,NOT(OR('Your debts'!$B$11&lt;&gt;"",N('Your debts'!$C$11)&gt;0))),"",IF('Your debts'!$D$20="Avalanche",'Avalanche workings'!$Q$474,'Snowball workings'!$Q$474)+IF('Your debts'!$D$20="Avalanche",'Avalanche workings'!$AK$474,'Snowball workings'!$AK$474))</f>
      </c>
      <c r="Q472" s="30">
        <f>IF(OR(467&gt;$Z$1,NOT(OR('Your debts'!$B$11&lt;&gt;"",N('Your debts'!$C$11)&gt;0))),"",IF('Your debts'!$D$20="Avalanche",'Avalanche workings'!$AU$474,'Snowball workings'!$AU$474))</f>
      </c>
      <c r="R472" s="29">
        <f>IF(OR(467&gt;$Z$1,NOT(OR('Your debts'!$B$12&lt;&gt;"",N('Your debts'!$C$12)&gt;0))),"",IF('Your debts'!$D$20="Avalanche",'Avalanche workings'!$R$474,'Snowball workings'!$R$474)+IF('Your debts'!$D$20="Avalanche",'Avalanche workings'!$AL$474,'Snowball workings'!$AL$474))</f>
      </c>
      <c r="S472" s="30">
        <f>IF(OR(467&gt;$Z$1,NOT(OR('Your debts'!$B$12&lt;&gt;"",N('Your debts'!$C$12)&gt;0))),"",IF('Your debts'!$D$20="Avalanche",'Avalanche workings'!$AV$474,'Snowball workings'!$AV$474))</f>
      </c>
      <c r="T472" s="29">
        <f>IF(OR(467&gt;$Z$1,NOT(OR('Your debts'!$B$13&lt;&gt;"",N('Your debts'!$C$13)&gt;0))),"",IF('Your debts'!$D$20="Avalanche",'Avalanche workings'!$S$474,'Snowball workings'!$S$474)+IF('Your debts'!$D$20="Avalanche",'Avalanche workings'!$AM$474,'Snowball workings'!$AM$474))</f>
      </c>
      <c r="U472" s="30">
        <f>IF(OR(467&gt;$Z$1,NOT(OR('Your debts'!$B$13&lt;&gt;"",N('Your debts'!$C$13)&gt;0))),"",IF('Your debts'!$D$20="Avalanche",'Avalanche workings'!$AW$474,'Snowball workings'!$AW$474))</f>
      </c>
      <c r="V472" s="29">
        <f>IF(OR(467&gt;$Z$1,NOT(OR('Your debts'!$B$14&lt;&gt;"",N('Your debts'!$C$14)&gt;0))),"",IF('Your debts'!$D$20="Avalanche",'Avalanche workings'!$T$474,'Snowball workings'!$T$474)+IF('Your debts'!$D$20="Avalanche",'Avalanche workings'!$AN$474,'Snowball workings'!$AN$474))</f>
      </c>
      <c r="W472" s="30">
        <f>IF(OR(467&gt;$Z$1,NOT(OR('Your debts'!$B$14&lt;&gt;"",N('Your debts'!$C$14)&gt;0))),"",IF('Your debts'!$D$20="Avalanche",'Avalanche workings'!$AX$474,'Snowball workings'!$AX$474))</f>
      </c>
      <c r="X472" s="29">
        <f>IF(OR(467&gt;$Z$1,NOT(OR('Your debts'!$B$15&lt;&gt;"",N('Your debts'!$C$15)&gt;0))),"",IF('Your debts'!$D$20="Avalanche",'Avalanche workings'!$U$474,'Snowball workings'!$U$474)+IF('Your debts'!$D$20="Avalanche",'Avalanche workings'!$AO$474,'Snowball workings'!$AO$474))</f>
      </c>
      <c r="Y472" s="30">
        <f>IF(OR(467&gt;$Z$1,NOT(OR('Your debts'!$B$15&lt;&gt;"",N('Your debts'!$C$15)&gt;0))),"",IF('Your debts'!$D$20="Avalanche",'Avalanche workings'!$AY$474,'Snowball workings'!$AY$474))</f>
      </c>
    </row>
    <row r="473" spans="1:25" x14ac:dyDescent="0.25">
      <c r="A473" s="2">
        <f>IF(468&gt;$Z$1,"",468)</f>
      </c>
      <c r="B473" s="28">
        <f>IF(468&gt;$Z$1,"",EDATE('Your debts'!$D$21,467))</f>
      </c>
      <c r="C473" s="29">
        <f>IF(468&gt;$Z$1,"",IF('Your debts'!$D$20="Avalanche",'Avalanche workings'!$BC$475,'Snowball workings'!$BC$475))</f>
      </c>
      <c r="D473" s="29">
        <f>IF(468&gt;$Z$1,"",IF('Your debts'!$D$20="Avalanche",'Avalanche workings'!$BA$475,'Snowball workings'!$BA$475))</f>
      </c>
      <c r="E473" s="29">
        <f>IF(468&gt;$Z$1,"",IF('Your debts'!$D$20="Avalanche",'Avalanche workings'!$BB$475,'Snowball workings'!$BB$475))</f>
      </c>
      <c r="F473" s="29">
        <f>IF(OR(468&gt;$Z$1,NOT(OR('Your debts'!$B$6&lt;&gt;"",N('Your debts'!$C$6)&gt;0))),"",IF('Your debts'!$D$20="Avalanche",'Avalanche workings'!$L$475,'Snowball workings'!$L$475)+IF('Your debts'!$D$20="Avalanche",'Avalanche workings'!$AF$475,'Snowball workings'!$AF$475))</f>
      </c>
      <c r="G473" s="30">
        <f>IF(OR(468&gt;$Z$1,NOT(OR('Your debts'!$B$6&lt;&gt;"",N('Your debts'!$C$6)&gt;0))),"",IF('Your debts'!$D$20="Avalanche",'Avalanche workings'!$AP$475,'Snowball workings'!$AP$475))</f>
      </c>
      <c r="H473" s="29">
        <f>IF(OR(468&gt;$Z$1,NOT(OR('Your debts'!$B$7&lt;&gt;"",N('Your debts'!$C$7)&gt;0))),"",IF('Your debts'!$D$20="Avalanche",'Avalanche workings'!$M$475,'Snowball workings'!$M$475)+IF('Your debts'!$D$20="Avalanche",'Avalanche workings'!$AG$475,'Snowball workings'!$AG$475))</f>
      </c>
      <c r="I473" s="30">
        <f>IF(OR(468&gt;$Z$1,NOT(OR('Your debts'!$B$7&lt;&gt;"",N('Your debts'!$C$7)&gt;0))),"",IF('Your debts'!$D$20="Avalanche",'Avalanche workings'!$AQ$475,'Snowball workings'!$AQ$475))</f>
      </c>
      <c r="J473" s="29">
        <f>IF(OR(468&gt;$Z$1,NOT(OR('Your debts'!$B$8&lt;&gt;"",N('Your debts'!$C$8)&gt;0))),"",IF('Your debts'!$D$20="Avalanche",'Avalanche workings'!$N$475,'Snowball workings'!$N$475)+IF('Your debts'!$D$20="Avalanche",'Avalanche workings'!$AH$475,'Snowball workings'!$AH$475))</f>
      </c>
      <c r="K473" s="30">
        <f>IF(OR(468&gt;$Z$1,NOT(OR('Your debts'!$B$8&lt;&gt;"",N('Your debts'!$C$8)&gt;0))),"",IF('Your debts'!$D$20="Avalanche",'Avalanche workings'!$AR$475,'Snowball workings'!$AR$475))</f>
      </c>
      <c r="L473" s="29">
        <f>IF(OR(468&gt;$Z$1,NOT(OR('Your debts'!$B$9&lt;&gt;"",N('Your debts'!$C$9)&gt;0))),"",IF('Your debts'!$D$20="Avalanche",'Avalanche workings'!$O$475,'Snowball workings'!$O$475)+IF('Your debts'!$D$20="Avalanche",'Avalanche workings'!$AI$475,'Snowball workings'!$AI$475))</f>
      </c>
      <c r="M473" s="30">
        <f>IF(OR(468&gt;$Z$1,NOT(OR('Your debts'!$B$9&lt;&gt;"",N('Your debts'!$C$9)&gt;0))),"",IF('Your debts'!$D$20="Avalanche",'Avalanche workings'!$AS$475,'Snowball workings'!$AS$475))</f>
      </c>
      <c r="N473" s="29">
        <f>IF(OR(468&gt;$Z$1,NOT(OR('Your debts'!$B$10&lt;&gt;"",N('Your debts'!$C$10)&gt;0))),"",IF('Your debts'!$D$20="Avalanche",'Avalanche workings'!$P$475,'Snowball workings'!$P$475)+IF('Your debts'!$D$20="Avalanche",'Avalanche workings'!$AJ$475,'Snowball workings'!$AJ$475))</f>
      </c>
      <c r="O473" s="30">
        <f>IF(OR(468&gt;$Z$1,NOT(OR('Your debts'!$B$10&lt;&gt;"",N('Your debts'!$C$10)&gt;0))),"",IF('Your debts'!$D$20="Avalanche",'Avalanche workings'!$AT$475,'Snowball workings'!$AT$475))</f>
      </c>
      <c r="P473" s="29">
        <f>IF(OR(468&gt;$Z$1,NOT(OR('Your debts'!$B$11&lt;&gt;"",N('Your debts'!$C$11)&gt;0))),"",IF('Your debts'!$D$20="Avalanche",'Avalanche workings'!$Q$475,'Snowball workings'!$Q$475)+IF('Your debts'!$D$20="Avalanche",'Avalanche workings'!$AK$475,'Snowball workings'!$AK$475))</f>
      </c>
      <c r="Q473" s="30">
        <f>IF(OR(468&gt;$Z$1,NOT(OR('Your debts'!$B$11&lt;&gt;"",N('Your debts'!$C$11)&gt;0))),"",IF('Your debts'!$D$20="Avalanche",'Avalanche workings'!$AU$475,'Snowball workings'!$AU$475))</f>
      </c>
      <c r="R473" s="29">
        <f>IF(OR(468&gt;$Z$1,NOT(OR('Your debts'!$B$12&lt;&gt;"",N('Your debts'!$C$12)&gt;0))),"",IF('Your debts'!$D$20="Avalanche",'Avalanche workings'!$R$475,'Snowball workings'!$R$475)+IF('Your debts'!$D$20="Avalanche",'Avalanche workings'!$AL$475,'Snowball workings'!$AL$475))</f>
      </c>
      <c r="S473" s="30">
        <f>IF(OR(468&gt;$Z$1,NOT(OR('Your debts'!$B$12&lt;&gt;"",N('Your debts'!$C$12)&gt;0))),"",IF('Your debts'!$D$20="Avalanche",'Avalanche workings'!$AV$475,'Snowball workings'!$AV$475))</f>
      </c>
      <c r="T473" s="29">
        <f>IF(OR(468&gt;$Z$1,NOT(OR('Your debts'!$B$13&lt;&gt;"",N('Your debts'!$C$13)&gt;0))),"",IF('Your debts'!$D$20="Avalanche",'Avalanche workings'!$S$475,'Snowball workings'!$S$475)+IF('Your debts'!$D$20="Avalanche",'Avalanche workings'!$AM$475,'Snowball workings'!$AM$475))</f>
      </c>
      <c r="U473" s="30">
        <f>IF(OR(468&gt;$Z$1,NOT(OR('Your debts'!$B$13&lt;&gt;"",N('Your debts'!$C$13)&gt;0))),"",IF('Your debts'!$D$20="Avalanche",'Avalanche workings'!$AW$475,'Snowball workings'!$AW$475))</f>
      </c>
      <c r="V473" s="29">
        <f>IF(OR(468&gt;$Z$1,NOT(OR('Your debts'!$B$14&lt;&gt;"",N('Your debts'!$C$14)&gt;0))),"",IF('Your debts'!$D$20="Avalanche",'Avalanche workings'!$T$475,'Snowball workings'!$T$475)+IF('Your debts'!$D$20="Avalanche",'Avalanche workings'!$AN$475,'Snowball workings'!$AN$475))</f>
      </c>
      <c r="W473" s="30">
        <f>IF(OR(468&gt;$Z$1,NOT(OR('Your debts'!$B$14&lt;&gt;"",N('Your debts'!$C$14)&gt;0))),"",IF('Your debts'!$D$20="Avalanche",'Avalanche workings'!$AX$475,'Snowball workings'!$AX$475))</f>
      </c>
      <c r="X473" s="29">
        <f>IF(OR(468&gt;$Z$1,NOT(OR('Your debts'!$B$15&lt;&gt;"",N('Your debts'!$C$15)&gt;0))),"",IF('Your debts'!$D$20="Avalanche",'Avalanche workings'!$U$475,'Snowball workings'!$U$475)+IF('Your debts'!$D$20="Avalanche",'Avalanche workings'!$AO$475,'Snowball workings'!$AO$475))</f>
      </c>
      <c r="Y473" s="30">
        <f>IF(OR(468&gt;$Z$1,NOT(OR('Your debts'!$B$15&lt;&gt;"",N('Your debts'!$C$15)&gt;0))),"",IF('Your debts'!$D$20="Avalanche",'Avalanche workings'!$AY$475,'Snowball workings'!$AY$475))</f>
      </c>
    </row>
    <row r="474" spans="1:25" x14ac:dyDescent="0.25">
      <c r="A474" s="2">
        <f>IF(469&gt;$Z$1,"",469)</f>
      </c>
      <c r="B474" s="28">
        <f>IF(469&gt;$Z$1,"",EDATE('Your debts'!$D$21,468))</f>
      </c>
      <c r="C474" s="29">
        <f>IF(469&gt;$Z$1,"",IF('Your debts'!$D$20="Avalanche",'Avalanche workings'!$BC$476,'Snowball workings'!$BC$476))</f>
      </c>
      <c r="D474" s="29">
        <f>IF(469&gt;$Z$1,"",IF('Your debts'!$D$20="Avalanche",'Avalanche workings'!$BA$476,'Snowball workings'!$BA$476))</f>
      </c>
      <c r="E474" s="29">
        <f>IF(469&gt;$Z$1,"",IF('Your debts'!$D$20="Avalanche",'Avalanche workings'!$BB$476,'Snowball workings'!$BB$476))</f>
      </c>
      <c r="F474" s="29">
        <f>IF(OR(469&gt;$Z$1,NOT(OR('Your debts'!$B$6&lt;&gt;"",N('Your debts'!$C$6)&gt;0))),"",IF('Your debts'!$D$20="Avalanche",'Avalanche workings'!$L$476,'Snowball workings'!$L$476)+IF('Your debts'!$D$20="Avalanche",'Avalanche workings'!$AF$476,'Snowball workings'!$AF$476))</f>
      </c>
      <c r="G474" s="30">
        <f>IF(OR(469&gt;$Z$1,NOT(OR('Your debts'!$B$6&lt;&gt;"",N('Your debts'!$C$6)&gt;0))),"",IF('Your debts'!$D$20="Avalanche",'Avalanche workings'!$AP$476,'Snowball workings'!$AP$476))</f>
      </c>
      <c r="H474" s="29">
        <f>IF(OR(469&gt;$Z$1,NOT(OR('Your debts'!$B$7&lt;&gt;"",N('Your debts'!$C$7)&gt;0))),"",IF('Your debts'!$D$20="Avalanche",'Avalanche workings'!$M$476,'Snowball workings'!$M$476)+IF('Your debts'!$D$20="Avalanche",'Avalanche workings'!$AG$476,'Snowball workings'!$AG$476))</f>
      </c>
      <c r="I474" s="30">
        <f>IF(OR(469&gt;$Z$1,NOT(OR('Your debts'!$B$7&lt;&gt;"",N('Your debts'!$C$7)&gt;0))),"",IF('Your debts'!$D$20="Avalanche",'Avalanche workings'!$AQ$476,'Snowball workings'!$AQ$476))</f>
      </c>
      <c r="J474" s="29">
        <f>IF(OR(469&gt;$Z$1,NOT(OR('Your debts'!$B$8&lt;&gt;"",N('Your debts'!$C$8)&gt;0))),"",IF('Your debts'!$D$20="Avalanche",'Avalanche workings'!$N$476,'Snowball workings'!$N$476)+IF('Your debts'!$D$20="Avalanche",'Avalanche workings'!$AH$476,'Snowball workings'!$AH$476))</f>
      </c>
      <c r="K474" s="30">
        <f>IF(OR(469&gt;$Z$1,NOT(OR('Your debts'!$B$8&lt;&gt;"",N('Your debts'!$C$8)&gt;0))),"",IF('Your debts'!$D$20="Avalanche",'Avalanche workings'!$AR$476,'Snowball workings'!$AR$476))</f>
      </c>
      <c r="L474" s="29">
        <f>IF(OR(469&gt;$Z$1,NOT(OR('Your debts'!$B$9&lt;&gt;"",N('Your debts'!$C$9)&gt;0))),"",IF('Your debts'!$D$20="Avalanche",'Avalanche workings'!$O$476,'Snowball workings'!$O$476)+IF('Your debts'!$D$20="Avalanche",'Avalanche workings'!$AI$476,'Snowball workings'!$AI$476))</f>
      </c>
      <c r="M474" s="30">
        <f>IF(OR(469&gt;$Z$1,NOT(OR('Your debts'!$B$9&lt;&gt;"",N('Your debts'!$C$9)&gt;0))),"",IF('Your debts'!$D$20="Avalanche",'Avalanche workings'!$AS$476,'Snowball workings'!$AS$476))</f>
      </c>
      <c r="N474" s="29">
        <f>IF(OR(469&gt;$Z$1,NOT(OR('Your debts'!$B$10&lt;&gt;"",N('Your debts'!$C$10)&gt;0))),"",IF('Your debts'!$D$20="Avalanche",'Avalanche workings'!$P$476,'Snowball workings'!$P$476)+IF('Your debts'!$D$20="Avalanche",'Avalanche workings'!$AJ$476,'Snowball workings'!$AJ$476))</f>
      </c>
      <c r="O474" s="30">
        <f>IF(OR(469&gt;$Z$1,NOT(OR('Your debts'!$B$10&lt;&gt;"",N('Your debts'!$C$10)&gt;0))),"",IF('Your debts'!$D$20="Avalanche",'Avalanche workings'!$AT$476,'Snowball workings'!$AT$476))</f>
      </c>
      <c r="P474" s="29">
        <f>IF(OR(469&gt;$Z$1,NOT(OR('Your debts'!$B$11&lt;&gt;"",N('Your debts'!$C$11)&gt;0))),"",IF('Your debts'!$D$20="Avalanche",'Avalanche workings'!$Q$476,'Snowball workings'!$Q$476)+IF('Your debts'!$D$20="Avalanche",'Avalanche workings'!$AK$476,'Snowball workings'!$AK$476))</f>
      </c>
      <c r="Q474" s="30">
        <f>IF(OR(469&gt;$Z$1,NOT(OR('Your debts'!$B$11&lt;&gt;"",N('Your debts'!$C$11)&gt;0))),"",IF('Your debts'!$D$20="Avalanche",'Avalanche workings'!$AU$476,'Snowball workings'!$AU$476))</f>
      </c>
      <c r="R474" s="29">
        <f>IF(OR(469&gt;$Z$1,NOT(OR('Your debts'!$B$12&lt;&gt;"",N('Your debts'!$C$12)&gt;0))),"",IF('Your debts'!$D$20="Avalanche",'Avalanche workings'!$R$476,'Snowball workings'!$R$476)+IF('Your debts'!$D$20="Avalanche",'Avalanche workings'!$AL$476,'Snowball workings'!$AL$476))</f>
      </c>
      <c r="S474" s="30">
        <f>IF(OR(469&gt;$Z$1,NOT(OR('Your debts'!$B$12&lt;&gt;"",N('Your debts'!$C$12)&gt;0))),"",IF('Your debts'!$D$20="Avalanche",'Avalanche workings'!$AV$476,'Snowball workings'!$AV$476))</f>
      </c>
      <c r="T474" s="29">
        <f>IF(OR(469&gt;$Z$1,NOT(OR('Your debts'!$B$13&lt;&gt;"",N('Your debts'!$C$13)&gt;0))),"",IF('Your debts'!$D$20="Avalanche",'Avalanche workings'!$S$476,'Snowball workings'!$S$476)+IF('Your debts'!$D$20="Avalanche",'Avalanche workings'!$AM$476,'Snowball workings'!$AM$476))</f>
      </c>
      <c r="U474" s="30">
        <f>IF(OR(469&gt;$Z$1,NOT(OR('Your debts'!$B$13&lt;&gt;"",N('Your debts'!$C$13)&gt;0))),"",IF('Your debts'!$D$20="Avalanche",'Avalanche workings'!$AW$476,'Snowball workings'!$AW$476))</f>
      </c>
      <c r="V474" s="29">
        <f>IF(OR(469&gt;$Z$1,NOT(OR('Your debts'!$B$14&lt;&gt;"",N('Your debts'!$C$14)&gt;0))),"",IF('Your debts'!$D$20="Avalanche",'Avalanche workings'!$T$476,'Snowball workings'!$T$476)+IF('Your debts'!$D$20="Avalanche",'Avalanche workings'!$AN$476,'Snowball workings'!$AN$476))</f>
      </c>
      <c r="W474" s="30">
        <f>IF(OR(469&gt;$Z$1,NOT(OR('Your debts'!$B$14&lt;&gt;"",N('Your debts'!$C$14)&gt;0))),"",IF('Your debts'!$D$20="Avalanche",'Avalanche workings'!$AX$476,'Snowball workings'!$AX$476))</f>
      </c>
      <c r="X474" s="29">
        <f>IF(OR(469&gt;$Z$1,NOT(OR('Your debts'!$B$15&lt;&gt;"",N('Your debts'!$C$15)&gt;0))),"",IF('Your debts'!$D$20="Avalanche",'Avalanche workings'!$U$476,'Snowball workings'!$U$476)+IF('Your debts'!$D$20="Avalanche",'Avalanche workings'!$AO$476,'Snowball workings'!$AO$476))</f>
      </c>
      <c r="Y474" s="30">
        <f>IF(OR(469&gt;$Z$1,NOT(OR('Your debts'!$B$15&lt;&gt;"",N('Your debts'!$C$15)&gt;0))),"",IF('Your debts'!$D$20="Avalanche",'Avalanche workings'!$AY$476,'Snowball workings'!$AY$476))</f>
      </c>
    </row>
    <row r="475" spans="1:25" x14ac:dyDescent="0.25">
      <c r="A475" s="2">
        <f>IF(470&gt;$Z$1,"",470)</f>
      </c>
      <c r="B475" s="28">
        <f>IF(470&gt;$Z$1,"",EDATE('Your debts'!$D$21,469))</f>
      </c>
      <c r="C475" s="29">
        <f>IF(470&gt;$Z$1,"",IF('Your debts'!$D$20="Avalanche",'Avalanche workings'!$BC$477,'Snowball workings'!$BC$477))</f>
      </c>
      <c r="D475" s="29">
        <f>IF(470&gt;$Z$1,"",IF('Your debts'!$D$20="Avalanche",'Avalanche workings'!$BA$477,'Snowball workings'!$BA$477))</f>
      </c>
      <c r="E475" s="29">
        <f>IF(470&gt;$Z$1,"",IF('Your debts'!$D$20="Avalanche",'Avalanche workings'!$BB$477,'Snowball workings'!$BB$477))</f>
      </c>
      <c r="F475" s="29">
        <f>IF(OR(470&gt;$Z$1,NOT(OR('Your debts'!$B$6&lt;&gt;"",N('Your debts'!$C$6)&gt;0))),"",IF('Your debts'!$D$20="Avalanche",'Avalanche workings'!$L$477,'Snowball workings'!$L$477)+IF('Your debts'!$D$20="Avalanche",'Avalanche workings'!$AF$477,'Snowball workings'!$AF$477))</f>
      </c>
      <c r="G475" s="30">
        <f>IF(OR(470&gt;$Z$1,NOT(OR('Your debts'!$B$6&lt;&gt;"",N('Your debts'!$C$6)&gt;0))),"",IF('Your debts'!$D$20="Avalanche",'Avalanche workings'!$AP$477,'Snowball workings'!$AP$477))</f>
      </c>
      <c r="H475" s="29">
        <f>IF(OR(470&gt;$Z$1,NOT(OR('Your debts'!$B$7&lt;&gt;"",N('Your debts'!$C$7)&gt;0))),"",IF('Your debts'!$D$20="Avalanche",'Avalanche workings'!$M$477,'Snowball workings'!$M$477)+IF('Your debts'!$D$20="Avalanche",'Avalanche workings'!$AG$477,'Snowball workings'!$AG$477))</f>
      </c>
      <c r="I475" s="30">
        <f>IF(OR(470&gt;$Z$1,NOT(OR('Your debts'!$B$7&lt;&gt;"",N('Your debts'!$C$7)&gt;0))),"",IF('Your debts'!$D$20="Avalanche",'Avalanche workings'!$AQ$477,'Snowball workings'!$AQ$477))</f>
      </c>
      <c r="J475" s="29">
        <f>IF(OR(470&gt;$Z$1,NOT(OR('Your debts'!$B$8&lt;&gt;"",N('Your debts'!$C$8)&gt;0))),"",IF('Your debts'!$D$20="Avalanche",'Avalanche workings'!$N$477,'Snowball workings'!$N$477)+IF('Your debts'!$D$20="Avalanche",'Avalanche workings'!$AH$477,'Snowball workings'!$AH$477))</f>
      </c>
      <c r="K475" s="30">
        <f>IF(OR(470&gt;$Z$1,NOT(OR('Your debts'!$B$8&lt;&gt;"",N('Your debts'!$C$8)&gt;0))),"",IF('Your debts'!$D$20="Avalanche",'Avalanche workings'!$AR$477,'Snowball workings'!$AR$477))</f>
      </c>
      <c r="L475" s="29">
        <f>IF(OR(470&gt;$Z$1,NOT(OR('Your debts'!$B$9&lt;&gt;"",N('Your debts'!$C$9)&gt;0))),"",IF('Your debts'!$D$20="Avalanche",'Avalanche workings'!$O$477,'Snowball workings'!$O$477)+IF('Your debts'!$D$20="Avalanche",'Avalanche workings'!$AI$477,'Snowball workings'!$AI$477))</f>
      </c>
      <c r="M475" s="30">
        <f>IF(OR(470&gt;$Z$1,NOT(OR('Your debts'!$B$9&lt;&gt;"",N('Your debts'!$C$9)&gt;0))),"",IF('Your debts'!$D$20="Avalanche",'Avalanche workings'!$AS$477,'Snowball workings'!$AS$477))</f>
      </c>
      <c r="N475" s="29">
        <f>IF(OR(470&gt;$Z$1,NOT(OR('Your debts'!$B$10&lt;&gt;"",N('Your debts'!$C$10)&gt;0))),"",IF('Your debts'!$D$20="Avalanche",'Avalanche workings'!$P$477,'Snowball workings'!$P$477)+IF('Your debts'!$D$20="Avalanche",'Avalanche workings'!$AJ$477,'Snowball workings'!$AJ$477))</f>
      </c>
      <c r="O475" s="30">
        <f>IF(OR(470&gt;$Z$1,NOT(OR('Your debts'!$B$10&lt;&gt;"",N('Your debts'!$C$10)&gt;0))),"",IF('Your debts'!$D$20="Avalanche",'Avalanche workings'!$AT$477,'Snowball workings'!$AT$477))</f>
      </c>
      <c r="P475" s="29">
        <f>IF(OR(470&gt;$Z$1,NOT(OR('Your debts'!$B$11&lt;&gt;"",N('Your debts'!$C$11)&gt;0))),"",IF('Your debts'!$D$20="Avalanche",'Avalanche workings'!$Q$477,'Snowball workings'!$Q$477)+IF('Your debts'!$D$20="Avalanche",'Avalanche workings'!$AK$477,'Snowball workings'!$AK$477))</f>
      </c>
      <c r="Q475" s="30">
        <f>IF(OR(470&gt;$Z$1,NOT(OR('Your debts'!$B$11&lt;&gt;"",N('Your debts'!$C$11)&gt;0))),"",IF('Your debts'!$D$20="Avalanche",'Avalanche workings'!$AU$477,'Snowball workings'!$AU$477))</f>
      </c>
      <c r="R475" s="29">
        <f>IF(OR(470&gt;$Z$1,NOT(OR('Your debts'!$B$12&lt;&gt;"",N('Your debts'!$C$12)&gt;0))),"",IF('Your debts'!$D$20="Avalanche",'Avalanche workings'!$R$477,'Snowball workings'!$R$477)+IF('Your debts'!$D$20="Avalanche",'Avalanche workings'!$AL$477,'Snowball workings'!$AL$477))</f>
      </c>
      <c r="S475" s="30">
        <f>IF(OR(470&gt;$Z$1,NOT(OR('Your debts'!$B$12&lt;&gt;"",N('Your debts'!$C$12)&gt;0))),"",IF('Your debts'!$D$20="Avalanche",'Avalanche workings'!$AV$477,'Snowball workings'!$AV$477))</f>
      </c>
      <c r="T475" s="29">
        <f>IF(OR(470&gt;$Z$1,NOT(OR('Your debts'!$B$13&lt;&gt;"",N('Your debts'!$C$13)&gt;0))),"",IF('Your debts'!$D$20="Avalanche",'Avalanche workings'!$S$477,'Snowball workings'!$S$477)+IF('Your debts'!$D$20="Avalanche",'Avalanche workings'!$AM$477,'Snowball workings'!$AM$477))</f>
      </c>
      <c r="U475" s="30">
        <f>IF(OR(470&gt;$Z$1,NOT(OR('Your debts'!$B$13&lt;&gt;"",N('Your debts'!$C$13)&gt;0))),"",IF('Your debts'!$D$20="Avalanche",'Avalanche workings'!$AW$477,'Snowball workings'!$AW$477))</f>
      </c>
      <c r="V475" s="29">
        <f>IF(OR(470&gt;$Z$1,NOT(OR('Your debts'!$B$14&lt;&gt;"",N('Your debts'!$C$14)&gt;0))),"",IF('Your debts'!$D$20="Avalanche",'Avalanche workings'!$T$477,'Snowball workings'!$T$477)+IF('Your debts'!$D$20="Avalanche",'Avalanche workings'!$AN$477,'Snowball workings'!$AN$477))</f>
      </c>
      <c r="W475" s="30">
        <f>IF(OR(470&gt;$Z$1,NOT(OR('Your debts'!$B$14&lt;&gt;"",N('Your debts'!$C$14)&gt;0))),"",IF('Your debts'!$D$20="Avalanche",'Avalanche workings'!$AX$477,'Snowball workings'!$AX$477))</f>
      </c>
      <c r="X475" s="29">
        <f>IF(OR(470&gt;$Z$1,NOT(OR('Your debts'!$B$15&lt;&gt;"",N('Your debts'!$C$15)&gt;0))),"",IF('Your debts'!$D$20="Avalanche",'Avalanche workings'!$U$477,'Snowball workings'!$U$477)+IF('Your debts'!$D$20="Avalanche",'Avalanche workings'!$AO$477,'Snowball workings'!$AO$477))</f>
      </c>
      <c r="Y475" s="30">
        <f>IF(OR(470&gt;$Z$1,NOT(OR('Your debts'!$B$15&lt;&gt;"",N('Your debts'!$C$15)&gt;0))),"",IF('Your debts'!$D$20="Avalanche",'Avalanche workings'!$AY$477,'Snowball workings'!$AY$477))</f>
      </c>
    </row>
    <row r="476" spans="1:25" x14ac:dyDescent="0.25">
      <c r="A476" s="2">
        <f>IF(471&gt;$Z$1,"",471)</f>
      </c>
      <c r="B476" s="28">
        <f>IF(471&gt;$Z$1,"",EDATE('Your debts'!$D$21,470))</f>
      </c>
      <c r="C476" s="29">
        <f>IF(471&gt;$Z$1,"",IF('Your debts'!$D$20="Avalanche",'Avalanche workings'!$BC$478,'Snowball workings'!$BC$478))</f>
      </c>
      <c r="D476" s="29">
        <f>IF(471&gt;$Z$1,"",IF('Your debts'!$D$20="Avalanche",'Avalanche workings'!$BA$478,'Snowball workings'!$BA$478))</f>
      </c>
      <c r="E476" s="29">
        <f>IF(471&gt;$Z$1,"",IF('Your debts'!$D$20="Avalanche",'Avalanche workings'!$BB$478,'Snowball workings'!$BB$478))</f>
      </c>
      <c r="F476" s="29">
        <f>IF(OR(471&gt;$Z$1,NOT(OR('Your debts'!$B$6&lt;&gt;"",N('Your debts'!$C$6)&gt;0))),"",IF('Your debts'!$D$20="Avalanche",'Avalanche workings'!$L$478,'Snowball workings'!$L$478)+IF('Your debts'!$D$20="Avalanche",'Avalanche workings'!$AF$478,'Snowball workings'!$AF$478))</f>
      </c>
      <c r="G476" s="30">
        <f>IF(OR(471&gt;$Z$1,NOT(OR('Your debts'!$B$6&lt;&gt;"",N('Your debts'!$C$6)&gt;0))),"",IF('Your debts'!$D$20="Avalanche",'Avalanche workings'!$AP$478,'Snowball workings'!$AP$478))</f>
      </c>
      <c r="H476" s="29">
        <f>IF(OR(471&gt;$Z$1,NOT(OR('Your debts'!$B$7&lt;&gt;"",N('Your debts'!$C$7)&gt;0))),"",IF('Your debts'!$D$20="Avalanche",'Avalanche workings'!$M$478,'Snowball workings'!$M$478)+IF('Your debts'!$D$20="Avalanche",'Avalanche workings'!$AG$478,'Snowball workings'!$AG$478))</f>
      </c>
      <c r="I476" s="30">
        <f>IF(OR(471&gt;$Z$1,NOT(OR('Your debts'!$B$7&lt;&gt;"",N('Your debts'!$C$7)&gt;0))),"",IF('Your debts'!$D$20="Avalanche",'Avalanche workings'!$AQ$478,'Snowball workings'!$AQ$478))</f>
      </c>
      <c r="J476" s="29">
        <f>IF(OR(471&gt;$Z$1,NOT(OR('Your debts'!$B$8&lt;&gt;"",N('Your debts'!$C$8)&gt;0))),"",IF('Your debts'!$D$20="Avalanche",'Avalanche workings'!$N$478,'Snowball workings'!$N$478)+IF('Your debts'!$D$20="Avalanche",'Avalanche workings'!$AH$478,'Snowball workings'!$AH$478))</f>
      </c>
      <c r="K476" s="30">
        <f>IF(OR(471&gt;$Z$1,NOT(OR('Your debts'!$B$8&lt;&gt;"",N('Your debts'!$C$8)&gt;0))),"",IF('Your debts'!$D$20="Avalanche",'Avalanche workings'!$AR$478,'Snowball workings'!$AR$478))</f>
      </c>
      <c r="L476" s="29">
        <f>IF(OR(471&gt;$Z$1,NOT(OR('Your debts'!$B$9&lt;&gt;"",N('Your debts'!$C$9)&gt;0))),"",IF('Your debts'!$D$20="Avalanche",'Avalanche workings'!$O$478,'Snowball workings'!$O$478)+IF('Your debts'!$D$20="Avalanche",'Avalanche workings'!$AI$478,'Snowball workings'!$AI$478))</f>
      </c>
      <c r="M476" s="30">
        <f>IF(OR(471&gt;$Z$1,NOT(OR('Your debts'!$B$9&lt;&gt;"",N('Your debts'!$C$9)&gt;0))),"",IF('Your debts'!$D$20="Avalanche",'Avalanche workings'!$AS$478,'Snowball workings'!$AS$478))</f>
      </c>
      <c r="N476" s="29">
        <f>IF(OR(471&gt;$Z$1,NOT(OR('Your debts'!$B$10&lt;&gt;"",N('Your debts'!$C$10)&gt;0))),"",IF('Your debts'!$D$20="Avalanche",'Avalanche workings'!$P$478,'Snowball workings'!$P$478)+IF('Your debts'!$D$20="Avalanche",'Avalanche workings'!$AJ$478,'Snowball workings'!$AJ$478))</f>
      </c>
      <c r="O476" s="30">
        <f>IF(OR(471&gt;$Z$1,NOT(OR('Your debts'!$B$10&lt;&gt;"",N('Your debts'!$C$10)&gt;0))),"",IF('Your debts'!$D$20="Avalanche",'Avalanche workings'!$AT$478,'Snowball workings'!$AT$478))</f>
      </c>
      <c r="P476" s="29">
        <f>IF(OR(471&gt;$Z$1,NOT(OR('Your debts'!$B$11&lt;&gt;"",N('Your debts'!$C$11)&gt;0))),"",IF('Your debts'!$D$20="Avalanche",'Avalanche workings'!$Q$478,'Snowball workings'!$Q$478)+IF('Your debts'!$D$20="Avalanche",'Avalanche workings'!$AK$478,'Snowball workings'!$AK$478))</f>
      </c>
      <c r="Q476" s="30">
        <f>IF(OR(471&gt;$Z$1,NOT(OR('Your debts'!$B$11&lt;&gt;"",N('Your debts'!$C$11)&gt;0))),"",IF('Your debts'!$D$20="Avalanche",'Avalanche workings'!$AU$478,'Snowball workings'!$AU$478))</f>
      </c>
      <c r="R476" s="29">
        <f>IF(OR(471&gt;$Z$1,NOT(OR('Your debts'!$B$12&lt;&gt;"",N('Your debts'!$C$12)&gt;0))),"",IF('Your debts'!$D$20="Avalanche",'Avalanche workings'!$R$478,'Snowball workings'!$R$478)+IF('Your debts'!$D$20="Avalanche",'Avalanche workings'!$AL$478,'Snowball workings'!$AL$478))</f>
      </c>
      <c r="S476" s="30">
        <f>IF(OR(471&gt;$Z$1,NOT(OR('Your debts'!$B$12&lt;&gt;"",N('Your debts'!$C$12)&gt;0))),"",IF('Your debts'!$D$20="Avalanche",'Avalanche workings'!$AV$478,'Snowball workings'!$AV$478))</f>
      </c>
      <c r="T476" s="29">
        <f>IF(OR(471&gt;$Z$1,NOT(OR('Your debts'!$B$13&lt;&gt;"",N('Your debts'!$C$13)&gt;0))),"",IF('Your debts'!$D$20="Avalanche",'Avalanche workings'!$S$478,'Snowball workings'!$S$478)+IF('Your debts'!$D$20="Avalanche",'Avalanche workings'!$AM$478,'Snowball workings'!$AM$478))</f>
      </c>
      <c r="U476" s="30">
        <f>IF(OR(471&gt;$Z$1,NOT(OR('Your debts'!$B$13&lt;&gt;"",N('Your debts'!$C$13)&gt;0))),"",IF('Your debts'!$D$20="Avalanche",'Avalanche workings'!$AW$478,'Snowball workings'!$AW$478))</f>
      </c>
      <c r="V476" s="29">
        <f>IF(OR(471&gt;$Z$1,NOT(OR('Your debts'!$B$14&lt;&gt;"",N('Your debts'!$C$14)&gt;0))),"",IF('Your debts'!$D$20="Avalanche",'Avalanche workings'!$T$478,'Snowball workings'!$T$478)+IF('Your debts'!$D$20="Avalanche",'Avalanche workings'!$AN$478,'Snowball workings'!$AN$478))</f>
      </c>
      <c r="W476" s="30">
        <f>IF(OR(471&gt;$Z$1,NOT(OR('Your debts'!$B$14&lt;&gt;"",N('Your debts'!$C$14)&gt;0))),"",IF('Your debts'!$D$20="Avalanche",'Avalanche workings'!$AX$478,'Snowball workings'!$AX$478))</f>
      </c>
      <c r="X476" s="29">
        <f>IF(OR(471&gt;$Z$1,NOT(OR('Your debts'!$B$15&lt;&gt;"",N('Your debts'!$C$15)&gt;0))),"",IF('Your debts'!$D$20="Avalanche",'Avalanche workings'!$U$478,'Snowball workings'!$U$478)+IF('Your debts'!$D$20="Avalanche",'Avalanche workings'!$AO$478,'Snowball workings'!$AO$478))</f>
      </c>
      <c r="Y476" s="30">
        <f>IF(OR(471&gt;$Z$1,NOT(OR('Your debts'!$B$15&lt;&gt;"",N('Your debts'!$C$15)&gt;0))),"",IF('Your debts'!$D$20="Avalanche",'Avalanche workings'!$AY$478,'Snowball workings'!$AY$478))</f>
      </c>
    </row>
    <row r="477" spans="1:25" x14ac:dyDescent="0.25">
      <c r="A477" s="2">
        <f>IF(472&gt;$Z$1,"",472)</f>
      </c>
      <c r="B477" s="28">
        <f>IF(472&gt;$Z$1,"",EDATE('Your debts'!$D$21,471))</f>
      </c>
      <c r="C477" s="29">
        <f>IF(472&gt;$Z$1,"",IF('Your debts'!$D$20="Avalanche",'Avalanche workings'!$BC$479,'Snowball workings'!$BC$479))</f>
      </c>
      <c r="D477" s="29">
        <f>IF(472&gt;$Z$1,"",IF('Your debts'!$D$20="Avalanche",'Avalanche workings'!$BA$479,'Snowball workings'!$BA$479))</f>
      </c>
      <c r="E477" s="29">
        <f>IF(472&gt;$Z$1,"",IF('Your debts'!$D$20="Avalanche",'Avalanche workings'!$BB$479,'Snowball workings'!$BB$479))</f>
      </c>
      <c r="F477" s="29">
        <f>IF(OR(472&gt;$Z$1,NOT(OR('Your debts'!$B$6&lt;&gt;"",N('Your debts'!$C$6)&gt;0))),"",IF('Your debts'!$D$20="Avalanche",'Avalanche workings'!$L$479,'Snowball workings'!$L$479)+IF('Your debts'!$D$20="Avalanche",'Avalanche workings'!$AF$479,'Snowball workings'!$AF$479))</f>
      </c>
      <c r="G477" s="30">
        <f>IF(OR(472&gt;$Z$1,NOT(OR('Your debts'!$B$6&lt;&gt;"",N('Your debts'!$C$6)&gt;0))),"",IF('Your debts'!$D$20="Avalanche",'Avalanche workings'!$AP$479,'Snowball workings'!$AP$479))</f>
      </c>
      <c r="H477" s="29">
        <f>IF(OR(472&gt;$Z$1,NOT(OR('Your debts'!$B$7&lt;&gt;"",N('Your debts'!$C$7)&gt;0))),"",IF('Your debts'!$D$20="Avalanche",'Avalanche workings'!$M$479,'Snowball workings'!$M$479)+IF('Your debts'!$D$20="Avalanche",'Avalanche workings'!$AG$479,'Snowball workings'!$AG$479))</f>
      </c>
      <c r="I477" s="30">
        <f>IF(OR(472&gt;$Z$1,NOT(OR('Your debts'!$B$7&lt;&gt;"",N('Your debts'!$C$7)&gt;0))),"",IF('Your debts'!$D$20="Avalanche",'Avalanche workings'!$AQ$479,'Snowball workings'!$AQ$479))</f>
      </c>
      <c r="J477" s="29">
        <f>IF(OR(472&gt;$Z$1,NOT(OR('Your debts'!$B$8&lt;&gt;"",N('Your debts'!$C$8)&gt;0))),"",IF('Your debts'!$D$20="Avalanche",'Avalanche workings'!$N$479,'Snowball workings'!$N$479)+IF('Your debts'!$D$20="Avalanche",'Avalanche workings'!$AH$479,'Snowball workings'!$AH$479))</f>
      </c>
      <c r="K477" s="30">
        <f>IF(OR(472&gt;$Z$1,NOT(OR('Your debts'!$B$8&lt;&gt;"",N('Your debts'!$C$8)&gt;0))),"",IF('Your debts'!$D$20="Avalanche",'Avalanche workings'!$AR$479,'Snowball workings'!$AR$479))</f>
      </c>
      <c r="L477" s="29">
        <f>IF(OR(472&gt;$Z$1,NOT(OR('Your debts'!$B$9&lt;&gt;"",N('Your debts'!$C$9)&gt;0))),"",IF('Your debts'!$D$20="Avalanche",'Avalanche workings'!$O$479,'Snowball workings'!$O$479)+IF('Your debts'!$D$20="Avalanche",'Avalanche workings'!$AI$479,'Snowball workings'!$AI$479))</f>
      </c>
      <c r="M477" s="30">
        <f>IF(OR(472&gt;$Z$1,NOT(OR('Your debts'!$B$9&lt;&gt;"",N('Your debts'!$C$9)&gt;0))),"",IF('Your debts'!$D$20="Avalanche",'Avalanche workings'!$AS$479,'Snowball workings'!$AS$479))</f>
      </c>
      <c r="N477" s="29">
        <f>IF(OR(472&gt;$Z$1,NOT(OR('Your debts'!$B$10&lt;&gt;"",N('Your debts'!$C$10)&gt;0))),"",IF('Your debts'!$D$20="Avalanche",'Avalanche workings'!$P$479,'Snowball workings'!$P$479)+IF('Your debts'!$D$20="Avalanche",'Avalanche workings'!$AJ$479,'Snowball workings'!$AJ$479))</f>
      </c>
      <c r="O477" s="30">
        <f>IF(OR(472&gt;$Z$1,NOT(OR('Your debts'!$B$10&lt;&gt;"",N('Your debts'!$C$10)&gt;0))),"",IF('Your debts'!$D$20="Avalanche",'Avalanche workings'!$AT$479,'Snowball workings'!$AT$479))</f>
      </c>
      <c r="P477" s="29">
        <f>IF(OR(472&gt;$Z$1,NOT(OR('Your debts'!$B$11&lt;&gt;"",N('Your debts'!$C$11)&gt;0))),"",IF('Your debts'!$D$20="Avalanche",'Avalanche workings'!$Q$479,'Snowball workings'!$Q$479)+IF('Your debts'!$D$20="Avalanche",'Avalanche workings'!$AK$479,'Snowball workings'!$AK$479))</f>
      </c>
      <c r="Q477" s="30">
        <f>IF(OR(472&gt;$Z$1,NOT(OR('Your debts'!$B$11&lt;&gt;"",N('Your debts'!$C$11)&gt;0))),"",IF('Your debts'!$D$20="Avalanche",'Avalanche workings'!$AU$479,'Snowball workings'!$AU$479))</f>
      </c>
      <c r="R477" s="29">
        <f>IF(OR(472&gt;$Z$1,NOT(OR('Your debts'!$B$12&lt;&gt;"",N('Your debts'!$C$12)&gt;0))),"",IF('Your debts'!$D$20="Avalanche",'Avalanche workings'!$R$479,'Snowball workings'!$R$479)+IF('Your debts'!$D$20="Avalanche",'Avalanche workings'!$AL$479,'Snowball workings'!$AL$479))</f>
      </c>
      <c r="S477" s="30">
        <f>IF(OR(472&gt;$Z$1,NOT(OR('Your debts'!$B$12&lt;&gt;"",N('Your debts'!$C$12)&gt;0))),"",IF('Your debts'!$D$20="Avalanche",'Avalanche workings'!$AV$479,'Snowball workings'!$AV$479))</f>
      </c>
      <c r="T477" s="29">
        <f>IF(OR(472&gt;$Z$1,NOT(OR('Your debts'!$B$13&lt;&gt;"",N('Your debts'!$C$13)&gt;0))),"",IF('Your debts'!$D$20="Avalanche",'Avalanche workings'!$S$479,'Snowball workings'!$S$479)+IF('Your debts'!$D$20="Avalanche",'Avalanche workings'!$AM$479,'Snowball workings'!$AM$479))</f>
      </c>
      <c r="U477" s="30">
        <f>IF(OR(472&gt;$Z$1,NOT(OR('Your debts'!$B$13&lt;&gt;"",N('Your debts'!$C$13)&gt;0))),"",IF('Your debts'!$D$20="Avalanche",'Avalanche workings'!$AW$479,'Snowball workings'!$AW$479))</f>
      </c>
      <c r="V477" s="29">
        <f>IF(OR(472&gt;$Z$1,NOT(OR('Your debts'!$B$14&lt;&gt;"",N('Your debts'!$C$14)&gt;0))),"",IF('Your debts'!$D$20="Avalanche",'Avalanche workings'!$T$479,'Snowball workings'!$T$479)+IF('Your debts'!$D$20="Avalanche",'Avalanche workings'!$AN$479,'Snowball workings'!$AN$479))</f>
      </c>
      <c r="W477" s="30">
        <f>IF(OR(472&gt;$Z$1,NOT(OR('Your debts'!$B$14&lt;&gt;"",N('Your debts'!$C$14)&gt;0))),"",IF('Your debts'!$D$20="Avalanche",'Avalanche workings'!$AX$479,'Snowball workings'!$AX$479))</f>
      </c>
      <c r="X477" s="29">
        <f>IF(OR(472&gt;$Z$1,NOT(OR('Your debts'!$B$15&lt;&gt;"",N('Your debts'!$C$15)&gt;0))),"",IF('Your debts'!$D$20="Avalanche",'Avalanche workings'!$U$479,'Snowball workings'!$U$479)+IF('Your debts'!$D$20="Avalanche",'Avalanche workings'!$AO$479,'Snowball workings'!$AO$479))</f>
      </c>
      <c r="Y477" s="30">
        <f>IF(OR(472&gt;$Z$1,NOT(OR('Your debts'!$B$15&lt;&gt;"",N('Your debts'!$C$15)&gt;0))),"",IF('Your debts'!$D$20="Avalanche",'Avalanche workings'!$AY$479,'Snowball workings'!$AY$479))</f>
      </c>
    </row>
    <row r="478" spans="1:25" x14ac:dyDescent="0.25">
      <c r="A478" s="2">
        <f>IF(473&gt;$Z$1,"",473)</f>
      </c>
      <c r="B478" s="28">
        <f>IF(473&gt;$Z$1,"",EDATE('Your debts'!$D$21,472))</f>
      </c>
      <c r="C478" s="29">
        <f>IF(473&gt;$Z$1,"",IF('Your debts'!$D$20="Avalanche",'Avalanche workings'!$BC$480,'Snowball workings'!$BC$480))</f>
      </c>
      <c r="D478" s="29">
        <f>IF(473&gt;$Z$1,"",IF('Your debts'!$D$20="Avalanche",'Avalanche workings'!$BA$480,'Snowball workings'!$BA$480))</f>
      </c>
      <c r="E478" s="29">
        <f>IF(473&gt;$Z$1,"",IF('Your debts'!$D$20="Avalanche",'Avalanche workings'!$BB$480,'Snowball workings'!$BB$480))</f>
      </c>
      <c r="F478" s="29">
        <f>IF(OR(473&gt;$Z$1,NOT(OR('Your debts'!$B$6&lt;&gt;"",N('Your debts'!$C$6)&gt;0))),"",IF('Your debts'!$D$20="Avalanche",'Avalanche workings'!$L$480,'Snowball workings'!$L$480)+IF('Your debts'!$D$20="Avalanche",'Avalanche workings'!$AF$480,'Snowball workings'!$AF$480))</f>
      </c>
      <c r="G478" s="30">
        <f>IF(OR(473&gt;$Z$1,NOT(OR('Your debts'!$B$6&lt;&gt;"",N('Your debts'!$C$6)&gt;0))),"",IF('Your debts'!$D$20="Avalanche",'Avalanche workings'!$AP$480,'Snowball workings'!$AP$480))</f>
      </c>
      <c r="H478" s="29">
        <f>IF(OR(473&gt;$Z$1,NOT(OR('Your debts'!$B$7&lt;&gt;"",N('Your debts'!$C$7)&gt;0))),"",IF('Your debts'!$D$20="Avalanche",'Avalanche workings'!$M$480,'Snowball workings'!$M$480)+IF('Your debts'!$D$20="Avalanche",'Avalanche workings'!$AG$480,'Snowball workings'!$AG$480))</f>
      </c>
      <c r="I478" s="30">
        <f>IF(OR(473&gt;$Z$1,NOT(OR('Your debts'!$B$7&lt;&gt;"",N('Your debts'!$C$7)&gt;0))),"",IF('Your debts'!$D$20="Avalanche",'Avalanche workings'!$AQ$480,'Snowball workings'!$AQ$480))</f>
      </c>
      <c r="J478" s="29">
        <f>IF(OR(473&gt;$Z$1,NOT(OR('Your debts'!$B$8&lt;&gt;"",N('Your debts'!$C$8)&gt;0))),"",IF('Your debts'!$D$20="Avalanche",'Avalanche workings'!$N$480,'Snowball workings'!$N$480)+IF('Your debts'!$D$20="Avalanche",'Avalanche workings'!$AH$480,'Snowball workings'!$AH$480))</f>
      </c>
      <c r="K478" s="30">
        <f>IF(OR(473&gt;$Z$1,NOT(OR('Your debts'!$B$8&lt;&gt;"",N('Your debts'!$C$8)&gt;0))),"",IF('Your debts'!$D$20="Avalanche",'Avalanche workings'!$AR$480,'Snowball workings'!$AR$480))</f>
      </c>
      <c r="L478" s="29">
        <f>IF(OR(473&gt;$Z$1,NOT(OR('Your debts'!$B$9&lt;&gt;"",N('Your debts'!$C$9)&gt;0))),"",IF('Your debts'!$D$20="Avalanche",'Avalanche workings'!$O$480,'Snowball workings'!$O$480)+IF('Your debts'!$D$20="Avalanche",'Avalanche workings'!$AI$480,'Snowball workings'!$AI$480))</f>
      </c>
      <c r="M478" s="30">
        <f>IF(OR(473&gt;$Z$1,NOT(OR('Your debts'!$B$9&lt;&gt;"",N('Your debts'!$C$9)&gt;0))),"",IF('Your debts'!$D$20="Avalanche",'Avalanche workings'!$AS$480,'Snowball workings'!$AS$480))</f>
      </c>
      <c r="N478" s="29">
        <f>IF(OR(473&gt;$Z$1,NOT(OR('Your debts'!$B$10&lt;&gt;"",N('Your debts'!$C$10)&gt;0))),"",IF('Your debts'!$D$20="Avalanche",'Avalanche workings'!$P$480,'Snowball workings'!$P$480)+IF('Your debts'!$D$20="Avalanche",'Avalanche workings'!$AJ$480,'Snowball workings'!$AJ$480))</f>
      </c>
      <c r="O478" s="30">
        <f>IF(OR(473&gt;$Z$1,NOT(OR('Your debts'!$B$10&lt;&gt;"",N('Your debts'!$C$10)&gt;0))),"",IF('Your debts'!$D$20="Avalanche",'Avalanche workings'!$AT$480,'Snowball workings'!$AT$480))</f>
      </c>
      <c r="P478" s="29">
        <f>IF(OR(473&gt;$Z$1,NOT(OR('Your debts'!$B$11&lt;&gt;"",N('Your debts'!$C$11)&gt;0))),"",IF('Your debts'!$D$20="Avalanche",'Avalanche workings'!$Q$480,'Snowball workings'!$Q$480)+IF('Your debts'!$D$20="Avalanche",'Avalanche workings'!$AK$480,'Snowball workings'!$AK$480))</f>
      </c>
      <c r="Q478" s="30">
        <f>IF(OR(473&gt;$Z$1,NOT(OR('Your debts'!$B$11&lt;&gt;"",N('Your debts'!$C$11)&gt;0))),"",IF('Your debts'!$D$20="Avalanche",'Avalanche workings'!$AU$480,'Snowball workings'!$AU$480))</f>
      </c>
      <c r="R478" s="29">
        <f>IF(OR(473&gt;$Z$1,NOT(OR('Your debts'!$B$12&lt;&gt;"",N('Your debts'!$C$12)&gt;0))),"",IF('Your debts'!$D$20="Avalanche",'Avalanche workings'!$R$480,'Snowball workings'!$R$480)+IF('Your debts'!$D$20="Avalanche",'Avalanche workings'!$AL$480,'Snowball workings'!$AL$480))</f>
      </c>
      <c r="S478" s="30">
        <f>IF(OR(473&gt;$Z$1,NOT(OR('Your debts'!$B$12&lt;&gt;"",N('Your debts'!$C$12)&gt;0))),"",IF('Your debts'!$D$20="Avalanche",'Avalanche workings'!$AV$480,'Snowball workings'!$AV$480))</f>
      </c>
      <c r="T478" s="29">
        <f>IF(OR(473&gt;$Z$1,NOT(OR('Your debts'!$B$13&lt;&gt;"",N('Your debts'!$C$13)&gt;0))),"",IF('Your debts'!$D$20="Avalanche",'Avalanche workings'!$S$480,'Snowball workings'!$S$480)+IF('Your debts'!$D$20="Avalanche",'Avalanche workings'!$AM$480,'Snowball workings'!$AM$480))</f>
      </c>
      <c r="U478" s="30">
        <f>IF(OR(473&gt;$Z$1,NOT(OR('Your debts'!$B$13&lt;&gt;"",N('Your debts'!$C$13)&gt;0))),"",IF('Your debts'!$D$20="Avalanche",'Avalanche workings'!$AW$480,'Snowball workings'!$AW$480))</f>
      </c>
      <c r="V478" s="29">
        <f>IF(OR(473&gt;$Z$1,NOT(OR('Your debts'!$B$14&lt;&gt;"",N('Your debts'!$C$14)&gt;0))),"",IF('Your debts'!$D$20="Avalanche",'Avalanche workings'!$T$480,'Snowball workings'!$T$480)+IF('Your debts'!$D$20="Avalanche",'Avalanche workings'!$AN$480,'Snowball workings'!$AN$480))</f>
      </c>
      <c r="W478" s="30">
        <f>IF(OR(473&gt;$Z$1,NOT(OR('Your debts'!$B$14&lt;&gt;"",N('Your debts'!$C$14)&gt;0))),"",IF('Your debts'!$D$20="Avalanche",'Avalanche workings'!$AX$480,'Snowball workings'!$AX$480))</f>
      </c>
      <c r="X478" s="29">
        <f>IF(OR(473&gt;$Z$1,NOT(OR('Your debts'!$B$15&lt;&gt;"",N('Your debts'!$C$15)&gt;0))),"",IF('Your debts'!$D$20="Avalanche",'Avalanche workings'!$U$480,'Snowball workings'!$U$480)+IF('Your debts'!$D$20="Avalanche",'Avalanche workings'!$AO$480,'Snowball workings'!$AO$480))</f>
      </c>
      <c r="Y478" s="30">
        <f>IF(OR(473&gt;$Z$1,NOT(OR('Your debts'!$B$15&lt;&gt;"",N('Your debts'!$C$15)&gt;0))),"",IF('Your debts'!$D$20="Avalanche",'Avalanche workings'!$AY$480,'Snowball workings'!$AY$480))</f>
      </c>
    </row>
    <row r="479" spans="1:25" x14ac:dyDescent="0.25">
      <c r="A479" s="2">
        <f>IF(474&gt;$Z$1,"",474)</f>
      </c>
      <c r="B479" s="28">
        <f>IF(474&gt;$Z$1,"",EDATE('Your debts'!$D$21,473))</f>
      </c>
      <c r="C479" s="29">
        <f>IF(474&gt;$Z$1,"",IF('Your debts'!$D$20="Avalanche",'Avalanche workings'!$BC$481,'Snowball workings'!$BC$481))</f>
      </c>
      <c r="D479" s="29">
        <f>IF(474&gt;$Z$1,"",IF('Your debts'!$D$20="Avalanche",'Avalanche workings'!$BA$481,'Snowball workings'!$BA$481))</f>
      </c>
      <c r="E479" s="29">
        <f>IF(474&gt;$Z$1,"",IF('Your debts'!$D$20="Avalanche",'Avalanche workings'!$BB$481,'Snowball workings'!$BB$481))</f>
      </c>
      <c r="F479" s="29">
        <f>IF(OR(474&gt;$Z$1,NOT(OR('Your debts'!$B$6&lt;&gt;"",N('Your debts'!$C$6)&gt;0))),"",IF('Your debts'!$D$20="Avalanche",'Avalanche workings'!$L$481,'Snowball workings'!$L$481)+IF('Your debts'!$D$20="Avalanche",'Avalanche workings'!$AF$481,'Snowball workings'!$AF$481))</f>
      </c>
      <c r="G479" s="30">
        <f>IF(OR(474&gt;$Z$1,NOT(OR('Your debts'!$B$6&lt;&gt;"",N('Your debts'!$C$6)&gt;0))),"",IF('Your debts'!$D$20="Avalanche",'Avalanche workings'!$AP$481,'Snowball workings'!$AP$481))</f>
      </c>
      <c r="H479" s="29">
        <f>IF(OR(474&gt;$Z$1,NOT(OR('Your debts'!$B$7&lt;&gt;"",N('Your debts'!$C$7)&gt;0))),"",IF('Your debts'!$D$20="Avalanche",'Avalanche workings'!$M$481,'Snowball workings'!$M$481)+IF('Your debts'!$D$20="Avalanche",'Avalanche workings'!$AG$481,'Snowball workings'!$AG$481))</f>
      </c>
      <c r="I479" s="30">
        <f>IF(OR(474&gt;$Z$1,NOT(OR('Your debts'!$B$7&lt;&gt;"",N('Your debts'!$C$7)&gt;0))),"",IF('Your debts'!$D$20="Avalanche",'Avalanche workings'!$AQ$481,'Snowball workings'!$AQ$481))</f>
      </c>
      <c r="J479" s="29">
        <f>IF(OR(474&gt;$Z$1,NOT(OR('Your debts'!$B$8&lt;&gt;"",N('Your debts'!$C$8)&gt;0))),"",IF('Your debts'!$D$20="Avalanche",'Avalanche workings'!$N$481,'Snowball workings'!$N$481)+IF('Your debts'!$D$20="Avalanche",'Avalanche workings'!$AH$481,'Snowball workings'!$AH$481))</f>
      </c>
      <c r="K479" s="30">
        <f>IF(OR(474&gt;$Z$1,NOT(OR('Your debts'!$B$8&lt;&gt;"",N('Your debts'!$C$8)&gt;0))),"",IF('Your debts'!$D$20="Avalanche",'Avalanche workings'!$AR$481,'Snowball workings'!$AR$481))</f>
      </c>
      <c r="L479" s="29">
        <f>IF(OR(474&gt;$Z$1,NOT(OR('Your debts'!$B$9&lt;&gt;"",N('Your debts'!$C$9)&gt;0))),"",IF('Your debts'!$D$20="Avalanche",'Avalanche workings'!$O$481,'Snowball workings'!$O$481)+IF('Your debts'!$D$20="Avalanche",'Avalanche workings'!$AI$481,'Snowball workings'!$AI$481))</f>
      </c>
      <c r="M479" s="30">
        <f>IF(OR(474&gt;$Z$1,NOT(OR('Your debts'!$B$9&lt;&gt;"",N('Your debts'!$C$9)&gt;0))),"",IF('Your debts'!$D$20="Avalanche",'Avalanche workings'!$AS$481,'Snowball workings'!$AS$481))</f>
      </c>
      <c r="N479" s="29">
        <f>IF(OR(474&gt;$Z$1,NOT(OR('Your debts'!$B$10&lt;&gt;"",N('Your debts'!$C$10)&gt;0))),"",IF('Your debts'!$D$20="Avalanche",'Avalanche workings'!$P$481,'Snowball workings'!$P$481)+IF('Your debts'!$D$20="Avalanche",'Avalanche workings'!$AJ$481,'Snowball workings'!$AJ$481))</f>
      </c>
      <c r="O479" s="30">
        <f>IF(OR(474&gt;$Z$1,NOT(OR('Your debts'!$B$10&lt;&gt;"",N('Your debts'!$C$10)&gt;0))),"",IF('Your debts'!$D$20="Avalanche",'Avalanche workings'!$AT$481,'Snowball workings'!$AT$481))</f>
      </c>
      <c r="P479" s="29">
        <f>IF(OR(474&gt;$Z$1,NOT(OR('Your debts'!$B$11&lt;&gt;"",N('Your debts'!$C$11)&gt;0))),"",IF('Your debts'!$D$20="Avalanche",'Avalanche workings'!$Q$481,'Snowball workings'!$Q$481)+IF('Your debts'!$D$20="Avalanche",'Avalanche workings'!$AK$481,'Snowball workings'!$AK$481))</f>
      </c>
      <c r="Q479" s="30">
        <f>IF(OR(474&gt;$Z$1,NOT(OR('Your debts'!$B$11&lt;&gt;"",N('Your debts'!$C$11)&gt;0))),"",IF('Your debts'!$D$20="Avalanche",'Avalanche workings'!$AU$481,'Snowball workings'!$AU$481))</f>
      </c>
      <c r="R479" s="29">
        <f>IF(OR(474&gt;$Z$1,NOT(OR('Your debts'!$B$12&lt;&gt;"",N('Your debts'!$C$12)&gt;0))),"",IF('Your debts'!$D$20="Avalanche",'Avalanche workings'!$R$481,'Snowball workings'!$R$481)+IF('Your debts'!$D$20="Avalanche",'Avalanche workings'!$AL$481,'Snowball workings'!$AL$481))</f>
      </c>
      <c r="S479" s="30">
        <f>IF(OR(474&gt;$Z$1,NOT(OR('Your debts'!$B$12&lt;&gt;"",N('Your debts'!$C$12)&gt;0))),"",IF('Your debts'!$D$20="Avalanche",'Avalanche workings'!$AV$481,'Snowball workings'!$AV$481))</f>
      </c>
      <c r="T479" s="29">
        <f>IF(OR(474&gt;$Z$1,NOT(OR('Your debts'!$B$13&lt;&gt;"",N('Your debts'!$C$13)&gt;0))),"",IF('Your debts'!$D$20="Avalanche",'Avalanche workings'!$S$481,'Snowball workings'!$S$481)+IF('Your debts'!$D$20="Avalanche",'Avalanche workings'!$AM$481,'Snowball workings'!$AM$481))</f>
      </c>
      <c r="U479" s="30">
        <f>IF(OR(474&gt;$Z$1,NOT(OR('Your debts'!$B$13&lt;&gt;"",N('Your debts'!$C$13)&gt;0))),"",IF('Your debts'!$D$20="Avalanche",'Avalanche workings'!$AW$481,'Snowball workings'!$AW$481))</f>
      </c>
      <c r="V479" s="29">
        <f>IF(OR(474&gt;$Z$1,NOT(OR('Your debts'!$B$14&lt;&gt;"",N('Your debts'!$C$14)&gt;0))),"",IF('Your debts'!$D$20="Avalanche",'Avalanche workings'!$T$481,'Snowball workings'!$T$481)+IF('Your debts'!$D$20="Avalanche",'Avalanche workings'!$AN$481,'Snowball workings'!$AN$481))</f>
      </c>
      <c r="W479" s="30">
        <f>IF(OR(474&gt;$Z$1,NOT(OR('Your debts'!$B$14&lt;&gt;"",N('Your debts'!$C$14)&gt;0))),"",IF('Your debts'!$D$20="Avalanche",'Avalanche workings'!$AX$481,'Snowball workings'!$AX$481))</f>
      </c>
      <c r="X479" s="29">
        <f>IF(OR(474&gt;$Z$1,NOT(OR('Your debts'!$B$15&lt;&gt;"",N('Your debts'!$C$15)&gt;0))),"",IF('Your debts'!$D$20="Avalanche",'Avalanche workings'!$U$481,'Snowball workings'!$U$481)+IF('Your debts'!$D$20="Avalanche",'Avalanche workings'!$AO$481,'Snowball workings'!$AO$481))</f>
      </c>
      <c r="Y479" s="30">
        <f>IF(OR(474&gt;$Z$1,NOT(OR('Your debts'!$B$15&lt;&gt;"",N('Your debts'!$C$15)&gt;0))),"",IF('Your debts'!$D$20="Avalanche",'Avalanche workings'!$AY$481,'Snowball workings'!$AY$481))</f>
      </c>
    </row>
    <row r="480" spans="1:25" x14ac:dyDescent="0.25">
      <c r="A480" s="2">
        <f>IF(475&gt;$Z$1,"",475)</f>
      </c>
      <c r="B480" s="28">
        <f>IF(475&gt;$Z$1,"",EDATE('Your debts'!$D$21,474))</f>
      </c>
      <c r="C480" s="29">
        <f>IF(475&gt;$Z$1,"",IF('Your debts'!$D$20="Avalanche",'Avalanche workings'!$BC$482,'Snowball workings'!$BC$482))</f>
      </c>
      <c r="D480" s="29">
        <f>IF(475&gt;$Z$1,"",IF('Your debts'!$D$20="Avalanche",'Avalanche workings'!$BA$482,'Snowball workings'!$BA$482))</f>
      </c>
      <c r="E480" s="29">
        <f>IF(475&gt;$Z$1,"",IF('Your debts'!$D$20="Avalanche",'Avalanche workings'!$BB$482,'Snowball workings'!$BB$482))</f>
      </c>
      <c r="F480" s="29">
        <f>IF(OR(475&gt;$Z$1,NOT(OR('Your debts'!$B$6&lt;&gt;"",N('Your debts'!$C$6)&gt;0))),"",IF('Your debts'!$D$20="Avalanche",'Avalanche workings'!$L$482,'Snowball workings'!$L$482)+IF('Your debts'!$D$20="Avalanche",'Avalanche workings'!$AF$482,'Snowball workings'!$AF$482))</f>
      </c>
      <c r="G480" s="30">
        <f>IF(OR(475&gt;$Z$1,NOT(OR('Your debts'!$B$6&lt;&gt;"",N('Your debts'!$C$6)&gt;0))),"",IF('Your debts'!$D$20="Avalanche",'Avalanche workings'!$AP$482,'Snowball workings'!$AP$482))</f>
      </c>
      <c r="H480" s="29">
        <f>IF(OR(475&gt;$Z$1,NOT(OR('Your debts'!$B$7&lt;&gt;"",N('Your debts'!$C$7)&gt;0))),"",IF('Your debts'!$D$20="Avalanche",'Avalanche workings'!$M$482,'Snowball workings'!$M$482)+IF('Your debts'!$D$20="Avalanche",'Avalanche workings'!$AG$482,'Snowball workings'!$AG$482))</f>
      </c>
      <c r="I480" s="30">
        <f>IF(OR(475&gt;$Z$1,NOT(OR('Your debts'!$B$7&lt;&gt;"",N('Your debts'!$C$7)&gt;0))),"",IF('Your debts'!$D$20="Avalanche",'Avalanche workings'!$AQ$482,'Snowball workings'!$AQ$482))</f>
      </c>
      <c r="J480" s="29">
        <f>IF(OR(475&gt;$Z$1,NOT(OR('Your debts'!$B$8&lt;&gt;"",N('Your debts'!$C$8)&gt;0))),"",IF('Your debts'!$D$20="Avalanche",'Avalanche workings'!$N$482,'Snowball workings'!$N$482)+IF('Your debts'!$D$20="Avalanche",'Avalanche workings'!$AH$482,'Snowball workings'!$AH$482))</f>
      </c>
      <c r="K480" s="30">
        <f>IF(OR(475&gt;$Z$1,NOT(OR('Your debts'!$B$8&lt;&gt;"",N('Your debts'!$C$8)&gt;0))),"",IF('Your debts'!$D$20="Avalanche",'Avalanche workings'!$AR$482,'Snowball workings'!$AR$482))</f>
      </c>
      <c r="L480" s="29">
        <f>IF(OR(475&gt;$Z$1,NOT(OR('Your debts'!$B$9&lt;&gt;"",N('Your debts'!$C$9)&gt;0))),"",IF('Your debts'!$D$20="Avalanche",'Avalanche workings'!$O$482,'Snowball workings'!$O$482)+IF('Your debts'!$D$20="Avalanche",'Avalanche workings'!$AI$482,'Snowball workings'!$AI$482))</f>
      </c>
      <c r="M480" s="30">
        <f>IF(OR(475&gt;$Z$1,NOT(OR('Your debts'!$B$9&lt;&gt;"",N('Your debts'!$C$9)&gt;0))),"",IF('Your debts'!$D$20="Avalanche",'Avalanche workings'!$AS$482,'Snowball workings'!$AS$482))</f>
      </c>
      <c r="N480" s="29">
        <f>IF(OR(475&gt;$Z$1,NOT(OR('Your debts'!$B$10&lt;&gt;"",N('Your debts'!$C$10)&gt;0))),"",IF('Your debts'!$D$20="Avalanche",'Avalanche workings'!$P$482,'Snowball workings'!$P$482)+IF('Your debts'!$D$20="Avalanche",'Avalanche workings'!$AJ$482,'Snowball workings'!$AJ$482))</f>
      </c>
      <c r="O480" s="30">
        <f>IF(OR(475&gt;$Z$1,NOT(OR('Your debts'!$B$10&lt;&gt;"",N('Your debts'!$C$10)&gt;0))),"",IF('Your debts'!$D$20="Avalanche",'Avalanche workings'!$AT$482,'Snowball workings'!$AT$482))</f>
      </c>
      <c r="P480" s="29">
        <f>IF(OR(475&gt;$Z$1,NOT(OR('Your debts'!$B$11&lt;&gt;"",N('Your debts'!$C$11)&gt;0))),"",IF('Your debts'!$D$20="Avalanche",'Avalanche workings'!$Q$482,'Snowball workings'!$Q$482)+IF('Your debts'!$D$20="Avalanche",'Avalanche workings'!$AK$482,'Snowball workings'!$AK$482))</f>
      </c>
      <c r="Q480" s="30">
        <f>IF(OR(475&gt;$Z$1,NOT(OR('Your debts'!$B$11&lt;&gt;"",N('Your debts'!$C$11)&gt;0))),"",IF('Your debts'!$D$20="Avalanche",'Avalanche workings'!$AU$482,'Snowball workings'!$AU$482))</f>
      </c>
      <c r="R480" s="29">
        <f>IF(OR(475&gt;$Z$1,NOT(OR('Your debts'!$B$12&lt;&gt;"",N('Your debts'!$C$12)&gt;0))),"",IF('Your debts'!$D$20="Avalanche",'Avalanche workings'!$R$482,'Snowball workings'!$R$482)+IF('Your debts'!$D$20="Avalanche",'Avalanche workings'!$AL$482,'Snowball workings'!$AL$482))</f>
      </c>
      <c r="S480" s="30">
        <f>IF(OR(475&gt;$Z$1,NOT(OR('Your debts'!$B$12&lt;&gt;"",N('Your debts'!$C$12)&gt;0))),"",IF('Your debts'!$D$20="Avalanche",'Avalanche workings'!$AV$482,'Snowball workings'!$AV$482))</f>
      </c>
      <c r="T480" s="29">
        <f>IF(OR(475&gt;$Z$1,NOT(OR('Your debts'!$B$13&lt;&gt;"",N('Your debts'!$C$13)&gt;0))),"",IF('Your debts'!$D$20="Avalanche",'Avalanche workings'!$S$482,'Snowball workings'!$S$482)+IF('Your debts'!$D$20="Avalanche",'Avalanche workings'!$AM$482,'Snowball workings'!$AM$482))</f>
      </c>
      <c r="U480" s="30">
        <f>IF(OR(475&gt;$Z$1,NOT(OR('Your debts'!$B$13&lt;&gt;"",N('Your debts'!$C$13)&gt;0))),"",IF('Your debts'!$D$20="Avalanche",'Avalanche workings'!$AW$482,'Snowball workings'!$AW$482))</f>
      </c>
      <c r="V480" s="29">
        <f>IF(OR(475&gt;$Z$1,NOT(OR('Your debts'!$B$14&lt;&gt;"",N('Your debts'!$C$14)&gt;0))),"",IF('Your debts'!$D$20="Avalanche",'Avalanche workings'!$T$482,'Snowball workings'!$T$482)+IF('Your debts'!$D$20="Avalanche",'Avalanche workings'!$AN$482,'Snowball workings'!$AN$482))</f>
      </c>
      <c r="W480" s="30">
        <f>IF(OR(475&gt;$Z$1,NOT(OR('Your debts'!$B$14&lt;&gt;"",N('Your debts'!$C$14)&gt;0))),"",IF('Your debts'!$D$20="Avalanche",'Avalanche workings'!$AX$482,'Snowball workings'!$AX$482))</f>
      </c>
      <c r="X480" s="29">
        <f>IF(OR(475&gt;$Z$1,NOT(OR('Your debts'!$B$15&lt;&gt;"",N('Your debts'!$C$15)&gt;0))),"",IF('Your debts'!$D$20="Avalanche",'Avalanche workings'!$U$482,'Snowball workings'!$U$482)+IF('Your debts'!$D$20="Avalanche",'Avalanche workings'!$AO$482,'Snowball workings'!$AO$482))</f>
      </c>
      <c r="Y480" s="30">
        <f>IF(OR(475&gt;$Z$1,NOT(OR('Your debts'!$B$15&lt;&gt;"",N('Your debts'!$C$15)&gt;0))),"",IF('Your debts'!$D$20="Avalanche",'Avalanche workings'!$AY$482,'Snowball workings'!$AY$482))</f>
      </c>
    </row>
    <row r="481" spans="1:25" x14ac:dyDescent="0.25">
      <c r="A481" s="2">
        <f>IF(476&gt;$Z$1,"",476)</f>
      </c>
      <c r="B481" s="28">
        <f>IF(476&gt;$Z$1,"",EDATE('Your debts'!$D$21,475))</f>
      </c>
      <c r="C481" s="29">
        <f>IF(476&gt;$Z$1,"",IF('Your debts'!$D$20="Avalanche",'Avalanche workings'!$BC$483,'Snowball workings'!$BC$483))</f>
      </c>
      <c r="D481" s="29">
        <f>IF(476&gt;$Z$1,"",IF('Your debts'!$D$20="Avalanche",'Avalanche workings'!$BA$483,'Snowball workings'!$BA$483))</f>
      </c>
      <c r="E481" s="29">
        <f>IF(476&gt;$Z$1,"",IF('Your debts'!$D$20="Avalanche",'Avalanche workings'!$BB$483,'Snowball workings'!$BB$483))</f>
      </c>
      <c r="F481" s="29">
        <f>IF(OR(476&gt;$Z$1,NOT(OR('Your debts'!$B$6&lt;&gt;"",N('Your debts'!$C$6)&gt;0))),"",IF('Your debts'!$D$20="Avalanche",'Avalanche workings'!$L$483,'Snowball workings'!$L$483)+IF('Your debts'!$D$20="Avalanche",'Avalanche workings'!$AF$483,'Snowball workings'!$AF$483))</f>
      </c>
      <c r="G481" s="30">
        <f>IF(OR(476&gt;$Z$1,NOT(OR('Your debts'!$B$6&lt;&gt;"",N('Your debts'!$C$6)&gt;0))),"",IF('Your debts'!$D$20="Avalanche",'Avalanche workings'!$AP$483,'Snowball workings'!$AP$483))</f>
      </c>
      <c r="H481" s="29">
        <f>IF(OR(476&gt;$Z$1,NOT(OR('Your debts'!$B$7&lt;&gt;"",N('Your debts'!$C$7)&gt;0))),"",IF('Your debts'!$D$20="Avalanche",'Avalanche workings'!$M$483,'Snowball workings'!$M$483)+IF('Your debts'!$D$20="Avalanche",'Avalanche workings'!$AG$483,'Snowball workings'!$AG$483))</f>
      </c>
      <c r="I481" s="30">
        <f>IF(OR(476&gt;$Z$1,NOT(OR('Your debts'!$B$7&lt;&gt;"",N('Your debts'!$C$7)&gt;0))),"",IF('Your debts'!$D$20="Avalanche",'Avalanche workings'!$AQ$483,'Snowball workings'!$AQ$483))</f>
      </c>
      <c r="J481" s="29">
        <f>IF(OR(476&gt;$Z$1,NOT(OR('Your debts'!$B$8&lt;&gt;"",N('Your debts'!$C$8)&gt;0))),"",IF('Your debts'!$D$20="Avalanche",'Avalanche workings'!$N$483,'Snowball workings'!$N$483)+IF('Your debts'!$D$20="Avalanche",'Avalanche workings'!$AH$483,'Snowball workings'!$AH$483))</f>
      </c>
      <c r="K481" s="30">
        <f>IF(OR(476&gt;$Z$1,NOT(OR('Your debts'!$B$8&lt;&gt;"",N('Your debts'!$C$8)&gt;0))),"",IF('Your debts'!$D$20="Avalanche",'Avalanche workings'!$AR$483,'Snowball workings'!$AR$483))</f>
      </c>
      <c r="L481" s="29">
        <f>IF(OR(476&gt;$Z$1,NOT(OR('Your debts'!$B$9&lt;&gt;"",N('Your debts'!$C$9)&gt;0))),"",IF('Your debts'!$D$20="Avalanche",'Avalanche workings'!$O$483,'Snowball workings'!$O$483)+IF('Your debts'!$D$20="Avalanche",'Avalanche workings'!$AI$483,'Snowball workings'!$AI$483))</f>
      </c>
      <c r="M481" s="30">
        <f>IF(OR(476&gt;$Z$1,NOT(OR('Your debts'!$B$9&lt;&gt;"",N('Your debts'!$C$9)&gt;0))),"",IF('Your debts'!$D$20="Avalanche",'Avalanche workings'!$AS$483,'Snowball workings'!$AS$483))</f>
      </c>
      <c r="N481" s="29">
        <f>IF(OR(476&gt;$Z$1,NOT(OR('Your debts'!$B$10&lt;&gt;"",N('Your debts'!$C$10)&gt;0))),"",IF('Your debts'!$D$20="Avalanche",'Avalanche workings'!$P$483,'Snowball workings'!$P$483)+IF('Your debts'!$D$20="Avalanche",'Avalanche workings'!$AJ$483,'Snowball workings'!$AJ$483))</f>
      </c>
      <c r="O481" s="30">
        <f>IF(OR(476&gt;$Z$1,NOT(OR('Your debts'!$B$10&lt;&gt;"",N('Your debts'!$C$10)&gt;0))),"",IF('Your debts'!$D$20="Avalanche",'Avalanche workings'!$AT$483,'Snowball workings'!$AT$483))</f>
      </c>
      <c r="P481" s="29">
        <f>IF(OR(476&gt;$Z$1,NOT(OR('Your debts'!$B$11&lt;&gt;"",N('Your debts'!$C$11)&gt;0))),"",IF('Your debts'!$D$20="Avalanche",'Avalanche workings'!$Q$483,'Snowball workings'!$Q$483)+IF('Your debts'!$D$20="Avalanche",'Avalanche workings'!$AK$483,'Snowball workings'!$AK$483))</f>
      </c>
      <c r="Q481" s="30">
        <f>IF(OR(476&gt;$Z$1,NOT(OR('Your debts'!$B$11&lt;&gt;"",N('Your debts'!$C$11)&gt;0))),"",IF('Your debts'!$D$20="Avalanche",'Avalanche workings'!$AU$483,'Snowball workings'!$AU$483))</f>
      </c>
      <c r="R481" s="29">
        <f>IF(OR(476&gt;$Z$1,NOT(OR('Your debts'!$B$12&lt;&gt;"",N('Your debts'!$C$12)&gt;0))),"",IF('Your debts'!$D$20="Avalanche",'Avalanche workings'!$R$483,'Snowball workings'!$R$483)+IF('Your debts'!$D$20="Avalanche",'Avalanche workings'!$AL$483,'Snowball workings'!$AL$483))</f>
      </c>
      <c r="S481" s="30">
        <f>IF(OR(476&gt;$Z$1,NOT(OR('Your debts'!$B$12&lt;&gt;"",N('Your debts'!$C$12)&gt;0))),"",IF('Your debts'!$D$20="Avalanche",'Avalanche workings'!$AV$483,'Snowball workings'!$AV$483))</f>
      </c>
      <c r="T481" s="29">
        <f>IF(OR(476&gt;$Z$1,NOT(OR('Your debts'!$B$13&lt;&gt;"",N('Your debts'!$C$13)&gt;0))),"",IF('Your debts'!$D$20="Avalanche",'Avalanche workings'!$S$483,'Snowball workings'!$S$483)+IF('Your debts'!$D$20="Avalanche",'Avalanche workings'!$AM$483,'Snowball workings'!$AM$483))</f>
      </c>
      <c r="U481" s="30">
        <f>IF(OR(476&gt;$Z$1,NOT(OR('Your debts'!$B$13&lt;&gt;"",N('Your debts'!$C$13)&gt;0))),"",IF('Your debts'!$D$20="Avalanche",'Avalanche workings'!$AW$483,'Snowball workings'!$AW$483))</f>
      </c>
      <c r="V481" s="29">
        <f>IF(OR(476&gt;$Z$1,NOT(OR('Your debts'!$B$14&lt;&gt;"",N('Your debts'!$C$14)&gt;0))),"",IF('Your debts'!$D$20="Avalanche",'Avalanche workings'!$T$483,'Snowball workings'!$T$483)+IF('Your debts'!$D$20="Avalanche",'Avalanche workings'!$AN$483,'Snowball workings'!$AN$483))</f>
      </c>
      <c r="W481" s="30">
        <f>IF(OR(476&gt;$Z$1,NOT(OR('Your debts'!$B$14&lt;&gt;"",N('Your debts'!$C$14)&gt;0))),"",IF('Your debts'!$D$20="Avalanche",'Avalanche workings'!$AX$483,'Snowball workings'!$AX$483))</f>
      </c>
      <c r="X481" s="29">
        <f>IF(OR(476&gt;$Z$1,NOT(OR('Your debts'!$B$15&lt;&gt;"",N('Your debts'!$C$15)&gt;0))),"",IF('Your debts'!$D$20="Avalanche",'Avalanche workings'!$U$483,'Snowball workings'!$U$483)+IF('Your debts'!$D$20="Avalanche",'Avalanche workings'!$AO$483,'Snowball workings'!$AO$483))</f>
      </c>
      <c r="Y481" s="30">
        <f>IF(OR(476&gt;$Z$1,NOT(OR('Your debts'!$B$15&lt;&gt;"",N('Your debts'!$C$15)&gt;0))),"",IF('Your debts'!$D$20="Avalanche",'Avalanche workings'!$AY$483,'Snowball workings'!$AY$483))</f>
      </c>
    </row>
    <row r="482" spans="1:25" x14ac:dyDescent="0.25">
      <c r="A482" s="2">
        <f>IF(477&gt;$Z$1,"",477)</f>
      </c>
      <c r="B482" s="28">
        <f>IF(477&gt;$Z$1,"",EDATE('Your debts'!$D$21,476))</f>
      </c>
      <c r="C482" s="29">
        <f>IF(477&gt;$Z$1,"",IF('Your debts'!$D$20="Avalanche",'Avalanche workings'!$BC$484,'Snowball workings'!$BC$484))</f>
      </c>
      <c r="D482" s="29">
        <f>IF(477&gt;$Z$1,"",IF('Your debts'!$D$20="Avalanche",'Avalanche workings'!$BA$484,'Snowball workings'!$BA$484))</f>
      </c>
      <c r="E482" s="29">
        <f>IF(477&gt;$Z$1,"",IF('Your debts'!$D$20="Avalanche",'Avalanche workings'!$BB$484,'Snowball workings'!$BB$484))</f>
      </c>
      <c r="F482" s="29">
        <f>IF(OR(477&gt;$Z$1,NOT(OR('Your debts'!$B$6&lt;&gt;"",N('Your debts'!$C$6)&gt;0))),"",IF('Your debts'!$D$20="Avalanche",'Avalanche workings'!$L$484,'Snowball workings'!$L$484)+IF('Your debts'!$D$20="Avalanche",'Avalanche workings'!$AF$484,'Snowball workings'!$AF$484))</f>
      </c>
      <c r="G482" s="30">
        <f>IF(OR(477&gt;$Z$1,NOT(OR('Your debts'!$B$6&lt;&gt;"",N('Your debts'!$C$6)&gt;0))),"",IF('Your debts'!$D$20="Avalanche",'Avalanche workings'!$AP$484,'Snowball workings'!$AP$484))</f>
      </c>
      <c r="H482" s="29">
        <f>IF(OR(477&gt;$Z$1,NOT(OR('Your debts'!$B$7&lt;&gt;"",N('Your debts'!$C$7)&gt;0))),"",IF('Your debts'!$D$20="Avalanche",'Avalanche workings'!$M$484,'Snowball workings'!$M$484)+IF('Your debts'!$D$20="Avalanche",'Avalanche workings'!$AG$484,'Snowball workings'!$AG$484))</f>
      </c>
      <c r="I482" s="30">
        <f>IF(OR(477&gt;$Z$1,NOT(OR('Your debts'!$B$7&lt;&gt;"",N('Your debts'!$C$7)&gt;0))),"",IF('Your debts'!$D$20="Avalanche",'Avalanche workings'!$AQ$484,'Snowball workings'!$AQ$484))</f>
      </c>
      <c r="J482" s="29">
        <f>IF(OR(477&gt;$Z$1,NOT(OR('Your debts'!$B$8&lt;&gt;"",N('Your debts'!$C$8)&gt;0))),"",IF('Your debts'!$D$20="Avalanche",'Avalanche workings'!$N$484,'Snowball workings'!$N$484)+IF('Your debts'!$D$20="Avalanche",'Avalanche workings'!$AH$484,'Snowball workings'!$AH$484))</f>
      </c>
      <c r="K482" s="30">
        <f>IF(OR(477&gt;$Z$1,NOT(OR('Your debts'!$B$8&lt;&gt;"",N('Your debts'!$C$8)&gt;0))),"",IF('Your debts'!$D$20="Avalanche",'Avalanche workings'!$AR$484,'Snowball workings'!$AR$484))</f>
      </c>
      <c r="L482" s="29">
        <f>IF(OR(477&gt;$Z$1,NOT(OR('Your debts'!$B$9&lt;&gt;"",N('Your debts'!$C$9)&gt;0))),"",IF('Your debts'!$D$20="Avalanche",'Avalanche workings'!$O$484,'Snowball workings'!$O$484)+IF('Your debts'!$D$20="Avalanche",'Avalanche workings'!$AI$484,'Snowball workings'!$AI$484))</f>
      </c>
      <c r="M482" s="30">
        <f>IF(OR(477&gt;$Z$1,NOT(OR('Your debts'!$B$9&lt;&gt;"",N('Your debts'!$C$9)&gt;0))),"",IF('Your debts'!$D$20="Avalanche",'Avalanche workings'!$AS$484,'Snowball workings'!$AS$484))</f>
      </c>
      <c r="N482" s="29">
        <f>IF(OR(477&gt;$Z$1,NOT(OR('Your debts'!$B$10&lt;&gt;"",N('Your debts'!$C$10)&gt;0))),"",IF('Your debts'!$D$20="Avalanche",'Avalanche workings'!$P$484,'Snowball workings'!$P$484)+IF('Your debts'!$D$20="Avalanche",'Avalanche workings'!$AJ$484,'Snowball workings'!$AJ$484))</f>
      </c>
      <c r="O482" s="30">
        <f>IF(OR(477&gt;$Z$1,NOT(OR('Your debts'!$B$10&lt;&gt;"",N('Your debts'!$C$10)&gt;0))),"",IF('Your debts'!$D$20="Avalanche",'Avalanche workings'!$AT$484,'Snowball workings'!$AT$484))</f>
      </c>
      <c r="P482" s="29">
        <f>IF(OR(477&gt;$Z$1,NOT(OR('Your debts'!$B$11&lt;&gt;"",N('Your debts'!$C$11)&gt;0))),"",IF('Your debts'!$D$20="Avalanche",'Avalanche workings'!$Q$484,'Snowball workings'!$Q$484)+IF('Your debts'!$D$20="Avalanche",'Avalanche workings'!$AK$484,'Snowball workings'!$AK$484))</f>
      </c>
      <c r="Q482" s="30">
        <f>IF(OR(477&gt;$Z$1,NOT(OR('Your debts'!$B$11&lt;&gt;"",N('Your debts'!$C$11)&gt;0))),"",IF('Your debts'!$D$20="Avalanche",'Avalanche workings'!$AU$484,'Snowball workings'!$AU$484))</f>
      </c>
      <c r="R482" s="29">
        <f>IF(OR(477&gt;$Z$1,NOT(OR('Your debts'!$B$12&lt;&gt;"",N('Your debts'!$C$12)&gt;0))),"",IF('Your debts'!$D$20="Avalanche",'Avalanche workings'!$R$484,'Snowball workings'!$R$484)+IF('Your debts'!$D$20="Avalanche",'Avalanche workings'!$AL$484,'Snowball workings'!$AL$484))</f>
      </c>
      <c r="S482" s="30">
        <f>IF(OR(477&gt;$Z$1,NOT(OR('Your debts'!$B$12&lt;&gt;"",N('Your debts'!$C$12)&gt;0))),"",IF('Your debts'!$D$20="Avalanche",'Avalanche workings'!$AV$484,'Snowball workings'!$AV$484))</f>
      </c>
      <c r="T482" s="29">
        <f>IF(OR(477&gt;$Z$1,NOT(OR('Your debts'!$B$13&lt;&gt;"",N('Your debts'!$C$13)&gt;0))),"",IF('Your debts'!$D$20="Avalanche",'Avalanche workings'!$S$484,'Snowball workings'!$S$484)+IF('Your debts'!$D$20="Avalanche",'Avalanche workings'!$AM$484,'Snowball workings'!$AM$484))</f>
      </c>
      <c r="U482" s="30">
        <f>IF(OR(477&gt;$Z$1,NOT(OR('Your debts'!$B$13&lt;&gt;"",N('Your debts'!$C$13)&gt;0))),"",IF('Your debts'!$D$20="Avalanche",'Avalanche workings'!$AW$484,'Snowball workings'!$AW$484))</f>
      </c>
      <c r="V482" s="29">
        <f>IF(OR(477&gt;$Z$1,NOT(OR('Your debts'!$B$14&lt;&gt;"",N('Your debts'!$C$14)&gt;0))),"",IF('Your debts'!$D$20="Avalanche",'Avalanche workings'!$T$484,'Snowball workings'!$T$484)+IF('Your debts'!$D$20="Avalanche",'Avalanche workings'!$AN$484,'Snowball workings'!$AN$484))</f>
      </c>
      <c r="W482" s="30">
        <f>IF(OR(477&gt;$Z$1,NOT(OR('Your debts'!$B$14&lt;&gt;"",N('Your debts'!$C$14)&gt;0))),"",IF('Your debts'!$D$20="Avalanche",'Avalanche workings'!$AX$484,'Snowball workings'!$AX$484))</f>
      </c>
      <c r="X482" s="29">
        <f>IF(OR(477&gt;$Z$1,NOT(OR('Your debts'!$B$15&lt;&gt;"",N('Your debts'!$C$15)&gt;0))),"",IF('Your debts'!$D$20="Avalanche",'Avalanche workings'!$U$484,'Snowball workings'!$U$484)+IF('Your debts'!$D$20="Avalanche",'Avalanche workings'!$AO$484,'Snowball workings'!$AO$484))</f>
      </c>
      <c r="Y482" s="30">
        <f>IF(OR(477&gt;$Z$1,NOT(OR('Your debts'!$B$15&lt;&gt;"",N('Your debts'!$C$15)&gt;0))),"",IF('Your debts'!$D$20="Avalanche",'Avalanche workings'!$AY$484,'Snowball workings'!$AY$484))</f>
      </c>
    </row>
    <row r="483" spans="1:25" x14ac:dyDescent="0.25">
      <c r="A483" s="2">
        <f>IF(478&gt;$Z$1,"",478)</f>
      </c>
      <c r="B483" s="28">
        <f>IF(478&gt;$Z$1,"",EDATE('Your debts'!$D$21,477))</f>
      </c>
      <c r="C483" s="29">
        <f>IF(478&gt;$Z$1,"",IF('Your debts'!$D$20="Avalanche",'Avalanche workings'!$BC$485,'Snowball workings'!$BC$485))</f>
      </c>
      <c r="D483" s="29">
        <f>IF(478&gt;$Z$1,"",IF('Your debts'!$D$20="Avalanche",'Avalanche workings'!$BA$485,'Snowball workings'!$BA$485))</f>
      </c>
      <c r="E483" s="29">
        <f>IF(478&gt;$Z$1,"",IF('Your debts'!$D$20="Avalanche",'Avalanche workings'!$BB$485,'Snowball workings'!$BB$485))</f>
      </c>
      <c r="F483" s="29">
        <f>IF(OR(478&gt;$Z$1,NOT(OR('Your debts'!$B$6&lt;&gt;"",N('Your debts'!$C$6)&gt;0))),"",IF('Your debts'!$D$20="Avalanche",'Avalanche workings'!$L$485,'Snowball workings'!$L$485)+IF('Your debts'!$D$20="Avalanche",'Avalanche workings'!$AF$485,'Snowball workings'!$AF$485))</f>
      </c>
      <c r="G483" s="30">
        <f>IF(OR(478&gt;$Z$1,NOT(OR('Your debts'!$B$6&lt;&gt;"",N('Your debts'!$C$6)&gt;0))),"",IF('Your debts'!$D$20="Avalanche",'Avalanche workings'!$AP$485,'Snowball workings'!$AP$485))</f>
      </c>
      <c r="H483" s="29">
        <f>IF(OR(478&gt;$Z$1,NOT(OR('Your debts'!$B$7&lt;&gt;"",N('Your debts'!$C$7)&gt;0))),"",IF('Your debts'!$D$20="Avalanche",'Avalanche workings'!$M$485,'Snowball workings'!$M$485)+IF('Your debts'!$D$20="Avalanche",'Avalanche workings'!$AG$485,'Snowball workings'!$AG$485))</f>
      </c>
      <c r="I483" s="30">
        <f>IF(OR(478&gt;$Z$1,NOT(OR('Your debts'!$B$7&lt;&gt;"",N('Your debts'!$C$7)&gt;0))),"",IF('Your debts'!$D$20="Avalanche",'Avalanche workings'!$AQ$485,'Snowball workings'!$AQ$485))</f>
      </c>
      <c r="J483" s="29">
        <f>IF(OR(478&gt;$Z$1,NOT(OR('Your debts'!$B$8&lt;&gt;"",N('Your debts'!$C$8)&gt;0))),"",IF('Your debts'!$D$20="Avalanche",'Avalanche workings'!$N$485,'Snowball workings'!$N$485)+IF('Your debts'!$D$20="Avalanche",'Avalanche workings'!$AH$485,'Snowball workings'!$AH$485))</f>
      </c>
      <c r="K483" s="30">
        <f>IF(OR(478&gt;$Z$1,NOT(OR('Your debts'!$B$8&lt;&gt;"",N('Your debts'!$C$8)&gt;0))),"",IF('Your debts'!$D$20="Avalanche",'Avalanche workings'!$AR$485,'Snowball workings'!$AR$485))</f>
      </c>
      <c r="L483" s="29">
        <f>IF(OR(478&gt;$Z$1,NOT(OR('Your debts'!$B$9&lt;&gt;"",N('Your debts'!$C$9)&gt;0))),"",IF('Your debts'!$D$20="Avalanche",'Avalanche workings'!$O$485,'Snowball workings'!$O$485)+IF('Your debts'!$D$20="Avalanche",'Avalanche workings'!$AI$485,'Snowball workings'!$AI$485))</f>
      </c>
      <c r="M483" s="30">
        <f>IF(OR(478&gt;$Z$1,NOT(OR('Your debts'!$B$9&lt;&gt;"",N('Your debts'!$C$9)&gt;0))),"",IF('Your debts'!$D$20="Avalanche",'Avalanche workings'!$AS$485,'Snowball workings'!$AS$485))</f>
      </c>
      <c r="N483" s="29">
        <f>IF(OR(478&gt;$Z$1,NOT(OR('Your debts'!$B$10&lt;&gt;"",N('Your debts'!$C$10)&gt;0))),"",IF('Your debts'!$D$20="Avalanche",'Avalanche workings'!$P$485,'Snowball workings'!$P$485)+IF('Your debts'!$D$20="Avalanche",'Avalanche workings'!$AJ$485,'Snowball workings'!$AJ$485))</f>
      </c>
      <c r="O483" s="30">
        <f>IF(OR(478&gt;$Z$1,NOT(OR('Your debts'!$B$10&lt;&gt;"",N('Your debts'!$C$10)&gt;0))),"",IF('Your debts'!$D$20="Avalanche",'Avalanche workings'!$AT$485,'Snowball workings'!$AT$485))</f>
      </c>
      <c r="P483" s="29">
        <f>IF(OR(478&gt;$Z$1,NOT(OR('Your debts'!$B$11&lt;&gt;"",N('Your debts'!$C$11)&gt;0))),"",IF('Your debts'!$D$20="Avalanche",'Avalanche workings'!$Q$485,'Snowball workings'!$Q$485)+IF('Your debts'!$D$20="Avalanche",'Avalanche workings'!$AK$485,'Snowball workings'!$AK$485))</f>
      </c>
      <c r="Q483" s="30">
        <f>IF(OR(478&gt;$Z$1,NOT(OR('Your debts'!$B$11&lt;&gt;"",N('Your debts'!$C$11)&gt;0))),"",IF('Your debts'!$D$20="Avalanche",'Avalanche workings'!$AU$485,'Snowball workings'!$AU$485))</f>
      </c>
      <c r="R483" s="29">
        <f>IF(OR(478&gt;$Z$1,NOT(OR('Your debts'!$B$12&lt;&gt;"",N('Your debts'!$C$12)&gt;0))),"",IF('Your debts'!$D$20="Avalanche",'Avalanche workings'!$R$485,'Snowball workings'!$R$485)+IF('Your debts'!$D$20="Avalanche",'Avalanche workings'!$AL$485,'Snowball workings'!$AL$485))</f>
      </c>
      <c r="S483" s="30">
        <f>IF(OR(478&gt;$Z$1,NOT(OR('Your debts'!$B$12&lt;&gt;"",N('Your debts'!$C$12)&gt;0))),"",IF('Your debts'!$D$20="Avalanche",'Avalanche workings'!$AV$485,'Snowball workings'!$AV$485))</f>
      </c>
      <c r="T483" s="29">
        <f>IF(OR(478&gt;$Z$1,NOT(OR('Your debts'!$B$13&lt;&gt;"",N('Your debts'!$C$13)&gt;0))),"",IF('Your debts'!$D$20="Avalanche",'Avalanche workings'!$S$485,'Snowball workings'!$S$485)+IF('Your debts'!$D$20="Avalanche",'Avalanche workings'!$AM$485,'Snowball workings'!$AM$485))</f>
      </c>
      <c r="U483" s="30">
        <f>IF(OR(478&gt;$Z$1,NOT(OR('Your debts'!$B$13&lt;&gt;"",N('Your debts'!$C$13)&gt;0))),"",IF('Your debts'!$D$20="Avalanche",'Avalanche workings'!$AW$485,'Snowball workings'!$AW$485))</f>
      </c>
      <c r="V483" s="29">
        <f>IF(OR(478&gt;$Z$1,NOT(OR('Your debts'!$B$14&lt;&gt;"",N('Your debts'!$C$14)&gt;0))),"",IF('Your debts'!$D$20="Avalanche",'Avalanche workings'!$T$485,'Snowball workings'!$T$485)+IF('Your debts'!$D$20="Avalanche",'Avalanche workings'!$AN$485,'Snowball workings'!$AN$485))</f>
      </c>
      <c r="W483" s="30">
        <f>IF(OR(478&gt;$Z$1,NOT(OR('Your debts'!$B$14&lt;&gt;"",N('Your debts'!$C$14)&gt;0))),"",IF('Your debts'!$D$20="Avalanche",'Avalanche workings'!$AX$485,'Snowball workings'!$AX$485))</f>
      </c>
      <c r="X483" s="29">
        <f>IF(OR(478&gt;$Z$1,NOT(OR('Your debts'!$B$15&lt;&gt;"",N('Your debts'!$C$15)&gt;0))),"",IF('Your debts'!$D$20="Avalanche",'Avalanche workings'!$U$485,'Snowball workings'!$U$485)+IF('Your debts'!$D$20="Avalanche",'Avalanche workings'!$AO$485,'Snowball workings'!$AO$485))</f>
      </c>
      <c r="Y483" s="30">
        <f>IF(OR(478&gt;$Z$1,NOT(OR('Your debts'!$B$15&lt;&gt;"",N('Your debts'!$C$15)&gt;0))),"",IF('Your debts'!$D$20="Avalanche",'Avalanche workings'!$AY$485,'Snowball workings'!$AY$485))</f>
      </c>
    </row>
    <row r="484" spans="1:25" x14ac:dyDescent="0.25">
      <c r="A484" s="2">
        <f>IF(479&gt;$Z$1,"",479)</f>
      </c>
      <c r="B484" s="28">
        <f>IF(479&gt;$Z$1,"",EDATE('Your debts'!$D$21,478))</f>
      </c>
      <c r="C484" s="29">
        <f>IF(479&gt;$Z$1,"",IF('Your debts'!$D$20="Avalanche",'Avalanche workings'!$BC$486,'Snowball workings'!$BC$486))</f>
      </c>
      <c r="D484" s="29">
        <f>IF(479&gt;$Z$1,"",IF('Your debts'!$D$20="Avalanche",'Avalanche workings'!$BA$486,'Snowball workings'!$BA$486))</f>
      </c>
      <c r="E484" s="29">
        <f>IF(479&gt;$Z$1,"",IF('Your debts'!$D$20="Avalanche",'Avalanche workings'!$BB$486,'Snowball workings'!$BB$486))</f>
      </c>
      <c r="F484" s="29">
        <f>IF(OR(479&gt;$Z$1,NOT(OR('Your debts'!$B$6&lt;&gt;"",N('Your debts'!$C$6)&gt;0))),"",IF('Your debts'!$D$20="Avalanche",'Avalanche workings'!$L$486,'Snowball workings'!$L$486)+IF('Your debts'!$D$20="Avalanche",'Avalanche workings'!$AF$486,'Snowball workings'!$AF$486))</f>
      </c>
      <c r="G484" s="30">
        <f>IF(OR(479&gt;$Z$1,NOT(OR('Your debts'!$B$6&lt;&gt;"",N('Your debts'!$C$6)&gt;0))),"",IF('Your debts'!$D$20="Avalanche",'Avalanche workings'!$AP$486,'Snowball workings'!$AP$486))</f>
      </c>
      <c r="H484" s="29">
        <f>IF(OR(479&gt;$Z$1,NOT(OR('Your debts'!$B$7&lt;&gt;"",N('Your debts'!$C$7)&gt;0))),"",IF('Your debts'!$D$20="Avalanche",'Avalanche workings'!$M$486,'Snowball workings'!$M$486)+IF('Your debts'!$D$20="Avalanche",'Avalanche workings'!$AG$486,'Snowball workings'!$AG$486))</f>
      </c>
      <c r="I484" s="30">
        <f>IF(OR(479&gt;$Z$1,NOT(OR('Your debts'!$B$7&lt;&gt;"",N('Your debts'!$C$7)&gt;0))),"",IF('Your debts'!$D$20="Avalanche",'Avalanche workings'!$AQ$486,'Snowball workings'!$AQ$486))</f>
      </c>
      <c r="J484" s="29">
        <f>IF(OR(479&gt;$Z$1,NOT(OR('Your debts'!$B$8&lt;&gt;"",N('Your debts'!$C$8)&gt;0))),"",IF('Your debts'!$D$20="Avalanche",'Avalanche workings'!$N$486,'Snowball workings'!$N$486)+IF('Your debts'!$D$20="Avalanche",'Avalanche workings'!$AH$486,'Snowball workings'!$AH$486))</f>
      </c>
      <c r="K484" s="30">
        <f>IF(OR(479&gt;$Z$1,NOT(OR('Your debts'!$B$8&lt;&gt;"",N('Your debts'!$C$8)&gt;0))),"",IF('Your debts'!$D$20="Avalanche",'Avalanche workings'!$AR$486,'Snowball workings'!$AR$486))</f>
      </c>
      <c r="L484" s="29">
        <f>IF(OR(479&gt;$Z$1,NOT(OR('Your debts'!$B$9&lt;&gt;"",N('Your debts'!$C$9)&gt;0))),"",IF('Your debts'!$D$20="Avalanche",'Avalanche workings'!$O$486,'Snowball workings'!$O$486)+IF('Your debts'!$D$20="Avalanche",'Avalanche workings'!$AI$486,'Snowball workings'!$AI$486))</f>
      </c>
      <c r="M484" s="30">
        <f>IF(OR(479&gt;$Z$1,NOT(OR('Your debts'!$B$9&lt;&gt;"",N('Your debts'!$C$9)&gt;0))),"",IF('Your debts'!$D$20="Avalanche",'Avalanche workings'!$AS$486,'Snowball workings'!$AS$486))</f>
      </c>
      <c r="N484" s="29">
        <f>IF(OR(479&gt;$Z$1,NOT(OR('Your debts'!$B$10&lt;&gt;"",N('Your debts'!$C$10)&gt;0))),"",IF('Your debts'!$D$20="Avalanche",'Avalanche workings'!$P$486,'Snowball workings'!$P$486)+IF('Your debts'!$D$20="Avalanche",'Avalanche workings'!$AJ$486,'Snowball workings'!$AJ$486))</f>
      </c>
      <c r="O484" s="30">
        <f>IF(OR(479&gt;$Z$1,NOT(OR('Your debts'!$B$10&lt;&gt;"",N('Your debts'!$C$10)&gt;0))),"",IF('Your debts'!$D$20="Avalanche",'Avalanche workings'!$AT$486,'Snowball workings'!$AT$486))</f>
      </c>
      <c r="P484" s="29">
        <f>IF(OR(479&gt;$Z$1,NOT(OR('Your debts'!$B$11&lt;&gt;"",N('Your debts'!$C$11)&gt;0))),"",IF('Your debts'!$D$20="Avalanche",'Avalanche workings'!$Q$486,'Snowball workings'!$Q$486)+IF('Your debts'!$D$20="Avalanche",'Avalanche workings'!$AK$486,'Snowball workings'!$AK$486))</f>
      </c>
      <c r="Q484" s="30">
        <f>IF(OR(479&gt;$Z$1,NOT(OR('Your debts'!$B$11&lt;&gt;"",N('Your debts'!$C$11)&gt;0))),"",IF('Your debts'!$D$20="Avalanche",'Avalanche workings'!$AU$486,'Snowball workings'!$AU$486))</f>
      </c>
      <c r="R484" s="29">
        <f>IF(OR(479&gt;$Z$1,NOT(OR('Your debts'!$B$12&lt;&gt;"",N('Your debts'!$C$12)&gt;0))),"",IF('Your debts'!$D$20="Avalanche",'Avalanche workings'!$R$486,'Snowball workings'!$R$486)+IF('Your debts'!$D$20="Avalanche",'Avalanche workings'!$AL$486,'Snowball workings'!$AL$486))</f>
      </c>
      <c r="S484" s="30">
        <f>IF(OR(479&gt;$Z$1,NOT(OR('Your debts'!$B$12&lt;&gt;"",N('Your debts'!$C$12)&gt;0))),"",IF('Your debts'!$D$20="Avalanche",'Avalanche workings'!$AV$486,'Snowball workings'!$AV$486))</f>
      </c>
      <c r="T484" s="29">
        <f>IF(OR(479&gt;$Z$1,NOT(OR('Your debts'!$B$13&lt;&gt;"",N('Your debts'!$C$13)&gt;0))),"",IF('Your debts'!$D$20="Avalanche",'Avalanche workings'!$S$486,'Snowball workings'!$S$486)+IF('Your debts'!$D$20="Avalanche",'Avalanche workings'!$AM$486,'Snowball workings'!$AM$486))</f>
      </c>
      <c r="U484" s="30">
        <f>IF(OR(479&gt;$Z$1,NOT(OR('Your debts'!$B$13&lt;&gt;"",N('Your debts'!$C$13)&gt;0))),"",IF('Your debts'!$D$20="Avalanche",'Avalanche workings'!$AW$486,'Snowball workings'!$AW$486))</f>
      </c>
      <c r="V484" s="29">
        <f>IF(OR(479&gt;$Z$1,NOT(OR('Your debts'!$B$14&lt;&gt;"",N('Your debts'!$C$14)&gt;0))),"",IF('Your debts'!$D$20="Avalanche",'Avalanche workings'!$T$486,'Snowball workings'!$T$486)+IF('Your debts'!$D$20="Avalanche",'Avalanche workings'!$AN$486,'Snowball workings'!$AN$486))</f>
      </c>
      <c r="W484" s="30">
        <f>IF(OR(479&gt;$Z$1,NOT(OR('Your debts'!$B$14&lt;&gt;"",N('Your debts'!$C$14)&gt;0))),"",IF('Your debts'!$D$20="Avalanche",'Avalanche workings'!$AX$486,'Snowball workings'!$AX$486))</f>
      </c>
      <c r="X484" s="29">
        <f>IF(OR(479&gt;$Z$1,NOT(OR('Your debts'!$B$15&lt;&gt;"",N('Your debts'!$C$15)&gt;0))),"",IF('Your debts'!$D$20="Avalanche",'Avalanche workings'!$U$486,'Snowball workings'!$U$486)+IF('Your debts'!$D$20="Avalanche",'Avalanche workings'!$AO$486,'Snowball workings'!$AO$486))</f>
      </c>
      <c r="Y484" s="30">
        <f>IF(OR(479&gt;$Z$1,NOT(OR('Your debts'!$B$15&lt;&gt;"",N('Your debts'!$C$15)&gt;0))),"",IF('Your debts'!$D$20="Avalanche",'Avalanche workings'!$AY$486,'Snowball workings'!$AY$486))</f>
      </c>
    </row>
    <row r="485" spans="1:25" x14ac:dyDescent="0.25">
      <c r="A485" s="2">
        <f>IF(480&gt;$Z$1,"",480)</f>
      </c>
      <c r="B485" s="28">
        <f>IF(480&gt;$Z$1,"",EDATE('Your debts'!$D$21,479))</f>
      </c>
      <c r="C485" s="29">
        <f>IF(480&gt;$Z$1,"",IF('Your debts'!$D$20="Avalanche",'Avalanche workings'!$BC$487,'Snowball workings'!$BC$487))</f>
      </c>
      <c r="D485" s="29">
        <f>IF(480&gt;$Z$1,"",IF('Your debts'!$D$20="Avalanche",'Avalanche workings'!$BA$487,'Snowball workings'!$BA$487))</f>
      </c>
      <c r="E485" s="29">
        <f>IF(480&gt;$Z$1,"",IF('Your debts'!$D$20="Avalanche",'Avalanche workings'!$BB$487,'Snowball workings'!$BB$487))</f>
      </c>
      <c r="F485" s="29">
        <f>IF(OR(480&gt;$Z$1,NOT(OR('Your debts'!$B$6&lt;&gt;"",N('Your debts'!$C$6)&gt;0))),"",IF('Your debts'!$D$20="Avalanche",'Avalanche workings'!$L$487,'Snowball workings'!$L$487)+IF('Your debts'!$D$20="Avalanche",'Avalanche workings'!$AF$487,'Snowball workings'!$AF$487))</f>
      </c>
      <c r="G485" s="30">
        <f>IF(OR(480&gt;$Z$1,NOT(OR('Your debts'!$B$6&lt;&gt;"",N('Your debts'!$C$6)&gt;0))),"",IF('Your debts'!$D$20="Avalanche",'Avalanche workings'!$AP$487,'Snowball workings'!$AP$487))</f>
      </c>
      <c r="H485" s="29">
        <f>IF(OR(480&gt;$Z$1,NOT(OR('Your debts'!$B$7&lt;&gt;"",N('Your debts'!$C$7)&gt;0))),"",IF('Your debts'!$D$20="Avalanche",'Avalanche workings'!$M$487,'Snowball workings'!$M$487)+IF('Your debts'!$D$20="Avalanche",'Avalanche workings'!$AG$487,'Snowball workings'!$AG$487))</f>
      </c>
      <c r="I485" s="30">
        <f>IF(OR(480&gt;$Z$1,NOT(OR('Your debts'!$B$7&lt;&gt;"",N('Your debts'!$C$7)&gt;0))),"",IF('Your debts'!$D$20="Avalanche",'Avalanche workings'!$AQ$487,'Snowball workings'!$AQ$487))</f>
      </c>
      <c r="J485" s="29">
        <f>IF(OR(480&gt;$Z$1,NOT(OR('Your debts'!$B$8&lt;&gt;"",N('Your debts'!$C$8)&gt;0))),"",IF('Your debts'!$D$20="Avalanche",'Avalanche workings'!$N$487,'Snowball workings'!$N$487)+IF('Your debts'!$D$20="Avalanche",'Avalanche workings'!$AH$487,'Snowball workings'!$AH$487))</f>
      </c>
      <c r="K485" s="30">
        <f>IF(OR(480&gt;$Z$1,NOT(OR('Your debts'!$B$8&lt;&gt;"",N('Your debts'!$C$8)&gt;0))),"",IF('Your debts'!$D$20="Avalanche",'Avalanche workings'!$AR$487,'Snowball workings'!$AR$487))</f>
      </c>
      <c r="L485" s="29">
        <f>IF(OR(480&gt;$Z$1,NOT(OR('Your debts'!$B$9&lt;&gt;"",N('Your debts'!$C$9)&gt;0))),"",IF('Your debts'!$D$20="Avalanche",'Avalanche workings'!$O$487,'Snowball workings'!$O$487)+IF('Your debts'!$D$20="Avalanche",'Avalanche workings'!$AI$487,'Snowball workings'!$AI$487))</f>
      </c>
      <c r="M485" s="30">
        <f>IF(OR(480&gt;$Z$1,NOT(OR('Your debts'!$B$9&lt;&gt;"",N('Your debts'!$C$9)&gt;0))),"",IF('Your debts'!$D$20="Avalanche",'Avalanche workings'!$AS$487,'Snowball workings'!$AS$487))</f>
      </c>
      <c r="N485" s="29">
        <f>IF(OR(480&gt;$Z$1,NOT(OR('Your debts'!$B$10&lt;&gt;"",N('Your debts'!$C$10)&gt;0))),"",IF('Your debts'!$D$20="Avalanche",'Avalanche workings'!$P$487,'Snowball workings'!$P$487)+IF('Your debts'!$D$20="Avalanche",'Avalanche workings'!$AJ$487,'Snowball workings'!$AJ$487))</f>
      </c>
      <c r="O485" s="30">
        <f>IF(OR(480&gt;$Z$1,NOT(OR('Your debts'!$B$10&lt;&gt;"",N('Your debts'!$C$10)&gt;0))),"",IF('Your debts'!$D$20="Avalanche",'Avalanche workings'!$AT$487,'Snowball workings'!$AT$487))</f>
      </c>
      <c r="P485" s="29">
        <f>IF(OR(480&gt;$Z$1,NOT(OR('Your debts'!$B$11&lt;&gt;"",N('Your debts'!$C$11)&gt;0))),"",IF('Your debts'!$D$20="Avalanche",'Avalanche workings'!$Q$487,'Snowball workings'!$Q$487)+IF('Your debts'!$D$20="Avalanche",'Avalanche workings'!$AK$487,'Snowball workings'!$AK$487))</f>
      </c>
      <c r="Q485" s="30">
        <f>IF(OR(480&gt;$Z$1,NOT(OR('Your debts'!$B$11&lt;&gt;"",N('Your debts'!$C$11)&gt;0))),"",IF('Your debts'!$D$20="Avalanche",'Avalanche workings'!$AU$487,'Snowball workings'!$AU$487))</f>
      </c>
      <c r="R485" s="29">
        <f>IF(OR(480&gt;$Z$1,NOT(OR('Your debts'!$B$12&lt;&gt;"",N('Your debts'!$C$12)&gt;0))),"",IF('Your debts'!$D$20="Avalanche",'Avalanche workings'!$R$487,'Snowball workings'!$R$487)+IF('Your debts'!$D$20="Avalanche",'Avalanche workings'!$AL$487,'Snowball workings'!$AL$487))</f>
      </c>
      <c r="S485" s="30">
        <f>IF(OR(480&gt;$Z$1,NOT(OR('Your debts'!$B$12&lt;&gt;"",N('Your debts'!$C$12)&gt;0))),"",IF('Your debts'!$D$20="Avalanche",'Avalanche workings'!$AV$487,'Snowball workings'!$AV$487))</f>
      </c>
      <c r="T485" s="29">
        <f>IF(OR(480&gt;$Z$1,NOT(OR('Your debts'!$B$13&lt;&gt;"",N('Your debts'!$C$13)&gt;0))),"",IF('Your debts'!$D$20="Avalanche",'Avalanche workings'!$S$487,'Snowball workings'!$S$487)+IF('Your debts'!$D$20="Avalanche",'Avalanche workings'!$AM$487,'Snowball workings'!$AM$487))</f>
      </c>
      <c r="U485" s="30">
        <f>IF(OR(480&gt;$Z$1,NOT(OR('Your debts'!$B$13&lt;&gt;"",N('Your debts'!$C$13)&gt;0))),"",IF('Your debts'!$D$20="Avalanche",'Avalanche workings'!$AW$487,'Snowball workings'!$AW$487))</f>
      </c>
      <c r="V485" s="29">
        <f>IF(OR(480&gt;$Z$1,NOT(OR('Your debts'!$B$14&lt;&gt;"",N('Your debts'!$C$14)&gt;0))),"",IF('Your debts'!$D$20="Avalanche",'Avalanche workings'!$T$487,'Snowball workings'!$T$487)+IF('Your debts'!$D$20="Avalanche",'Avalanche workings'!$AN$487,'Snowball workings'!$AN$487))</f>
      </c>
      <c r="W485" s="30">
        <f>IF(OR(480&gt;$Z$1,NOT(OR('Your debts'!$B$14&lt;&gt;"",N('Your debts'!$C$14)&gt;0))),"",IF('Your debts'!$D$20="Avalanche",'Avalanche workings'!$AX$487,'Snowball workings'!$AX$487))</f>
      </c>
      <c r="X485" s="29">
        <f>IF(OR(480&gt;$Z$1,NOT(OR('Your debts'!$B$15&lt;&gt;"",N('Your debts'!$C$15)&gt;0))),"",IF('Your debts'!$D$20="Avalanche",'Avalanche workings'!$U$487,'Snowball workings'!$U$487)+IF('Your debts'!$D$20="Avalanche",'Avalanche workings'!$AO$487,'Snowball workings'!$AO$487))</f>
      </c>
      <c r="Y485" s="30">
        <f>IF(OR(480&gt;$Z$1,NOT(OR('Your debts'!$B$15&lt;&gt;"",N('Your debts'!$C$15)&gt;0))),"",IF('Your debts'!$D$20="Avalanche",'Avalanche workings'!$AY$487,'Snowball workings'!$AY$487))</f>
      </c>
    </row>
    <row r="486" spans="1:25" x14ac:dyDescent="0.25">
      <c r="A486" s="2">
        <f>IF(481&gt;$Z$1,"",481)</f>
      </c>
      <c r="B486" s="28">
        <f>IF(481&gt;$Z$1,"",EDATE('Your debts'!$D$21,480))</f>
      </c>
      <c r="C486" s="29">
        <f>IF(481&gt;$Z$1,"",IF('Your debts'!$D$20="Avalanche",'Avalanche workings'!$BC$488,'Snowball workings'!$BC$488))</f>
      </c>
      <c r="D486" s="29">
        <f>IF(481&gt;$Z$1,"",IF('Your debts'!$D$20="Avalanche",'Avalanche workings'!$BA$488,'Snowball workings'!$BA$488))</f>
      </c>
      <c r="E486" s="29">
        <f>IF(481&gt;$Z$1,"",IF('Your debts'!$D$20="Avalanche",'Avalanche workings'!$BB$488,'Snowball workings'!$BB$488))</f>
      </c>
      <c r="F486" s="29">
        <f>IF(OR(481&gt;$Z$1,NOT(OR('Your debts'!$B$6&lt;&gt;"",N('Your debts'!$C$6)&gt;0))),"",IF('Your debts'!$D$20="Avalanche",'Avalanche workings'!$L$488,'Snowball workings'!$L$488)+IF('Your debts'!$D$20="Avalanche",'Avalanche workings'!$AF$488,'Snowball workings'!$AF$488))</f>
      </c>
      <c r="G486" s="30">
        <f>IF(OR(481&gt;$Z$1,NOT(OR('Your debts'!$B$6&lt;&gt;"",N('Your debts'!$C$6)&gt;0))),"",IF('Your debts'!$D$20="Avalanche",'Avalanche workings'!$AP$488,'Snowball workings'!$AP$488))</f>
      </c>
      <c r="H486" s="29">
        <f>IF(OR(481&gt;$Z$1,NOT(OR('Your debts'!$B$7&lt;&gt;"",N('Your debts'!$C$7)&gt;0))),"",IF('Your debts'!$D$20="Avalanche",'Avalanche workings'!$M$488,'Snowball workings'!$M$488)+IF('Your debts'!$D$20="Avalanche",'Avalanche workings'!$AG$488,'Snowball workings'!$AG$488))</f>
      </c>
      <c r="I486" s="30">
        <f>IF(OR(481&gt;$Z$1,NOT(OR('Your debts'!$B$7&lt;&gt;"",N('Your debts'!$C$7)&gt;0))),"",IF('Your debts'!$D$20="Avalanche",'Avalanche workings'!$AQ$488,'Snowball workings'!$AQ$488))</f>
      </c>
      <c r="J486" s="29">
        <f>IF(OR(481&gt;$Z$1,NOT(OR('Your debts'!$B$8&lt;&gt;"",N('Your debts'!$C$8)&gt;0))),"",IF('Your debts'!$D$20="Avalanche",'Avalanche workings'!$N$488,'Snowball workings'!$N$488)+IF('Your debts'!$D$20="Avalanche",'Avalanche workings'!$AH$488,'Snowball workings'!$AH$488))</f>
      </c>
      <c r="K486" s="30">
        <f>IF(OR(481&gt;$Z$1,NOT(OR('Your debts'!$B$8&lt;&gt;"",N('Your debts'!$C$8)&gt;0))),"",IF('Your debts'!$D$20="Avalanche",'Avalanche workings'!$AR$488,'Snowball workings'!$AR$488))</f>
      </c>
      <c r="L486" s="29">
        <f>IF(OR(481&gt;$Z$1,NOT(OR('Your debts'!$B$9&lt;&gt;"",N('Your debts'!$C$9)&gt;0))),"",IF('Your debts'!$D$20="Avalanche",'Avalanche workings'!$O$488,'Snowball workings'!$O$488)+IF('Your debts'!$D$20="Avalanche",'Avalanche workings'!$AI$488,'Snowball workings'!$AI$488))</f>
      </c>
      <c r="M486" s="30">
        <f>IF(OR(481&gt;$Z$1,NOT(OR('Your debts'!$B$9&lt;&gt;"",N('Your debts'!$C$9)&gt;0))),"",IF('Your debts'!$D$20="Avalanche",'Avalanche workings'!$AS$488,'Snowball workings'!$AS$488))</f>
      </c>
      <c r="N486" s="29">
        <f>IF(OR(481&gt;$Z$1,NOT(OR('Your debts'!$B$10&lt;&gt;"",N('Your debts'!$C$10)&gt;0))),"",IF('Your debts'!$D$20="Avalanche",'Avalanche workings'!$P$488,'Snowball workings'!$P$488)+IF('Your debts'!$D$20="Avalanche",'Avalanche workings'!$AJ$488,'Snowball workings'!$AJ$488))</f>
      </c>
      <c r="O486" s="30">
        <f>IF(OR(481&gt;$Z$1,NOT(OR('Your debts'!$B$10&lt;&gt;"",N('Your debts'!$C$10)&gt;0))),"",IF('Your debts'!$D$20="Avalanche",'Avalanche workings'!$AT$488,'Snowball workings'!$AT$488))</f>
      </c>
      <c r="P486" s="29">
        <f>IF(OR(481&gt;$Z$1,NOT(OR('Your debts'!$B$11&lt;&gt;"",N('Your debts'!$C$11)&gt;0))),"",IF('Your debts'!$D$20="Avalanche",'Avalanche workings'!$Q$488,'Snowball workings'!$Q$488)+IF('Your debts'!$D$20="Avalanche",'Avalanche workings'!$AK$488,'Snowball workings'!$AK$488))</f>
      </c>
      <c r="Q486" s="30">
        <f>IF(OR(481&gt;$Z$1,NOT(OR('Your debts'!$B$11&lt;&gt;"",N('Your debts'!$C$11)&gt;0))),"",IF('Your debts'!$D$20="Avalanche",'Avalanche workings'!$AU$488,'Snowball workings'!$AU$488))</f>
      </c>
      <c r="R486" s="29">
        <f>IF(OR(481&gt;$Z$1,NOT(OR('Your debts'!$B$12&lt;&gt;"",N('Your debts'!$C$12)&gt;0))),"",IF('Your debts'!$D$20="Avalanche",'Avalanche workings'!$R$488,'Snowball workings'!$R$488)+IF('Your debts'!$D$20="Avalanche",'Avalanche workings'!$AL$488,'Snowball workings'!$AL$488))</f>
      </c>
      <c r="S486" s="30">
        <f>IF(OR(481&gt;$Z$1,NOT(OR('Your debts'!$B$12&lt;&gt;"",N('Your debts'!$C$12)&gt;0))),"",IF('Your debts'!$D$20="Avalanche",'Avalanche workings'!$AV$488,'Snowball workings'!$AV$488))</f>
      </c>
      <c r="T486" s="29">
        <f>IF(OR(481&gt;$Z$1,NOT(OR('Your debts'!$B$13&lt;&gt;"",N('Your debts'!$C$13)&gt;0))),"",IF('Your debts'!$D$20="Avalanche",'Avalanche workings'!$S$488,'Snowball workings'!$S$488)+IF('Your debts'!$D$20="Avalanche",'Avalanche workings'!$AM$488,'Snowball workings'!$AM$488))</f>
      </c>
      <c r="U486" s="30">
        <f>IF(OR(481&gt;$Z$1,NOT(OR('Your debts'!$B$13&lt;&gt;"",N('Your debts'!$C$13)&gt;0))),"",IF('Your debts'!$D$20="Avalanche",'Avalanche workings'!$AW$488,'Snowball workings'!$AW$488))</f>
      </c>
      <c r="V486" s="29">
        <f>IF(OR(481&gt;$Z$1,NOT(OR('Your debts'!$B$14&lt;&gt;"",N('Your debts'!$C$14)&gt;0))),"",IF('Your debts'!$D$20="Avalanche",'Avalanche workings'!$T$488,'Snowball workings'!$T$488)+IF('Your debts'!$D$20="Avalanche",'Avalanche workings'!$AN$488,'Snowball workings'!$AN$488))</f>
      </c>
      <c r="W486" s="30">
        <f>IF(OR(481&gt;$Z$1,NOT(OR('Your debts'!$B$14&lt;&gt;"",N('Your debts'!$C$14)&gt;0))),"",IF('Your debts'!$D$20="Avalanche",'Avalanche workings'!$AX$488,'Snowball workings'!$AX$488))</f>
      </c>
      <c r="X486" s="29">
        <f>IF(OR(481&gt;$Z$1,NOT(OR('Your debts'!$B$15&lt;&gt;"",N('Your debts'!$C$15)&gt;0))),"",IF('Your debts'!$D$20="Avalanche",'Avalanche workings'!$U$488,'Snowball workings'!$U$488)+IF('Your debts'!$D$20="Avalanche",'Avalanche workings'!$AO$488,'Snowball workings'!$AO$488))</f>
      </c>
      <c r="Y486" s="30">
        <f>IF(OR(481&gt;$Z$1,NOT(OR('Your debts'!$B$15&lt;&gt;"",N('Your debts'!$C$15)&gt;0))),"",IF('Your debts'!$D$20="Avalanche",'Avalanche workings'!$AY$488,'Snowball workings'!$AY$488))</f>
      </c>
    </row>
    <row r="487" spans="1:25" x14ac:dyDescent="0.25">
      <c r="A487" s="2">
        <f>IF(482&gt;$Z$1,"",482)</f>
      </c>
      <c r="B487" s="28">
        <f>IF(482&gt;$Z$1,"",EDATE('Your debts'!$D$21,481))</f>
      </c>
      <c r="C487" s="29">
        <f>IF(482&gt;$Z$1,"",IF('Your debts'!$D$20="Avalanche",'Avalanche workings'!$BC$489,'Snowball workings'!$BC$489))</f>
      </c>
      <c r="D487" s="29">
        <f>IF(482&gt;$Z$1,"",IF('Your debts'!$D$20="Avalanche",'Avalanche workings'!$BA$489,'Snowball workings'!$BA$489))</f>
      </c>
      <c r="E487" s="29">
        <f>IF(482&gt;$Z$1,"",IF('Your debts'!$D$20="Avalanche",'Avalanche workings'!$BB$489,'Snowball workings'!$BB$489))</f>
      </c>
      <c r="F487" s="29">
        <f>IF(OR(482&gt;$Z$1,NOT(OR('Your debts'!$B$6&lt;&gt;"",N('Your debts'!$C$6)&gt;0))),"",IF('Your debts'!$D$20="Avalanche",'Avalanche workings'!$L$489,'Snowball workings'!$L$489)+IF('Your debts'!$D$20="Avalanche",'Avalanche workings'!$AF$489,'Snowball workings'!$AF$489))</f>
      </c>
      <c r="G487" s="30">
        <f>IF(OR(482&gt;$Z$1,NOT(OR('Your debts'!$B$6&lt;&gt;"",N('Your debts'!$C$6)&gt;0))),"",IF('Your debts'!$D$20="Avalanche",'Avalanche workings'!$AP$489,'Snowball workings'!$AP$489))</f>
      </c>
      <c r="H487" s="29">
        <f>IF(OR(482&gt;$Z$1,NOT(OR('Your debts'!$B$7&lt;&gt;"",N('Your debts'!$C$7)&gt;0))),"",IF('Your debts'!$D$20="Avalanche",'Avalanche workings'!$M$489,'Snowball workings'!$M$489)+IF('Your debts'!$D$20="Avalanche",'Avalanche workings'!$AG$489,'Snowball workings'!$AG$489))</f>
      </c>
      <c r="I487" s="30">
        <f>IF(OR(482&gt;$Z$1,NOT(OR('Your debts'!$B$7&lt;&gt;"",N('Your debts'!$C$7)&gt;0))),"",IF('Your debts'!$D$20="Avalanche",'Avalanche workings'!$AQ$489,'Snowball workings'!$AQ$489))</f>
      </c>
      <c r="J487" s="29">
        <f>IF(OR(482&gt;$Z$1,NOT(OR('Your debts'!$B$8&lt;&gt;"",N('Your debts'!$C$8)&gt;0))),"",IF('Your debts'!$D$20="Avalanche",'Avalanche workings'!$N$489,'Snowball workings'!$N$489)+IF('Your debts'!$D$20="Avalanche",'Avalanche workings'!$AH$489,'Snowball workings'!$AH$489))</f>
      </c>
      <c r="K487" s="30">
        <f>IF(OR(482&gt;$Z$1,NOT(OR('Your debts'!$B$8&lt;&gt;"",N('Your debts'!$C$8)&gt;0))),"",IF('Your debts'!$D$20="Avalanche",'Avalanche workings'!$AR$489,'Snowball workings'!$AR$489))</f>
      </c>
      <c r="L487" s="29">
        <f>IF(OR(482&gt;$Z$1,NOT(OR('Your debts'!$B$9&lt;&gt;"",N('Your debts'!$C$9)&gt;0))),"",IF('Your debts'!$D$20="Avalanche",'Avalanche workings'!$O$489,'Snowball workings'!$O$489)+IF('Your debts'!$D$20="Avalanche",'Avalanche workings'!$AI$489,'Snowball workings'!$AI$489))</f>
      </c>
      <c r="M487" s="30">
        <f>IF(OR(482&gt;$Z$1,NOT(OR('Your debts'!$B$9&lt;&gt;"",N('Your debts'!$C$9)&gt;0))),"",IF('Your debts'!$D$20="Avalanche",'Avalanche workings'!$AS$489,'Snowball workings'!$AS$489))</f>
      </c>
      <c r="N487" s="29">
        <f>IF(OR(482&gt;$Z$1,NOT(OR('Your debts'!$B$10&lt;&gt;"",N('Your debts'!$C$10)&gt;0))),"",IF('Your debts'!$D$20="Avalanche",'Avalanche workings'!$P$489,'Snowball workings'!$P$489)+IF('Your debts'!$D$20="Avalanche",'Avalanche workings'!$AJ$489,'Snowball workings'!$AJ$489))</f>
      </c>
      <c r="O487" s="30">
        <f>IF(OR(482&gt;$Z$1,NOT(OR('Your debts'!$B$10&lt;&gt;"",N('Your debts'!$C$10)&gt;0))),"",IF('Your debts'!$D$20="Avalanche",'Avalanche workings'!$AT$489,'Snowball workings'!$AT$489))</f>
      </c>
      <c r="P487" s="29">
        <f>IF(OR(482&gt;$Z$1,NOT(OR('Your debts'!$B$11&lt;&gt;"",N('Your debts'!$C$11)&gt;0))),"",IF('Your debts'!$D$20="Avalanche",'Avalanche workings'!$Q$489,'Snowball workings'!$Q$489)+IF('Your debts'!$D$20="Avalanche",'Avalanche workings'!$AK$489,'Snowball workings'!$AK$489))</f>
      </c>
      <c r="Q487" s="30">
        <f>IF(OR(482&gt;$Z$1,NOT(OR('Your debts'!$B$11&lt;&gt;"",N('Your debts'!$C$11)&gt;0))),"",IF('Your debts'!$D$20="Avalanche",'Avalanche workings'!$AU$489,'Snowball workings'!$AU$489))</f>
      </c>
      <c r="R487" s="29">
        <f>IF(OR(482&gt;$Z$1,NOT(OR('Your debts'!$B$12&lt;&gt;"",N('Your debts'!$C$12)&gt;0))),"",IF('Your debts'!$D$20="Avalanche",'Avalanche workings'!$R$489,'Snowball workings'!$R$489)+IF('Your debts'!$D$20="Avalanche",'Avalanche workings'!$AL$489,'Snowball workings'!$AL$489))</f>
      </c>
      <c r="S487" s="30">
        <f>IF(OR(482&gt;$Z$1,NOT(OR('Your debts'!$B$12&lt;&gt;"",N('Your debts'!$C$12)&gt;0))),"",IF('Your debts'!$D$20="Avalanche",'Avalanche workings'!$AV$489,'Snowball workings'!$AV$489))</f>
      </c>
      <c r="T487" s="29">
        <f>IF(OR(482&gt;$Z$1,NOT(OR('Your debts'!$B$13&lt;&gt;"",N('Your debts'!$C$13)&gt;0))),"",IF('Your debts'!$D$20="Avalanche",'Avalanche workings'!$S$489,'Snowball workings'!$S$489)+IF('Your debts'!$D$20="Avalanche",'Avalanche workings'!$AM$489,'Snowball workings'!$AM$489))</f>
      </c>
      <c r="U487" s="30">
        <f>IF(OR(482&gt;$Z$1,NOT(OR('Your debts'!$B$13&lt;&gt;"",N('Your debts'!$C$13)&gt;0))),"",IF('Your debts'!$D$20="Avalanche",'Avalanche workings'!$AW$489,'Snowball workings'!$AW$489))</f>
      </c>
      <c r="V487" s="29">
        <f>IF(OR(482&gt;$Z$1,NOT(OR('Your debts'!$B$14&lt;&gt;"",N('Your debts'!$C$14)&gt;0))),"",IF('Your debts'!$D$20="Avalanche",'Avalanche workings'!$T$489,'Snowball workings'!$T$489)+IF('Your debts'!$D$20="Avalanche",'Avalanche workings'!$AN$489,'Snowball workings'!$AN$489))</f>
      </c>
      <c r="W487" s="30">
        <f>IF(OR(482&gt;$Z$1,NOT(OR('Your debts'!$B$14&lt;&gt;"",N('Your debts'!$C$14)&gt;0))),"",IF('Your debts'!$D$20="Avalanche",'Avalanche workings'!$AX$489,'Snowball workings'!$AX$489))</f>
      </c>
      <c r="X487" s="29">
        <f>IF(OR(482&gt;$Z$1,NOT(OR('Your debts'!$B$15&lt;&gt;"",N('Your debts'!$C$15)&gt;0))),"",IF('Your debts'!$D$20="Avalanche",'Avalanche workings'!$U$489,'Snowball workings'!$U$489)+IF('Your debts'!$D$20="Avalanche",'Avalanche workings'!$AO$489,'Snowball workings'!$AO$489))</f>
      </c>
      <c r="Y487" s="30">
        <f>IF(OR(482&gt;$Z$1,NOT(OR('Your debts'!$B$15&lt;&gt;"",N('Your debts'!$C$15)&gt;0))),"",IF('Your debts'!$D$20="Avalanche",'Avalanche workings'!$AY$489,'Snowball workings'!$AY$489))</f>
      </c>
    </row>
    <row r="488" spans="1:25" x14ac:dyDescent="0.25">
      <c r="A488" s="2">
        <f>IF(483&gt;$Z$1,"",483)</f>
      </c>
      <c r="B488" s="28">
        <f>IF(483&gt;$Z$1,"",EDATE('Your debts'!$D$21,482))</f>
      </c>
      <c r="C488" s="29">
        <f>IF(483&gt;$Z$1,"",IF('Your debts'!$D$20="Avalanche",'Avalanche workings'!$BC$490,'Snowball workings'!$BC$490))</f>
      </c>
      <c r="D488" s="29">
        <f>IF(483&gt;$Z$1,"",IF('Your debts'!$D$20="Avalanche",'Avalanche workings'!$BA$490,'Snowball workings'!$BA$490))</f>
      </c>
      <c r="E488" s="29">
        <f>IF(483&gt;$Z$1,"",IF('Your debts'!$D$20="Avalanche",'Avalanche workings'!$BB$490,'Snowball workings'!$BB$490))</f>
      </c>
      <c r="F488" s="29">
        <f>IF(OR(483&gt;$Z$1,NOT(OR('Your debts'!$B$6&lt;&gt;"",N('Your debts'!$C$6)&gt;0))),"",IF('Your debts'!$D$20="Avalanche",'Avalanche workings'!$L$490,'Snowball workings'!$L$490)+IF('Your debts'!$D$20="Avalanche",'Avalanche workings'!$AF$490,'Snowball workings'!$AF$490))</f>
      </c>
      <c r="G488" s="30">
        <f>IF(OR(483&gt;$Z$1,NOT(OR('Your debts'!$B$6&lt;&gt;"",N('Your debts'!$C$6)&gt;0))),"",IF('Your debts'!$D$20="Avalanche",'Avalanche workings'!$AP$490,'Snowball workings'!$AP$490))</f>
      </c>
      <c r="H488" s="29">
        <f>IF(OR(483&gt;$Z$1,NOT(OR('Your debts'!$B$7&lt;&gt;"",N('Your debts'!$C$7)&gt;0))),"",IF('Your debts'!$D$20="Avalanche",'Avalanche workings'!$M$490,'Snowball workings'!$M$490)+IF('Your debts'!$D$20="Avalanche",'Avalanche workings'!$AG$490,'Snowball workings'!$AG$490))</f>
      </c>
      <c r="I488" s="30">
        <f>IF(OR(483&gt;$Z$1,NOT(OR('Your debts'!$B$7&lt;&gt;"",N('Your debts'!$C$7)&gt;0))),"",IF('Your debts'!$D$20="Avalanche",'Avalanche workings'!$AQ$490,'Snowball workings'!$AQ$490))</f>
      </c>
      <c r="J488" s="29">
        <f>IF(OR(483&gt;$Z$1,NOT(OR('Your debts'!$B$8&lt;&gt;"",N('Your debts'!$C$8)&gt;0))),"",IF('Your debts'!$D$20="Avalanche",'Avalanche workings'!$N$490,'Snowball workings'!$N$490)+IF('Your debts'!$D$20="Avalanche",'Avalanche workings'!$AH$490,'Snowball workings'!$AH$490))</f>
      </c>
      <c r="K488" s="30">
        <f>IF(OR(483&gt;$Z$1,NOT(OR('Your debts'!$B$8&lt;&gt;"",N('Your debts'!$C$8)&gt;0))),"",IF('Your debts'!$D$20="Avalanche",'Avalanche workings'!$AR$490,'Snowball workings'!$AR$490))</f>
      </c>
      <c r="L488" s="29">
        <f>IF(OR(483&gt;$Z$1,NOT(OR('Your debts'!$B$9&lt;&gt;"",N('Your debts'!$C$9)&gt;0))),"",IF('Your debts'!$D$20="Avalanche",'Avalanche workings'!$O$490,'Snowball workings'!$O$490)+IF('Your debts'!$D$20="Avalanche",'Avalanche workings'!$AI$490,'Snowball workings'!$AI$490))</f>
      </c>
      <c r="M488" s="30">
        <f>IF(OR(483&gt;$Z$1,NOT(OR('Your debts'!$B$9&lt;&gt;"",N('Your debts'!$C$9)&gt;0))),"",IF('Your debts'!$D$20="Avalanche",'Avalanche workings'!$AS$490,'Snowball workings'!$AS$490))</f>
      </c>
      <c r="N488" s="29">
        <f>IF(OR(483&gt;$Z$1,NOT(OR('Your debts'!$B$10&lt;&gt;"",N('Your debts'!$C$10)&gt;0))),"",IF('Your debts'!$D$20="Avalanche",'Avalanche workings'!$P$490,'Snowball workings'!$P$490)+IF('Your debts'!$D$20="Avalanche",'Avalanche workings'!$AJ$490,'Snowball workings'!$AJ$490))</f>
      </c>
      <c r="O488" s="30">
        <f>IF(OR(483&gt;$Z$1,NOT(OR('Your debts'!$B$10&lt;&gt;"",N('Your debts'!$C$10)&gt;0))),"",IF('Your debts'!$D$20="Avalanche",'Avalanche workings'!$AT$490,'Snowball workings'!$AT$490))</f>
      </c>
      <c r="P488" s="29">
        <f>IF(OR(483&gt;$Z$1,NOT(OR('Your debts'!$B$11&lt;&gt;"",N('Your debts'!$C$11)&gt;0))),"",IF('Your debts'!$D$20="Avalanche",'Avalanche workings'!$Q$490,'Snowball workings'!$Q$490)+IF('Your debts'!$D$20="Avalanche",'Avalanche workings'!$AK$490,'Snowball workings'!$AK$490))</f>
      </c>
      <c r="Q488" s="30">
        <f>IF(OR(483&gt;$Z$1,NOT(OR('Your debts'!$B$11&lt;&gt;"",N('Your debts'!$C$11)&gt;0))),"",IF('Your debts'!$D$20="Avalanche",'Avalanche workings'!$AU$490,'Snowball workings'!$AU$490))</f>
      </c>
      <c r="R488" s="29">
        <f>IF(OR(483&gt;$Z$1,NOT(OR('Your debts'!$B$12&lt;&gt;"",N('Your debts'!$C$12)&gt;0))),"",IF('Your debts'!$D$20="Avalanche",'Avalanche workings'!$R$490,'Snowball workings'!$R$490)+IF('Your debts'!$D$20="Avalanche",'Avalanche workings'!$AL$490,'Snowball workings'!$AL$490))</f>
      </c>
      <c r="S488" s="30">
        <f>IF(OR(483&gt;$Z$1,NOT(OR('Your debts'!$B$12&lt;&gt;"",N('Your debts'!$C$12)&gt;0))),"",IF('Your debts'!$D$20="Avalanche",'Avalanche workings'!$AV$490,'Snowball workings'!$AV$490))</f>
      </c>
      <c r="T488" s="29">
        <f>IF(OR(483&gt;$Z$1,NOT(OR('Your debts'!$B$13&lt;&gt;"",N('Your debts'!$C$13)&gt;0))),"",IF('Your debts'!$D$20="Avalanche",'Avalanche workings'!$S$490,'Snowball workings'!$S$490)+IF('Your debts'!$D$20="Avalanche",'Avalanche workings'!$AM$490,'Snowball workings'!$AM$490))</f>
      </c>
      <c r="U488" s="30">
        <f>IF(OR(483&gt;$Z$1,NOT(OR('Your debts'!$B$13&lt;&gt;"",N('Your debts'!$C$13)&gt;0))),"",IF('Your debts'!$D$20="Avalanche",'Avalanche workings'!$AW$490,'Snowball workings'!$AW$490))</f>
      </c>
      <c r="V488" s="29">
        <f>IF(OR(483&gt;$Z$1,NOT(OR('Your debts'!$B$14&lt;&gt;"",N('Your debts'!$C$14)&gt;0))),"",IF('Your debts'!$D$20="Avalanche",'Avalanche workings'!$T$490,'Snowball workings'!$T$490)+IF('Your debts'!$D$20="Avalanche",'Avalanche workings'!$AN$490,'Snowball workings'!$AN$490))</f>
      </c>
      <c r="W488" s="30">
        <f>IF(OR(483&gt;$Z$1,NOT(OR('Your debts'!$B$14&lt;&gt;"",N('Your debts'!$C$14)&gt;0))),"",IF('Your debts'!$D$20="Avalanche",'Avalanche workings'!$AX$490,'Snowball workings'!$AX$490))</f>
      </c>
      <c r="X488" s="29">
        <f>IF(OR(483&gt;$Z$1,NOT(OR('Your debts'!$B$15&lt;&gt;"",N('Your debts'!$C$15)&gt;0))),"",IF('Your debts'!$D$20="Avalanche",'Avalanche workings'!$U$490,'Snowball workings'!$U$490)+IF('Your debts'!$D$20="Avalanche",'Avalanche workings'!$AO$490,'Snowball workings'!$AO$490))</f>
      </c>
      <c r="Y488" s="30">
        <f>IF(OR(483&gt;$Z$1,NOT(OR('Your debts'!$B$15&lt;&gt;"",N('Your debts'!$C$15)&gt;0))),"",IF('Your debts'!$D$20="Avalanche",'Avalanche workings'!$AY$490,'Snowball workings'!$AY$490))</f>
      </c>
    </row>
    <row r="489" spans="1:25" x14ac:dyDescent="0.25">
      <c r="A489" s="2">
        <f>IF(484&gt;$Z$1,"",484)</f>
      </c>
      <c r="B489" s="28">
        <f>IF(484&gt;$Z$1,"",EDATE('Your debts'!$D$21,483))</f>
      </c>
      <c r="C489" s="29">
        <f>IF(484&gt;$Z$1,"",IF('Your debts'!$D$20="Avalanche",'Avalanche workings'!$BC$491,'Snowball workings'!$BC$491))</f>
      </c>
      <c r="D489" s="29">
        <f>IF(484&gt;$Z$1,"",IF('Your debts'!$D$20="Avalanche",'Avalanche workings'!$BA$491,'Snowball workings'!$BA$491))</f>
      </c>
      <c r="E489" s="29">
        <f>IF(484&gt;$Z$1,"",IF('Your debts'!$D$20="Avalanche",'Avalanche workings'!$BB$491,'Snowball workings'!$BB$491))</f>
      </c>
      <c r="F489" s="29">
        <f>IF(OR(484&gt;$Z$1,NOT(OR('Your debts'!$B$6&lt;&gt;"",N('Your debts'!$C$6)&gt;0))),"",IF('Your debts'!$D$20="Avalanche",'Avalanche workings'!$L$491,'Snowball workings'!$L$491)+IF('Your debts'!$D$20="Avalanche",'Avalanche workings'!$AF$491,'Snowball workings'!$AF$491))</f>
      </c>
      <c r="G489" s="30">
        <f>IF(OR(484&gt;$Z$1,NOT(OR('Your debts'!$B$6&lt;&gt;"",N('Your debts'!$C$6)&gt;0))),"",IF('Your debts'!$D$20="Avalanche",'Avalanche workings'!$AP$491,'Snowball workings'!$AP$491))</f>
      </c>
      <c r="H489" s="29">
        <f>IF(OR(484&gt;$Z$1,NOT(OR('Your debts'!$B$7&lt;&gt;"",N('Your debts'!$C$7)&gt;0))),"",IF('Your debts'!$D$20="Avalanche",'Avalanche workings'!$M$491,'Snowball workings'!$M$491)+IF('Your debts'!$D$20="Avalanche",'Avalanche workings'!$AG$491,'Snowball workings'!$AG$491))</f>
      </c>
      <c r="I489" s="30">
        <f>IF(OR(484&gt;$Z$1,NOT(OR('Your debts'!$B$7&lt;&gt;"",N('Your debts'!$C$7)&gt;0))),"",IF('Your debts'!$D$20="Avalanche",'Avalanche workings'!$AQ$491,'Snowball workings'!$AQ$491))</f>
      </c>
      <c r="J489" s="29">
        <f>IF(OR(484&gt;$Z$1,NOT(OR('Your debts'!$B$8&lt;&gt;"",N('Your debts'!$C$8)&gt;0))),"",IF('Your debts'!$D$20="Avalanche",'Avalanche workings'!$N$491,'Snowball workings'!$N$491)+IF('Your debts'!$D$20="Avalanche",'Avalanche workings'!$AH$491,'Snowball workings'!$AH$491))</f>
      </c>
      <c r="K489" s="30">
        <f>IF(OR(484&gt;$Z$1,NOT(OR('Your debts'!$B$8&lt;&gt;"",N('Your debts'!$C$8)&gt;0))),"",IF('Your debts'!$D$20="Avalanche",'Avalanche workings'!$AR$491,'Snowball workings'!$AR$491))</f>
      </c>
      <c r="L489" s="29">
        <f>IF(OR(484&gt;$Z$1,NOT(OR('Your debts'!$B$9&lt;&gt;"",N('Your debts'!$C$9)&gt;0))),"",IF('Your debts'!$D$20="Avalanche",'Avalanche workings'!$O$491,'Snowball workings'!$O$491)+IF('Your debts'!$D$20="Avalanche",'Avalanche workings'!$AI$491,'Snowball workings'!$AI$491))</f>
      </c>
      <c r="M489" s="30">
        <f>IF(OR(484&gt;$Z$1,NOT(OR('Your debts'!$B$9&lt;&gt;"",N('Your debts'!$C$9)&gt;0))),"",IF('Your debts'!$D$20="Avalanche",'Avalanche workings'!$AS$491,'Snowball workings'!$AS$491))</f>
      </c>
      <c r="N489" s="29">
        <f>IF(OR(484&gt;$Z$1,NOT(OR('Your debts'!$B$10&lt;&gt;"",N('Your debts'!$C$10)&gt;0))),"",IF('Your debts'!$D$20="Avalanche",'Avalanche workings'!$P$491,'Snowball workings'!$P$491)+IF('Your debts'!$D$20="Avalanche",'Avalanche workings'!$AJ$491,'Snowball workings'!$AJ$491))</f>
      </c>
      <c r="O489" s="30">
        <f>IF(OR(484&gt;$Z$1,NOT(OR('Your debts'!$B$10&lt;&gt;"",N('Your debts'!$C$10)&gt;0))),"",IF('Your debts'!$D$20="Avalanche",'Avalanche workings'!$AT$491,'Snowball workings'!$AT$491))</f>
      </c>
      <c r="P489" s="29">
        <f>IF(OR(484&gt;$Z$1,NOT(OR('Your debts'!$B$11&lt;&gt;"",N('Your debts'!$C$11)&gt;0))),"",IF('Your debts'!$D$20="Avalanche",'Avalanche workings'!$Q$491,'Snowball workings'!$Q$491)+IF('Your debts'!$D$20="Avalanche",'Avalanche workings'!$AK$491,'Snowball workings'!$AK$491))</f>
      </c>
      <c r="Q489" s="30">
        <f>IF(OR(484&gt;$Z$1,NOT(OR('Your debts'!$B$11&lt;&gt;"",N('Your debts'!$C$11)&gt;0))),"",IF('Your debts'!$D$20="Avalanche",'Avalanche workings'!$AU$491,'Snowball workings'!$AU$491))</f>
      </c>
      <c r="R489" s="29">
        <f>IF(OR(484&gt;$Z$1,NOT(OR('Your debts'!$B$12&lt;&gt;"",N('Your debts'!$C$12)&gt;0))),"",IF('Your debts'!$D$20="Avalanche",'Avalanche workings'!$R$491,'Snowball workings'!$R$491)+IF('Your debts'!$D$20="Avalanche",'Avalanche workings'!$AL$491,'Snowball workings'!$AL$491))</f>
      </c>
      <c r="S489" s="30">
        <f>IF(OR(484&gt;$Z$1,NOT(OR('Your debts'!$B$12&lt;&gt;"",N('Your debts'!$C$12)&gt;0))),"",IF('Your debts'!$D$20="Avalanche",'Avalanche workings'!$AV$491,'Snowball workings'!$AV$491))</f>
      </c>
      <c r="T489" s="29">
        <f>IF(OR(484&gt;$Z$1,NOT(OR('Your debts'!$B$13&lt;&gt;"",N('Your debts'!$C$13)&gt;0))),"",IF('Your debts'!$D$20="Avalanche",'Avalanche workings'!$S$491,'Snowball workings'!$S$491)+IF('Your debts'!$D$20="Avalanche",'Avalanche workings'!$AM$491,'Snowball workings'!$AM$491))</f>
      </c>
      <c r="U489" s="30">
        <f>IF(OR(484&gt;$Z$1,NOT(OR('Your debts'!$B$13&lt;&gt;"",N('Your debts'!$C$13)&gt;0))),"",IF('Your debts'!$D$20="Avalanche",'Avalanche workings'!$AW$491,'Snowball workings'!$AW$491))</f>
      </c>
      <c r="V489" s="29">
        <f>IF(OR(484&gt;$Z$1,NOT(OR('Your debts'!$B$14&lt;&gt;"",N('Your debts'!$C$14)&gt;0))),"",IF('Your debts'!$D$20="Avalanche",'Avalanche workings'!$T$491,'Snowball workings'!$T$491)+IF('Your debts'!$D$20="Avalanche",'Avalanche workings'!$AN$491,'Snowball workings'!$AN$491))</f>
      </c>
      <c r="W489" s="30">
        <f>IF(OR(484&gt;$Z$1,NOT(OR('Your debts'!$B$14&lt;&gt;"",N('Your debts'!$C$14)&gt;0))),"",IF('Your debts'!$D$20="Avalanche",'Avalanche workings'!$AX$491,'Snowball workings'!$AX$491))</f>
      </c>
      <c r="X489" s="29">
        <f>IF(OR(484&gt;$Z$1,NOT(OR('Your debts'!$B$15&lt;&gt;"",N('Your debts'!$C$15)&gt;0))),"",IF('Your debts'!$D$20="Avalanche",'Avalanche workings'!$U$491,'Snowball workings'!$U$491)+IF('Your debts'!$D$20="Avalanche",'Avalanche workings'!$AO$491,'Snowball workings'!$AO$491))</f>
      </c>
      <c r="Y489" s="30">
        <f>IF(OR(484&gt;$Z$1,NOT(OR('Your debts'!$B$15&lt;&gt;"",N('Your debts'!$C$15)&gt;0))),"",IF('Your debts'!$D$20="Avalanche",'Avalanche workings'!$AY$491,'Snowball workings'!$AY$491))</f>
      </c>
    </row>
    <row r="490" spans="1:25" x14ac:dyDescent="0.25">
      <c r="A490" s="2">
        <f>IF(485&gt;$Z$1,"",485)</f>
      </c>
      <c r="B490" s="28">
        <f>IF(485&gt;$Z$1,"",EDATE('Your debts'!$D$21,484))</f>
      </c>
      <c r="C490" s="29">
        <f>IF(485&gt;$Z$1,"",IF('Your debts'!$D$20="Avalanche",'Avalanche workings'!$BC$492,'Snowball workings'!$BC$492))</f>
      </c>
      <c r="D490" s="29">
        <f>IF(485&gt;$Z$1,"",IF('Your debts'!$D$20="Avalanche",'Avalanche workings'!$BA$492,'Snowball workings'!$BA$492))</f>
      </c>
      <c r="E490" s="29">
        <f>IF(485&gt;$Z$1,"",IF('Your debts'!$D$20="Avalanche",'Avalanche workings'!$BB$492,'Snowball workings'!$BB$492))</f>
      </c>
      <c r="F490" s="29">
        <f>IF(OR(485&gt;$Z$1,NOT(OR('Your debts'!$B$6&lt;&gt;"",N('Your debts'!$C$6)&gt;0))),"",IF('Your debts'!$D$20="Avalanche",'Avalanche workings'!$L$492,'Snowball workings'!$L$492)+IF('Your debts'!$D$20="Avalanche",'Avalanche workings'!$AF$492,'Snowball workings'!$AF$492))</f>
      </c>
      <c r="G490" s="30">
        <f>IF(OR(485&gt;$Z$1,NOT(OR('Your debts'!$B$6&lt;&gt;"",N('Your debts'!$C$6)&gt;0))),"",IF('Your debts'!$D$20="Avalanche",'Avalanche workings'!$AP$492,'Snowball workings'!$AP$492))</f>
      </c>
      <c r="H490" s="29">
        <f>IF(OR(485&gt;$Z$1,NOT(OR('Your debts'!$B$7&lt;&gt;"",N('Your debts'!$C$7)&gt;0))),"",IF('Your debts'!$D$20="Avalanche",'Avalanche workings'!$M$492,'Snowball workings'!$M$492)+IF('Your debts'!$D$20="Avalanche",'Avalanche workings'!$AG$492,'Snowball workings'!$AG$492))</f>
      </c>
      <c r="I490" s="30">
        <f>IF(OR(485&gt;$Z$1,NOT(OR('Your debts'!$B$7&lt;&gt;"",N('Your debts'!$C$7)&gt;0))),"",IF('Your debts'!$D$20="Avalanche",'Avalanche workings'!$AQ$492,'Snowball workings'!$AQ$492))</f>
      </c>
      <c r="J490" s="29">
        <f>IF(OR(485&gt;$Z$1,NOT(OR('Your debts'!$B$8&lt;&gt;"",N('Your debts'!$C$8)&gt;0))),"",IF('Your debts'!$D$20="Avalanche",'Avalanche workings'!$N$492,'Snowball workings'!$N$492)+IF('Your debts'!$D$20="Avalanche",'Avalanche workings'!$AH$492,'Snowball workings'!$AH$492))</f>
      </c>
      <c r="K490" s="30">
        <f>IF(OR(485&gt;$Z$1,NOT(OR('Your debts'!$B$8&lt;&gt;"",N('Your debts'!$C$8)&gt;0))),"",IF('Your debts'!$D$20="Avalanche",'Avalanche workings'!$AR$492,'Snowball workings'!$AR$492))</f>
      </c>
      <c r="L490" s="29">
        <f>IF(OR(485&gt;$Z$1,NOT(OR('Your debts'!$B$9&lt;&gt;"",N('Your debts'!$C$9)&gt;0))),"",IF('Your debts'!$D$20="Avalanche",'Avalanche workings'!$O$492,'Snowball workings'!$O$492)+IF('Your debts'!$D$20="Avalanche",'Avalanche workings'!$AI$492,'Snowball workings'!$AI$492))</f>
      </c>
      <c r="M490" s="30">
        <f>IF(OR(485&gt;$Z$1,NOT(OR('Your debts'!$B$9&lt;&gt;"",N('Your debts'!$C$9)&gt;0))),"",IF('Your debts'!$D$20="Avalanche",'Avalanche workings'!$AS$492,'Snowball workings'!$AS$492))</f>
      </c>
      <c r="N490" s="29">
        <f>IF(OR(485&gt;$Z$1,NOT(OR('Your debts'!$B$10&lt;&gt;"",N('Your debts'!$C$10)&gt;0))),"",IF('Your debts'!$D$20="Avalanche",'Avalanche workings'!$P$492,'Snowball workings'!$P$492)+IF('Your debts'!$D$20="Avalanche",'Avalanche workings'!$AJ$492,'Snowball workings'!$AJ$492))</f>
      </c>
      <c r="O490" s="30">
        <f>IF(OR(485&gt;$Z$1,NOT(OR('Your debts'!$B$10&lt;&gt;"",N('Your debts'!$C$10)&gt;0))),"",IF('Your debts'!$D$20="Avalanche",'Avalanche workings'!$AT$492,'Snowball workings'!$AT$492))</f>
      </c>
      <c r="P490" s="29">
        <f>IF(OR(485&gt;$Z$1,NOT(OR('Your debts'!$B$11&lt;&gt;"",N('Your debts'!$C$11)&gt;0))),"",IF('Your debts'!$D$20="Avalanche",'Avalanche workings'!$Q$492,'Snowball workings'!$Q$492)+IF('Your debts'!$D$20="Avalanche",'Avalanche workings'!$AK$492,'Snowball workings'!$AK$492))</f>
      </c>
      <c r="Q490" s="30">
        <f>IF(OR(485&gt;$Z$1,NOT(OR('Your debts'!$B$11&lt;&gt;"",N('Your debts'!$C$11)&gt;0))),"",IF('Your debts'!$D$20="Avalanche",'Avalanche workings'!$AU$492,'Snowball workings'!$AU$492))</f>
      </c>
      <c r="R490" s="29">
        <f>IF(OR(485&gt;$Z$1,NOT(OR('Your debts'!$B$12&lt;&gt;"",N('Your debts'!$C$12)&gt;0))),"",IF('Your debts'!$D$20="Avalanche",'Avalanche workings'!$R$492,'Snowball workings'!$R$492)+IF('Your debts'!$D$20="Avalanche",'Avalanche workings'!$AL$492,'Snowball workings'!$AL$492))</f>
      </c>
      <c r="S490" s="30">
        <f>IF(OR(485&gt;$Z$1,NOT(OR('Your debts'!$B$12&lt;&gt;"",N('Your debts'!$C$12)&gt;0))),"",IF('Your debts'!$D$20="Avalanche",'Avalanche workings'!$AV$492,'Snowball workings'!$AV$492))</f>
      </c>
      <c r="T490" s="29">
        <f>IF(OR(485&gt;$Z$1,NOT(OR('Your debts'!$B$13&lt;&gt;"",N('Your debts'!$C$13)&gt;0))),"",IF('Your debts'!$D$20="Avalanche",'Avalanche workings'!$S$492,'Snowball workings'!$S$492)+IF('Your debts'!$D$20="Avalanche",'Avalanche workings'!$AM$492,'Snowball workings'!$AM$492))</f>
      </c>
      <c r="U490" s="30">
        <f>IF(OR(485&gt;$Z$1,NOT(OR('Your debts'!$B$13&lt;&gt;"",N('Your debts'!$C$13)&gt;0))),"",IF('Your debts'!$D$20="Avalanche",'Avalanche workings'!$AW$492,'Snowball workings'!$AW$492))</f>
      </c>
      <c r="V490" s="29">
        <f>IF(OR(485&gt;$Z$1,NOT(OR('Your debts'!$B$14&lt;&gt;"",N('Your debts'!$C$14)&gt;0))),"",IF('Your debts'!$D$20="Avalanche",'Avalanche workings'!$T$492,'Snowball workings'!$T$492)+IF('Your debts'!$D$20="Avalanche",'Avalanche workings'!$AN$492,'Snowball workings'!$AN$492))</f>
      </c>
      <c r="W490" s="30">
        <f>IF(OR(485&gt;$Z$1,NOT(OR('Your debts'!$B$14&lt;&gt;"",N('Your debts'!$C$14)&gt;0))),"",IF('Your debts'!$D$20="Avalanche",'Avalanche workings'!$AX$492,'Snowball workings'!$AX$492))</f>
      </c>
      <c r="X490" s="29">
        <f>IF(OR(485&gt;$Z$1,NOT(OR('Your debts'!$B$15&lt;&gt;"",N('Your debts'!$C$15)&gt;0))),"",IF('Your debts'!$D$20="Avalanche",'Avalanche workings'!$U$492,'Snowball workings'!$U$492)+IF('Your debts'!$D$20="Avalanche",'Avalanche workings'!$AO$492,'Snowball workings'!$AO$492))</f>
      </c>
      <c r="Y490" s="30">
        <f>IF(OR(485&gt;$Z$1,NOT(OR('Your debts'!$B$15&lt;&gt;"",N('Your debts'!$C$15)&gt;0))),"",IF('Your debts'!$D$20="Avalanche",'Avalanche workings'!$AY$492,'Snowball workings'!$AY$492))</f>
      </c>
    </row>
    <row r="491" spans="1:25" x14ac:dyDescent="0.25">
      <c r="A491" s="2">
        <f>IF(486&gt;$Z$1,"",486)</f>
      </c>
      <c r="B491" s="28">
        <f>IF(486&gt;$Z$1,"",EDATE('Your debts'!$D$21,485))</f>
      </c>
      <c r="C491" s="29">
        <f>IF(486&gt;$Z$1,"",IF('Your debts'!$D$20="Avalanche",'Avalanche workings'!$BC$493,'Snowball workings'!$BC$493))</f>
      </c>
      <c r="D491" s="29">
        <f>IF(486&gt;$Z$1,"",IF('Your debts'!$D$20="Avalanche",'Avalanche workings'!$BA$493,'Snowball workings'!$BA$493))</f>
      </c>
      <c r="E491" s="29">
        <f>IF(486&gt;$Z$1,"",IF('Your debts'!$D$20="Avalanche",'Avalanche workings'!$BB$493,'Snowball workings'!$BB$493))</f>
      </c>
      <c r="F491" s="29">
        <f>IF(OR(486&gt;$Z$1,NOT(OR('Your debts'!$B$6&lt;&gt;"",N('Your debts'!$C$6)&gt;0))),"",IF('Your debts'!$D$20="Avalanche",'Avalanche workings'!$L$493,'Snowball workings'!$L$493)+IF('Your debts'!$D$20="Avalanche",'Avalanche workings'!$AF$493,'Snowball workings'!$AF$493))</f>
      </c>
      <c r="G491" s="30">
        <f>IF(OR(486&gt;$Z$1,NOT(OR('Your debts'!$B$6&lt;&gt;"",N('Your debts'!$C$6)&gt;0))),"",IF('Your debts'!$D$20="Avalanche",'Avalanche workings'!$AP$493,'Snowball workings'!$AP$493))</f>
      </c>
      <c r="H491" s="29">
        <f>IF(OR(486&gt;$Z$1,NOT(OR('Your debts'!$B$7&lt;&gt;"",N('Your debts'!$C$7)&gt;0))),"",IF('Your debts'!$D$20="Avalanche",'Avalanche workings'!$M$493,'Snowball workings'!$M$493)+IF('Your debts'!$D$20="Avalanche",'Avalanche workings'!$AG$493,'Snowball workings'!$AG$493))</f>
      </c>
      <c r="I491" s="30">
        <f>IF(OR(486&gt;$Z$1,NOT(OR('Your debts'!$B$7&lt;&gt;"",N('Your debts'!$C$7)&gt;0))),"",IF('Your debts'!$D$20="Avalanche",'Avalanche workings'!$AQ$493,'Snowball workings'!$AQ$493))</f>
      </c>
      <c r="J491" s="29">
        <f>IF(OR(486&gt;$Z$1,NOT(OR('Your debts'!$B$8&lt;&gt;"",N('Your debts'!$C$8)&gt;0))),"",IF('Your debts'!$D$20="Avalanche",'Avalanche workings'!$N$493,'Snowball workings'!$N$493)+IF('Your debts'!$D$20="Avalanche",'Avalanche workings'!$AH$493,'Snowball workings'!$AH$493))</f>
      </c>
      <c r="K491" s="30">
        <f>IF(OR(486&gt;$Z$1,NOT(OR('Your debts'!$B$8&lt;&gt;"",N('Your debts'!$C$8)&gt;0))),"",IF('Your debts'!$D$20="Avalanche",'Avalanche workings'!$AR$493,'Snowball workings'!$AR$493))</f>
      </c>
      <c r="L491" s="29">
        <f>IF(OR(486&gt;$Z$1,NOT(OR('Your debts'!$B$9&lt;&gt;"",N('Your debts'!$C$9)&gt;0))),"",IF('Your debts'!$D$20="Avalanche",'Avalanche workings'!$O$493,'Snowball workings'!$O$493)+IF('Your debts'!$D$20="Avalanche",'Avalanche workings'!$AI$493,'Snowball workings'!$AI$493))</f>
      </c>
      <c r="M491" s="30">
        <f>IF(OR(486&gt;$Z$1,NOT(OR('Your debts'!$B$9&lt;&gt;"",N('Your debts'!$C$9)&gt;0))),"",IF('Your debts'!$D$20="Avalanche",'Avalanche workings'!$AS$493,'Snowball workings'!$AS$493))</f>
      </c>
      <c r="N491" s="29">
        <f>IF(OR(486&gt;$Z$1,NOT(OR('Your debts'!$B$10&lt;&gt;"",N('Your debts'!$C$10)&gt;0))),"",IF('Your debts'!$D$20="Avalanche",'Avalanche workings'!$P$493,'Snowball workings'!$P$493)+IF('Your debts'!$D$20="Avalanche",'Avalanche workings'!$AJ$493,'Snowball workings'!$AJ$493))</f>
      </c>
      <c r="O491" s="30">
        <f>IF(OR(486&gt;$Z$1,NOT(OR('Your debts'!$B$10&lt;&gt;"",N('Your debts'!$C$10)&gt;0))),"",IF('Your debts'!$D$20="Avalanche",'Avalanche workings'!$AT$493,'Snowball workings'!$AT$493))</f>
      </c>
      <c r="P491" s="29">
        <f>IF(OR(486&gt;$Z$1,NOT(OR('Your debts'!$B$11&lt;&gt;"",N('Your debts'!$C$11)&gt;0))),"",IF('Your debts'!$D$20="Avalanche",'Avalanche workings'!$Q$493,'Snowball workings'!$Q$493)+IF('Your debts'!$D$20="Avalanche",'Avalanche workings'!$AK$493,'Snowball workings'!$AK$493))</f>
      </c>
      <c r="Q491" s="30">
        <f>IF(OR(486&gt;$Z$1,NOT(OR('Your debts'!$B$11&lt;&gt;"",N('Your debts'!$C$11)&gt;0))),"",IF('Your debts'!$D$20="Avalanche",'Avalanche workings'!$AU$493,'Snowball workings'!$AU$493))</f>
      </c>
      <c r="R491" s="29">
        <f>IF(OR(486&gt;$Z$1,NOT(OR('Your debts'!$B$12&lt;&gt;"",N('Your debts'!$C$12)&gt;0))),"",IF('Your debts'!$D$20="Avalanche",'Avalanche workings'!$R$493,'Snowball workings'!$R$493)+IF('Your debts'!$D$20="Avalanche",'Avalanche workings'!$AL$493,'Snowball workings'!$AL$493))</f>
      </c>
      <c r="S491" s="30">
        <f>IF(OR(486&gt;$Z$1,NOT(OR('Your debts'!$B$12&lt;&gt;"",N('Your debts'!$C$12)&gt;0))),"",IF('Your debts'!$D$20="Avalanche",'Avalanche workings'!$AV$493,'Snowball workings'!$AV$493))</f>
      </c>
      <c r="T491" s="29">
        <f>IF(OR(486&gt;$Z$1,NOT(OR('Your debts'!$B$13&lt;&gt;"",N('Your debts'!$C$13)&gt;0))),"",IF('Your debts'!$D$20="Avalanche",'Avalanche workings'!$S$493,'Snowball workings'!$S$493)+IF('Your debts'!$D$20="Avalanche",'Avalanche workings'!$AM$493,'Snowball workings'!$AM$493))</f>
      </c>
      <c r="U491" s="30">
        <f>IF(OR(486&gt;$Z$1,NOT(OR('Your debts'!$B$13&lt;&gt;"",N('Your debts'!$C$13)&gt;0))),"",IF('Your debts'!$D$20="Avalanche",'Avalanche workings'!$AW$493,'Snowball workings'!$AW$493))</f>
      </c>
      <c r="V491" s="29">
        <f>IF(OR(486&gt;$Z$1,NOT(OR('Your debts'!$B$14&lt;&gt;"",N('Your debts'!$C$14)&gt;0))),"",IF('Your debts'!$D$20="Avalanche",'Avalanche workings'!$T$493,'Snowball workings'!$T$493)+IF('Your debts'!$D$20="Avalanche",'Avalanche workings'!$AN$493,'Snowball workings'!$AN$493))</f>
      </c>
      <c r="W491" s="30">
        <f>IF(OR(486&gt;$Z$1,NOT(OR('Your debts'!$B$14&lt;&gt;"",N('Your debts'!$C$14)&gt;0))),"",IF('Your debts'!$D$20="Avalanche",'Avalanche workings'!$AX$493,'Snowball workings'!$AX$493))</f>
      </c>
      <c r="X491" s="29">
        <f>IF(OR(486&gt;$Z$1,NOT(OR('Your debts'!$B$15&lt;&gt;"",N('Your debts'!$C$15)&gt;0))),"",IF('Your debts'!$D$20="Avalanche",'Avalanche workings'!$U$493,'Snowball workings'!$U$493)+IF('Your debts'!$D$20="Avalanche",'Avalanche workings'!$AO$493,'Snowball workings'!$AO$493))</f>
      </c>
      <c r="Y491" s="30">
        <f>IF(OR(486&gt;$Z$1,NOT(OR('Your debts'!$B$15&lt;&gt;"",N('Your debts'!$C$15)&gt;0))),"",IF('Your debts'!$D$20="Avalanche",'Avalanche workings'!$AY$493,'Snowball workings'!$AY$493))</f>
      </c>
    </row>
    <row r="492" spans="1:25" x14ac:dyDescent="0.25">
      <c r="A492" s="2">
        <f>IF(487&gt;$Z$1,"",487)</f>
      </c>
      <c r="B492" s="28">
        <f>IF(487&gt;$Z$1,"",EDATE('Your debts'!$D$21,486))</f>
      </c>
      <c r="C492" s="29">
        <f>IF(487&gt;$Z$1,"",IF('Your debts'!$D$20="Avalanche",'Avalanche workings'!$BC$494,'Snowball workings'!$BC$494))</f>
      </c>
      <c r="D492" s="29">
        <f>IF(487&gt;$Z$1,"",IF('Your debts'!$D$20="Avalanche",'Avalanche workings'!$BA$494,'Snowball workings'!$BA$494))</f>
      </c>
      <c r="E492" s="29">
        <f>IF(487&gt;$Z$1,"",IF('Your debts'!$D$20="Avalanche",'Avalanche workings'!$BB$494,'Snowball workings'!$BB$494))</f>
      </c>
      <c r="F492" s="29">
        <f>IF(OR(487&gt;$Z$1,NOT(OR('Your debts'!$B$6&lt;&gt;"",N('Your debts'!$C$6)&gt;0))),"",IF('Your debts'!$D$20="Avalanche",'Avalanche workings'!$L$494,'Snowball workings'!$L$494)+IF('Your debts'!$D$20="Avalanche",'Avalanche workings'!$AF$494,'Snowball workings'!$AF$494))</f>
      </c>
      <c r="G492" s="30">
        <f>IF(OR(487&gt;$Z$1,NOT(OR('Your debts'!$B$6&lt;&gt;"",N('Your debts'!$C$6)&gt;0))),"",IF('Your debts'!$D$20="Avalanche",'Avalanche workings'!$AP$494,'Snowball workings'!$AP$494))</f>
      </c>
      <c r="H492" s="29">
        <f>IF(OR(487&gt;$Z$1,NOT(OR('Your debts'!$B$7&lt;&gt;"",N('Your debts'!$C$7)&gt;0))),"",IF('Your debts'!$D$20="Avalanche",'Avalanche workings'!$M$494,'Snowball workings'!$M$494)+IF('Your debts'!$D$20="Avalanche",'Avalanche workings'!$AG$494,'Snowball workings'!$AG$494))</f>
      </c>
      <c r="I492" s="30">
        <f>IF(OR(487&gt;$Z$1,NOT(OR('Your debts'!$B$7&lt;&gt;"",N('Your debts'!$C$7)&gt;0))),"",IF('Your debts'!$D$20="Avalanche",'Avalanche workings'!$AQ$494,'Snowball workings'!$AQ$494))</f>
      </c>
      <c r="J492" s="29">
        <f>IF(OR(487&gt;$Z$1,NOT(OR('Your debts'!$B$8&lt;&gt;"",N('Your debts'!$C$8)&gt;0))),"",IF('Your debts'!$D$20="Avalanche",'Avalanche workings'!$N$494,'Snowball workings'!$N$494)+IF('Your debts'!$D$20="Avalanche",'Avalanche workings'!$AH$494,'Snowball workings'!$AH$494))</f>
      </c>
      <c r="K492" s="30">
        <f>IF(OR(487&gt;$Z$1,NOT(OR('Your debts'!$B$8&lt;&gt;"",N('Your debts'!$C$8)&gt;0))),"",IF('Your debts'!$D$20="Avalanche",'Avalanche workings'!$AR$494,'Snowball workings'!$AR$494))</f>
      </c>
      <c r="L492" s="29">
        <f>IF(OR(487&gt;$Z$1,NOT(OR('Your debts'!$B$9&lt;&gt;"",N('Your debts'!$C$9)&gt;0))),"",IF('Your debts'!$D$20="Avalanche",'Avalanche workings'!$O$494,'Snowball workings'!$O$494)+IF('Your debts'!$D$20="Avalanche",'Avalanche workings'!$AI$494,'Snowball workings'!$AI$494))</f>
      </c>
      <c r="M492" s="30">
        <f>IF(OR(487&gt;$Z$1,NOT(OR('Your debts'!$B$9&lt;&gt;"",N('Your debts'!$C$9)&gt;0))),"",IF('Your debts'!$D$20="Avalanche",'Avalanche workings'!$AS$494,'Snowball workings'!$AS$494))</f>
      </c>
      <c r="N492" s="29">
        <f>IF(OR(487&gt;$Z$1,NOT(OR('Your debts'!$B$10&lt;&gt;"",N('Your debts'!$C$10)&gt;0))),"",IF('Your debts'!$D$20="Avalanche",'Avalanche workings'!$P$494,'Snowball workings'!$P$494)+IF('Your debts'!$D$20="Avalanche",'Avalanche workings'!$AJ$494,'Snowball workings'!$AJ$494))</f>
      </c>
      <c r="O492" s="30">
        <f>IF(OR(487&gt;$Z$1,NOT(OR('Your debts'!$B$10&lt;&gt;"",N('Your debts'!$C$10)&gt;0))),"",IF('Your debts'!$D$20="Avalanche",'Avalanche workings'!$AT$494,'Snowball workings'!$AT$494))</f>
      </c>
      <c r="P492" s="29">
        <f>IF(OR(487&gt;$Z$1,NOT(OR('Your debts'!$B$11&lt;&gt;"",N('Your debts'!$C$11)&gt;0))),"",IF('Your debts'!$D$20="Avalanche",'Avalanche workings'!$Q$494,'Snowball workings'!$Q$494)+IF('Your debts'!$D$20="Avalanche",'Avalanche workings'!$AK$494,'Snowball workings'!$AK$494))</f>
      </c>
      <c r="Q492" s="30">
        <f>IF(OR(487&gt;$Z$1,NOT(OR('Your debts'!$B$11&lt;&gt;"",N('Your debts'!$C$11)&gt;0))),"",IF('Your debts'!$D$20="Avalanche",'Avalanche workings'!$AU$494,'Snowball workings'!$AU$494))</f>
      </c>
      <c r="R492" s="29">
        <f>IF(OR(487&gt;$Z$1,NOT(OR('Your debts'!$B$12&lt;&gt;"",N('Your debts'!$C$12)&gt;0))),"",IF('Your debts'!$D$20="Avalanche",'Avalanche workings'!$R$494,'Snowball workings'!$R$494)+IF('Your debts'!$D$20="Avalanche",'Avalanche workings'!$AL$494,'Snowball workings'!$AL$494))</f>
      </c>
      <c r="S492" s="30">
        <f>IF(OR(487&gt;$Z$1,NOT(OR('Your debts'!$B$12&lt;&gt;"",N('Your debts'!$C$12)&gt;0))),"",IF('Your debts'!$D$20="Avalanche",'Avalanche workings'!$AV$494,'Snowball workings'!$AV$494))</f>
      </c>
      <c r="T492" s="29">
        <f>IF(OR(487&gt;$Z$1,NOT(OR('Your debts'!$B$13&lt;&gt;"",N('Your debts'!$C$13)&gt;0))),"",IF('Your debts'!$D$20="Avalanche",'Avalanche workings'!$S$494,'Snowball workings'!$S$494)+IF('Your debts'!$D$20="Avalanche",'Avalanche workings'!$AM$494,'Snowball workings'!$AM$494))</f>
      </c>
      <c r="U492" s="30">
        <f>IF(OR(487&gt;$Z$1,NOT(OR('Your debts'!$B$13&lt;&gt;"",N('Your debts'!$C$13)&gt;0))),"",IF('Your debts'!$D$20="Avalanche",'Avalanche workings'!$AW$494,'Snowball workings'!$AW$494))</f>
      </c>
      <c r="V492" s="29">
        <f>IF(OR(487&gt;$Z$1,NOT(OR('Your debts'!$B$14&lt;&gt;"",N('Your debts'!$C$14)&gt;0))),"",IF('Your debts'!$D$20="Avalanche",'Avalanche workings'!$T$494,'Snowball workings'!$T$494)+IF('Your debts'!$D$20="Avalanche",'Avalanche workings'!$AN$494,'Snowball workings'!$AN$494))</f>
      </c>
      <c r="W492" s="30">
        <f>IF(OR(487&gt;$Z$1,NOT(OR('Your debts'!$B$14&lt;&gt;"",N('Your debts'!$C$14)&gt;0))),"",IF('Your debts'!$D$20="Avalanche",'Avalanche workings'!$AX$494,'Snowball workings'!$AX$494))</f>
      </c>
      <c r="X492" s="29">
        <f>IF(OR(487&gt;$Z$1,NOT(OR('Your debts'!$B$15&lt;&gt;"",N('Your debts'!$C$15)&gt;0))),"",IF('Your debts'!$D$20="Avalanche",'Avalanche workings'!$U$494,'Snowball workings'!$U$494)+IF('Your debts'!$D$20="Avalanche",'Avalanche workings'!$AO$494,'Snowball workings'!$AO$494))</f>
      </c>
      <c r="Y492" s="30">
        <f>IF(OR(487&gt;$Z$1,NOT(OR('Your debts'!$B$15&lt;&gt;"",N('Your debts'!$C$15)&gt;0))),"",IF('Your debts'!$D$20="Avalanche",'Avalanche workings'!$AY$494,'Snowball workings'!$AY$494))</f>
      </c>
    </row>
    <row r="493" spans="1:25" x14ac:dyDescent="0.25">
      <c r="A493" s="2">
        <f>IF(488&gt;$Z$1,"",488)</f>
      </c>
      <c r="B493" s="28">
        <f>IF(488&gt;$Z$1,"",EDATE('Your debts'!$D$21,487))</f>
      </c>
      <c r="C493" s="29">
        <f>IF(488&gt;$Z$1,"",IF('Your debts'!$D$20="Avalanche",'Avalanche workings'!$BC$495,'Snowball workings'!$BC$495))</f>
      </c>
      <c r="D493" s="29">
        <f>IF(488&gt;$Z$1,"",IF('Your debts'!$D$20="Avalanche",'Avalanche workings'!$BA$495,'Snowball workings'!$BA$495))</f>
      </c>
      <c r="E493" s="29">
        <f>IF(488&gt;$Z$1,"",IF('Your debts'!$D$20="Avalanche",'Avalanche workings'!$BB$495,'Snowball workings'!$BB$495))</f>
      </c>
      <c r="F493" s="29">
        <f>IF(OR(488&gt;$Z$1,NOT(OR('Your debts'!$B$6&lt;&gt;"",N('Your debts'!$C$6)&gt;0))),"",IF('Your debts'!$D$20="Avalanche",'Avalanche workings'!$L$495,'Snowball workings'!$L$495)+IF('Your debts'!$D$20="Avalanche",'Avalanche workings'!$AF$495,'Snowball workings'!$AF$495))</f>
      </c>
      <c r="G493" s="30">
        <f>IF(OR(488&gt;$Z$1,NOT(OR('Your debts'!$B$6&lt;&gt;"",N('Your debts'!$C$6)&gt;0))),"",IF('Your debts'!$D$20="Avalanche",'Avalanche workings'!$AP$495,'Snowball workings'!$AP$495))</f>
      </c>
      <c r="H493" s="29">
        <f>IF(OR(488&gt;$Z$1,NOT(OR('Your debts'!$B$7&lt;&gt;"",N('Your debts'!$C$7)&gt;0))),"",IF('Your debts'!$D$20="Avalanche",'Avalanche workings'!$M$495,'Snowball workings'!$M$495)+IF('Your debts'!$D$20="Avalanche",'Avalanche workings'!$AG$495,'Snowball workings'!$AG$495))</f>
      </c>
      <c r="I493" s="30">
        <f>IF(OR(488&gt;$Z$1,NOT(OR('Your debts'!$B$7&lt;&gt;"",N('Your debts'!$C$7)&gt;0))),"",IF('Your debts'!$D$20="Avalanche",'Avalanche workings'!$AQ$495,'Snowball workings'!$AQ$495))</f>
      </c>
      <c r="J493" s="29">
        <f>IF(OR(488&gt;$Z$1,NOT(OR('Your debts'!$B$8&lt;&gt;"",N('Your debts'!$C$8)&gt;0))),"",IF('Your debts'!$D$20="Avalanche",'Avalanche workings'!$N$495,'Snowball workings'!$N$495)+IF('Your debts'!$D$20="Avalanche",'Avalanche workings'!$AH$495,'Snowball workings'!$AH$495))</f>
      </c>
      <c r="K493" s="30">
        <f>IF(OR(488&gt;$Z$1,NOT(OR('Your debts'!$B$8&lt;&gt;"",N('Your debts'!$C$8)&gt;0))),"",IF('Your debts'!$D$20="Avalanche",'Avalanche workings'!$AR$495,'Snowball workings'!$AR$495))</f>
      </c>
      <c r="L493" s="29">
        <f>IF(OR(488&gt;$Z$1,NOT(OR('Your debts'!$B$9&lt;&gt;"",N('Your debts'!$C$9)&gt;0))),"",IF('Your debts'!$D$20="Avalanche",'Avalanche workings'!$O$495,'Snowball workings'!$O$495)+IF('Your debts'!$D$20="Avalanche",'Avalanche workings'!$AI$495,'Snowball workings'!$AI$495))</f>
      </c>
      <c r="M493" s="30">
        <f>IF(OR(488&gt;$Z$1,NOT(OR('Your debts'!$B$9&lt;&gt;"",N('Your debts'!$C$9)&gt;0))),"",IF('Your debts'!$D$20="Avalanche",'Avalanche workings'!$AS$495,'Snowball workings'!$AS$495))</f>
      </c>
      <c r="N493" s="29">
        <f>IF(OR(488&gt;$Z$1,NOT(OR('Your debts'!$B$10&lt;&gt;"",N('Your debts'!$C$10)&gt;0))),"",IF('Your debts'!$D$20="Avalanche",'Avalanche workings'!$P$495,'Snowball workings'!$P$495)+IF('Your debts'!$D$20="Avalanche",'Avalanche workings'!$AJ$495,'Snowball workings'!$AJ$495))</f>
      </c>
      <c r="O493" s="30">
        <f>IF(OR(488&gt;$Z$1,NOT(OR('Your debts'!$B$10&lt;&gt;"",N('Your debts'!$C$10)&gt;0))),"",IF('Your debts'!$D$20="Avalanche",'Avalanche workings'!$AT$495,'Snowball workings'!$AT$495))</f>
      </c>
      <c r="P493" s="29">
        <f>IF(OR(488&gt;$Z$1,NOT(OR('Your debts'!$B$11&lt;&gt;"",N('Your debts'!$C$11)&gt;0))),"",IF('Your debts'!$D$20="Avalanche",'Avalanche workings'!$Q$495,'Snowball workings'!$Q$495)+IF('Your debts'!$D$20="Avalanche",'Avalanche workings'!$AK$495,'Snowball workings'!$AK$495))</f>
      </c>
      <c r="Q493" s="30">
        <f>IF(OR(488&gt;$Z$1,NOT(OR('Your debts'!$B$11&lt;&gt;"",N('Your debts'!$C$11)&gt;0))),"",IF('Your debts'!$D$20="Avalanche",'Avalanche workings'!$AU$495,'Snowball workings'!$AU$495))</f>
      </c>
      <c r="R493" s="29">
        <f>IF(OR(488&gt;$Z$1,NOT(OR('Your debts'!$B$12&lt;&gt;"",N('Your debts'!$C$12)&gt;0))),"",IF('Your debts'!$D$20="Avalanche",'Avalanche workings'!$R$495,'Snowball workings'!$R$495)+IF('Your debts'!$D$20="Avalanche",'Avalanche workings'!$AL$495,'Snowball workings'!$AL$495))</f>
      </c>
      <c r="S493" s="30">
        <f>IF(OR(488&gt;$Z$1,NOT(OR('Your debts'!$B$12&lt;&gt;"",N('Your debts'!$C$12)&gt;0))),"",IF('Your debts'!$D$20="Avalanche",'Avalanche workings'!$AV$495,'Snowball workings'!$AV$495))</f>
      </c>
      <c r="T493" s="29">
        <f>IF(OR(488&gt;$Z$1,NOT(OR('Your debts'!$B$13&lt;&gt;"",N('Your debts'!$C$13)&gt;0))),"",IF('Your debts'!$D$20="Avalanche",'Avalanche workings'!$S$495,'Snowball workings'!$S$495)+IF('Your debts'!$D$20="Avalanche",'Avalanche workings'!$AM$495,'Snowball workings'!$AM$495))</f>
      </c>
      <c r="U493" s="30">
        <f>IF(OR(488&gt;$Z$1,NOT(OR('Your debts'!$B$13&lt;&gt;"",N('Your debts'!$C$13)&gt;0))),"",IF('Your debts'!$D$20="Avalanche",'Avalanche workings'!$AW$495,'Snowball workings'!$AW$495))</f>
      </c>
      <c r="V493" s="29">
        <f>IF(OR(488&gt;$Z$1,NOT(OR('Your debts'!$B$14&lt;&gt;"",N('Your debts'!$C$14)&gt;0))),"",IF('Your debts'!$D$20="Avalanche",'Avalanche workings'!$T$495,'Snowball workings'!$T$495)+IF('Your debts'!$D$20="Avalanche",'Avalanche workings'!$AN$495,'Snowball workings'!$AN$495))</f>
      </c>
      <c r="W493" s="30">
        <f>IF(OR(488&gt;$Z$1,NOT(OR('Your debts'!$B$14&lt;&gt;"",N('Your debts'!$C$14)&gt;0))),"",IF('Your debts'!$D$20="Avalanche",'Avalanche workings'!$AX$495,'Snowball workings'!$AX$495))</f>
      </c>
      <c r="X493" s="29">
        <f>IF(OR(488&gt;$Z$1,NOT(OR('Your debts'!$B$15&lt;&gt;"",N('Your debts'!$C$15)&gt;0))),"",IF('Your debts'!$D$20="Avalanche",'Avalanche workings'!$U$495,'Snowball workings'!$U$495)+IF('Your debts'!$D$20="Avalanche",'Avalanche workings'!$AO$495,'Snowball workings'!$AO$495))</f>
      </c>
      <c r="Y493" s="30">
        <f>IF(OR(488&gt;$Z$1,NOT(OR('Your debts'!$B$15&lt;&gt;"",N('Your debts'!$C$15)&gt;0))),"",IF('Your debts'!$D$20="Avalanche",'Avalanche workings'!$AY$495,'Snowball workings'!$AY$495))</f>
      </c>
    </row>
    <row r="494" spans="1:25" x14ac:dyDescent="0.25">
      <c r="A494" s="2">
        <f>IF(489&gt;$Z$1,"",489)</f>
      </c>
      <c r="B494" s="28">
        <f>IF(489&gt;$Z$1,"",EDATE('Your debts'!$D$21,488))</f>
      </c>
      <c r="C494" s="29">
        <f>IF(489&gt;$Z$1,"",IF('Your debts'!$D$20="Avalanche",'Avalanche workings'!$BC$496,'Snowball workings'!$BC$496))</f>
      </c>
      <c r="D494" s="29">
        <f>IF(489&gt;$Z$1,"",IF('Your debts'!$D$20="Avalanche",'Avalanche workings'!$BA$496,'Snowball workings'!$BA$496))</f>
      </c>
      <c r="E494" s="29">
        <f>IF(489&gt;$Z$1,"",IF('Your debts'!$D$20="Avalanche",'Avalanche workings'!$BB$496,'Snowball workings'!$BB$496))</f>
      </c>
      <c r="F494" s="29">
        <f>IF(OR(489&gt;$Z$1,NOT(OR('Your debts'!$B$6&lt;&gt;"",N('Your debts'!$C$6)&gt;0))),"",IF('Your debts'!$D$20="Avalanche",'Avalanche workings'!$L$496,'Snowball workings'!$L$496)+IF('Your debts'!$D$20="Avalanche",'Avalanche workings'!$AF$496,'Snowball workings'!$AF$496))</f>
      </c>
      <c r="G494" s="30">
        <f>IF(OR(489&gt;$Z$1,NOT(OR('Your debts'!$B$6&lt;&gt;"",N('Your debts'!$C$6)&gt;0))),"",IF('Your debts'!$D$20="Avalanche",'Avalanche workings'!$AP$496,'Snowball workings'!$AP$496))</f>
      </c>
      <c r="H494" s="29">
        <f>IF(OR(489&gt;$Z$1,NOT(OR('Your debts'!$B$7&lt;&gt;"",N('Your debts'!$C$7)&gt;0))),"",IF('Your debts'!$D$20="Avalanche",'Avalanche workings'!$M$496,'Snowball workings'!$M$496)+IF('Your debts'!$D$20="Avalanche",'Avalanche workings'!$AG$496,'Snowball workings'!$AG$496))</f>
      </c>
      <c r="I494" s="30">
        <f>IF(OR(489&gt;$Z$1,NOT(OR('Your debts'!$B$7&lt;&gt;"",N('Your debts'!$C$7)&gt;0))),"",IF('Your debts'!$D$20="Avalanche",'Avalanche workings'!$AQ$496,'Snowball workings'!$AQ$496))</f>
      </c>
      <c r="J494" s="29">
        <f>IF(OR(489&gt;$Z$1,NOT(OR('Your debts'!$B$8&lt;&gt;"",N('Your debts'!$C$8)&gt;0))),"",IF('Your debts'!$D$20="Avalanche",'Avalanche workings'!$N$496,'Snowball workings'!$N$496)+IF('Your debts'!$D$20="Avalanche",'Avalanche workings'!$AH$496,'Snowball workings'!$AH$496))</f>
      </c>
      <c r="K494" s="30">
        <f>IF(OR(489&gt;$Z$1,NOT(OR('Your debts'!$B$8&lt;&gt;"",N('Your debts'!$C$8)&gt;0))),"",IF('Your debts'!$D$20="Avalanche",'Avalanche workings'!$AR$496,'Snowball workings'!$AR$496))</f>
      </c>
      <c r="L494" s="29">
        <f>IF(OR(489&gt;$Z$1,NOT(OR('Your debts'!$B$9&lt;&gt;"",N('Your debts'!$C$9)&gt;0))),"",IF('Your debts'!$D$20="Avalanche",'Avalanche workings'!$O$496,'Snowball workings'!$O$496)+IF('Your debts'!$D$20="Avalanche",'Avalanche workings'!$AI$496,'Snowball workings'!$AI$496))</f>
      </c>
      <c r="M494" s="30">
        <f>IF(OR(489&gt;$Z$1,NOT(OR('Your debts'!$B$9&lt;&gt;"",N('Your debts'!$C$9)&gt;0))),"",IF('Your debts'!$D$20="Avalanche",'Avalanche workings'!$AS$496,'Snowball workings'!$AS$496))</f>
      </c>
      <c r="N494" s="29">
        <f>IF(OR(489&gt;$Z$1,NOT(OR('Your debts'!$B$10&lt;&gt;"",N('Your debts'!$C$10)&gt;0))),"",IF('Your debts'!$D$20="Avalanche",'Avalanche workings'!$P$496,'Snowball workings'!$P$496)+IF('Your debts'!$D$20="Avalanche",'Avalanche workings'!$AJ$496,'Snowball workings'!$AJ$496))</f>
      </c>
      <c r="O494" s="30">
        <f>IF(OR(489&gt;$Z$1,NOT(OR('Your debts'!$B$10&lt;&gt;"",N('Your debts'!$C$10)&gt;0))),"",IF('Your debts'!$D$20="Avalanche",'Avalanche workings'!$AT$496,'Snowball workings'!$AT$496))</f>
      </c>
      <c r="P494" s="29">
        <f>IF(OR(489&gt;$Z$1,NOT(OR('Your debts'!$B$11&lt;&gt;"",N('Your debts'!$C$11)&gt;0))),"",IF('Your debts'!$D$20="Avalanche",'Avalanche workings'!$Q$496,'Snowball workings'!$Q$496)+IF('Your debts'!$D$20="Avalanche",'Avalanche workings'!$AK$496,'Snowball workings'!$AK$496))</f>
      </c>
      <c r="Q494" s="30">
        <f>IF(OR(489&gt;$Z$1,NOT(OR('Your debts'!$B$11&lt;&gt;"",N('Your debts'!$C$11)&gt;0))),"",IF('Your debts'!$D$20="Avalanche",'Avalanche workings'!$AU$496,'Snowball workings'!$AU$496))</f>
      </c>
      <c r="R494" s="29">
        <f>IF(OR(489&gt;$Z$1,NOT(OR('Your debts'!$B$12&lt;&gt;"",N('Your debts'!$C$12)&gt;0))),"",IF('Your debts'!$D$20="Avalanche",'Avalanche workings'!$R$496,'Snowball workings'!$R$496)+IF('Your debts'!$D$20="Avalanche",'Avalanche workings'!$AL$496,'Snowball workings'!$AL$496))</f>
      </c>
      <c r="S494" s="30">
        <f>IF(OR(489&gt;$Z$1,NOT(OR('Your debts'!$B$12&lt;&gt;"",N('Your debts'!$C$12)&gt;0))),"",IF('Your debts'!$D$20="Avalanche",'Avalanche workings'!$AV$496,'Snowball workings'!$AV$496))</f>
      </c>
      <c r="T494" s="29">
        <f>IF(OR(489&gt;$Z$1,NOT(OR('Your debts'!$B$13&lt;&gt;"",N('Your debts'!$C$13)&gt;0))),"",IF('Your debts'!$D$20="Avalanche",'Avalanche workings'!$S$496,'Snowball workings'!$S$496)+IF('Your debts'!$D$20="Avalanche",'Avalanche workings'!$AM$496,'Snowball workings'!$AM$496))</f>
      </c>
      <c r="U494" s="30">
        <f>IF(OR(489&gt;$Z$1,NOT(OR('Your debts'!$B$13&lt;&gt;"",N('Your debts'!$C$13)&gt;0))),"",IF('Your debts'!$D$20="Avalanche",'Avalanche workings'!$AW$496,'Snowball workings'!$AW$496))</f>
      </c>
      <c r="V494" s="29">
        <f>IF(OR(489&gt;$Z$1,NOT(OR('Your debts'!$B$14&lt;&gt;"",N('Your debts'!$C$14)&gt;0))),"",IF('Your debts'!$D$20="Avalanche",'Avalanche workings'!$T$496,'Snowball workings'!$T$496)+IF('Your debts'!$D$20="Avalanche",'Avalanche workings'!$AN$496,'Snowball workings'!$AN$496))</f>
      </c>
      <c r="W494" s="30">
        <f>IF(OR(489&gt;$Z$1,NOT(OR('Your debts'!$B$14&lt;&gt;"",N('Your debts'!$C$14)&gt;0))),"",IF('Your debts'!$D$20="Avalanche",'Avalanche workings'!$AX$496,'Snowball workings'!$AX$496))</f>
      </c>
      <c r="X494" s="29">
        <f>IF(OR(489&gt;$Z$1,NOT(OR('Your debts'!$B$15&lt;&gt;"",N('Your debts'!$C$15)&gt;0))),"",IF('Your debts'!$D$20="Avalanche",'Avalanche workings'!$U$496,'Snowball workings'!$U$496)+IF('Your debts'!$D$20="Avalanche",'Avalanche workings'!$AO$496,'Snowball workings'!$AO$496))</f>
      </c>
      <c r="Y494" s="30">
        <f>IF(OR(489&gt;$Z$1,NOT(OR('Your debts'!$B$15&lt;&gt;"",N('Your debts'!$C$15)&gt;0))),"",IF('Your debts'!$D$20="Avalanche",'Avalanche workings'!$AY$496,'Snowball workings'!$AY$496))</f>
      </c>
    </row>
    <row r="495" spans="1:25" x14ac:dyDescent="0.25">
      <c r="A495" s="2">
        <f>IF(490&gt;$Z$1,"",490)</f>
      </c>
      <c r="B495" s="28">
        <f>IF(490&gt;$Z$1,"",EDATE('Your debts'!$D$21,489))</f>
      </c>
      <c r="C495" s="29">
        <f>IF(490&gt;$Z$1,"",IF('Your debts'!$D$20="Avalanche",'Avalanche workings'!$BC$497,'Snowball workings'!$BC$497))</f>
      </c>
      <c r="D495" s="29">
        <f>IF(490&gt;$Z$1,"",IF('Your debts'!$D$20="Avalanche",'Avalanche workings'!$BA$497,'Snowball workings'!$BA$497))</f>
      </c>
      <c r="E495" s="29">
        <f>IF(490&gt;$Z$1,"",IF('Your debts'!$D$20="Avalanche",'Avalanche workings'!$BB$497,'Snowball workings'!$BB$497))</f>
      </c>
      <c r="F495" s="29">
        <f>IF(OR(490&gt;$Z$1,NOT(OR('Your debts'!$B$6&lt;&gt;"",N('Your debts'!$C$6)&gt;0))),"",IF('Your debts'!$D$20="Avalanche",'Avalanche workings'!$L$497,'Snowball workings'!$L$497)+IF('Your debts'!$D$20="Avalanche",'Avalanche workings'!$AF$497,'Snowball workings'!$AF$497))</f>
      </c>
      <c r="G495" s="30">
        <f>IF(OR(490&gt;$Z$1,NOT(OR('Your debts'!$B$6&lt;&gt;"",N('Your debts'!$C$6)&gt;0))),"",IF('Your debts'!$D$20="Avalanche",'Avalanche workings'!$AP$497,'Snowball workings'!$AP$497))</f>
      </c>
      <c r="H495" s="29">
        <f>IF(OR(490&gt;$Z$1,NOT(OR('Your debts'!$B$7&lt;&gt;"",N('Your debts'!$C$7)&gt;0))),"",IF('Your debts'!$D$20="Avalanche",'Avalanche workings'!$M$497,'Snowball workings'!$M$497)+IF('Your debts'!$D$20="Avalanche",'Avalanche workings'!$AG$497,'Snowball workings'!$AG$497))</f>
      </c>
      <c r="I495" s="30">
        <f>IF(OR(490&gt;$Z$1,NOT(OR('Your debts'!$B$7&lt;&gt;"",N('Your debts'!$C$7)&gt;0))),"",IF('Your debts'!$D$20="Avalanche",'Avalanche workings'!$AQ$497,'Snowball workings'!$AQ$497))</f>
      </c>
      <c r="J495" s="29">
        <f>IF(OR(490&gt;$Z$1,NOT(OR('Your debts'!$B$8&lt;&gt;"",N('Your debts'!$C$8)&gt;0))),"",IF('Your debts'!$D$20="Avalanche",'Avalanche workings'!$N$497,'Snowball workings'!$N$497)+IF('Your debts'!$D$20="Avalanche",'Avalanche workings'!$AH$497,'Snowball workings'!$AH$497))</f>
      </c>
      <c r="K495" s="30">
        <f>IF(OR(490&gt;$Z$1,NOT(OR('Your debts'!$B$8&lt;&gt;"",N('Your debts'!$C$8)&gt;0))),"",IF('Your debts'!$D$20="Avalanche",'Avalanche workings'!$AR$497,'Snowball workings'!$AR$497))</f>
      </c>
      <c r="L495" s="29">
        <f>IF(OR(490&gt;$Z$1,NOT(OR('Your debts'!$B$9&lt;&gt;"",N('Your debts'!$C$9)&gt;0))),"",IF('Your debts'!$D$20="Avalanche",'Avalanche workings'!$O$497,'Snowball workings'!$O$497)+IF('Your debts'!$D$20="Avalanche",'Avalanche workings'!$AI$497,'Snowball workings'!$AI$497))</f>
      </c>
      <c r="M495" s="30">
        <f>IF(OR(490&gt;$Z$1,NOT(OR('Your debts'!$B$9&lt;&gt;"",N('Your debts'!$C$9)&gt;0))),"",IF('Your debts'!$D$20="Avalanche",'Avalanche workings'!$AS$497,'Snowball workings'!$AS$497))</f>
      </c>
      <c r="N495" s="29">
        <f>IF(OR(490&gt;$Z$1,NOT(OR('Your debts'!$B$10&lt;&gt;"",N('Your debts'!$C$10)&gt;0))),"",IF('Your debts'!$D$20="Avalanche",'Avalanche workings'!$P$497,'Snowball workings'!$P$497)+IF('Your debts'!$D$20="Avalanche",'Avalanche workings'!$AJ$497,'Snowball workings'!$AJ$497))</f>
      </c>
      <c r="O495" s="30">
        <f>IF(OR(490&gt;$Z$1,NOT(OR('Your debts'!$B$10&lt;&gt;"",N('Your debts'!$C$10)&gt;0))),"",IF('Your debts'!$D$20="Avalanche",'Avalanche workings'!$AT$497,'Snowball workings'!$AT$497))</f>
      </c>
      <c r="P495" s="29">
        <f>IF(OR(490&gt;$Z$1,NOT(OR('Your debts'!$B$11&lt;&gt;"",N('Your debts'!$C$11)&gt;0))),"",IF('Your debts'!$D$20="Avalanche",'Avalanche workings'!$Q$497,'Snowball workings'!$Q$497)+IF('Your debts'!$D$20="Avalanche",'Avalanche workings'!$AK$497,'Snowball workings'!$AK$497))</f>
      </c>
      <c r="Q495" s="30">
        <f>IF(OR(490&gt;$Z$1,NOT(OR('Your debts'!$B$11&lt;&gt;"",N('Your debts'!$C$11)&gt;0))),"",IF('Your debts'!$D$20="Avalanche",'Avalanche workings'!$AU$497,'Snowball workings'!$AU$497))</f>
      </c>
      <c r="R495" s="29">
        <f>IF(OR(490&gt;$Z$1,NOT(OR('Your debts'!$B$12&lt;&gt;"",N('Your debts'!$C$12)&gt;0))),"",IF('Your debts'!$D$20="Avalanche",'Avalanche workings'!$R$497,'Snowball workings'!$R$497)+IF('Your debts'!$D$20="Avalanche",'Avalanche workings'!$AL$497,'Snowball workings'!$AL$497))</f>
      </c>
      <c r="S495" s="30">
        <f>IF(OR(490&gt;$Z$1,NOT(OR('Your debts'!$B$12&lt;&gt;"",N('Your debts'!$C$12)&gt;0))),"",IF('Your debts'!$D$20="Avalanche",'Avalanche workings'!$AV$497,'Snowball workings'!$AV$497))</f>
      </c>
      <c r="T495" s="29">
        <f>IF(OR(490&gt;$Z$1,NOT(OR('Your debts'!$B$13&lt;&gt;"",N('Your debts'!$C$13)&gt;0))),"",IF('Your debts'!$D$20="Avalanche",'Avalanche workings'!$S$497,'Snowball workings'!$S$497)+IF('Your debts'!$D$20="Avalanche",'Avalanche workings'!$AM$497,'Snowball workings'!$AM$497))</f>
      </c>
      <c r="U495" s="30">
        <f>IF(OR(490&gt;$Z$1,NOT(OR('Your debts'!$B$13&lt;&gt;"",N('Your debts'!$C$13)&gt;0))),"",IF('Your debts'!$D$20="Avalanche",'Avalanche workings'!$AW$497,'Snowball workings'!$AW$497))</f>
      </c>
      <c r="V495" s="29">
        <f>IF(OR(490&gt;$Z$1,NOT(OR('Your debts'!$B$14&lt;&gt;"",N('Your debts'!$C$14)&gt;0))),"",IF('Your debts'!$D$20="Avalanche",'Avalanche workings'!$T$497,'Snowball workings'!$T$497)+IF('Your debts'!$D$20="Avalanche",'Avalanche workings'!$AN$497,'Snowball workings'!$AN$497))</f>
      </c>
      <c r="W495" s="30">
        <f>IF(OR(490&gt;$Z$1,NOT(OR('Your debts'!$B$14&lt;&gt;"",N('Your debts'!$C$14)&gt;0))),"",IF('Your debts'!$D$20="Avalanche",'Avalanche workings'!$AX$497,'Snowball workings'!$AX$497))</f>
      </c>
      <c r="X495" s="29">
        <f>IF(OR(490&gt;$Z$1,NOT(OR('Your debts'!$B$15&lt;&gt;"",N('Your debts'!$C$15)&gt;0))),"",IF('Your debts'!$D$20="Avalanche",'Avalanche workings'!$U$497,'Snowball workings'!$U$497)+IF('Your debts'!$D$20="Avalanche",'Avalanche workings'!$AO$497,'Snowball workings'!$AO$497))</f>
      </c>
      <c r="Y495" s="30">
        <f>IF(OR(490&gt;$Z$1,NOT(OR('Your debts'!$B$15&lt;&gt;"",N('Your debts'!$C$15)&gt;0))),"",IF('Your debts'!$D$20="Avalanche",'Avalanche workings'!$AY$497,'Snowball workings'!$AY$497))</f>
      </c>
    </row>
    <row r="496" spans="1:25" x14ac:dyDescent="0.25">
      <c r="A496" s="2">
        <f>IF(491&gt;$Z$1,"",491)</f>
      </c>
      <c r="B496" s="28">
        <f>IF(491&gt;$Z$1,"",EDATE('Your debts'!$D$21,490))</f>
      </c>
      <c r="C496" s="29">
        <f>IF(491&gt;$Z$1,"",IF('Your debts'!$D$20="Avalanche",'Avalanche workings'!$BC$498,'Snowball workings'!$BC$498))</f>
      </c>
      <c r="D496" s="29">
        <f>IF(491&gt;$Z$1,"",IF('Your debts'!$D$20="Avalanche",'Avalanche workings'!$BA$498,'Snowball workings'!$BA$498))</f>
      </c>
      <c r="E496" s="29">
        <f>IF(491&gt;$Z$1,"",IF('Your debts'!$D$20="Avalanche",'Avalanche workings'!$BB$498,'Snowball workings'!$BB$498))</f>
      </c>
      <c r="F496" s="29">
        <f>IF(OR(491&gt;$Z$1,NOT(OR('Your debts'!$B$6&lt;&gt;"",N('Your debts'!$C$6)&gt;0))),"",IF('Your debts'!$D$20="Avalanche",'Avalanche workings'!$L$498,'Snowball workings'!$L$498)+IF('Your debts'!$D$20="Avalanche",'Avalanche workings'!$AF$498,'Snowball workings'!$AF$498))</f>
      </c>
      <c r="G496" s="30">
        <f>IF(OR(491&gt;$Z$1,NOT(OR('Your debts'!$B$6&lt;&gt;"",N('Your debts'!$C$6)&gt;0))),"",IF('Your debts'!$D$20="Avalanche",'Avalanche workings'!$AP$498,'Snowball workings'!$AP$498))</f>
      </c>
      <c r="H496" s="29">
        <f>IF(OR(491&gt;$Z$1,NOT(OR('Your debts'!$B$7&lt;&gt;"",N('Your debts'!$C$7)&gt;0))),"",IF('Your debts'!$D$20="Avalanche",'Avalanche workings'!$M$498,'Snowball workings'!$M$498)+IF('Your debts'!$D$20="Avalanche",'Avalanche workings'!$AG$498,'Snowball workings'!$AG$498))</f>
      </c>
      <c r="I496" s="30">
        <f>IF(OR(491&gt;$Z$1,NOT(OR('Your debts'!$B$7&lt;&gt;"",N('Your debts'!$C$7)&gt;0))),"",IF('Your debts'!$D$20="Avalanche",'Avalanche workings'!$AQ$498,'Snowball workings'!$AQ$498))</f>
      </c>
      <c r="J496" s="29">
        <f>IF(OR(491&gt;$Z$1,NOT(OR('Your debts'!$B$8&lt;&gt;"",N('Your debts'!$C$8)&gt;0))),"",IF('Your debts'!$D$20="Avalanche",'Avalanche workings'!$N$498,'Snowball workings'!$N$498)+IF('Your debts'!$D$20="Avalanche",'Avalanche workings'!$AH$498,'Snowball workings'!$AH$498))</f>
      </c>
      <c r="K496" s="30">
        <f>IF(OR(491&gt;$Z$1,NOT(OR('Your debts'!$B$8&lt;&gt;"",N('Your debts'!$C$8)&gt;0))),"",IF('Your debts'!$D$20="Avalanche",'Avalanche workings'!$AR$498,'Snowball workings'!$AR$498))</f>
      </c>
      <c r="L496" s="29">
        <f>IF(OR(491&gt;$Z$1,NOT(OR('Your debts'!$B$9&lt;&gt;"",N('Your debts'!$C$9)&gt;0))),"",IF('Your debts'!$D$20="Avalanche",'Avalanche workings'!$O$498,'Snowball workings'!$O$498)+IF('Your debts'!$D$20="Avalanche",'Avalanche workings'!$AI$498,'Snowball workings'!$AI$498))</f>
      </c>
      <c r="M496" s="30">
        <f>IF(OR(491&gt;$Z$1,NOT(OR('Your debts'!$B$9&lt;&gt;"",N('Your debts'!$C$9)&gt;0))),"",IF('Your debts'!$D$20="Avalanche",'Avalanche workings'!$AS$498,'Snowball workings'!$AS$498))</f>
      </c>
      <c r="N496" s="29">
        <f>IF(OR(491&gt;$Z$1,NOT(OR('Your debts'!$B$10&lt;&gt;"",N('Your debts'!$C$10)&gt;0))),"",IF('Your debts'!$D$20="Avalanche",'Avalanche workings'!$P$498,'Snowball workings'!$P$498)+IF('Your debts'!$D$20="Avalanche",'Avalanche workings'!$AJ$498,'Snowball workings'!$AJ$498))</f>
      </c>
      <c r="O496" s="30">
        <f>IF(OR(491&gt;$Z$1,NOT(OR('Your debts'!$B$10&lt;&gt;"",N('Your debts'!$C$10)&gt;0))),"",IF('Your debts'!$D$20="Avalanche",'Avalanche workings'!$AT$498,'Snowball workings'!$AT$498))</f>
      </c>
      <c r="P496" s="29">
        <f>IF(OR(491&gt;$Z$1,NOT(OR('Your debts'!$B$11&lt;&gt;"",N('Your debts'!$C$11)&gt;0))),"",IF('Your debts'!$D$20="Avalanche",'Avalanche workings'!$Q$498,'Snowball workings'!$Q$498)+IF('Your debts'!$D$20="Avalanche",'Avalanche workings'!$AK$498,'Snowball workings'!$AK$498))</f>
      </c>
      <c r="Q496" s="30">
        <f>IF(OR(491&gt;$Z$1,NOT(OR('Your debts'!$B$11&lt;&gt;"",N('Your debts'!$C$11)&gt;0))),"",IF('Your debts'!$D$20="Avalanche",'Avalanche workings'!$AU$498,'Snowball workings'!$AU$498))</f>
      </c>
      <c r="R496" s="29">
        <f>IF(OR(491&gt;$Z$1,NOT(OR('Your debts'!$B$12&lt;&gt;"",N('Your debts'!$C$12)&gt;0))),"",IF('Your debts'!$D$20="Avalanche",'Avalanche workings'!$R$498,'Snowball workings'!$R$498)+IF('Your debts'!$D$20="Avalanche",'Avalanche workings'!$AL$498,'Snowball workings'!$AL$498))</f>
      </c>
      <c r="S496" s="30">
        <f>IF(OR(491&gt;$Z$1,NOT(OR('Your debts'!$B$12&lt;&gt;"",N('Your debts'!$C$12)&gt;0))),"",IF('Your debts'!$D$20="Avalanche",'Avalanche workings'!$AV$498,'Snowball workings'!$AV$498))</f>
      </c>
      <c r="T496" s="29">
        <f>IF(OR(491&gt;$Z$1,NOT(OR('Your debts'!$B$13&lt;&gt;"",N('Your debts'!$C$13)&gt;0))),"",IF('Your debts'!$D$20="Avalanche",'Avalanche workings'!$S$498,'Snowball workings'!$S$498)+IF('Your debts'!$D$20="Avalanche",'Avalanche workings'!$AM$498,'Snowball workings'!$AM$498))</f>
      </c>
      <c r="U496" s="30">
        <f>IF(OR(491&gt;$Z$1,NOT(OR('Your debts'!$B$13&lt;&gt;"",N('Your debts'!$C$13)&gt;0))),"",IF('Your debts'!$D$20="Avalanche",'Avalanche workings'!$AW$498,'Snowball workings'!$AW$498))</f>
      </c>
      <c r="V496" s="29">
        <f>IF(OR(491&gt;$Z$1,NOT(OR('Your debts'!$B$14&lt;&gt;"",N('Your debts'!$C$14)&gt;0))),"",IF('Your debts'!$D$20="Avalanche",'Avalanche workings'!$T$498,'Snowball workings'!$T$498)+IF('Your debts'!$D$20="Avalanche",'Avalanche workings'!$AN$498,'Snowball workings'!$AN$498))</f>
      </c>
      <c r="W496" s="30">
        <f>IF(OR(491&gt;$Z$1,NOT(OR('Your debts'!$B$14&lt;&gt;"",N('Your debts'!$C$14)&gt;0))),"",IF('Your debts'!$D$20="Avalanche",'Avalanche workings'!$AX$498,'Snowball workings'!$AX$498))</f>
      </c>
      <c r="X496" s="29">
        <f>IF(OR(491&gt;$Z$1,NOT(OR('Your debts'!$B$15&lt;&gt;"",N('Your debts'!$C$15)&gt;0))),"",IF('Your debts'!$D$20="Avalanche",'Avalanche workings'!$U$498,'Snowball workings'!$U$498)+IF('Your debts'!$D$20="Avalanche",'Avalanche workings'!$AO$498,'Snowball workings'!$AO$498))</f>
      </c>
      <c r="Y496" s="30">
        <f>IF(OR(491&gt;$Z$1,NOT(OR('Your debts'!$B$15&lt;&gt;"",N('Your debts'!$C$15)&gt;0))),"",IF('Your debts'!$D$20="Avalanche",'Avalanche workings'!$AY$498,'Snowball workings'!$AY$498))</f>
      </c>
    </row>
    <row r="497" spans="1:25" x14ac:dyDescent="0.25">
      <c r="A497" s="2">
        <f>IF(492&gt;$Z$1,"",492)</f>
      </c>
      <c r="B497" s="28">
        <f>IF(492&gt;$Z$1,"",EDATE('Your debts'!$D$21,491))</f>
      </c>
      <c r="C497" s="29">
        <f>IF(492&gt;$Z$1,"",IF('Your debts'!$D$20="Avalanche",'Avalanche workings'!$BC$499,'Snowball workings'!$BC$499))</f>
      </c>
      <c r="D497" s="29">
        <f>IF(492&gt;$Z$1,"",IF('Your debts'!$D$20="Avalanche",'Avalanche workings'!$BA$499,'Snowball workings'!$BA$499))</f>
      </c>
      <c r="E497" s="29">
        <f>IF(492&gt;$Z$1,"",IF('Your debts'!$D$20="Avalanche",'Avalanche workings'!$BB$499,'Snowball workings'!$BB$499))</f>
      </c>
      <c r="F497" s="29">
        <f>IF(OR(492&gt;$Z$1,NOT(OR('Your debts'!$B$6&lt;&gt;"",N('Your debts'!$C$6)&gt;0))),"",IF('Your debts'!$D$20="Avalanche",'Avalanche workings'!$L$499,'Snowball workings'!$L$499)+IF('Your debts'!$D$20="Avalanche",'Avalanche workings'!$AF$499,'Snowball workings'!$AF$499))</f>
      </c>
      <c r="G497" s="30">
        <f>IF(OR(492&gt;$Z$1,NOT(OR('Your debts'!$B$6&lt;&gt;"",N('Your debts'!$C$6)&gt;0))),"",IF('Your debts'!$D$20="Avalanche",'Avalanche workings'!$AP$499,'Snowball workings'!$AP$499))</f>
      </c>
      <c r="H497" s="29">
        <f>IF(OR(492&gt;$Z$1,NOT(OR('Your debts'!$B$7&lt;&gt;"",N('Your debts'!$C$7)&gt;0))),"",IF('Your debts'!$D$20="Avalanche",'Avalanche workings'!$M$499,'Snowball workings'!$M$499)+IF('Your debts'!$D$20="Avalanche",'Avalanche workings'!$AG$499,'Snowball workings'!$AG$499))</f>
      </c>
      <c r="I497" s="30">
        <f>IF(OR(492&gt;$Z$1,NOT(OR('Your debts'!$B$7&lt;&gt;"",N('Your debts'!$C$7)&gt;0))),"",IF('Your debts'!$D$20="Avalanche",'Avalanche workings'!$AQ$499,'Snowball workings'!$AQ$499))</f>
      </c>
      <c r="J497" s="29">
        <f>IF(OR(492&gt;$Z$1,NOT(OR('Your debts'!$B$8&lt;&gt;"",N('Your debts'!$C$8)&gt;0))),"",IF('Your debts'!$D$20="Avalanche",'Avalanche workings'!$N$499,'Snowball workings'!$N$499)+IF('Your debts'!$D$20="Avalanche",'Avalanche workings'!$AH$499,'Snowball workings'!$AH$499))</f>
      </c>
      <c r="K497" s="30">
        <f>IF(OR(492&gt;$Z$1,NOT(OR('Your debts'!$B$8&lt;&gt;"",N('Your debts'!$C$8)&gt;0))),"",IF('Your debts'!$D$20="Avalanche",'Avalanche workings'!$AR$499,'Snowball workings'!$AR$499))</f>
      </c>
      <c r="L497" s="29">
        <f>IF(OR(492&gt;$Z$1,NOT(OR('Your debts'!$B$9&lt;&gt;"",N('Your debts'!$C$9)&gt;0))),"",IF('Your debts'!$D$20="Avalanche",'Avalanche workings'!$O$499,'Snowball workings'!$O$499)+IF('Your debts'!$D$20="Avalanche",'Avalanche workings'!$AI$499,'Snowball workings'!$AI$499))</f>
      </c>
      <c r="M497" s="30">
        <f>IF(OR(492&gt;$Z$1,NOT(OR('Your debts'!$B$9&lt;&gt;"",N('Your debts'!$C$9)&gt;0))),"",IF('Your debts'!$D$20="Avalanche",'Avalanche workings'!$AS$499,'Snowball workings'!$AS$499))</f>
      </c>
      <c r="N497" s="29">
        <f>IF(OR(492&gt;$Z$1,NOT(OR('Your debts'!$B$10&lt;&gt;"",N('Your debts'!$C$10)&gt;0))),"",IF('Your debts'!$D$20="Avalanche",'Avalanche workings'!$P$499,'Snowball workings'!$P$499)+IF('Your debts'!$D$20="Avalanche",'Avalanche workings'!$AJ$499,'Snowball workings'!$AJ$499))</f>
      </c>
      <c r="O497" s="30">
        <f>IF(OR(492&gt;$Z$1,NOT(OR('Your debts'!$B$10&lt;&gt;"",N('Your debts'!$C$10)&gt;0))),"",IF('Your debts'!$D$20="Avalanche",'Avalanche workings'!$AT$499,'Snowball workings'!$AT$499))</f>
      </c>
      <c r="P497" s="29">
        <f>IF(OR(492&gt;$Z$1,NOT(OR('Your debts'!$B$11&lt;&gt;"",N('Your debts'!$C$11)&gt;0))),"",IF('Your debts'!$D$20="Avalanche",'Avalanche workings'!$Q$499,'Snowball workings'!$Q$499)+IF('Your debts'!$D$20="Avalanche",'Avalanche workings'!$AK$499,'Snowball workings'!$AK$499))</f>
      </c>
      <c r="Q497" s="30">
        <f>IF(OR(492&gt;$Z$1,NOT(OR('Your debts'!$B$11&lt;&gt;"",N('Your debts'!$C$11)&gt;0))),"",IF('Your debts'!$D$20="Avalanche",'Avalanche workings'!$AU$499,'Snowball workings'!$AU$499))</f>
      </c>
      <c r="R497" s="29">
        <f>IF(OR(492&gt;$Z$1,NOT(OR('Your debts'!$B$12&lt;&gt;"",N('Your debts'!$C$12)&gt;0))),"",IF('Your debts'!$D$20="Avalanche",'Avalanche workings'!$R$499,'Snowball workings'!$R$499)+IF('Your debts'!$D$20="Avalanche",'Avalanche workings'!$AL$499,'Snowball workings'!$AL$499))</f>
      </c>
      <c r="S497" s="30">
        <f>IF(OR(492&gt;$Z$1,NOT(OR('Your debts'!$B$12&lt;&gt;"",N('Your debts'!$C$12)&gt;0))),"",IF('Your debts'!$D$20="Avalanche",'Avalanche workings'!$AV$499,'Snowball workings'!$AV$499))</f>
      </c>
      <c r="T497" s="29">
        <f>IF(OR(492&gt;$Z$1,NOT(OR('Your debts'!$B$13&lt;&gt;"",N('Your debts'!$C$13)&gt;0))),"",IF('Your debts'!$D$20="Avalanche",'Avalanche workings'!$S$499,'Snowball workings'!$S$499)+IF('Your debts'!$D$20="Avalanche",'Avalanche workings'!$AM$499,'Snowball workings'!$AM$499))</f>
      </c>
      <c r="U497" s="30">
        <f>IF(OR(492&gt;$Z$1,NOT(OR('Your debts'!$B$13&lt;&gt;"",N('Your debts'!$C$13)&gt;0))),"",IF('Your debts'!$D$20="Avalanche",'Avalanche workings'!$AW$499,'Snowball workings'!$AW$499))</f>
      </c>
      <c r="V497" s="29">
        <f>IF(OR(492&gt;$Z$1,NOT(OR('Your debts'!$B$14&lt;&gt;"",N('Your debts'!$C$14)&gt;0))),"",IF('Your debts'!$D$20="Avalanche",'Avalanche workings'!$T$499,'Snowball workings'!$T$499)+IF('Your debts'!$D$20="Avalanche",'Avalanche workings'!$AN$499,'Snowball workings'!$AN$499))</f>
      </c>
      <c r="W497" s="30">
        <f>IF(OR(492&gt;$Z$1,NOT(OR('Your debts'!$B$14&lt;&gt;"",N('Your debts'!$C$14)&gt;0))),"",IF('Your debts'!$D$20="Avalanche",'Avalanche workings'!$AX$499,'Snowball workings'!$AX$499))</f>
      </c>
      <c r="X497" s="29">
        <f>IF(OR(492&gt;$Z$1,NOT(OR('Your debts'!$B$15&lt;&gt;"",N('Your debts'!$C$15)&gt;0))),"",IF('Your debts'!$D$20="Avalanche",'Avalanche workings'!$U$499,'Snowball workings'!$U$499)+IF('Your debts'!$D$20="Avalanche",'Avalanche workings'!$AO$499,'Snowball workings'!$AO$499))</f>
      </c>
      <c r="Y497" s="30">
        <f>IF(OR(492&gt;$Z$1,NOT(OR('Your debts'!$B$15&lt;&gt;"",N('Your debts'!$C$15)&gt;0))),"",IF('Your debts'!$D$20="Avalanche",'Avalanche workings'!$AY$499,'Snowball workings'!$AY$499))</f>
      </c>
    </row>
    <row r="498" spans="1:25" x14ac:dyDescent="0.25">
      <c r="A498" s="2">
        <f>IF(493&gt;$Z$1,"",493)</f>
      </c>
      <c r="B498" s="28">
        <f>IF(493&gt;$Z$1,"",EDATE('Your debts'!$D$21,492))</f>
      </c>
      <c r="C498" s="29">
        <f>IF(493&gt;$Z$1,"",IF('Your debts'!$D$20="Avalanche",'Avalanche workings'!$BC$500,'Snowball workings'!$BC$500))</f>
      </c>
      <c r="D498" s="29">
        <f>IF(493&gt;$Z$1,"",IF('Your debts'!$D$20="Avalanche",'Avalanche workings'!$BA$500,'Snowball workings'!$BA$500))</f>
      </c>
      <c r="E498" s="29">
        <f>IF(493&gt;$Z$1,"",IF('Your debts'!$D$20="Avalanche",'Avalanche workings'!$BB$500,'Snowball workings'!$BB$500))</f>
      </c>
      <c r="F498" s="29">
        <f>IF(OR(493&gt;$Z$1,NOT(OR('Your debts'!$B$6&lt;&gt;"",N('Your debts'!$C$6)&gt;0))),"",IF('Your debts'!$D$20="Avalanche",'Avalanche workings'!$L$500,'Snowball workings'!$L$500)+IF('Your debts'!$D$20="Avalanche",'Avalanche workings'!$AF$500,'Snowball workings'!$AF$500))</f>
      </c>
      <c r="G498" s="30">
        <f>IF(OR(493&gt;$Z$1,NOT(OR('Your debts'!$B$6&lt;&gt;"",N('Your debts'!$C$6)&gt;0))),"",IF('Your debts'!$D$20="Avalanche",'Avalanche workings'!$AP$500,'Snowball workings'!$AP$500))</f>
      </c>
      <c r="H498" s="29">
        <f>IF(OR(493&gt;$Z$1,NOT(OR('Your debts'!$B$7&lt;&gt;"",N('Your debts'!$C$7)&gt;0))),"",IF('Your debts'!$D$20="Avalanche",'Avalanche workings'!$M$500,'Snowball workings'!$M$500)+IF('Your debts'!$D$20="Avalanche",'Avalanche workings'!$AG$500,'Snowball workings'!$AG$500))</f>
      </c>
      <c r="I498" s="30">
        <f>IF(OR(493&gt;$Z$1,NOT(OR('Your debts'!$B$7&lt;&gt;"",N('Your debts'!$C$7)&gt;0))),"",IF('Your debts'!$D$20="Avalanche",'Avalanche workings'!$AQ$500,'Snowball workings'!$AQ$500))</f>
      </c>
      <c r="J498" s="29">
        <f>IF(OR(493&gt;$Z$1,NOT(OR('Your debts'!$B$8&lt;&gt;"",N('Your debts'!$C$8)&gt;0))),"",IF('Your debts'!$D$20="Avalanche",'Avalanche workings'!$N$500,'Snowball workings'!$N$500)+IF('Your debts'!$D$20="Avalanche",'Avalanche workings'!$AH$500,'Snowball workings'!$AH$500))</f>
      </c>
      <c r="K498" s="30">
        <f>IF(OR(493&gt;$Z$1,NOT(OR('Your debts'!$B$8&lt;&gt;"",N('Your debts'!$C$8)&gt;0))),"",IF('Your debts'!$D$20="Avalanche",'Avalanche workings'!$AR$500,'Snowball workings'!$AR$500))</f>
      </c>
      <c r="L498" s="29">
        <f>IF(OR(493&gt;$Z$1,NOT(OR('Your debts'!$B$9&lt;&gt;"",N('Your debts'!$C$9)&gt;0))),"",IF('Your debts'!$D$20="Avalanche",'Avalanche workings'!$O$500,'Snowball workings'!$O$500)+IF('Your debts'!$D$20="Avalanche",'Avalanche workings'!$AI$500,'Snowball workings'!$AI$500))</f>
      </c>
      <c r="M498" s="30">
        <f>IF(OR(493&gt;$Z$1,NOT(OR('Your debts'!$B$9&lt;&gt;"",N('Your debts'!$C$9)&gt;0))),"",IF('Your debts'!$D$20="Avalanche",'Avalanche workings'!$AS$500,'Snowball workings'!$AS$500))</f>
      </c>
      <c r="N498" s="29">
        <f>IF(OR(493&gt;$Z$1,NOT(OR('Your debts'!$B$10&lt;&gt;"",N('Your debts'!$C$10)&gt;0))),"",IF('Your debts'!$D$20="Avalanche",'Avalanche workings'!$P$500,'Snowball workings'!$P$500)+IF('Your debts'!$D$20="Avalanche",'Avalanche workings'!$AJ$500,'Snowball workings'!$AJ$500))</f>
      </c>
      <c r="O498" s="30">
        <f>IF(OR(493&gt;$Z$1,NOT(OR('Your debts'!$B$10&lt;&gt;"",N('Your debts'!$C$10)&gt;0))),"",IF('Your debts'!$D$20="Avalanche",'Avalanche workings'!$AT$500,'Snowball workings'!$AT$500))</f>
      </c>
      <c r="P498" s="29">
        <f>IF(OR(493&gt;$Z$1,NOT(OR('Your debts'!$B$11&lt;&gt;"",N('Your debts'!$C$11)&gt;0))),"",IF('Your debts'!$D$20="Avalanche",'Avalanche workings'!$Q$500,'Snowball workings'!$Q$500)+IF('Your debts'!$D$20="Avalanche",'Avalanche workings'!$AK$500,'Snowball workings'!$AK$500))</f>
      </c>
      <c r="Q498" s="30">
        <f>IF(OR(493&gt;$Z$1,NOT(OR('Your debts'!$B$11&lt;&gt;"",N('Your debts'!$C$11)&gt;0))),"",IF('Your debts'!$D$20="Avalanche",'Avalanche workings'!$AU$500,'Snowball workings'!$AU$500))</f>
      </c>
      <c r="R498" s="29">
        <f>IF(OR(493&gt;$Z$1,NOT(OR('Your debts'!$B$12&lt;&gt;"",N('Your debts'!$C$12)&gt;0))),"",IF('Your debts'!$D$20="Avalanche",'Avalanche workings'!$R$500,'Snowball workings'!$R$500)+IF('Your debts'!$D$20="Avalanche",'Avalanche workings'!$AL$500,'Snowball workings'!$AL$500))</f>
      </c>
      <c r="S498" s="30">
        <f>IF(OR(493&gt;$Z$1,NOT(OR('Your debts'!$B$12&lt;&gt;"",N('Your debts'!$C$12)&gt;0))),"",IF('Your debts'!$D$20="Avalanche",'Avalanche workings'!$AV$500,'Snowball workings'!$AV$500))</f>
      </c>
      <c r="T498" s="29">
        <f>IF(OR(493&gt;$Z$1,NOT(OR('Your debts'!$B$13&lt;&gt;"",N('Your debts'!$C$13)&gt;0))),"",IF('Your debts'!$D$20="Avalanche",'Avalanche workings'!$S$500,'Snowball workings'!$S$500)+IF('Your debts'!$D$20="Avalanche",'Avalanche workings'!$AM$500,'Snowball workings'!$AM$500))</f>
      </c>
      <c r="U498" s="30">
        <f>IF(OR(493&gt;$Z$1,NOT(OR('Your debts'!$B$13&lt;&gt;"",N('Your debts'!$C$13)&gt;0))),"",IF('Your debts'!$D$20="Avalanche",'Avalanche workings'!$AW$500,'Snowball workings'!$AW$500))</f>
      </c>
      <c r="V498" s="29">
        <f>IF(OR(493&gt;$Z$1,NOT(OR('Your debts'!$B$14&lt;&gt;"",N('Your debts'!$C$14)&gt;0))),"",IF('Your debts'!$D$20="Avalanche",'Avalanche workings'!$T$500,'Snowball workings'!$T$500)+IF('Your debts'!$D$20="Avalanche",'Avalanche workings'!$AN$500,'Snowball workings'!$AN$500))</f>
      </c>
      <c r="W498" s="30">
        <f>IF(OR(493&gt;$Z$1,NOT(OR('Your debts'!$B$14&lt;&gt;"",N('Your debts'!$C$14)&gt;0))),"",IF('Your debts'!$D$20="Avalanche",'Avalanche workings'!$AX$500,'Snowball workings'!$AX$500))</f>
      </c>
      <c r="X498" s="29">
        <f>IF(OR(493&gt;$Z$1,NOT(OR('Your debts'!$B$15&lt;&gt;"",N('Your debts'!$C$15)&gt;0))),"",IF('Your debts'!$D$20="Avalanche",'Avalanche workings'!$U$500,'Snowball workings'!$U$500)+IF('Your debts'!$D$20="Avalanche",'Avalanche workings'!$AO$500,'Snowball workings'!$AO$500))</f>
      </c>
      <c r="Y498" s="30">
        <f>IF(OR(493&gt;$Z$1,NOT(OR('Your debts'!$B$15&lt;&gt;"",N('Your debts'!$C$15)&gt;0))),"",IF('Your debts'!$D$20="Avalanche",'Avalanche workings'!$AY$500,'Snowball workings'!$AY$500))</f>
      </c>
    </row>
    <row r="499" spans="1:25" x14ac:dyDescent="0.25">
      <c r="A499" s="2">
        <f>IF(494&gt;$Z$1,"",494)</f>
      </c>
      <c r="B499" s="28">
        <f>IF(494&gt;$Z$1,"",EDATE('Your debts'!$D$21,493))</f>
      </c>
      <c r="C499" s="29">
        <f>IF(494&gt;$Z$1,"",IF('Your debts'!$D$20="Avalanche",'Avalanche workings'!$BC$501,'Snowball workings'!$BC$501))</f>
      </c>
      <c r="D499" s="29">
        <f>IF(494&gt;$Z$1,"",IF('Your debts'!$D$20="Avalanche",'Avalanche workings'!$BA$501,'Snowball workings'!$BA$501))</f>
      </c>
      <c r="E499" s="29">
        <f>IF(494&gt;$Z$1,"",IF('Your debts'!$D$20="Avalanche",'Avalanche workings'!$BB$501,'Snowball workings'!$BB$501))</f>
      </c>
      <c r="F499" s="29">
        <f>IF(OR(494&gt;$Z$1,NOT(OR('Your debts'!$B$6&lt;&gt;"",N('Your debts'!$C$6)&gt;0))),"",IF('Your debts'!$D$20="Avalanche",'Avalanche workings'!$L$501,'Snowball workings'!$L$501)+IF('Your debts'!$D$20="Avalanche",'Avalanche workings'!$AF$501,'Snowball workings'!$AF$501))</f>
      </c>
      <c r="G499" s="30">
        <f>IF(OR(494&gt;$Z$1,NOT(OR('Your debts'!$B$6&lt;&gt;"",N('Your debts'!$C$6)&gt;0))),"",IF('Your debts'!$D$20="Avalanche",'Avalanche workings'!$AP$501,'Snowball workings'!$AP$501))</f>
      </c>
      <c r="H499" s="29">
        <f>IF(OR(494&gt;$Z$1,NOT(OR('Your debts'!$B$7&lt;&gt;"",N('Your debts'!$C$7)&gt;0))),"",IF('Your debts'!$D$20="Avalanche",'Avalanche workings'!$M$501,'Snowball workings'!$M$501)+IF('Your debts'!$D$20="Avalanche",'Avalanche workings'!$AG$501,'Snowball workings'!$AG$501))</f>
      </c>
      <c r="I499" s="30">
        <f>IF(OR(494&gt;$Z$1,NOT(OR('Your debts'!$B$7&lt;&gt;"",N('Your debts'!$C$7)&gt;0))),"",IF('Your debts'!$D$20="Avalanche",'Avalanche workings'!$AQ$501,'Snowball workings'!$AQ$501))</f>
      </c>
      <c r="J499" s="29">
        <f>IF(OR(494&gt;$Z$1,NOT(OR('Your debts'!$B$8&lt;&gt;"",N('Your debts'!$C$8)&gt;0))),"",IF('Your debts'!$D$20="Avalanche",'Avalanche workings'!$N$501,'Snowball workings'!$N$501)+IF('Your debts'!$D$20="Avalanche",'Avalanche workings'!$AH$501,'Snowball workings'!$AH$501))</f>
      </c>
      <c r="K499" s="30">
        <f>IF(OR(494&gt;$Z$1,NOT(OR('Your debts'!$B$8&lt;&gt;"",N('Your debts'!$C$8)&gt;0))),"",IF('Your debts'!$D$20="Avalanche",'Avalanche workings'!$AR$501,'Snowball workings'!$AR$501))</f>
      </c>
      <c r="L499" s="29">
        <f>IF(OR(494&gt;$Z$1,NOT(OR('Your debts'!$B$9&lt;&gt;"",N('Your debts'!$C$9)&gt;0))),"",IF('Your debts'!$D$20="Avalanche",'Avalanche workings'!$O$501,'Snowball workings'!$O$501)+IF('Your debts'!$D$20="Avalanche",'Avalanche workings'!$AI$501,'Snowball workings'!$AI$501))</f>
      </c>
      <c r="M499" s="30">
        <f>IF(OR(494&gt;$Z$1,NOT(OR('Your debts'!$B$9&lt;&gt;"",N('Your debts'!$C$9)&gt;0))),"",IF('Your debts'!$D$20="Avalanche",'Avalanche workings'!$AS$501,'Snowball workings'!$AS$501))</f>
      </c>
      <c r="N499" s="29">
        <f>IF(OR(494&gt;$Z$1,NOT(OR('Your debts'!$B$10&lt;&gt;"",N('Your debts'!$C$10)&gt;0))),"",IF('Your debts'!$D$20="Avalanche",'Avalanche workings'!$P$501,'Snowball workings'!$P$501)+IF('Your debts'!$D$20="Avalanche",'Avalanche workings'!$AJ$501,'Snowball workings'!$AJ$501))</f>
      </c>
      <c r="O499" s="30">
        <f>IF(OR(494&gt;$Z$1,NOT(OR('Your debts'!$B$10&lt;&gt;"",N('Your debts'!$C$10)&gt;0))),"",IF('Your debts'!$D$20="Avalanche",'Avalanche workings'!$AT$501,'Snowball workings'!$AT$501))</f>
      </c>
      <c r="P499" s="29">
        <f>IF(OR(494&gt;$Z$1,NOT(OR('Your debts'!$B$11&lt;&gt;"",N('Your debts'!$C$11)&gt;0))),"",IF('Your debts'!$D$20="Avalanche",'Avalanche workings'!$Q$501,'Snowball workings'!$Q$501)+IF('Your debts'!$D$20="Avalanche",'Avalanche workings'!$AK$501,'Snowball workings'!$AK$501))</f>
      </c>
      <c r="Q499" s="30">
        <f>IF(OR(494&gt;$Z$1,NOT(OR('Your debts'!$B$11&lt;&gt;"",N('Your debts'!$C$11)&gt;0))),"",IF('Your debts'!$D$20="Avalanche",'Avalanche workings'!$AU$501,'Snowball workings'!$AU$501))</f>
      </c>
      <c r="R499" s="29">
        <f>IF(OR(494&gt;$Z$1,NOT(OR('Your debts'!$B$12&lt;&gt;"",N('Your debts'!$C$12)&gt;0))),"",IF('Your debts'!$D$20="Avalanche",'Avalanche workings'!$R$501,'Snowball workings'!$R$501)+IF('Your debts'!$D$20="Avalanche",'Avalanche workings'!$AL$501,'Snowball workings'!$AL$501))</f>
      </c>
      <c r="S499" s="30">
        <f>IF(OR(494&gt;$Z$1,NOT(OR('Your debts'!$B$12&lt;&gt;"",N('Your debts'!$C$12)&gt;0))),"",IF('Your debts'!$D$20="Avalanche",'Avalanche workings'!$AV$501,'Snowball workings'!$AV$501))</f>
      </c>
      <c r="T499" s="29">
        <f>IF(OR(494&gt;$Z$1,NOT(OR('Your debts'!$B$13&lt;&gt;"",N('Your debts'!$C$13)&gt;0))),"",IF('Your debts'!$D$20="Avalanche",'Avalanche workings'!$S$501,'Snowball workings'!$S$501)+IF('Your debts'!$D$20="Avalanche",'Avalanche workings'!$AM$501,'Snowball workings'!$AM$501))</f>
      </c>
      <c r="U499" s="30">
        <f>IF(OR(494&gt;$Z$1,NOT(OR('Your debts'!$B$13&lt;&gt;"",N('Your debts'!$C$13)&gt;0))),"",IF('Your debts'!$D$20="Avalanche",'Avalanche workings'!$AW$501,'Snowball workings'!$AW$501))</f>
      </c>
      <c r="V499" s="29">
        <f>IF(OR(494&gt;$Z$1,NOT(OR('Your debts'!$B$14&lt;&gt;"",N('Your debts'!$C$14)&gt;0))),"",IF('Your debts'!$D$20="Avalanche",'Avalanche workings'!$T$501,'Snowball workings'!$T$501)+IF('Your debts'!$D$20="Avalanche",'Avalanche workings'!$AN$501,'Snowball workings'!$AN$501))</f>
      </c>
      <c r="W499" s="30">
        <f>IF(OR(494&gt;$Z$1,NOT(OR('Your debts'!$B$14&lt;&gt;"",N('Your debts'!$C$14)&gt;0))),"",IF('Your debts'!$D$20="Avalanche",'Avalanche workings'!$AX$501,'Snowball workings'!$AX$501))</f>
      </c>
      <c r="X499" s="29">
        <f>IF(OR(494&gt;$Z$1,NOT(OR('Your debts'!$B$15&lt;&gt;"",N('Your debts'!$C$15)&gt;0))),"",IF('Your debts'!$D$20="Avalanche",'Avalanche workings'!$U$501,'Snowball workings'!$U$501)+IF('Your debts'!$D$20="Avalanche",'Avalanche workings'!$AO$501,'Snowball workings'!$AO$501))</f>
      </c>
      <c r="Y499" s="30">
        <f>IF(OR(494&gt;$Z$1,NOT(OR('Your debts'!$B$15&lt;&gt;"",N('Your debts'!$C$15)&gt;0))),"",IF('Your debts'!$D$20="Avalanche",'Avalanche workings'!$AY$501,'Snowball workings'!$AY$501))</f>
      </c>
    </row>
    <row r="500" spans="1:25" x14ac:dyDescent="0.25">
      <c r="A500" s="2">
        <f>IF(495&gt;$Z$1,"",495)</f>
      </c>
      <c r="B500" s="28">
        <f>IF(495&gt;$Z$1,"",EDATE('Your debts'!$D$21,494))</f>
      </c>
      <c r="C500" s="29">
        <f>IF(495&gt;$Z$1,"",IF('Your debts'!$D$20="Avalanche",'Avalanche workings'!$BC$502,'Snowball workings'!$BC$502))</f>
      </c>
      <c r="D500" s="29">
        <f>IF(495&gt;$Z$1,"",IF('Your debts'!$D$20="Avalanche",'Avalanche workings'!$BA$502,'Snowball workings'!$BA$502))</f>
      </c>
      <c r="E500" s="29">
        <f>IF(495&gt;$Z$1,"",IF('Your debts'!$D$20="Avalanche",'Avalanche workings'!$BB$502,'Snowball workings'!$BB$502))</f>
      </c>
      <c r="F500" s="29">
        <f>IF(OR(495&gt;$Z$1,NOT(OR('Your debts'!$B$6&lt;&gt;"",N('Your debts'!$C$6)&gt;0))),"",IF('Your debts'!$D$20="Avalanche",'Avalanche workings'!$L$502,'Snowball workings'!$L$502)+IF('Your debts'!$D$20="Avalanche",'Avalanche workings'!$AF$502,'Snowball workings'!$AF$502))</f>
      </c>
      <c r="G500" s="30">
        <f>IF(OR(495&gt;$Z$1,NOT(OR('Your debts'!$B$6&lt;&gt;"",N('Your debts'!$C$6)&gt;0))),"",IF('Your debts'!$D$20="Avalanche",'Avalanche workings'!$AP$502,'Snowball workings'!$AP$502))</f>
      </c>
      <c r="H500" s="29">
        <f>IF(OR(495&gt;$Z$1,NOT(OR('Your debts'!$B$7&lt;&gt;"",N('Your debts'!$C$7)&gt;0))),"",IF('Your debts'!$D$20="Avalanche",'Avalanche workings'!$M$502,'Snowball workings'!$M$502)+IF('Your debts'!$D$20="Avalanche",'Avalanche workings'!$AG$502,'Snowball workings'!$AG$502))</f>
      </c>
      <c r="I500" s="30">
        <f>IF(OR(495&gt;$Z$1,NOT(OR('Your debts'!$B$7&lt;&gt;"",N('Your debts'!$C$7)&gt;0))),"",IF('Your debts'!$D$20="Avalanche",'Avalanche workings'!$AQ$502,'Snowball workings'!$AQ$502))</f>
      </c>
      <c r="J500" s="29">
        <f>IF(OR(495&gt;$Z$1,NOT(OR('Your debts'!$B$8&lt;&gt;"",N('Your debts'!$C$8)&gt;0))),"",IF('Your debts'!$D$20="Avalanche",'Avalanche workings'!$N$502,'Snowball workings'!$N$502)+IF('Your debts'!$D$20="Avalanche",'Avalanche workings'!$AH$502,'Snowball workings'!$AH$502))</f>
      </c>
      <c r="K500" s="30">
        <f>IF(OR(495&gt;$Z$1,NOT(OR('Your debts'!$B$8&lt;&gt;"",N('Your debts'!$C$8)&gt;0))),"",IF('Your debts'!$D$20="Avalanche",'Avalanche workings'!$AR$502,'Snowball workings'!$AR$502))</f>
      </c>
      <c r="L500" s="29">
        <f>IF(OR(495&gt;$Z$1,NOT(OR('Your debts'!$B$9&lt;&gt;"",N('Your debts'!$C$9)&gt;0))),"",IF('Your debts'!$D$20="Avalanche",'Avalanche workings'!$O$502,'Snowball workings'!$O$502)+IF('Your debts'!$D$20="Avalanche",'Avalanche workings'!$AI$502,'Snowball workings'!$AI$502))</f>
      </c>
      <c r="M500" s="30">
        <f>IF(OR(495&gt;$Z$1,NOT(OR('Your debts'!$B$9&lt;&gt;"",N('Your debts'!$C$9)&gt;0))),"",IF('Your debts'!$D$20="Avalanche",'Avalanche workings'!$AS$502,'Snowball workings'!$AS$502))</f>
      </c>
      <c r="N500" s="29">
        <f>IF(OR(495&gt;$Z$1,NOT(OR('Your debts'!$B$10&lt;&gt;"",N('Your debts'!$C$10)&gt;0))),"",IF('Your debts'!$D$20="Avalanche",'Avalanche workings'!$P$502,'Snowball workings'!$P$502)+IF('Your debts'!$D$20="Avalanche",'Avalanche workings'!$AJ$502,'Snowball workings'!$AJ$502))</f>
      </c>
      <c r="O500" s="30">
        <f>IF(OR(495&gt;$Z$1,NOT(OR('Your debts'!$B$10&lt;&gt;"",N('Your debts'!$C$10)&gt;0))),"",IF('Your debts'!$D$20="Avalanche",'Avalanche workings'!$AT$502,'Snowball workings'!$AT$502))</f>
      </c>
      <c r="P500" s="29">
        <f>IF(OR(495&gt;$Z$1,NOT(OR('Your debts'!$B$11&lt;&gt;"",N('Your debts'!$C$11)&gt;0))),"",IF('Your debts'!$D$20="Avalanche",'Avalanche workings'!$Q$502,'Snowball workings'!$Q$502)+IF('Your debts'!$D$20="Avalanche",'Avalanche workings'!$AK$502,'Snowball workings'!$AK$502))</f>
      </c>
      <c r="Q500" s="30">
        <f>IF(OR(495&gt;$Z$1,NOT(OR('Your debts'!$B$11&lt;&gt;"",N('Your debts'!$C$11)&gt;0))),"",IF('Your debts'!$D$20="Avalanche",'Avalanche workings'!$AU$502,'Snowball workings'!$AU$502))</f>
      </c>
      <c r="R500" s="29">
        <f>IF(OR(495&gt;$Z$1,NOT(OR('Your debts'!$B$12&lt;&gt;"",N('Your debts'!$C$12)&gt;0))),"",IF('Your debts'!$D$20="Avalanche",'Avalanche workings'!$R$502,'Snowball workings'!$R$502)+IF('Your debts'!$D$20="Avalanche",'Avalanche workings'!$AL$502,'Snowball workings'!$AL$502))</f>
      </c>
      <c r="S500" s="30">
        <f>IF(OR(495&gt;$Z$1,NOT(OR('Your debts'!$B$12&lt;&gt;"",N('Your debts'!$C$12)&gt;0))),"",IF('Your debts'!$D$20="Avalanche",'Avalanche workings'!$AV$502,'Snowball workings'!$AV$502))</f>
      </c>
      <c r="T500" s="29">
        <f>IF(OR(495&gt;$Z$1,NOT(OR('Your debts'!$B$13&lt;&gt;"",N('Your debts'!$C$13)&gt;0))),"",IF('Your debts'!$D$20="Avalanche",'Avalanche workings'!$S$502,'Snowball workings'!$S$502)+IF('Your debts'!$D$20="Avalanche",'Avalanche workings'!$AM$502,'Snowball workings'!$AM$502))</f>
      </c>
      <c r="U500" s="30">
        <f>IF(OR(495&gt;$Z$1,NOT(OR('Your debts'!$B$13&lt;&gt;"",N('Your debts'!$C$13)&gt;0))),"",IF('Your debts'!$D$20="Avalanche",'Avalanche workings'!$AW$502,'Snowball workings'!$AW$502))</f>
      </c>
      <c r="V500" s="29">
        <f>IF(OR(495&gt;$Z$1,NOT(OR('Your debts'!$B$14&lt;&gt;"",N('Your debts'!$C$14)&gt;0))),"",IF('Your debts'!$D$20="Avalanche",'Avalanche workings'!$T$502,'Snowball workings'!$T$502)+IF('Your debts'!$D$20="Avalanche",'Avalanche workings'!$AN$502,'Snowball workings'!$AN$502))</f>
      </c>
      <c r="W500" s="30">
        <f>IF(OR(495&gt;$Z$1,NOT(OR('Your debts'!$B$14&lt;&gt;"",N('Your debts'!$C$14)&gt;0))),"",IF('Your debts'!$D$20="Avalanche",'Avalanche workings'!$AX$502,'Snowball workings'!$AX$502))</f>
      </c>
      <c r="X500" s="29">
        <f>IF(OR(495&gt;$Z$1,NOT(OR('Your debts'!$B$15&lt;&gt;"",N('Your debts'!$C$15)&gt;0))),"",IF('Your debts'!$D$20="Avalanche",'Avalanche workings'!$U$502,'Snowball workings'!$U$502)+IF('Your debts'!$D$20="Avalanche",'Avalanche workings'!$AO$502,'Snowball workings'!$AO$502))</f>
      </c>
      <c r="Y500" s="30">
        <f>IF(OR(495&gt;$Z$1,NOT(OR('Your debts'!$B$15&lt;&gt;"",N('Your debts'!$C$15)&gt;0))),"",IF('Your debts'!$D$20="Avalanche",'Avalanche workings'!$AY$502,'Snowball workings'!$AY$502))</f>
      </c>
    </row>
    <row r="501" spans="1:25" x14ac:dyDescent="0.25">
      <c r="A501" s="2">
        <f>IF(496&gt;$Z$1,"",496)</f>
      </c>
      <c r="B501" s="28">
        <f>IF(496&gt;$Z$1,"",EDATE('Your debts'!$D$21,495))</f>
      </c>
      <c r="C501" s="29">
        <f>IF(496&gt;$Z$1,"",IF('Your debts'!$D$20="Avalanche",'Avalanche workings'!$BC$503,'Snowball workings'!$BC$503))</f>
      </c>
      <c r="D501" s="29">
        <f>IF(496&gt;$Z$1,"",IF('Your debts'!$D$20="Avalanche",'Avalanche workings'!$BA$503,'Snowball workings'!$BA$503))</f>
      </c>
      <c r="E501" s="29">
        <f>IF(496&gt;$Z$1,"",IF('Your debts'!$D$20="Avalanche",'Avalanche workings'!$BB$503,'Snowball workings'!$BB$503))</f>
      </c>
      <c r="F501" s="29">
        <f>IF(OR(496&gt;$Z$1,NOT(OR('Your debts'!$B$6&lt;&gt;"",N('Your debts'!$C$6)&gt;0))),"",IF('Your debts'!$D$20="Avalanche",'Avalanche workings'!$L$503,'Snowball workings'!$L$503)+IF('Your debts'!$D$20="Avalanche",'Avalanche workings'!$AF$503,'Snowball workings'!$AF$503))</f>
      </c>
      <c r="G501" s="30">
        <f>IF(OR(496&gt;$Z$1,NOT(OR('Your debts'!$B$6&lt;&gt;"",N('Your debts'!$C$6)&gt;0))),"",IF('Your debts'!$D$20="Avalanche",'Avalanche workings'!$AP$503,'Snowball workings'!$AP$503))</f>
      </c>
      <c r="H501" s="29">
        <f>IF(OR(496&gt;$Z$1,NOT(OR('Your debts'!$B$7&lt;&gt;"",N('Your debts'!$C$7)&gt;0))),"",IF('Your debts'!$D$20="Avalanche",'Avalanche workings'!$M$503,'Snowball workings'!$M$503)+IF('Your debts'!$D$20="Avalanche",'Avalanche workings'!$AG$503,'Snowball workings'!$AG$503))</f>
      </c>
      <c r="I501" s="30">
        <f>IF(OR(496&gt;$Z$1,NOT(OR('Your debts'!$B$7&lt;&gt;"",N('Your debts'!$C$7)&gt;0))),"",IF('Your debts'!$D$20="Avalanche",'Avalanche workings'!$AQ$503,'Snowball workings'!$AQ$503))</f>
      </c>
      <c r="J501" s="29">
        <f>IF(OR(496&gt;$Z$1,NOT(OR('Your debts'!$B$8&lt;&gt;"",N('Your debts'!$C$8)&gt;0))),"",IF('Your debts'!$D$20="Avalanche",'Avalanche workings'!$N$503,'Snowball workings'!$N$503)+IF('Your debts'!$D$20="Avalanche",'Avalanche workings'!$AH$503,'Snowball workings'!$AH$503))</f>
      </c>
      <c r="K501" s="30">
        <f>IF(OR(496&gt;$Z$1,NOT(OR('Your debts'!$B$8&lt;&gt;"",N('Your debts'!$C$8)&gt;0))),"",IF('Your debts'!$D$20="Avalanche",'Avalanche workings'!$AR$503,'Snowball workings'!$AR$503))</f>
      </c>
      <c r="L501" s="29">
        <f>IF(OR(496&gt;$Z$1,NOT(OR('Your debts'!$B$9&lt;&gt;"",N('Your debts'!$C$9)&gt;0))),"",IF('Your debts'!$D$20="Avalanche",'Avalanche workings'!$O$503,'Snowball workings'!$O$503)+IF('Your debts'!$D$20="Avalanche",'Avalanche workings'!$AI$503,'Snowball workings'!$AI$503))</f>
      </c>
      <c r="M501" s="30">
        <f>IF(OR(496&gt;$Z$1,NOT(OR('Your debts'!$B$9&lt;&gt;"",N('Your debts'!$C$9)&gt;0))),"",IF('Your debts'!$D$20="Avalanche",'Avalanche workings'!$AS$503,'Snowball workings'!$AS$503))</f>
      </c>
      <c r="N501" s="29">
        <f>IF(OR(496&gt;$Z$1,NOT(OR('Your debts'!$B$10&lt;&gt;"",N('Your debts'!$C$10)&gt;0))),"",IF('Your debts'!$D$20="Avalanche",'Avalanche workings'!$P$503,'Snowball workings'!$P$503)+IF('Your debts'!$D$20="Avalanche",'Avalanche workings'!$AJ$503,'Snowball workings'!$AJ$503))</f>
      </c>
      <c r="O501" s="30">
        <f>IF(OR(496&gt;$Z$1,NOT(OR('Your debts'!$B$10&lt;&gt;"",N('Your debts'!$C$10)&gt;0))),"",IF('Your debts'!$D$20="Avalanche",'Avalanche workings'!$AT$503,'Snowball workings'!$AT$503))</f>
      </c>
      <c r="P501" s="29">
        <f>IF(OR(496&gt;$Z$1,NOT(OR('Your debts'!$B$11&lt;&gt;"",N('Your debts'!$C$11)&gt;0))),"",IF('Your debts'!$D$20="Avalanche",'Avalanche workings'!$Q$503,'Snowball workings'!$Q$503)+IF('Your debts'!$D$20="Avalanche",'Avalanche workings'!$AK$503,'Snowball workings'!$AK$503))</f>
      </c>
      <c r="Q501" s="30">
        <f>IF(OR(496&gt;$Z$1,NOT(OR('Your debts'!$B$11&lt;&gt;"",N('Your debts'!$C$11)&gt;0))),"",IF('Your debts'!$D$20="Avalanche",'Avalanche workings'!$AU$503,'Snowball workings'!$AU$503))</f>
      </c>
      <c r="R501" s="29">
        <f>IF(OR(496&gt;$Z$1,NOT(OR('Your debts'!$B$12&lt;&gt;"",N('Your debts'!$C$12)&gt;0))),"",IF('Your debts'!$D$20="Avalanche",'Avalanche workings'!$R$503,'Snowball workings'!$R$503)+IF('Your debts'!$D$20="Avalanche",'Avalanche workings'!$AL$503,'Snowball workings'!$AL$503))</f>
      </c>
      <c r="S501" s="30">
        <f>IF(OR(496&gt;$Z$1,NOT(OR('Your debts'!$B$12&lt;&gt;"",N('Your debts'!$C$12)&gt;0))),"",IF('Your debts'!$D$20="Avalanche",'Avalanche workings'!$AV$503,'Snowball workings'!$AV$503))</f>
      </c>
      <c r="T501" s="29">
        <f>IF(OR(496&gt;$Z$1,NOT(OR('Your debts'!$B$13&lt;&gt;"",N('Your debts'!$C$13)&gt;0))),"",IF('Your debts'!$D$20="Avalanche",'Avalanche workings'!$S$503,'Snowball workings'!$S$503)+IF('Your debts'!$D$20="Avalanche",'Avalanche workings'!$AM$503,'Snowball workings'!$AM$503))</f>
      </c>
      <c r="U501" s="30">
        <f>IF(OR(496&gt;$Z$1,NOT(OR('Your debts'!$B$13&lt;&gt;"",N('Your debts'!$C$13)&gt;0))),"",IF('Your debts'!$D$20="Avalanche",'Avalanche workings'!$AW$503,'Snowball workings'!$AW$503))</f>
      </c>
      <c r="V501" s="29">
        <f>IF(OR(496&gt;$Z$1,NOT(OR('Your debts'!$B$14&lt;&gt;"",N('Your debts'!$C$14)&gt;0))),"",IF('Your debts'!$D$20="Avalanche",'Avalanche workings'!$T$503,'Snowball workings'!$T$503)+IF('Your debts'!$D$20="Avalanche",'Avalanche workings'!$AN$503,'Snowball workings'!$AN$503))</f>
      </c>
      <c r="W501" s="30">
        <f>IF(OR(496&gt;$Z$1,NOT(OR('Your debts'!$B$14&lt;&gt;"",N('Your debts'!$C$14)&gt;0))),"",IF('Your debts'!$D$20="Avalanche",'Avalanche workings'!$AX$503,'Snowball workings'!$AX$503))</f>
      </c>
      <c r="X501" s="29">
        <f>IF(OR(496&gt;$Z$1,NOT(OR('Your debts'!$B$15&lt;&gt;"",N('Your debts'!$C$15)&gt;0))),"",IF('Your debts'!$D$20="Avalanche",'Avalanche workings'!$U$503,'Snowball workings'!$U$503)+IF('Your debts'!$D$20="Avalanche",'Avalanche workings'!$AO$503,'Snowball workings'!$AO$503))</f>
      </c>
      <c r="Y501" s="30">
        <f>IF(OR(496&gt;$Z$1,NOT(OR('Your debts'!$B$15&lt;&gt;"",N('Your debts'!$C$15)&gt;0))),"",IF('Your debts'!$D$20="Avalanche",'Avalanche workings'!$AY$503,'Snowball workings'!$AY$503))</f>
      </c>
    </row>
    <row r="502" spans="1:25" x14ac:dyDescent="0.25">
      <c r="A502" s="2">
        <f>IF(497&gt;$Z$1,"",497)</f>
      </c>
      <c r="B502" s="28">
        <f>IF(497&gt;$Z$1,"",EDATE('Your debts'!$D$21,496))</f>
      </c>
      <c r="C502" s="29">
        <f>IF(497&gt;$Z$1,"",IF('Your debts'!$D$20="Avalanche",'Avalanche workings'!$BC$504,'Snowball workings'!$BC$504))</f>
      </c>
      <c r="D502" s="29">
        <f>IF(497&gt;$Z$1,"",IF('Your debts'!$D$20="Avalanche",'Avalanche workings'!$BA$504,'Snowball workings'!$BA$504))</f>
      </c>
      <c r="E502" s="29">
        <f>IF(497&gt;$Z$1,"",IF('Your debts'!$D$20="Avalanche",'Avalanche workings'!$BB$504,'Snowball workings'!$BB$504))</f>
      </c>
      <c r="F502" s="29">
        <f>IF(OR(497&gt;$Z$1,NOT(OR('Your debts'!$B$6&lt;&gt;"",N('Your debts'!$C$6)&gt;0))),"",IF('Your debts'!$D$20="Avalanche",'Avalanche workings'!$L$504,'Snowball workings'!$L$504)+IF('Your debts'!$D$20="Avalanche",'Avalanche workings'!$AF$504,'Snowball workings'!$AF$504))</f>
      </c>
      <c r="G502" s="30">
        <f>IF(OR(497&gt;$Z$1,NOT(OR('Your debts'!$B$6&lt;&gt;"",N('Your debts'!$C$6)&gt;0))),"",IF('Your debts'!$D$20="Avalanche",'Avalanche workings'!$AP$504,'Snowball workings'!$AP$504))</f>
      </c>
      <c r="H502" s="29">
        <f>IF(OR(497&gt;$Z$1,NOT(OR('Your debts'!$B$7&lt;&gt;"",N('Your debts'!$C$7)&gt;0))),"",IF('Your debts'!$D$20="Avalanche",'Avalanche workings'!$M$504,'Snowball workings'!$M$504)+IF('Your debts'!$D$20="Avalanche",'Avalanche workings'!$AG$504,'Snowball workings'!$AG$504))</f>
      </c>
      <c r="I502" s="30">
        <f>IF(OR(497&gt;$Z$1,NOT(OR('Your debts'!$B$7&lt;&gt;"",N('Your debts'!$C$7)&gt;0))),"",IF('Your debts'!$D$20="Avalanche",'Avalanche workings'!$AQ$504,'Snowball workings'!$AQ$504))</f>
      </c>
      <c r="J502" s="29">
        <f>IF(OR(497&gt;$Z$1,NOT(OR('Your debts'!$B$8&lt;&gt;"",N('Your debts'!$C$8)&gt;0))),"",IF('Your debts'!$D$20="Avalanche",'Avalanche workings'!$N$504,'Snowball workings'!$N$504)+IF('Your debts'!$D$20="Avalanche",'Avalanche workings'!$AH$504,'Snowball workings'!$AH$504))</f>
      </c>
      <c r="K502" s="30">
        <f>IF(OR(497&gt;$Z$1,NOT(OR('Your debts'!$B$8&lt;&gt;"",N('Your debts'!$C$8)&gt;0))),"",IF('Your debts'!$D$20="Avalanche",'Avalanche workings'!$AR$504,'Snowball workings'!$AR$504))</f>
      </c>
      <c r="L502" s="29">
        <f>IF(OR(497&gt;$Z$1,NOT(OR('Your debts'!$B$9&lt;&gt;"",N('Your debts'!$C$9)&gt;0))),"",IF('Your debts'!$D$20="Avalanche",'Avalanche workings'!$O$504,'Snowball workings'!$O$504)+IF('Your debts'!$D$20="Avalanche",'Avalanche workings'!$AI$504,'Snowball workings'!$AI$504))</f>
      </c>
      <c r="M502" s="30">
        <f>IF(OR(497&gt;$Z$1,NOT(OR('Your debts'!$B$9&lt;&gt;"",N('Your debts'!$C$9)&gt;0))),"",IF('Your debts'!$D$20="Avalanche",'Avalanche workings'!$AS$504,'Snowball workings'!$AS$504))</f>
      </c>
      <c r="N502" s="29">
        <f>IF(OR(497&gt;$Z$1,NOT(OR('Your debts'!$B$10&lt;&gt;"",N('Your debts'!$C$10)&gt;0))),"",IF('Your debts'!$D$20="Avalanche",'Avalanche workings'!$P$504,'Snowball workings'!$P$504)+IF('Your debts'!$D$20="Avalanche",'Avalanche workings'!$AJ$504,'Snowball workings'!$AJ$504))</f>
      </c>
      <c r="O502" s="30">
        <f>IF(OR(497&gt;$Z$1,NOT(OR('Your debts'!$B$10&lt;&gt;"",N('Your debts'!$C$10)&gt;0))),"",IF('Your debts'!$D$20="Avalanche",'Avalanche workings'!$AT$504,'Snowball workings'!$AT$504))</f>
      </c>
      <c r="P502" s="29">
        <f>IF(OR(497&gt;$Z$1,NOT(OR('Your debts'!$B$11&lt;&gt;"",N('Your debts'!$C$11)&gt;0))),"",IF('Your debts'!$D$20="Avalanche",'Avalanche workings'!$Q$504,'Snowball workings'!$Q$504)+IF('Your debts'!$D$20="Avalanche",'Avalanche workings'!$AK$504,'Snowball workings'!$AK$504))</f>
      </c>
      <c r="Q502" s="30">
        <f>IF(OR(497&gt;$Z$1,NOT(OR('Your debts'!$B$11&lt;&gt;"",N('Your debts'!$C$11)&gt;0))),"",IF('Your debts'!$D$20="Avalanche",'Avalanche workings'!$AU$504,'Snowball workings'!$AU$504))</f>
      </c>
      <c r="R502" s="29">
        <f>IF(OR(497&gt;$Z$1,NOT(OR('Your debts'!$B$12&lt;&gt;"",N('Your debts'!$C$12)&gt;0))),"",IF('Your debts'!$D$20="Avalanche",'Avalanche workings'!$R$504,'Snowball workings'!$R$504)+IF('Your debts'!$D$20="Avalanche",'Avalanche workings'!$AL$504,'Snowball workings'!$AL$504))</f>
      </c>
      <c r="S502" s="30">
        <f>IF(OR(497&gt;$Z$1,NOT(OR('Your debts'!$B$12&lt;&gt;"",N('Your debts'!$C$12)&gt;0))),"",IF('Your debts'!$D$20="Avalanche",'Avalanche workings'!$AV$504,'Snowball workings'!$AV$504))</f>
      </c>
      <c r="T502" s="29">
        <f>IF(OR(497&gt;$Z$1,NOT(OR('Your debts'!$B$13&lt;&gt;"",N('Your debts'!$C$13)&gt;0))),"",IF('Your debts'!$D$20="Avalanche",'Avalanche workings'!$S$504,'Snowball workings'!$S$504)+IF('Your debts'!$D$20="Avalanche",'Avalanche workings'!$AM$504,'Snowball workings'!$AM$504))</f>
      </c>
      <c r="U502" s="30">
        <f>IF(OR(497&gt;$Z$1,NOT(OR('Your debts'!$B$13&lt;&gt;"",N('Your debts'!$C$13)&gt;0))),"",IF('Your debts'!$D$20="Avalanche",'Avalanche workings'!$AW$504,'Snowball workings'!$AW$504))</f>
      </c>
      <c r="V502" s="29">
        <f>IF(OR(497&gt;$Z$1,NOT(OR('Your debts'!$B$14&lt;&gt;"",N('Your debts'!$C$14)&gt;0))),"",IF('Your debts'!$D$20="Avalanche",'Avalanche workings'!$T$504,'Snowball workings'!$T$504)+IF('Your debts'!$D$20="Avalanche",'Avalanche workings'!$AN$504,'Snowball workings'!$AN$504))</f>
      </c>
      <c r="W502" s="30">
        <f>IF(OR(497&gt;$Z$1,NOT(OR('Your debts'!$B$14&lt;&gt;"",N('Your debts'!$C$14)&gt;0))),"",IF('Your debts'!$D$20="Avalanche",'Avalanche workings'!$AX$504,'Snowball workings'!$AX$504))</f>
      </c>
      <c r="X502" s="29">
        <f>IF(OR(497&gt;$Z$1,NOT(OR('Your debts'!$B$15&lt;&gt;"",N('Your debts'!$C$15)&gt;0))),"",IF('Your debts'!$D$20="Avalanche",'Avalanche workings'!$U$504,'Snowball workings'!$U$504)+IF('Your debts'!$D$20="Avalanche",'Avalanche workings'!$AO$504,'Snowball workings'!$AO$504))</f>
      </c>
      <c r="Y502" s="30">
        <f>IF(OR(497&gt;$Z$1,NOT(OR('Your debts'!$B$15&lt;&gt;"",N('Your debts'!$C$15)&gt;0))),"",IF('Your debts'!$D$20="Avalanche",'Avalanche workings'!$AY$504,'Snowball workings'!$AY$504))</f>
      </c>
    </row>
    <row r="503" spans="1:25" x14ac:dyDescent="0.25">
      <c r="A503" s="2">
        <f>IF(498&gt;$Z$1,"",498)</f>
      </c>
      <c r="B503" s="28">
        <f>IF(498&gt;$Z$1,"",EDATE('Your debts'!$D$21,497))</f>
      </c>
      <c r="C503" s="29">
        <f>IF(498&gt;$Z$1,"",IF('Your debts'!$D$20="Avalanche",'Avalanche workings'!$BC$505,'Snowball workings'!$BC$505))</f>
      </c>
      <c r="D503" s="29">
        <f>IF(498&gt;$Z$1,"",IF('Your debts'!$D$20="Avalanche",'Avalanche workings'!$BA$505,'Snowball workings'!$BA$505))</f>
      </c>
      <c r="E503" s="29">
        <f>IF(498&gt;$Z$1,"",IF('Your debts'!$D$20="Avalanche",'Avalanche workings'!$BB$505,'Snowball workings'!$BB$505))</f>
      </c>
      <c r="F503" s="29">
        <f>IF(OR(498&gt;$Z$1,NOT(OR('Your debts'!$B$6&lt;&gt;"",N('Your debts'!$C$6)&gt;0))),"",IF('Your debts'!$D$20="Avalanche",'Avalanche workings'!$L$505,'Snowball workings'!$L$505)+IF('Your debts'!$D$20="Avalanche",'Avalanche workings'!$AF$505,'Snowball workings'!$AF$505))</f>
      </c>
      <c r="G503" s="30">
        <f>IF(OR(498&gt;$Z$1,NOT(OR('Your debts'!$B$6&lt;&gt;"",N('Your debts'!$C$6)&gt;0))),"",IF('Your debts'!$D$20="Avalanche",'Avalanche workings'!$AP$505,'Snowball workings'!$AP$505))</f>
      </c>
      <c r="H503" s="29">
        <f>IF(OR(498&gt;$Z$1,NOT(OR('Your debts'!$B$7&lt;&gt;"",N('Your debts'!$C$7)&gt;0))),"",IF('Your debts'!$D$20="Avalanche",'Avalanche workings'!$M$505,'Snowball workings'!$M$505)+IF('Your debts'!$D$20="Avalanche",'Avalanche workings'!$AG$505,'Snowball workings'!$AG$505))</f>
      </c>
      <c r="I503" s="30">
        <f>IF(OR(498&gt;$Z$1,NOT(OR('Your debts'!$B$7&lt;&gt;"",N('Your debts'!$C$7)&gt;0))),"",IF('Your debts'!$D$20="Avalanche",'Avalanche workings'!$AQ$505,'Snowball workings'!$AQ$505))</f>
      </c>
      <c r="J503" s="29">
        <f>IF(OR(498&gt;$Z$1,NOT(OR('Your debts'!$B$8&lt;&gt;"",N('Your debts'!$C$8)&gt;0))),"",IF('Your debts'!$D$20="Avalanche",'Avalanche workings'!$N$505,'Snowball workings'!$N$505)+IF('Your debts'!$D$20="Avalanche",'Avalanche workings'!$AH$505,'Snowball workings'!$AH$505))</f>
      </c>
      <c r="K503" s="30">
        <f>IF(OR(498&gt;$Z$1,NOT(OR('Your debts'!$B$8&lt;&gt;"",N('Your debts'!$C$8)&gt;0))),"",IF('Your debts'!$D$20="Avalanche",'Avalanche workings'!$AR$505,'Snowball workings'!$AR$505))</f>
      </c>
      <c r="L503" s="29">
        <f>IF(OR(498&gt;$Z$1,NOT(OR('Your debts'!$B$9&lt;&gt;"",N('Your debts'!$C$9)&gt;0))),"",IF('Your debts'!$D$20="Avalanche",'Avalanche workings'!$O$505,'Snowball workings'!$O$505)+IF('Your debts'!$D$20="Avalanche",'Avalanche workings'!$AI$505,'Snowball workings'!$AI$505))</f>
      </c>
      <c r="M503" s="30">
        <f>IF(OR(498&gt;$Z$1,NOT(OR('Your debts'!$B$9&lt;&gt;"",N('Your debts'!$C$9)&gt;0))),"",IF('Your debts'!$D$20="Avalanche",'Avalanche workings'!$AS$505,'Snowball workings'!$AS$505))</f>
      </c>
      <c r="N503" s="29">
        <f>IF(OR(498&gt;$Z$1,NOT(OR('Your debts'!$B$10&lt;&gt;"",N('Your debts'!$C$10)&gt;0))),"",IF('Your debts'!$D$20="Avalanche",'Avalanche workings'!$P$505,'Snowball workings'!$P$505)+IF('Your debts'!$D$20="Avalanche",'Avalanche workings'!$AJ$505,'Snowball workings'!$AJ$505))</f>
      </c>
      <c r="O503" s="30">
        <f>IF(OR(498&gt;$Z$1,NOT(OR('Your debts'!$B$10&lt;&gt;"",N('Your debts'!$C$10)&gt;0))),"",IF('Your debts'!$D$20="Avalanche",'Avalanche workings'!$AT$505,'Snowball workings'!$AT$505))</f>
      </c>
      <c r="P503" s="29">
        <f>IF(OR(498&gt;$Z$1,NOT(OR('Your debts'!$B$11&lt;&gt;"",N('Your debts'!$C$11)&gt;0))),"",IF('Your debts'!$D$20="Avalanche",'Avalanche workings'!$Q$505,'Snowball workings'!$Q$505)+IF('Your debts'!$D$20="Avalanche",'Avalanche workings'!$AK$505,'Snowball workings'!$AK$505))</f>
      </c>
      <c r="Q503" s="30">
        <f>IF(OR(498&gt;$Z$1,NOT(OR('Your debts'!$B$11&lt;&gt;"",N('Your debts'!$C$11)&gt;0))),"",IF('Your debts'!$D$20="Avalanche",'Avalanche workings'!$AU$505,'Snowball workings'!$AU$505))</f>
      </c>
      <c r="R503" s="29">
        <f>IF(OR(498&gt;$Z$1,NOT(OR('Your debts'!$B$12&lt;&gt;"",N('Your debts'!$C$12)&gt;0))),"",IF('Your debts'!$D$20="Avalanche",'Avalanche workings'!$R$505,'Snowball workings'!$R$505)+IF('Your debts'!$D$20="Avalanche",'Avalanche workings'!$AL$505,'Snowball workings'!$AL$505))</f>
      </c>
      <c r="S503" s="30">
        <f>IF(OR(498&gt;$Z$1,NOT(OR('Your debts'!$B$12&lt;&gt;"",N('Your debts'!$C$12)&gt;0))),"",IF('Your debts'!$D$20="Avalanche",'Avalanche workings'!$AV$505,'Snowball workings'!$AV$505))</f>
      </c>
      <c r="T503" s="29">
        <f>IF(OR(498&gt;$Z$1,NOT(OR('Your debts'!$B$13&lt;&gt;"",N('Your debts'!$C$13)&gt;0))),"",IF('Your debts'!$D$20="Avalanche",'Avalanche workings'!$S$505,'Snowball workings'!$S$505)+IF('Your debts'!$D$20="Avalanche",'Avalanche workings'!$AM$505,'Snowball workings'!$AM$505))</f>
      </c>
      <c r="U503" s="30">
        <f>IF(OR(498&gt;$Z$1,NOT(OR('Your debts'!$B$13&lt;&gt;"",N('Your debts'!$C$13)&gt;0))),"",IF('Your debts'!$D$20="Avalanche",'Avalanche workings'!$AW$505,'Snowball workings'!$AW$505))</f>
      </c>
      <c r="V503" s="29">
        <f>IF(OR(498&gt;$Z$1,NOT(OR('Your debts'!$B$14&lt;&gt;"",N('Your debts'!$C$14)&gt;0))),"",IF('Your debts'!$D$20="Avalanche",'Avalanche workings'!$T$505,'Snowball workings'!$T$505)+IF('Your debts'!$D$20="Avalanche",'Avalanche workings'!$AN$505,'Snowball workings'!$AN$505))</f>
      </c>
      <c r="W503" s="30">
        <f>IF(OR(498&gt;$Z$1,NOT(OR('Your debts'!$B$14&lt;&gt;"",N('Your debts'!$C$14)&gt;0))),"",IF('Your debts'!$D$20="Avalanche",'Avalanche workings'!$AX$505,'Snowball workings'!$AX$505))</f>
      </c>
      <c r="X503" s="29">
        <f>IF(OR(498&gt;$Z$1,NOT(OR('Your debts'!$B$15&lt;&gt;"",N('Your debts'!$C$15)&gt;0))),"",IF('Your debts'!$D$20="Avalanche",'Avalanche workings'!$U$505,'Snowball workings'!$U$505)+IF('Your debts'!$D$20="Avalanche",'Avalanche workings'!$AO$505,'Snowball workings'!$AO$505))</f>
      </c>
      <c r="Y503" s="30">
        <f>IF(OR(498&gt;$Z$1,NOT(OR('Your debts'!$B$15&lt;&gt;"",N('Your debts'!$C$15)&gt;0))),"",IF('Your debts'!$D$20="Avalanche",'Avalanche workings'!$AY$505,'Snowball workings'!$AY$505))</f>
      </c>
    </row>
    <row r="504" spans="1:25" x14ac:dyDescent="0.25">
      <c r="A504" s="2">
        <f>IF(499&gt;$Z$1,"",499)</f>
      </c>
      <c r="B504" s="28">
        <f>IF(499&gt;$Z$1,"",EDATE('Your debts'!$D$21,498))</f>
      </c>
      <c r="C504" s="29">
        <f>IF(499&gt;$Z$1,"",IF('Your debts'!$D$20="Avalanche",'Avalanche workings'!$BC$506,'Snowball workings'!$BC$506))</f>
      </c>
      <c r="D504" s="29">
        <f>IF(499&gt;$Z$1,"",IF('Your debts'!$D$20="Avalanche",'Avalanche workings'!$BA$506,'Snowball workings'!$BA$506))</f>
      </c>
      <c r="E504" s="29">
        <f>IF(499&gt;$Z$1,"",IF('Your debts'!$D$20="Avalanche",'Avalanche workings'!$BB$506,'Snowball workings'!$BB$506))</f>
      </c>
      <c r="F504" s="29">
        <f>IF(OR(499&gt;$Z$1,NOT(OR('Your debts'!$B$6&lt;&gt;"",N('Your debts'!$C$6)&gt;0))),"",IF('Your debts'!$D$20="Avalanche",'Avalanche workings'!$L$506,'Snowball workings'!$L$506)+IF('Your debts'!$D$20="Avalanche",'Avalanche workings'!$AF$506,'Snowball workings'!$AF$506))</f>
      </c>
      <c r="G504" s="30">
        <f>IF(OR(499&gt;$Z$1,NOT(OR('Your debts'!$B$6&lt;&gt;"",N('Your debts'!$C$6)&gt;0))),"",IF('Your debts'!$D$20="Avalanche",'Avalanche workings'!$AP$506,'Snowball workings'!$AP$506))</f>
      </c>
      <c r="H504" s="29">
        <f>IF(OR(499&gt;$Z$1,NOT(OR('Your debts'!$B$7&lt;&gt;"",N('Your debts'!$C$7)&gt;0))),"",IF('Your debts'!$D$20="Avalanche",'Avalanche workings'!$M$506,'Snowball workings'!$M$506)+IF('Your debts'!$D$20="Avalanche",'Avalanche workings'!$AG$506,'Snowball workings'!$AG$506))</f>
      </c>
      <c r="I504" s="30">
        <f>IF(OR(499&gt;$Z$1,NOT(OR('Your debts'!$B$7&lt;&gt;"",N('Your debts'!$C$7)&gt;0))),"",IF('Your debts'!$D$20="Avalanche",'Avalanche workings'!$AQ$506,'Snowball workings'!$AQ$506))</f>
      </c>
      <c r="J504" s="29">
        <f>IF(OR(499&gt;$Z$1,NOT(OR('Your debts'!$B$8&lt;&gt;"",N('Your debts'!$C$8)&gt;0))),"",IF('Your debts'!$D$20="Avalanche",'Avalanche workings'!$N$506,'Snowball workings'!$N$506)+IF('Your debts'!$D$20="Avalanche",'Avalanche workings'!$AH$506,'Snowball workings'!$AH$506))</f>
      </c>
      <c r="K504" s="30">
        <f>IF(OR(499&gt;$Z$1,NOT(OR('Your debts'!$B$8&lt;&gt;"",N('Your debts'!$C$8)&gt;0))),"",IF('Your debts'!$D$20="Avalanche",'Avalanche workings'!$AR$506,'Snowball workings'!$AR$506))</f>
      </c>
      <c r="L504" s="29">
        <f>IF(OR(499&gt;$Z$1,NOT(OR('Your debts'!$B$9&lt;&gt;"",N('Your debts'!$C$9)&gt;0))),"",IF('Your debts'!$D$20="Avalanche",'Avalanche workings'!$O$506,'Snowball workings'!$O$506)+IF('Your debts'!$D$20="Avalanche",'Avalanche workings'!$AI$506,'Snowball workings'!$AI$506))</f>
      </c>
      <c r="M504" s="30">
        <f>IF(OR(499&gt;$Z$1,NOT(OR('Your debts'!$B$9&lt;&gt;"",N('Your debts'!$C$9)&gt;0))),"",IF('Your debts'!$D$20="Avalanche",'Avalanche workings'!$AS$506,'Snowball workings'!$AS$506))</f>
      </c>
      <c r="N504" s="29">
        <f>IF(OR(499&gt;$Z$1,NOT(OR('Your debts'!$B$10&lt;&gt;"",N('Your debts'!$C$10)&gt;0))),"",IF('Your debts'!$D$20="Avalanche",'Avalanche workings'!$P$506,'Snowball workings'!$P$506)+IF('Your debts'!$D$20="Avalanche",'Avalanche workings'!$AJ$506,'Snowball workings'!$AJ$506))</f>
      </c>
      <c r="O504" s="30">
        <f>IF(OR(499&gt;$Z$1,NOT(OR('Your debts'!$B$10&lt;&gt;"",N('Your debts'!$C$10)&gt;0))),"",IF('Your debts'!$D$20="Avalanche",'Avalanche workings'!$AT$506,'Snowball workings'!$AT$506))</f>
      </c>
      <c r="P504" s="29">
        <f>IF(OR(499&gt;$Z$1,NOT(OR('Your debts'!$B$11&lt;&gt;"",N('Your debts'!$C$11)&gt;0))),"",IF('Your debts'!$D$20="Avalanche",'Avalanche workings'!$Q$506,'Snowball workings'!$Q$506)+IF('Your debts'!$D$20="Avalanche",'Avalanche workings'!$AK$506,'Snowball workings'!$AK$506))</f>
      </c>
      <c r="Q504" s="30">
        <f>IF(OR(499&gt;$Z$1,NOT(OR('Your debts'!$B$11&lt;&gt;"",N('Your debts'!$C$11)&gt;0))),"",IF('Your debts'!$D$20="Avalanche",'Avalanche workings'!$AU$506,'Snowball workings'!$AU$506))</f>
      </c>
      <c r="R504" s="29">
        <f>IF(OR(499&gt;$Z$1,NOT(OR('Your debts'!$B$12&lt;&gt;"",N('Your debts'!$C$12)&gt;0))),"",IF('Your debts'!$D$20="Avalanche",'Avalanche workings'!$R$506,'Snowball workings'!$R$506)+IF('Your debts'!$D$20="Avalanche",'Avalanche workings'!$AL$506,'Snowball workings'!$AL$506))</f>
      </c>
      <c r="S504" s="30">
        <f>IF(OR(499&gt;$Z$1,NOT(OR('Your debts'!$B$12&lt;&gt;"",N('Your debts'!$C$12)&gt;0))),"",IF('Your debts'!$D$20="Avalanche",'Avalanche workings'!$AV$506,'Snowball workings'!$AV$506))</f>
      </c>
      <c r="T504" s="29">
        <f>IF(OR(499&gt;$Z$1,NOT(OR('Your debts'!$B$13&lt;&gt;"",N('Your debts'!$C$13)&gt;0))),"",IF('Your debts'!$D$20="Avalanche",'Avalanche workings'!$S$506,'Snowball workings'!$S$506)+IF('Your debts'!$D$20="Avalanche",'Avalanche workings'!$AM$506,'Snowball workings'!$AM$506))</f>
      </c>
      <c r="U504" s="30">
        <f>IF(OR(499&gt;$Z$1,NOT(OR('Your debts'!$B$13&lt;&gt;"",N('Your debts'!$C$13)&gt;0))),"",IF('Your debts'!$D$20="Avalanche",'Avalanche workings'!$AW$506,'Snowball workings'!$AW$506))</f>
      </c>
      <c r="V504" s="29">
        <f>IF(OR(499&gt;$Z$1,NOT(OR('Your debts'!$B$14&lt;&gt;"",N('Your debts'!$C$14)&gt;0))),"",IF('Your debts'!$D$20="Avalanche",'Avalanche workings'!$T$506,'Snowball workings'!$T$506)+IF('Your debts'!$D$20="Avalanche",'Avalanche workings'!$AN$506,'Snowball workings'!$AN$506))</f>
      </c>
      <c r="W504" s="30">
        <f>IF(OR(499&gt;$Z$1,NOT(OR('Your debts'!$B$14&lt;&gt;"",N('Your debts'!$C$14)&gt;0))),"",IF('Your debts'!$D$20="Avalanche",'Avalanche workings'!$AX$506,'Snowball workings'!$AX$506))</f>
      </c>
      <c r="X504" s="29">
        <f>IF(OR(499&gt;$Z$1,NOT(OR('Your debts'!$B$15&lt;&gt;"",N('Your debts'!$C$15)&gt;0))),"",IF('Your debts'!$D$20="Avalanche",'Avalanche workings'!$U$506,'Snowball workings'!$U$506)+IF('Your debts'!$D$20="Avalanche",'Avalanche workings'!$AO$506,'Snowball workings'!$AO$506))</f>
      </c>
      <c r="Y504" s="30">
        <f>IF(OR(499&gt;$Z$1,NOT(OR('Your debts'!$B$15&lt;&gt;"",N('Your debts'!$C$15)&gt;0))),"",IF('Your debts'!$D$20="Avalanche",'Avalanche workings'!$AY$506,'Snowball workings'!$AY$506))</f>
      </c>
    </row>
    <row r="505" spans="1:25" x14ac:dyDescent="0.25">
      <c r="A505" s="2">
        <f>IF(500&gt;$Z$1,"",500)</f>
      </c>
      <c r="B505" s="28">
        <f>IF(500&gt;$Z$1,"",EDATE('Your debts'!$D$21,499))</f>
      </c>
      <c r="C505" s="29">
        <f>IF(500&gt;$Z$1,"",IF('Your debts'!$D$20="Avalanche",'Avalanche workings'!$BC$507,'Snowball workings'!$BC$507))</f>
      </c>
      <c r="D505" s="29">
        <f>IF(500&gt;$Z$1,"",IF('Your debts'!$D$20="Avalanche",'Avalanche workings'!$BA$507,'Snowball workings'!$BA$507))</f>
      </c>
      <c r="E505" s="29">
        <f>IF(500&gt;$Z$1,"",IF('Your debts'!$D$20="Avalanche",'Avalanche workings'!$BB$507,'Snowball workings'!$BB$507))</f>
      </c>
      <c r="F505" s="29">
        <f>IF(OR(500&gt;$Z$1,NOT(OR('Your debts'!$B$6&lt;&gt;"",N('Your debts'!$C$6)&gt;0))),"",IF('Your debts'!$D$20="Avalanche",'Avalanche workings'!$L$507,'Snowball workings'!$L$507)+IF('Your debts'!$D$20="Avalanche",'Avalanche workings'!$AF$507,'Snowball workings'!$AF$507))</f>
      </c>
      <c r="G505" s="30">
        <f>IF(OR(500&gt;$Z$1,NOT(OR('Your debts'!$B$6&lt;&gt;"",N('Your debts'!$C$6)&gt;0))),"",IF('Your debts'!$D$20="Avalanche",'Avalanche workings'!$AP$507,'Snowball workings'!$AP$507))</f>
      </c>
      <c r="H505" s="29">
        <f>IF(OR(500&gt;$Z$1,NOT(OR('Your debts'!$B$7&lt;&gt;"",N('Your debts'!$C$7)&gt;0))),"",IF('Your debts'!$D$20="Avalanche",'Avalanche workings'!$M$507,'Snowball workings'!$M$507)+IF('Your debts'!$D$20="Avalanche",'Avalanche workings'!$AG$507,'Snowball workings'!$AG$507))</f>
      </c>
      <c r="I505" s="30">
        <f>IF(OR(500&gt;$Z$1,NOT(OR('Your debts'!$B$7&lt;&gt;"",N('Your debts'!$C$7)&gt;0))),"",IF('Your debts'!$D$20="Avalanche",'Avalanche workings'!$AQ$507,'Snowball workings'!$AQ$507))</f>
      </c>
      <c r="J505" s="29">
        <f>IF(OR(500&gt;$Z$1,NOT(OR('Your debts'!$B$8&lt;&gt;"",N('Your debts'!$C$8)&gt;0))),"",IF('Your debts'!$D$20="Avalanche",'Avalanche workings'!$N$507,'Snowball workings'!$N$507)+IF('Your debts'!$D$20="Avalanche",'Avalanche workings'!$AH$507,'Snowball workings'!$AH$507))</f>
      </c>
      <c r="K505" s="30">
        <f>IF(OR(500&gt;$Z$1,NOT(OR('Your debts'!$B$8&lt;&gt;"",N('Your debts'!$C$8)&gt;0))),"",IF('Your debts'!$D$20="Avalanche",'Avalanche workings'!$AR$507,'Snowball workings'!$AR$507))</f>
      </c>
      <c r="L505" s="29">
        <f>IF(OR(500&gt;$Z$1,NOT(OR('Your debts'!$B$9&lt;&gt;"",N('Your debts'!$C$9)&gt;0))),"",IF('Your debts'!$D$20="Avalanche",'Avalanche workings'!$O$507,'Snowball workings'!$O$507)+IF('Your debts'!$D$20="Avalanche",'Avalanche workings'!$AI$507,'Snowball workings'!$AI$507))</f>
      </c>
      <c r="M505" s="30">
        <f>IF(OR(500&gt;$Z$1,NOT(OR('Your debts'!$B$9&lt;&gt;"",N('Your debts'!$C$9)&gt;0))),"",IF('Your debts'!$D$20="Avalanche",'Avalanche workings'!$AS$507,'Snowball workings'!$AS$507))</f>
      </c>
      <c r="N505" s="29">
        <f>IF(OR(500&gt;$Z$1,NOT(OR('Your debts'!$B$10&lt;&gt;"",N('Your debts'!$C$10)&gt;0))),"",IF('Your debts'!$D$20="Avalanche",'Avalanche workings'!$P$507,'Snowball workings'!$P$507)+IF('Your debts'!$D$20="Avalanche",'Avalanche workings'!$AJ$507,'Snowball workings'!$AJ$507))</f>
      </c>
      <c r="O505" s="30">
        <f>IF(OR(500&gt;$Z$1,NOT(OR('Your debts'!$B$10&lt;&gt;"",N('Your debts'!$C$10)&gt;0))),"",IF('Your debts'!$D$20="Avalanche",'Avalanche workings'!$AT$507,'Snowball workings'!$AT$507))</f>
      </c>
      <c r="P505" s="29">
        <f>IF(OR(500&gt;$Z$1,NOT(OR('Your debts'!$B$11&lt;&gt;"",N('Your debts'!$C$11)&gt;0))),"",IF('Your debts'!$D$20="Avalanche",'Avalanche workings'!$Q$507,'Snowball workings'!$Q$507)+IF('Your debts'!$D$20="Avalanche",'Avalanche workings'!$AK$507,'Snowball workings'!$AK$507))</f>
      </c>
      <c r="Q505" s="30">
        <f>IF(OR(500&gt;$Z$1,NOT(OR('Your debts'!$B$11&lt;&gt;"",N('Your debts'!$C$11)&gt;0))),"",IF('Your debts'!$D$20="Avalanche",'Avalanche workings'!$AU$507,'Snowball workings'!$AU$507))</f>
      </c>
      <c r="R505" s="29">
        <f>IF(OR(500&gt;$Z$1,NOT(OR('Your debts'!$B$12&lt;&gt;"",N('Your debts'!$C$12)&gt;0))),"",IF('Your debts'!$D$20="Avalanche",'Avalanche workings'!$R$507,'Snowball workings'!$R$507)+IF('Your debts'!$D$20="Avalanche",'Avalanche workings'!$AL$507,'Snowball workings'!$AL$507))</f>
      </c>
      <c r="S505" s="30">
        <f>IF(OR(500&gt;$Z$1,NOT(OR('Your debts'!$B$12&lt;&gt;"",N('Your debts'!$C$12)&gt;0))),"",IF('Your debts'!$D$20="Avalanche",'Avalanche workings'!$AV$507,'Snowball workings'!$AV$507))</f>
      </c>
      <c r="T505" s="29">
        <f>IF(OR(500&gt;$Z$1,NOT(OR('Your debts'!$B$13&lt;&gt;"",N('Your debts'!$C$13)&gt;0))),"",IF('Your debts'!$D$20="Avalanche",'Avalanche workings'!$S$507,'Snowball workings'!$S$507)+IF('Your debts'!$D$20="Avalanche",'Avalanche workings'!$AM$507,'Snowball workings'!$AM$507))</f>
      </c>
      <c r="U505" s="30">
        <f>IF(OR(500&gt;$Z$1,NOT(OR('Your debts'!$B$13&lt;&gt;"",N('Your debts'!$C$13)&gt;0))),"",IF('Your debts'!$D$20="Avalanche",'Avalanche workings'!$AW$507,'Snowball workings'!$AW$507))</f>
      </c>
      <c r="V505" s="29">
        <f>IF(OR(500&gt;$Z$1,NOT(OR('Your debts'!$B$14&lt;&gt;"",N('Your debts'!$C$14)&gt;0))),"",IF('Your debts'!$D$20="Avalanche",'Avalanche workings'!$T$507,'Snowball workings'!$T$507)+IF('Your debts'!$D$20="Avalanche",'Avalanche workings'!$AN$507,'Snowball workings'!$AN$507))</f>
      </c>
      <c r="W505" s="30">
        <f>IF(OR(500&gt;$Z$1,NOT(OR('Your debts'!$B$14&lt;&gt;"",N('Your debts'!$C$14)&gt;0))),"",IF('Your debts'!$D$20="Avalanche",'Avalanche workings'!$AX$507,'Snowball workings'!$AX$507))</f>
      </c>
      <c r="X505" s="29">
        <f>IF(OR(500&gt;$Z$1,NOT(OR('Your debts'!$B$15&lt;&gt;"",N('Your debts'!$C$15)&gt;0))),"",IF('Your debts'!$D$20="Avalanche",'Avalanche workings'!$U$507,'Snowball workings'!$U$507)+IF('Your debts'!$D$20="Avalanche",'Avalanche workings'!$AO$507,'Snowball workings'!$AO$507))</f>
      </c>
      <c r="Y505" s="30">
        <f>IF(OR(500&gt;$Z$1,NOT(OR('Your debts'!$B$15&lt;&gt;"",N('Your debts'!$C$15)&gt;0))),"",IF('Your debts'!$D$20="Avalanche",'Avalanche workings'!$AY$507,'Snowball workings'!$AY$507))</f>
      </c>
    </row>
    <row r="506" spans="1:25" x14ac:dyDescent="0.25">
      <c r="A506" s="2">
        <f>IF(501&gt;$Z$1,"",501)</f>
      </c>
      <c r="B506" s="28">
        <f>IF(501&gt;$Z$1,"",EDATE('Your debts'!$D$21,500))</f>
      </c>
      <c r="C506" s="29">
        <f>IF(501&gt;$Z$1,"",IF('Your debts'!$D$20="Avalanche",'Avalanche workings'!$BC$508,'Snowball workings'!$BC$508))</f>
      </c>
      <c r="D506" s="29">
        <f>IF(501&gt;$Z$1,"",IF('Your debts'!$D$20="Avalanche",'Avalanche workings'!$BA$508,'Snowball workings'!$BA$508))</f>
      </c>
      <c r="E506" s="29">
        <f>IF(501&gt;$Z$1,"",IF('Your debts'!$D$20="Avalanche",'Avalanche workings'!$BB$508,'Snowball workings'!$BB$508))</f>
      </c>
      <c r="F506" s="29">
        <f>IF(OR(501&gt;$Z$1,NOT(OR('Your debts'!$B$6&lt;&gt;"",N('Your debts'!$C$6)&gt;0))),"",IF('Your debts'!$D$20="Avalanche",'Avalanche workings'!$L$508,'Snowball workings'!$L$508)+IF('Your debts'!$D$20="Avalanche",'Avalanche workings'!$AF$508,'Snowball workings'!$AF$508))</f>
      </c>
      <c r="G506" s="30">
        <f>IF(OR(501&gt;$Z$1,NOT(OR('Your debts'!$B$6&lt;&gt;"",N('Your debts'!$C$6)&gt;0))),"",IF('Your debts'!$D$20="Avalanche",'Avalanche workings'!$AP$508,'Snowball workings'!$AP$508))</f>
      </c>
      <c r="H506" s="29">
        <f>IF(OR(501&gt;$Z$1,NOT(OR('Your debts'!$B$7&lt;&gt;"",N('Your debts'!$C$7)&gt;0))),"",IF('Your debts'!$D$20="Avalanche",'Avalanche workings'!$M$508,'Snowball workings'!$M$508)+IF('Your debts'!$D$20="Avalanche",'Avalanche workings'!$AG$508,'Snowball workings'!$AG$508))</f>
      </c>
      <c r="I506" s="30">
        <f>IF(OR(501&gt;$Z$1,NOT(OR('Your debts'!$B$7&lt;&gt;"",N('Your debts'!$C$7)&gt;0))),"",IF('Your debts'!$D$20="Avalanche",'Avalanche workings'!$AQ$508,'Snowball workings'!$AQ$508))</f>
      </c>
      <c r="J506" s="29">
        <f>IF(OR(501&gt;$Z$1,NOT(OR('Your debts'!$B$8&lt;&gt;"",N('Your debts'!$C$8)&gt;0))),"",IF('Your debts'!$D$20="Avalanche",'Avalanche workings'!$N$508,'Snowball workings'!$N$508)+IF('Your debts'!$D$20="Avalanche",'Avalanche workings'!$AH$508,'Snowball workings'!$AH$508))</f>
      </c>
      <c r="K506" s="30">
        <f>IF(OR(501&gt;$Z$1,NOT(OR('Your debts'!$B$8&lt;&gt;"",N('Your debts'!$C$8)&gt;0))),"",IF('Your debts'!$D$20="Avalanche",'Avalanche workings'!$AR$508,'Snowball workings'!$AR$508))</f>
      </c>
      <c r="L506" s="29">
        <f>IF(OR(501&gt;$Z$1,NOT(OR('Your debts'!$B$9&lt;&gt;"",N('Your debts'!$C$9)&gt;0))),"",IF('Your debts'!$D$20="Avalanche",'Avalanche workings'!$O$508,'Snowball workings'!$O$508)+IF('Your debts'!$D$20="Avalanche",'Avalanche workings'!$AI$508,'Snowball workings'!$AI$508))</f>
      </c>
      <c r="M506" s="30">
        <f>IF(OR(501&gt;$Z$1,NOT(OR('Your debts'!$B$9&lt;&gt;"",N('Your debts'!$C$9)&gt;0))),"",IF('Your debts'!$D$20="Avalanche",'Avalanche workings'!$AS$508,'Snowball workings'!$AS$508))</f>
      </c>
      <c r="N506" s="29">
        <f>IF(OR(501&gt;$Z$1,NOT(OR('Your debts'!$B$10&lt;&gt;"",N('Your debts'!$C$10)&gt;0))),"",IF('Your debts'!$D$20="Avalanche",'Avalanche workings'!$P$508,'Snowball workings'!$P$508)+IF('Your debts'!$D$20="Avalanche",'Avalanche workings'!$AJ$508,'Snowball workings'!$AJ$508))</f>
      </c>
      <c r="O506" s="30">
        <f>IF(OR(501&gt;$Z$1,NOT(OR('Your debts'!$B$10&lt;&gt;"",N('Your debts'!$C$10)&gt;0))),"",IF('Your debts'!$D$20="Avalanche",'Avalanche workings'!$AT$508,'Snowball workings'!$AT$508))</f>
      </c>
      <c r="P506" s="29">
        <f>IF(OR(501&gt;$Z$1,NOT(OR('Your debts'!$B$11&lt;&gt;"",N('Your debts'!$C$11)&gt;0))),"",IF('Your debts'!$D$20="Avalanche",'Avalanche workings'!$Q$508,'Snowball workings'!$Q$508)+IF('Your debts'!$D$20="Avalanche",'Avalanche workings'!$AK$508,'Snowball workings'!$AK$508))</f>
      </c>
      <c r="Q506" s="30">
        <f>IF(OR(501&gt;$Z$1,NOT(OR('Your debts'!$B$11&lt;&gt;"",N('Your debts'!$C$11)&gt;0))),"",IF('Your debts'!$D$20="Avalanche",'Avalanche workings'!$AU$508,'Snowball workings'!$AU$508))</f>
      </c>
      <c r="R506" s="29">
        <f>IF(OR(501&gt;$Z$1,NOT(OR('Your debts'!$B$12&lt;&gt;"",N('Your debts'!$C$12)&gt;0))),"",IF('Your debts'!$D$20="Avalanche",'Avalanche workings'!$R$508,'Snowball workings'!$R$508)+IF('Your debts'!$D$20="Avalanche",'Avalanche workings'!$AL$508,'Snowball workings'!$AL$508))</f>
      </c>
      <c r="S506" s="30">
        <f>IF(OR(501&gt;$Z$1,NOT(OR('Your debts'!$B$12&lt;&gt;"",N('Your debts'!$C$12)&gt;0))),"",IF('Your debts'!$D$20="Avalanche",'Avalanche workings'!$AV$508,'Snowball workings'!$AV$508))</f>
      </c>
      <c r="T506" s="29">
        <f>IF(OR(501&gt;$Z$1,NOT(OR('Your debts'!$B$13&lt;&gt;"",N('Your debts'!$C$13)&gt;0))),"",IF('Your debts'!$D$20="Avalanche",'Avalanche workings'!$S$508,'Snowball workings'!$S$508)+IF('Your debts'!$D$20="Avalanche",'Avalanche workings'!$AM$508,'Snowball workings'!$AM$508))</f>
      </c>
      <c r="U506" s="30">
        <f>IF(OR(501&gt;$Z$1,NOT(OR('Your debts'!$B$13&lt;&gt;"",N('Your debts'!$C$13)&gt;0))),"",IF('Your debts'!$D$20="Avalanche",'Avalanche workings'!$AW$508,'Snowball workings'!$AW$508))</f>
      </c>
      <c r="V506" s="29">
        <f>IF(OR(501&gt;$Z$1,NOT(OR('Your debts'!$B$14&lt;&gt;"",N('Your debts'!$C$14)&gt;0))),"",IF('Your debts'!$D$20="Avalanche",'Avalanche workings'!$T$508,'Snowball workings'!$T$508)+IF('Your debts'!$D$20="Avalanche",'Avalanche workings'!$AN$508,'Snowball workings'!$AN$508))</f>
      </c>
      <c r="W506" s="30">
        <f>IF(OR(501&gt;$Z$1,NOT(OR('Your debts'!$B$14&lt;&gt;"",N('Your debts'!$C$14)&gt;0))),"",IF('Your debts'!$D$20="Avalanche",'Avalanche workings'!$AX$508,'Snowball workings'!$AX$508))</f>
      </c>
      <c r="X506" s="29">
        <f>IF(OR(501&gt;$Z$1,NOT(OR('Your debts'!$B$15&lt;&gt;"",N('Your debts'!$C$15)&gt;0))),"",IF('Your debts'!$D$20="Avalanche",'Avalanche workings'!$U$508,'Snowball workings'!$U$508)+IF('Your debts'!$D$20="Avalanche",'Avalanche workings'!$AO$508,'Snowball workings'!$AO$508))</f>
      </c>
      <c r="Y506" s="30">
        <f>IF(OR(501&gt;$Z$1,NOT(OR('Your debts'!$B$15&lt;&gt;"",N('Your debts'!$C$15)&gt;0))),"",IF('Your debts'!$D$20="Avalanche",'Avalanche workings'!$AY$508,'Snowball workings'!$AY$508))</f>
      </c>
    </row>
    <row r="507" spans="1:25" x14ac:dyDescent="0.25">
      <c r="A507" s="2">
        <f>IF(502&gt;$Z$1,"",502)</f>
      </c>
      <c r="B507" s="28">
        <f>IF(502&gt;$Z$1,"",EDATE('Your debts'!$D$21,501))</f>
      </c>
      <c r="C507" s="29">
        <f>IF(502&gt;$Z$1,"",IF('Your debts'!$D$20="Avalanche",'Avalanche workings'!$BC$509,'Snowball workings'!$BC$509))</f>
      </c>
      <c r="D507" s="29">
        <f>IF(502&gt;$Z$1,"",IF('Your debts'!$D$20="Avalanche",'Avalanche workings'!$BA$509,'Snowball workings'!$BA$509))</f>
      </c>
      <c r="E507" s="29">
        <f>IF(502&gt;$Z$1,"",IF('Your debts'!$D$20="Avalanche",'Avalanche workings'!$BB$509,'Snowball workings'!$BB$509))</f>
      </c>
      <c r="F507" s="29">
        <f>IF(OR(502&gt;$Z$1,NOT(OR('Your debts'!$B$6&lt;&gt;"",N('Your debts'!$C$6)&gt;0))),"",IF('Your debts'!$D$20="Avalanche",'Avalanche workings'!$L$509,'Snowball workings'!$L$509)+IF('Your debts'!$D$20="Avalanche",'Avalanche workings'!$AF$509,'Snowball workings'!$AF$509))</f>
      </c>
      <c r="G507" s="30">
        <f>IF(OR(502&gt;$Z$1,NOT(OR('Your debts'!$B$6&lt;&gt;"",N('Your debts'!$C$6)&gt;0))),"",IF('Your debts'!$D$20="Avalanche",'Avalanche workings'!$AP$509,'Snowball workings'!$AP$509))</f>
      </c>
      <c r="H507" s="29">
        <f>IF(OR(502&gt;$Z$1,NOT(OR('Your debts'!$B$7&lt;&gt;"",N('Your debts'!$C$7)&gt;0))),"",IF('Your debts'!$D$20="Avalanche",'Avalanche workings'!$M$509,'Snowball workings'!$M$509)+IF('Your debts'!$D$20="Avalanche",'Avalanche workings'!$AG$509,'Snowball workings'!$AG$509))</f>
      </c>
      <c r="I507" s="30">
        <f>IF(OR(502&gt;$Z$1,NOT(OR('Your debts'!$B$7&lt;&gt;"",N('Your debts'!$C$7)&gt;0))),"",IF('Your debts'!$D$20="Avalanche",'Avalanche workings'!$AQ$509,'Snowball workings'!$AQ$509))</f>
      </c>
      <c r="J507" s="29">
        <f>IF(OR(502&gt;$Z$1,NOT(OR('Your debts'!$B$8&lt;&gt;"",N('Your debts'!$C$8)&gt;0))),"",IF('Your debts'!$D$20="Avalanche",'Avalanche workings'!$N$509,'Snowball workings'!$N$509)+IF('Your debts'!$D$20="Avalanche",'Avalanche workings'!$AH$509,'Snowball workings'!$AH$509))</f>
      </c>
      <c r="K507" s="30">
        <f>IF(OR(502&gt;$Z$1,NOT(OR('Your debts'!$B$8&lt;&gt;"",N('Your debts'!$C$8)&gt;0))),"",IF('Your debts'!$D$20="Avalanche",'Avalanche workings'!$AR$509,'Snowball workings'!$AR$509))</f>
      </c>
      <c r="L507" s="29">
        <f>IF(OR(502&gt;$Z$1,NOT(OR('Your debts'!$B$9&lt;&gt;"",N('Your debts'!$C$9)&gt;0))),"",IF('Your debts'!$D$20="Avalanche",'Avalanche workings'!$O$509,'Snowball workings'!$O$509)+IF('Your debts'!$D$20="Avalanche",'Avalanche workings'!$AI$509,'Snowball workings'!$AI$509))</f>
      </c>
      <c r="M507" s="30">
        <f>IF(OR(502&gt;$Z$1,NOT(OR('Your debts'!$B$9&lt;&gt;"",N('Your debts'!$C$9)&gt;0))),"",IF('Your debts'!$D$20="Avalanche",'Avalanche workings'!$AS$509,'Snowball workings'!$AS$509))</f>
      </c>
      <c r="N507" s="29">
        <f>IF(OR(502&gt;$Z$1,NOT(OR('Your debts'!$B$10&lt;&gt;"",N('Your debts'!$C$10)&gt;0))),"",IF('Your debts'!$D$20="Avalanche",'Avalanche workings'!$P$509,'Snowball workings'!$P$509)+IF('Your debts'!$D$20="Avalanche",'Avalanche workings'!$AJ$509,'Snowball workings'!$AJ$509))</f>
      </c>
      <c r="O507" s="30">
        <f>IF(OR(502&gt;$Z$1,NOT(OR('Your debts'!$B$10&lt;&gt;"",N('Your debts'!$C$10)&gt;0))),"",IF('Your debts'!$D$20="Avalanche",'Avalanche workings'!$AT$509,'Snowball workings'!$AT$509))</f>
      </c>
      <c r="P507" s="29">
        <f>IF(OR(502&gt;$Z$1,NOT(OR('Your debts'!$B$11&lt;&gt;"",N('Your debts'!$C$11)&gt;0))),"",IF('Your debts'!$D$20="Avalanche",'Avalanche workings'!$Q$509,'Snowball workings'!$Q$509)+IF('Your debts'!$D$20="Avalanche",'Avalanche workings'!$AK$509,'Snowball workings'!$AK$509))</f>
      </c>
      <c r="Q507" s="30">
        <f>IF(OR(502&gt;$Z$1,NOT(OR('Your debts'!$B$11&lt;&gt;"",N('Your debts'!$C$11)&gt;0))),"",IF('Your debts'!$D$20="Avalanche",'Avalanche workings'!$AU$509,'Snowball workings'!$AU$509))</f>
      </c>
      <c r="R507" s="29">
        <f>IF(OR(502&gt;$Z$1,NOT(OR('Your debts'!$B$12&lt;&gt;"",N('Your debts'!$C$12)&gt;0))),"",IF('Your debts'!$D$20="Avalanche",'Avalanche workings'!$R$509,'Snowball workings'!$R$509)+IF('Your debts'!$D$20="Avalanche",'Avalanche workings'!$AL$509,'Snowball workings'!$AL$509))</f>
      </c>
      <c r="S507" s="30">
        <f>IF(OR(502&gt;$Z$1,NOT(OR('Your debts'!$B$12&lt;&gt;"",N('Your debts'!$C$12)&gt;0))),"",IF('Your debts'!$D$20="Avalanche",'Avalanche workings'!$AV$509,'Snowball workings'!$AV$509))</f>
      </c>
      <c r="T507" s="29">
        <f>IF(OR(502&gt;$Z$1,NOT(OR('Your debts'!$B$13&lt;&gt;"",N('Your debts'!$C$13)&gt;0))),"",IF('Your debts'!$D$20="Avalanche",'Avalanche workings'!$S$509,'Snowball workings'!$S$509)+IF('Your debts'!$D$20="Avalanche",'Avalanche workings'!$AM$509,'Snowball workings'!$AM$509))</f>
      </c>
      <c r="U507" s="30">
        <f>IF(OR(502&gt;$Z$1,NOT(OR('Your debts'!$B$13&lt;&gt;"",N('Your debts'!$C$13)&gt;0))),"",IF('Your debts'!$D$20="Avalanche",'Avalanche workings'!$AW$509,'Snowball workings'!$AW$509))</f>
      </c>
      <c r="V507" s="29">
        <f>IF(OR(502&gt;$Z$1,NOT(OR('Your debts'!$B$14&lt;&gt;"",N('Your debts'!$C$14)&gt;0))),"",IF('Your debts'!$D$20="Avalanche",'Avalanche workings'!$T$509,'Snowball workings'!$T$509)+IF('Your debts'!$D$20="Avalanche",'Avalanche workings'!$AN$509,'Snowball workings'!$AN$509))</f>
      </c>
      <c r="W507" s="30">
        <f>IF(OR(502&gt;$Z$1,NOT(OR('Your debts'!$B$14&lt;&gt;"",N('Your debts'!$C$14)&gt;0))),"",IF('Your debts'!$D$20="Avalanche",'Avalanche workings'!$AX$509,'Snowball workings'!$AX$509))</f>
      </c>
      <c r="X507" s="29">
        <f>IF(OR(502&gt;$Z$1,NOT(OR('Your debts'!$B$15&lt;&gt;"",N('Your debts'!$C$15)&gt;0))),"",IF('Your debts'!$D$20="Avalanche",'Avalanche workings'!$U$509,'Snowball workings'!$U$509)+IF('Your debts'!$D$20="Avalanche",'Avalanche workings'!$AO$509,'Snowball workings'!$AO$509))</f>
      </c>
      <c r="Y507" s="30">
        <f>IF(OR(502&gt;$Z$1,NOT(OR('Your debts'!$B$15&lt;&gt;"",N('Your debts'!$C$15)&gt;0))),"",IF('Your debts'!$D$20="Avalanche",'Avalanche workings'!$AY$509,'Snowball workings'!$AY$509))</f>
      </c>
    </row>
    <row r="508" spans="1:25" x14ac:dyDescent="0.25">
      <c r="A508" s="2">
        <f>IF(503&gt;$Z$1,"",503)</f>
      </c>
      <c r="B508" s="28">
        <f>IF(503&gt;$Z$1,"",EDATE('Your debts'!$D$21,502))</f>
      </c>
      <c r="C508" s="29">
        <f>IF(503&gt;$Z$1,"",IF('Your debts'!$D$20="Avalanche",'Avalanche workings'!$BC$510,'Snowball workings'!$BC$510))</f>
      </c>
      <c r="D508" s="29">
        <f>IF(503&gt;$Z$1,"",IF('Your debts'!$D$20="Avalanche",'Avalanche workings'!$BA$510,'Snowball workings'!$BA$510))</f>
      </c>
      <c r="E508" s="29">
        <f>IF(503&gt;$Z$1,"",IF('Your debts'!$D$20="Avalanche",'Avalanche workings'!$BB$510,'Snowball workings'!$BB$510))</f>
      </c>
      <c r="F508" s="29">
        <f>IF(OR(503&gt;$Z$1,NOT(OR('Your debts'!$B$6&lt;&gt;"",N('Your debts'!$C$6)&gt;0))),"",IF('Your debts'!$D$20="Avalanche",'Avalanche workings'!$L$510,'Snowball workings'!$L$510)+IF('Your debts'!$D$20="Avalanche",'Avalanche workings'!$AF$510,'Snowball workings'!$AF$510))</f>
      </c>
      <c r="G508" s="30">
        <f>IF(OR(503&gt;$Z$1,NOT(OR('Your debts'!$B$6&lt;&gt;"",N('Your debts'!$C$6)&gt;0))),"",IF('Your debts'!$D$20="Avalanche",'Avalanche workings'!$AP$510,'Snowball workings'!$AP$510))</f>
      </c>
      <c r="H508" s="29">
        <f>IF(OR(503&gt;$Z$1,NOT(OR('Your debts'!$B$7&lt;&gt;"",N('Your debts'!$C$7)&gt;0))),"",IF('Your debts'!$D$20="Avalanche",'Avalanche workings'!$M$510,'Snowball workings'!$M$510)+IF('Your debts'!$D$20="Avalanche",'Avalanche workings'!$AG$510,'Snowball workings'!$AG$510))</f>
      </c>
      <c r="I508" s="30">
        <f>IF(OR(503&gt;$Z$1,NOT(OR('Your debts'!$B$7&lt;&gt;"",N('Your debts'!$C$7)&gt;0))),"",IF('Your debts'!$D$20="Avalanche",'Avalanche workings'!$AQ$510,'Snowball workings'!$AQ$510))</f>
      </c>
      <c r="J508" s="29">
        <f>IF(OR(503&gt;$Z$1,NOT(OR('Your debts'!$B$8&lt;&gt;"",N('Your debts'!$C$8)&gt;0))),"",IF('Your debts'!$D$20="Avalanche",'Avalanche workings'!$N$510,'Snowball workings'!$N$510)+IF('Your debts'!$D$20="Avalanche",'Avalanche workings'!$AH$510,'Snowball workings'!$AH$510))</f>
      </c>
      <c r="K508" s="30">
        <f>IF(OR(503&gt;$Z$1,NOT(OR('Your debts'!$B$8&lt;&gt;"",N('Your debts'!$C$8)&gt;0))),"",IF('Your debts'!$D$20="Avalanche",'Avalanche workings'!$AR$510,'Snowball workings'!$AR$510))</f>
      </c>
      <c r="L508" s="29">
        <f>IF(OR(503&gt;$Z$1,NOT(OR('Your debts'!$B$9&lt;&gt;"",N('Your debts'!$C$9)&gt;0))),"",IF('Your debts'!$D$20="Avalanche",'Avalanche workings'!$O$510,'Snowball workings'!$O$510)+IF('Your debts'!$D$20="Avalanche",'Avalanche workings'!$AI$510,'Snowball workings'!$AI$510))</f>
      </c>
      <c r="M508" s="30">
        <f>IF(OR(503&gt;$Z$1,NOT(OR('Your debts'!$B$9&lt;&gt;"",N('Your debts'!$C$9)&gt;0))),"",IF('Your debts'!$D$20="Avalanche",'Avalanche workings'!$AS$510,'Snowball workings'!$AS$510))</f>
      </c>
      <c r="N508" s="29">
        <f>IF(OR(503&gt;$Z$1,NOT(OR('Your debts'!$B$10&lt;&gt;"",N('Your debts'!$C$10)&gt;0))),"",IF('Your debts'!$D$20="Avalanche",'Avalanche workings'!$P$510,'Snowball workings'!$P$510)+IF('Your debts'!$D$20="Avalanche",'Avalanche workings'!$AJ$510,'Snowball workings'!$AJ$510))</f>
      </c>
      <c r="O508" s="30">
        <f>IF(OR(503&gt;$Z$1,NOT(OR('Your debts'!$B$10&lt;&gt;"",N('Your debts'!$C$10)&gt;0))),"",IF('Your debts'!$D$20="Avalanche",'Avalanche workings'!$AT$510,'Snowball workings'!$AT$510))</f>
      </c>
      <c r="P508" s="29">
        <f>IF(OR(503&gt;$Z$1,NOT(OR('Your debts'!$B$11&lt;&gt;"",N('Your debts'!$C$11)&gt;0))),"",IF('Your debts'!$D$20="Avalanche",'Avalanche workings'!$Q$510,'Snowball workings'!$Q$510)+IF('Your debts'!$D$20="Avalanche",'Avalanche workings'!$AK$510,'Snowball workings'!$AK$510))</f>
      </c>
      <c r="Q508" s="30">
        <f>IF(OR(503&gt;$Z$1,NOT(OR('Your debts'!$B$11&lt;&gt;"",N('Your debts'!$C$11)&gt;0))),"",IF('Your debts'!$D$20="Avalanche",'Avalanche workings'!$AU$510,'Snowball workings'!$AU$510))</f>
      </c>
      <c r="R508" s="29">
        <f>IF(OR(503&gt;$Z$1,NOT(OR('Your debts'!$B$12&lt;&gt;"",N('Your debts'!$C$12)&gt;0))),"",IF('Your debts'!$D$20="Avalanche",'Avalanche workings'!$R$510,'Snowball workings'!$R$510)+IF('Your debts'!$D$20="Avalanche",'Avalanche workings'!$AL$510,'Snowball workings'!$AL$510))</f>
      </c>
      <c r="S508" s="30">
        <f>IF(OR(503&gt;$Z$1,NOT(OR('Your debts'!$B$12&lt;&gt;"",N('Your debts'!$C$12)&gt;0))),"",IF('Your debts'!$D$20="Avalanche",'Avalanche workings'!$AV$510,'Snowball workings'!$AV$510))</f>
      </c>
      <c r="T508" s="29">
        <f>IF(OR(503&gt;$Z$1,NOT(OR('Your debts'!$B$13&lt;&gt;"",N('Your debts'!$C$13)&gt;0))),"",IF('Your debts'!$D$20="Avalanche",'Avalanche workings'!$S$510,'Snowball workings'!$S$510)+IF('Your debts'!$D$20="Avalanche",'Avalanche workings'!$AM$510,'Snowball workings'!$AM$510))</f>
      </c>
      <c r="U508" s="30">
        <f>IF(OR(503&gt;$Z$1,NOT(OR('Your debts'!$B$13&lt;&gt;"",N('Your debts'!$C$13)&gt;0))),"",IF('Your debts'!$D$20="Avalanche",'Avalanche workings'!$AW$510,'Snowball workings'!$AW$510))</f>
      </c>
      <c r="V508" s="29">
        <f>IF(OR(503&gt;$Z$1,NOT(OR('Your debts'!$B$14&lt;&gt;"",N('Your debts'!$C$14)&gt;0))),"",IF('Your debts'!$D$20="Avalanche",'Avalanche workings'!$T$510,'Snowball workings'!$T$510)+IF('Your debts'!$D$20="Avalanche",'Avalanche workings'!$AN$510,'Snowball workings'!$AN$510))</f>
      </c>
      <c r="W508" s="30">
        <f>IF(OR(503&gt;$Z$1,NOT(OR('Your debts'!$B$14&lt;&gt;"",N('Your debts'!$C$14)&gt;0))),"",IF('Your debts'!$D$20="Avalanche",'Avalanche workings'!$AX$510,'Snowball workings'!$AX$510))</f>
      </c>
      <c r="X508" s="29">
        <f>IF(OR(503&gt;$Z$1,NOT(OR('Your debts'!$B$15&lt;&gt;"",N('Your debts'!$C$15)&gt;0))),"",IF('Your debts'!$D$20="Avalanche",'Avalanche workings'!$U$510,'Snowball workings'!$U$510)+IF('Your debts'!$D$20="Avalanche",'Avalanche workings'!$AO$510,'Snowball workings'!$AO$510))</f>
      </c>
      <c r="Y508" s="30">
        <f>IF(OR(503&gt;$Z$1,NOT(OR('Your debts'!$B$15&lt;&gt;"",N('Your debts'!$C$15)&gt;0))),"",IF('Your debts'!$D$20="Avalanche",'Avalanche workings'!$AY$510,'Snowball workings'!$AY$510))</f>
      </c>
    </row>
    <row r="509" spans="1:25" x14ac:dyDescent="0.25">
      <c r="A509" s="2">
        <f>IF(504&gt;$Z$1,"",504)</f>
      </c>
      <c r="B509" s="28">
        <f>IF(504&gt;$Z$1,"",EDATE('Your debts'!$D$21,503))</f>
      </c>
      <c r="C509" s="29">
        <f>IF(504&gt;$Z$1,"",IF('Your debts'!$D$20="Avalanche",'Avalanche workings'!$BC$511,'Snowball workings'!$BC$511))</f>
      </c>
      <c r="D509" s="29">
        <f>IF(504&gt;$Z$1,"",IF('Your debts'!$D$20="Avalanche",'Avalanche workings'!$BA$511,'Snowball workings'!$BA$511))</f>
      </c>
      <c r="E509" s="29">
        <f>IF(504&gt;$Z$1,"",IF('Your debts'!$D$20="Avalanche",'Avalanche workings'!$BB$511,'Snowball workings'!$BB$511))</f>
      </c>
      <c r="F509" s="29">
        <f>IF(OR(504&gt;$Z$1,NOT(OR('Your debts'!$B$6&lt;&gt;"",N('Your debts'!$C$6)&gt;0))),"",IF('Your debts'!$D$20="Avalanche",'Avalanche workings'!$L$511,'Snowball workings'!$L$511)+IF('Your debts'!$D$20="Avalanche",'Avalanche workings'!$AF$511,'Snowball workings'!$AF$511))</f>
      </c>
      <c r="G509" s="30">
        <f>IF(OR(504&gt;$Z$1,NOT(OR('Your debts'!$B$6&lt;&gt;"",N('Your debts'!$C$6)&gt;0))),"",IF('Your debts'!$D$20="Avalanche",'Avalanche workings'!$AP$511,'Snowball workings'!$AP$511))</f>
      </c>
      <c r="H509" s="29">
        <f>IF(OR(504&gt;$Z$1,NOT(OR('Your debts'!$B$7&lt;&gt;"",N('Your debts'!$C$7)&gt;0))),"",IF('Your debts'!$D$20="Avalanche",'Avalanche workings'!$M$511,'Snowball workings'!$M$511)+IF('Your debts'!$D$20="Avalanche",'Avalanche workings'!$AG$511,'Snowball workings'!$AG$511))</f>
      </c>
      <c r="I509" s="30">
        <f>IF(OR(504&gt;$Z$1,NOT(OR('Your debts'!$B$7&lt;&gt;"",N('Your debts'!$C$7)&gt;0))),"",IF('Your debts'!$D$20="Avalanche",'Avalanche workings'!$AQ$511,'Snowball workings'!$AQ$511))</f>
      </c>
      <c r="J509" s="29">
        <f>IF(OR(504&gt;$Z$1,NOT(OR('Your debts'!$B$8&lt;&gt;"",N('Your debts'!$C$8)&gt;0))),"",IF('Your debts'!$D$20="Avalanche",'Avalanche workings'!$N$511,'Snowball workings'!$N$511)+IF('Your debts'!$D$20="Avalanche",'Avalanche workings'!$AH$511,'Snowball workings'!$AH$511))</f>
      </c>
      <c r="K509" s="30">
        <f>IF(OR(504&gt;$Z$1,NOT(OR('Your debts'!$B$8&lt;&gt;"",N('Your debts'!$C$8)&gt;0))),"",IF('Your debts'!$D$20="Avalanche",'Avalanche workings'!$AR$511,'Snowball workings'!$AR$511))</f>
      </c>
      <c r="L509" s="29">
        <f>IF(OR(504&gt;$Z$1,NOT(OR('Your debts'!$B$9&lt;&gt;"",N('Your debts'!$C$9)&gt;0))),"",IF('Your debts'!$D$20="Avalanche",'Avalanche workings'!$O$511,'Snowball workings'!$O$511)+IF('Your debts'!$D$20="Avalanche",'Avalanche workings'!$AI$511,'Snowball workings'!$AI$511))</f>
      </c>
      <c r="M509" s="30">
        <f>IF(OR(504&gt;$Z$1,NOT(OR('Your debts'!$B$9&lt;&gt;"",N('Your debts'!$C$9)&gt;0))),"",IF('Your debts'!$D$20="Avalanche",'Avalanche workings'!$AS$511,'Snowball workings'!$AS$511))</f>
      </c>
      <c r="N509" s="29">
        <f>IF(OR(504&gt;$Z$1,NOT(OR('Your debts'!$B$10&lt;&gt;"",N('Your debts'!$C$10)&gt;0))),"",IF('Your debts'!$D$20="Avalanche",'Avalanche workings'!$P$511,'Snowball workings'!$P$511)+IF('Your debts'!$D$20="Avalanche",'Avalanche workings'!$AJ$511,'Snowball workings'!$AJ$511))</f>
      </c>
      <c r="O509" s="30">
        <f>IF(OR(504&gt;$Z$1,NOT(OR('Your debts'!$B$10&lt;&gt;"",N('Your debts'!$C$10)&gt;0))),"",IF('Your debts'!$D$20="Avalanche",'Avalanche workings'!$AT$511,'Snowball workings'!$AT$511))</f>
      </c>
      <c r="P509" s="29">
        <f>IF(OR(504&gt;$Z$1,NOT(OR('Your debts'!$B$11&lt;&gt;"",N('Your debts'!$C$11)&gt;0))),"",IF('Your debts'!$D$20="Avalanche",'Avalanche workings'!$Q$511,'Snowball workings'!$Q$511)+IF('Your debts'!$D$20="Avalanche",'Avalanche workings'!$AK$511,'Snowball workings'!$AK$511))</f>
      </c>
      <c r="Q509" s="30">
        <f>IF(OR(504&gt;$Z$1,NOT(OR('Your debts'!$B$11&lt;&gt;"",N('Your debts'!$C$11)&gt;0))),"",IF('Your debts'!$D$20="Avalanche",'Avalanche workings'!$AU$511,'Snowball workings'!$AU$511))</f>
      </c>
      <c r="R509" s="29">
        <f>IF(OR(504&gt;$Z$1,NOT(OR('Your debts'!$B$12&lt;&gt;"",N('Your debts'!$C$12)&gt;0))),"",IF('Your debts'!$D$20="Avalanche",'Avalanche workings'!$R$511,'Snowball workings'!$R$511)+IF('Your debts'!$D$20="Avalanche",'Avalanche workings'!$AL$511,'Snowball workings'!$AL$511))</f>
      </c>
      <c r="S509" s="30">
        <f>IF(OR(504&gt;$Z$1,NOT(OR('Your debts'!$B$12&lt;&gt;"",N('Your debts'!$C$12)&gt;0))),"",IF('Your debts'!$D$20="Avalanche",'Avalanche workings'!$AV$511,'Snowball workings'!$AV$511))</f>
      </c>
      <c r="T509" s="29">
        <f>IF(OR(504&gt;$Z$1,NOT(OR('Your debts'!$B$13&lt;&gt;"",N('Your debts'!$C$13)&gt;0))),"",IF('Your debts'!$D$20="Avalanche",'Avalanche workings'!$S$511,'Snowball workings'!$S$511)+IF('Your debts'!$D$20="Avalanche",'Avalanche workings'!$AM$511,'Snowball workings'!$AM$511))</f>
      </c>
      <c r="U509" s="30">
        <f>IF(OR(504&gt;$Z$1,NOT(OR('Your debts'!$B$13&lt;&gt;"",N('Your debts'!$C$13)&gt;0))),"",IF('Your debts'!$D$20="Avalanche",'Avalanche workings'!$AW$511,'Snowball workings'!$AW$511))</f>
      </c>
      <c r="V509" s="29">
        <f>IF(OR(504&gt;$Z$1,NOT(OR('Your debts'!$B$14&lt;&gt;"",N('Your debts'!$C$14)&gt;0))),"",IF('Your debts'!$D$20="Avalanche",'Avalanche workings'!$T$511,'Snowball workings'!$T$511)+IF('Your debts'!$D$20="Avalanche",'Avalanche workings'!$AN$511,'Snowball workings'!$AN$511))</f>
      </c>
      <c r="W509" s="30">
        <f>IF(OR(504&gt;$Z$1,NOT(OR('Your debts'!$B$14&lt;&gt;"",N('Your debts'!$C$14)&gt;0))),"",IF('Your debts'!$D$20="Avalanche",'Avalanche workings'!$AX$511,'Snowball workings'!$AX$511))</f>
      </c>
      <c r="X509" s="29">
        <f>IF(OR(504&gt;$Z$1,NOT(OR('Your debts'!$B$15&lt;&gt;"",N('Your debts'!$C$15)&gt;0))),"",IF('Your debts'!$D$20="Avalanche",'Avalanche workings'!$U$511,'Snowball workings'!$U$511)+IF('Your debts'!$D$20="Avalanche",'Avalanche workings'!$AO$511,'Snowball workings'!$AO$511))</f>
      </c>
      <c r="Y509" s="30">
        <f>IF(OR(504&gt;$Z$1,NOT(OR('Your debts'!$B$15&lt;&gt;"",N('Your debts'!$C$15)&gt;0))),"",IF('Your debts'!$D$20="Avalanche",'Avalanche workings'!$AY$511,'Snowball workings'!$AY$511))</f>
      </c>
    </row>
    <row r="510" spans="1:25" x14ac:dyDescent="0.25">
      <c r="A510" s="2">
        <f>IF(505&gt;$Z$1,"",505)</f>
      </c>
      <c r="B510" s="28">
        <f>IF(505&gt;$Z$1,"",EDATE('Your debts'!$D$21,504))</f>
      </c>
      <c r="C510" s="29">
        <f>IF(505&gt;$Z$1,"",IF('Your debts'!$D$20="Avalanche",'Avalanche workings'!$BC$512,'Snowball workings'!$BC$512))</f>
      </c>
      <c r="D510" s="29">
        <f>IF(505&gt;$Z$1,"",IF('Your debts'!$D$20="Avalanche",'Avalanche workings'!$BA$512,'Snowball workings'!$BA$512))</f>
      </c>
      <c r="E510" s="29">
        <f>IF(505&gt;$Z$1,"",IF('Your debts'!$D$20="Avalanche",'Avalanche workings'!$BB$512,'Snowball workings'!$BB$512))</f>
      </c>
      <c r="F510" s="29">
        <f>IF(OR(505&gt;$Z$1,NOT(OR('Your debts'!$B$6&lt;&gt;"",N('Your debts'!$C$6)&gt;0))),"",IF('Your debts'!$D$20="Avalanche",'Avalanche workings'!$L$512,'Snowball workings'!$L$512)+IF('Your debts'!$D$20="Avalanche",'Avalanche workings'!$AF$512,'Snowball workings'!$AF$512))</f>
      </c>
      <c r="G510" s="30">
        <f>IF(OR(505&gt;$Z$1,NOT(OR('Your debts'!$B$6&lt;&gt;"",N('Your debts'!$C$6)&gt;0))),"",IF('Your debts'!$D$20="Avalanche",'Avalanche workings'!$AP$512,'Snowball workings'!$AP$512))</f>
      </c>
      <c r="H510" s="29">
        <f>IF(OR(505&gt;$Z$1,NOT(OR('Your debts'!$B$7&lt;&gt;"",N('Your debts'!$C$7)&gt;0))),"",IF('Your debts'!$D$20="Avalanche",'Avalanche workings'!$M$512,'Snowball workings'!$M$512)+IF('Your debts'!$D$20="Avalanche",'Avalanche workings'!$AG$512,'Snowball workings'!$AG$512))</f>
      </c>
      <c r="I510" s="30">
        <f>IF(OR(505&gt;$Z$1,NOT(OR('Your debts'!$B$7&lt;&gt;"",N('Your debts'!$C$7)&gt;0))),"",IF('Your debts'!$D$20="Avalanche",'Avalanche workings'!$AQ$512,'Snowball workings'!$AQ$512))</f>
      </c>
      <c r="J510" s="29">
        <f>IF(OR(505&gt;$Z$1,NOT(OR('Your debts'!$B$8&lt;&gt;"",N('Your debts'!$C$8)&gt;0))),"",IF('Your debts'!$D$20="Avalanche",'Avalanche workings'!$N$512,'Snowball workings'!$N$512)+IF('Your debts'!$D$20="Avalanche",'Avalanche workings'!$AH$512,'Snowball workings'!$AH$512))</f>
      </c>
      <c r="K510" s="30">
        <f>IF(OR(505&gt;$Z$1,NOT(OR('Your debts'!$B$8&lt;&gt;"",N('Your debts'!$C$8)&gt;0))),"",IF('Your debts'!$D$20="Avalanche",'Avalanche workings'!$AR$512,'Snowball workings'!$AR$512))</f>
      </c>
      <c r="L510" s="29">
        <f>IF(OR(505&gt;$Z$1,NOT(OR('Your debts'!$B$9&lt;&gt;"",N('Your debts'!$C$9)&gt;0))),"",IF('Your debts'!$D$20="Avalanche",'Avalanche workings'!$O$512,'Snowball workings'!$O$512)+IF('Your debts'!$D$20="Avalanche",'Avalanche workings'!$AI$512,'Snowball workings'!$AI$512))</f>
      </c>
      <c r="M510" s="30">
        <f>IF(OR(505&gt;$Z$1,NOT(OR('Your debts'!$B$9&lt;&gt;"",N('Your debts'!$C$9)&gt;0))),"",IF('Your debts'!$D$20="Avalanche",'Avalanche workings'!$AS$512,'Snowball workings'!$AS$512))</f>
      </c>
      <c r="N510" s="29">
        <f>IF(OR(505&gt;$Z$1,NOT(OR('Your debts'!$B$10&lt;&gt;"",N('Your debts'!$C$10)&gt;0))),"",IF('Your debts'!$D$20="Avalanche",'Avalanche workings'!$P$512,'Snowball workings'!$P$512)+IF('Your debts'!$D$20="Avalanche",'Avalanche workings'!$AJ$512,'Snowball workings'!$AJ$512))</f>
      </c>
      <c r="O510" s="30">
        <f>IF(OR(505&gt;$Z$1,NOT(OR('Your debts'!$B$10&lt;&gt;"",N('Your debts'!$C$10)&gt;0))),"",IF('Your debts'!$D$20="Avalanche",'Avalanche workings'!$AT$512,'Snowball workings'!$AT$512))</f>
      </c>
      <c r="P510" s="29">
        <f>IF(OR(505&gt;$Z$1,NOT(OR('Your debts'!$B$11&lt;&gt;"",N('Your debts'!$C$11)&gt;0))),"",IF('Your debts'!$D$20="Avalanche",'Avalanche workings'!$Q$512,'Snowball workings'!$Q$512)+IF('Your debts'!$D$20="Avalanche",'Avalanche workings'!$AK$512,'Snowball workings'!$AK$512))</f>
      </c>
      <c r="Q510" s="30">
        <f>IF(OR(505&gt;$Z$1,NOT(OR('Your debts'!$B$11&lt;&gt;"",N('Your debts'!$C$11)&gt;0))),"",IF('Your debts'!$D$20="Avalanche",'Avalanche workings'!$AU$512,'Snowball workings'!$AU$512))</f>
      </c>
      <c r="R510" s="29">
        <f>IF(OR(505&gt;$Z$1,NOT(OR('Your debts'!$B$12&lt;&gt;"",N('Your debts'!$C$12)&gt;0))),"",IF('Your debts'!$D$20="Avalanche",'Avalanche workings'!$R$512,'Snowball workings'!$R$512)+IF('Your debts'!$D$20="Avalanche",'Avalanche workings'!$AL$512,'Snowball workings'!$AL$512))</f>
      </c>
      <c r="S510" s="30">
        <f>IF(OR(505&gt;$Z$1,NOT(OR('Your debts'!$B$12&lt;&gt;"",N('Your debts'!$C$12)&gt;0))),"",IF('Your debts'!$D$20="Avalanche",'Avalanche workings'!$AV$512,'Snowball workings'!$AV$512))</f>
      </c>
      <c r="T510" s="29">
        <f>IF(OR(505&gt;$Z$1,NOT(OR('Your debts'!$B$13&lt;&gt;"",N('Your debts'!$C$13)&gt;0))),"",IF('Your debts'!$D$20="Avalanche",'Avalanche workings'!$S$512,'Snowball workings'!$S$512)+IF('Your debts'!$D$20="Avalanche",'Avalanche workings'!$AM$512,'Snowball workings'!$AM$512))</f>
      </c>
      <c r="U510" s="30">
        <f>IF(OR(505&gt;$Z$1,NOT(OR('Your debts'!$B$13&lt;&gt;"",N('Your debts'!$C$13)&gt;0))),"",IF('Your debts'!$D$20="Avalanche",'Avalanche workings'!$AW$512,'Snowball workings'!$AW$512))</f>
      </c>
      <c r="V510" s="29">
        <f>IF(OR(505&gt;$Z$1,NOT(OR('Your debts'!$B$14&lt;&gt;"",N('Your debts'!$C$14)&gt;0))),"",IF('Your debts'!$D$20="Avalanche",'Avalanche workings'!$T$512,'Snowball workings'!$T$512)+IF('Your debts'!$D$20="Avalanche",'Avalanche workings'!$AN$512,'Snowball workings'!$AN$512))</f>
      </c>
      <c r="W510" s="30">
        <f>IF(OR(505&gt;$Z$1,NOT(OR('Your debts'!$B$14&lt;&gt;"",N('Your debts'!$C$14)&gt;0))),"",IF('Your debts'!$D$20="Avalanche",'Avalanche workings'!$AX$512,'Snowball workings'!$AX$512))</f>
      </c>
      <c r="X510" s="29">
        <f>IF(OR(505&gt;$Z$1,NOT(OR('Your debts'!$B$15&lt;&gt;"",N('Your debts'!$C$15)&gt;0))),"",IF('Your debts'!$D$20="Avalanche",'Avalanche workings'!$U$512,'Snowball workings'!$U$512)+IF('Your debts'!$D$20="Avalanche",'Avalanche workings'!$AO$512,'Snowball workings'!$AO$512))</f>
      </c>
      <c r="Y510" s="30">
        <f>IF(OR(505&gt;$Z$1,NOT(OR('Your debts'!$B$15&lt;&gt;"",N('Your debts'!$C$15)&gt;0))),"",IF('Your debts'!$D$20="Avalanche",'Avalanche workings'!$AY$512,'Snowball workings'!$AY$512))</f>
      </c>
    </row>
    <row r="511" spans="1:25" x14ac:dyDescent="0.25">
      <c r="A511" s="2">
        <f>IF(506&gt;$Z$1,"",506)</f>
      </c>
      <c r="B511" s="28">
        <f>IF(506&gt;$Z$1,"",EDATE('Your debts'!$D$21,505))</f>
      </c>
      <c r="C511" s="29">
        <f>IF(506&gt;$Z$1,"",IF('Your debts'!$D$20="Avalanche",'Avalanche workings'!$BC$513,'Snowball workings'!$BC$513))</f>
      </c>
      <c r="D511" s="29">
        <f>IF(506&gt;$Z$1,"",IF('Your debts'!$D$20="Avalanche",'Avalanche workings'!$BA$513,'Snowball workings'!$BA$513))</f>
      </c>
      <c r="E511" s="29">
        <f>IF(506&gt;$Z$1,"",IF('Your debts'!$D$20="Avalanche",'Avalanche workings'!$BB$513,'Snowball workings'!$BB$513))</f>
      </c>
      <c r="F511" s="29">
        <f>IF(OR(506&gt;$Z$1,NOT(OR('Your debts'!$B$6&lt;&gt;"",N('Your debts'!$C$6)&gt;0))),"",IF('Your debts'!$D$20="Avalanche",'Avalanche workings'!$L$513,'Snowball workings'!$L$513)+IF('Your debts'!$D$20="Avalanche",'Avalanche workings'!$AF$513,'Snowball workings'!$AF$513))</f>
      </c>
      <c r="G511" s="30">
        <f>IF(OR(506&gt;$Z$1,NOT(OR('Your debts'!$B$6&lt;&gt;"",N('Your debts'!$C$6)&gt;0))),"",IF('Your debts'!$D$20="Avalanche",'Avalanche workings'!$AP$513,'Snowball workings'!$AP$513))</f>
      </c>
      <c r="H511" s="29">
        <f>IF(OR(506&gt;$Z$1,NOT(OR('Your debts'!$B$7&lt;&gt;"",N('Your debts'!$C$7)&gt;0))),"",IF('Your debts'!$D$20="Avalanche",'Avalanche workings'!$M$513,'Snowball workings'!$M$513)+IF('Your debts'!$D$20="Avalanche",'Avalanche workings'!$AG$513,'Snowball workings'!$AG$513))</f>
      </c>
      <c r="I511" s="30">
        <f>IF(OR(506&gt;$Z$1,NOT(OR('Your debts'!$B$7&lt;&gt;"",N('Your debts'!$C$7)&gt;0))),"",IF('Your debts'!$D$20="Avalanche",'Avalanche workings'!$AQ$513,'Snowball workings'!$AQ$513))</f>
      </c>
      <c r="J511" s="29">
        <f>IF(OR(506&gt;$Z$1,NOT(OR('Your debts'!$B$8&lt;&gt;"",N('Your debts'!$C$8)&gt;0))),"",IF('Your debts'!$D$20="Avalanche",'Avalanche workings'!$N$513,'Snowball workings'!$N$513)+IF('Your debts'!$D$20="Avalanche",'Avalanche workings'!$AH$513,'Snowball workings'!$AH$513))</f>
      </c>
      <c r="K511" s="30">
        <f>IF(OR(506&gt;$Z$1,NOT(OR('Your debts'!$B$8&lt;&gt;"",N('Your debts'!$C$8)&gt;0))),"",IF('Your debts'!$D$20="Avalanche",'Avalanche workings'!$AR$513,'Snowball workings'!$AR$513))</f>
      </c>
      <c r="L511" s="29">
        <f>IF(OR(506&gt;$Z$1,NOT(OR('Your debts'!$B$9&lt;&gt;"",N('Your debts'!$C$9)&gt;0))),"",IF('Your debts'!$D$20="Avalanche",'Avalanche workings'!$O$513,'Snowball workings'!$O$513)+IF('Your debts'!$D$20="Avalanche",'Avalanche workings'!$AI$513,'Snowball workings'!$AI$513))</f>
      </c>
      <c r="M511" s="30">
        <f>IF(OR(506&gt;$Z$1,NOT(OR('Your debts'!$B$9&lt;&gt;"",N('Your debts'!$C$9)&gt;0))),"",IF('Your debts'!$D$20="Avalanche",'Avalanche workings'!$AS$513,'Snowball workings'!$AS$513))</f>
      </c>
      <c r="N511" s="29">
        <f>IF(OR(506&gt;$Z$1,NOT(OR('Your debts'!$B$10&lt;&gt;"",N('Your debts'!$C$10)&gt;0))),"",IF('Your debts'!$D$20="Avalanche",'Avalanche workings'!$P$513,'Snowball workings'!$P$513)+IF('Your debts'!$D$20="Avalanche",'Avalanche workings'!$AJ$513,'Snowball workings'!$AJ$513))</f>
      </c>
      <c r="O511" s="30">
        <f>IF(OR(506&gt;$Z$1,NOT(OR('Your debts'!$B$10&lt;&gt;"",N('Your debts'!$C$10)&gt;0))),"",IF('Your debts'!$D$20="Avalanche",'Avalanche workings'!$AT$513,'Snowball workings'!$AT$513))</f>
      </c>
      <c r="P511" s="29">
        <f>IF(OR(506&gt;$Z$1,NOT(OR('Your debts'!$B$11&lt;&gt;"",N('Your debts'!$C$11)&gt;0))),"",IF('Your debts'!$D$20="Avalanche",'Avalanche workings'!$Q$513,'Snowball workings'!$Q$513)+IF('Your debts'!$D$20="Avalanche",'Avalanche workings'!$AK$513,'Snowball workings'!$AK$513))</f>
      </c>
      <c r="Q511" s="30">
        <f>IF(OR(506&gt;$Z$1,NOT(OR('Your debts'!$B$11&lt;&gt;"",N('Your debts'!$C$11)&gt;0))),"",IF('Your debts'!$D$20="Avalanche",'Avalanche workings'!$AU$513,'Snowball workings'!$AU$513))</f>
      </c>
      <c r="R511" s="29">
        <f>IF(OR(506&gt;$Z$1,NOT(OR('Your debts'!$B$12&lt;&gt;"",N('Your debts'!$C$12)&gt;0))),"",IF('Your debts'!$D$20="Avalanche",'Avalanche workings'!$R$513,'Snowball workings'!$R$513)+IF('Your debts'!$D$20="Avalanche",'Avalanche workings'!$AL$513,'Snowball workings'!$AL$513))</f>
      </c>
      <c r="S511" s="30">
        <f>IF(OR(506&gt;$Z$1,NOT(OR('Your debts'!$B$12&lt;&gt;"",N('Your debts'!$C$12)&gt;0))),"",IF('Your debts'!$D$20="Avalanche",'Avalanche workings'!$AV$513,'Snowball workings'!$AV$513))</f>
      </c>
      <c r="T511" s="29">
        <f>IF(OR(506&gt;$Z$1,NOT(OR('Your debts'!$B$13&lt;&gt;"",N('Your debts'!$C$13)&gt;0))),"",IF('Your debts'!$D$20="Avalanche",'Avalanche workings'!$S$513,'Snowball workings'!$S$513)+IF('Your debts'!$D$20="Avalanche",'Avalanche workings'!$AM$513,'Snowball workings'!$AM$513))</f>
      </c>
      <c r="U511" s="30">
        <f>IF(OR(506&gt;$Z$1,NOT(OR('Your debts'!$B$13&lt;&gt;"",N('Your debts'!$C$13)&gt;0))),"",IF('Your debts'!$D$20="Avalanche",'Avalanche workings'!$AW$513,'Snowball workings'!$AW$513))</f>
      </c>
      <c r="V511" s="29">
        <f>IF(OR(506&gt;$Z$1,NOT(OR('Your debts'!$B$14&lt;&gt;"",N('Your debts'!$C$14)&gt;0))),"",IF('Your debts'!$D$20="Avalanche",'Avalanche workings'!$T$513,'Snowball workings'!$T$513)+IF('Your debts'!$D$20="Avalanche",'Avalanche workings'!$AN$513,'Snowball workings'!$AN$513))</f>
      </c>
      <c r="W511" s="30">
        <f>IF(OR(506&gt;$Z$1,NOT(OR('Your debts'!$B$14&lt;&gt;"",N('Your debts'!$C$14)&gt;0))),"",IF('Your debts'!$D$20="Avalanche",'Avalanche workings'!$AX$513,'Snowball workings'!$AX$513))</f>
      </c>
      <c r="X511" s="29">
        <f>IF(OR(506&gt;$Z$1,NOT(OR('Your debts'!$B$15&lt;&gt;"",N('Your debts'!$C$15)&gt;0))),"",IF('Your debts'!$D$20="Avalanche",'Avalanche workings'!$U$513,'Snowball workings'!$U$513)+IF('Your debts'!$D$20="Avalanche",'Avalanche workings'!$AO$513,'Snowball workings'!$AO$513))</f>
      </c>
      <c r="Y511" s="30">
        <f>IF(OR(506&gt;$Z$1,NOT(OR('Your debts'!$B$15&lt;&gt;"",N('Your debts'!$C$15)&gt;0))),"",IF('Your debts'!$D$20="Avalanche",'Avalanche workings'!$AY$513,'Snowball workings'!$AY$513))</f>
      </c>
    </row>
    <row r="512" spans="1:25" x14ac:dyDescent="0.25">
      <c r="A512" s="2">
        <f>IF(507&gt;$Z$1,"",507)</f>
      </c>
      <c r="B512" s="28">
        <f>IF(507&gt;$Z$1,"",EDATE('Your debts'!$D$21,506))</f>
      </c>
      <c r="C512" s="29">
        <f>IF(507&gt;$Z$1,"",IF('Your debts'!$D$20="Avalanche",'Avalanche workings'!$BC$514,'Snowball workings'!$BC$514))</f>
      </c>
      <c r="D512" s="29">
        <f>IF(507&gt;$Z$1,"",IF('Your debts'!$D$20="Avalanche",'Avalanche workings'!$BA$514,'Snowball workings'!$BA$514))</f>
      </c>
      <c r="E512" s="29">
        <f>IF(507&gt;$Z$1,"",IF('Your debts'!$D$20="Avalanche",'Avalanche workings'!$BB$514,'Snowball workings'!$BB$514))</f>
      </c>
      <c r="F512" s="29">
        <f>IF(OR(507&gt;$Z$1,NOT(OR('Your debts'!$B$6&lt;&gt;"",N('Your debts'!$C$6)&gt;0))),"",IF('Your debts'!$D$20="Avalanche",'Avalanche workings'!$L$514,'Snowball workings'!$L$514)+IF('Your debts'!$D$20="Avalanche",'Avalanche workings'!$AF$514,'Snowball workings'!$AF$514))</f>
      </c>
      <c r="G512" s="30">
        <f>IF(OR(507&gt;$Z$1,NOT(OR('Your debts'!$B$6&lt;&gt;"",N('Your debts'!$C$6)&gt;0))),"",IF('Your debts'!$D$20="Avalanche",'Avalanche workings'!$AP$514,'Snowball workings'!$AP$514))</f>
      </c>
      <c r="H512" s="29">
        <f>IF(OR(507&gt;$Z$1,NOT(OR('Your debts'!$B$7&lt;&gt;"",N('Your debts'!$C$7)&gt;0))),"",IF('Your debts'!$D$20="Avalanche",'Avalanche workings'!$M$514,'Snowball workings'!$M$514)+IF('Your debts'!$D$20="Avalanche",'Avalanche workings'!$AG$514,'Snowball workings'!$AG$514))</f>
      </c>
      <c r="I512" s="30">
        <f>IF(OR(507&gt;$Z$1,NOT(OR('Your debts'!$B$7&lt;&gt;"",N('Your debts'!$C$7)&gt;0))),"",IF('Your debts'!$D$20="Avalanche",'Avalanche workings'!$AQ$514,'Snowball workings'!$AQ$514))</f>
      </c>
      <c r="J512" s="29">
        <f>IF(OR(507&gt;$Z$1,NOT(OR('Your debts'!$B$8&lt;&gt;"",N('Your debts'!$C$8)&gt;0))),"",IF('Your debts'!$D$20="Avalanche",'Avalanche workings'!$N$514,'Snowball workings'!$N$514)+IF('Your debts'!$D$20="Avalanche",'Avalanche workings'!$AH$514,'Snowball workings'!$AH$514))</f>
      </c>
      <c r="K512" s="30">
        <f>IF(OR(507&gt;$Z$1,NOT(OR('Your debts'!$B$8&lt;&gt;"",N('Your debts'!$C$8)&gt;0))),"",IF('Your debts'!$D$20="Avalanche",'Avalanche workings'!$AR$514,'Snowball workings'!$AR$514))</f>
      </c>
      <c r="L512" s="29">
        <f>IF(OR(507&gt;$Z$1,NOT(OR('Your debts'!$B$9&lt;&gt;"",N('Your debts'!$C$9)&gt;0))),"",IF('Your debts'!$D$20="Avalanche",'Avalanche workings'!$O$514,'Snowball workings'!$O$514)+IF('Your debts'!$D$20="Avalanche",'Avalanche workings'!$AI$514,'Snowball workings'!$AI$514))</f>
      </c>
      <c r="M512" s="30">
        <f>IF(OR(507&gt;$Z$1,NOT(OR('Your debts'!$B$9&lt;&gt;"",N('Your debts'!$C$9)&gt;0))),"",IF('Your debts'!$D$20="Avalanche",'Avalanche workings'!$AS$514,'Snowball workings'!$AS$514))</f>
      </c>
      <c r="N512" s="29">
        <f>IF(OR(507&gt;$Z$1,NOT(OR('Your debts'!$B$10&lt;&gt;"",N('Your debts'!$C$10)&gt;0))),"",IF('Your debts'!$D$20="Avalanche",'Avalanche workings'!$P$514,'Snowball workings'!$P$514)+IF('Your debts'!$D$20="Avalanche",'Avalanche workings'!$AJ$514,'Snowball workings'!$AJ$514))</f>
      </c>
      <c r="O512" s="30">
        <f>IF(OR(507&gt;$Z$1,NOT(OR('Your debts'!$B$10&lt;&gt;"",N('Your debts'!$C$10)&gt;0))),"",IF('Your debts'!$D$20="Avalanche",'Avalanche workings'!$AT$514,'Snowball workings'!$AT$514))</f>
      </c>
      <c r="P512" s="29">
        <f>IF(OR(507&gt;$Z$1,NOT(OR('Your debts'!$B$11&lt;&gt;"",N('Your debts'!$C$11)&gt;0))),"",IF('Your debts'!$D$20="Avalanche",'Avalanche workings'!$Q$514,'Snowball workings'!$Q$514)+IF('Your debts'!$D$20="Avalanche",'Avalanche workings'!$AK$514,'Snowball workings'!$AK$514))</f>
      </c>
      <c r="Q512" s="30">
        <f>IF(OR(507&gt;$Z$1,NOT(OR('Your debts'!$B$11&lt;&gt;"",N('Your debts'!$C$11)&gt;0))),"",IF('Your debts'!$D$20="Avalanche",'Avalanche workings'!$AU$514,'Snowball workings'!$AU$514))</f>
      </c>
      <c r="R512" s="29">
        <f>IF(OR(507&gt;$Z$1,NOT(OR('Your debts'!$B$12&lt;&gt;"",N('Your debts'!$C$12)&gt;0))),"",IF('Your debts'!$D$20="Avalanche",'Avalanche workings'!$R$514,'Snowball workings'!$R$514)+IF('Your debts'!$D$20="Avalanche",'Avalanche workings'!$AL$514,'Snowball workings'!$AL$514))</f>
      </c>
      <c r="S512" s="30">
        <f>IF(OR(507&gt;$Z$1,NOT(OR('Your debts'!$B$12&lt;&gt;"",N('Your debts'!$C$12)&gt;0))),"",IF('Your debts'!$D$20="Avalanche",'Avalanche workings'!$AV$514,'Snowball workings'!$AV$514))</f>
      </c>
      <c r="T512" s="29">
        <f>IF(OR(507&gt;$Z$1,NOT(OR('Your debts'!$B$13&lt;&gt;"",N('Your debts'!$C$13)&gt;0))),"",IF('Your debts'!$D$20="Avalanche",'Avalanche workings'!$S$514,'Snowball workings'!$S$514)+IF('Your debts'!$D$20="Avalanche",'Avalanche workings'!$AM$514,'Snowball workings'!$AM$514))</f>
      </c>
      <c r="U512" s="30">
        <f>IF(OR(507&gt;$Z$1,NOT(OR('Your debts'!$B$13&lt;&gt;"",N('Your debts'!$C$13)&gt;0))),"",IF('Your debts'!$D$20="Avalanche",'Avalanche workings'!$AW$514,'Snowball workings'!$AW$514))</f>
      </c>
      <c r="V512" s="29">
        <f>IF(OR(507&gt;$Z$1,NOT(OR('Your debts'!$B$14&lt;&gt;"",N('Your debts'!$C$14)&gt;0))),"",IF('Your debts'!$D$20="Avalanche",'Avalanche workings'!$T$514,'Snowball workings'!$T$514)+IF('Your debts'!$D$20="Avalanche",'Avalanche workings'!$AN$514,'Snowball workings'!$AN$514))</f>
      </c>
      <c r="W512" s="30">
        <f>IF(OR(507&gt;$Z$1,NOT(OR('Your debts'!$B$14&lt;&gt;"",N('Your debts'!$C$14)&gt;0))),"",IF('Your debts'!$D$20="Avalanche",'Avalanche workings'!$AX$514,'Snowball workings'!$AX$514))</f>
      </c>
      <c r="X512" s="29">
        <f>IF(OR(507&gt;$Z$1,NOT(OR('Your debts'!$B$15&lt;&gt;"",N('Your debts'!$C$15)&gt;0))),"",IF('Your debts'!$D$20="Avalanche",'Avalanche workings'!$U$514,'Snowball workings'!$U$514)+IF('Your debts'!$D$20="Avalanche",'Avalanche workings'!$AO$514,'Snowball workings'!$AO$514))</f>
      </c>
      <c r="Y512" s="30">
        <f>IF(OR(507&gt;$Z$1,NOT(OR('Your debts'!$B$15&lt;&gt;"",N('Your debts'!$C$15)&gt;0))),"",IF('Your debts'!$D$20="Avalanche",'Avalanche workings'!$AY$514,'Snowball workings'!$AY$514))</f>
      </c>
    </row>
    <row r="513" spans="1:25" x14ac:dyDescent="0.25">
      <c r="A513" s="2">
        <f>IF(508&gt;$Z$1,"",508)</f>
      </c>
      <c r="B513" s="28">
        <f>IF(508&gt;$Z$1,"",EDATE('Your debts'!$D$21,507))</f>
      </c>
      <c r="C513" s="29">
        <f>IF(508&gt;$Z$1,"",IF('Your debts'!$D$20="Avalanche",'Avalanche workings'!$BC$515,'Snowball workings'!$BC$515))</f>
      </c>
      <c r="D513" s="29">
        <f>IF(508&gt;$Z$1,"",IF('Your debts'!$D$20="Avalanche",'Avalanche workings'!$BA$515,'Snowball workings'!$BA$515))</f>
      </c>
      <c r="E513" s="29">
        <f>IF(508&gt;$Z$1,"",IF('Your debts'!$D$20="Avalanche",'Avalanche workings'!$BB$515,'Snowball workings'!$BB$515))</f>
      </c>
      <c r="F513" s="29">
        <f>IF(OR(508&gt;$Z$1,NOT(OR('Your debts'!$B$6&lt;&gt;"",N('Your debts'!$C$6)&gt;0))),"",IF('Your debts'!$D$20="Avalanche",'Avalanche workings'!$L$515,'Snowball workings'!$L$515)+IF('Your debts'!$D$20="Avalanche",'Avalanche workings'!$AF$515,'Snowball workings'!$AF$515))</f>
      </c>
      <c r="G513" s="30">
        <f>IF(OR(508&gt;$Z$1,NOT(OR('Your debts'!$B$6&lt;&gt;"",N('Your debts'!$C$6)&gt;0))),"",IF('Your debts'!$D$20="Avalanche",'Avalanche workings'!$AP$515,'Snowball workings'!$AP$515))</f>
      </c>
      <c r="H513" s="29">
        <f>IF(OR(508&gt;$Z$1,NOT(OR('Your debts'!$B$7&lt;&gt;"",N('Your debts'!$C$7)&gt;0))),"",IF('Your debts'!$D$20="Avalanche",'Avalanche workings'!$M$515,'Snowball workings'!$M$515)+IF('Your debts'!$D$20="Avalanche",'Avalanche workings'!$AG$515,'Snowball workings'!$AG$515))</f>
      </c>
      <c r="I513" s="30">
        <f>IF(OR(508&gt;$Z$1,NOT(OR('Your debts'!$B$7&lt;&gt;"",N('Your debts'!$C$7)&gt;0))),"",IF('Your debts'!$D$20="Avalanche",'Avalanche workings'!$AQ$515,'Snowball workings'!$AQ$515))</f>
      </c>
      <c r="J513" s="29">
        <f>IF(OR(508&gt;$Z$1,NOT(OR('Your debts'!$B$8&lt;&gt;"",N('Your debts'!$C$8)&gt;0))),"",IF('Your debts'!$D$20="Avalanche",'Avalanche workings'!$N$515,'Snowball workings'!$N$515)+IF('Your debts'!$D$20="Avalanche",'Avalanche workings'!$AH$515,'Snowball workings'!$AH$515))</f>
      </c>
      <c r="K513" s="30">
        <f>IF(OR(508&gt;$Z$1,NOT(OR('Your debts'!$B$8&lt;&gt;"",N('Your debts'!$C$8)&gt;0))),"",IF('Your debts'!$D$20="Avalanche",'Avalanche workings'!$AR$515,'Snowball workings'!$AR$515))</f>
      </c>
      <c r="L513" s="29">
        <f>IF(OR(508&gt;$Z$1,NOT(OR('Your debts'!$B$9&lt;&gt;"",N('Your debts'!$C$9)&gt;0))),"",IF('Your debts'!$D$20="Avalanche",'Avalanche workings'!$O$515,'Snowball workings'!$O$515)+IF('Your debts'!$D$20="Avalanche",'Avalanche workings'!$AI$515,'Snowball workings'!$AI$515))</f>
      </c>
      <c r="M513" s="30">
        <f>IF(OR(508&gt;$Z$1,NOT(OR('Your debts'!$B$9&lt;&gt;"",N('Your debts'!$C$9)&gt;0))),"",IF('Your debts'!$D$20="Avalanche",'Avalanche workings'!$AS$515,'Snowball workings'!$AS$515))</f>
      </c>
      <c r="N513" s="29">
        <f>IF(OR(508&gt;$Z$1,NOT(OR('Your debts'!$B$10&lt;&gt;"",N('Your debts'!$C$10)&gt;0))),"",IF('Your debts'!$D$20="Avalanche",'Avalanche workings'!$P$515,'Snowball workings'!$P$515)+IF('Your debts'!$D$20="Avalanche",'Avalanche workings'!$AJ$515,'Snowball workings'!$AJ$515))</f>
      </c>
      <c r="O513" s="30">
        <f>IF(OR(508&gt;$Z$1,NOT(OR('Your debts'!$B$10&lt;&gt;"",N('Your debts'!$C$10)&gt;0))),"",IF('Your debts'!$D$20="Avalanche",'Avalanche workings'!$AT$515,'Snowball workings'!$AT$515))</f>
      </c>
      <c r="P513" s="29">
        <f>IF(OR(508&gt;$Z$1,NOT(OR('Your debts'!$B$11&lt;&gt;"",N('Your debts'!$C$11)&gt;0))),"",IF('Your debts'!$D$20="Avalanche",'Avalanche workings'!$Q$515,'Snowball workings'!$Q$515)+IF('Your debts'!$D$20="Avalanche",'Avalanche workings'!$AK$515,'Snowball workings'!$AK$515))</f>
      </c>
      <c r="Q513" s="30">
        <f>IF(OR(508&gt;$Z$1,NOT(OR('Your debts'!$B$11&lt;&gt;"",N('Your debts'!$C$11)&gt;0))),"",IF('Your debts'!$D$20="Avalanche",'Avalanche workings'!$AU$515,'Snowball workings'!$AU$515))</f>
      </c>
      <c r="R513" s="29">
        <f>IF(OR(508&gt;$Z$1,NOT(OR('Your debts'!$B$12&lt;&gt;"",N('Your debts'!$C$12)&gt;0))),"",IF('Your debts'!$D$20="Avalanche",'Avalanche workings'!$R$515,'Snowball workings'!$R$515)+IF('Your debts'!$D$20="Avalanche",'Avalanche workings'!$AL$515,'Snowball workings'!$AL$515))</f>
      </c>
      <c r="S513" s="30">
        <f>IF(OR(508&gt;$Z$1,NOT(OR('Your debts'!$B$12&lt;&gt;"",N('Your debts'!$C$12)&gt;0))),"",IF('Your debts'!$D$20="Avalanche",'Avalanche workings'!$AV$515,'Snowball workings'!$AV$515))</f>
      </c>
      <c r="T513" s="29">
        <f>IF(OR(508&gt;$Z$1,NOT(OR('Your debts'!$B$13&lt;&gt;"",N('Your debts'!$C$13)&gt;0))),"",IF('Your debts'!$D$20="Avalanche",'Avalanche workings'!$S$515,'Snowball workings'!$S$515)+IF('Your debts'!$D$20="Avalanche",'Avalanche workings'!$AM$515,'Snowball workings'!$AM$515))</f>
      </c>
      <c r="U513" s="30">
        <f>IF(OR(508&gt;$Z$1,NOT(OR('Your debts'!$B$13&lt;&gt;"",N('Your debts'!$C$13)&gt;0))),"",IF('Your debts'!$D$20="Avalanche",'Avalanche workings'!$AW$515,'Snowball workings'!$AW$515))</f>
      </c>
      <c r="V513" s="29">
        <f>IF(OR(508&gt;$Z$1,NOT(OR('Your debts'!$B$14&lt;&gt;"",N('Your debts'!$C$14)&gt;0))),"",IF('Your debts'!$D$20="Avalanche",'Avalanche workings'!$T$515,'Snowball workings'!$T$515)+IF('Your debts'!$D$20="Avalanche",'Avalanche workings'!$AN$515,'Snowball workings'!$AN$515))</f>
      </c>
      <c r="W513" s="30">
        <f>IF(OR(508&gt;$Z$1,NOT(OR('Your debts'!$B$14&lt;&gt;"",N('Your debts'!$C$14)&gt;0))),"",IF('Your debts'!$D$20="Avalanche",'Avalanche workings'!$AX$515,'Snowball workings'!$AX$515))</f>
      </c>
      <c r="X513" s="29">
        <f>IF(OR(508&gt;$Z$1,NOT(OR('Your debts'!$B$15&lt;&gt;"",N('Your debts'!$C$15)&gt;0))),"",IF('Your debts'!$D$20="Avalanche",'Avalanche workings'!$U$515,'Snowball workings'!$U$515)+IF('Your debts'!$D$20="Avalanche",'Avalanche workings'!$AO$515,'Snowball workings'!$AO$515))</f>
      </c>
      <c r="Y513" s="30">
        <f>IF(OR(508&gt;$Z$1,NOT(OR('Your debts'!$B$15&lt;&gt;"",N('Your debts'!$C$15)&gt;0))),"",IF('Your debts'!$D$20="Avalanche",'Avalanche workings'!$AY$515,'Snowball workings'!$AY$515))</f>
      </c>
    </row>
    <row r="514" spans="1:25" x14ac:dyDescent="0.25">
      <c r="A514" s="2">
        <f>IF(509&gt;$Z$1,"",509)</f>
      </c>
      <c r="B514" s="28">
        <f>IF(509&gt;$Z$1,"",EDATE('Your debts'!$D$21,508))</f>
      </c>
      <c r="C514" s="29">
        <f>IF(509&gt;$Z$1,"",IF('Your debts'!$D$20="Avalanche",'Avalanche workings'!$BC$516,'Snowball workings'!$BC$516))</f>
      </c>
      <c r="D514" s="29">
        <f>IF(509&gt;$Z$1,"",IF('Your debts'!$D$20="Avalanche",'Avalanche workings'!$BA$516,'Snowball workings'!$BA$516))</f>
      </c>
      <c r="E514" s="29">
        <f>IF(509&gt;$Z$1,"",IF('Your debts'!$D$20="Avalanche",'Avalanche workings'!$BB$516,'Snowball workings'!$BB$516))</f>
      </c>
      <c r="F514" s="29">
        <f>IF(OR(509&gt;$Z$1,NOT(OR('Your debts'!$B$6&lt;&gt;"",N('Your debts'!$C$6)&gt;0))),"",IF('Your debts'!$D$20="Avalanche",'Avalanche workings'!$L$516,'Snowball workings'!$L$516)+IF('Your debts'!$D$20="Avalanche",'Avalanche workings'!$AF$516,'Snowball workings'!$AF$516))</f>
      </c>
      <c r="G514" s="30">
        <f>IF(OR(509&gt;$Z$1,NOT(OR('Your debts'!$B$6&lt;&gt;"",N('Your debts'!$C$6)&gt;0))),"",IF('Your debts'!$D$20="Avalanche",'Avalanche workings'!$AP$516,'Snowball workings'!$AP$516))</f>
      </c>
      <c r="H514" s="29">
        <f>IF(OR(509&gt;$Z$1,NOT(OR('Your debts'!$B$7&lt;&gt;"",N('Your debts'!$C$7)&gt;0))),"",IF('Your debts'!$D$20="Avalanche",'Avalanche workings'!$M$516,'Snowball workings'!$M$516)+IF('Your debts'!$D$20="Avalanche",'Avalanche workings'!$AG$516,'Snowball workings'!$AG$516))</f>
      </c>
      <c r="I514" s="30">
        <f>IF(OR(509&gt;$Z$1,NOT(OR('Your debts'!$B$7&lt;&gt;"",N('Your debts'!$C$7)&gt;0))),"",IF('Your debts'!$D$20="Avalanche",'Avalanche workings'!$AQ$516,'Snowball workings'!$AQ$516))</f>
      </c>
      <c r="J514" s="29">
        <f>IF(OR(509&gt;$Z$1,NOT(OR('Your debts'!$B$8&lt;&gt;"",N('Your debts'!$C$8)&gt;0))),"",IF('Your debts'!$D$20="Avalanche",'Avalanche workings'!$N$516,'Snowball workings'!$N$516)+IF('Your debts'!$D$20="Avalanche",'Avalanche workings'!$AH$516,'Snowball workings'!$AH$516))</f>
      </c>
      <c r="K514" s="30">
        <f>IF(OR(509&gt;$Z$1,NOT(OR('Your debts'!$B$8&lt;&gt;"",N('Your debts'!$C$8)&gt;0))),"",IF('Your debts'!$D$20="Avalanche",'Avalanche workings'!$AR$516,'Snowball workings'!$AR$516))</f>
      </c>
      <c r="L514" s="29">
        <f>IF(OR(509&gt;$Z$1,NOT(OR('Your debts'!$B$9&lt;&gt;"",N('Your debts'!$C$9)&gt;0))),"",IF('Your debts'!$D$20="Avalanche",'Avalanche workings'!$O$516,'Snowball workings'!$O$516)+IF('Your debts'!$D$20="Avalanche",'Avalanche workings'!$AI$516,'Snowball workings'!$AI$516))</f>
      </c>
      <c r="M514" s="30">
        <f>IF(OR(509&gt;$Z$1,NOT(OR('Your debts'!$B$9&lt;&gt;"",N('Your debts'!$C$9)&gt;0))),"",IF('Your debts'!$D$20="Avalanche",'Avalanche workings'!$AS$516,'Snowball workings'!$AS$516))</f>
      </c>
      <c r="N514" s="29">
        <f>IF(OR(509&gt;$Z$1,NOT(OR('Your debts'!$B$10&lt;&gt;"",N('Your debts'!$C$10)&gt;0))),"",IF('Your debts'!$D$20="Avalanche",'Avalanche workings'!$P$516,'Snowball workings'!$P$516)+IF('Your debts'!$D$20="Avalanche",'Avalanche workings'!$AJ$516,'Snowball workings'!$AJ$516))</f>
      </c>
      <c r="O514" s="30">
        <f>IF(OR(509&gt;$Z$1,NOT(OR('Your debts'!$B$10&lt;&gt;"",N('Your debts'!$C$10)&gt;0))),"",IF('Your debts'!$D$20="Avalanche",'Avalanche workings'!$AT$516,'Snowball workings'!$AT$516))</f>
      </c>
      <c r="P514" s="29">
        <f>IF(OR(509&gt;$Z$1,NOT(OR('Your debts'!$B$11&lt;&gt;"",N('Your debts'!$C$11)&gt;0))),"",IF('Your debts'!$D$20="Avalanche",'Avalanche workings'!$Q$516,'Snowball workings'!$Q$516)+IF('Your debts'!$D$20="Avalanche",'Avalanche workings'!$AK$516,'Snowball workings'!$AK$516))</f>
      </c>
      <c r="Q514" s="30">
        <f>IF(OR(509&gt;$Z$1,NOT(OR('Your debts'!$B$11&lt;&gt;"",N('Your debts'!$C$11)&gt;0))),"",IF('Your debts'!$D$20="Avalanche",'Avalanche workings'!$AU$516,'Snowball workings'!$AU$516))</f>
      </c>
      <c r="R514" s="29">
        <f>IF(OR(509&gt;$Z$1,NOT(OR('Your debts'!$B$12&lt;&gt;"",N('Your debts'!$C$12)&gt;0))),"",IF('Your debts'!$D$20="Avalanche",'Avalanche workings'!$R$516,'Snowball workings'!$R$516)+IF('Your debts'!$D$20="Avalanche",'Avalanche workings'!$AL$516,'Snowball workings'!$AL$516))</f>
      </c>
      <c r="S514" s="30">
        <f>IF(OR(509&gt;$Z$1,NOT(OR('Your debts'!$B$12&lt;&gt;"",N('Your debts'!$C$12)&gt;0))),"",IF('Your debts'!$D$20="Avalanche",'Avalanche workings'!$AV$516,'Snowball workings'!$AV$516))</f>
      </c>
      <c r="T514" s="29">
        <f>IF(OR(509&gt;$Z$1,NOT(OR('Your debts'!$B$13&lt;&gt;"",N('Your debts'!$C$13)&gt;0))),"",IF('Your debts'!$D$20="Avalanche",'Avalanche workings'!$S$516,'Snowball workings'!$S$516)+IF('Your debts'!$D$20="Avalanche",'Avalanche workings'!$AM$516,'Snowball workings'!$AM$516))</f>
      </c>
      <c r="U514" s="30">
        <f>IF(OR(509&gt;$Z$1,NOT(OR('Your debts'!$B$13&lt;&gt;"",N('Your debts'!$C$13)&gt;0))),"",IF('Your debts'!$D$20="Avalanche",'Avalanche workings'!$AW$516,'Snowball workings'!$AW$516))</f>
      </c>
      <c r="V514" s="29">
        <f>IF(OR(509&gt;$Z$1,NOT(OR('Your debts'!$B$14&lt;&gt;"",N('Your debts'!$C$14)&gt;0))),"",IF('Your debts'!$D$20="Avalanche",'Avalanche workings'!$T$516,'Snowball workings'!$T$516)+IF('Your debts'!$D$20="Avalanche",'Avalanche workings'!$AN$516,'Snowball workings'!$AN$516))</f>
      </c>
      <c r="W514" s="30">
        <f>IF(OR(509&gt;$Z$1,NOT(OR('Your debts'!$B$14&lt;&gt;"",N('Your debts'!$C$14)&gt;0))),"",IF('Your debts'!$D$20="Avalanche",'Avalanche workings'!$AX$516,'Snowball workings'!$AX$516))</f>
      </c>
      <c r="X514" s="29">
        <f>IF(OR(509&gt;$Z$1,NOT(OR('Your debts'!$B$15&lt;&gt;"",N('Your debts'!$C$15)&gt;0))),"",IF('Your debts'!$D$20="Avalanche",'Avalanche workings'!$U$516,'Snowball workings'!$U$516)+IF('Your debts'!$D$20="Avalanche",'Avalanche workings'!$AO$516,'Snowball workings'!$AO$516))</f>
      </c>
      <c r="Y514" s="30">
        <f>IF(OR(509&gt;$Z$1,NOT(OR('Your debts'!$B$15&lt;&gt;"",N('Your debts'!$C$15)&gt;0))),"",IF('Your debts'!$D$20="Avalanche",'Avalanche workings'!$AY$516,'Snowball workings'!$AY$516))</f>
      </c>
    </row>
    <row r="515" spans="1:25" x14ac:dyDescent="0.25">
      <c r="A515" s="2">
        <f>IF(510&gt;$Z$1,"",510)</f>
      </c>
      <c r="B515" s="28">
        <f>IF(510&gt;$Z$1,"",EDATE('Your debts'!$D$21,509))</f>
      </c>
      <c r="C515" s="29">
        <f>IF(510&gt;$Z$1,"",IF('Your debts'!$D$20="Avalanche",'Avalanche workings'!$BC$517,'Snowball workings'!$BC$517))</f>
      </c>
      <c r="D515" s="29">
        <f>IF(510&gt;$Z$1,"",IF('Your debts'!$D$20="Avalanche",'Avalanche workings'!$BA$517,'Snowball workings'!$BA$517))</f>
      </c>
      <c r="E515" s="29">
        <f>IF(510&gt;$Z$1,"",IF('Your debts'!$D$20="Avalanche",'Avalanche workings'!$BB$517,'Snowball workings'!$BB$517))</f>
      </c>
      <c r="F515" s="29">
        <f>IF(OR(510&gt;$Z$1,NOT(OR('Your debts'!$B$6&lt;&gt;"",N('Your debts'!$C$6)&gt;0))),"",IF('Your debts'!$D$20="Avalanche",'Avalanche workings'!$L$517,'Snowball workings'!$L$517)+IF('Your debts'!$D$20="Avalanche",'Avalanche workings'!$AF$517,'Snowball workings'!$AF$517))</f>
      </c>
      <c r="G515" s="30">
        <f>IF(OR(510&gt;$Z$1,NOT(OR('Your debts'!$B$6&lt;&gt;"",N('Your debts'!$C$6)&gt;0))),"",IF('Your debts'!$D$20="Avalanche",'Avalanche workings'!$AP$517,'Snowball workings'!$AP$517))</f>
      </c>
      <c r="H515" s="29">
        <f>IF(OR(510&gt;$Z$1,NOT(OR('Your debts'!$B$7&lt;&gt;"",N('Your debts'!$C$7)&gt;0))),"",IF('Your debts'!$D$20="Avalanche",'Avalanche workings'!$M$517,'Snowball workings'!$M$517)+IF('Your debts'!$D$20="Avalanche",'Avalanche workings'!$AG$517,'Snowball workings'!$AG$517))</f>
      </c>
      <c r="I515" s="30">
        <f>IF(OR(510&gt;$Z$1,NOT(OR('Your debts'!$B$7&lt;&gt;"",N('Your debts'!$C$7)&gt;0))),"",IF('Your debts'!$D$20="Avalanche",'Avalanche workings'!$AQ$517,'Snowball workings'!$AQ$517))</f>
      </c>
      <c r="J515" s="29">
        <f>IF(OR(510&gt;$Z$1,NOT(OR('Your debts'!$B$8&lt;&gt;"",N('Your debts'!$C$8)&gt;0))),"",IF('Your debts'!$D$20="Avalanche",'Avalanche workings'!$N$517,'Snowball workings'!$N$517)+IF('Your debts'!$D$20="Avalanche",'Avalanche workings'!$AH$517,'Snowball workings'!$AH$517))</f>
      </c>
      <c r="K515" s="30">
        <f>IF(OR(510&gt;$Z$1,NOT(OR('Your debts'!$B$8&lt;&gt;"",N('Your debts'!$C$8)&gt;0))),"",IF('Your debts'!$D$20="Avalanche",'Avalanche workings'!$AR$517,'Snowball workings'!$AR$517))</f>
      </c>
      <c r="L515" s="29">
        <f>IF(OR(510&gt;$Z$1,NOT(OR('Your debts'!$B$9&lt;&gt;"",N('Your debts'!$C$9)&gt;0))),"",IF('Your debts'!$D$20="Avalanche",'Avalanche workings'!$O$517,'Snowball workings'!$O$517)+IF('Your debts'!$D$20="Avalanche",'Avalanche workings'!$AI$517,'Snowball workings'!$AI$517))</f>
      </c>
      <c r="M515" s="30">
        <f>IF(OR(510&gt;$Z$1,NOT(OR('Your debts'!$B$9&lt;&gt;"",N('Your debts'!$C$9)&gt;0))),"",IF('Your debts'!$D$20="Avalanche",'Avalanche workings'!$AS$517,'Snowball workings'!$AS$517))</f>
      </c>
      <c r="N515" s="29">
        <f>IF(OR(510&gt;$Z$1,NOT(OR('Your debts'!$B$10&lt;&gt;"",N('Your debts'!$C$10)&gt;0))),"",IF('Your debts'!$D$20="Avalanche",'Avalanche workings'!$P$517,'Snowball workings'!$P$517)+IF('Your debts'!$D$20="Avalanche",'Avalanche workings'!$AJ$517,'Snowball workings'!$AJ$517))</f>
      </c>
      <c r="O515" s="30">
        <f>IF(OR(510&gt;$Z$1,NOT(OR('Your debts'!$B$10&lt;&gt;"",N('Your debts'!$C$10)&gt;0))),"",IF('Your debts'!$D$20="Avalanche",'Avalanche workings'!$AT$517,'Snowball workings'!$AT$517))</f>
      </c>
      <c r="P515" s="29">
        <f>IF(OR(510&gt;$Z$1,NOT(OR('Your debts'!$B$11&lt;&gt;"",N('Your debts'!$C$11)&gt;0))),"",IF('Your debts'!$D$20="Avalanche",'Avalanche workings'!$Q$517,'Snowball workings'!$Q$517)+IF('Your debts'!$D$20="Avalanche",'Avalanche workings'!$AK$517,'Snowball workings'!$AK$517))</f>
      </c>
      <c r="Q515" s="30">
        <f>IF(OR(510&gt;$Z$1,NOT(OR('Your debts'!$B$11&lt;&gt;"",N('Your debts'!$C$11)&gt;0))),"",IF('Your debts'!$D$20="Avalanche",'Avalanche workings'!$AU$517,'Snowball workings'!$AU$517))</f>
      </c>
      <c r="R515" s="29">
        <f>IF(OR(510&gt;$Z$1,NOT(OR('Your debts'!$B$12&lt;&gt;"",N('Your debts'!$C$12)&gt;0))),"",IF('Your debts'!$D$20="Avalanche",'Avalanche workings'!$R$517,'Snowball workings'!$R$517)+IF('Your debts'!$D$20="Avalanche",'Avalanche workings'!$AL$517,'Snowball workings'!$AL$517))</f>
      </c>
      <c r="S515" s="30">
        <f>IF(OR(510&gt;$Z$1,NOT(OR('Your debts'!$B$12&lt;&gt;"",N('Your debts'!$C$12)&gt;0))),"",IF('Your debts'!$D$20="Avalanche",'Avalanche workings'!$AV$517,'Snowball workings'!$AV$517))</f>
      </c>
      <c r="T515" s="29">
        <f>IF(OR(510&gt;$Z$1,NOT(OR('Your debts'!$B$13&lt;&gt;"",N('Your debts'!$C$13)&gt;0))),"",IF('Your debts'!$D$20="Avalanche",'Avalanche workings'!$S$517,'Snowball workings'!$S$517)+IF('Your debts'!$D$20="Avalanche",'Avalanche workings'!$AM$517,'Snowball workings'!$AM$517))</f>
      </c>
      <c r="U515" s="30">
        <f>IF(OR(510&gt;$Z$1,NOT(OR('Your debts'!$B$13&lt;&gt;"",N('Your debts'!$C$13)&gt;0))),"",IF('Your debts'!$D$20="Avalanche",'Avalanche workings'!$AW$517,'Snowball workings'!$AW$517))</f>
      </c>
      <c r="V515" s="29">
        <f>IF(OR(510&gt;$Z$1,NOT(OR('Your debts'!$B$14&lt;&gt;"",N('Your debts'!$C$14)&gt;0))),"",IF('Your debts'!$D$20="Avalanche",'Avalanche workings'!$T$517,'Snowball workings'!$T$517)+IF('Your debts'!$D$20="Avalanche",'Avalanche workings'!$AN$517,'Snowball workings'!$AN$517))</f>
      </c>
      <c r="W515" s="30">
        <f>IF(OR(510&gt;$Z$1,NOT(OR('Your debts'!$B$14&lt;&gt;"",N('Your debts'!$C$14)&gt;0))),"",IF('Your debts'!$D$20="Avalanche",'Avalanche workings'!$AX$517,'Snowball workings'!$AX$517))</f>
      </c>
      <c r="X515" s="29">
        <f>IF(OR(510&gt;$Z$1,NOT(OR('Your debts'!$B$15&lt;&gt;"",N('Your debts'!$C$15)&gt;0))),"",IF('Your debts'!$D$20="Avalanche",'Avalanche workings'!$U$517,'Snowball workings'!$U$517)+IF('Your debts'!$D$20="Avalanche",'Avalanche workings'!$AO$517,'Snowball workings'!$AO$517))</f>
      </c>
      <c r="Y515" s="30">
        <f>IF(OR(510&gt;$Z$1,NOT(OR('Your debts'!$B$15&lt;&gt;"",N('Your debts'!$C$15)&gt;0))),"",IF('Your debts'!$D$20="Avalanche",'Avalanche workings'!$AY$517,'Snowball workings'!$AY$517))</f>
      </c>
    </row>
    <row r="516" spans="1:25" x14ac:dyDescent="0.25">
      <c r="A516" s="2">
        <f>IF(511&gt;$Z$1,"",511)</f>
      </c>
      <c r="B516" s="28">
        <f>IF(511&gt;$Z$1,"",EDATE('Your debts'!$D$21,510))</f>
      </c>
      <c r="C516" s="29">
        <f>IF(511&gt;$Z$1,"",IF('Your debts'!$D$20="Avalanche",'Avalanche workings'!$BC$518,'Snowball workings'!$BC$518))</f>
      </c>
      <c r="D516" s="29">
        <f>IF(511&gt;$Z$1,"",IF('Your debts'!$D$20="Avalanche",'Avalanche workings'!$BA$518,'Snowball workings'!$BA$518))</f>
      </c>
      <c r="E516" s="29">
        <f>IF(511&gt;$Z$1,"",IF('Your debts'!$D$20="Avalanche",'Avalanche workings'!$BB$518,'Snowball workings'!$BB$518))</f>
      </c>
      <c r="F516" s="29">
        <f>IF(OR(511&gt;$Z$1,NOT(OR('Your debts'!$B$6&lt;&gt;"",N('Your debts'!$C$6)&gt;0))),"",IF('Your debts'!$D$20="Avalanche",'Avalanche workings'!$L$518,'Snowball workings'!$L$518)+IF('Your debts'!$D$20="Avalanche",'Avalanche workings'!$AF$518,'Snowball workings'!$AF$518))</f>
      </c>
      <c r="G516" s="30">
        <f>IF(OR(511&gt;$Z$1,NOT(OR('Your debts'!$B$6&lt;&gt;"",N('Your debts'!$C$6)&gt;0))),"",IF('Your debts'!$D$20="Avalanche",'Avalanche workings'!$AP$518,'Snowball workings'!$AP$518))</f>
      </c>
      <c r="H516" s="29">
        <f>IF(OR(511&gt;$Z$1,NOT(OR('Your debts'!$B$7&lt;&gt;"",N('Your debts'!$C$7)&gt;0))),"",IF('Your debts'!$D$20="Avalanche",'Avalanche workings'!$M$518,'Snowball workings'!$M$518)+IF('Your debts'!$D$20="Avalanche",'Avalanche workings'!$AG$518,'Snowball workings'!$AG$518))</f>
      </c>
      <c r="I516" s="30">
        <f>IF(OR(511&gt;$Z$1,NOT(OR('Your debts'!$B$7&lt;&gt;"",N('Your debts'!$C$7)&gt;0))),"",IF('Your debts'!$D$20="Avalanche",'Avalanche workings'!$AQ$518,'Snowball workings'!$AQ$518))</f>
      </c>
      <c r="J516" s="29">
        <f>IF(OR(511&gt;$Z$1,NOT(OR('Your debts'!$B$8&lt;&gt;"",N('Your debts'!$C$8)&gt;0))),"",IF('Your debts'!$D$20="Avalanche",'Avalanche workings'!$N$518,'Snowball workings'!$N$518)+IF('Your debts'!$D$20="Avalanche",'Avalanche workings'!$AH$518,'Snowball workings'!$AH$518))</f>
      </c>
      <c r="K516" s="30">
        <f>IF(OR(511&gt;$Z$1,NOT(OR('Your debts'!$B$8&lt;&gt;"",N('Your debts'!$C$8)&gt;0))),"",IF('Your debts'!$D$20="Avalanche",'Avalanche workings'!$AR$518,'Snowball workings'!$AR$518))</f>
      </c>
      <c r="L516" s="29">
        <f>IF(OR(511&gt;$Z$1,NOT(OR('Your debts'!$B$9&lt;&gt;"",N('Your debts'!$C$9)&gt;0))),"",IF('Your debts'!$D$20="Avalanche",'Avalanche workings'!$O$518,'Snowball workings'!$O$518)+IF('Your debts'!$D$20="Avalanche",'Avalanche workings'!$AI$518,'Snowball workings'!$AI$518))</f>
      </c>
      <c r="M516" s="30">
        <f>IF(OR(511&gt;$Z$1,NOT(OR('Your debts'!$B$9&lt;&gt;"",N('Your debts'!$C$9)&gt;0))),"",IF('Your debts'!$D$20="Avalanche",'Avalanche workings'!$AS$518,'Snowball workings'!$AS$518))</f>
      </c>
      <c r="N516" s="29">
        <f>IF(OR(511&gt;$Z$1,NOT(OR('Your debts'!$B$10&lt;&gt;"",N('Your debts'!$C$10)&gt;0))),"",IF('Your debts'!$D$20="Avalanche",'Avalanche workings'!$P$518,'Snowball workings'!$P$518)+IF('Your debts'!$D$20="Avalanche",'Avalanche workings'!$AJ$518,'Snowball workings'!$AJ$518))</f>
      </c>
      <c r="O516" s="30">
        <f>IF(OR(511&gt;$Z$1,NOT(OR('Your debts'!$B$10&lt;&gt;"",N('Your debts'!$C$10)&gt;0))),"",IF('Your debts'!$D$20="Avalanche",'Avalanche workings'!$AT$518,'Snowball workings'!$AT$518))</f>
      </c>
      <c r="P516" s="29">
        <f>IF(OR(511&gt;$Z$1,NOT(OR('Your debts'!$B$11&lt;&gt;"",N('Your debts'!$C$11)&gt;0))),"",IF('Your debts'!$D$20="Avalanche",'Avalanche workings'!$Q$518,'Snowball workings'!$Q$518)+IF('Your debts'!$D$20="Avalanche",'Avalanche workings'!$AK$518,'Snowball workings'!$AK$518))</f>
      </c>
      <c r="Q516" s="30">
        <f>IF(OR(511&gt;$Z$1,NOT(OR('Your debts'!$B$11&lt;&gt;"",N('Your debts'!$C$11)&gt;0))),"",IF('Your debts'!$D$20="Avalanche",'Avalanche workings'!$AU$518,'Snowball workings'!$AU$518))</f>
      </c>
      <c r="R516" s="29">
        <f>IF(OR(511&gt;$Z$1,NOT(OR('Your debts'!$B$12&lt;&gt;"",N('Your debts'!$C$12)&gt;0))),"",IF('Your debts'!$D$20="Avalanche",'Avalanche workings'!$R$518,'Snowball workings'!$R$518)+IF('Your debts'!$D$20="Avalanche",'Avalanche workings'!$AL$518,'Snowball workings'!$AL$518))</f>
      </c>
      <c r="S516" s="30">
        <f>IF(OR(511&gt;$Z$1,NOT(OR('Your debts'!$B$12&lt;&gt;"",N('Your debts'!$C$12)&gt;0))),"",IF('Your debts'!$D$20="Avalanche",'Avalanche workings'!$AV$518,'Snowball workings'!$AV$518))</f>
      </c>
      <c r="T516" s="29">
        <f>IF(OR(511&gt;$Z$1,NOT(OR('Your debts'!$B$13&lt;&gt;"",N('Your debts'!$C$13)&gt;0))),"",IF('Your debts'!$D$20="Avalanche",'Avalanche workings'!$S$518,'Snowball workings'!$S$518)+IF('Your debts'!$D$20="Avalanche",'Avalanche workings'!$AM$518,'Snowball workings'!$AM$518))</f>
      </c>
      <c r="U516" s="30">
        <f>IF(OR(511&gt;$Z$1,NOT(OR('Your debts'!$B$13&lt;&gt;"",N('Your debts'!$C$13)&gt;0))),"",IF('Your debts'!$D$20="Avalanche",'Avalanche workings'!$AW$518,'Snowball workings'!$AW$518))</f>
      </c>
      <c r="V516" s="29">
        <f>IF(OR(511&gt;$Z$1,NOT(OR('Your debts'!$B$14&lt;&gt;"",N('Your debts'!$C$14)&gt;0))),"",IF('Your debts'!$D$20="Avalanche",'Avalanche workings'!$T$518,'Snowball workings'!$T$518)+IF('Your debts'!$D$20="Avalanche",'Avalanche workings'!$AN$518,'Snowball workings'!$AN$518))</f>
      </c>
      <c r="W516" s="30">
        <f>IF(OR(511&gt;$Z$1,NOT(OR('Your debts'!$B$14&lt;&gt;"",N('Your debts'!$C$14)&gt;0))),"",IF('Your debts'!$D$20="Avalanche",'Avalanche workings'!$AX$518,'Snowball workings'!$AX$518))</f>
      </c>
      <c r="X516" s="29">
        <f>IF(OR(511&gt;$Z$1,NOT(OR('Your debts'!$B$15&lt;&gt;"",N('Your debts'!$C$15)&gt;0))),"",IF('Your debts'!$D$20="Avalanche",'Avalanche workings'!$U$518,'Snowball workings'!$U$518)+IF('Your debts'!$D$20="Avalanche",'Avalanche workings'!$AO$518,'Snowball workings'!$AO$518))</f>
      </c>
      <c r="Y516" s="30">
        <f>IF(OR(511&gt;$Z$1,NOT(OR('Your debts'!$B$15&lt;&gt;"",N('Your debts'!$C$15)&gt;0))),"",IF('Your debts'!$D$20="Avalanche",'Avalanche workings'!$AY$518,'Snowball workings'!$AY$518))</f>
      </c>
    </row>
    <row r="517" spans="1:25" x14ac:dyDescent="0.25">
      <c r="A517" s="2">
        <f>IF(512&gt;$Z$1,"",512)</f>
      </c>
      <c r="B517" s="28">
        <f>IF(512&gt;$Z$1,"",EDATE('Your debts'!$D$21,511))</f>
      </c>
      <c r="C517" s="29">
        <f>IF(512&gt;$Z$1,"",IF('Your debts'!$D$20="Avalanche",'Avalanche workings'!$BC$519,'Snowball workings'!$BC$519))</f>
      </c>
      <c r="D517" s="29">
        <f>IF(512&gt;$Z$1,"",IF('Your debts'!$D$20="Avalanche",'Avalanche workings'!$BA$519,'Snowball workings'!$BA$519))</f>
      </c>
      <c r="E517" s="29">
        <f>IF(512&gt;$Z$1,"",IF('Your debts'!$D$20="Avalanche",'Avalanche workings'!$BB$519,'Snowball workings'!$BB$519))</f>
      </c>
      <c r="F517" s="29">
        <f>IF(OR(512&gt;$Z$1,NOT(OR('Your debts'!$B$6&lt;&gt;"",N('Your debts'!$C$6)&gt;0))),"",IF('Your debts'!$D$20="Avalanche",'Avalanche workings'!$L$519,'Snowball workings'!$L$519)+IF('Your debts'!$D$20="Avalanche",'Avalanche workings'!$AF$519,'Snowball workings'!$AF$519))</f>
      </c>
      <c r="G517" s="30">
        <f>IF(OR(512&gt;$Z$1,NOT(OR('Your debts'!$B$6&lt;&gt;"",N('Your debts'!$C$6)&gt;0))),"",IF('Your debts'!$D$20="Avalanche",'Avalanche workings'!$AP$519,'Snowball workings'!$AP$519))</f>
      </c>
      <c r="H517" s="29">
        <f>IF(OR(512&gt;$Z$1,NOT(OR('Your debts'!$B$7&lt;&gt;"",N('Your debts'!$C$7)&gt;0))),"",IF('Your debts'!$D$20="Avalanche",'Avalanche workings'!$M$519,'Snowball workings'!$M$519)+IF('Your debts'!$D$20="Avalanche",'Avalanche workings'!$AG$519,'Snowball workings'!$AG$519))</f>
      </c>
      <c r="I517" s="30">
        <f>IF(OR(512&gt;$Z$1,NOT(OR('Your debts'!$B$7&lt;&gt;"",N('Your debts'!$C$7)&gt;0))),"",IF('Your debts'!$D$20="Avalanche",'Avalanche workings'!$AQ$519,'Snowball workings'!$AQ$519))</f>
      </c>
      <c r="J517" s="29">
        <f>IF(OR(512&gt;$Z$1,NOT(OR('Your debts'!$B$8&lt;&gt;"",N('Your debts'!$C$8)&gt;0))),"",IF('Your debts'!$D$20="Avalanche",'Avalanche workings'!$N$519,'Snowball workings'!$N$519)+IF('Your debts'!$D$20="Avalanche",'Avalanche workings'!$AH$519,'Snowball workings'!$AH$519))</f>
      </c>
      <c r="K517" s="30">
        <f>IF(OR(512&gt;$Z$1,NOT(OR('Your debts'!$B$8&lt;&gt;"",N('Your debts'!$C$8)&gt;0))),"",IF('Your debts'!$D$20="Avalanche",'Avalanche workings'!$AR$519,'Snowball workings'!$AR$519))</f>
      </c>
      <c r="L517" s="29">
        <f>IF(OR(512&gt;$Z$1,NOT(OR('Your debts'!$B$9&lt;&gt;"",N('Your debts'!$C$9)&gt;0))),"",IF('Your debts'!$D$20="Avalanche",'Avalanche workings'!$O$519,'Snowball workings'!$O$519)+IF('Your debts'!$D$20="Avalanche",'Avalanche workings'!$AI$519,'Snowball workings'!$AI$519))</f>
      </c>
      <c r="M517" s="30">
        <f>IF(OR(512&gt;$Z$1,NOT(OR('Your debts'!$B$9&lt;&gt;"",N('Your debts'!$C$9)&gt;0))),"",IF('Your debts'!$D$20="Avalanche",'Avalanche workings'!$AS$519,'Snowball workings'!$AS$519))</f>
      </c>
      <c r="N517" s="29">
        <f>IF(OR(512&gt;$Z$1,NOT(OR('Your debts'!$B$10&lt;&gt;"",N('Your debts'!$C$10)&gt;0))),"",IF('Your debts'!$D$20="Avalanche",'Avalanche workings'!$P$519,'Snowball workings'!$P$519)+IF('Your debts'!$D$20="Avalanche",'Avalanche workings'!$AJ$519,'Snowball workings'!$AJ$519))</f>
      </c>
      <c r="O517" s="30">
        <f>IF(OR(512&gt;$Z$1,NOT(OR('Your debts'!$B$10&lt;&gt;"",N('Your debts'!$C$10)&gt;0))),"",IF('Your debts'!$D$20="Avalanche",'Avalanche workings'!$AT$519,'Snowball workings'!$AT$519))</f>
      </c>
      <c r="P517" s="29">
        <f>IF(OR(512&gt;$Z$1,NOT(OR('Your debts'!$B$11&lt;&gt;"",N('Your debts'!$C$11)&gt;0))),"",IF('Your debts'!$D$20="Avalanche",'Avalanche workings'!$Q$519,'Snowball workings'!$Q$519)+IF('Your debts'!$D$20="Avalanche",'Avalanche workings'!$AK$519,'Snowball workings'!$AK$519))</f>
      </c>
      <c r="Q517" s="30">
        <f>IF(OR(512&gt;$Z$1,NOT(OR('Your debts'!$B$11&lt;&gt;"",N('Your debts'!$C$11)&gt;0))),"",IF('Your debts'!$D$20="Avalanche",'Avalanche workings'!$AU$519,'Snowball workings'!$AU$519))</f>
      </c>
      <c r="R517" s="29">
        <f>IF(OR(512&gt;$Z$1,NOT(OR('Your debts'!$B$12&lt;&gt;"",N('Your debts'!$C$12)&gt;0))),"",IF('Your debts'!$D$20="Avalanche",'Avalanche workings'!$R$519,'Snowball workings'!$R$519)+IF('Your debts'!$D$20="Avalanche",'Avalanche workings'!$AL$519,'Snowball workings'!$AL$519))</f>
      </c>
      <c r="S517" s="30">
        <f>IF(OR(512&gt;$Z$1,NOT(OR('Your debts'!$B$12&lt;&gt;"",N('Your debts'!$C$12)&gt;0))),"",IF('Your debts'!$D$20="Avalanche",'Avalanche workings'!$AV$519,'Snowball workings'!$AV$519))</f>
      </c>
      <c r="T517" s="29">
        <f>IF(OR(512&gt;$Z$1,NOT(OR('Your debts'!$B$13&lt;&gt;"",N('Your debts'!$C$13)&gt;0))),"",IF('Your debts'!$D$20="Avalanche",'Avalanche workings'!$S$519,'Snowball workings'!$S$519)+IF('Your debts'!$D$20="Avalanche",'Avalanche workings'!$AM$519,'Snowball workings'!$AM$519))</f>
      </c>
      <c r="U517" s="30">
        <f>IF(OR(512&gt;$Z$1,NOT(OR('Your debts'!$B$13&lt;&gt;"",N('Your debts'!$C$13)&gt;0))),"",IF('Your debts'!$D$20="Avalanche",'Avalanche workings'!$AW$519,'Snowball workings'!$AW$519))</f>
      </c>
      <c r="V517" s="29">
        <f>IF(OR(512&gt;$Z$1,NOT(OR('Your debts'!$B$14&lt;&gt;"",N('Your debts'!$C$14)&gt;0))),"",IF('Your debts'!$D$20="Avalanche",'Avalanche workings'!$T$519,'Snowball workings'!$T$519)+IF('Your debts'!$D$20="Avalanche",'Avalanche workings'!$AN$519,'Snowball workings'!$AN$519))</f>
      </c>
      <c r="W517" s="30">
        <f>IF(OR(512&gt;$Z$1,NOT(OR('Your debts'!$B$14&lt;&gt;"",N('Your debts'!$C$14)&gt;0))),"",IF('Your debts'!$D$20="Avalanche",'Avalanche workings'!$AX$519,'Snowball workings'!$AX$519))</f>
      </c>
      <c r="X517" s="29">
        <f>IF(OR(512&gt;$Z$1,NOT(OR('Your debts'!$B$15&lt;&gt;"",N('Your debts'!$C$15)&gt;0))),"",IF('Your debts'!$D$20="Avalanche",'Avalanche workings'!$U$519,'Snowball workings'!$U$519)+IF('Your debts'!$D$20="Avalanche",'Avalanche workings'!$AO$519,'Snowball workings'!$AO$519))</f>
      </c>
      <c r="Y517" s="30">
        <f>IF(OR(512&gt;$Z$1,NOT(OR('Your debts'!$B$15&lt;&gt;"",N('Your debts'!$C$15)&gt;0))),"",IF('Your debts'!$D$20="Avalanche",'Avalanche workings'!$AY$519,'Snowball workings'!$AY$519))</f>
      </c>
    </row>
    <row r="518" spans="1:25" x14ac:dyDescent="0.25">
      <c r="A518" s="2">
        <f>IF(513&gt;$Z$1,"",513)</f>
      </c>
      <c r="B518" s="28">
        <f>IF(513&gt;$Z$1,"",EDATE('Your debts'!$D$21,512))</f>
      </c>
      <c r="C518" s="29">
        <f>IF(513&gt;$Z$1,"",IF('Your debts'!$D$20="Avalanche",'Avalanche workings'!$BC$520,'Snowball workings'!$BC$520))</f>
      </c>
      <c r="D518" s="29">
        <f>IF(513&gt;$Z$1,"",IF('Your debts'!$D$20="Avalanche",'Avalanche workings'!$BA$520,'Snowball workings'!$BA$520))</f>
      </c>
      <c r="E518" s="29">
        <f>IF(513&gt;$Z$1,"",IF('Your debts'!$D$20="Avalanche",'Avalanche workings'!$BB$520,'Snowball workings'!$BB$520))</f>
      </c>
      <c r="F518" s="29">
        <f>IF(OR(513&gt;$Z$1,NOT(OR('Your debts'!$B$6&lt;&gt;"",N('Your debts'!$C$6)&gt;0))),"",IF('Your debts'!$D$20="Avalanche",'Avalanche workings'!$L$520,'Snowball workings'!$L$520)+IF('Your debts'!$D$20="Avalanche",'Avalanche workings'!$AF$520,'Snowball workings'!$AF$520))</f>
      </c>
      <c r="G518" s="30">
        <f>IF(OR(513&gt;$Z$1,NOT(OR('Your debts'!$B$6&lt;&gt;"",N('Your debts'!$C$6)&gt;0))),"",IF('Your debts'!$D$20="Avalanche",'Avalanche workings'!$AP$520,'Snowball workings'!$AP$520))</f>
      </c>
      <c r="H518" s="29">
        <f>IF(OR(513&gt;$Z$1,NOT(OR('Your debts'!$B$7&lt;&gt;"",N('Your debts'!$C$7)&gt;0))),"",IF('Your debts'!$D$20="Avalanche",'Avalanche workings'!$M$520,'Snowball workings'!$M$520)+IF('Your debts'!$D$20="Avalanche",'Avalanche workings'!$AG$520,'Snowball workings'!$AG$520))</f>
      </c>
      <c r="I518" s="30">
        <f>IF(OR(513&gt;$Z$1,NOT(OR('Your debts'!$B$7&lt;&gt;"",N('Your debts'!$C$7)&gt;0))),"",IF('Your debts'!$D$20="Avalanche",'Avalanche workings'!$AQ$520,'Snowball workings'!$AQ$520))</f>
      </c>
      <c r="J518" s="29">
        <f>IF(OR(513&gt;$Z$1,NOT(OR('Your debts'!$B$8&lt;&gt;"",N('Your debts'!$C$8)&gt;0))),"",IF('Your debts'!$D$20="Avalanche",'Avalanche workings'!$N$520,'Snowball workings'!$N$520)+IF('Your debts'!$D$20="Avalanche",'Avalanche workings'!$AH$520,'Snowball workings'!$AH$520))</f>
      </c>
      <c r="K518" s="30">
        <f>IF(OR(513&gt;$Z$1,NOT(OR('Your debts'!$B$8&lt;&gt;"",N('Your debts'!$C$8)&gt;0))),"",IF('Your debts'!$D$20="Avalanche",'Avalanche workings'!$AR$520,'Snowball workings'!$AR$520))</f>
      </c>
      <c r="L518" s="29">
        <f>IF(OR(513&gt;$Z$1,NOT(OR('Your debts'!$B$9&lt;&gt;"",N('Your debts'!$C$9)&gt;0))),"",IF('Your debts'!$D$20="Avalanche",'Avalanche workings'!$O$520,'Snowball workings'!$O$520)+IF('Your debts'!$D$20="Avalanche",'Avalanche workings'!$AI$520,'Snowball workings'!$AI$520))</f>
      </c>
      <c r="M518" s="30">
        <f>IF(OR(513&gt;$Z$1,NOT(OR('Your debts'!$B$9&lt;&gt;"",N('Your debts'!$C$9)&gt;0))),"",IF('Your debts'!$D$20="Avalanche",'Avalanche workings'!$AS$520,'Snowball workings'!$AS$520))</f>
      </c>
      <c r="N518" s="29">
        <f>IF(OR(513&gt;$Z$1,NOT(OR('Your debts'!$B$10&lt;&gt;"",N('Your debts'!$C$10)&gt;0))),"",IF('Your debts'!$D$20="Avalanche",'Avalanche workings'!$P$520,'Snowball workings'!$P$520)+IF('Your debts'!$D$20="Avalanche",'Avalanche workings'!$AJ$520,'Snowball workings'!$AJ$520))</f>
      </c>
      <c r="O518" s="30">
        <f>IF(OR(513&gt;$Z$1,NOT(OR('Your debts'!$B$10&lt;&gt;"",N('Your debts'!$C$10)&gt;0))),"",IF('Your debts'!$D$20="Avalanche",'Avalanche workings'!$AT$520,'Snowball workings'!$AT$520))</f>
      </c>
      <c r="P518" s="29">
        <f>IF(OR(513&gt;$Z$1,NOT(OR('Your debts'!$B$11&lt;&gt;"",N('Your debts'!$C$11)&gt;0))),"",IF('Your debts'!$D$20="Avalanche",'Avalanche workings'!$Q$520,'Snowball workings'!$Q$520)+IF('Your debts'!$D$20="Avalanche",'Avalanche workings'!$AK$520,'Snowball workings'!$AK$520))</f>
      </c>
      <c r="Q518" s="30">
        <f>IF(OR(513&gt;$Z$1,NOT(OR('Your debts'!$B$11&lt;&gt;"",N('Your debts'!$C$11)&gt;0))),"",IF('Your debts'!$D$20="Avalanche",'Avalanche workings'!$AU$520,'Snowball workings'!$AU$520))</f>
      </c>
      <c r="R518" s="29">
        <f>IF(OR(513&gt;$Z$1,NOT(OR('Your debts'!$B$12&lt;&gt;"",N('Your debts'!$C$12)&gt;0))),"",IF('Your debts'!$D$20="Avalanche",'Avalanche workings'!$R$520,'Snowball workings'!$R$520)+IF('Your debts'!$D$20="Avalanche",'Avalanche workings'!$AL$520,'Snowball workings'!$AL$520))</f>
      </c>
      <c r="S518" s="30">
        <f>IF(OR(513&gt;$Z$1,NOT(OR('Your debts'!$B$12&lt;&gt;"",N('Your debts'!$C$12)&gt;0))),"",IF('Your debts'!$D$20="Avalanche",'Avalanche workings'!$AV$520,'Snowball workings'!$AV$520))</f>
      </c>
      <c r="T518" s="29">
        <f>IF(OR(513&gt;$Z$1,NOT(OR('Your debts'!$B$13&lt;&gt;"",N('Your debts'!$C$13)&gt;0))),"",IF('Your debts'!$D$20="Avalanche",'Avalanche workings'!$S$520,'Snowball workings'!$S$520)+IF('Your debts'!$D$20="Avalanche",'Avalanche workings'!$AM$520,'Snowball workings'!$AM$520))</f>
      </c>
      <c r="U518" s="30">
        <f>IF(OR(513&gt;$Z$1,NOT(OR('Your debts'!$B$13&lt;&gt;"",N('Your debts'!$C$13)&gt;0))),"",IF('Your debts'!$D$20="Avalanche",'Avalanche workings'!$AW$520,'Snowball workings'!$AW$520))</f>
      </c>
      <c r="V518" s="29">
        <f>IF(OR(513&gt;$Z$1,NOT(OR('Your debts'!$B$14&lt;&gt;"",N('Your debts'!$C$14)&gt;0))),"",IF('Your debts'!$D$20="Avalanche",'Avalanche workings'!$T$520,'Snowball workings'!$T$520)+IF('Your debts'!$D$20="Avalanche",'Avalanche workings'!$AN$520,'Snowball workings'!$AN$520))</f>
      </c>
      <c r="W518" s="30">
        <f>IF(OR(513&gt;$Z$1,NOT(OR('Your debts'!$B$14&lt;&gt;"",N('Your debts'!$C$14)&gt;0))),"",IF('Your debts'!$D$20="Avalanche",'Avalanche workings'!$AX$520,'Snowball workings'!$AX$520))</f>
      </c>
      <c r="X518" s="29">
        <f>IF(OR(513&gt;$Z$1,NOT(OR('Your debts'!$B$15&lt;&gt;"",N('Your debts'!$C$15)&gt;0))),"",IF('Your debts'!$D$20="Avalanche",'Avalanche workings'!$U$520,'Snowball workings'!$U$520)+IF('Your debts'!$D$20="Avalanche",'Avalanche workings'!$AO$520,'Snowball workings'!$AO$520))</f>
      </c>
      <c r="Y518" s="30">
        <f>IF(OR(513&gt;$Z$1,NOT(OR('Your debts'!$B$15&lt;&gt;"",N('Your debts'!$C$15)&gt;0))),"",IF('Your debts'!$D$20="Avalanche",'Avalanche workings'!$AY$520,'Snowball workings'!$AY$520))</f>
      </c>
    </row>
    <row r="519" spans="1:25" x14ac:dyDescent="0.25">
      <c r="A519" s="2">
        <f>IF(514&gt;$Z$1,"",514)</f>
      </c>
      <c r="B519" s="28">
        <f>IF(514&gt;$Z$1,"",EDATE('Your debts'!$D$21,513))</f>
      </c>
      <c r="C519" s="29">
        <f>IF(514&gt;$Z$1,"",IF('Your debts'!$D$20="Avalanche",'Avalanche workings'!$BC$521,'Snowball workings'!$BC$521))</f>
      </c>
      <c r="D519" s="29">
        <f>IF(514&gt;$Z$1,"",IF('Your debts'!$D$20="Avalanche",'Avalanche workings'!$BA$521,'Snowball workings'!$BA$521))</f>
      </c>
      <c r="E519" s="29">
        <f>IF(514&gt;$Z$1,"",IF('Your debts'!$D$20="Avalanche",'Avalanche workings'!$BB$521,'Snowball workings'!$BB$521))</f>
      </c>
      <c r="F519" s="29">
        <f>IF(OR(514&gt;$Z$1,NOT(OR('Your debts'!$B$6&lt;&gt;"",N('Your debts'!$C$6)&gt;0))),"",IF('Your debts'!$D$20="Avalanche",'Avalanche workings'!$L$521,'Snowball workings'!$L$521)+IF('Your debts'!$D$20="Avalanche",'Avalanche workings'!$AF$521,'Snowball workings'!$AF$521))</f>
      </c>
      <c r="G519" s="30">
        <f>IF(OR(514&gt;$Z$1,NOT(OR('Your debts'!$B$6&lt;&gt;"",N('Your debts'!$C$6)&gt;0))),"",IF('Your debts'!$D$20="Avalanche",'Avalanche workings'!$AP$521,'Snowball workings'!$AP$521))</f>
      </c>
      <c r="H519" s="29">
        <f>IF(OR(514&gt;$Z$1,NOT(OR('Your debts'!$B$7&lt;&gt;"",N('Your debts'!$C$7)&gt;0))),"",IF('Your debts'!$D$20="Avalanche",'Avalanche workings'!$M$521,'Snowball workings'!$M$521)+IF('Your debts'!$D$20="Avalanche",'Avalanche workings'!$AG$521,'Snowball workings'!$AG$521))</f>
      </c>
      <c r="I519" s="30">
        <f>IF(OR(514&gt;$Z$1,NOT(OR('Your debts'!$B$7&lt;&gt;"",N('Your debts'!$C$7)&gt;0))),"",IF('Your debts'!$D$20="Avalanche",'Avalanche workings'!$AQ$521,'Snowball workings'!$AQ$521))</f>
      </c>
      <c r="J519" s="29">
        <f>IF(OR(514&gt;$Z$1,NOT(OR('Your debts'!$B$8&lt;&gt;"",N('Your debts'!$C$8)&gt;0))),"",IF('Your debts'!$D$20="Avalanche",'Avalanche workings'!$N$521,'Snowball workings'!$N$521)+IF('Your debts'!$D$20="Avalanche",'Avalanche workings'!$AH$521,'Snowball workings'!$AH$521))</f>
      </c>
      <c r="K519" s="30">
        <f>IF(OR(514&gt;$Z$1,NOT(OR('Your debts'!$B$8&lt;&gt;"",N('Your debts'!$C$8)&gt;0))),"",IF('Your debts'!$D$20="Avalanche",'Avalanche workings'!$AR$521,'Snowball workings'!$AR$521))</f>
      </c>
      <c r="L519" s="29">
        <f>IF(OR(514&gt;$Z$1,NOT(OR('Your debts'!$B$9&lt;&gt;"",N('Your debts'!$C$9)&gt;0))),"",IF('Your debts'!$D$20="Avalanche",'Avalanche workings'!$O$521,'Snowball workings'!$O$521)+IF('Your debts'!$D$20="Avalanche",'Avalanche workings'!$AI$521,'Snowball workings'!$AI$521))</f>
      </c>
      <c r="M519" s="30">
        <f>IF(OR(514&gt;$Z$1,NOT(OR('Your debts'!$B$9&lt;&gt;"",N('Your debts'!$C$9)&gt;0))),"",IF('Your debts'!$D$20="Avalanche",'Avalanche workings'!$AS$521,'Snowball workings'!$AS$521))</f>
      </c>
      <c r="N519" s="29">
        <f>IF(OR(514&gt;$Z$1,NOT(OR('Your debts'!$B$10&lt;&gt;"",N('Your debts'!$C$10)&gt;0))),"",IF('Your debts'!$D$20="Avalanche",'Avalanche workings'!$P$521,'Snowball workings'!$P$521)+IF('Your debts'!$D$20="Avalanche",'Avalanche workings'!$AJ$521,'Snowball workings'!$AJ$521))</f>
      </c>
      <c r="O519" s="30">
        <f>IF(OR(514&gt;$Z$1,NOT(OR('Your debts'!$B$10&lt;&gt;"",N('Your debts'!$C$10)&gt;0))),"",IF('Your debts'!$D$20="Avalanche",'Avalanche workings'!$AT$521,'Snowball workings'!$AT$521))</f>
      </c>
      <c r="P519" s="29">
        <f>IF(OR(514&gt;$Z$1,NOT(OR('Your debts'!$B$11&lt;&gt;"",N('Your debts'!$C$11)&gt;0))),"",IF('Your debts'!$D$20="Avalanche",'Avalanche workings'!$Q$521,'Snowball workings'!$Q$521)+IF('Your debts'!$D$20="Avalanche",'Avalanche workings'!$AK$521,'Snowball workings'!$AK$521))</f>
      </c>
      <c r="Q519" s="30">
        <f>IF(OR(514&gt;$Z$1,NOT(OR('Your debts'!$B$11&lt;&gt;"",N('Your debts'!$C$11)&gt;0))),"",IF('Your debts'!$D$20="Avalanche",'Avalanche workings'!$AU$521,'Snowball workings'!$AU$521))</f>
      </c>
      <c r="R519" s="29">
        <f>IF(OR(514&gt;$Z$1,NOT(OR('Your debts'!$B$12&lt;&gt;"",N('Your debts'!$C$12)&gt;0))),"",IF('Your debts'!$D$20="Avalanche",'Avalanche workings'!$R$521,'Snowball workings'!$R$521)+IF('Your debts'!$D$20="Avalanche",'Avalanche workings'!$AL$521,'Snowball workings'!$AL$521))</f>
      </c>
      <c r="S519" s="30">
        <f>IF(OR(514&gt;$Z$1,NOT(OR('Your debts'!$B$12&lt;&gt;"",N('Your debts'!$C$12)&gt;0))),"",IF('Your debts'!$D$20="Avalanche",'Avalanche workings'!$AV$521,'Snowball workings'!$AV$521))</f>
      </c>
      <c r="T519" s="29">
        <f>IF(OR(514&gt;$Z$1,NOT(OR('Your debts'!$B$13&lt;&gt;"",N('Your debts'!$C$13)&gt;0))),"",IF('Your debts'!$D$20="Avalanche",'Avalanche workings'!$S$521,'Snowball workings'!$S$521)+IF('Your debts'!$D$20="Avalanche",'Avalanche workings'!$AM$521,'Snowball workings'!$AM$521))</f>
      </c>
      <c r="U519" s="30">
        <f>IF(OR(514&gt;$Z$1,NOT(OR('Your debts'!$B$13&lt;&gt;"",N('Your debts'!$C$13)&gt;0))),"",IF('Your debts'!$D$20="Avalanche",'Avalanche workings'!$AW$521,'Snowball workings'!$AW$521))</f>
      </c>
      <c r="V519" s="29">
        <f>IF(OR(514&gt;$Z$1,NOT(OR('Your debts'!$B$14&lt;&gt;"",N('Your debts'!$C$14)&gt;0))),"",IF('Your debts'!$D$20="Avalanche",'Avalanche workings'!$T$521,'Snowball workings'!$T$521)+IF('Your debts'!$D$20="Avalanche",'Avalanche workings'!$AN$521,'Snowball workings'!$AN$521))</f>
      </c>
      <c r="W519" s="30">
        <f>IF(OR(514&gt;$Z$1,NOT(OR('Your debts'!$B$14&lt;&gt;"",N('Your debts'!$C$14)&gt;0))),"",IF('Your debts'!$D$20="Avalanche",'Avalanche workings'!$AX$521,'Snowball workings'!$AX$521))</f>
      </c>
      <c r="X519" s="29">
        <f>IF(OR(514&gt;$Z$1,NOT(OR('Your debts'!$B$15&lt;&gt;"",N('Your debts'!$C$15)&gt;0))),"",IF('Your debts'!$D$20="Avalanche",'Avalanche workings'!$U$521,'Snowball workings'!$U$521)+IF('Your debts'!$D$20="Avalanche",'Avalanche workings'!$AO$521,'Snowball workings'!$AO$521))</f>
      </c>
      <c r="Y519" s="30">
        <f>IF(OR(514&gt;$Z$1,NOT(OR('Your debts'!$B$15&lt;&gt;"",N('Your debts'!$C$15)&gt;0))),"",IF('Your debts'!$D$20="Avalanche",'Avalanche workings'!$AY$521,'Snowball workings'!$AY$521))</f>
      </c>
    </row>
    <row r="520" spans="1:25" x14ac:dyDescent="0.25">
      <c r="A520" s="2">
        <f>IF(515&gt;$Z$1,"",515)</f>
      </c>
      <c r="B520" s="28">
        <f>IF(515&gt;$Z$1,"",EDATE('Your debts'!$D$21,514))</f>
      </c>
      <c r="C520" s="29">
        <f>IF(515&gt;$Z$1,"",IF('Your debts'!$D$20="Avalanche",'Avalanche workings'!$BC$522,'Snowball workings'!$BC$522))</f>
      </c>
      <c r="D520" s="29">
        <f>IF(515&gt;$Z$1,"",IF('Your debts'!$D$20="Avalanche",'Avalanche workings'!$BA$522,'Snowball workings'!$BA$522))</f>
      </c>
      <c r="E520" s="29">
        <f>IF(515&gt;$Z$1,"",IF('Your debts'!$D$20="Avalanche",'Avalanche workings'!$BB$522,'Snowball workings'!$BB$522))</f>
      </c>
      <c r="F520" s="29">
        <f>IF(OR(515&gt;$Z$1,NOT(OR('Your debts'!$B$6&lt;&gt;"",N('Your debts'!$C$6)&gt;0))),"",IF('Your debts'!$D$20="Avalanche",'Avalanche workings'!$L$522,'Snowball workings'!$L$522)+IF('Your debts'!$D$20="Avalanche",'Avalanche workings'!$AF$522,'Snowball workings'!$AF$522))</f>
      </c>
      <c r="G520" s="30">
        <f>IF(OR(515&gt;$Z$1,NOT(OR('Your debts'!$B$6&lt;&gt;"",N('Your debts'!$C$6)&gt;0))),"",IF('Your debts'!$D$20="Avalanche",'Avalanche workings'!$AP$522,'Snowball workings'!$AP$522))</f>
      </c>
      <c r="H520" s="29">
        <f>IF(OR(515&gt;$Z$1,NOT(OR('Your debts'!$B$7&lt;&gt;"",N('Your debts'!$C$7)&gt;0))),"",IF('Your debts'!$D$20="Avalanche",'Avalanche workings'!$M$522,'Snowball workings'!$M$522)+IF('Your debts'!$D$20="Avalanche",'Avalanche workings'!$AG$522,'Snowball workings'!$AG$522))</f>
      </c>
      <c r="I520" s="30">
        <f>IF(OR(515&gt;$Z$1,NOT(OR('Your debts'!$B$7&lt;&gt;"",N('Your debts'!$C$7)&gt;0))),"",IF('Your debts'!$D$20="Avalanche",'Avalanche workings'!$AQ$522,'Snowball workings'!$AQ$522))</f>
      </c>
      <c r="J520" s="29">
        <f>IF(OR(515&gt;$Z$1,NOT(OR('Your debts'!$B$8&lt;&gt;"",N('Your debts'!$C$8)&gt;0))),"",IF('Your debts'!$D$20="Avalanche",'Avalanche workings'!$N$522,'Snowball workings'!$N$522)+IF('Your debts'!$D$20="Avalanche",'Avalanche workings'!$AH$522,'Snowball workings'!$AH$522))</f>
      </c>
      <c r="K520" s="30">
        <f>IF(OR(515&gt;$Z$1,NOT(OR('Your debts'!$B$8&lt;&gt;"",N('Your debts'!$C$8)&gt;0))),"",IF('Your debts'!$D$20="Avalanche",'Avalanche workings'!$AR$522,'Snowball workings'!$AR$522))</f>
      </c>
      <c r="L520" s="29">
        <f>IF(OR(515&gt;$Z$1,NOT(OR('Your debts'!$B$9&lt;&gt;"",N('Your debts'!$C$9)&gt;0))),"",IF('Your debts'!$D$20="Avalanche",'Avalanche workings'!$O$522,'Snowball workings'!$O$522)+IF('Your debts'!$D$20="Avalanche",'Avalanche workings'!$AI$522,'Snowball workings'!$AI$522))</f>
      </c>
      <c r="M520" s="30">
        <f>IF(OR(515&gt;$Z$1,NOT(OR('Your debts'!$B$9&lt;&gt;"",N('Your debts'!$C$9)&gt;0))),"",IF('Your debts'!$D$20="Avalanche",'Avalanche workings'!$AS$522,'Snowball workings'!$AS$522))</f>
      </c>
      <c r="N520" s="29">
        <f>IF(OR(515&gt;$Z$1,NOT(OR('Your debts'!$B$10&lt;&gt;"",N('Your debts'!$C$10)&gt;0))),"",IF('Your debts'!$D$20="Avalanche",'Avalanche workings'!$P$522,'Snowball workings'!$P$522)+IF('Your debts'!$D$20="Avalanche",'Avalanche workings'!$AJ$522,'Snowball workings'!$AJ$522))</f>
      </c>
      <c r="O520" s="30">
        <f>IF(OR(515&gt;$Z$1,NOT(OR('Your debts'!$B$10&lt;&gt;"",N('Your debts'!$C$10)&gt;0))),"",IF('Your debts'!$D$20="Avalanche",'Avalanche workings'!$AT$522,'Snowball workings'!$AT$522))</f>
      </c>
      <c r="P520" s="29">
        <f>IF(OR(515&gt;$Z$1,NOT(OR('Your debts'!$B$11&lt;&gt;"",N('Your debts'!$C$11)&gt;0))),"",IF('Your debts'!$D$20="Avalanche",'Avalanche workings'!$Q$522,'Snowball workings'!$Q$522)+IF('Your debts'!$D$20="Avalanche",'Avalanche workings'!$AK$522,'Snowball workings'!$AK$522))</f>
      </c>
      <c r="Q520" s="30">
        <f>IF(OR(515&gt;$Z$1,NOT(OR('Your debts'!$B$11&lt;&gt;"",N('Your debts'!$C$11)&gt;0))),"",IF('Your debts'!$D$20="Avalanche",'Avalanche workings'!$AU$522,'Snowball workings'!$AU$522))</f>
      </c>
      <c r="R520" s="29">
        <f>IF(OR(515&gt;$Z$1,NOT(OR('Your debts'!$B$12&lt;&gt;"",N('Your debts'!$C$12)&gt;0))),"",IF('Your debts'!$D$20="Avalanche",'Avalanche workings'!$R$522,'Snowball workings'!$R$522)+IF('Your debts'!$D$20="Avalanche",'Avalanche workings'!$AL$522,'Snowball workings'!$AL$522))</f>
      </c>
      <c r="S520" s="30">
        <f>IF(OR(515&gt;$Z$1,NOT(OR('Your debts'!$B$12&lt;&gt;"",N('Your debts'!$C$12)&gt;0))),"",IF('Your debts'!$D$20="Avalanche",'Avalanche workings'!$AV$522,'Snowball workings'!$AV$522))</f>
      </c>
      <c r="T520" s="29">
        <f>IF(OR(515&gt;$Z$1,NOT(OR('Your debts'!$B$13&lt;&gt;"",N('Your debts'!$C$13)&gt;0))),"",IF('Your debts'!$D$20="Avalanche",'Avalanche workings'!$S$522,'Snowball workings'!$S$522)+IF('Your debts'!$D$20="Avalanche",'Avalanche workings'!$AM$522,'Snowball workings'!$AM$522))</f>
      </c>
      <c r="U520" s="30">
        <f>IF(OR(515&gt;$Z$1,NOT(OR('Your debts'!$B$13&lt;&gt;"",N('Your debts'!$C$13)&gt;0))),"",IF('Your debts'!$D$20="Avalanche",'Avalanche workings'!$AW$522,'Snowball workings'!$AW$522))</f>
      </c>
      <c r="V520" s="29">
        <f>IF(OR(515&gt;$Z$1,NOT(OR('Your debts'!$B$14&lt;&gt;"",N('Your debts'!$C$14)&gt;0))),"",IF('Your debts'!$D$20="Avalanche",'Avalanche workings'!$T$522,'Snowball workings'!$T$522)+IF('Your debts'!$D$20="Avalanche",'Avalanche workings'!$AN$522,'Snowball workings'!$AN$522))</f>
      </c>
      <c r="W520" s="30">
        <f>IF(OR(515&gt;$Z$1,NOT(OR('Your debts'!$B$14&lt;&gt;"",N('Your debts'!$C$14)&gt;0))),"",IF('Your debts'!$D$20="Avalanche",'Avalanche workings'!$AX$522,'Snowball workings'!$AX$522))</f>
      </c>
      <c r="X520" s="29">
        <f>IF(OR(515&gt;$Z$1,NOT(OR('Your debts'!$B$15&lt;&gt;"",N('Your debts'!$C$15)&gt;0))),"",IF('Your debts'!$D$20="Avalanche",'Avalanche workings'!$U$522,'Snowball workings'!$U$522)+IF('Your debts'!$D$20="Avalanche",'Avalanche workings'!$AO$522,'Snowball workings'!$AO$522))</f>
      </c>
      <c r="Y520" s="30">
        <f>IF(OR(515&gt;$Z$1,NOT(OR('Your debts'!$B$15&lt;&gt;"",N('Your debts'!$C$15)&gt;0))),"",IF('Your debts'!$D$20="Avalanche",'Avalanche workings'!$AY$522,'Snowball workings'!$AY$522))</f>
      </c>
    </row>
    <row r="521" spans="1:25" x14ac:dyDescent="0.25">
      <c r="A521" s="2">
        <f>IF(516&gt;$Z$1,"",516)</f>
      </c>
      <c r="B521" s="28">
        <f>IF(516&gt;$Z$1,"",EDATE('Your debts'!$D$21,515))</f>
      </c>
      <c r="C521" s="29">
        <f>IF(516&gt;$Z$1,"",IF('Your debts'!$D$20="Avalanche",'Avalanche workings'!$BC$523,'Snowball workings'!$BC$523))</f>
      </c>
      <c r="D521" s="29">
        <f>IF(516&gt;$Z$1,"",IF('Your debts'!$D$20="Avalanche",'Avalanche workings'!$BA$523,'Snowball workings'!$BA$523))</f>
      </c>
      <c r="E521" s="29">
        <f>IF(516&gt;$Z$1,"",IF('Your debts'!$D$20="Avalanche",'Avalanche workings'!$BB$523,'Snowball workings'!$BB$523))</f>
      </c>
      <c r="F521" s="29">
        <f>IF(OR(516&gt;$Z$1,NOT(OR('Your debts'!$B$6&lt;&gt;"",N('Your debts'!$C$6)&gt;0))),"",IF('Your debts'!$D$20="Avalanche",'Avalanche workings'!$L$523,'Snowball workings'!$L$523)+IF('Your debts'!$D$20="Avalanche",'Avalanche workings'!$AF$523,'Snowball workings'!$AF$523))</f>
      </c>
      <c r="G521" s="30">
        <f>IF(OR(516&gt;$Z$1,NOT(OR('Your debts'!$B$6&lt;&gt;"",N('Your debts'!$C$6)&gt;0))),"",IF('Your debts'!$D$20="Avalanche",'Avalanche workings'!$AP$523,'Snowball workings'!$AP$523))</f>
      </c>
      <c r="H521" s="29">
        <f>IF(OR(516&gt;$Z$1,NOT(OR('Your debts'!$B$7&lt;&gt;"",N('Your debts'!$C$7)&gt;0))),"",IF('Your debts'!$D$20="Avalanche",'Avalanche workings'!$M$523,'Snowball workings'!$M$523)+IF('Your debts'!$D$20="Avalanche",'Avalanche workings'!$AG$523,'Snowball workings'!$AG$523))</f>
      </c>
      <c r="I521" s="30">
        <f>IF(OR(516&gt;$Z$1,NOT(OR('Your debts'!$B$7&lt;&gt;"",N('Your debts'!$C$7)&gt;0))),"",IF('Your debts'!$D$20="Avalanche",'Avalanche workings'!$AQ$523,'Snowball workings'!$AQ$523))</f>
      </c>
      <c r="J521" s="29">
        <f>IF(OR(516&gt;$Z$1,NOT(OR('Your debts'!$B$8&lt;&gt;"",N('Your debts'!$C$8)&gt;0))),"",IF('Your debts'!$D$20="Avalanche",'Avalanche workings'!$N$523,'Snowball workings'!$N$523)+IF('Your debts'!$D$20="Avalanche",'Avalanche workings'!$AH$523,'Snowball workings'!$AH$523))</f>
      </c>
      <c r="K521" s="30">
        <f>IF(OR(516&gt;$Z$1,NOT(OR('Your debts'!$B$8&lt;&gt;"",N('Your debts'!$C$8)&gt;0))),"",IF('Your debts'!$D$20="Avalanche",'Avalanche workings'!$AR$523,'Snowball workings'!$AR$523))</f>
      </c>
      <c r="L521" s="29">
        <f>IF(OR(516&gt;$Z$1,NOT(OR('Your debts'!$B$9&lt;&gt;"",N('Your debts'!$C$9)&gt;0))),"",IF('Your debts'!$D$20="Avalanche",'Avalanche workings'!$O$523,'Snowball workings'!$O$523)+IF('Your debts'!$D$20="Avalanche",'Avalanche workings'!$AI$523,'Snowball workings'!$AI$523))</f>
      </c>
      <c r="M521" s="30">
        <f>IF(OR(516&gt;$Z$1,NOT(OR('Your debts'!$B$9&lt;&gt;"",N('Your debts'!$C$9)&gt;0))),"",IF('Your debts'!$D$20="Avalanche",'Avalanche workings'!$AS$523,'Snowball workings'!$AS$523))</f>
      </c>
      <c r="N521" s="29">
        <f>IF(OR(516&gt;$Z$1,NOT(OR('Your debts'!$B$10&lt;&gt;"",N('Your debts'!$C$10)&gt;0))),"",IF('Your debts'!$D$20="Avalanche",'Avalanche workings'!$P$523,'Snowball workings'!$P$523)+IF('Your debts'!$D$20="Avalanche",'Avalanche workings'!$AJ$523,'Snowball workings'!$AJ$523))</f>
      </c>
      <c r="O521" s="30">
        <f>IF(OR(516&gt;$Z$1,NOT(OR('Your debts'!$B$10&lt;&gt;"",N('Your debts'!$C$10)&gt;0))),"",IF('Your debts'!$D$20="Avalanche",'Avalanche workings'!$AT$523,'Snowball workings'!$AT$523))</f>
      </c>
      <c r="P521" s="29">
        <f>IF(OR(516&gt;$Z$1,NOT(OR('Your debts'!$B$11&lt;&gt;"",N('Your debts'!$C$11)&gt;0))),"",IF('Your debts'!$D$20="Avalanche",'Avalanche workings'!$Q$523,'Snowball workings'!$Q$523)+IF('Your debts'!$D$20="Avalanche",'Avalanche workings'!$AK$523,'Snowball workings'!$AK$523))</f>
      </c>
      <c r="Q521" s="30">
        <f>IF(OR(516&gt;$Z$1,NOT(OR('Your debts'!$B$11&lt;&gt;"",N('Your debts'!$C$11)&gt;0))),"",IF('Your debts'!$D$20="Avalanche",'Avalanche workings'!$AU$523,'Snowball workings'!$AU$523))</f>
      </c>
      <c r="R521" s="29">
        <f>IF(OR(516&gt;$Z$1,NOT(OR('Your debts'!$B$12&lt;&gt;"",N('Your debts'!$C$12)&gt;0))),"",IF('Your debts'!$D$20="Avalanche",'Avalanche workings'!$R$523,'Snowball workings'!$R$523)+IF('Your debts'!$D$20="Avalanche",'Avalanche workings'!$AL$523,'Snowball workings'!$AL$523))</f>
      </c>
      <c r="S521" s="30">
        <f>IF(OR(516&gt;$Z$1,NOT(OR('Your debts'!$B$12&lt;&gt;"",N('Your debts'!$C$12)&gt;0))),"",IF('Your debts'!$D$20="Avalanche",'Avalanche workings'!$AV$523,'Snowball workings'!$AV$523))</f>
      </c>
      <c r="T521" s="29">
        <f>IF(OR(516&gt;$Z$1,NOT(OR('Your debts'!$B$13&lt;&gt;"",N('Your debts'!$C$13)&gt;0))),"",IF('Your debts'!$D$20="Avalanche",'Avalanche workings'!$S$523,'Snowball workings'!$S$523)+IF('Your debts'!$D$20="Avalanche",'Avalanche workings'!$AM$523,'Snowball workings'!$AM$523))</f>
      </c>
      <c r="U521" s="30">
        <f>IF(OR(516&gt;$Z$1,NOT(OR('Your debts'!$B$13&lt;&gt;"",N('Your debts'!$C$13)&gt;0))),"",IF('Your debts'!$D$20="Avalanche",'Avalanche workings'!$AW$523,'Snowball workings'!$AW$523))</f>
      </c>
      <c r="V521" s="29">
        <f>IF(OR(516&gt;$Z$1,NOT(OR('Your debts'!$B$14&lt;&gt;"",N('Your debts'!$C$14)&gt;0))),"",IF('Your debts'!$D$20="Avalanche",'Avalanche workings'!$T$523,'Snowball workings'!$T$523)+IF('Your debts'!$D$20="Avalanche",'Avalanche workings'!$AN$523,'Snowball workings'!$AN$523))</f>
      </c>
      <c r="W521" s="30">
        <f>IF(OR(516&gt;$Z$1,NOT(OR('Your debts'!$B$14&lt;&gt;"",N('Your debts'!$C$14)&gt;0))),"",IF('Your debts'!$D$20="Avalanche",'Avalanche workings'!$AX$523,'Snowball workings'!$AX$523))</f>
      </c>
      <c r="X521" s="29">
        <f>IF(OR(516&gt;$Z$1,NOT(OR('Your debts'!$B$15&lt;&gt;"",N('Your debts'!$C$15)&gt;0))),"",IF('Your debts'!$D$20="Avalanche",'Avalanche workings'!$U$523,'Snowball workings'!$U$523)+IF('Your debts'!$D$20="Avalanche",'Avalanche workings'!$AO$523,'Snowball workings'!$AO$523))</f>
      </c>
      <c r="Y521" s="30">
        <f>IF(OR(516&gt;$Z$1,NOT(OR('Your debts'!$B$15&lt;&gt;"",N('Your debts'!$C$15)&gt;0))),"",IF('Your debts'!$D$20="Avalanche",'Avalanche workings'!$AY$523,'Snowball workings'!$AY$523))</f>
      </c>
    </row>
    <row r="522" spans="1:25" x14ac:dyDescent="0.25">
      <c r="A522" s="2">
        <f>IF(517&gt;$Z$1,"",517)</f>
      </c>
      <c r="B522" s="28">
        <f>IF(517&gt;$Z$1,"",EDATE('Your debts'!$D$21,516))</f>
      </c>
      <c r="C522" s="29">
        <f>IF(517&gt;$Z$1,"",IF('Your debts'!$D$20="Avalanche",'Avalanche workings'!$BC$524,'Snowball workings'!$BC$524))</f>
      </c>
      <c r="D522" s="29">
        <f>IF(517&gt;$Z$1,"",IF('Your debts'!$D$20="Avalanche",'Avalanche workings'!$BA$524,'Snowball workings'!$BA$524))</f>
      </c>
      <c r="E522" s="29">
        <f>IF(517&gt;$Z$1,"",IF('Your debts'!$D$20="Avalanche",'Avalanche workings'!$BB$524,'Snowball workings'!$BB$524))</f>
      </c>
      <c r="F522" s="29">
        <f>IF(OR(517&gt;$Z$1,NOT(OR('Your debts'!$B$6&lt;&gt;"",N('Your debts'!$C$6)&gt;0))),"",IF('Your debts'!$D$20="Avalanche",'Avalanche workings'!$L$524,'Snowball workings'!$L$524)+IF('Your debts'!$D$20="Avalanche",'Avalanche workings'!$AF$524,'Snowball workings'!$AF$524))</f>
      </c>
      <c r="G522" s="30">
        <f>IF(OR(517&gt;$Z$1,NOT(OR('Your debts'!$B$6&lt;&gt;"",N('Your debts'!$C$6)&gt;0))),"",IF('Your debts'!$D$20="Avalanche",'Avalanche workings'!$AP$524,'Snowball workings'!$AP$524))</f>
      </c>
      <c r="H522" s="29">
        <f>IF(OR(517&gt;$Z$1,NOT(OR('Your debts'!$B$7&lt;&gt;"",N('Your debts'!$C$7)&gt;0))),"",IF('Your debts'!$D$20="Avalanche",'Avalanche workings'!$M$524,'Snowball workings'!$M$524)+IF('Your debts'!$D$20="Avalanche",'Avalanche workings'!$AG$524,'Snowball workings'!$AG$524))</f>
      </c>
      <c r="I522" s="30">
        <f>IF(OR(517&gt;$Z$1,NOT(OR('Your debts'!$B$7&lt;&gt;"",N('Your debts'!$C$7)&gt;0))),"",IF('Your debts'!$D$20="Avalanche",'Avalanche workings'!$AQ$524,'Snowball workings'!$AQ$524))</f>
      </c>
      <c r="J522" s="29">
        <f>IF(OR(517&gt;$Z$1,NOT(OR('Your debts'!$B$8&lt;&gt;"",N('Your debts'!$C$8)&gt;0))),"",IF('Your debts'!$D$20="Avalanche",'Avalanche workings'!$N$524,'Snowball workings'!$N$524)+IF('Your debts'!$D$20="Avalanche",'Avalanche workings'!$AH$524,'Snowball workings'!$AH$524))</f>
      </c>
      <c r="K522" s="30">
        <f>IF(OR(517&gt;$Z$1,NOT(OR('Your debts'!$B$8&lt;&gt;"",N('Your debts'!$C$8)&gt;0))),"",IF('Your debts'!$D$20="Avalanche",'Avalanche workings'!$AR$524,'Snowball workings'!$AR$524))</f>
      </c>
      <c r="L522" s="29">
        <f>IF(OR(517&gt;$Z$1,NOT(OR('Your debts'!$B$9&lt;&gt;"",N('Your debts'!$C$9)&gt;0))),"",IF('Your debts'!$D$20="Avalanche",'Avalanche workings'!$O$524,'Snowball workings'!$O$524)+IF('Your debts'!$D$20="Avalanche",'Avalanche workings'!$AI$524,'Snowball workings'!$AI$524))</f>
      </c>
      <c r="M522" s="30">
        <f>IF(OR(517&gt;$Z$1,NOT(OR('Your debts'!$B$9&lt;&gt;"",N('Your debts'!$C$9)&gt;0))),"",IF('Your debts'!$D$20="Avalanche",'Avalanche workings'!$AS$524,'Snowball workings'!$AS$524))</f>
      </c>
      <c r="N522" s="29">
        <f>IF(OR(517&gt;$Z$1,NOT(OR('Your debts'!$B$10&lt;&gt;"",N('Your debts'!$C$10)&gt;0))),"",IF('Your debts'!$D$20="Avalanche",'Avalanche workings'!$P$524,'Snowball workings'!$P$524)+IF('Your debts'!$D$20="Avalanche",'Avalanche workings'!$AJ$524,'Snowball workings'!$AJ$524))</f>
      </c>
      <c r="O522" s="30">
        <f>IF(OR(517&gt;$Z$1,NOT(OR('Your debts'!$B$10&lt;&gt;"",N('Your debts'!$C$10)&gt;0))),"",IF('Your debts'!$D$20="Avalanche",'Avalanche workings'!$AT$524,'Snowball workings'!$AT$524))</f>
      </c>
      <c r="P522" s="29">
        <f>IF(OR(517&gt;$Z$1,NOT(OR('Your debts'!$B$11&lt;&gt;"",N('Your debts'!$C$11)&gt;0))),"",IF('Your debts'!$D$20="Avalanche",'Avalanche workings'!$Q$524,'Snowball workings'!$Q$524)+IF('Your debts'!$D$20="Avalanche",'Avalanche workings'!$AK$524,'Snowball workings'!$AK$524))</f>
      </c>
      <c r="Q522" s="30">
        <f>IF(OR(517&gt;$Z$1,NOT(OR('Your debts'!$B$11&lt;&gt;"",N('Your debts'!$C$11)&gt;0))),"",IF('Your debts'!$D$20="Avalanche",'Avalanche workings'!$AU$524,'Snowball workings'!$AU$524))</f>
      </c>
      <c r="R522" s="29">
        <f>IF(OR(517&gt;$Z$1,NOT(OR('Your debts'!$B$12&lt;&gt;"",N('Your debts'!$C$12)&gt;0))),"",IF('Your debts'!$D$20="Avalanche",'Avalanche workings'!$R$524,'Snowball workings'!$R$524)+IF('Your debts'!$D$20="Avalanche",'Avalanche workings'!$AL$524,'Snowball workings'!$AL$524))</f>
      </c>
      <c r="S522" s="30">
        <f>IF(OR(517&gt;$Z$1,NOT(OR('Your debts'!$B$12&lt;&gt;"",N('Your debts'!$C$12)&gt;0))),"",IF('Your debts'!$D$20="Avalanche",'Avalanche workings'!$AV$524,'Snowball workings'!$AV$524))</f>
      </c>
      <c r="T522" s="29">
        <f>IF(OR(517&gt;$Z$1,NOT(OR('Your debts'!$B$13&lt;&gt;"",N('Your debts'!$C$13)&gt;0))),"",IF('Your debts'!$D$20="Avalanche",'Avalanche workings'!$S$524,'Snowball workings'!$S$524)+IF('Your debts'!$D$20="Avalanche",'Avalanche workings'!$AM$524,'Snowball workings'!$AM$524))</f>
      </c>
      <c r="U522" s="30">
        <f>IF(OR(517&gt;$Z$1,NOT(OR('Your debts'!$B$13&lt;&gt;"",N('Your debts'!$C$13)&gt;0))),"",IF('Your debts'!$D$20="Avalanche",'Avalanche workings'!$AW$524,'Snowball workings'!$AW$524))</f>
      </c>
      <c r="V522" s="29">
        <f>IF(OR(517&gt;$Z$1,NOT(OR('Your debts'!$B$14&lt;&gt;"",N('Your debts'!$C$14)&gt;0))),"",IF('Your debts'!$D$20="Avalanche",'Avalanche workings'!$T$524,'Snowball workings'!$T$524)+IF('Your debts'!$D$20="Avalanche",'Avalanche workings'!$AN$524,'Snowball workings'!$AN$524))</f>
      </c>
      <c r="W522" s="30">
        <f>IF(OR(517&gt;$Z$1,NOT(OR('Your debts'!$B$14&lt;&gt;"",N('Your debts'!$C$14)&gt;0))),"",IF('Your debts'!$D$20="Avalanche",'Avalanche workings'!$AX$524,'Snowball workings'!$AX$524))</f>
      </c>
      <c r="X522" s="29">
        <f>IF(OR(517&gt;$Z$1,NOT(OR('Your debts'!$B$15&lt;&gt;"",N('Your debts'!$C$15)&gt;0))),"",IF('Your debts'!$D$20="Avalanche",'Avalanche workings'!$U$524,'Snowball workings'!$U$524)+IF('Your debts'!$D$20="Avalanche",'Avalanche workings'!$AO$524,'Snowball workings'!$AO$524))</f>
      </c>
      <c r="Y522" s="30">
        <f>IF(OR(517&gt;$Z$1,NOT(OR('Your debts'!$B$15&lt;&gt;"",N('Your debts'!$C$15)&gt;0))),"",IF('Your debts'!$D$20="Avalanche",'Avalanche workings'!$AY$524,'Snowball workings'!$AY$524))</f>
      </c>
    </row>
    <row r="523" spans="1:25" x14ac:dyDescent="0.25">
      <c r="A523" s="2">
        <f>IF(518&gt;$Z$1,"",518)</f>
      </c>
      <c r="B523" s="28">
        <f>IF(518&gt;$Z$1,"",EDATE('Your debts'!$D$21,517))</f>
      </c>
      <c r="C523" s="29">
        <f>IF(518&gt;$Z$1,"",IF('Your debts'!$D$20="Avalanche",'Avalanche workings'!$BC$525,'Snowball workings'!$BC$525))</f>
      </c>
      <c r="D523" s="29">
        <f>IF(518&gt;$Z$1,"",IF('Your debts'!$D$20="Avalanche",'Avalanche workings'!$BA$525,'Snowball workings'!$BA$525))</f>
      </c>
      <c r="E523" s="29">
        <f>IF(518&gt;$Z$1,"",IF('Your debts'!$D$20="Avalanche",'Avalanche workings'!$BB$525,'Snowball workings'!$BB$525))</f>
      </c>
      <c r="F523" s="29">
        <f>IF(OR(518&gt;$Z$1,NOT(OR('Your debts'!$B$6&lt;&gt;"",N('Your debts'!$C$6)&gt;0))),"",IF('Your debts'!$D$20="Avalanche",'Avalanche workings'!$L$525,'Snowball workings'!$L$525)+IF('Your debts'!$D$20="Avalanche",'Avalanche workings'!$AF$525,'Snowball workings'!$AF$525))</f>
      </c>
      <c r="G523" s="30">
        <f>IF(OR(518&gt;$Z$1,NOT(OR('Your debts'!$B$6&lt;&gt;"",N('Your debts'!$C$6)&gt;0))),"",IF('Your debts'!$D$20="Avalanche",'Avalanche workings'!$AP$525,'Snowball workings'!$AP$525))</f>
      </c>
      <c r="H523" s="29">
        <f>IF(OR(518&gt;$Z$1,NOT(OR('Your debts'!$B$7&lt;&gt;"",N('Your debts'!$C$7)&gt;0))),"",IF('Your debts'!$D$20="Avalanche",'Avalanche workings'!$M$525,'Snowball workings'!$M$525)+IF('Your debts'!$D$20="Avalanche",'Avalanche workings'!$AG$525,'Snowball workings'!$AG$525))</f>
      </c>
      <c r="I523" s="30">
        <f>IF(OR(518&gt;$Z$1,NOT(OR('Your debts'!$B$7&lt;&gt;"",N('Your debts'!$C$7)&gt;0))),"",IF('Your debts'!$D$20="Avalanche",'Avalanche workings'!$AQ$525,'Snowball workings'!$AQ$525))</f>
      </c>
      <c r="J523" s="29">
        <f>IF(OR(518&gt;$Z$1,NOT(OR('Your debts'!$B$8&lt;&gt;"",N('Your debts'!$C$8)&gt;0))),"",IF('Your debts'!$D$20="Avalanche",'Avalanche workings'!$N$525,'Snowball workings'!$N$525)+IF('Your debts'!$D$20="Avalanche",'Avalanche workings'!$AH$525,'Snowball workings'!$AH$525))</f>
      </c>
      <c r="K523" s="30">
        <f>IF(OR(518&gt;$Z$1,NOT(OR('Your debts'!$B$8&lt;&gt;"",N('Your debts'!$C$8)&gt;0))),"",IF('Your debts'!$D$20="Avalanche",'Avalanche workings'!$AR$525,'Snowball workings'!$AR$525))</f>
      </c>
      <c r="L523" s="29">
        <f>IF(OR(518&gt;$Z$1,NOT(OR('Your debts'!$B$9&lt;&gt;"",N('Your debts'!$C$9)&gt;0))),"",IF('Your debts'!$D$20="Avalanche",'Avalanche workings'!$O$525,'Snowball workings'!$O$525)+IF('Your debts'!$D$20="Avalanche",'Avalanche workings'!$AI$525,'Snowball workings'!$AI$525))</f>
      </c>
      <c r="M523" s="30">
        <f>IF(OR(518&gt;$Z$1,NOT(OR('Your debts'!$B$9&lt;&gt;"",N('Your debts'!$C$9)&gt;0))),"",IF('Your debts'!$D$20="Avalanche",'Avalanche workings'!$AS$525,'Snowball workings'!$AS$525))</f>
      </c>
      <c r="N523" s="29">
        <f>IF(OR(518&gt;$Z$1,NOT(OR('Your debts'!$B$10&lt;&gt;"",N('Your debts'!$C$10)&gt;0))),"",IF('Your debts'!$D$20="Avalanche",'Avalanche workings'!$P$525,'Snowball workings'!$P$525)+IF('Your debts'!$D$20="Avalanche",'Avalanche workings'!$AJ$525,'Snowball workings'!$AJ$525))</f>
      </c>
      <c r="O523" s="30">
        <f>IF(OR(518&gt;$Z$1,NOT(OR('Your debts'!$B$10&lt;&gt;"",N('Your debts'!$C$10)&gt;0))),"",IF('Your debts'!$D$20="Avalanche",'Avalanche workings'!$AT$525,'Snowball workings'!$AT$525))</f>
      </c>
      <c r="P523" s="29">
        <f>IF(OR(518&gt;$Z$1,NOT(OR('Your debts'!$B$11&lt;&gt;"",N('Your debts'!$C$11)&gt;0))),"",IF('Your debts'!$D$20="Avalanche",'Avalanche workings'!$Q$525,'Snowball workings'!$Q$525)+IF('Your debts'!$D$20="Avalanche",'Avalanche workings'!$AK$525,'Snowball workings'!$AK$525))</f>
      </c>
      <c r="Q523" s="30">
        <f>IF(OR(518&gt;$Z$1,NOT(OR('Your debts'!$B$11&lt;&gt;"",N('Your debts'!$C$11)&gt;0))),"",IF('Your debts'!$D$20="Avalanche",'Avalanche workings'!$AU$525,'Snowball workings'!$AU$525))</f>
      </c>
      <c r="R523" s="29">
        <f>IF(OR(518&gt;$Z$1,NOT(OR('Your debts'!$B$12&lt;&gt;"",N('Your debts'!$C$12)&gt;0))),"",IF('Your debts'!$D$20="Avalanche",'Avalanche workings'!$R$525,'Snowball workings'!$R$525)+IF('Your debts'!$D$20="Avalanche",'Avalanche workings'!$AL$525,'Snowball workings'!$AL$525))</f>
      </c>
      <c r="S523" s="30">
        <f>IF(OR(518&gt;$Z$1,NOT(OR('Your debts'!$B$12&lt;&gt;"",N('Your debts'!$C$12)&gt;0))),"",IF('Your debts'!$D$20="Avalanche",'Avalanche workings'!$AV$525,'Snowball workings'!$AV$525))</f>
      </c>
      <c r="T523" s="29">
        <f>IF(OR(518&gt;$Z$1,NOT(OR('Your debts'!$B$13&lt;&gt;"",N('Your debts'!$C$13)&gt;0))),"",IF('Your debts'!$D$20="Avalanche",'Avalanche workings'!$S$525,'Snowball workings'!$S$525)+IF('Your debts'!$D$20="Avalanche",'Avalanche workings'!$AM$525,'Snowball workings'!$AM$525))</f>
      </c>
      <c r="U523" s="30">
        <f>IF(OR(518&gt;$Z$1,NOT(OR('Your debts'!$B$13&lt;&gt;"",N('Your debts'!$C$13)&gt;0))),"",IF('Your debts'!$D$20="Avalanche",'Avalanche workings'!$AW$525,'Snowball workings'!$AW$525))</f>
      </c>
      <c r="V523" s="29">
        <f>IF(OR(518&gt;$Z$1,NOT(OR('Your debts'!$B$14&lt;&gt;"",N('Your debts'!$C$14)&gt;0))),"",IF('Your debts'!$D$20="Avalanche",'Avalanche workings'!$T$525,'Snowball workings'!$T$525)+IF('Your debts'!$D$20="Avalanche",'Avalanche workings'!$AN$525,'Snowball workings'!$AN$525))</f>
      </c>
      <c r="W523" s="30">
        <f>IF(OR(518&gt;$Z$1,NOT(OR('Your debts'!$B$14&lt;&gt;"",N('Your debts'!$C$14)&gt;0))),"",IF('Your debts'!$D$20="Avalanche",'Avalanche workings'!$AX$525,'Snowball workings'!$AX$525))</f>
      </c>
      <c r="X523" s="29">
        <f>IF(OR(518&gt;$Z$1,NOT(OR('Your debts'!$B$15&lt;&gt;"",N('Your debts'!$C$15)&gt;0))),"",IF('Your debts'!$D$20="Avalanche",'Avalanche workings'!$U$525,'Snowball workings'!$U$525)+IF('Your debts'!$D$20="Avalanche",'Avalanche workings'!$AO$525,'Snowball workings'!$AO$525))</f>
      </c>
      <c r="Y523" s="30">
        <f>IF(OR(518&gt;$Z$1,NOT(OR('Your debts'!$B$15&lt;&gt;"",N('Your debts'!$C$15)&gt;0))),"",IF('Your debts'!$D$20="Avalanche",'Avalanche workings'!$AY$525,'Snowball workings'!$AY$525))</f>
      </c>
    </row>
    <row r="524" spans="1:25" x14ac:dyDescent="0.25">
      <c r="A524" s="2">
        <f>IF(519&gt;$Z$1,"",519)</f>
      </c>
      <c r="B524" s="28">
        <f>IF(519&gt;$Z$1,"",EDATE('Your debts'!$D$21,518))</f>
      </c>
      <c r="C524" s="29">
        <f>IF(519&gt;$Z$1,"",IF('Your debts'!$D$20="Avalanche",'Avalanche workings'!$BC$526,'Snowball workings'!$BC$526))</f>
      </c>
      <c r="D524" s="29">
        <f>IF(519&gt;$Z$1,"",IF('Your debts'!$D$20="Avalanche",'Avalanche workings'!$BA$526,'Snowball workings'!$BA$526))</f>
      </c>
      <c r="E524" s="29">
        <f>IF(519&gt;$Z$1,"",IF('Your debts'!$D$20="Avalanche",'Avalanche workings'!$BB$526,'Snowball workings'!$BB$526))</f>
      </c>
      <c r="F524" s="29">
        <f>IF(OR(519&gt;$Z$1,NOT(OR('Your debts'!$B$6&lt;&gt;"",N('Your debts'!$C$6)&gt;0))),"",IF('Your debts'!$D$20="Avalanche",'Avalanche workings'!$L$526,'Snowball workings'!$L$526)+IF('Your debts'!$D$20="Avalanche",'Avalanche workings'!$AF$526,'Snowball workings'!$AF$526))</f>
      </c>
      <c r="G524" s="30">
        <f>IF(OR(519&gt;$Z$1,NOT(OR('Your debts'!$B$6&lt;&gt;"",N('Your debts'!$C$6)&gt;0))),"",IF('Your debts'!$D$20="Avalanche",'Avalanche workings'!$AP$526,'Snowball workings'!$AP$526))</f>
      </c>
      <c r="H524" s="29">
        <f>IF(OR(519&gt;$Z$1,NOT(OR('Your debts'!$B$7&lt;&gt;"",N('Your debts'!$C$7)&gt;0))),"",IF('Your debts'!$D$20="Avalanche",'Avalanche workings'!$M$526,'Snowball workings'!$M$526)+IF('Your debts'!$D$20="Avalanche",'Avalanche workings'!$AG$526,'Snowball workings'!$AG$526))</f>
      </c>
      <c r="I524" s="30">
        <f>IF(OR(519&gt;$Z$1,NOT(OR('Your debts'!$B$7&lt;&gt;"",N('Your debts'!$C$7)&gt;0))),"",IF('Your debts'!$D$20="Avalanche",'Avalanche workings'!$AQ$526,'Snowball workings'!$AQ$526))</f>
      </c>
      <c r="J524" s="29">
        <f>IF(OR(519&gt;$Z$1,NOT(OR('Your debts'!$B$8&lt;&gt;"",N('Your debts'!$C$8)&gt;0))),"",IF('Your debts'!$D$20="Avalanche",'Avalanche workings'!$N$526,'Snowball workings'!$N$526)+IF('Your debts'!$D$20="Avalanche",'Avalanche workings'!$AH$526,'Snowball workings'!$AH$526))</f>
      </c>
      <c r="K524" s="30">
        <f>IF(OR(519&gt;$Z$1,NOT(OR('Your debts'!$B$8&lt;&gt;"",N('Your debts'!$C$8)&gt;0))),"",IF('Your debts'!$D$20="Avalanche",'Avalanche workings'!$AR$526,'Snowball workings'!$AR$526))</f>
      </c>
      <c r="L524" s="29">
        <f>IF(OR(519&gt;$Z$1,NOT(OR('Your debts'!$B$9&lt;&gt;"",N('Your debts'!$C$9)&gt;0))),"",IF('Your debts'!$D$20="Avalanche",'Avalanche workings'!$O$526,'Snowball workings'!$O$526)+IF('Your debts'!$D$20="Avalanche",'Avalanche workings'!$AI$526,'Snowball workings'!$AI$526))</f>
      </c>
      <c r="M524" s="30">
        <f>IF(OR(519&gt;$Z$1,NOT(OR('Your debts'!$B$9&lt;&gt;"",N('Your debts'!$C$9)&gt;0))),"",IF('Your debts'!$D$20="Avalanche",'Avalanche workings'!$AS$526,'Snowball workings'!$AS$526))</f>
      </c>
      <c r="N524" s="29">
        <f>IF(OR(519&gt;$Z$1,NOT(OR('Your debts'!$B$10&lt;&gt;"",N('Your debts'!$C$10)&gt;0))),"",IF('Your debts'!$D$20="Avalanche",'Avalanche workings'!$P$526,'Snowball workings'!$P$526)+IF('Your debts'!$D$20="Avalanche",'Avalanche workings'!$AJ$526,'Snowball workings'!$AJ$526))</f>
      </c>
      <c r="O524" s="30">
        <f>IF(OR(519&gt;$Z$1,NOT(OR('Your debts'!$B$10&lt;&gt;"",N('Your debts'!$C$10)&gt;0))),"",IF('Your debts'!$D$20="Avalanche",'Avalanche workings'!$AT$526,'Snowball workings'!$AT$526))</f>
      </c>
      <c r="P524" s="29">
        <f>IF(OR(519&gt;$Z$1,NOT(OR('Your debts'!$B$11&lt;&gt;"",N('Your debts'!$C$11)&gt;0))),"",IF('Your debts'!$D$20="Avalanche",'Avalanche workings'!$Q$526,'Snowball workings'!$Q$526)+IF('Your debts'!$D$20="Avalanche",'Avalanche workings'!$AK$526,'Snowball workings'!$AK$526))</f>
      </c>
      <c r="Q524" s="30">
        <f>IF(OR(519&gt;$Z$1,NOT(OR('Your debts'!$B$11&lt;&gt;"",N('Your debts'!$C$11)&gt;0))),"",IF('Your debts'!$D$20="Avalanche",'Avalanche workings'!$AU$526,'Snowball workings'!$AU$526))</f>
      </c>
      <c r="R524" s="29">
        <f>IF(OR(519&gt;$Z$1,NOT(OR('Your debts'!$B$12&lt;&gt;"",N('Your debts'!$C$12)&gt;0))),"",IF('Your debts'!$D$20="Avalanche",'Avalanche workings'!$R$526,'Snowball workings'!$R$526)+IF('Your debts'!$D$20="Avalanche",'Avalanche workings'!$AL$526,'Snowball workings'!$AL$526))</f>
      </c>
      <c r="S524" s="30">
        <f>IF(OR(519&gt;$Z$1,NOT(OR('Your debts'!$B$12&lt;&gt;"",N('Your debts'!$C$12)&gt;0))),"",IF('Your debts'!$D$20="Avalanche",'Avalanche workings'!$AV$526,'Snowball workings'!$AV$526))</f>
      </c>
      <c r="T524" s="29">
        <f>IF(OR(519&gt;$Z$1,NOT(OR('Your debts'!$B$13&lt;&gt;"",N('Your debts'!$C$13)&gt;0))),"",IF('Your debts'!$D$20="Avalanche",'Avalanche workings'!$S$526,'Snowball workings'!$S$526)+IF('Your debts'!$D$20="Avalanche",'Avalanche workings'!$AM$526,'Snowball workings'!$AM$526))</f>
      </c>
      <c r="U524" s="30">
        <f>IF(OR(519&gt;$Z$1,NOT(OR('Your debts'!$B$13&lt;&gt;"",N('Your debts'!$C$13)&gt;0))),"",IF('Your debts'!$D$20="Avalanche",'Avalanche workings'!$AW$526,'Snowball workings'!$AW$526))</f>
      </c>
      <c r="V524" s="29">
        <f>IF(OR(519&gt;$Z$1,NOT(OR('Your debts'!$B$14&lt;&gt;"",N('Your debts'!$C$14)&gt;0))),"",IF('Your debts'!$D$20="Avalanche",'Avalanche workings'!$T$526,'Snowball workings'!$T$526)+IF('Your debts'!$D$20="Avalanche",'Avalanche workings'!$AN$526,'Snowball workings'!$AN$526))</f>
      </c>
      <c r="W524" s="30">
        <f>IF(OR(519&gt;$Z$1,NOT(OR('Your debts'!$B$14&lt;&gt;"",N('Your debts'!$C$14)&gt;0))),"",IF('Your debts'!$D$20="Avalanche",'Avalanche workings'!$AX$526,'Snowball workings'!$AX$526))</f>
      </c>
      <c r="X524" s="29">
        <f>IF(OR(519&gt;$Z$1,NOT(OR('Your debts'!$B$15&lt;&gt;"",N('Your debts'!$C$15)&gt;0))),"",IF('Your debts'!$D$20="Avalanche",'Avalanche workings'!$U$526,'Snowball workings'!$U$526)+IF('Your debts'!$D$20="Avalanche",'Avalanche workings'!$AO$526,'Snowball workings'!$AO$526))</f>
      </c>
      <c r="Y524" s="30">
        <f>IF(OR(519&gt;$Z$1,NOT(OR('Your debts'!$B$15&lt;&gt;"",N('Your debts'!$C$15)&gt;0))),"",IF('Your debts'!$D$20="Avalanche",'Avalanche workings'!$AY$526,'Snowball workings'!$AY$526))</f>
      </c>
    </row>
    <row r="525" spans="1:25" x14ac:dyDescent="0.25">
      <c r="A525" s="2">
        <f>IF(520&gt;$Z$1,"",520)</f>
      </c>
      <c r="B525" s="28">
        <f>IF(520&gt;$Z$1,"",EDATE('Your debts'!$D$21,519))</f>
      </c>
      <c r="C525" s="29">
        <f>IF(520&gt;$Z$1,"",IF('Your debts'!$D$20="Avalanche",'Avalanche workings'!$BC$527,'Snowball workings'!$BC$527))</f>
      </c>
      <c r="D525" s="29">
        <f>IF(520&gt;$Z$1,"",IF('Your debts'!$D$20="Avalanche",'Avalanche workings'!$BA$527,'Snowball workings'!$BA$527))</f>
      </c>
      <c r="E525" s="29">
        <f>IF(520&gt;$Z$1,"",IF('Your debts'!$D$20="Avalanche",'Avalanche workings'!$BB$527,'Snowball workings'!$BB$527))</f>
      </c>
      <c r="F525" s="29">
        <f>IF(OR(520&gt;$Z$1,NOT(OR('Your debts'!$B$6&lt;&gt;"",N('Your debts'!$C$6)&gt;0))),"",IF('Your debts'!$D$20="Avalanche",'Avalanche workings'!$L$527,'Snowball workings'!$L$527)+IF('Your debts'!$D$20="Avalanche",'Avalanche workings'!$AF$527,'Snowball workings'!$AF$527))</f>
      </c>
      <c r="G525" s="30">
        <f>IF(OR(520&gt;$Z$1,NOT(OR('Your debts'!$B$6&lt;&gt;"",N('Your debts'!$C$6)&gt;0))),"",IF('Your debts'!$D$20="Avalanche",'Avalanche workings'!$AP$527,'Snowball workings'!$AP$527))</f>
      </c>
      <c r="H525" s="29">
        <f>IF(OR(520&gt;$Z$1,NOT(OR('Your debts'!$B$7&lt;&gt;"",N('Your debts'!$C$7)&gt;0))),"",IF('Your debts'!$D$20="Avalanche",'Avalanche workings'!$M$527,'Snowball workings'!$M$527)+IF('Your debts'!$D$20="Avalanche",'Avalanche workings'!$AG$527,'Snowball workings'!$AG$527))</f>
      </c>
      <c r="I525" s="30">
        <f>IF(OR(520&gt;$Z$1,NOT(OR('Your debts'!$B$7&lt;&gt;"",N('Your debts'!$C$7)&gt;0))),"",IF('Your debts'!$D$20="Avalanche",'Avalanche workings'!$AQ$527,'Snowball workings'!$AQ$527))</f>
      </c>
      <c r="J525" s="29">
        <f>IF(OR(520&gt;$Z$1,NOT(OR('Your debts'!$B$8&lt;&gt;"",N('Your debts'!$C$8)&gt;0))),"",IF('Your debts'!$D$20="Avalanche",'Avalanche workings'!$N$527,'Snowball workings'!$N$527)+IF('Your debts'!$D$20="Avalanche",'Avalanche workings'!$AH$527,'Snowball workings'!$AH$527))</f>
      </c>
      <c r="K525" s="30">
        <f>IF(OR(520&gt;$Z$1,NOT(OR('Your debts'!$B$8&lt;&gt;"",N('Your debts'!$C$8)&gt;0))),"",IF('Your debts'!$D$20="Avalanche",'Avalanche workings'!$AR$527,'Snowball workings'!$AR$527))</f>
      </c>
      <c r="L525" s="29">
        <f>IF(OR(520&gt;$Z$1,NOT(OR('Your debts'!$B$9&lt;&gt;"",N('Your debts'!$C$9)&gt;0))),"",IF('Your debts'!$D$20="Avalanche",'Avalanche workings'!$O$527,'Snowball workings'!$O$527)+IF('Your debts'!$D$20="Avalanche",'Avalanche workings'!$AI$527,'Snowball workings'!$AI$527))</f>
      </c>
      <c r="M525" s="30">
        <f>IF(OR(520&gt;$Z$1,NOT(OR('Your debts'!$B$9&lt;&gt;"",N('Your debts'!$C$9)&gt;0))),"",IF('Your debts'!$D$20="Avalanche",'Avalanche workings'!$AS$527,'Snowball workings'!$AS$527))</f>
      </c>
      <c r="N525" s="29">
        <f>IF(OR(520&gt;$Z$1,NOT(OR('Your debts'!$B$10&lt;&gt;"",N('Your debts'!$C$10)&gt;0))),"",IF('Your debts'!$D$20="Avalanche",'Avalanche workings'!$P$527,'Snowball workings'!$P$527)+IF('Your debts'!$D$20="Avalanche",'Avalanche workings'!$AJ$527,'Snowball workings'!$AJ$527))</f>
      </c>
      <c r="O525" s="30">
        <f>IF(OR(520&gt;$Z$1,NOT(OR('Your debts'!$B$10&lt;&gt;"",N('Your debts'!$C$10)&gt;0))),"",IF('Your debts'!$D$20="Avalanche",'Avalanche workings'!$AT$527,'Snowball workings'!$AT$527))</f>
      </c>
      <c r="P525" s="29">
        <f>IF(OR(520&gt;$Z$1,NOT(OR('Your debts'!$B$11&lt;&gt;"",N('Your debts'!$C$11)&gt;0))),"",IF('Your debts'!$D$20="Avalanche",'Avalanche workings'!$Q$527,'Snowball workings'!$Q$527)+IF('Your debts'!$D$20="Avalanche",'Avalanche workings'!$AK$527,'Snowball workings'!$AK$527))</f>
      </c>
      <c r="Q525" s="30">
        <f>IF(OR(520&gt;$Z$1,NOT(OR('Your debts'!$B$11&lt;&gt;"",N('Your debts'!$C$11)&gt;0))),"",IF('Your debts'!$D$20="Avalanche",'Avalanche workings'!$AU$527,'Snowball workings'!$AU$527))</f>
      </c>
      <c r="R525" s="29">
        <f>IF(OR(520&gt;$Z$1,NOT(OR('Your debts'!$B$12&lt;&gt;"",N('Your debts'!$C$12)&gt;0))),"",IF('Your debts'!$D$20="Avalanche",'Avalanche workings'!$R$527,'Snowball workings'!$R$527)+IF('Your debts'!$D$20="Avalanche",'Avalanche workings'!$AL$527,'Snowball workings'!$AL$527))</f>
      </c>
      <c r="S525" s="30">
        <f>IF(OR(520&gt;$Z$1,NOT(OR('Your debts'!$B$12&lt;&gt;"",N('Your debts'!$C$12)&gt;0))),"",IF('Your debts'!$D$20="Avalanche",'Avalanche workings'!$AV$527,'Snowball workings'!$AV$527))</f>
      </c>
      <c r="T525" s="29">
        <f>IF(OR(520&gt;$Z$1,NOT(OR('Your debts'!$B$13&lt;&gt;"",N('Your debts'!$C$13)&gt;0))),"",IF('Your debts'!$D$20="Avalanche",'Avalanche workings'!$S$527,'Snowball workings'!$S$527)+IF('Your debts'!$D$20="Avalanche",'Avalanche workings'!$AM$527,'Snowball workings'!$AM$527))</f>
      </c>
      <c r="U525" s="30">
        <f>IF(OR(520&gt;$Z$1,NOT(OR('Your debts'!$B$13&lt;&gt;"",N('Your debts'!$C$13)&gt;0))),"",IF('Your debts'!$D$20="Avalanche",'Avalanche workings'!$AW$527,'Snowball workings'!$AW$527))</f>
      </c>
      <c r="V525" s="29">
        <f>IF(OR(520&gt;$Z$1,NOT(OR('Your debts'!$B$14&lt;&gt;"",N('Your debts'!$C$14)&gt;0))),"",IF('Your debts'!$D$20="Avalanche",'Avalanche workings'!$T$527,'Snowball workings'!$T$527)+IF('Your debts'!$D$20="Avalanche",'Avalanche workings'!$AN$527,'Snowball workings'!$AN$527))</f>
      </c>
      <c r="W525" s="30">
        <f>IF(OR(520&gt;$Z$1,NOT(OR('Your debts'!$B$14&lt;&gt;"",N('Your debts'!$C$14)&gt;0))),"",IF('Your debts'!$D$20="Avalanche",'Avalanche workings'!$AX$527,'Snowball workings'!$AX$527))</f>
      </c>
      <c r="X525" s="29">
        <f>IF(OR(520&gt;$Z$1,NOT(OR('Your debts'!$B$15&lt;&gt;"",N('Your debts'!$C$15)&gt;0))),"",IF('Your debts'!$D$20="Avalanche",'Avalanche workings'!$U$527,'Snowball workings'!$U$527)+IF('Your debts'!$D$20="Avalanche",'Avalanche workings'!$AO$527,'Snowball workings'!$AO$527))</f>
      </c>
      <c r="Y525" s="30">
        <f>IF(OR(520&gt;$Z$1,NOT(OR('Your debts'!$B$15&lt;&gt;"",N('Your debts'!$C$15)&gt;0))),"",IF('Your debts'!$D$20="Avalanche",'Avalanche workings'!$AY$527,'Snowball workings'!$AY$527))</f>
      </c>
    </row>
    <row r="526" spans="1:25" x14ac:dyDescent="0.25">
      <c r="A526" s="2">
        <f>IF(521&gt;$Z$1,"",521)</f>
      </c>
      <c r="B526" s="28">
        <f>IF(521&gt;$Z$1,"",EDATE('Your debts'!$D$21,520))</f>
      </c>
      <c r="C526" s="29">
        <f>IF(521&gt;$Z$1,"",IF('Your debts'!$D$20="Avalanche",'Avalanche workings'!$BC$528,'Snowball workings'!$BC$528))</f>
      </c>
      <c r="D526" s="29">
        <f>IF(521&gt;$Z$1,"",IF('Your debts'!$D$20="Avalanche",'Avalanche workings'!$BA$528,'Snowball workings'!$BA$528))</f>
      </c>
      <c r="E526" s="29">
        <f>IF(521&gt;$Z$1,"",IF('Your debts'!$D$20="Avalanche",'Avalanche workings'!$BB$528,'Snowball workings'!$BB$528))</f>
      </c>
      <c r="F526" s="29">
        <f>IF(OR(521&gt;$Z$1,NOT(OR('Your debts'!$B$6&lt;&gt;"",N('Your debts'!$C$6)&gt;0))),"",IF('Your debts'!$D$20="Avalanche",'Avalanche workings'!$L$528,'Snowball workings'!$L$528)+IF('Your debts'!$D$20="Avalanche",'Avalanche workings'!$AF$528,'Snowball workings'!$AF$528))</f>
      </c>
      <c r="G526" s="30">
        <f>IF(OR(521&gt;$Z$1,NOT(OR('Your debts'!$B$6&lt;&gt;"",N('Your debts'!$C$6)&gt;0))),"",IF('Your debts'!$D$20="Avalanche",'Avalanche workings'!$AP$528,'Snowball workings'!$AP$528))</f>
      </c>
      <c r="H526" s="29">
        <f>IF(OR(521&gt;$Z$1,NOT(OR('Your debts'!$B$7&lt;&gt;"",N('Your debts'!$C$7)&gt;0))),"",IF('Your debts'!$D$20="Avalanche",'Avalanche workings'!$M$528,'Snowball workings'!$M$528)+IF('Your debts'!$D$20="Avalanche",'Avalanche workings'!$AG$528,'Snowball workings'!$AG$528))</f>
      </c>
      <c r="I526" s="30">
        <f>IF(OR(521&gt;$Z$1,NOT(OR('Your debts'!$B$7&lt;&gt;"",N('Your debts'!$C$7)&gt;0))),"",IF('Your debts'!$D$20="Avalanche",'Avalanche workings'!$AQ$528,'Snowball workings'!$AQ$528))</f>
      </c>
      <c r="J526" s="29">
        <f>IF(OR(521&gt;$Z$1,NOT(OR('Your debts'!$B$8&lt;&gt;"",N('Your debts'!$C$8)&gt;0))),"",IF('Your debts'!$D$20="Avalanche",'Avalanche workings'!$N$528,'Snowball workings'!$N$528)+IF('Your debts'!$D$20="Avalanche",'Avalanche workings'!$AH$528,'Snowball workings'!$AH$528))</f>
      </c>
      <c r="K526" s="30">
        <f>IF(OR(521&gt;$Z$1,NOT(OR('Your debts'!$B$8&lt;&gt;"",N('Your debts'!$C$8)&gt;0))),"",IF('Your debts'!$D$20="Avalanche",'Avalanche workings'!$AR$528,'Snowball workings'!$AR$528))</f>
      </c>
      <c r="L526" s="29">
        <f>IF(OR(521&gt;$Z$1,NOT(OR('Your debts'!$B$9&lt;&gt;"",N('Your debts'!$C$9)&gt;0))),"",IF('Your debts'!$D$20="Avalanche",'Avalanche workings'!$O$528,'Snowball workings'!$O$528)+IF('Your debts'!$D$20="Avalanche",'Avalanche workings'!$AI$528,'Snowball workings'!$AI$528))</f>
      </c>
      <c r="M526" s="30">
        <f>IF(OR(521&gt;$Z$1,NOT(OR('Your debts'!$B$9&lt;&gt;"",N('Your debts'!$C$9)&gt;0))),"",IF('Your debts'!$D$20="Avalanche",'Avalanche workings'!$AS$528,'Snowball workings'!$AS$528))</f>
      </c>
      <c r="N526" s="29">
        <f>IF(OR(521&gt;$Z$1,NOT(OR('Your debts'!$B$10&lt;&gt;"",N('Your debts'!$C$10)&gt;0))),"",IF('Your debts'!$D$20="Avalanche",'Avalanche workings'!$P$528,'Snowball workings'!$P$528)+IF('Your debts'!$D$20="Avalanche",'Avalanche workings'!$AJ$528,'Snowball workings'!$AJ$528))</f>
      </c>
      <c r="O526" s="30">
        <f>IF(OR(521&gt;$Z$1,NOT(OR('Your debts'!$B$10&lt;&gt;"",N('Your debts'!$C$10)&gt;0))),"",IF('Your debts'!$D$20="Avalanche",'Avalanche workings'!$AT$528,'Snowball workings'!$AT$528))</f>
      </c>
      <c r="P526" s="29">
        <f>IF(OR(521&gt;$Z$1,NOT(OR('Your debts'!$B$11&lt;&gt;"",N('Your debts'!$C$11)&gt;0))),"",IF('Your debts'!$D$20="Avalanche",'Avalanche workings'!$Q$528,'Snowball workings'!$Q$528)+IF('Your debts'!$D$20="Avalanche",'Avalanche workings'!$AK$528,'Snowball workings'!$AK$528))</f>
      </c>
      <c r="Q526" s="30">
        <f>IF(OR(521&gt;$Z$1,NOT(OR('Your debts'!$B$11&lt;&gt;"",N('Your debts'!$C$11)&gt;0))),"",IF('Your debts'!$D$20="Avalanche",'Avalanche workings'!$AU$528,'Snowball workings'!$AU$528))</f>
      </c>
      <c r="R526" s="29">
        <f>IF(OR(521&gt;$Z$1,NOT(OR('Your debts'!$B$12&lt;&gt;"",N('Your debts'!$C$12)&gt;0))),"",IF('Your debts'!$D$20="Avalanche",'Avalanche workings'!$R$528,'Snowball workings'!$R$528)+IF('Your debts'!$D$20="Avalanche",'Avalanche workings'!$AL$528,'Snowball workings'!$AL$528))</f>
      </c>
      <c r="S526" s="30">
        <f>IF(OR(521&gt;$Z$1,NOT(OR('Your debts'!$B$12&lt;&gt;"",N('Your debts'!$C$12)&gt;0))),"",IF('Your debts'!$D$20="Avalanche",'Avalanche workings'!$AV$528,'Snowball workings'!$AV$528))</f>
      </c>
      <c r="T526" s="29">
        <f>IF(OR(521&gt;$Z$1,NOT(OR('Your debts'!$B$13&lt;&gt;"",N('Your debts'!$C$13)&gt;0))),"",IF('Your debts'!$D$20="Avalanche",'Avalanche workings'!$S$528,'Snowball workings'!$S$528)+IF('Your debts'!$D$20="Avalanche",'Avalanche workings'!$AM$528,'Snowball workings'!$AM$528))</f>
      </c>
      <c r="U526" s="30">
        <f>IF(OR(521&gt;$Z$1,NOT(OR('Your debts'!$B$13&lt;&gt;"",N('Your debts'!$C$13)&gt;0))),"",IF('Your debts'!$D$20="Avalanche",'Avalanche workings'!$AW$528,'Snowball workings'!$AW$528))</f>
      </c>
      <c r="V526" s="29">
        <f>IF(OR(521&gt;$Z$1,NOT(OR('Your debts'!$B$14&lt;&gt;"",N('Your debts'!$C$14)&gt;0))),"",IF('Your debts'!$D$20="Avalanche",'Avalanche workings'!$T$528,'Snowball workings'!$T$528)+IF('Your debts'!$D$20="Avalanche",'Avalanche workings'!$AN$528,'Snowball workings'!$AN$528))</f>
      </c>
      <c r="W526" s="30">
        <f>IF(OR(521&gt;$Z$1,NOT(OR('Your debts'!$B$14&lt;&gt;"",N('Your debts'!$C$14)&gt;0))),"",IF('Your debts'!$D$20="Avalanche",'Avalanche workings'!$AX$528,'Snowball workings'!$AX$528))</f>
      </c>
      <c r="X526" s="29">
        <f>IF(OR(521&gt;$Z$1,NOT(OR('Your debts'!$B$15&lt;&gt;"",N('Your debts'!$C$15)&gt;0))),"",IF('Your debts'!$D$20="Avalanche",'Avalanche workings'!$U$528,'Snowball workings'!$U$528)+IF('Your debts'!$D$20="Avalanche",'Avalanche workings'!$AO$528,'Snowball workings'!$AO$528))</f>
      </c>
      <c r="Y526" s="30">
        <f>IF(OR(521&gt;$Z$1,NOT(OR('Your debts'!$B$15&lt;&gt;"",N('Your debts'!$C$15)&gt;0))),"",IF('Your debts'!$D$20="Avalanche",'Avalanche workings'!$AY$528,'Snowball workings'!$AY$528))</f>
      </c>
    </row>
    <row r="527" spans="1:25" x14ac:dyDescent="0.25">
      <c r="A527" s="2">
        <f>IF(522&gt;$Z$1,"",522)</f>
      </c>
      <c r="B527" s="28">
        <f>IF(522&gt;$Z$1,"",EDATE('Your debts'!$D$21,521))</f>
      </c>
      <c r="C527" s="29">
        <f>IF(522&gt;$Z$1,"",IF('Your debts'!$D$20="Avalanche",'Avalanche workings'!$BC$529,'Snowball workings'!$BC$529))</f>
      </c>
      <c r="D527" s="29">
        <f>IF(522&gt;$Z$1,"",IF('Your debts'!$D$20="Avalanche",'Avalanche workings'!$BA$529,'Snowball workings'!$BA$529))</f>
      </c>
      <c r="E527" s="29">
        <f>IF(522&gt;$Z$1,"",IF('Your debts'!$D$20="Avalanche",'Avalanche workings'!$BB$529,'Snowball workings'!$BB$529))</f>
      </c>
      <c r="F527" s="29">
        <f>IF(OR(522&gt;$Z$1,NOT(OR('Your debts'!$B$6&lt;&gt;"",N('Your debts'!$C$6)&gt;0))),"",IF('Your debts'!$D$20="Avalanche",'Avalanche workings'!$L$529,'Snowball workings'!$L$529)+IF('Your debts'!$D$20="Avalanche",'Avalanche workings'!$AF$529,'Snowball workings'!$AF$529))</f>
      </c>
      <c r="G527" s="30">
        <f>IF(OR(522&gt;$Z$1,NOT(OR('Your debts'!$B$6&lt;&gt;"",N('Your debts'!$C$6)&gt;0))),"",IF('Your debts'!$D$20="Avalanche",'Avalanche workings'!$AP$529,'Snowball workings'!$AP$529))</f>
      </c>
      <c r="H527" s="29">
        <f>IF(OR(522&gt;$Z$1,NOT(OR('Your debts'!$B$7&lt;&gt;"",N('Your debts'!$C$7)&gt;0))),"",IF('Your debts'!$D$20="Avalanche",'Avalanche workings'!$M$529,'Snowball workings'!$M$529)+IF('Your debts'!$D$20="Avalanche",'Avalanche workings'!$AG$529,'Snowball workings'!$AG$529))</f>
      </c>
      <c r="I527" s="30">
        <f>IF(OR(522&gt;$Z$1,NOT(OR('Your debts'!$B$7&lt;&gt;"",N('Your debts'!$C$7)&gt;0))),"",IF('Your debts'!$D$20="Avalanche",'Avalanche workings'!$AQ$529,'Snowball workings'!$AQ$529))</f>
      </c>
      <c r="J527" s="29">
        <f>IF(OR(522&gt;$Z$1,NOT(OR('Your debts'!$B$8&lt;&gt;"",N('Your debts'!$C$8)&gt;0))),"",IF('Your debts'!$D$20="Avalanche",'Avalanche workings'!$N$529,'Snowball workings'!$N$529)+IF('Your debts'!$D$20="Avalanche",'Avalanche workings'!$AH$529,'Snowball workings'!$AH$529))</f>
      </c>
      <c r="K527" s="30">
        <f>IF(OR(522&gt;$Z$1,NOT(OR('Your debts'!$B$8&lt;&gt;"",N('Your debts'!$C$8)&gt;0))),"",IF('Your debts'!$D$20="Avalanche",'Avalanche workings'!$AR$529,'Snowball workings'!$AR$529))</f>
      </c>
      <c r="L527" s="29">
        <f>IF(OR(522&gt;$Z$1,NOT(OR('Your debts'!$B$9&lt;&gt;"",N('Your debts'!$C$9)&gt;0))),"",IF('Your debts'!$D$20="Avalanche",'Avalanche workings'!$O$529,'Snowball workings'!$O$529)+IF('Your debts'!$D$20="Avalanche",'Avalanche workings'!$AI$529,'Snowball workings'!$AI$529))</f>
      </c>
      <c r="M527" s="30">
        <f>IF(OR(522&gt;$Z$1,NOT(OR('Your debts'!$B$9&lt;&gt;"",N('Your debts'!$C$9)&gt;0))),"",IF('Your debts'!$D$20="Avalanche",'Avalanche workings'!$AS$529,'Snowball workings'!$AS$529))</f>
      </c>
      <c r="N527" s="29">
        <f>IF(OR(522&gt;$Z$1,NOT(OR('Your debts'!$B$10&lt;&gt;"",N('Your debts'!$C$10)&gt;0))),"",IF('Your debts'!$D$20="Avalanche",'Avalanche workings'!$P$529,'Snowball workings'!$P$529)+IF('Your debts'!$D$20="Avalanche",'Avalanche workings'!$AJ$529,'Snowball workings'!$AJ$529))</f>
      </c>
      <c r="O527" s="30">
        <f>IF(OR(522&gt;$Z$1,NOT(OR('Your debts'!$B$10&lt;&gt;"",N('Your debts'!$C$10)&gt;0))),"",IF('Your debts'!$D$20="Avalanche",'Avalanche workings'!$AT$529,'Snowball workings'!$AT$529))</f>
      </c>
      <c r="P527" s="29">
        <f>IF(OR(522&gt;$Z$1,NOT(OR('Your debts'!$B$11&lt;&gt;"",N('Your debts'!$C$11)&gt;0))),"",IF('Your debts'!$D$20="Avalanche",'Avalanche workings'!$Q$529,'Snowball workings'!$Q$529)+IF('Your debts'!$D$20="Avalanche",'Avalanche workings'!$AK$529,'Snowball workings'!$AK$529))</f>
      </c>
      <c r="Q527" s="30">
        <f>IF(OR(522&gt;$Z$1,NOT(OR('Your debts'!$B$11&lt;&gt;"",N('Your debts'!$C$11)&gt;0))),"",IF('Your debts'!$D$20="Avalanche",'Avalanche workings'!$AU$529,'Snowball workings'!$AU$529))</f>
      </c>
      <c r="R527" s="29">
        <f>IF(OR(522&gt;$Z$1,NOT(OR('Your debts'!$B$12&lt;&gt;"",N('Your debts'!$C$12)&gt;0))),"",IF('Your debts'!$D$20="Avalanche",'Avalanche workings'!$R$529,'Snowball workings'!$R$529)+IF('Your debts'!$D$20="Avalanche",'Avalanche workings'!$AL$529,'Snowball workings'!$AL$529))</f>
      </c>
      <c r="S527" s="30">
        <f>IF(OR(522&gt;$Z$1,NOT(OR('Your debts'!$B$12&lt;&gt;"",N('Your debts'!$C$12)&gt;0))),"",IF('Your debts'!$D$20="Avalanche",'Avalanche workings'!$AV$529,'Snowball workings'!$AV$529))</f>
      </c>
      <c r="T527" s="29">
        <f>IF(OR(522&gt;$Z$1,NOT(OR('Your debts'!$B$13&lt;&gt;"",N('Your debts'!$C$13)&gt;0))),"",IF('Your debts'!$D$20="Avalanche",'Avalanche workings'!$S$529,'Snowball workings'!$S$529)+IF('Your debts'!$D$20="Avalanche",'Avalanche workings'!$AM$529,'Snowball workings'!$AM$529))</f>
      </c>
      <c r="U527" s="30">
        <f>IF(OR(522&gt;$Z$1,NOT(OR('Your debts'!$B$13&lt;&gt;"",N('Your debts'!$C$13)&gt;0))),"",IF('Your debts'!$D$20="Avalanche",'Avalanche workings'!$AW$529,'Snowball workings'!$AW$529))</f>
      </c>
      <c r="V527" s="29">
        <f>IF(OR(522&gt;$Z$1,NOT(OR('Your debts'!$B$14&lt;&gt;"",N('Your debts'!$C$14)&gt;0))),"",IF('Your debts'!$D$20="Avalanche",'Avalanche workings'!$T$529,'Snowball workings'!$T$529)+IF('Your debts'!$D$20="Avalanche",'Avalanche workings'!$AN$529,'Snowball workings'!$AN$529))</f>
      </c>
      <c r="W527" s="30">
        <f>IF(OR(522&gt;$Z$1,NOT(OR('Your debts'!$B$14&lt;&gt;"",N('Your debts'!$C$14)&gt;0))),"",IF('Your debts'!$D$20="Avalanche",'Avalanche workings'!$AX$529,'Snowball workings'!$AX$529))</f>
      </c>
      <c r="X527" s="29">
        <f>IF(OR(522&gt;$Z$1,NOT(OR('Your debts'!$B$15&lt;&gt;"",N('Your debts'!$C$15)&gt;0))),"",IF('Your debts'!$D$20="Avalanche",'Avalanche workings'!$U$529,'Snowball workings'!$U$529)+IF('Your debts'!$D$20="Avalanche",'Avalanche workings'!$AO$529,'Snowball workings'!$AO$529))</f>
      </c>
      <c r="Y527" s="30">
        <f>IF(OR(522&gt;$Z$1,NOT(OR('Your debts'!$B$15&lt;&gt;"",N('Your debts'!$C$15)&gt;0))),"",IF('Your debts'!$D$20="Avalanche",'Avalanche workings'!$AY$529,'Snowball workings'!$AY$529))</f>
      </c>
    </row>
    <row r="528" spans="1:25" x14ac:dyDescent="0.25">
      <c r="A528" s="2">
        <f>IF(523&gt;$Z$1,"",523)</f>
      </c>
      <c r="B528" s="28">
        <f>IF(523&gt;$Z$1,"",EDATE('Your debts'!$D$21,522))</f>
      </c>
      <c r="C528" s="29">
        <f>IF(523&gt;$Z$1,"",IF('Your debts'!$D$20="Avalanche",'Avalanche workings'!$BC$530,'Snowball workings'!$BC$530))</f>
      </c>
      <c r="D528" s="29">
        <f>IF(523&gt;$Z$1,"",IF('Your debts'!$D$20="Avalanche",'Avalanche workings'!$BA$530,'Snowball workings'!$BA$530))</f>
      </c>
      <c r="E528" s="29">
        <f>IF(523&gt;$Z$1,"",IF('Your debts'!$D$20="Avalanche",'Avalanche workings'!$BB$530,'Snowball workings'!$BB$530))</f>
      </c>
      <c r="F528" s="29">
        <f>IF(OR(523&gt;$Z$1,NOT(OR('Your debts'!$B$6&lt;&gt;"",N('Your debts'!$C$6)&gt;0))),"",IF('Your debts'!$D$20="Avalanche",'Avalanche workings'!$L$530,'Snowball workings'!$L$530)+IF('Your debts'!$D$20="Avalanche",'Avalanche workings'!$AF$530,'Snowball workings'!$AF$530))</f>
      </c>
      <c r="G528" s="30">
        <f>IF(OR(523&gt;$Z$1,NOT(OR('Your debts'!$B$6&lt;&gt;"",N('Your debts'!$C$6)&gt;0))),"",IF('Your debts'!$D$20="Avalanche",'Avalanche workings'!$AP$530,'Snowball workings'!$AP$530))</f>
      </c>
      <c r="H528" s="29">
        <f>IF(OR(523&gt;$Z$1,NOT(OR('Your debts'!$B$7&lt;&gt;"",N('Your debts'!$C$7)&gt;0))),"",IF('Your debts'!$D$20="Avalanche",'Avalanche workings'!$M$530,'Snowball workings'!$M$530)+IF('Your debts'!$D$20="Avalanche",'Avalanche workings'!$AG$530,'Snowball workings'!$AG$530))</f>
      </c>
      <c r="I528" s="30">
        <f>IF(OR(523&gt;$Z$1,NOT(OR('Your debts'!$B$7&lt;&gt;"",N('Your debts'!$C$7)&gt;0))),"",IF('Your debts'!$D$20="Avalanche",'Avalanche workings'!$AQ$530,'Snowball workings'!$AQ$530))</f>
      </c>
      <c r="J528" s="29">
        <f>IF(OR(523&gt;$Z$1,NOT(OR('Your debts'!$B$8&lt;&gt;"",N('Your debts'!$C$8)&gt;0))),"",IF('Your debts'!$D$20="Avalanche",'Avalanche workings'!$N$530,'Snowball workings'!$N$530)+IF('Your debts'!$D$20="Avalanche",'Avalanche workings'!$AH$530,'Snowball workings'!$AH$530))</f>
      </c>
      <c r="K528" s="30">
        <f>IF(OR(523&gt;$Z$1,NOT(OR('Your debts'!$B$8&lt;&gt;"",N('Your debts'!$C$8)&gt;0))),"",IF('Your debts'!$D$20="Avalanche",'Avalanche workings'!$AR$530,'Snowball workings'!$AR$530))</f>
      </c>
      <c r="L528" s="29">
        <f>IF(OR(523&gt;$Z$1,NOT(OR('Your debts'!$B$9&lt;&gt;"",N('Your debts'!$C$9)&gt;0))),"",IF('Your debts'!$D$20="Avalanche",'Avalanche workings'!$O$530,'Snowball workings'!$O$530)+IF('Your debts'!$D$20="Avalanche",'Avalanche workings'!$AI$530,'Snowball workings'!$AI$530))</f>
      </c>
      <c r="M528" s="30">
        <f>IF(OR(523&gt;$Z$1,NOT(OR('Your debts'!$B$9&lt;&gt;"",N('Your debts'!$C$9)&gt;0))),"",IF('Your debts'!$D$20="Avalanche",'Avalanche workings'!$AS$530,'Snowball workings'!$AS$530))</f>
      </c>
      <c r="N528" s="29">
        <f>IF(OR(523&gt;$Z$1,NOT(OR('Your debts'!$B$10&lt;&gt;"",N('Your debts'!$C$10)&gt;0))),"",IF('Your debts'!$D$20="Avalanche",'Avalanche workings'!$P$530,'Snowball workings'!$P$530)+IF('Your debts'!$D$20="Avalanche",'Avalanche workings'!$AJ$530,'Snowball workings'!$AJ$530))</f>
      </c>
      <c r="O528" s="30">
        <f>IF(OR(523&gt;$Z$1,NOT(OR('Your debts'!$B$10&lt;&gt;"",N('Your debts'!$C$10)&gt;0))),"",IF('Your debts'!$D$20="Avalanche",'Avalanche workings'!$AT$530,'Snowball workings'!$AT$530))</f>
      </c>
      <c r="P528" s="29">
        <f>IF(OR(523&gt;$Z$1,NOT(OR('Your debts'!$B$11&lt;&gt;"",N('Your debts'!$C$11)&gt;0))),"",IF('Your debts'!$D$20="Avalanche",'Avalanche workings'!$Q$530,'Snowball workings'!$Q$530)+IF('Your debts'!$D$20="Avalanche",'Avalanche workings'!$AK$530,'Snowball workings'!$AK$530))</f>
      </c>
      <c r="Q528" s="30">
        <f>IF(OR(523&gt;$Z$1,NOT(OR('Your debts'!$B$11&lt;&gt;"",N('Your debts'!$C$11)&gt;0))),"",IF('Your debts'!$D$20="Avalanche",'Avalanche workings'!$AU$530,'Snowball workings'!$AU$530))</f>
      </c>
      <c r="R528" s="29">
        <f>IF(OR(523&gt;$Z$1,NOT(OR('Your debts'!$B$12&lt;&gt;"",N('Your debts'!$C$12)&gt;0))),"",IF('Your debts'!$D$20="Avalanche",'Avalanche workings'!$R$530,'Snowball workings'!$R$530)+IF('Your debts'!$D$20="Avalanche",'Avalanche workings'!$AL$530,'Snowball workings'!$AL$530))</f>
      </c>
      <c r="S528" s="30">
        <f>IF(OR(523&gt;$Z$1,NOT(OR('Your debts'!$B$12&lt;&gt;"",N('Your debts'!$C$12)&gt;0))),"",IF('Your debts'!$D$20="Avalanche",'Avalanche workings'!$AV$530,'Snowball workings'!$AV$530))</f>
      </c>
      <c r="T528" s="29">
        <f>IF(OR(523&gt;$Z$1,NOT(OR('Your debts'!$B$13&lt;&gt;"",N('Your debts'!$C$13)&gt;0))),"",IF('Your debts'!$D$20="Avalanche",'Avalanche workings'!$S$530,'Snowball workings'!$S$530)+IF('Your debts'!$D$20="Avalanche",'Avalanche workings'!$AM$530,'Snowball workings'!$AM$530))</f>
      </c>
      <c r="U528" s="30">
        <f>IF(OR(523&gt;$Z$1,NOT(OR('Your debts'!$B$13&lt;&gt;"",N('Your debts'!$C$13)&gt;0))),"",IF('Your debts'!$D$20="Avalanche",'Avalanche workings'!$AW$530,'Snowball workings'!$AW$530))</f>
      </c>
      <c r="V528" s="29">
        <f>IF(OR(523&gt;$Z$1,NOT(OR('Your debts'!$B$14&lt;&gt;"",N('Your debts'!$C$14)&gt;0))),"",IF('Your debts'!$D$20="Avalanche",'Avalanche workings'!$T$530,'Snowball workings'!$T$530)+IF('Your debts'!$D$20="Avalanche",'Avalanche workings'!$AN$530,'Snowball workings'!$AN$530))</f>
      </c>
      <c r="W528" s="30">
        <f>IF(OR(523&gt;$Z$1,NOT(OR('Your debts'!$B$14&lt;&gt;"",N('Your debts'!$C$14)&gt;0))),"",IF('Your debts'!$D$20="Avalanche",'Avalanche workings'!$AX$530,'Snowball workings'!$AX$530))</f>
      </c>
      <c r="X528" s="29">
        <f>IF(OR(523&gt;$Z$1,NOT(OR('Your debts'!$B$15&lt;&gt;"",N('Your debts'!$C$15)&gt;0))),"",IF('Your debts'!$D$20="Avalanche",'Avalanche workings'!$U$530,'Snowball workings'!$U$530)+IF('Your debts'!$D$20="Avalanche",'Avalanche workings'!$AO$530,'Snowball workings'!$AO$530))</f>
      </c>
      <c r="Y528" s="30">
        <f>IF(OR(523&gt;$Z$1,NOT(OR('Your debts'!$B$15&lt;&gt;"",N('Your debts'!$C$15)&gt;0))),"",IF('Your debts'!$D$20="Avalanche",'Avalanche workings'!$AY$530,'Snowball workings'!$AY$530))</f>
      </c>
    </row>
    <row r="529" spans="1:25" x14ac:dyDescent="0.25">
      <c r="A529" s="2">
        <f>IF(524&gt;$Z$1,"",524)</f>
      </c>
      <c r="B529" s="28">
        <f>IF(524&gt;$Z$1,"",EDATE('Your debts'!$D$21,523))</f>
      </c>
      <c r="C529" s="29">
        <f>IF(524&gt;$Z$1,"",IF('Your debts'!$D$20="Avalanche",'Avalanche workings'!$BC$531,'Snowball workings'!$BC$531))</f>
      </c>
      <c r="D529" s="29">
        <f>IF(524&gt;$Z$1,"",IF('Your debts'!$D$20="Avalanche",'Avalanche workings'!$BA$531,'Snowball workings'!$BA$531))</f>
      </c>
      <c r="E529" s="29">
        <f>IF(524&gt;$Z$1,"",IF('Your debts'!$D$20="Avalanche",'Avalanche workings'!$BB$531,'Snowball workings'!$BB$531))</f>
      </c>
      <c r="F529" s="29">
        <f>IF(OR(524&gt;$Z$1,NOT(OR('Your debts'!$B$6&lt;&gt;"",N('Your debts'!$C$6)&gt;0))),"",IF('Your debts'!$D$20="Avalanche",'Avalanche workings'!$L$531,'Snowball workings'!$L$531)+IF('Your debts'!$D$20="Avalanche",'Avalanche workings'!$AF$531,'Snowball workings'!$AF$531))</f>
      </c>
      <c r="G529" s="30">
        <f>IF(OR(524&gt;$Z$1,NOT(OR('Your debts'!$B$6&lt;&gt;"",N('Your debts'!$C$6)&gt;0))),"",IF('Your debts'!$D$20="Avalanche",'Avalanche workings'!$AP$531,'Snowball workings'!$AP$531))</f>
      </c>
      <c r="H529" s="29">
        <f>IF(OR(524&gt;$Z$1,NOT(OR('Your debts'!$B$7&lt;&gt;"",N('Your debts'!$C$7)&gt;0))),"",IF('Your debts'!$D$20="Avalanche",'Avalanche workings'!$M$531,'Snowball workings'!$M$531)+IF('Your debts'!$D$20="Avalanche",'Avalanche workings'!$AG$531,'Snowball workings'!$AG$531))</f>
      </c>
      <c r="I529" s="30">
        <f>IF(OR(524&gt;$Z$1,NOT(OR('Your debts'!$B$7&lt;&gt;"",N('Your debts'!$C$7)&gt;0))),"",IF('Your debts'!$D$20="Avalanche",'Avalanche workings'!$AQ$531,'Snowball workings'!$AQ$531))</f>
      </c>
      <c r="J529" s="29">
        <f>IF(OR(524&gt;$Z$1,NOT(OR('Your debts'!$B$8&lt;&gt;"",N('Your debts'!$C$8)&gt;0))),"",IF('Your debts'!$D$20="Avalanche",'Avalanche workings'!$N$531,'Snowball workings'!$N$531)+IF('Your debts'!$D$20="Avalanche",'Avalanche workings'!$AH$531,'Snowball workings'!$AH$531))</f>
      </c>
      <c r="K529" s="30">
        <f>IF(OR(524&gt;$Z$1,NOT(OR('Your debts'!$B$8&lt;&gt;"",N('Your debts'!$C$8)&gt;0))),"",IF('Your debts'!$D$20="Avalanche",'Avalanche workings'!$AR$531,'Snowball workings'!$AR$531))</f>
      </c>
      <c r="L529" s="29">
        <f>IF(OR(524&gt;$Z$1,NOT(OR('Your debts'!$B$9&lt;&gt;"",N('Your debts'!$C$9)&gt;0))),"",IF('Your debts'!$D$20="Avalanche",'Avalanche workings'!$O$531,'Snowball workings'!$O$531)+IF('Your debts'!$D$20="Avalanche",'Avalanche workings'!$AI$531,'Snowball workings'!$AI$531))</f>
      </c>
      <c r="M529" s="30">
        <f>IF(OR(524&gt;$Z$1,NOT(OR('Your debts'!$B$9&lt;&gt;"",N('Your debts'!$C$9)&gt;0))),"",IF('Your debts'!$D$20="Avalanche",'Avalanche workings'!$AS$531,'Snowball workings'!$AS$531))</f>
      </c>
      <c r="N529" s="29">
        <f>IF(OR(524&gt;$Z$1,NOT(OR('Your debts'!$B$10&lt;&gt;"",N('Your debts'!$C$10)&gt;0))),"",IF('Your debts'!$D$20="Avalanche",'Avalanche workings'!$P$531,'Snowball workings'!$P$531)+IF('Your debts'!$D$20="Avalanche",'Avalanche workings'!$AJ$531,'Snowball workings'!$AJ$531))</f>
      </c>
      <c r="O529" s="30">
        <f>IF(OR(524&gt;$Z$1,NOT(OR('Your debts'!$B$10&lt;&gt;"",N('Your debts'!$C$10)&gt;0))),"",IF('Your debts'!$D$20="Avalanche",'Avalanche workings'!$AT$531,'Snowball workings'!$AT$531))</f>
      </c>
      <c r="P529" s="29">
        <f>IF(OR(524&gt;$Z$1,NOT(OR('Your debts'!$B$11&lt;&gt;"",N('Your debts'!$C$11)&gt;0))),"",IF('Your debts'!$D$20="Avalanche",'Avalanche workings'!$Q$531,'Snowball workings'!$Q$531)+IF('Your debts'!$D$20="Avalanche",'Avalanche workings'!$AK$531,'Snowball workings'!$AK$531))</f>
      </c>
      <c r="Q529" s="30">
        <f>IF(OR(524&gt;$Z$1,NOT(OR('Your debts'!$B$11&lt;&gt;"",N('Your debts'!$C$11)&gt;0))),"",IF('Your debts'!$D$20="Avalanche",'Avalanche workings'!$AU$531,'Snowball workings'!$AU$531))</f>
      </c>
      <c r="R529" s="29">
        <f>IF(OR(524&gt;$Z$1,NOT(OR('Your debts'!$B$12&lt;&gt;"",N('Your debts'!$C$12)&gt;0))),"",IF('Your debts'!$D$20="Avalanche",'Avalanche workings'!$R$531,'Snowball workings'!$R$531)+IF('Your debts'!$D$20="Avalanche",'Avalanche workings'!$AL$531,'Snowball workings'!$AL$531))</f>
      </c>
      <c r="S529" s="30">
        <f>IF(OR(524&gt;$Z$1,NOT(OR('Your debts'!$B$12&lt;&gt;"",N('Your debts'!$C$12)&gt;0))),"",IF('Your debts'!$D$20="Avalanche",'Avalanche workings'!$AV$531,'Snowball workings'!$AV$531))</f>
      </c>
      <c r="T529" s="29">
        <f>IF(OR(524&gt;$Z$1,NOT(OR('Your debts'!$B$13&lt;&gt;"",N('Your debts'!$C$13)&gt;0))),"",IF('Your debts'!$D$20="Avalanche",'Avalanche workings'!$S$531,'Snowball workings'!$S$531)+IF('Your debts'!$D$20="Avalanche",'Avalanche workings'!$AM$531,'Snowball workings'!$AM$531))</f>
      </c>
      <c r="U529" s="30">
        <f>IF(OR(524&gt;$Z$1,NOT(OR('Your debts'!$B$13&lt;&gt;"",N('Your debts'!$C$13)&gt;0))),"",IF('Your debts'!$D$20="Avalanche",'Avalanche workings'!$AW$531,'Snowball workings'!$AW$531))</f>
      </c>
      <c r="V529" s="29">
        <f>IF(OR(524&gt;$Z$1,NOT(OR('Your debts'!$B$14&lt;&gt;"",N('Your debts'!$C$14)&gt;0))),"",IF('Your debts'!$D$20="Avalanche",'Avalanche workings'!$T$531,'Snowball workings'!$T$531)+IF('Your debts'!$D$20="Avalanche",'Avalanche workings'!$AN$531,'Snowball workings'!$AN$531))</f>
      </c>
      <c r="W529" s="30">
        <f>IF(OR(524&gt;$Z$1,NOT(OR('Your debts'!$B$14&lt;&gt;"",N('Your debts'!$C$14)&gt;0))),"",IF('Your debts'!$D$20="Avalanche",'Avalanche workings'!$AX$531,'Snowball workings'!$AX$531))</f>
      </c>
      <c r="X529" s="29">
        <f>IF(OR(524&gt;$Z$1,NOT(OR('Your debts'!$B$15&lt;&gt;"",N('Your debts'!$C$15)&gt;0))),"",IF('Your debts'!$D$20="Avalanche",'Avalanche workings'!$U$531,'Snowball workings'!$U$531)+IF('Your debts'!$D$20="Avalanche",'Avalanche workings'!$AO$531,'Snowball workings'!$AO$531))</f>
      </c>
      <c r="Y529" s="30">
        <f>IF(OR(524&gt;$Z$1,NOT(OR('Your debts'!$B$15&lt;&gt;"",N('Your debts'!$C$15)&gt;0))),"",IF('Your debts'!$D$20="Avalanche",'Avalanche workings'!$AY$531,'Snowball workings'!$AY$531))</f>
      </c>
    </row>
    <row r="530" spans="1:25" x14ac:dyDescent="0.25">
      <c r="A530" s="2">
        <f>IF(525&gt;$Z$1,"",525)</f>
      </c>
      <c r="B530" s="28">
        <f>IF(525&gt;$Z$1,"",EDATE('Your debts'!$D$21,524))</f>
      </c>
      <c r="C530" s="29">
        <f>IF(525&gt;$Z$1,"",IF('Your debts'!$D$20="Avalanche",'Avalanche workings'!$BC$532,'Snowball workings'!$BC$532))</f>
      </c>
      <c r="D530" s="29">
        <f>IF(525&gt;$Z$1,"",IF('Your debts'!$D$20="Avalanche",'Avalanche workings'!$BA$532,'Snowball workings'!$BA$532))</f>
      </c>
      <c r="E530" s="29">
        <f>IF(525&gt;$Z$1,"",IF('Your debts'!$D$20="Avalanche",'Avalanche workings'!$BB$532,'Snowball workings'!$BB$532))</f>
      </c>
      <c r="F530" s="29">
        <f>IF(OR(525&gt;$Z$1,NOT(OR('Your debts'!$B$6&lt;&gt;"",N('Your debts'!$C$6)&gt;0))),"",IF('Your debts'!$D$20="Avalanche",'Avalanche workings'!$L$532,'Snowball workings'!$L$532)+IF('Your debts'!$D$20="Avalanche",'Avalanche workings'!$AF$532,'Snowball workings'!$AF$532))</f>
      </c>
      <c r="G530" s="30">
        <f>IF(OR(525&gt;$Z$1,NOT(OR('Your debts'!$B$6&lt;&gt;"",N('Your debts'!$C$6)&gt;0))),"",IF('Your debts'!$D$20="Avalanche",'Avalanche workings'!$AP$532,'Snowball workings'!$AP$532))</f>
      </c>
      <c r="H530" s="29">
        <f>IF(OR(525&gt;$Z$1,NOT(OR('Your debts'!$B$7&lt;&gt;"",N('Your debts'!$C$7)&gt;0))),"",IF('Your debts'!$D$20="Avalanche",'Avalanche workings'!$M$532,'Snowball workings'!$M$532)+IF('Your debts'!$D$20="Avalanche",'Avalanche workings'!$AG$532,'Snowball workings'!$AG$532))</f>
      </c>
      <c r="I530" s="30">
        <f>IF(OR(525&gt;$Z$1,NOT(OR('Your debts'!$B$7&lt;&gt;"",N('Your debts'!$C$7)&gt;0))),"",IF('Your debts'!$D$20="Avalanche",'Avalanche workings'!$AQ$532,'Snowball workings'!$AQ$532))</f>
      </c>
      <c r="J530" s="29">
        <f>IF(OR(525&gt;$Z$1,NOT(OR('Your debts'!$B$8&lt;&gt;"",N('Your debts'!$C$8)&gt;0))),"",IF('Your debts'!$D$20="Avalanche",'Avalanche workings'!$N$532,'Snowball workings'!$N$532)+IF('Your debts'!$D$20="Avalanche",'Avalanche workings'!$AH$532,'Snowball workings'!$AH$532))</f>
      </c>
      <c r="K530" s="30">
        <f>IF(OR(525&gt;$Z$1,NOT(OR('Your debts'!$B$8&lt;&gt;"",N('Your debts'!$C$8)&gt;0))),"",IF('Your debts'!$D$20="Avalanche",'Avalanche workings'!$AR$532,'Snowball workings'!$AR$532))</f>
      </c>
      <c r="L530" s="29">
        <f>IF(OR(525&gt;$Z$1,NOT(OR('Your debts'!$B$9&lt;&gt;"",N('Your debts'!$C$9)&gt;0))),"",IF('Your debts'!$D$20="Avalanche",'Avalanche workings'!$O$532,'Snowball workings'!$O$532)+IF('Your debts'!$D$20="Avalanche",'Avalanche workings'!$AI$532,'Snowball workings'!$AI$532))</f>
      </c>
      <c r="M530" s="30">
        <f>IF(OR(525&gt;$Z$1,NOT(OR('Your debts'!$B$9&lt;&gt;"",N('Your debts'!$C$9)&gt;0))),"",IF('Your debts'!$D$20="Avalanche",'Avalanche workings'!$AS$532,'Snowball workings'!$AS$532))</f>
      </c>
      <c r="N530" s="29">
        <f>IF(OR(525&gt;$Z$1,NOT(OR('Your debts'!$B$10&lt;&gt;"",N('Your debts'!$C$10)&gt;0))),"",IF('Your debts'!$D$20="Avalanche",'Avalanche workings'!$P$532,'Snowball workings'!$P$532)+IF('Your debts'!$D$20="Avalanche",'Avalanche workings'!$AJ$532,'Snowball workings'!$AJ$532))</f>
      </c>
      <c r="O530" s="30">
        <f>IF(OR(525&gt;$Z$1,NOT(OR('Your debts'!$B$10&lt;&gt;"",N('Your debts'!$C$10)&gt;0))),"",IF('Your debts'!$D$20="Avalanche",'Avalanche workings'!$AT$532,'Snowball workings'!$AT$532))</f>
      </c>
      <c r="P530" s="29">
        <f>IF(OR(525&gt;$Z$1,NOT(OR('Your debts'!$B$11&lt;&gt;"",N('Your debts'!$C$11)&gt;0))),"",IF('Your debts'!$D$20="Avalanche",'Avalanche workings'!$Q$532,'Snowball workings'!$Q$532)+IF('Your debts'!$D$20="Avalanche",'Avalanche workings'!$AK$532,'Snowball workings'!$AK$532))</f>
      </c>
      <c r="Q530" s="30">
        <f>IF(OR(525&gt;$Z$1,NOT(OR('Your debts'!$B$11&lt;&gt;"",N('Your debts'!$C$11)&gt;0))),"",IF('Your debts'!$D$20="Avalanche",'Avalanche workings'!$AU$532,'Snowball workings'!$AU$532))</f>
      </c>
      <c r="R530" s="29">
        <f>IF(OR(525&gt;$Z$1,NOT(OR('Your debts'!$B$12&lt;&gt;"",N('Your debts'!$C$12)&gt;0))),"",IF('Your debts'!$D$20="Avalanche",'Avalanche workings'!$R$532,'Snowball workings'!$R$532)+IF('Your debts'!$D$20="Avalanche",'Avalanche workings'!$AL$532,'Snowball workings'!$AL$532))</f>
      </c>
      <c r="S530" s="30">
        <f>IF(OR(525&gt;$Z$1,NOT(OR('Your debts'!$B$12&lt;&gt;"",N('Your debts'!$C$12)&gt;0))),"",IF('Your debts'!$D$20="Avalanche",'Avalanche workings'!$AV$532,'Snowball workings'!$AV$532))</f>
      </c>
      <c r="T530" s="29">
        <f>IF(OR(525&gt;$Z$1,NOT(OR('Your debts'!$B$13&lt;&gt;"",N('Your debts'!$C$13)&gt;0))),"",IF('Your debts'!$D$20="Avalanche",'Avalanche workings'!$S$532,'Snowball workings'!$S$532)+IF('Your debts'!$D$20="Avalanche",'Avalanche workings'!$AM$532,'Snowball workings'!$AM$532))</f>
      </c>
      <c r="U530" s="30">
        <f>IF(OR(525&gt;$Z$1,NOT(OR('Your debts'!$B$13&lt;&gt;"",N('Your debts'!$C$13)&gt;0))),"",IF('Your debts'!$D$20="Avalanche",'Avalanche workings'!$AW$532,'Snowball workings'!$AW$532))</f>
      </c>
      <c r="V530" s="29">
        <f>IF(OR(525&gt;$Z$1,NOT(OR('Your debts'!$B$14&lt;&gt;"",N('Your debts'!$C$14)&gt;0))),"",IF('Your debts'!$D$20="Avalanche",'Avalanche workings'!$T$532,'Snowball workings'!$T$532)+IF('Your debts'!$D$20="Avalanche",'Avalanche workings'!$AN$532,'Snowball workings'!$AN$532))</f>
      </c>
      <c r="W530" s="30">
        <f>IF(OR(525&gt;$Z$1,NOT(OR('Your debts'!$B$14&lt;&gt;"",N('Your debts'!$C$14)&gt;0))),"",IF('Your debts'!$D$20="Avalanche",'Avalanche workings'!$AX$532,'Snowball workings'!$AX$532))</f>
      </c>
      <c r="X530" s="29">
        <f>IF(OR(525&gt;$Z$1,NOT(OR('Your debts'!$B$15&lt;&gt;"",N('Your debts'!$C$15)&gt;0))),"",IF('Your debts'!$D$20="Avalanche",'Avalanche workings'!$U$532,'Snowball workings'!$U$532)+IF('Your debts'!$D$20="Avalanche",'Avalanche workings'!$AO$532,'Snowball workings'!$AO$532))</f>
      </c>
      <c r="Y530" s="30">
        <f>IF(OR(525&gt;$Z$1,NOT(OR('Your debts'!$B$15&lt;&gt;"",N('Your debts'!$C$15)&gt;0))),"",IF('Your debts'!$D$20="Avalanche",'Avalanche workings'!$AY$532,'Snowball workings'!$AY$532))</f>
      </c>
    </row>
    <row r="531" spans="1:25" x14ac:dyDescent="0.25">
      <c r="A531" s="2">
        <f>IF(526&gt;$Z$1,"",526)</f>
      </c>
      <c r="B531" s="28">
        <f>IF(526&gt;$Z$1,"",EDATE('Your debts'!$D$21,525))</f>
      </c>
      <c r="C531" s="29">
        <f>IF(526&gt;$Z$1,"",IF('Your debts'!$D$20="Avalanche",'Avalanche workings'!$BC$533,'Snowball workings'!$BC$533))</f>
      </c>
      <c r="D531" s="29">
        <f>IF(526&gt;$Z$1,"",IF('Your debts'!$D$20="Avalanche",'Avalanche workings'!$BA$533,'Snowball workings'!$BA$533))</f>
      </c>
      <c r="E531" s="29">
        <f>IF(526&gt;$Z$1,"",IF('Your debts'!$D$20="Avalanche",'Avalanche workings'!$BB$533,'Snowball workings'!$BB$533))</f>
      </c>
      <c r="F531" s="29">
        <f>IF(OR(526&gt;$Z$1,NOT(OR('Your debts'!$B$6&lt;&gt;"",N('Your debts'!$C$6)&gt;0))),"",IF('Your debts'!$D$20="Avalanche",'Avalanche workings'!$L$533,'Snowball workings'!$L$533)+IF('Your debts'!$D$20="Avalanche",'Avalanche workings'!$AF$533,'Snowball workings'!$AF$533))</f>
      </c>
      <c r="G531" s="30">
        <f>IF(OR(526&gt;$Z$1,NOT(OR('Your debts'!$B$6&lt;&gt;"",N('Your debts'!$C$6)&gt;0))),"",IF('Your debts'!$D$20="Avalanche",'Avalanche workings'!$AP$533,'Snowball workings'!$AP$533))</f>
      </c>
      <c r="H531" s="29">
        <f>IF(OR(526&gt;$Z$1,NOT(OR('Your debts'!$B$7&lt;&gt;"",N('Your debts'!$C$7)&gt;0))),"",IF('Your debts'!$D$20="Avalanche",'Avalanche workings'!$M$533,'Snowball workings'!$M$533)+IF('Your debts'!$D$20="Avalanche",'Avalanche workings'!$AG$533,'Snowball workings'!$AG$533))</f>
      </c>
      <c r="I531" s="30">
        <f>IF(OR(526&gt;$Z$1,NOT(OR('Your debts'!$B$7&lt;&gt;"",N('Your debts'!$C$7)&gt;0))),"",IF('Your debts'!$D$20="Avalanche",'Avalanche workings'!$AQ$533,'Snowball workings'!$AQ$533))</f>
      </c>
      <c r="J531" s="29">
        <f>IF(OR(526&gt;$Z$1,NOT(OR('Your debts'!$B$8&lt;&gt;"",N('Your debts'!$C$8)&gt;0))),"",IF('Your debts'!$D$20="Avalanche",'Avalanche workings'!$N$533,'Snowball workings'!$N$533)+IF('Your debts'!$D$20="Avalanche",'Avalanche workings'!$AH$533,'Snowball workings'!$AH$533))</f>
      </c>
      <c r="K531" s="30">
        <f>IF(OR(526&gt;$Z$1,NOT(OR('Your debts'!$B$8&lt;&gt;"",N('Your debts'!$C$8)&gt;0))),"",IF('Your debts'!$D$20="Avalanche",'Avalanche workings'!$AR$533,'Snowball workings'!$AR$533))</f>
      </c>
      <c r="L531" s="29">
        <f>IF(OR(526&gt;$Z$1,NOT(OR('Your debts'!$B$9&lt;&gt;"",N('Your debts'!$C$9)&gt;0))),"",IF('Your debts'!$D$20="Avalanche",'Avalanche workings'!$O$533,'Snowball workings'!$O$533)+IF('Your debts'!$D$20="Avalanche",'Avalanche workings'!$AI$533,'Snowball workings'!$AI$533))</f>
      </c>
      <c r="M531" s="30">
        <f>IF(OR(526&gt;$Z$1,NOT(OR('Your debts'!$B$9&lt;&gt;"",N('Your debts'!$C$9)&gt;0))),"",IF('Your debts'!$D$20="Avalanche",'Avalanche workings'!$AS$533,'Snowball workings'!$AS$533))</f>
      </c>
      <c r="N531" s="29">
        <f>IF(OR(526&gt;$Z$1,NOT(OR('Your debts'!$B$10&lt;&gt;"",N('Your debts'!$C$10)&gt;0))),"",IF('Your debts'!$D$20="Avalanche",'Avalanche workings'!$P$533,'Snowball workings'!$P$533)+IF('Your debts'!$D$20="Avalanche",'Avalanche workings'!$AJ$533,'Snowball workings'!$AJ$533))</f>
      </c>
      <c r="O531" s="30">
        <f>IF(OR(526&gt;$Z$1,NOT(OR('Your debts'!$B$10&lt;&gt;"",N('Your debts'!$C$10)&gt;0))),"",IF('Your debts'!$D$20="Avalanche",'Avalanche workings'!$AT$533,'Snowball workings'!$AT$533))</f>
      </c>
      <c r="P531" s="29">
        <f>IF(OR(526&gt;$Z$1,NOT(OR('Your debts'!$B$11&lt;&gt;"",N('Your debts'!$C$11)&gt;0))),"",IF('Your debts'!$D$20="Avalanche",'Avalanche workings'!$Q$533,'Snowball workings'!$Q$533)+IF('Your debts'!$D$20="Avalanche",'Avalanche workings'!$AK$533,'Snowball workings'!$AK$533))</f>
      </c>
      <c r="Q531" s="30">
        <f>IF(OR(526&gt;$Z$1,NOT(OR('Your debts'!$B$11&lt;&gt;"",N('Your debts'!$C$11)&gt;0))),"",IF('Your debts'!$D$20="Avalanche",'Avalanche workings'!$AU$533,'Snowball workings'!$AU$533))</f>
      </c>
      <c r="R531" s="29">
        <f>IF(OR(526&gt;$Z$1,NOT(OR('Your debts'!$B$12&lt;&gt;"",N('Your debts'!$C$12)&gt;0))),"",IF('Your debts'!$D$20="Avalanche",'Avalanche workings'!$R$533,'Snowball workings'!$R$533)+IF('Your debts'!$D$20="Avalanche",'Avalanche workings'!$AL$533,'Snowball workings'!$AL$533))</f>
      </c>
      <c r="S531" s="30">
        <f>IF(OR(526&gt;$Z$1,NOT(OR('Your debts'!$B$12&lt;&gt;"",N('Your debts'!$C$12)&gt;0))),"",IF('Your debts'!$D$20="Avalanche",'Avalanche workings'!$AV$533,'Snowball workings'!$AV$533))</f>
      </c>
      <c r="T531" s="29">
        <f>IF(OR(526&gt;$Z$1,NOT(OR('Your debts'!$B$13&lt;&gt;"",N('Your debts'!$C$13)&gt;0))),"",IF('Your debts'!$D$20="Avalanche",'Avalanche workings'!$S$533,'Snowball workings'!$S$533)+IF('Your debts'!$D$20="Avalanche",'Avalanche workings'!$AM$533,'Snowball workings'!$AM$533))</f>
      </c>
      <c r="U531" s="30">
        <f>IF(OR(526&gt;$Z$1,NOT(OR('Your debts'!$B$13&lt;&gt;"",N('Your debts'!$C$13)&gt;0))),"",IF('Your debts'!$D$20="Avalanche",'Avalanche workings'!$AW$533,'Snowball workings'!$AW$533))</f>
      </c>
      <c r="V531" s="29">
        <f>IF(OR(526&gt;$Z$1,NOT(OR('Your debts'!$B$14&lt;&gt;"",N('Your debts'!$C$14)&gt;0))),"",IF('Your debts'!$D$20="Avalanche",'Avalanche workings'!$T$533,'Snowball workings'!$T$533)+IF('Your debts'!$D$20="Avalanche",'Avalanche workings'!$AN$533,'Snowball workings'!$AN$533))</f>
      </c>
      <c r="W531" s="30">
        <f>IF(OR(526&gt;$Z$1,NOT(OR('Your debts'!$B$14&lt;&gt;"",N('Your debts'!$C$14)&gt;0))),"",IF('Your debts'!$D$20="Avalanche",'Avalanche workings'!$AX$533,'Snowball workings'!$AX$533))</f>
      </c>
      <c r="X531" s="29">
        <f>IF(OR(526&gt;$Z$1,NOT(OR('Your debts'!$B$15&lt;&gt;"",N('Your debts'!$C$15)&gt;0))),"",IF('Your debts'!$D$20="Avalanche",'Avalanche workings'!$U$533,'Snowball workings'!$U$533)+IF('Your debts'!$D$20="Avalanche",'Avalanche workings'!$AO$533,'Snowball workings'!$AO$533))</f>
      </c>
      <c r="Y531" s="30">
        <f>IF(OR(526&gt;$Z$1,NOT(OR('Your debts'!$B$15&lt;&gt;"",N('Your debts'!$C$15)&gt;0))),"",IF('Your debts'!$D$20="Avalanche",'Avalanche workings'!$AY$533,'Snowball workings'!$AY$533))</f>
      </c>
    </row>
    <row r="532" spans="1:25" x14ac:dyDescent="0.25">
      <c r="A532" s="2">
        <f>IF(527&gt;$Z$1,"",527)</f>
      </c>
      <c r="B532" s="28">
        <f>IF(527&gt;$Z$1,"",EDATE('Your debts'!$D$21,526))</f>
      </c>
      <c r="C532" s="29">
        <f>IF(527&gt;$Z$1,"",IF('Your debts'!$D$20="Avalanche",'Avalanche workings'!$BC$534,'Snowball workings'!$BC$534))</f>
      </c>
      <c r="D532" s="29">
        <f>IF(527&gt;$Z$1,"",IF('Your debts'!$D$20="Avalanche",'Avalanche workings'!$BA$534,'Snowball workings'!$BA$534))</f>
      </c>
      <c r="E532" s="29">
        <f>IF(527&gt;$Z$1,"",IF('Your debts'!$D$20="Avalanche",'Avalanche workings'!$BB$534,'Snowball workings'!$BB$534))</f>
      </c>
      <c r="F532" s="29">
        <f>IF(OR(527&gt;$Z$1,NOT(OR('Your debts'!$B$6&lt;&gt;"",N('Your debts'!$C$6)&gt;0))),"",IF('Your debts'!$D$20="Avalanche",'Avalanche workings'!$L$534,'Snowball workings'!$L$534)+IF('Your debts'!$D$20="Avalanche",'Avalanche workings'!$AF$534,'Snowball workings'!$AF$534))</f>
      </c>
      <c r="G532" s="30">
        <f>IF(OR(527&gt;$Z$1,NOT(OR('Your debts'!$B$6&lt;&gt;"",N('Your debts'!$C$6)&gt;0))),"",IF('Your debts'!$D$20="Avalanche",'Avalanche workings'!$AP$534,'Snowball workings'!$AP$534))</f>
      </c>
      <c r="H532" s="29">
        <f>IF(OR(527&gt;$Z$1,NOT(OR('Your debts'!$B$7&lt;&gt;"",N('Your debts'!$C$7)&gt;0))),"",IF('Your debts'!$D$20="Avalanche",'Avalanche workings'!$M$534,'Snowball workings'!$M$534)+IF('Your debts'!$D$20="Avalanche",'Avalanche workings'!$AG$534,'Snowball workings'!$AG$534))</f>
      </c>
      <c r="I532" s="30">
        <f>IF(OR(527&gt;$Z$1,NOT(OR('Your debts'!$B$7&lt;&gt;"",N('Your debts'!$C$7)&gt;0))),"",IF('Your debts'!$D$20="Avalanche",'Avalanche workings'!$AQ$534,'Snowball workings'!$AQ$534))</f>
      </c>
      <c r="J532" s="29">
        <f>IF(OR(527&gt;$Z$1,NOT(OR('Your debts'!$B$8&lt;&gt;"",N('Your debts'!$C$8)&gt;0))),"",IF('Your debts'!$D$20="Avalanche",'Avalanche workings'!$N$534,'Snowball workings'!$N$534)+IF('Your debts'!$D$20="Avalanche",'Avalanche workings'!$AH$534,'Snowball workings'!$AH$534))</f>
      </c>
      <c r="K532" s="30">
        <f>IF(OR(527&gt;$Z$1,NOT(OR('Your debts'!$B$8&lt;&gt;"",N('Your debts'!$C$8)&gt;0))),"",IF('Your debts'!$D$20="Avalanche",'Avalanche workings'!$AR$534,'Snowball workings'!$AR$534))</f>
      </c>
      <c r="L532" s="29">
        <f>IF(OR(527&gt;$Z$1,NOT(OR('Your debts'!$B$9&lt;&gt;"",N('Your debts'!$C$9)&gt;0))),"",IF('Your debts'!$D$20="Avalanche",'Avalanche workings'!$O$534,'Snowball workings'!$O$534)+IF('Your debts'!$D$20="Avalanche",'Avalanche workings'!$AI$534,'Snowball workings'!$AI$534))</f>
      </c>
      <c r="M532" s="30">
        <f>IF(OR(527&gt;$Z$1,NOT(OR('Your debts'!$B$9&lt;&gt;"",N('Your debts'!$C$9)&gt;0))),"",IF('Your debts'!$D$20="Avalanche",'Avalanche workings'!$AS$534,'Snowball workings'!$AS$534))</f>
      </c>
      <c r="N532" s="29">
        <f>IF(OR(527&gt;$Z$1,NOT(OR('Your debts'!$B$10&lt;&gt;"",N('Your debts'!$C$10)&gt;0))),"",IF('Your debts'!$D$20="Avalanche",'Avalanche workings'!$P$534,'Snowball workings'!$P$534)+IF('Your debts'!$D$20="Avalanche",'Avalanche workings'!$AJ$534,'Snowball workings'!$AJ$534))</f>
      </c>
      <c r="O532" s="30">
        <f>IF(OR(527&gt;$Z$1,NOT(OR('Your debts'!$B$10&lt;&gt;"",N('Your debts'!$C$10)&gt;0))),"",IF('Your debts'!$D$20="Avalanche",'Avalanche workings'!$AT$534,'Snowball workings'!$AT$534))</f>
      </c>
      <c r="P532" s="29">
        <f>IF(OR(527&gt;$Z$1,NOT(OR('Your debts'!$B$11&lt;&gt;"",N('Your debts'!$C$11)&gt;0))),"",IF('Your debts'!$D$20="Avalanche",'Avalanche workings'!$Q$534,'Snowball workings'!$Q$534)+IF('Your debts'!$D$20="Avalanche",'Avalanche workings'!$AK$534,'Snowball workings'!$AK$534))</f>
      </c>
      <c r="Q532" s="30">
        <f>IF(OR(527&gt;$Z$1,NOT(OR('Your debts'!$B$11&lt;&gt;"",N('Your debts'!$C$11)&gt;0))),"",IF('Your debts'!$D$20="Avalanche",'Avalanche workings'!$AU$534,'Snowball workings'!$AU$534))</f>
      </c>
      <c r="R532" s="29">
        <f>IF(OR(527&gt;$Z$1,NOT(OR('Your debts'!$B$12&lt;&gt;"",N('Your debts'!$C$12)&gt;0))),"",IF('Your debts'!$D$20="Avalanche",'Avalanche workings'!$R$534,'Snowball workings'!$R$534)+IF('Your debts'!$D$20="Avalanche",'Avalanche workings'!$AL$534,'Snowball workings'!$AL$534))</f>
      </c>
      <c r="S532" s="30">
        <f>IF(OR(527&gt;$Z$1,NOT(OR('Your debts'!$B$12&lt;&gt;"",N('Your debts'!$C$12)&gt;0))),"",IF('Your debts'!$D$20="Avalanche",'Avalanche workings'!$AV$534,'Snowball workings'!$AV$534))</f>
      </c>
      <c r="T532" s="29">
        <f>IF(OR(527&gt;$Z$1,NOT(OR('Your debts'!$B$13&lt;&gt;"",N('Your debts'!$C$13)&gt;0))),"",IF('Your debts'!$D$20="Avalanche",'Avalanche workings'!$S$534,'Snowball workings'!$S$534)+IF('Your debts'!$D$20="Avalanche",'Avalanche workings'!$AM$534,'Snowball workings'!$AM$534))</f>
      </c>
      <c r="U532" s="30">
        <f>IF(OR(527&gt;$Z$1,NOT(OR('Your debts'!$B$13&lt;&gt;"",N('Your debts'!$C$13)&gt;0))),"",IF('Your debts'!$D$20="Avalanche",'Avalanche workings'!$AW$534,'Snowball workings'!$AW$534))</f>
      </c>
      <c r="V532" s="29">
        <f>IF(OR(527&gt;$Z$1,NOT(OR('Your debts'!$B$14&lt;&gt;"",N('Your debts'!$C$14)&gt;0))),"",IF('Your debts'!$D$20="Avalanche",'Avalanche workings'!$T$534,'Snowball workings'!$T$534)+IF('Your debts'!$D$20="Avalanche",'Avalanche workings'!$AN$534,'Snowball workings'!$AN$534))</f>
      </c>
      <c r="W532" s="30">
        <f>IF(OR(527&gt;$Z$1,NOT(OR('Your debts'!$B$14&lt;&gt;"",N('Your debts'!$C$14)&gt;0))),"",IF('Your debts'!$D$20="Avalanche",'Avalanche workings'!$AX$534,'Snowball workings'!$AX$534))</f>
      </c>
      <c r="X532" s="29">
        <f>IF(OR(527&gt;$Z$1,NOT(OR('Your debts'!$B$15&lt;&gt;"",N('Your debts'!$C$15)&gt;0))),"",IF('Your debts'!$D$20="Avalanche",'Avalanche workings'!$U$534,'Snowball workings'!$U$534)+IF('Your debts'!$D$20="Avalanche",'Avalanche workings'!$AO$534,'Snowball workings'!$AO$534))</f>
      </c>
      <c r="Y532" s="30">
        <f>IF(OR(527&gt;$Z$1,NOT(OR('Your debts'!$B$15&lt;&gt;"",N('Your debts'!$C$15)&gt;0))),"",IF('Your debts'!$D$20="Avalanche",'Avalanche workings'!$AY$534,'Snowball workings'!$AY$534))</f>
      </c>
    </row>
    <row r="533" spans="1:25" x14ac:dyDescent="0.25">
      <c r="A533" s="2">
        <f>IF(528&gt;$Z$1,"",528)</f>
      </c>
      <c r="B533" s="28">
        <f>IF(528&gt;$Z$1,"",EDATE('Your debts'!$D$21,527))</f>
      </c>
      <c r="C533" s="29">
        <f>IF(528&gt;$Z$1,"",IF('Your debts'!$D$20="Avalanche",'Avalanche workings'!$BC$535,'Snowball workings'!$BC$535))</f>
      </c>
      <c r="D533" s="29">
        <f>IF(528&gt;$Z$1,"",IF('Your debts'!$D$20="Avalanche",'Avalanche workings'!$BA$535,'Snowball workings'!$BA$535))</f>
      </c>
      <c r="E533" s="29">
        <f>IF(528&gt;$Z$1,"",IF('Your debts'!$D$20="Avalanche",'Avalanche workings'!$BB$535,'Snowball workings'!$BB$535))</f>
      </c>
      <c r="F533" s="29">
        <f>IF(OR(528&gt;$Z$1,NOT(OR('Your debts'!$B$6&lt;&gt;"",N('Your debts'!$C$6)&gt;0))),"",IF('Your debts'!$D$20="Avalanche",'Avalanche workings'!$L$535,'Snowball workings'!$L$535)+IF('Your debts'!$D$20="Avalanche",'Avalanche workings'!$AF$535,'Snowball workings'!$AF$535))</f>
      </c>
      <c r="G533" s="30">
        <f>IF(OR(528&gt;$Z$1,NOT(OR('Your debts'!$B$6&lt;&gt;"",N('Your debts'!$C$6)&gt;0))),"",IF('Your debts'!$D$20="Avalanche",'Avalanche workings'!$AP$535,'Snowball workings'!$AP$535))</f>
      </c>
      <c r="H533" s="29">
        <f>IF(OR(528&gt;$Z$1,NOT(OR('Your debts'!$B$7&lt;&gt;"",N('Your debts'!$C$7)&gt;0))),"",IF('Your debts'!$D$20="Avalanche",'Avalanche workings'!$M$535,'Snowball workings'!$M$535)+IF('Your debts'!$D$20="Avalanche",'Avalanche workings'!$AG$535,'Snowball workings'!$AG$535))</f>
      </c>
      <c r="I533" s="30">
        <f>IF(OR(528&gt;$Z$1,NOT(OR('Your debts'!$B$7&lt;&gt;"",N('Your debts'!$C$7)&gt;0))),"",IF('Your debts'!$D$20="Avalanche",'Avalanche workings'!$AQ$535,'Snowball workings'!$AQ$535))</f>
      </c>
      <c r="J533" s="29">
        <f>IF(OR(528&gt;$Z$1,NOT(OR('Your debts'!$B$8&lt;&gt;"",N('Your debts'!$C$8)&gt;0))),"",IF('Your debts'!$D$20="Avalanche",'Avalanche workings'!$N$535,'Snowball workings'!$N$535)+IF('Your debts'!$D$20="Avalanche",'Avalanche workings'!$AH$535,'Snowball workings'!$AH$535))</f>
      </c>
      <c r="K533" s="30">
        <f>IF(OR(528&gt;$Z$1,NOT(OR('Your debts'!$B$8&lt;&gt;"",N('Your debts'!$C$8)&gt;0))),"",IF('Your debts'!$D$20="Avalanche",'Avalanche workings'!$AR$535,'Snowball workings'!$AR$535))</f>
      </c>
      <c r="L533" s="29">
        <f>IF(OR(528&gt;$Z$1,NOT(OR('Your debts'!$B$9&lt;&gt;"",N('Your debts'!$C$9)&gt;0))),"",IF('Your debts'!$D$20="Avalanche",'Avalanche workings'!$O$535,'Snowball workings'!$O$535)+IF('Your debts'!$D$20="Avalanche",'Avalanche workings'!$AI$535,'Snowball workings'!$AI$535))</f>
      </c>
      <c r="M533" s="30">
        <f>IF(OR(528&gt;$Z$1,NOT(OR('Your debts'!$B$9&lt;&gt;"",N('Your debts'!$C$9)&gt;0))),"",IF('Your debts'!$D$20="Avalanche",'Avalanche workings'!$AS$535,'Snowball workings'!$AS$535))</f>
      </c>
      <c r="N533" s="29">
        <f>IF(OR(528&gt;$Z$1,NOT(OR('Your debts'!$B$10&lt;&gt;"",N('Your debts'!$C$10)&gt;0))),"",IF('Your debts'!$D$20="Avalanche",'Avalanche workings'!$P$535,'Snowball workings'!$P$535)+IF('Your debts'!$D$20="Avalanche",'Avalanche workings'!$AJ$535,'Snowball workings'!$AJ$535))</f>
      </c>
      <c r="O533" s="30">
        <f>IF(OR(528&gt;$Z$1,NOT(OR('Your debts'!$B$10&lt;&gt;"",N('Your debts'!$C$10)&gt;0))),"",IF('Your debts'!$D$20="Avalanche",'Avalanche workings'!$AT$535,'Snowball workings'!$AT$535))</f>
      </c>
      <c r="P533" s="29">
        <f>IF(OR(528&gt;$Z$1,NOT(OR('Your debts'!$B$11&lt;&gt;"",N('Your debts'!$C$11)&gt;0))),"",IF('Your debts'!$D$20="Avalanche",'Avalanche workings'!$Q$535,'Snowball workings'!$Q$535)+IF('Your debts'!$D$20="Avalanche",'Avalanche workings'!$AK$535,'Snowball workings'!$AK$535))</f>
      </c>
      <c r="Q533" s="30">
        <f>IF(OR(528&gt;$Z$1,NOT(OR('Your debts'!$B$11&lt;&gt;"",N('Your debts'!$C$11)&gt;0))),"",IF('Your debts'!$D$20="Avalanche",'Avalanche workings'!$AU$535,'Snowball workings'!$AU$535))</f>
      </c>
      <c r="R533" s="29">
        <f>IF(OR(528&gt;$Z$1,NOT(OR('Your debts'!$B$12&lt;&gt;"",N('Your debts'!$C$12)&gt;0))),"",IF('Your debts'!$D$20="Avalanche",'Avalanche workings'!$R$535,'Snowball workings'!$R$535)+IF('Your debts'!$D$20="Avalanche",'Avalanche workings'!$AL$535,'Snowball workings'!$AL$535))</f>
      </c>
      <c r="S533" s="30">
        <f>IF(OR(528&gt;$Z$1,NOT(OR('Your debts'!$B$12&lt;&gt;"",N('Your debts'!$C$12)&gt;0))),"",IF('Your debts'!$D$20="Avalanche",'Avalanche workings'!$AV$535,'Snowball workings'!$AV$535))</f>
      </c>
      <c r="T533" s="29">
        <f>IF(OR(528&gt;$Z$1,NOT(OR('Your debts'!$B$13&lt;&gt;"",N('Your debts'!$C$13)&gt;0))),"",IF('Your debts'!$D$20="Avalanche",'Avalanche workings'!$S$535,'Snowball workings'!$S$535)+IF('Your debts'!$D$20="Avalanche",'Avalanche workings'!$AM$535,'Snowball workings'!$AM$535))</f>
      </c>
      <c r="U533" s="30">
        <f>IF(OR(528&gt;$Z$1,NOT(OR('Your debts'!$B$13&lt;&gt;"",N('Your debts'!$C$13)&gt;0))),"",IF('Your debts'!$D$20="Avalanche",'Avalanche workings'!$AW$535,'Snowball workings'!$AW$535))</f>
      </c>
      <c r="V533" s="29">
        <f>IF(OR(528&gt;$Z$1,NOT(OR('Your debts'!$B$14&lt;&gt;"",N('Your debts'!$C$14)&gt;0))),"",IF('Your debts'!$D$20="Avalanche",'Avalanche workings'!$T$535,'Snowball workings'!$T$535)+IF('Your debts'!$D$20="Avalanche",'Avalanche workings'!$AN$535,'Snowball workings'!$AN$535))</f>
      </c>
      <c r="W533" s="30">
        <f>IF(OR(528&gt;$Z$1,NOT(OR('Your debts'!$B$14&lt;&gt;"",N('Your debts'!$C$14)&gt;0))),"",IF('Your debts'!$D$20="Avalanche",'Avalanche workings'!$AX$535,'Snowball workings'!$AX$535))</f>
      </c>
      <c r="X533" s="29">
        <f>IF(OR(528&gt;$Z$1,NOT(OR('Your debts'!$B$15&lt;&gt;"",N('Your debts'!$C$15)&gt;0))),"",IF('Your debts'!$D$20="Avalanche",'Avalanche workings'!$U$535,'Snowball workings'!$U$535)+IF('Your debts'!$D$20="Avalanche",'Avalanche workings'!$AO$535,'Snowball workings'!$AO$535))</f>
      </c>
      <c r="Y533" s="30">
        <f>IF(OR(528&gt;$Z$1,NOT(OR('Your debts'!$B$15&lt;&gt;"",N('Your debts'!$C$15)&gt;0))),"",IF('Your debts'!$D$20="Avalanche",'Avalanche workings'!$AY$535,'Snowball workings'!$AY$535))</f>
      </c>
    </row>
    <row r="534" spans="1:25" x14ac:dyDescent="0.25">
      <c r="A534" s="2">
        <f>IF(529&gt;$Z$1,"",529)</f>
      </c>
      <c r="B534" s="28">
        <f>IF(529&gt;$Z$1,"",EDATE('Your debts'!$D$21,528))</f>
      </c>
      <c r="C534" s="29">
        <f>IF(529&gt;$Z$1,"",IF('Your debts'!$D$20="Avalanche",'Avalanche workings'!$BC$536,'Snowball workings'!$BC$536))</f>
      </c>
      <c r="D534" s="29">
        <f>IF(529&gt;$Z$1,"",IF('Your debts'!$D$20="Avalanche",'Avalanche workings'!$BA$536,'Snowball workings'!$BA$536))</f>
      </c>
      <c r="E534" s="29">
        <f>IF(529&gt;$Z$1,"",IF('Your debts'!$D$20="Avalanche",'Avalanche workings'!$BB$536,'Snowball workings'!$BB$536))</f>
      </c>
      <c r="F534" s="29">
        <f>IF(OR(529&gt;$Z$1,NOT(OR('Your debts'!$B$6&lt;&gt;"",N('Your debts'!$C$6)&gt;0))),"",IF('Your debts'!$D$20="Avalanche",'Avalanche workings'!$L$536,'Snowball workings'!$L$536)+IF('Your debts'!$D$20="Avalanche",'Avalanche workings'!$AF$536,'Snowball workings'!$AF$536))</f>
      </c>
      <c r="G534" s="30">
        <f>IF(OR(529&gt;$Z$1,NOT(OR('Your debts'!$B$6&lt;&gt;"",N('Your debts'!$C$6)&gt;0))),"",IF('Your debts'!$D$20="Avalanche",'Avalanche workings'!$AP$536,'Snowball workings'!$AP$536))</f>
      </c>
      <c r="H534" s="29">
        <f>IF(OR(529&gt;$Z$1,NOT(OR('Your debts'!$B$7&lt;&gt;"",N('Your debts'!$C$7)&gt;0))),"",IF('Your debts'!$D$20="Avalanche",'Avalanche workings'!$M$536,'Snowball workings'!$M$536)+IF('Your debts'!$D$20="Avalanche",'Avalanche workings'!$AG$536,'Snowball workings'!$AG$536))</f>
      </c>
      <c r="I534" s="30">
        <f>IF(OR(529&gt;$Z$1,NOT(OR('Your debts'!$B$7&lt;&gt;"",N('Your debts'!$C$7)&gt;0))),"",IF('Your debts'!$D$20="Avalanche",'Avalanche workings'!$AQ$536,'Snowball workings'!$AQ$536))</f>
      </c>
      <c r="J534" s="29">
        <f>IF(OR(529&gt;$Z$1,NOT(OR('Your debts'!$B$8&lt;&gt;"",N('Your debts'!$C$8)&gt;0))),"",IF('Your debts'!$D$20="Avalanche",'Avalanche workings'!$N$536,'Snowball workings'!$N$536)+IF('Your debts'!$D$20="Avalanche",'Avalanche workings'!$AH$536,'Snowball workings'!$AH$536))</f>
      </c>
      <c r="K534" s="30">
        <f>IF(OR(529&gt;$Z$1,NOT(OR('Your debts'!$B$8&lt;&gt;"",N('Your debts'!$C$8)&gt;0))),"",IF('Your debts'!$D$20="Avalanche",'Avalanche workings'!$AR$536,'Snowball workings'!$AR$536))</f>
      </c>
      <c r="L534" s="29">
        <f>IF(OR(529&gt;$Z$1,NOT(OR('Your debts'!$B$9&lt;&gt;"",N('Your debts'!$C$9)&gt;0))),"",IF('Your debts'!$D$20="Avalanche",'Avalanche workings'!$O$536,'Snowball workings'!$O$536)+IF('Your debts'!$D$20="Avalanche",'Avalanche workings'!$AI$536,'Snowball workings'!$AI$536))</f>
      </c>
      <c r="M534" s="30">
        <f>IF(OR(529&gt;$Z$1,NOT(OR('Your debts'!$B$9&lt;&gt;"",N('Your debts'!$C$9)&gt;0))),"",IF('Your debts'!$D$20="Avalanche",'Avalanche workings'!$AS$536,'Snowball workings'!$AS$536))</f>
      </c>
      <c r="N534" s="29">
        <f>IF(OR(529&gt;$Z$1,NOT(OR('Your debts'!$B$10&lt;&gt;"",N('Your debts'!$C$10)&gt;0))),"",IF('Your debts'!$D$20="Avalanche",'Avalanche workings'!$P$536,'Snowball workings'!$P$536)+IF('Your debts'!$D$20="Avalanche",'Avalanche workings'!$AJ$536,'Snowball workings'!$AJ$536))</f>
      </c>
      <c r="O534" s="30">
        <f>IF(OR(529&gt;$Z$1,NOT(OR('Your debts'!$B$10&lt;&gt;"",N('Your debts'!$C$10)&gt;0))),"",IF('Your debts'!$D$20="Avalanche",'Avalanche workings'!$AT$536,'Snowball workings'!$AT$536))</f>
      </c>
      <c r="P534" s="29">
        <f>IF(OR(529&gt;$Z$1,NOT(OR('Your debts'!$B$11&lt;&gt;"",N('Your debts'!$C$11)&gt;0))),"",IF('Your debts'!$D$20="Avalanche",'Avalanche workings'!$Q$536,'Snowball workings'!$Q$536)+IF('Your debts'!$D$20="Avalanche",'Avalanche workings'!$AK$536,'Snowball workings'!$AK$536))</f>
      </c>
      <c r="Q534" s="30">
        <f>IF(OR(529&gt;$Z$1,NOT(OR('Your debts'!$B$11&lt;&gt;"",N('Your debts'!$C$11)&gt;0))),"",IF('Your debts'!$D$20="Avalanche",'Avalanche workings'!$AU$536,'Snowball workings'!$AU$536))</f>
      </c>
      <c r="R534" s="29">
        <f>IF(OR(529&gt;$Z$1,NOT(OR('Your debts'!$B$12&lt;&gt;"",N('Your debts'!$C$12)&gt;0))),"",IF('Your debts'!$D$20="Avalanche",'Avalanche workings'!$R$536,'Snowball workings'!$R$536)+IF('Your debts'!$D$20="Avalanche",'Avalanche workings'!$AL$536,'Snowball workings'!$AL$536))</f>
      </c>
      <c r="S534" s="30">
        <f>IF(OR(529&gt;$Z$1,NOT(OR('Your debts'!$B$12&lt;&gt;"",N('Your debts'!$C$12)&gt;0))),"",IF('Your debts'!$D$20="Avalanche",'Avalanche workings'!$AV$536,'Snowball workings'!$AV$536))</f>
      </c>
      <c r="T534" s="29">
        <f>IF(OR(529&gt;$Z$1,NOT(OR('Your debts'!$B$13&lt;&gt;"",N('Your debts'!$C$13)&gt;0))),"",IF('Your debts'!$D$20="Avalanche",'Avalanche workings'!$S$536,'Snowball workings'!$S$536)+IF('Your debts'!$D$20="Avalanche",'Avalanche workings'!$AM$536,'Snowball workings'!$AM$536))</f>
      </c>
      <c r="U534" s="30">
        <f>IF(OR(529&gt;$Z$1,NOT(OR('Your debts'!$B$13&lt;&gt;"",N('Your debts'!$C$13)&gt;0))),"",IF('Your debts'!$D$20="Avalanche",'Avalanche workings'!$AW$536,'Snowball workings'!$AW$536))</f>
      </c>
      <c r="V534" s="29">
        <f>IF(OR(529&gt;$Z$1,NOT(OR('Your debts'!$B$14&lt;&gt;"",N('Your debts'!$C$14)&gt;0))),"",IF('Your debts'!$D$20="Avalanche",'Avalanche workings'!$T$536,'Snowball workings'!$T$536)+IF('Your debts'!$D$20="Avalanche",'Avalanche workings'!$AN$536,'Snowball workings'!$AN$536))</f>
      </c>
      <c r="W534" s="30">
        <f>IF(OR(529&gt;$Z$1,NOT(OR('Your debts'!$B$14&lt;&gt;"",N('Your debts'!$C$14)&gt;0))),"",IF('Your debts'!$D$20="Avalanche",'Avalanche workings'!$AX$536,'Snowball workings'!$AX$536))</f>
      </c>
      <c r="X534" s="29">
        <f>IF(OR(529&gt;$Z$1,NOT(OR('Your debts'!$B$15&lt;&gt;"",N('Your debts'!$C$15)&gt;0))),"",IF('Your debts'!$D$20="Avalanche",'Avalanche workings'!$U$536,'Snowball workings'!$U$536)+IF('Your debts'!$D$20="Avalanche",'Avalanche workings'!$AO$536,'Snowball workings'!$AO$536))</f>
      </c>
      <c r="Y534" s="30">
        <f>IF(OR(529&gt;$Z$1,NOT(OR('Your debts'!$B$15&lt;&gt;"",N('Your debts'!$C$15)&gt;0))),"",IF('Your debts'!$D$20="Avalanche",'Avalanche workings'!$AY$536,'Snowball workings'!$AY$536))</f>
      </c>
    </row>
    <row r="535" spans="1:25" x14ac:dyDescent="0.25">
      <c r="A535" s="2">
        <f>IF(530&gt;$Z$1,"",530)</f>
      </c>
      <c r="B535" s="28">
        <f>IF(530&gt;$Z$1,"",EDATE('Your debts'!$D$21,529))</f>
      </c>
      <c r="C535" s="29">
        <f>IF(530&gt;$Z$1,"",IF('Your debts'!$D$20="Avalanche",'Avalanche workings'!$BC$537,'Snowball workings'!$BC$537))</f>
      </c>
      <c r="D535" s="29">
        <f>IF(530&gt;$Z$1,"",IF('Your debts'!$D$20="Avalanche",'Avalanche workings'!$BA$537,'Snowball workings'!$BA$537))</f>
      </c>
      <c r="E535" s="29">
        <f>IF(530&gt;$Z$1,"",IF('Your debts'!$D$20="Avalanche",'Avalanche workings'!$BB$537,'Snowball workings'!$BB$537))</f>
      </c>
      <c r="F535" s="29">
        <f>IF(OR(530&gt;$Z$1,NOT(OR('Your debts'!$B$6&lt;&gt;"",N('Your debts'!$C$6)&gt;0))),"",IF('Your debts'!$D$20="Avalanche",'Avalanche workings'!$L$537,'Snowball workings'!$L$537)+IF('Your debts'!$D$20="Avalanche",'Avalanche workings'!$AF$537,'Snowball workings'!$AF$537))</f>
      </c>
      <c r="G535" s="30">
        <f>IF(OR(530&gt;$Z$1,NOT(OR('Your debts'!$B$6&lt;&gt;"",N('Your debts'!$C$6)&gt;0))),"",IF('Your debts'!$D$20="Avalanche",'Avalanche workings'!$AP$537,'Snowball workings'!$AP$537))</f>
      </c>
      <c r="H535" s="29">
        <f>IF(OR(530&gt;$Z$1,NOT(OR('Your debts'!$B$7&lt;&gt;"",N('Your debts'!$C$7)&gt;0))),"",IF('Your debts'!$D$20="Avalanche",'Avalanche workings'!$M$537,'Snowball workings'!$M$537)+IF('Your debts'!$D$20="Avalanche",'Avalanche workings'!$AG$537,'Snowball workings'!$AG$537))</f>
      </c>
      <c r="I535" s="30">
        <f>IF(OR(530&gt;$Z$1,NOT(OR('Your debts'!$B$7&lt;&gt;"",N('Your debts'!$C$7)&gt;0))),"",IF('Your debts'!$D$20="Avalanche",'Avalanche workings'!$AQ$537,'Snowball workings'!$AQ$537))</f>
      </c>
      <c r="J535" s="29">
        <f>IF(OR(530&gt;$Z$1,NOT(OR('Your debts'!$B$8&lt;&gt;"",N('Your debts'!$C$8)&gt;0))),"",IF('Your debts'!$D$20="Avalanche",'Avalanche workings'!$N$537,'Snowball workings'!$N$537)+IF('Your debts'!$D$20="Avalanche",'Avalanche workings'!$AH$537,'Snowball workings'!$AH$537))</f>
      </c>
      <c r="K535" s="30">
        <f>IF(OR(530&gt;$Z$1,NOT(OR('Your debts'!$B$8&lt;&gt;"",N('Your debts'!$C$8)&gt;0))),"",IF('Your debts'!$D$20="Avalanche",'Avalanche workings'!$AR$537,'Snowball workings'!$AR$537))</f>
      </c>
      <c r="L535" s="29">
        <f>IF(OR(530&gt;$Z$1,NOT(OR('Your debts'!$B$9&lt;&gt;"",N('Your debts'!$C$9)&gt;0))),"",IF('Your debts'!$D$20="Avalanche",'Avalanche workings'!$O$537,'Snowball workings'!$O$537)+IF('Your debts'!$D$20="Avalanche",'Avalanche workings'!$AI$537,'Snowball workings'!$AI$537))</f>
      </c>
      <c r="M535" s="30">
        <f>IF(OR(530&gt;$Z$1,NOT(OR('Your debts'!$B$9&lt;&gt;"",N('Your debts'!$C$9)&gt;0))),"",IF('Your debts'!$D$20="Avalanche",'Avalanche workings'!$AS$537,'Snowball workings'!$AS$537))</f>
      </c>
      <c r="N535" s="29">
        <f>IF(OR(530&gt;$Z$1,NOT(OR('Your debts'!$B$10&lt;&gt;"",N('Your debts'!$C$10)&gt;0))),"",IF('Your debts'!$D$20="Avalanche",'Avalanche workings'!$P$537,'Snowball workings'!$P$537)+IF('Your debts'!$D$20="Avalanche",'Avalanche workings'!$AJ$537,'Snowball workings'!$AJ$537))</f>
      </c>
      <c r="O535" s="30">
        <f>IF(OR(530&gt;$Z$1,NOT(OR('Your debts'!$B$10&lt;&gt;"",N('Your debts'!$C$10)&gt;0))),"",IF('Your debts'!$D$20="Avalanche",'Avalanche workings'!$AT$537,'Snowball workings'!$AT$537))</f>
      </c>
      <c r="P535" s="29">
        <f>IF(OR(530&gt;$Z$1,NOT(OR('Your debts'!$B$11&lt;&gt;"",N('Your debts'!$C$11)&gt;0))),"",IF('Your debts'!$D$20="Avalanche",'Avalanche workings'!$Q$537,'Snowball workings'!$Q$537)+IF('Your debts'!$D$20="Avalanche",'Avalanche workings'!$AK$537,'Snowball workings'!$AK$537))</f>
      </c>
      <c r="Q535" s="30">
        <f>IF(OR(530&gt;$Z$1,NOT(OR('Your debts'!$B$11&lt;&gt;"",N('Your debts'!$C$11)&gt;0))),"",IF('Your debts'!$D$20="Avalanche",'Avalanche workings'!$AU$537,'Snowball workings'!$AU$537))</f>
      </c>
      <c r="R535" s="29">
        <f>IF(OR(530&gt;$Z$1,NOT(OR('Your debts'!$B$12&lt;&gt;"",N('Your debts'!$C$12)&gt;0))),"",IF('Your debts'!$D$20="Avalanche",'Avalanche workings'!$R$537,'Snowball workings'!$R$537)+IF('Your debts'!$D$20="Avalanche",'Avalanche workings'!$AL$537,'Snowball workings'!$AL$537))</f>
      </c>
      <c r="S535" s="30">
        <f>IF(OR(530&gt;$Z$1,NOT(OR('Your debts'!$B$12&lt;&gt;"",N('Your debts'!$C$12)&gt;0))),"",IF('Your debts'!$D$20="Avalanche",'Avalanche workings'!$AV$537,'Snowball workings'!$AV$537))</f>
      </c>
      <c r="T535" s="29">
        <f>IF(OR(530&gt;$Z$1,NOT(OR('Your debts'!$B$13&lt;&gt;"",N('Your debts'!$C$13)&gt;0))),"",IF('Your debts'!$D$20="Avalanche",'Avalanche workings'!$S$537,'Snowball workings'!$S$537)+IF('Your debts'!$D$20="Avalanche",'Avalanche workings'!$AM$537,'Snowball workings'!$AM$537))</f>
      </c>
      <c r="U535" s="30">
        <f>IF(OR(530&gt;$Z$1,NOT(OR('Your debts'!$B$13&lt;&gt;"",N('Your debts'!$C$13)&gt;0))),"",IF('Your debts'!$D$20="Avalanche",'Avalanche workings'!$AW$537,'Snowball workings'!$AW$537))</f>
      </c>
      <c r="V535" s="29">
        <f>IF(OR(530&gt;$Z$1,NOT(OR('Your debts'!$B$14&lt;&gt;"",N('Your debts'!$C$14)&gt;0))),"",IF('Your debts'!$D$20="Avalanche",'Avalanche workings'!$T$537,'Snowball workings'!$T$537)+IF('Your debts'!$D$20="Avalanche",'Avalanche workings'!$AN$537,'Snowball workings'!$AN$537))</f>
      </c>
      <c r="W535" s="30">
        <f>IF(OR(530&gt;$Z$1,NOT(OR('Your debts'!$B$14&lt;&gt;"",N('Your debts'!$C$14)&gt;0))),"",IF('Your debts'!$D$20="Avalanche",'Avalanche workings'!$AX$537,'Snowball workings'!$AX$537))</f>
      </c>
      <c r="X535" s="29">
        <f>IF(OR(530&gt;$Z$1,NOT(OR('Your debts'!$B$15&lt;&gt;"",N('Your debts'!$C$15)&gt;0))),"",IF('Your debts'!$D$20="Avalanche",'Avalanche workings'!$U$537,'Snowball workings'!$U$537)+IF('Your debts'!$D$20="Avalanche",'Avalanche workings'!$AO$537,'Snowball workings'!$AO$537))</f>
      </c>
      <c r="Y535" s="30">
        <f>IF(OR(530&gt;$Z$1,NOT(OR('Your debts'!$B$15&lt;&gt;"",N('Your debts'!$C$15)&gt;0))),"",IF('Your debts'!$D$20="Avalanche",'Avalanche workings'!$AY$537,'Snowball workings'!$AY$537))</f>
      </c>
    </row>
    <row r="536" spans="1:25" x14ac:dyDescent="0.25">
      <c r="A536" s="2">
        <f>IF(531&gt;$Z$1,"",531)</f>
      </c>
      <c r="B536" s="28">
        <f>IF(531&gt;$Z$1,"",EDATE('Your debts'!$D$21,530))</f>
      </c>
      <c r="C536" s="29">
        <f>IF(531&gt;$Z$1,"",IF('Your debts'!$D$20="Avalanche",'Avalanche workings'!$BC$538,'Snowball workings'!$BC$538))</f>
      </c>
      <c r="D536" s="29">
        <f>IF(531&gt;$Z$1,"",IF('Your debts'!$D$20="Avalanche",'Avalanche workings'!$BA$538,'Snowball workings'!$BA$538))</f>
      </c>
      <c r="E536" s="29">
        <f>IF(531&gt;$Z$1,"",IF('Your debts'!$D$20="Avalanche",'Avalanche workings'!$BB$538,'Snowball workings'!$BB$538))</f>
      </c>
      <c r="F536" s="29">
        <f>IF(OR(531&gt;$Z$1,NOT(OR('Your debts'!$B$6&lt;&gt;"",N('Your debts'!$C$6)&gt;0))),"",IF('Your debts'!$D$20="Avalanche",'Avalanche workings'!$L$538,'Snowball workings'!$L$538)+IF('Your debts'!$D$20="Avalanche",'Avalanche workings'!$AF$538,'Snowball workings'!$AF$538))</f>
      </c>
      <c r="G536" s="30">
        <f>IF(OR(531&gt;$Z$1,NOT(OR('Your debts'!$B$6&lt;&gt;"",N('Your debts'!$C$6)&gt;0))),"",IF('Your debts'!$D$20="Avalanche",'Avalanche workings'!$AP$538,'Snowball workings'!$AP$538))</f>
      </c>
      <c r="H536" s="29">
        <f>IF(OR(531&gt;$Z$1,NOT(OR('Your debts'!$B$7&lt;&gt;"",N('Your debts'!$C$7)&gt;0))),"",IF('Your debts'!$D$20="Avalanche",'Avalanche workings'!$M$538,'Snowball workings'!$M$538)+IF('Your debts'!$D$20="Avalanche",'Avalanche workings'!$AG$538,'Snowball workings'!$AG$538))</f>
      </c>
      <c r="I536" s="30">
        <f>IF(OR(531&gt;$Z$1,NOT(OR('Your debts'!$B$7&lt;&gt;"",N('Your debts'!$C$7)&gt;0))),"",IF('Your debts'!$D$20="Avalanche",'Avalanche workings'!$AQ$538,'Snowball workings'!$AQ$538))</f>
      </c>
      <c r="J536" s="29">
        <f>IF(OR(531&gt;$Z$1,NOT(OR('Your debts'!$B$8&lt;&gt;"",N('Your debts'!$C$8)&gt;0))),"",IF('Your debts'!$D$20="Avalanche",'Avalanche workings'!$N$538,'Snowball workings'!$N$538)+IF('Your debts'!$D$20="Avalanche",'Avalanche workings'!$AH$538,'Snowball workings'!$AH$538))</f>
      </c>
      <c r="K536" s="30">
        <f>IF(OR(531&gt;$Z$1,NOT(OR('Your debts'!$B$8&lt;&gt;"",N('Your debts'!$C$8)&gt;0))),"",IF('Your debts'!$D$20="Avalanche",'Avalanche workings'!$AR$538,'Snowball workings'!$AR$538))</f>
      </c>
      <c r="L536" s="29">
        <f>IF(OR(531&gt;$Z$1,NOT(OR('Your debts'!$B$9&lt;&gt;"",N('Your debts'!$C$9)&gt;0))),"",IF('Your debts'!$D$20="Avalanche",'Avalanche workings'!$O$538,'Snowball workings'!$O$538)+IF('Your debts'!$D$20="Avalanche",'Avalanche workings'!$AI$538,'Snowball workings'!$AI$538))</f>
      </c>
      <c r="M536" s="30">
        <f>IF(OR(531&gt;$Z$1,NOT(OR('Your debts'!$B$9&lt;&gt;"",N('Your debts'!$C$9)&gt;0))),"",IF('Your debts'!$D$20="Avalanche",'Avalanche workings'!$AS$538,'Snowball workings'!$AS$538))</f>
      </c>
      <c r="N536" s="29">
        <f>IF(OR(531&gt;$Z$1,NOT(OR('Your debts'!$B$10&lt;&gt;"",N('Your debts'!$C$10)&gt;0))),"",IF('Your debts'!$D$20="Avalanche",'Avalanche workings'!$P$538,'Snowball workings'!$P$538)+IF('Your debts'!$D$20="Avalanche",'Avalanche workings'!$AJ$538,'Snowball workings'!$AJ$538))</f>
      </c>
      <c r="O536" s="30">
        <f>IF(OR(531&gt;$Z$1,NOT(OR('Your debts'!$B$10&lt;&gt;"",N('Your debts'!$C$10)&gt;0))),"",IF('Your debts'!$D$20="Avalanche",'Avalanche workings'!$AT$538,'Snowball workings'!$AT$538))</f>
      </c>
      <c r="P536" s="29">
        <f>IF(OR(531&gt;$Z$1,NOT(OR('Your debts'!$B$11&lt;&gt;"",N('Your debts'!$C$11)&gt;0))),"",IF('Your debts'!$D$20="Avalanche",'Avalanche workings'!$Q$538,'Snowball workings'!$Q$538)+IF('Your debts'!$D$20="Avalanche",'Avalanche workings'!$AK$538,'Snowball workings'!$AK$538))</f>
      </c>
      <c r="Q536" s="30">
        <f>IF(OR(531&gt;$Z$1,NOT(OR('Your debts'!$B$11&lt;&gt;"",N('Your debts'!$C$11)&gt;0))),"",IF('Your debts'!$D$20="Avalanche",'Avalanche workings'!$AU$538,'Snowball workings'!$AU$538))</f>
      </c>
      <c r="R536" s="29">
        <f>IF(OR(531&gt;$Z$1,NOT(OR('Your debts'!$B$12&lt;&gt;"",N('Your debts'!$C$12)&gt;0))),"",IF('Your debts'!$D$20="Avalanche",'Avalanche workings'!$R$538,'Snowball workings'!$R$538)+IF('Your debts'!$D$20="Avalanche",'Avalanche workings'!$AL$538,'Snowball workings'!$AL$538))</f>
      </c>
      <c r="S536" s="30">
        <f>IF(OR(531&gt;$Z$1,NOT(OR('Your debts'!$B$12&lt;&gt;"",N('Your debts'!$C$12)&gt;0))),"",IF('Your debts'!$D$20="Avalanche",'Avalanche workings'!$AV$538,'Snowball workings'!$AV$538))</f>
      </c>
      <c r="T536" s="29">
        <f>IF(OR(531&gt;$Z$1,NOT(OR('Your debts'!$B$13&lt;&gt;"",N('Your debts'!$C$13)&gt;0))),"",IF('Your debts'!$D$20="Avalanche",'Avalanche workings'!$S$538,'Snowball workings'!$S$538)+IF('Your debts'!$D$20="Avalanche",'Avalanche workings'!$AM$538,'Snowball workings'!$AM$538))</f>
      </c>
      <c r="U536" s="30">
        <f>IF(OR(531&gt;$Z$1,NOT(OR('Your debts'!$B$13&lt;&gt;"",N('Your debts'!$C$13)&gt;0))),"",IF('Your debts'!$D$20="Avalanche",'Avalanche workings'!$AW$538,'Snowball workings'!$AW$538))</f>
      </c>
      <c r="V536" s="29">
        <f>IF(OR(531&gt;$Z$1,NOT(OR('Your debts'!$B$14&lt;&gt;"",N('Your debts'!$C$14)&gt;0))),"",IF('Your debts'!$D$20="Avalanche",'Avalanche workings'!$T$538,'Snowball workings'!$T$538)+IF('Your debts'!$D$20="Avalanche",'Avalanche workings'!$AN$538,'Snowball workings'!$AN$538))</f>
      </c>
      <c r="W536" s="30">
        <f>IF(OR(531&gt;$Z$1,NOT(OR('Your debts'!$B$14&lt;&gt;"",N('Your debts'!$C$14)&gt;0))),"",IF('Your debts'!$D$20="Avalanche",'Avalanche workings'!$AX$538,'Snowball workings'!$AX$538))</f>
      </c>
      <c r="X536" s="29">
        <f>IF(OR(531&gt;$Z$1,NOT(OR('Your debts'!$B$15&lt;&gt;"",N('Your debts'!$C$15)&gt;0))),"",IF('Your debts'!$D$20="Avalanche",'Avalanche workings'!$U$538,'Snowball workings'!$U$538)+IF('Your debts'!$D$20="Avalanche",'Avalanche workings'!$AO$538,'Snowball workings'!$AO$538))</f>
      </c>
      <c r="Y536" s="30">
        <f>IF(OR(531&gt;$Z$1,NOT(OR('Your debts'!$B$15&lt;&gt;"",N('Your debts'!$C$15)&gt;0))),"",IF('Your debts'!$D$20="Avalanche",'Avalanche workings'!$AY$538,'Snowball workings'!$AY$538))</f>
      </c>
    </row>
    <row r="537" spans="1:25" x14ac:dyDescent="0.25">
      <c r="A537" s="2">
        <f>IF(532&gt;$Z$1,"",532)</f>
      </c>
      <c r="B537" s="28">
        <f>IF(532&gt;$Z$1,"",EDATE('Your debts'!$D$21,531))</f>
      </c>
      <c r="C537" s="29">
        <f>IF(532&gt;$Z$1,"",IF('Your debts'!$D$20="Avalanche",'Avalanche workings'!$BC$539,'Snowball workings'!$BC$539))</f>
      </c>
      <c r="D537" s="29">
        <f>IF(532&gt;$Z$1,"",IF('Your debts'!$D$20="Avalanche",'Avalanche workings'!$BA$539,'Snowball workings'!$BA$539))</f>
      </c>
      <c r="E537" s="29">
        <f>IF(532&gt;$Z$1,"",IF('Your debts'!$D$20="Avalanche",'Avalanche workings'!$BB$539,'Snowball workings'!$BB$539))</f>
      </c>
      <c r="F537" s="29">
        <f>IF(OR(532&gt;$Z$1,NOT(OR('Your debts'!$B$6&lt;&gt;"",N('Your debts'!$C$6)&gt;0))),"",IF('Your debts'!$D$20="Avalanche",'Avalanche workings'!$L$539,'Snowball workings'!$L$539)+IF('Your debts'!$D$20="Avalanche",'Avalanche workings'!$AF$539,'Snowball workings'!$AF$539))</f>
      </c>
      <c r="G537" s="30">
        <f>IF(OR(532&gt;$Z$1,NOT(OR('Your debts'!$B$6&lt;&gt;"",N('Your debts'!$C$6)&gt;0))),"",IF('Your debts'!$D$20="Avalanche",'Avalanche workings'!$AP$539,'Snowball workings'!$AP$539))</f>
      </c>
      <c r="H537" s="29">
        <f>IF(OR(532&gt;$Z$1,NOT(OR('Your debts'!$B$7&lt;&gt;"",N('Your debts'!$C$7)&gt;0))),"",IF('Your debts'!$D$20="Avalanche",'Avalanche workings'!$M$539,'Snowball workings'!$M$539)+IF('Your debts'!$D$20="Avalanche",'Avalanche workings'!$AG$539,'Snowball workings'!$AG$539))</f>
      </c>
      <c r="I537" s="30">
        <f>IF(OR(532&gt;$Z$1,NOT(OR('Your debts'!$B$7&lt;&gt;"",N('Your debts'!$C$7)&gt;0))),"",IF('Your debts'!$D$20="Avalanche",'Avalanche workings'!$AQ$539,'Snowball workings'!$AQ$539))</f>
      </c>
      <c r="J537" s="29">
        <f>IF(OR(532&gt;$Z$1,NOT(OR('Your debts'!$B$8&lt;&gt;"",N('Your debts'!$C$8)&gt;0))),"",IF('Your debts'!$D$20="Avalanche",'Avalanche workings'!$N$539,'Snowball workings'!$N$539)+IF('Your debts'!$D$20="Avalanche",'Avalanche workings'!$AH$539,'Snowball workings'!$AH$539))</f>
      </c>
      <c r="K537" s="30">
        <f>IF(OR(532&gt;$Z$1,NOT(OR('Your debts'!$B$8&lt;&gt;"",N('Your debts'!$C$8)&gt;0))),"",IF('Your debts'!$D$20="Avalanche",'Avalanche workings'!$AR$539,'Snowball workings'!$AR$539))</f>
      </c>
      <c r="L537" s="29">
        <f>IF(OR(532&gt;$Z$1,NOT(OR('Your debts'!$B$9&lt;&gt;"",N('Your debts'!$C$9)&gt;0))),"",IF('Your debts'!$D$20="Avalanche",'Avalanche workings'!$O$539,'Snowball workings'!$O$539)+IF('Your debts'!$D$20="Avalanche",'Avalanche workings'!$AI$539,'Snowball workings'!$AI$539))</f>
      </c>
      <c r="M537" s="30">
        <f>IF(OR(532&gt;$Z$1,NOT(OR('Your debts'!$B$9&lt;&gt;"",N('Your debts'!$C$9)&gt;0))),"",IF('Your debts'!$D$20="Avalanche",'Avalanche workings'!$AS$539,'Snowball workings'!$AS$539))</f>
      </c>
      <c r="N537" s="29">
        <f>IF(OR(532&gt;$Z$1,NOT(OR('Your debts'!$B$10&lt;&gt;"",N('Your debts'!$C$10)&gt;0))),"",IF('Your debts'!$D$20="Avalanche",'Avalanche workings'!$P$539,'Snowball workings'!$P$539)+IF('Your debts'!$D$20="Avalanche",'Avalanche workings'!$AJ$539,'Snowball workings'!$AJ$539))</f>
      </c>
      <c r="O537" s="30">
        <f>IF(OR(532&gt;$Z$1,NOT(OR('Your debts'!$B$10&lt;&gt;"",N('Your debts'!$C$10)&gt;0))),"",IF('Your debts'!$D$20="Avalanche",'Avalanche workings'!$AT$539,'Snowball workings'!$AT$539))</f>
      </c>
      <c r="P537" s="29">
        <f>IF(OR(532&gt;$Z$1,NOT(OR('Your debts'!$B$11&lt;&gt;"",N('Your debts'!$C$11)&gt;0))),"",IF('Your debts'!$D$20="Avalanche",'Avalanche workings'!$Q$539,'Snowball workings'!$Q$539)+IF('Your debts'!$D$20="Avalanche",'Avalanche workings'!$AK$539,'Snowball workings'!$AK$539))</f>
      </c>
      <c r="Q537" s="30">
        <f>IF(OR(532&gt;$Z$1,NOT(OR('Your debts'!$B$11&lt;&gt;"",N('Your debts'!$C$11)&gt;0))),"",IF('Your debts'!$D$20="Avalanche",'Avalanche workings'!$AU$539,'Snowball workings'!$AU$539))</f>
      </c>
      <c r="R537" s="29">
        <f>IF(OR(532&gt;$Z$1,NOT(OR('Your debts'!$B$12&lt;&gt;"",N('Your debts'!$C$12)&gt;0))),"",IF('Your debts'!$D$20="Avalanche",'Avalanche workings'!$R$539,'Snowball workings'!$R$539)+IF('Your debts'!$D$20="Avalanche",'Avalanche workings'!$AL$539,'Snowball workings'!$AL$539))</f>
      </c>
      <c r="S537" s="30">
        <f>IF(OR(532&gt;$Z$1,NOT(OR('Your debts'!$B$12&lt;&gt;"",N('Your debts'!$C$12)&gt;0))),"",IF('Your debts'!$D$20="Avalanche",'Avalanche workings'!$AV$539,'Snowball workings'!$AV$539))</f>
      </c>
      <c r="T537" s="29">
        <f>IF(OR(532&gt;$Z$1,NOT(OR('Your debts'!$B$13&lt;&gt;"",N('Your debts'!$C$13)&gt;0))),"",IF('Your debts'!$D$20="Avalanche",'Avalanche workings'!$S$539,'Snowball workings'!$S$539)+IF('Your debts'!$D$20="Avalanche",'Avalanche workings'!$AM$539,'Snowball workings'!$AM$539))</f>
      </c>
      <c r="U537" s="30">
        <f>IF(OR(532&gt;$Z$1,NOT(OR('Your debts'!$B$13&lt;&gt;"",N('Your debts'!$C$13)&gt;0))),"",IF('Your debts'!$D$20="Avalanche",'Avalanche workings'!$AW$539,'Snowball workings'!$AW$539))</f>
      </c>
      <c r="V537" s="29">
        <f>IF(OR(532&gt;$Z$1,NOT(OR('Your debts'!$B$14&lt;&gt;"",N('Your debts'!$C$14)&gt;0))),"",IF('Your debts'!$D$20="Avalanche",'Avalanche workings'!$T$539,'Snowball workings'!$T$539)+IF('Your debts'!$D$20="Avalanche",'Avalanche workings'!$AN$539,'Snowball workings'!$AN$539))</f>
      </c>
      <c r="W537" s="30">
        <f>IF(OR(532&gt;$Z$1,NOT(OR('Your debts'!$B$14&lt;&gt;"",N('Your debts'!$C$14)&gt;0))),"",IF('Your debts'!$D$20="Avalanche",'Avalanche workings'!$AX$539,'Snowball workings'!$AX$539))</f>
      </c>
      <c r="X537" s="29">
        <f>IF(OR(532&gt;$Z$1,NOT(OR('Your debts'!$B$15&lt;&gt;"",N('Your debts'!$C$15)&gt;0))),"",IF('Your debts'!$D$20="Avalanche",'Avalanche workings'!$U$539,'Snowball workings'!$U$539)+IF('Your debts'!$D$20="Avalanche",'Avalanche workings'!$AO$539,'Snowball workings'!$AO$539))</f>
      </c>
      <c r="Y537" s="30">
        <f>IF(OR(532&gt;$Z$1,NOT(OR('Your debts'!$B$15&lt;&gt;"",N('Your debts'!$C$15)&gt;0))),"",IF('Your debts'!$D$20="Avalanche",'Avalanche workings'!$AY$539,'Snowball workings'!$AY$539))</f>
      </c>
    </row>
    <row r="538" spans="1:25" x14ac:dyDescent="0.25">
      <c r="A538" s="2">
        <f>IF(533&gt;$Z$1,"",533)</f>
      </c>
      <c r="B538" s="28">
        <f>IF(533&gt;$Z$1,"",EDATE('Your debts'!$D$21,532))</f>
      </c>
      <c r="C538" s="29">
        <f>IF(533&gt;$Z$1,"",IF('Your debts'!$D$20="Avalanche",'Avalanche workings'!$BC$540,'Snowball workings'!$BC$540))</f>
      </c>
      <c r="D538" s="29">
        <f>IF(533&gt;$Z$1,"",IF('Your debts'!$D$20="Avalanche",'Avalanche workings'!$BA$540,'Snowball workings'!$BA$540))</f>
      </c>
      <c r="E538" s="29">
        <f>IF(533&gt;$Z$1,"",IF('Your debts'!$D$20="Avalanche",'Avalanche workings'!$BB$540,'Snowball workings'!$BB$540))</f>
      </c>
      <c r="F538" s="29">
        <f>IF(OR(533&gt;$Z$1,NOT(OR('Your debts'!$B$6&lt;&gt;"",N('Your debts'!$C$6)&gt;0))),"",IF('Your debts'!$D$20="Avalanche",'Avalanche workings'!$L$540,'Snowball workings'!$L$540)+IF('Your debts'!$D$20="Avalanche",'Avalanche workings'!$AF$540,'Snowball workings'!$AF$540))</f>
      </c>
      <c r="G538" s="30">
        <f>IF(OR(533&gt;$Z$1,NOT(OR('Your debts'!$B$6&lt;&gt;"",N('Your debts'!$C$6)&gt;0))),"",IF('Your debts'!$D$20="Avalanche",'Avalanche workings'!$AP$540,'Snowball workings'!$AP$540))</f>
      </c>
      <c r="H538" s="29">
        <f>IF(OR(533&gt;$Z$1,NOT(OR('Your debts'!$B$7&lt;&gt;"",N('Your debts'!$C$7)&gt;0))),"",IF('Your debts'!$D$20="Avalanche",'Avalanche workings'!$M$540,'Snowball workings'!$M$540)+IF('Your debts'!$D$20="Avalanche",'Avalanche workings'!$AG$540,'Snowball workings'!$AG$540))</f>
      </c>
      <c r="I538" s="30">
        <f>IF(OR(533&gt;$Z$1,NOT(OR('Your debts'!$B$7&lt;&gt;"",N('Your debts'!$C$7)&gt;0))),"",IF('Your debts'!$D$20="Avalanche",'Avalanche workings'!$AQ$540,'Snowball workings'!$AQ$540))</f>
      </c>
      <c r="J538" s="29">
        <f>IF(OR(533&gt;$Z$1,NOT(OR('Your debts'!$B$8&lt;&gt;"",N('Your debts'!$C$8)&gt;0))),"",IF('Your debts'!$D$20="Avalanche",'Avalanche workings'!$N$540,'Snowball workings'!$N$540)+IF('Your debts'!$D$20="Avalanche",'Avalanche workings'!$AH$540,'Snowball workings'!$AH$540))</f>
      </c>
      <c r="K538" s="30">
        <f>IF(OR(533&gt;$Z$1,NOT(OR('Your debts'!$B$8&lt;&gt;"",N('Your debts'!$C$8)&gt;0))),"",IF('Your debts'!$D$20="Avalanche",'Avalanche workings'!$AR$540,'Snowball workings'!$AR$540))</f>
      </c>
      <c r="L538" s="29">
        <f>IF(OR(533&gt;$Z$1,NOT(OR('Your debts'!$B$9&lt;&gt;"",N('Your debts'!$C$9)&gt;0))),"",IF('Your debts'!$D$20="Avalanche",'Avalanche workings'!$O$540,'Snowball workings'!$O$540)+IF('Your debts'!$D$20="Avalanche",'Avalanche workings'!$AI$540,'Snowball workings'!$AI$540))</f>
      </c>
      <c r="M538" s="30">
        <f>IF(OR(533&gt;$Z$1,NOT(OR('Your debts'!$B$9&lt;&gt;"",N('Your debts'!$C$9)&gt;0))),"",IF('Your debts'!$D$20="Avalanche",'Avalanche workings'!$AS$540,'Snowball workings'!$AS$540))</f>
      </c>
      <c r="N538" s="29">
        <f>IF(OR(533&gt;$Z$1,NOT(OR('Your debts'!$B$10&lt;&gt;"",N('Your debts'!$C$10)&gt;0))),"",IF('Your debts'!$D$20="Avalanche",'Avalanche workings'!$P$540,'Snowball workings'!$P$540)+IF('Your debts'!$D$20="Avalanche",'Avalanche workings'!$AJ$540,'Snowball workings'!$AJ$540))</f>
      </c>
      <c r="O538" s="30">
        <f>IF(OR(533&gt;$Z$1,NOT(OR('Your debts'!$B$10&lt;&gt;"",N('Your debts'!$C$10)&gt;0))),"",IF('Your debts'!$D$20="Avalanche",'Avalanche workings'!$AT$540,'Snowball workings'!$AT$540))</f>
      </c>
      <c r="P538" s="29">
        <f>IF(OR(533&gt;$Z$1,NOT(OR('Your debts'!$B$11&lt;&gt;"",N('Your debts'!$C$11)&gt;0))),"",IF('Your debts'!$D$20="Avalanche",'Avalanche workings'!$Q$540,'Snowball workings'!$Q$540)+IF('Your debts'!$D$20="Avalanche",'Avalanche workings'!$AK$540,'Snowball workings'!$AK$540))</f>
      </c>
      <c r="Q538" s="30">
        <f>IF(OR(533&gt;$Z$1,NOT(OR('Your debts'!$B$11&lt;&gt;"",N('Your debts'!$C$11)&gt;0))),"",IF('Your debts'!$D$20="Avalanche",'Avalanche workings'!$AU$540,'Snowball workings'!$AU$540))</f>
      </c>
      <c r="R538" s="29">
        <f>IF(OR(533&gt;$Z$1,NOT(OR('Your debts'!$B$12&lt;&gt;"",N('Your debts'!$C$12)&gt;0))),"",IF('Your debts'!$D$20="Avalanche",'Avalanche workings'!$R$540,'Snowball workings'!$R$540)+IF('Your debts'!$D$20="Avalanche",'Avalanche workings'!$AL$540,'Snowball workings'!$AL$540))</f>
      </c>
      <c r="S538" s="30">
        <f>IF(OR(533&gt;$Z$1,NOT(OR('Your debts'!$B$12&lt;&gt;"",N('Your debts'!$C$12)&gt;0))),"",IF('Your debts'!$D$20="Avalanche",'Avalanche workings'!$AV$540,'Snowball workings'!$AV$540))</f>
      </c>
      <c r="T538" s="29">
        <f>IF(OR(533&gt;$Z$1,NOT(OR('Your debts'!$B$13&lt;&gt;"",N('Your debts'!$C$13)&gt;0))),"",IF('Your debts'!$D$20="Avalanche",'Avalanche workings'!$S$540,'Snowball workings'!$S$540)+IF('Your debts'!$D$20="Avalanche",'Avalanche workings'!$AM$540,'Snowball workings'!$AM$540))</f>
      </c>
      <c r="U538" s="30">
        <f>IF(OR(533&gt;$Z$1,NOT(OR('Your debts'!$B$13&lt;&gt;"",N('Your debts'!$C$13)&gt;0))),"",IF('Your debts'!$D$20="Avalanche",'Avalanche workings'!$AW$540,'Snowball workings'!$AW$540))</f>
      </c>
      <c r="V538" s="29">
        <f>IF(OR(533&gt;$Z$1,NOT(OR('Your debts'!$B$14&lt;&gt;"",N('Your debts'!$C$14)&gt;0))),"",IF('Your debts'!$D$20="Avalanche",'Avalanche workings'!$T$540,'Snowball workings'!$T$540)+IF('Your debts'!$D$20="Avalanche",'Avalanche workings'!$AN$540,'Snowball workings'!$AN$540))</f>
      </c>
      <c r="W538" s="30">
        <f>IF(OR(533&gt;$Z$1,NOT(OR('Your debts'!$B$14&lt;&gt;"",N('Your debts'!$C$14)&gt;0))),"",IF('Your debts'!$D$20="Avalanche",'Avalanche workings'!$AX$540,'Snowball workings'!$AX$540))</f>
      </c>
      <c r="X538" s="29">
        <f>IF(OR(533&gt;$Z$1,NOT(OR('Your debts'!$B$15&lt;&gt;"",N('Your debts'!$C$15)&gt;0))),"",IF('Your debts'!$D$20="Avalanche",'Avalanche workings'!$U$540,'Snowball workings'!$U$540)+IF('Your debts'!$D$20="Avalanche",'Avalanche workings'!$AO$540,'Snowball workings'!$AO$540))</f>
      </c>
      <c r="Y538" s="30">
        <f>IF(OR(533&gt;$Z$1,NOT(OR('Your debts'!$B$15&lt;&gt;"",N('Your debts'!$C$15)&gt;0))),"",IF('Your debts'!$D$20="Avalanche",'Avalanche workings'!$AY$540,'Snowball workings'!$AY$540))</f>
      </c>
    </row>
    <row r="539" spans="1:25" x14ac:dyDescent="0.25">
      <c r="A539" s="2">
        <f>IF(534&gt;$Z$1,"",534)</f>
      </c>
      <c r="B539" s="28">
        <f>IF(534&gt;$Z$1,"",EDATE('Your debts'!$D$21,533))</f>
      </c>
      <c r="C539" s="29">
        <f>IF(534&gt;$Z$1,"",IF('Your debts'!$D$20="Avalanche",'Avalanche workings'!$BC$541,'Snowball workings'!$BC$541))</f>
      </c>
      <c r="D539" s="29">
        <f>IF(534&gt;$Z$1,"",IF('Your debts'!$D$20="Avalanche",'Avalanche workings'!$BA$541,'Snowball workings'!$BA$541))</f>
      </c>
      <c r="E539" s="29">
        <f>IF(534&gt;$Z$1,"",IF('Your debts'!$D$20="Avalanche",'Avalanche workings'!$BB$541,'Snowball workings'!$BB$541))</f>
      </c>
      <c r="F539" s="29">
        <f>IF(OR(534&gt;$Z$1,NOT(OR('Your debts'!$B$6&lt;&gt;"",N('Your debts'!$C$6)&gt;0))),"",IF('Your debts'!$D$20="Avalanche",'Avalanche workings'!$L$541,'Snowball workings'!$L$541)+IF('Your debts'!$D$20="Avalanche",'Avalanche workings'!$AF$541,'Snowball workings'!$AF$541))</f>
      </c>
      <c r="G539" s="30">
        <f>IF(OR(534&gt;$Z$1,NOT(OR('Your debts'!$B$6&lt;&gt;"",N('Your debts'!$C$6)&gt;0))),"",IF('Your debts'!$D$20="Avalanche",'Avalanche workings'!$AP$541,'Snowball workings'!$AP$541))</f>
      </c>
      <c r="H539" s="29">
        <f>IF(OR(534&gt;$Z$1,NOT(OR('Your debts'!$B$7&lt;&gt;"",N('Your debts'!$C$7)&gt;0))),"",IF('Your debts'!$D$20="Avalanche",'Avalanche workings'!$M$541,'Snowball workings'!$M$541)+IF('Your debts'!$D$20="Avalanche",'Avalanche workings'!$AG$541,'Snowball workings'!$AG$541))</f>
      </c>
      <c r="I539" s="30">
        <f>IF(OR(534&gt;$Z$1,NOT(OR('Your debts'!$B$7&lt;&gt;"",N('Your debts'!$C$7)&gt;0))),"",IF('Your debts'!$D$20="Avalanche",'Avalanche workings'!$AQ$541,'Snowball workings'!$AQ$541))</f>
      </c>
      <c r="J539" s="29">
        <f>IF(OR(534&gt;$Z$1,NOT(OR('Your debts'!$B$8&lt;&gt;"",N('Your debts'!$C$8)&gt;0))),"",IF('Your debts'!$D$20="Avalanche",'Avalanche workings'!$N$541,'Snowball workings'!$N$541)+IF('Your debts'!$D$20="Avalanche",'Avalanche workings'!$AH$541,'Snowball workings'!$AH$541))</f>
      </c>
      <c r="K539" s="30">
        <f>IF(OR(534&gt;$Z$1,NOT(OR('Your debts'!$B$8&lt;&gt;"",N('Your debts'!$C$8)&gt;0))),"",IF('Your debts'!$D$20="Avalanche",'Avalanche workings'!$AR$541,'Snowball workings'!$AR$541))</f>
      </c>
      <c r="L539" s="29">
        <f>IF(OR(534&gt;$Z$1,NOT(OR('Your debts'!$B$9&lt;&gt;"",N('Your debts'!$C$9)&gt;0))),"",IF('Your debts'!$D$20="Avalanche",'Avalanche workings'!$O$541,'Snowball workings'!$O$541)+IF('Your debts'!$D$20="Avalanche",'Avalanche workings'!$AI$541,'Snowball workings'!$AI$541))</f>
      </c>
      <c r="M539" s="30">
        <f>IF(OR(534&gt;$Z$1,NOT(OR('Your debts'!$B$9&lt;&gt;"",N('Your debts'!$C$9)&gt;0))),"",IF('Your debts'!$D$20="Avalanche",'Avalanche workings'!$AS$541,'Snowball workings'!$AS$541))</f>
      </c>
      <c r="N539" s="29">
        <f>IF(OR(534&gt;$Z$1,NOT(OR('Your debts'!$B$10&lt;&gt;"",N('Your debts'!$C$10)&gt;0))),"",IF('Your debts'!$D$20="Avalanche",'Avalanche workings'!$P$541,'Snowball workings'!$P$541)+IF('Your debts'!$D$20="Avalanche",'Avalanche workings'!$AJ$541,'Snowball workings'!$AJ$541))</f>
      </c>
      <c r="O539" s="30">
        <f>IF(OR(534&gt;$Z$1,NOT(OR('Your debts'!$B$10&lt;&gt;"",N('Your debts'!$C$10)&gt;0))),"",IF('Your debts'!$D$20="Avalanche",'Avalanche workings'!$AT$541,'Snowball workings'!$AT$541))</f>
      </c>
      <c r="P539" s="29">
        <f>IF(OR(534&gt;$Z$1,NOT(OR('Your debts'!$B$11&lt;&gt;"",N('Your debts'!$C$11)&gt;0))),"",IF('Your debts'!$D$20="Avalanche",'Avalanche workings'!$Q$541,'Snowball workings'!$Q$541)+IF('Your debts'!$D$20="Avalanche",'Avalanche workings'!$AK$541,'Snowball workings'!$AK$541))</f>
      </c>
      <c r="Q539" s="30">
        <f>IF(OR(534&gt;$Z$1,NOT(OR('Your debts'!$B$11&lt;&gt;"",N('Your debts'!$C$11)&gt;0))),"",IF('Your debts'!$D$20="Avalanche",'Avalanche workings'!$AU$541,'Snowball workings'!$AU$541))</f>
      </c>
      <c r="R539" s="29">
        <f>IF(OR(534&gt;$Z$1,NOT(OR('Your debts'!$B$12&lt;&gt;"",N('Your debts'!$C$12)&gt;0))),"",IF('Your debts'!$D$20="Avalanche",'Avalanche workings'!$R$541,'Snowball workings'!$R$541)+IF('Your debts'!$D$20="Avalanche",'Avalanche workings'!$AL$541,'Snowball workings'!$AL$541))</f>
      </c>
      <c r="S539" s="30">
        <f>IF(OR(534&gt;$Z$1,NOT(OR('Your debts'!$B$12&lt;&gt;"",N('Your debts'!$C$12)&gt;0))),"",IF('Your debts'!$D$20="Avalanche",'Avalanche workings'!$AV$541,'Snowball workings'!$AV$541))</f>
      </c>
      <c r="T539" s="29">
        <f>IF(OR(534&gt;$Z$1,NOT(OR('Your debts'!$B$13&lt;&gt;"",N('Your debts'!$C$13)&gt;0))),"",IF('Your debts'!$D$20="Avalanche",'Avalanche workings'!$S$541,'Snowball workings'!$S$541)+IF('Your debts'!$D$20="Avalanche",'Avalanche workings'!$AM$541,'Snowball workings'!$AM$541))</f>
      </c>
      <c r="U539" s="30">
        <f>IF(OR(534&gt;$Z$1,NOT(OR('Your debts'!$B$13&lt;&gt;"",N('Your debts'!$C$13)&gt;0))),"",IF('Your debts'!$D$20="Avalanche",'Avalanche workings'!$AW$541,'Snowball workings'!$AW$541))</f>
      </c>
      <c r="V539" s="29">
        <f>IF(OR(534&gt;$Z$1,NOT(OR('Your debts'!$B$14&lt;&gt;"",N('Your debts'!$C$14)&gt;0))),"",IF('Your debts'!$D$20="Avalanche",'Avalanche workings'!$T$541,'Snowball workings'!$T$541)+IF('Your debts'!$D$20="Avalanche",'Avalanche workings'!$AN$541,'Snowball workings'!$AN$541))</f>
      </c>
      <c r="W539" s="30">
        <f>IF(OR(534&gt;$Z$1,NOT(OR('Your debts'!$B$14&lt;&gt;"",N('Your debts'!$C$14)&gt;0))),"",IF('Your debts'!$D$20="Avalanche",'Avalanche workings'!$AX$541,'Snowball workings'!$AX$541))</f>
      </c>
      <c r="X539" s="29">
        <f>IF(OR(534&gt;$Z$1,NOT(OR('Your debts'!$B$15&lt;&gt;"",N('Your debts'!$C$15)&gt;0))),"",IF('Your debts'!$D$20="Avalanche",'Avalanche workings'!$U$541,'Snowball workings'!$U$541)+IF('Your debts'!$D$20="Avalanche",'Avalanche workings'!$AO$541,'Snowball workings'!$AO$541))</f>
      </c>
      <c r="Y539" s="30">
        <f>IF(OR(534&gt;$Z$1,NOT(OR('Your debts'!$B$15&lt;&gt;"",N('Your debts'!$C$15)&gt;0))),"",IF('Your debts'!$D$20="Avalanche",'Avalanche workings'!$AY$541,'Snowball workings'!$AY$541))</f>
      </c>
    </row>
    <row r="540" spans="1:25" x14ac:dyDescent="0.25">
      <c r="A540" s="2">
        <f>IF(535&gt;$Z$1,"",535)</f>
      </c>
      <c r="B540" s="28">
        <f>IF(535&gt;$Z$1,"",EDATE('Your debts'!$D$21,534))</f>
      </c>
      <c r="C540" s="29">
        <f>IF(535&gt;$Z$1,"",IF('Your debts'!$D$20="Avalanche",'Avalanche workings'!$BC$542,'Snowball workings'!$BC$542))</f>
      </c>
      <c r="D540" s="29">
        <f>IF(535&gt;$Z$1,"",IF('Your debts'!$D$20="Avalanche",'Avalanche workings'!$BA$542,'Snowball workings'!$BA$542))</f>
      </c>
      <c r="E540" s="29">
        <f>IF(535&gt;$Z$1,"",IF('Your debts'!$D$20="Avalanche",'Avalanche workings'!$BB$542,'Snowball workings'!$BB$542))</f>
      </c>
      <c r="F540" s="29">
        <f>IF(OR(535&gt;$Z$1,NOT(OR('Your debts'!$B$6&lt;&gt;"",N('Your debts'!$C$6)&gt;0))),"",IF('Your debts'!$D$20="Avalanche",'Avalanche workings'!$L$542,'Snowball workings'!$L$542)+IF('Your debts'!$D$20="Avalanche",'Avalanche workings'!$AF$542,'Snowball workings'!$AF$542))</f>
      </c>
      <c r="G540" s="30">
        <f>IF(OR(535&gt;$Z$1,NOT(OR('Your debts'!$B$6&lt;&gt;"",N('Your debts'!$C$6)&gt;0))),"",IF('Your debts'!$D$20="Avalanche",'Avalanche workings'!$AP$542,'Snowball workings'!$AP$542))</f>
      </c>
      <c r="H540" s="29">
        <f>IF(OR(535&gt;$Z$1,NOT(OR('Your debts'!$B$7&lt;&gt;"",N('Your debts'!$C$7)&gt;0))),"",IF('Your debts'!$D$20="Avalanche",'Avalanche workings'!$M$542,'Snowball workings'!$M$542)+IF('Your debts'!$D$20="Avalanche",'Avalanche workings'!$AG$542,'Snowball workings'!$AG$542))</f>
      </c>
      <c r="I540" s="30">
        <f>IF(OR(535&gt;$Z$1,NOT(OR('Your debts'!$B$7&lt;&gt;"",N('Your debts'!$C$7)&gt;0))),"",IF('Your debts'!$D$20="Avalanche",'Avalanche workings'!$AQ$542,'Snowball workings'!$AQ$542))</f>
      </c>
      <c r="J540" s="29">
        <f>IF(OR(535&gt;$Z$1,NOT(OR('Your debts'!$B$8&lt;&gt;"",N('Your debts'!$C$8)&gt;0))),"",IF('Your debts'!$D$20="Avalanche",'Avalanche workings'!$N$542,'Snowball workings'!$N$542)+IF('Your debts'!$D$20="Avalanche",'Avalanche workings'!$AH$542,'Snowball workings'!$AH$542))</f>
      </c>
      <c r="K540" s="30">
        <f>IF(OR(535&gt;$Z$1,NOT(OR('Your debts'!$B$8&lt;&gt;"",N('Your debts'!$C$8)&gt;0))),"",IF('Your debts'!$D$20="Avalanche",'Avalanche workings'!$AR$542,'Snowball workings'!$AR$542))</f>
      </c>
      <c r="L540" s="29">
        <f>IF(OR(535&gt;$Z$1,NOT(OR('Your debts'!$B$9&lt;&gt;"",N('Your debts'!$C$9)&gt;0))),"",IF('Your debts'!$D$20="Avalanche",'Avalanche workings'!$O$542,'Snowball workings'!$O$542)+IF('Your debts'!$D$20="Avalanche",'Avalanche workings'!$AI$542,'Snowball workings'!$AI$542))</f>
      </c>
      <c r="M540" s="30">
        <f>IF(OR(535&gt;$Z$1,NOT(OR('Your debts'!$B$9&lt;&gt;"",N('Your debts'!$C$9)&gt;0))),"",IF('Your debts'!$D$20="Avalanche",'Avalanche workings'!$AS$542,'Snowball workings'!$AS$542))</f>
      </c>
      <c r="N540" s="29">
        <f>IF(OR(535&gt;$Z$1,NOT(OR('Your debts'!$B$10&lt;&gt;"",N('Your debts'!$C$10)&gt;0))),"",IF('Your debts'!$D$20="Avalanche",'Avalanche workings'!$P$542,'Snowball workings'!$P$542)+IF('Your debts'!$D$20="Avalanche",'Avalanche workings'!$AJ$542,'Snowball workings'!$AJ$542))</f>
      </c>
      <c r="O540" s="30">
        <f>IF(OR(535&gt;$Z$1,NOT(OR('Your debts'!$B$10&lt;&gt;"",N('Your debts'!$C$10)&gt;0))),"",IF('Your debts'!$D$20="Avalanche",'Avalanche workings'!$AT$542,'Snowball workings'!$AT$542))</f>
      </c>
      <c r="P540" s="29">
        <f>IF(OR(535&gt;$Z$1,NOT(OR('Your debts'!$B$11&lt;&gt;"",N('Your debts'!$C$11)&gt;0))),"",IF('Your debts'!$D$20="Avalanche",'Avalanche workings'!$Q$542,'Snowball workings'!$Q$542)+IF('Your debts'!$D$20="Avalanche",'Avalanche workings'!$AK$542,'Snowball workings'!$AK$542))</f>
      </c>
      <c r="Q540" s="30">
        <f>IF(OR(535&gt;$Z$1,NOT(OR('Your debts'!$B$11&lt;&gt;"",N('Your debts'!$C$11)&gt;0))),"",IF('Your debts'!$D$20="Avalanche",'Avalanche workings'!$AU$542,'Snowball workings'!$AU$542))</f>
      </c>
      <c r="R540" s="29">
        <f>IF(OR(535&gt;$Z$1,NOT(OR('Your debts'!$B$12&lt;&gt;"",N('Your debts'!$C$12)&gt;0))),"",IF('Your debts'!$D$20="Avalanche",'Avalanche workings'!$R$542,'Snowball workings'!$R$542)+IF('Your debts'!$D$20="Avalanche",'Avalanche workings'!$AL$542,'Snowball workings'!$AL$542))</f>
      </c>
      <c r="S540" s="30">
        <f>IF(OR(535&gt;$Z$1,NOT(OR('Your debts'!$B$12&lt;&gt;"",N('Your debts'!$C$12)&gt;0))),"",IF('Your debts'!$D$20="Avalanche",'Avalanche workings'!$AV$542,'Snowball workings'!$AV$542))</f>
      </c>
      <c r="T540" s="29">
        <f>IF(OR(535&gt;$Z$1,NOT(OR('Your debts'!$B$13&lt;&gt;"",N('Your debts'!$C$13)&gt;0))),"",IF('Your debts'!$D$20="Avalanche",'Avalanche workings'!$S$542,'Snowball workings'!$S$542)+IF('Your debts'!$D$20="Avalanche",'Avalanche workings'!$AM$542,'Snowball workings'!$AM$542))</f>
      </c>
      <c r="U540" s="30">
        <f>IF(OR(535&gt;$Z$1,NOT(OR('Your debts'!$B$13&lt;&gt;"",N('Your debts'!$C$13)&gt;0))),"",IF('Your debts'!$D$20="Avalanche",'Avalanche workings'!$AW$542,'Snowball workings'!$AW$542))</f>
      </c>
      <c r="V540" s="29">
        <f>IF(OR(535&gt;$Z$1,NOT(OR('Your debts'!$B$14&lt;&gt;"",N('Your debts'!$C$14)&gt;0))),"",IF('Your debts'!$D$20="Avalanche",'Avalanche workings'!$T$542,'Snowball workings'!$T$542)+IF('Your debts'!$D$20="Avalanche",'Avalanche workings'!$AN$542,'Snowball workings'!$AN$542))</f>
      </c>
      <c r="W540" s="30">
        <f>IF(OR(535&gt;$Z$1,NOT(OR('Your debts'!$B$14&lt;&gt;"",N('Your debts'!$C$14)&gt;0))),"",IF('Your debts'!$D$20="Avalanche",'Avalanche workings'!$AX$542,'Snowball workings'!$AX$542))</f>
      </c>
      <c r="X540" s="29">
        <f>IF(OR(535&gt;$Z$1,NOT(OR('Your debts'!$B$15&lt;&gt;"",N('Your debts'!$C$15)&gt;0))),"",IF('Your debts'!$D$20="Avalanche",'Avalanche workings'!$U$542,'Snowball workings'!$U$542)+IF('Your debts'!$D$20="Avalanche",'Avalanche workings'!$AO$542,'Snowball workings'!$AO$542))</f>
      </c>
      <c r="Y540" s="30">
        <f>IF(OR(535&gt;$Z$1,NOT(OR('Your debts'!$B$15&lt;&gt;"",N('Your debts'!$C$15)&gt;0))),"",IF('Your debts'!$D$20="Avalanche",'Avalanche workings'!$AY$542,'Snowball workings'!$AY$542))</f>
      </c>
    </row>
    <row r="541" spans="1:25" x14ac:dyDescent="0.25">
      <c r="A541" s="2">
        <f>IF(536&gt;$Z$1,"",536)</f>
      </c>
      <c r="B541" s="28">
        <f>IF(536&gt;$Z$1,"",EDATE('Your debts'!$D$21,535))</f>
      </c>
      <c r="C541" s="29">
        <f>IF(536&gt;$Z$1,"",IF('Your debts'!$D$20="Avalanche",'Avalanche workings'!$BC$543,'Snowball workings'!$BC$543))</f>
      </c>
      <c r="D541" s="29">
        <f>IF(536&gt;$Z$1,"",IF('Your debts'!$D$20="Avalanche",'Avalanche workings'!$BA$543,'Snowball workings'!$BA$543))</f>
      </c>
      <c r="E541" s="29">
        <f>IF(536&gt;$Z$1,"",IF('Your debts'!$D$20="Avalanche",'Avalanche workings'!$BB$543,'Snowball workings'!$BB$543))</f>
      </c>
      <c r="F541" s="29">
        <f>IF(OR(536&gt;$Z$1,NOT(OR('Your debts'!$B$6&lt;&gt;"",N('Your debts'!$C$6)&gt;0))),"",IF('Your debts'!$D$20="Avalanche",'Avalanche workings'!$L$543,'Snowball workings'!$L$543)+IF('Your debts'!$D$20="Avalanche",'Avalanche workings'!$AF$543,'Snowball workings'!$AF$543))</f>
      </c>
      <c r="G541" s="30">
        <f>IF(OR(536&gt;$Z$1,NOT(OR('Your debts'!$B$6&lt;&gt;"",N('Your debts'!$C$6)&gt;0))),"",IF('Your debts'!$D$20="Avalanche",'Avalanche workings'!$AP$543,'Snowball workings'!$AP$543))</f>
      </c>
      <c r="H541" s="29">
        <f>IF(OR(536&gt;$Z$1,NOT(OR('Your debts'!$B$7&lt;&gt;"",N('Your debts'!$C$7)&gt;0))),"",IF('Your debts'!$D$20="Avalanche",'Avalanche workings'!$M$543,'Snowball workings'!$M$543)+IF('Your debts'!$D$20="Avalanche",'Avalanche workings'!$AG$543,'Snowball workings'!$AG$543))</f>
      </c>
      <c r="I541" s="30">
        <f>IF(OR(536&gt;$Z$1,NOT(OR('Your debts'!$B$7&lt;&gt;"",N('Your debts'!$C$7)&gt;0))),"",IF('Your debts'!$D$20="Avalanche",'Avalanche workings'!$AQ$543,'Snowball workings'!$AQ$543))</f>
      </c>
      <c r="J541" s="29">
        <f>IF(OR(536&gt;$Z$1,NOT(OR('Your debts'!$B$8&lt;&gt;"",N('Your debts'!$C$8)&gt;0))),"",IF('Your debts'!$D$20="Avalanche",'Avalanche workings'!$N$543,'Snowball workings'!$N$543)+IF('Your debts'!$D$20="Avalanche",'Avalanche workings'!$AH$543,'Snowball workings'!$AH$543))</f>
      </c>
      <c r="K541" s="30">
        <f>IF(OR(536&gt;$Z$1,NOT(OR('Your debts'!$B$8&lt;&gt;"",N('Your debts'!$C$8)&gt;0))),"",IF('Your debts'!$D$20="Avalanche",'Avalanche workings'!$AR$543,'Snowball workings'!$AR$543))</f>
      </c>
      <c r="L541" s="29">
        <f>IF(OR(536&gt;$Z$1,NOT(OR('Your debts'!$B$9&lt;&gt;"",N('Your debts'!$C$9)&gt;0))),"",IF('Your debts'!$D$20="Avalanche",'Avalanche workings'!$O$543,'Snowball workings'!$O$543)+IF('Your debts'!$D$20="Avalanche",'Avalanche workings'!$AI$543,'Snowball workings'!$AI$543))</f>
      </c>
      <c r="M541" s="30">
        <f>IF(OR(536&gt;$Z$1,NOT(OR('Your debts'!$B$9&lt;&gt;"",N('Your debts'!$C$9)&gt;0))),"",IF('Your debts'!$D$20="Avalanche",'Avalanche workings'!$AS$543,'Snowball workings'!$AS$543))</f>
      </c>
      <c r="N541" s="29">
        <f>IF(OR(536&gt;$Z$1,NOT(OR('Your debts'!$B$10&lt;&gt;"",N('Your debts'!$C$10)&gt;0))),"",IF('Your debts'!$D$20="Avalanche",'Avalanche workings'!$P$543,'Snowball workings'!$P$543)+IF('Your debts'!$D$20="Avalanche",'Avalanche workings'!$AJ$543,'Snowball workings'!$AJ$543))</f>
      </c>
      <c r="O541" s="30">
        <f>IF(OR(536&gt;$Z$1,NOT(OR('Your debts'!$B$10&lt;&gt;"",N('Your debts'!$C$10)&gt;0))),"",IF('Your debts'!$D$20="Avalanche",'Avalanche workings'!$AT$543,'Snowball workings'!$AT$543))</f>
      </c>
      <c r="P541" s="29">
        <f>IF(OR(536&gt;$Z$1,NOT(OR('Your debts'!$B$11&lt;&gt;"",N('Your debts'!$C$11)&gt;0))),"",IF('Your debts'!$D$20="Avalanche",'Avalanche workings'!$Q$543,'Snowball workings'!$Q$543)+IF('Your debts'!$D$20="Avalanche",'Avalanche workings'!$AK$543,'Snowball workings'!$AK$543))</f>
      </c>
      <c r="Q541" s="30">
        <f>IF(OR(536&gt;$Z$1,NOT(OR('Your debts'!$B$11&lt;&gt;"",N('Your debts'!$C$11)&gt;0))),"",IF('Your debts'!$D$20="Avalanche",'Avalanche workings'!$AU$543,'Snowball workings'!$AU$543))</f>
      </c>
      <c r="R541" s="29">
        <f>IF(OR(536&gt;$Z$1,NOT(OR('Your debts'!$B$12&lt;&gt;"",N('Your debts'!$C$12)&gt;0))),"",IF('Your debts'!$D$20="Avalanche",'Avalanche workings'!$R$543,'Snowball workings'!$R$543)+IF('Your debts'!$D$20="Avalanche",'Avalanche workings'!$AL$543,'Snowball workings'!$AL$543))</f>
      </c>
      <c r="S541" s="30">
        <f>IF(OR(536&gt;$Z$1,NOT(OR('Your debts'!$B$12&lt;&gt;"",N('Your debts'!$C$12)&gt;0))),"",IF('Your debts'!$D$20="Avalanche",'Avalanche workings'!$AV$543,'Snowball workings'!$AV$543))</f>
      </c>
      <c r="T541" s="29">
        <f>IF(OR(536&gt;$Z$1,NOT(OR('Your debts'!$B$13&lt;&gt;"",N('Your debts'!$C$13)&gt;0))),"",IF('Your debts'!$D$20="Avalanche",'Avalanche workings'!$S$543,'Snowball workings'!$S$543)+IF('Your debts'!$D$20="Avalanche",'Avalanche workings'!$AM$543,'Snowball workings'!$AM$543))</f>
      </c>
      <c r="U541" s="30">
        <f>IF(OR(536&gt;$Z$1,NOT(OR('Your debts'!$B$13&lt;&gt;"",N('Your debts'!$C$13)&gt;0))),"",IF('Your debts'!$D$20="Avalanche",'Avalanche workings'!$AW$543,'Snowball workings'!$AW$543))</f>
      </c>
      <c r="V541" s="29">
        <f>IF(OR(536&gt;$Z$1,NOT(OR('Your debts'!$B$14&lt;&gt;"",N('Your debts'!$C$14)&gt;0))),"",IF('Your debts'!$D$20="Avalanche",'Avalanche workings'!$T$543,'Snowball workings'!$T$543)+IF('Your debts'!$D$20="Avalanche",'Avalanche workings'!$AN$543,'Snowball workings'!$AN$543))</f>
      </c>
      <c r="W541" s="30">
        <f>IF(OR(536&gt;$Z$1,NOT(OR('Your debts'!$B$14&lt;&gt;"",N('Your debts'!$C$14)&gt;0))),"",IF('Your debts'!$D$20="Avalanche",'Avalanche workings'!$AX$543,'Snowball workings'!$AX$543))</f>
      </c>
      <c r="X541" s="29">
        <f>IF(OR(536&gt;$Z$1,NOT(OR('Your debts'!$B$15&lt;&gt;"",N('Your debts'!$C$15)&gt;0))),"",IF('Your debts'!$D$20="Avalanche",'Avalanche workings'!$U$543,'Snowball workings'!$U$543)+IF('Your debts'!$D$20="Avalanche",'Avalanche workings'!$AO$543,'Snowball workings'!$AO$543))</f>
      </c>
      <c r="Y541" s="30">
        <f>IF(OR(536&gt;$Z$1,NOT(OR('Your debts'!$B$15&lt;&gt;"",N('Your debts'!$C$15)&gt;0))),"",IF('Your debts'!$D$20="Avalanche",'Avalanche workings'!$AY$543,'Snowball workings'!$AY$543))</f>
      </c>
    </row>
    <row r="542" spans="1:25" x14ac:dyDescent="0.25">
      <c r="A542" s="2">
        <f>IF(537&gt;$Z$1,"",537)</f>
      </c>
      <c r="B542" s="28">
        <f>IF(537&gt;$Z$1,"",EDATE('Your debts'!$D$21,536))</f>
      </c>
      <c r="C542" s="29">
        <f>IF(537&gt;$Z$1,"",IF('Your debts'!$D$20="Avalanche",'Avalanche workings'!$BC$544,'Snowball workings'!$BC$544))</f>
      </c>
      <c r="D542" s="29">
        <f>IF(537&gt;$Z$1,"",IF('Your debts'!$D$20="Avalanche",'Avalanche workings'!$BA$544,'Snowball workings'!$BA$544))</f>
      </c>
      <c r="E542" s="29">
        <f>IF(537&gt;$Z$1,"",IF('Your debts'!$D$20="Avalanche",'Avalanche workings'!$BB$544,'Snowball workings'!$BB$544))</f>
      </c>
      <c r="F542" s="29">
        <f>IF(OR(537&gt;$Z$1,NOT(OR('Your debts'!$B$6&lt;&gt;"",N('Your debts'!$C$6)&gt;0))),"",IF('Your debts'!$D$20="Avalanche",'Avalanche workings'!$L$544,'Snowball workings'!$L$544)+IF('Your debts'!$D$20="Avalanche",'Avalanche workings'!$AF$544,'Snowball workings'!$AF$544))</f>
      </c>
      <c r="G542" s="30">
        <f>IF(OR(537&gt;$Z$1,NOT(OR('Your debts'!$B$6&lt;&gt;"",N('Your debts'!$C$6)&gt;0))),"",IF('Your debts'!$D$20="Avalanche",'Avalanche workings'!$AP$544,'Snowball workings'!$AP$544))</f>
      </c>
      <c r="H542" s="29">
        <f>IF(OR(537&gt;$Z$1,NOT(OR('Your debts'!$B$7&lt;&gt;"",N('Your debts'!$C$7)&gt;0))),"",IF('Your debts'!$D$20="Avalanche",'Avalanche workings'!$M$544,'Snowball workings'!$M$544)+IF('Your debts'!$D$20="Avalanche",'Avalanche workings'!$AG$544,'Snowball workings'!$AG$544))</f>
      </c>
      <c r="I542" s="30">
        <f>IF(OR(537&gt;$Z$1,NOT(OR('Your debts'!$B$7&lt;&gt;"",N('Your debts'!$C$7)&gt;0))),"",IF('Your debts'!$D$20="Avalanche",'Avalanche workings'!$AQ$544,'Snowball workings'!$AQ$544))</f>
      </c>
      <c r="J542" s="29">
        <f>IF(OR(537&gt;$Z$1,NOT(OR('Your debts'!$B$8&lt;&gt;"",N('Your debts'!$C$8)&gt;0))),"",IF('Your debts'!$D$20="Avalanche",'Avalanche workings'!$N$544,'Snowball workings'!$N$544)+IF('Your debts'!$D$20="Avalanche",'Avalanche workings'!$AH$544,'Snowball workings'!$AH$544))</f>
      </c>
      <c r="K542" s="30">
        <f>IF(OR(537&gt;$Z$1,NOT(OR('Your debts'!$B$8&lt;&gt;"",N('Your debts'!$C$8)&gt;0))),"",IF('Your debts'!$D$20="Avalanche",'Avalanche workings'!$AR$544,'Snowball workings'!$AR$544))</f>
      </c>
      <c r="L542" s="29">
        <f>IF(OR(537&gt;$Z$1,NOT(OR('Your debts'!$B$9&lt;&gt;"",N('Your debts'!$C$9)&gt;0))),"",IF('Your debts'!$D$20="Avalanche",'Avalanche workings'!$O$544,'Snowball workings'!$O$544)+IF('Your debts'!$D$20="Avalanche",'Avalanche workings'!$AI$544,'Snowball workings'!$AI$544))</f>
      </c>
      <c r="M542" s="30">
        <f>IF(OR(537&gt;$Z$1,NOT(OR('Your debts'!$B$9&lt;&gt;"",N('Your debts'!$C$9)&gt;0))),"",IF('Your debts'!$D$20="Avalanche",'Avalanche workings'!$AS$544,'Snowball workings'!$AS$544))</f>
      </c>
      <c r="N542" s="29">
        <f>IF(OR(537&gt;$Z$1,NOT(OR('Your debts'!$B$10&lt;&gt;"",N('Your debts'!$C$10)&gt;0))),"",IF('Your debts'!$D$20="Avalanche",'Avalanche workings'!$P$544,'Snowball workings'!$P$544)+IF('Your debts'!$D$20="Avalanche",'Avalanche workings'!$AJ$544,'Snowball workings'!$AJ$544))</f>
      </c>
      <c r="O542" s="30">
        <f>IF(OR(537&gt;$Z$1,NOT(OR('Your debts'!$B$10&lt;&gt;"",N('Your debts'!$C$10)&gt;0))),"",IF('Your debts'!$D$20="Avalanche",'Avalanche workings'!$AT$544,'Snowball workings'!$AT$544))</f>
      </c>
      <c r="P542" s="29">
        <f>IF(OR(537&gt;$Z$1,NOT(OR('Your debts'!$B$11&lt;&gt;"",N('Your debts'!$C$11)&gt;0))),"",IF('Your debts'!$D$20="Avalanche",'Avalanche workings'!$Q$544,'Snowball workings'!$Q$544)+IF('Your debts'!$D$20="Avalanche",'Avalanche workings'!$AK$544,'Snowball workings'!$AK$544))</f>
      </c>
      <c r="Q542" s="30">
        <f>IF(OR(537&gt;$Z$1,NOT(OR('Your debts'!$B$11&lt;&gt;"",N('Your debts'!$C$11)&gt;0))),"",IF('Your debts'!$D$20="Avalanche",'Avalanche workings'!$AU$544,'Snowball workings'!$AU$544))</f>
      </c>
      <c r="R542" s="29">
        <f>IF(OR(537&gt;$Z$1,NOT(OR('Your debts'!$B$12&lt;&gt;"",N('Your debts'!$C$12)&gt;0))),"",IF('Your debts'!$D$20="Avalanche",'Avalanche workings'!$R$544,'Snowball workings'!$R$544)+IF('Your debts'!$D$20="Avalanche",'Avalanche workings'!$AL$544,'Snowball workings'!$AL$544))</f>
      </c>
      <c r="S542" s="30">
        <f>IF(OR(537&gt;$Z$1,NOT(OR('Your debts'!$B$12&lt;&gt;"",N('Your debts'!$C$12)&gt;0))),"",IF('Your debts'!$D$20="Avalanche",'Avalanche workings'!$AV$544,'Snowball workings'!$AV$544))</f>
      </c>
      <c r="T542" s="29">
        <f>IF(OR(537&gt;$Z$1,NOT(OR('Your debts'!$B$13&lt;&gt;"",N('Your debts'!$C$13)&gt;0))),"",IF('Your debts'!$D$20="Avalanche",'Avalanche workings'!$S$544,'Snowball workings'!$S$544)+IF('Your debts'!$D$20="Avalanche",'Avalanche workings'!$AM$544,'Snowball workings'!$AM$544))</f>
      </c>
      <c r="U542" s="30">
        <f>IF(OR(537&gt;$Z$1,NOT(OR('Your debts'!$B$13&lt;&gt;"",N('Your debts'!$C$13)&gt;0))),"",IF('Your debts'!$D$20="Avalanche",'Avalanche workings'!$AW$544,'Snowball workings'!$AW$544))</f>
      </c>
      <c r="V542" s="29">
        <f>IF(OR(537&gt;$Z$1,NOT(OR('Your debts'!$B$14&lt;&gt;"",N('Your debts'!$C$14)&gt;0))),"",IF('Your debts'!$D$20="Avalanche",'Avalanche workings'!$T$544,'Snowball workings'!$T$544)+IF('Your debts'!$D$20="Avalanche",'Avalanche workings'!$AN$544,'Snowball workings'!$AN$544))</f>
      </c>
      <c r="W542" s="30">
        <f>IF(OR(537&gt;$Z$1,NOT(OR('Your debts'!$B$14&lt;&gt;"",N('Your debts'!$C$14)&gt;0))),"",IF('Your debts'!$D$20="Avalanche",'Avalanche workings'!$AX$544,'Snowball workings'!$AX$544))</f>
      </c>
      <c r="X542" s="29">
        <f>IF(OR(537&gt;$Z$1,NOT(OR('Your debts'!$B$15&lt;&gt;"",N('Your debts'!$C$15)&gt;0))),"",IF('Your debts'!$D$20="Avalanche",'Avalanche workings'!$U$544,'Snowball workings'!$U$544)+IF('Your debts'!$D$20="Avalanche",'Avalanche workings'!$AO$544,'Snowball workings'!$AO$544))</f>
      </c>
      <c r="Y542" s="30">
        <f>IF(OR(537&gt;$Z$1,NOT(OR('Your debts'!$B$15&lt;&gt;"",N('Your debts'!$C$15)&gt;0))),"",IF('Your debts'!$D$20="Avalanche",'Avalanche workings'!$AY$544,'Snowball workings'!$AY$544))</f>
      </c>
    </row>
    <row r="543" spans="1:25" x14ac:dyDescent="0.25">
      <c r="A543" s="2">
        <f>IF(538&gt;$Z$1,"",538)</f>
      </c>
      <c r="B543" s="28">
        <f>IF(538&gt;$Z$1,"",EDATE('Your debts'!$D$21,537))</f>
      </c>
      <c r="C543" s="29">
        <f>IF(538&gt;$Z$1,"",IF('Your debts'!$D$20="Avalanche",'Avalanche workings'!$BC$545,'Snowball workings'!$BC$545))</f>
      </c>
      <c r="D543" s="29">
        <f>IF(538&gt;$Z$1,"",IF('Your debts'!$D$20="Avalanche",'Avalanche workings'!$BA$545,'Snowball workings'!$BA$545))</f>
      </c>
      <c r="E543" s="29">
        <f>IF(538&gt;$Z$1,"",IF('Your debts'!$D$20="Avalanche",'Avalanche workings'!$BB$545,'Snowball workings'!$BB$545))</f>
      </c>
      <c r="F543" s="29">
        <f>IF(OR(538&gt;$Z$1,NOT(OR('Your debts'!$B$6&lt;&gt;"",N('Your debts'!$C$6)&gt;0))),"",IF('Your debts'!$D$20="Avalanche",'Avalanche workings'!$L$545,'Snowball workings'!$L$545)+IF('Your debts'!$D$20="Avalanche",'Avalanche workings'!$AF$545,'Snowball workings'!$AF$545))</f>
      </c>
      <c r="G543" s="30">
        <f>IF(OR(538&gt;$Z$1,NOT(OR('Your debts'!$B$6&lt;&gt;"",N('Your debts'!$C$6)&gt;0))),"",IF('Your debts'!$D$20="Avalanche",'Avalanche workings'!$AP$545,'Snowball workings'!$AP$545))</f>
      </c>
      <c r="H543" s="29">
        <f>IF(OR(538&gt;$Z$1,NOT(OR('Your debts'!$B$7&lt;&gt;"",N('Your debts'!$C$7)&gt;0))),"",IF('Your debts'!$D$20="Avalanche",'Avalanche workings'!$M$545,'Snowball workings'!$M$545)+IF('Your debts'!$D$20="Avalanche",'Avalanche workings'!$AG$545,'Snowball workings'!$AG$545))</f>
      </c>
      <c r="I543" s="30">
        <f>IF(OR(538&gt;$Z$1,NOT(OR('Your debts'!$B$7&lt;&gt;"",N('Your debts'!$C$7)&gt;0))),"",IF('Your debts'!$D$20="Avalanche",'Avalanche workings'!$AQ$545,'Snowball workings'!$AQ$545))</f>
      </c>
      <c r="J543" s="29">
        <f>IF(OR(538&gt;$Z$1,NOT(OR('Your debts'!$B$8&lt;&gt;"",N('Your debts'!$C$8)&gt;0))),"",IF('Your debts'!$D$20="Avalanche",'Avalanche workings'!$N$545,'Snowball workings'!$N$545)+IF('Your debts'!$D$20="Avalanche",'Avalanche workings'!$AH$545,'Snowball workings'!$AH$545))</f>
      </c>
      <c r="K543" s="30">
        <f>IF(OR(538&gt;$Z$1,NOT(OR('Your debts'!$B$8&lt;&gt;"",N('Your debts'!$C$8)&gt;0))),"",IF('Your debts'!$D$20="Avalanche",'Avalanche workings'!$AR$545,'Snowball workings'!$AR$545))</f>
      </c>
      <c r="L543" s="29">
        <f>IF(OR(538&gt;$Z$1,NOT(OR('Your debts'!$B$9&lt;&gt;"",N('Your debts'!$C$9)&gt;0))),"",IF('Your debts'!$D$20="Avalanche",'Avalanche workings'!$O$545,'Snowball workings'!$O$545)+IF('Your debts'!$D$20="Avalanche",'Avalanche workings'!$AI$545,'Snowball workings'!$AI$545))</f>
      </c>
      <c r="M543" s="30">
        <f>IF(OR(538&gt;$Z$1,NOT(OR('Your debts'!$B$9&lt;&gt;"",N('Your debts'!$C$9)&gt;0))),"",IF('Your debts'!$D$20="Avalanche",'Avalanche workings'!$AS$545,'Snowball workings'!$AS$545))</f>
      </c>
      <c r="N543" s="29">
        <f>IF(OR(538&gt;$Z$1,NOT(OR('Your debts'!$B$10&lt;&gt;"",N('Your debts'!$C$10)&gt;0))),"",IF('Your debts'!$D$20="Avalanche",'Avalanche workings'!$P$545,'Snowball workings'!$P$545)+IF('Your debts'!$D$20="Avalanche",'Avalanche workings'!$AJ$545,'Snowball workings'!$AJ$545))</f>
      </c>
      <c r="O543" s="30">
        <f>IF(OR(538&gt;$Z$1,NOT(OR('Your debts'!$B$10&lt;&gt;"",N('Your debts'!$C$10)&gt;0))),"",IF('Your debts'!$D$20="Avalanche",'Avalanche workings'!$AT$545,'Snowball workings'!$AT$545))</f>
      </c>
      <c r="P543" s="29">
        <f>IF(OR(538&gt;$Z$1,NOT(OR('Your debts'!$B$11&lt;&gt;"",N('Your debts'!$C$11)&gt;0))),"",IF('Your debts'!$D$20="Avalanche",'Avalanche workings'!$Q$545,'Snowball workings'!$Q$545)+IF('Your debts'!$D$20="Avalanche",'Avalanche workings'!$AK$545,'Snowball workings'!$AK$545))</f>
      </c>
      <c r="Q543" s="30">
        <f>IF(OR(538&gt;$Z$1,NOT(OR('Your debts'!$B$11&lt;&gt;"",N('Your debts'!$C$11)&gt;0))),"",IF('Your debts'!$D$20="Avalanche",'Avalanche workings'!$AU$545,'Snowball workings'!$AU$545))</f>
      </c>
      <c r="R543" s="29">
        <f>IF(OR(538&gt;$Z$1,NOT(OR('Your debts'!$B$12&lt;&gt;"",N('Your debts'!$C$12)&gt;0))),"",IF('Your debts'!$D$20="Avalanche",'Avalanche workings'!$R$545,'Snowball workings'!$R$545)+IF('Your debts'!$D$20="Avalanche",'Avalanche workings'!$AL$545,'Snowball workings'!$AL$545))</f>
      </c>
      <c r="S543" s="30">
        <f>IF(OR(538&gt;$Z$1,NOT(OR('Your debts'!$B$12&lt;&gt;"",N('Your debts'!$C$12)&gt;0))),"",IF('Your debts'!$D$20="Avalanche",'Avalanche workings'!$AV$545,'Snowball workings'!$AV$545))</f>
      </c>
      <c r="T543" s="29">
        <f>IF(OR(538&gt;$Z$1,NOT(OR('Your debts'!$B$13&lt;&gt;"",N('Your debts'!$C$13)&gt;0))),"",IF('Your debts'!$D$20="Avalanche",'Avalanche workings'!$S$545,'Snowball workings'!$S$545)+IF('Your debts'!$D$20="Avalanche",'Avalanche workings'!$AM$545,'Snowball workings'!$AM$545))</f>
      </c>
      <c r="U543" s="30">
        <f>IF(OR(538&gt;$Z$1,NOT(OR('Your debts'!$B$13&lt;&gt;"",N('Your debts'!$C$13)&gt;0))),"",IF('Your debts'!$D$20="Avalanche",'Avalanche workings'!$AW$545,'Snowball workings'!$AW$545))</f>
      </c>
      <c r="V543" s="29">
        <f>IF(OR(538&gt;$Z$1,NOT(OR('Your debts'!$B$14&lt;&gt;"",N('Your debts'!$C$14)&gt;0))),"",IF('Your debts'!$D$20="Avalanche",'Avalanche workings'!$T$545,'Snowball workings'!$T$545)+IF('Your debts'!$D$20="Avalanche",'Avalanche workings'!$AN$545,'Snowball workings'!$AN$545))</f>
      </c>
      <c r="W543" s="30">
        <f>IF(OR(538&gt;$Z$1,NOT(OR('Your debts'!$B$14&lt;&gt;"",N('Your debts'!$C$14)&gt;0))),"",IF('Your debts'!$D$20="Avalanche",'Avalanche workings'!$AX$545,'Snowball workings'!$AX$545))</f>
      </c>
      <c r="X543" s="29">
        <f>IF(OR(538&gt;$Z$1,NOT(OR('Your debts'!$B$15&lt;&gt;"",N('Your debts'!$C$15)&gt;0))),"",IF('Your debts'!$D$20="Avalanche",'Avalanche workings'!$U$545,'Snowball workings'!$U$545)+IF('Your debts'!$D$20="Avalanche",'Avalanche workings'!$AO$545,'Snowball workings'!$AO$545))</f>
      </c>
      <c r="Y543" s="30">
        <f>IF(OR(538&gt;$Z$1,NOT(OR('Your debts'!$B$15&lt;&gt;"",N('Your debts'!$C$15)&gt;0))),"",IF('Your debts'!$D$20="Avalanche",'Avalanche workings'!$AY$545,'Snowball workings'!$AY$545))</f>
      </c>
    </row>
    <row r="544" spans="1:25" x14ac:dyDescent="0.25">
      <c r="A544" s="2">
        <f>IF(539&gt;$Z$1,"",539)</f>
      </c>
      <c r="B544" s="28">
        <f>IF(539&gt;$Z$1,"",EDATE('Your debts'!$D$21,538))</f>
      </c>
      <c r="C544" s="29">
        <f>IF(539&gt;$Z$1,"",IF('Your debts'!$D$20="Avalanche",'Avalanche workings'!$BC$546,'Snowball workings'!$BC$546))</f>
      </c>
      <c r="D544" s="29">
        <f>IF(539&gt;$Z$1,"",IF('Your debts'!$D$20="Avalanche",'Avalanche workings'!$BA$546,'Snowball workings'!$BA$546))</f>
      </c>
      <c r="E544" s="29">
        <f>IF(539&gt;$Z$1,"",IF('Your debts'!$D$20="Avalanche",'Avalanche workings'!$BB$546,'Snowball workings'!$BB$546))</f>
      </c>
      <c r="F544" s="29">
        <f>IF(OR(539&gt;$Z$1,NOT(OR('Your debts'!$B$6&lt;&gt;"",N('Your debts'!$C$6)&gt;0))),"",IF('Your debts'!$D$20="Avalanche",'Avalanche workings'!$L$546,'Snowball workings'!$L$546)+IF('Your debts'!$D$20="Avalanche",'Avalanche workings'!$AF$546,'Snowball workings'!$AF$546))</f>
      </c>
      <c r="G544" s="30">
        <f>IF(OR(539&gt;$Z$1,NOT(OR('Your debts'!$B$6&lt;&gt;"",N('Your debts'!$C$6)&gt;0))),"",IF('Your debts'!$D$20="Avalanche",'Avalanche workings'!$AP$546,'Snowball workings'!$AP$546))</f>
      </c>
      <c r="H544" s="29">
        <f>IF(OR(539&gt;$Z$1,NOT(OR('Your debts'!$B$7&lt;&gt;"",N('Your debts'!$C$7)&gt;0))),"",IF('Your debts'!$D$20="Avalanche",'Avalanche workings'!$M$546,'Snowball workings'!$M$546)+IF('Your debts'!$D$20="Avalanche",'Avalanche workings'!$AG$546,'Snowball workings'!$AG$546))</f>
      </c>
      <c r="I544" s="30">
        <f>IF(OR(539&gt;$Z$1,NOT(OR('Your debts'!$B$7&lt;&gt;"",N('Your debts'!$C$7)&gt;0))),"",IF('Your debts'!$D$20="Avalanche",'Avalanche workings'!$AQ$546,'Snowball workings'!$AQ$546))</f>
      </c>
      <c r="J544" s="29">
        <f>IF(OR(539&gt;$Z$1,NOT(OR('Your debts'!$B$8&lt;&gt;"",N('Your debts'!$C$8)&gt;0))),"",IF('Your debts'!$D$20="Avalanche",'Avalanche workings'!$N$546,'Snowball workings'!$N$546)+IF('Your debts'!$D$20="Avalanche",'Avalanche workings'!$AH$546,'Snowball workings'!$AH$546))</f>
      </c>
      <c r="K544" s="30">
        <f>IF(OR(539&gt;$Z$1,NOT(OR('Your debts'!$B$8&lt;&gt;"",N('Your debts'!$C$8)&gt;0))),"",IF('Your debts'!$D$20="Avalanche",'Avalanche workings'!$AR$546,'Snowball workings'!$AR$546))</f>
      </c>
      <c r="L544" s="29">
        <f>IF(OR(539&gt;$Z$1,NOT(OR('Your debts'!$B$9&lt;&gt;"",N('Your debts'!$C$9)&gt;0))),"",IF('Your debts'!$D$20="Avalanche",'Avalanche workings'!$O$546,'Snowball workings'!$O$546)+IF('Your debts'!$D$20="Avalanche",'Avalanche workings'!$AI$546,'Snowball workings'!$AI$546))</f>
      </c>
      <c r="M544" s="30">
        <f>IF(OR(539&gt;$Z$1,NOT(OR('Your debts'!$B$9&lt;&gt;"",N('Your debts'!$C$9)&gt;0))),"",IF('Your debts'!$D$20="Avalanche",'Avalanche workings'!$AS$546,'Snowball workings'!$AS$546))</f>
      </c>
      <c r="N544" s="29">
        <f>IF(OR(539&gt;$Z$1,NOT(OR('Your debts'!$B$10&lt;&gt;"",N('Your debts'!$C$10)&gt;0))),"",IF('Your debts'!$D$20="Avalanche",'Avalanche workings'!$P$546,'Snowball workings'!$P$546)+IF('Your debts'!$D$20="Avalanche",'Avalanche workings'!$AJ$546,'Snowball workings'!$AJ$546))</f>
      </c>
      <c r="O544" s="30">
        <f>IF(OR(539&gt;$Z$1,NOT(OR('Your debts'!$B$10&lt;&gt;"",N('Your debts'!$C$10)&gt;0))),"",IF('Your debts'!$D$20="Avalanche",'Avalanche workings'!$AT$546,'Snowball workings'!$AT$546))</f>
      </c>
      <c r="P544" s="29">
        <f>IF(OR(539&gt;$Z$1,NOT(OR('Your debts'!$B$11&lt;&gt;"",N('Your debts'!$C$11)&gt;0))),"",IF('Your debts'!$D$20="Avalanche",'Avalanche workings'!$Q$546,'Snowball workings'!$Q$546)+IF('Your debts'!$D$20="Avalanche",'Avalanche workings'!$AK$546,'Snowball workings'!$AK$546))</f>
      </c>
      <c r="Q544" s="30">
        <f>IF(OR(539&gt;$Z$1,NOT(OR('Your debts'!$B$11&lt;&gt;"",N('Your debts'!$C$11)&gt;0))),"",IF('Your debts'!$D$20="Avalanche",'Avalanche workings'!$AU$546,'Snowball workings'!$AU$546))</f>
      </c>
      <c r="R544" s="29">
        <f>IF(OR(539&gt;$Z$1,NOT(OR('Your debts'!$B$12&lt;&gt;"",N('Your debts'!$C$12)&gt;0))),"",IF('Your debts'!$D$20="Avalanche",'Avalanche workings'!$R$546,'Snowball workings'!$R$546)+IF('Your debts'!$D$20="Avalanche",'Avalanche workings'!$AL$546,'Snowball workings'!$AL$546))</f>
      </c>
      <c r="S544" s="30">
        <f>IF(OR(539&gt;$Z$1,NOT(OR('Your debts'!$B$12&lt;&gt;"",N('Your debts'!$C$12)&gt;0))),"",IF('Your debts'!$D$20="Avalanche",'Avalanche workings'!$AV$546,'Snowball workings'!$AV$546))</f>
      </c>
      <c r="T544" s="29">
        <f>IF(OR(539&gt;$Z$1,NOT(OR('Your debts'!$B$13&lt;&gt;"",N('Your debts'!$C$13)&gt;0))),"",IF('Your debts'!$D$20="Avalanche",'Avalanche workings'!$S$546,'Snowball workings'!$S$546)+IF('Your debts'!$D$20="Avalanche",'Avalanche workings'!$AM$546,'Snowball workings'!$AM$546))</f>
      </c>
      <c r="U544" s="30">
        <f>IF(OR(539&gt;$Z$1,NOT(OR('Your debts'!$B$13&lt;&gt;"",N('Your debts'!$C$13)&gt;0))),"",IF('Your debts'!$D$20="Avalanche",'Avalanche workings'!$AW$546,'Snowball workings'!$AW$546))</f>
      </c>
      <c r="V544" s="29">
        <f>IF(OR(539&gt;$Z$1,NOT(OR('Your debts'!$B$14&lt;&gt;"",N('Your debts'!$C$14)&gt;0))),"",IF('Your debts'!$D$20="Avalanche",'Avalanche workings'!$T$546,'Snowball workings'!$T$546)+IF('Your debts'!$D$20="Avalanche",'Avalanche workings'!$AN$546,'Snowball workings'!$AN$546))</f>
      </c>
      <c r="W544" s="30">
        <f>IF(OR(539&gt;$Z$1,NOT(OR('Your debts'!$B$14&lt;&gt;"",N('Your debts'!$C$14)&gt;0))),"",IF('Your debts'!$D$20="Avalanche",'Avalanche workings'!$AX$546,'Snowball workings'!$AX$546))</f>
      </c>
      <c r="X544" s="29">
        <f>IF(OR(539&gt;$Z$1,NOT(OR('Your debts'!$B$15&lt;&gt;"",N('Your debts'!$C$15)&gt;0))),"",IF('Your debts'!$D$20="Avalanche",'Avalanche workings'!$U$546,'Snowball workings'!$U$546)+IF('Your debts'!$D$20="Avalanche",'Avalanche workings'!$AO$546,'Snowball workings'!$AO$546))</f>
      </c>
      <c r="Y544" s="30">
        <f>IF(OR(539&gt;$Z$1,NOT(OR('Your debts'!$B$15&lt;&gt;"",N('Your debts'!$C$15)&gt;0))),"",IF('Your debts'!$D$20="Avalanche",'Avalanche workings'!$AY$546,'Snowball workings'!$AY$546))</f>
      </c>
    </row>
    <row r="545" spans="1:25" x14ac:dyDescent="0.25">
      <c r="A545" s="2">
        <f>IF(540&gt;$Z$1,"",540)</f>
      </c>
      <c r="B545" s="28">
        <f>IF(540&gt;$Z$1,"",EDATE('Your debts'!$D$21,539))</f>
      </c>
      <c r="C545" s="29">
        <f>IF(540&gt;$Z$1,"",IF('Your debts'!$D$20="Avalanche",'Avalanche workings'!$BC$547,'Snowball workings'!$BC$547))</f>
      </c>
      <c r="D545" s="29">
        <f>IF(540&gt;$Z$1,"",IF('Your debts'!$D$20="Avalanche",'Avalanche workings'!$BA$547,'Snowball workings'!$BA$547))</f>
      </c>
      <c r="E545" s="29">
        <f>IF(540&gt;$Z$1,"",IF('Your debts'!$D$20="Avalanche",'Avalanche workings'!$BB$547,'Snowball workings'!$BB$547))</f>
      </c>
      <c r="F545" s="29">
        <f>IF(OR(540&gt;$Z$1,NOT(OR('Your debts'!$B$6&lt;&gt;"",N('Your debts'!$C$6)&gt;0))),"",IF('Your debts'!$D$20="Avalanche",'Avalanche workings'!$L$547,'Snowball workings'!$L$547)+IF('Your debts'!$D$20="Avalanche",'Avalanche workings'!$AF$547,'Snowball workings'!$AF$547))</f>
      </c>
      <c r="G545" s="30">
        <f>IF(OR(540&gt;$Z$1,NOT(OR('Your debts'!$B$6&lt;&gt;"",N('Your debts'!$C$6)&gt;0))),"",IF('Your debts'!$D$20="Avalanche",'Avalanche workings'!$AP$547,'Snowball workings'!$AP$547))</f>
      </c>
      <c r="H545" s="29">
        <f>IF(OR(540&gt;$Z$1,NOT(OR('Your debts'!$B$7&lt;&gt;"",N('Your debts'!$C$7)&gt;0))),"",IF('Your debts'!$D$20="Avalanche",'Avalanche workings'!$M$547,'Snowball workings'!$M$547)+IF('Your debts'!$D$20="Avalanche",'Avalanche workings'!$AG$547,'Snowball workings'!$AG$547))</f>
      </c>
      <c r="I545" s="30">
        <f>IF(OR(540&gt;$Z$1,NOT(OR('Your debts'!$B$7&lt;&gt;"",N('Your debts'!$C$7)&gt;0))),"",IF('Your debts'!$D$20="Avalanche",'Avalanche workings'!$AQ$547,'Snowball workings'!$AQ$547))</f>
      </c>
      <c r="J545" s="29">
        <f>IF(OR(540&gt;$Z$1,NOT(OR('Your debts'!$B$8&lt;&gt;"",N('Your debts'!$C$8)&gt;0))),"",IF('Your debts'!$D$20="Avalanche",'Avalanche workings'!$N$547,'Snowball workings'!$N$547)+IF('Your debts'!$D$20="Avalanche",'Avalanche workings'!$AH$547,'Snowball workings'!$AH$547))</f>
      </c>
      <c r="K545" s="30">
        <f>IF(OR(540&gt;$Z$1,NOT(OR('Your debts'!$B$8&lt;&gt;"",N('Your debts'!$C$8)&gt;0))),"",IF('Your debts'!$D$20="Avalanche",'Avalanche workings'!$AR$547,'Snowball workings'!$AR$547))</f>
      </c>
      <c r="L545" s="29">
        <f>IF(OR(540&gt;$Z$1,NOT(OR('Your debts'!$B$9&lt;&gt;"",N('Your debts'!$C$9)&gt;0))),"",IF('Your debts'!$D$20="Avalanche",'Avalanche workings'!$O$547,'Snowball workings'!$O$547)+IF('Your debts'!$D$20="Avalanche",'Avalanche workings'!$AI$547,'Snowball workings'!$AI$547))</f>
      </c>
      <c r="M545" s="30">
        <f>IF(OR(540&gt;$Z$1,NOT(OR('Your debts'!$B$9&lt;&gt;"",N('Your debts'!$C$9)&gt;0))),"",IF('Your debts'!$D$20="Avalanche",'Avalanche workings'!$AS$547,'Snowball workings'!$AS$547))</f>
      </c>
      <c r="N545" s="29">
        <f>IF(OR(540&gt;$Z$1,NOT(OR('Your debts'!$B$10&lt;&gt;"",N('Your debts'!$C$10)&gt;0))),"",IF('Your debts'!$D$20="Avalanche",'Avalanche workings'!$P$547,'Snowball workings'!$P$547)+IF('Your debts'!$D$20="Avalanche",'Avalanche workings'!$AJ$547,'Snowball workings'!$AJ$547))</f>
      </c>
      <c r="O545" s="30">
        <f>IF(OR(540&gt;$Z$1,NOT(OR('Your debts'!$B$10&lt;&gt;"",N('Your debts'!$C$10)&gt;0))),"",IF('Your debts'!$D$20="Avalanche",'Avalanche workings'!$AT$547,'Snowball workings'!$AT$547))</f>
      </c>
      <c r="P545" s="29">
        <f>IF(OR(540&gt;$Z$1,NOT(OR('Your debts'!$B$11&lt;&gt;"",N('Your debts'!$C$11)&gt;0))),"",IF('Your debts'!$D$20="Avalanche",'Avalanche workings'!$Q$547,'Snowball workings'!$Q$547)+IF('Your debts'!$D$20="Avalanche",'Avalanche workings'!$AK$547,'Snowball workings'!$AK$547))</f>
      </c>
      <c r="Q545" s="30">
        <f>IF(OR(540&gt;$Z$1,NOT(OR('Your debts'!$B$11&lt;&gt;"",N('Your debts'!$C$11)&gt;0))),"",IF('Your debts'!$D$20="Avalanche",'Avalanche workings'!$AU$547,'Snowball workings'!$AU$547))</f>
      </c>
      <c r="R545" s="29">
        <f>IF(OR(540&gt;$Z$1,NOT(OR('Your debts'!$B$12&lt;&gt;"",N('Your debts'!$C$12)&gt;0))),"",IF('Your debts'!$D$20="Avalanche",'Avalanche workings'!$R$547,'Snowball workings'!$R$547)+IF('Your debts'!$D$20="Avalanche",'Avalanche workings'!$AL$547,'Snowball workings'!$AL$547))</f>
      </c>
      <c r="S545" s="30">
        <f>IF(OR(540&gt;$Z$1,NOT(OR('Your debts'!$B$12&lt;&gt;"",N('Your debts'!$C$12)&gt;0))),"",IF('Your debts'!$D$20="Avalanche",'Avalanche workings'!$AV$547,'Snowball workings'!$AV$547))</f>
      </c>
      <c r="T545" s="29">
        <f>IF(OR(540&gt;$Z$1,NOT(OR('Your debts'!$B$13&lt;&gt;"",N('Your debts'!$C$13)&gt;0))),"",IF('Your debts'!$D$20="Avalanche",'Avalanche workings'!$S$547,'Snowball workings'!$S$547)+IF('Your debts'!$D$20="Avalanche",'Avalanche workings'!$AM$547,'Snowball workings'!$AM$547))</f>
      </c>
      <c r="U545" s="30">
        <f>IF(OR(540&gt;$Z$1,NOT(OR('Your debts'!$B$13&lt;&gt;"",N('Your debts'!$C$13)&gt;0))),"",IF('Your debts'!$D$20="Avalanche",'Avalanche workings'!$AW$547,'Snowball workings'!$AW$547))</f>
      </c>
      <c r="V545" s="29">
        <f>IF(OR(540&gt;$Z$1,NOT(OR('Your debts'!$B$14&lt;&gt;"",N('Your debts'!$C$14)&gt;0))),"",IF('Your debts'!$D$20="Avalanche",'Avalanche workings'!$T$547,'Snowball workings'!$T$547)+IF('Your debts'!$D$20="Avalanche",'Avalanche workings'!$AN$547,'Snowball workings'!$AN$547))</f>
      </c>
      <c r="W545" s="30">
        <f>IF(OR(540&gt;$Z$1,NOT(OR('Your debts'!$B$14&lt;&gt;"",N('Your debts'!$C$14)&gt;0))),"",IF('Your debts'!$D$20="Avalanche",'Avalanche workings'!$AX$547,'Snowball workings'!$AX$547))</f>
      </c>
      <c r="X545" s="29">
        <f>IF(OR(540&gt;$Z$1,NOT(OR('Your debts'!$B$15&lt;&gt;"",N('Your debts'!$C$15)&gt;0))),"",IF('Your debts'!$D$20="Avalanche",'Avalanche workings'!$U$547,'Snowball workings'!$U$547)+IF('Your debts'!$D$20="Avalanche",'Avalanche workings'!$AO$547,'Snowball workings'!$AO$547))</f>
      </c>
      <c r="Y545" s="30">
        <f>IF(OR(540&gt;$Z$1,NOT(OR('Your debts'!$B$15&lt;&gt;"",N('Your debts'!$C$15)&gt;0))),"",IF('Your debts'!$D$20="Avalanche",'Avalanche workings'!$AY$547,'Snowball workings'!$AY$547))</f>
      </c>
    </row>
    <row r="546" spans="1:25" x14ac:dyDescent="0.25">
      <c r="A546" s="2">
        <f>IF(541&gt;$Z$1,"",541)</f>
      </c>
      <c r="B546" s="28">
        <f>IF(541&gt;$Z$1,"",EDATE('Your debts'!$D$21,540))</f>
      </c>
      <c r="C546" s="29">
        <f>IF(541&gt;$Z$1,"",IF('Your debts'!$D$20="Avalanche",'Avalanche workings'!$BC$548,'Snowball workings'!$BC$548))</f>
      </c>
      <c r="D546" s="29">
        <f>IF(541&gt;$Z$1,"",IF('Your debts'!$D$20="Avalanche",'Avalanche workings'!$BA$548,'Snowball workings'!$BA$548))</f>
      </c>
      <c r="E546" s="29">
        <f>IF(541&gt;$Z$1,"",IF('Your debts'!$D$20="Avalanche",'Avalanche workings'!$BB$548,'Snowball workings'!$BB$548))</f>
      </c>
      <c r="F546" s="29">
        <f>IF(OR(541&gt;$Z$1,NOT(OR('Your debts'!$B$6&lt;&gt;"",N('Your debts'!$C$6)&gt;0))),"",IF('Your debts'!$D$20="Avalanche",'Avalanche workings'!$L$548,'Snowball workings'!$L$548)+IF('Your debts'!$D$20="Avalanche",'Avalanche workings'!$AF$548,'Snowball workings'!$AF$548))</f>
      </c>
      <c r="G546" s="30">
        <f>IF(OR(541&gt;$Z$1,NOT(OR('Your debts'!$B$6&lt;&gt;"",N('Your debts'!$C$6)&gt;0))),"",IF('Your debts'!$D$20="Avalanche",'Avalanche workings'!$AP$548,'Snowball workings'!$AP$548))</f>
      </c>
      <c r="H546" s="29">
        <f>IF(OR(541&gt;$Z$1,NOT(OR('Your debts'!$B$7&lt;&gt;"",N('Your debts'!$C$7)&gt;0))),"",IF('Your debts'!$D$20="Avalanche",'Avalanche workings'!$M$548,'Snowball workings'!$M$548)+IF('Your debts'!$D$20="Avalanche",'Avalanche workings'!$AG$548,'Snowball workings'!$AG$548))</f>
      </c>
      <c r="I546" s="30">
        <f>IF(OR(541&gt;$Z$1,NOT(OR('Your debts'!$B$7&lt;&gt;"",N('Your debts'!$C$7)&gt;0))),"",IF('Your debts'!$D$20="Avalanche",'Avalanche workings'!$AQ$548,'Snowball workings'!$AQ$548))</f>
      </c>
      <c r="J546" s="29">
        <f>IF(OR(541&gt;$Z$1,NOT(OR('Your debts'!$B$8&lt;&gt;"",N('Your debts'!$C$8)&gt;0))),"",IF('Your debts'!$D$20="Avalanche",'Avalanche workings'!$N$548,'Snowball workings'!$N$548)+IF('Your debts'!$D$20="Avalanche",'Avalanche workings'!$AH$548,'Snowball workings'!$AH$548))</f>
      </c>
      <c r="K546" s="30">
        <f>IF(OR(541&gt;$Z$1,NOT(OR('Your debts'!$B$8&lt;&gt;"",N('Your debts'!$C$8)&gt;0))),"",IF('Your debts'!$D$20="Avalanche",'Avalanche workings'!$AR$548,'Snowball workings'!$AR$548))</f>
      </c>
      <c r="L546" s="29">
        <f>IF(OR(541&gt;$Z$1,NOT(OR('Your debts'!$B$9&lt;&gt;"",N('Your debts'!$C$9)&gt;0))),"",IF('Your debts'!$D$20="Avalanche",'Avalanche workings'!$O$548,'Snowball workings'!$O$548)+IF('Your debts'!$D$20="Avalanche",'Avalanche workings'!$AI$548,'Snowball workings'!$AI$548))</f>
      </c>
      <c r="M546" s="30">
        <f>IF(OR(541&gt;$Z$1,NOT(OR('Your debts'!$B$9&lt;&gt;"",N('Your debts'!$C$9)&gt;0))),"",IF('Your debts'!$D$20="Avalanche",'Avalanche workings'!$AS$548,'Snowball workings'!$AS$548))</f>
      </c>
      <c r="N546" s="29">
        <f>IF(OR(541&gt;$Z$1,NOT(OR('Your debts'!$B$10&lt;&gt;"",N('Your debts'!$C$10)&gt;0))),"",IF('Your debts'!$D$20="Avalanche",'Avalanche workings'!$P$548,'Snowball workings'!$P$548)+IF('Your debts'!$D$20="Avalanche",'Avalanche workings'!$AJ$548,'Snowball workings'!$AJ$548))</f>
      </c>
      <c r="O546" s="30">
        <f>IF(OR(541&gt;$Z$1,NOT(OR('Your debts'!$B$10&lt;&gt;"",N('Your debts'!$C$10)&gt;0))),"",IF('Your debts'!$D$20="Avalanche",'Avalanche workings'!$AT$548,'Snowball workings'!$AT$548))</f>
      </c>
      <c r="P546" s="29">
        <f>IF(OR(541&gt;$Z$1,NOT(OR('Your debts'!$B$11&lt;&gt;"",N('Your debts'!$C$11)&gt;0))),"",IF('Your debts'!$D$20="Avalanche",'Avalanche workings'!$Q$548,'Snowball workings'!$Q$548)+IF('Your debts'!$D$20="Avalanche",'Avalanche workings'!$AK$548,'Snowball workings'!$AK$548))</f>
      </c>
      <c r="Q546" s="30">
        <f>IF(OR(541&gt;$Z$1,NOT(OR('Your debts'!$B$11&lt;&gt;"",N('Your debts'!$C$11)&gt;0))),"",IF('Your debts'!$D$20="Avalanche",'Avalanche workings'!$AU$548,'Snowball workings'!$AU$548))</f>
      </c>
      <c r="R546" s="29">
        <f>IF(OR(541&gt;$Z$1,NOT(OR('Your debts'!$B$12&lt;&gt;"",N('Your debts'!$C$12)&gt;0))),"",IF('Your debts'!$D$20="Avalanche",'Avalanche workings'!$R$548,'Snowball workings'!$R$548)+IF('Your debts'!$D$20="Avalanche",'Avalanche workings'!$AL$548,'Snowball workings'!$AL$548))</f>
      </c>
      <c r="S546" s="30">
        <f>IF(OR(541&gt;$Z$1,NOT(OR('Your debts'!$B$12&lt;&gt;"",N('Your debts'!$C$12)&gt;0))),"",IF('Your debts'!$D$20="Avalanche",'Avalanche workings'!$AV$548,'Snowball workings'!$AV$548))</f>
      </c>
      <c r="T546" s="29">
        <f>IF(OR(541&gt;$Z$1,NOT(OR('Your debts'!$B$13&lt;&gt;"",N('Your debts'!$C$13)&gt;0))),"",IF('Your debts'!$D$20="Avalanche",'Avalanche workings'!$S$548,'Snowball workings'!$S$548)+IF('Your debts'!$D$20="Avalanche",'Avalanche workings'!$AM$548,'Snowball workings'!$AM$548))</f>
      </c>
      <c r="U546" s="30">
        <f>IF(OR(541&gt;$Z$1,NOT(OR('Your debts'!$B$13&lt;&gt;"",N('Your debts'!$C$13)&gt;0))),"",IF('Your debts'!$D$20="Avalanche",'Avalanche workings'!$AW$548,'Snowball workings'!$AW$548))</f>
      </c>
      <c r="V546" s="29">
        <f>IF(OR(541&gt;$Z$1,NOT(OR('Your debts'!$B$14&lt;&gt;"",N('Your debts'!$C$14)&gt;0))),"",IF('Your debts'!$D$20="Avalanche",'Avalanche workings'!$T$548,'Snowball workings'!$T$548)+IF('Your debts'!$D$20="Avalanche",'Avalanche workings'!$AN$548,'Snowball workings'!$AN$548))</f>
      </c>
      <c r="W546" s="30">
        <f>IF(OR(541&gt;$Z$1,NOT(OR('Your debts'!$B$14&lt;&gt;"",N('Your debts'!$C$14)&gt;0))),"",IF('Your debts'!$D$20="Avalanche",'Avalanche workings'!$AX$548,'Snowball workings'!$AX$548))</f>
      </c>
      <c r="X546" s="29">
        <f>IF(OR(541&gt;$Z$1,NOT(OR('Your debts'!$B$15&lt;&gt;"",N('Your debts'!$C$15)&gt;0))),"",IF('Your debts'!$D$20="Avalanche",'Avalanche workings'!$U$548,'Snowball workings'!$U$548)+IF('Your debts'!$D$20="Avalanche",'Avalanche workings'!$AO$548,'Snowball workings'!$AO$548))</f>
      </c>
      <c r="Y546" s="30">
        <f>IF(OR(541&gt;$Z$1,NOT(OR('Your debts'!$B$15&lt;&gt;"",N('Your debts'!$C$15)&gt;0))),"",IF('Your debts'!$D$20="Avalanche",'Avalanche workings'!$AY$548,'Snowball workings'!$AY$548))</f>
      </c>
    </row>
    <row r="547" spans="1:25" x14ac:dyDescent="0.25">
      <c r="A547" s="2">
        <f>IF(542&gt;$Z$1,"",542)</f>
      </c>
      <c r="B547" s="28">
        <f>IF(542&gt;$Z$1,"",EDATE('Your debts'!$D$21,541))</f>
      </c>
      <c r="C547" s="29">
        <f>IF(542&gt;$Z$1,"",IF('Your debts'!$D$20="Avalanche",'Avalanche workings'!$BC$549,'Snowball workings'!$BC$549))</f>
      </c>
      <c r="D547" s="29">
        <f>IF(542&gt;$Z$1,"",IF('Your debts'!$D$20="Avalanche",'Avalanche workings'!$BA$549,'Snowball workings'!$BA$549))</f>
      </c>
      <c r="E547" s="29">
        <f>IF(542&gt;$Z$1,"",IF('Your debts'!$D$20="Avalanche",'Avalanche workings'!$BB$549,'Snowball workings'!$BB$549))</f>
      </c>
      <c r="F547" s="29">
        <f>IF(OR(542&gt;$Z$1,NOT(OR('Your debts'!$B$6&lt;&gt;"",N('Your debts'!$C$6)&gt;0))),"",IF('Your debts'!$D$20="Avalanche",'Avalanche workings'!$L$549,'Snowball workings'!$L$549)+IF('Your debts'!$D$20="Avalanche",'Avalanche workings'!$AF$549,'Snowball workings'!$AF$549))</f>
      </c>
      <c r="G547" s="30">
        <f>IF(OR(542&gt;$Z$1,NOT(OR('Your debts'!$B$6&lt;&gt;"",N('Your debts'!$C$6)&gt;0))),"",IF('Your debts'!$D$20="Avalanche",'Avalanche workings'!$AP$549,'Snowball workings'!$AP$549))</f>
      </c>
      <c r="H547" s="29">
        <f>IF(OR(542&gt;$Z$1,NOT(OR('Your debts'!$B$7&lt;&gt;"",N('Your debts'!$C$7)&gt;0))),"",IF('Your debts'!$D$20="Avalanche",'Avalanche workings'!$M$549,'Snowball workings'!$M$549)+IF('Your debts'!$D$20="Avalanche",'Avalanche workings'!$AG$549,'Snowball workings'!$AG$549))</f>
      </c>
      <c r="I547" s="30">
        <f>IF(OR(542&gt;$Z$1,NOT(OR('Your debts'!$B$7&lt;&gt;"",N('Your debts'!$C$7)&gt;0))),"",IF('Your debts'!$D$20="Avalanche",'Avalanche workings'!$AQ$549,'Snowball workings'!$AQ$549))</f>
      </c>
      <c r="J547" s="29">
        <f>IF(OR(542&gt;$Z$1,NOT(OR('Your debts'!$B$8&lt;&gt;"",N('Your debts'!$C$8)&gt;0))),"",IF('Your debts'!$D$20="Avalanche",'Avalanche workings'!$N$549,'Snowball workings'!$N$549)+IF('Your debts'!$D$20="Avalanche",'Avalanche workings'!$AH$549,'Snowball workings'!$AH$549))</f>
      </c>
      <c r="K547" s="30">
        <f>IF(OR(542&gt;$Z$1,NOT(OR('Your debts'!$B$8&lt;&gt;"",N('Your debts'!$C$8)&gt;0))),"",IF('Your debts'!$D$20="Avalanche",'Avalanche workings'!$AR$549,'Snowball workings'!$AR$549))</f>
      </c>
      <c r="L547" s="29">
        <f>IF(OR(542&gt;$Z$1,NOT(OR('Your debts'!$B$9&lt;&gt;"",N('Your debts'!$C$9)&gt;0))),"",IF('Your debts'!$D$20="Avalanche",'Avalanche workings'!$O$549,'Snowball workings'!$O$549)+IF('Your debts'!$D$20="Avalanche",'Avalanche workings'!$AI$549,'Snowball workings'!$AI$549))</f>
      </c>
      <c r="M547" s="30">
        <f>IF(OR(542&gt;$Z$1,NOT(OR('Your debts'!$B$9&lt;&gt;"",N('Your debts'!$C$9)&gt;0))),"",IF('Your debts'!$D$20="Avalanche",'Avalanche workings'!$AS$549,'Snowball workings'!$AS$549))</f>
      </c>
      <c r="N547" s="29">
        <f>IF(OR(542&gt;$Z$1,NOT(OR('Your debts'!$B$10&lt;&gt;"",N('Your debts'!$C$10)&gt;0))),"",IF('Your debts'!$D$20="Avalanche",'Avalanche workings'!$P$549,'Snowball workings'!$P$549)+IF('Your debts'!$D$20="Avalanche",'Avalanche workings'!$AJ$549,'Snowball workings'!$AJ$549))</f>
      </c>
      <c r="O547" s="30">
        <f>IF(OR(542&gt;$Z$1,NOT(OR('Your debts'!$B$10&lt;&gt;"",N('Your debts'!$C$10)&gt;0))),"",IF('Your debts'!$D$20="Avalanche",'Avalanche workings'!$AT$549,'Snowball workings'!$AT$549))</f>
      </c>
      <c r="P547" s="29">
        <f>IF(OR(542&gt;$Z$1,NOT(OR('Your debts'!$B$11&lt;&gt;"",N('Your debts'!$C$11)&gt;0))),"",IF('Your debts'!$D$20="Avalanche",'Avalanche workings'!$Q$549,'Snowball workings'!$Q$549)+IF('Your debts'!$D$20="Avalanche",'Avalanche workings'!$AK$549,'Snowball workings'!$AK$549))</f>
      </c>
      <c r="Q547" s="30">
        <f>IF(OR(542&gt;$Z$1,NOT(OR('Your debts'!$B$11&lt;&gt;"",N('Your debts'!$C$11)&gt;0))),"",IF('Your debts'!$D$20="Avalanche",'Avalanche workings'!$AU$549,'Snowball workings'!$AU$549))</f>
      </c>
      <c r="R547" s="29">
        <f>IF(OR(542&gt;$Z$1,NOT(OR('Your debts'!$B$12&lt;&gt;"",N('Your debts'!$C$12)&gt;0))),"",IF('Your debts'!$D$20="Avalanche",'Avalanche workings'!$R$549,'Snowball workings'!$R$549)+IF('Your debts'!$D$20="Avalanche",'Avalanche workings'!$AL$549,'Snowball workings'!$AL$549))</f>
      </c>
      <c r="S547" s="30">
        <f>IF(OR(542&gt;$Z$1,NOT(OR('Your debts'!$B$12&lt;&gt;"",N('Your debts'!$C$12)&gt;0))),"",IF('Your debts'!$D$20="Avalanche",'Avalanche workings'!$AV$549,'Snowball workings'!$AV$549))</f>
      </c>
      <c r="T547" s="29">
        <f>IF(OR(542&gt;$Z$1,NOT(OR('Your debts'!$B$13&lt;&gt;"",N('Your debts'!$C$13)&gt;0))),"",IF('Your debts'!$D$20="Avalanche",'Avalanche workings'!$S$549,'Snowball workings'!$S$549)+IF('Your debts'!$D$20="Avalanche",'Avalanche workings'!$AM$549,'Snowball workings'!$AM$549))</f>
      </c>
      <c r="U547" s="30">
        <f>IF(OR(542&gt;$Z$1,NOT(OR('Your debts'!$B$13&lt;&gt;"",N('Your debts'!$C$13)&gt;0))),"",IF('Your debts'!$D$20="Avalanche",'Avalanche workings'!$AW$549,'Snowball workings'!$AW$549))</f>
      </c>
      <c r="V547" s="29">
        <f>IF(OR(542&gt;$Z$1,NOT(OR('Your debts'!$B$14&lt;&gt;"",N('Your debts'!$C$14)&gt;0))),"",IF('Your debts'!$D$20="Avalanche",'Avalanche workings'!$T$549,'Snowball workings'!$T$549)+IF('Your debts'!$D$20="Avalanche",'Avalanche workings'!$AN$549,'Snowball workings'!$AN$549))</f>
      </c>
      <c r="W547" s="30">
        <f>IF(OR(542&gt;$Z$1,NOT(OR('Your debts'!$B$14&lt;&gt;"",N('Your debts'!$C$14)&gt;0))),"",IF('Your debts'!$D$20="Avalanche",'Avalanche workings'!$AX$549,'Snowball workings'!$AX$549))</f>
      </c>
      <c r="X547" s="29">
        <f>IF(OR(542&gt;$Z$1,NOT(OR('Your debts'!$B$15&lt;&gt;"",N('Your debts'!$C$15)&gt;0))),"",IF('Your debts'!$D$20="Avalanche",'Avalanche workings'!$U$549,'Snowball workings'!$U$549)+IF('Your debts'!$D$20="Avalanche",'Avalanche workings'!$AO$549,'Snowball workings'!$AO$549))</f>
      </c>
      <c r="Y547" s="30">
        <f>IF(OR(542&gt;$Z$1,NOT(OR('Your debts'!$B$15&lt;&gt;"",N('Your debts'!$C$15)&gt;0))),"",IF('Your debts'!$D$20="Avalanche",'Avalanche workings'!$AY$549,'Snowball workings'!$AY$549))</f>
      </c>
    </row>
    <row r="548" spans="1:25" x14ac:dyDescent="0.25">
      <c r="A548" s="2">
        <f>IF(543&gt;$Z$1,"",543)</f>
      </c>
      <c r="B548" s="28">
        <f>IF(543&gt;$Z$1,"",EDATE('Your debts'!$D$21,542))</f>
      </c>
      <c r="C548" s="29">
        <f>IF(543&gt;$Z$1,"",IF('Your debts'!$D$20="Avalanche",'Avalanche workings'!$BC$550,'Snowball workings'!$BC$550))</f>
      </c>
      <c r="D548" s="29">
        <f>IF(543&gt;$Z$1,"",IF('Your debts'!$D$20="Avalanche",'Avalanche workings'!$BA$550,'Snowball workings'!$BA$550))</f>
      </c>
      <c r="E548" s="29">
        <f>IF(543&gt;$Z$1,"",IF('Your debts'!$D$20="Avalanche",'Avalanche workings'!$BB$550,'Snowball workings'!$BB$550))</f>
      </c>
      <c r="F548" s="29">
        <f>IF(OR(543&gt;$Z$1,NOT(OR('Your debts'!$B$6&lt;&gt;"",N('Your debts'!$C$6)&gt;0))),"",IF('Your debts'!$D$20="Avalanche",'Avalanche workings'!$L$550,'Snowball workings'!$L$550)+IF('Your debts'!$D$20="Avalanche",'Avalanche workings'!$AF$550,'Snowball workings'!$AF$550))</f>
      </c>
      <c r="G548" s="30">
        <f>IF(OR(543&gt;$Z$1,NOT(OR('Your debts'!$B$6&lt;&gt;"",N('Your debts'!$C$6)&gt;0))),"",IF('Your debts'!$D$20="Avalanche",'Avalanche workings'!$AP$550,'Snowball workings'!$AP$550))</f>
      </c>
      <c r="H548" s="29">
        <f>IF(OR(543&gt;$Z$1,NOT(OR('Your debts'!$B$7&lt;&gt;"",N('Your debts'!$C$7)&gt;0))),"",IF('Your debts'!$D$20="Avalanche",'Avalanche workings'!$M$550,'Snowball workings'!$M$550)+IF('Your debts'!$D$20="Avalanche",'Avalanche workings'!$AG$550,'Snowball workings'!$AG$550))</f>
      </c>
      <c r="I548" s="30">
        <f>IF(OR(543&gt;$Z$1,NOT(OR('Your debts'!$B$7&lt;&gt;"",N('Your debts'!$C$7)&gt;0))),"",IF('Your debts'!$D$20="Avalanche",'Avalanche workings'!$AQ$550,'Snowball workings'!$AQ$550))</f>
      </c>
      <c r="J548" s="29">
        <f>IF(OR(543&gt;$Z$1,NOT(OR('Your debts'!$B$8&lt;&gt;"",N('Your debts'!$C$8)&gt;0))),"",IF('Your debts'!$D$20="Avalanche",'Avalanche workings'!$N$550,'Snowball workings'!$N$550)+IF('Your debts'!$D$20="Avalanche",'Avalanche workings'!$AH$550,'Snowball workings'!$AH$550))</f>
      </c>
      <c r="K548" s="30">
        <f>IF(OR(543&gt;$Z$1,NOT(OR('Your debts'!$B$8&lt;&gt;"",N('Your debts'!$C$8)&gt;0))),"",IF('Your debts'!$D$20="Avalanche",'Avalanche workings'!$AR$550,'Snowball workings'!$AR$550))</f>
      </c>
      <c r="L548" s="29">
        <f>IF(OR(543&gt;$Z$1,NOT(OR('Your debts'!$B$9&lt;&gt;"",N('Your debts'!$C$9)&gt;0))),"",IF('Your debts'!$D$20="Avalanche",'Avalanche workings'!$O$550,'Snowball workings'!$O$550)+IF('Your debts'!$D$20="Avalanche",'Avalanche workings'!$AI$550,'Snowball workings'!$AI$550))</f>
      </c>
      <c r="M548" s="30">
        <f>IF(OR(543&gt;$Z$1,NOT(OR('Your debts'!$B$9&lt;&gt;"",N('Your debts'!$C$9)&gt;0))),"",IF('Your debts'!$D$20="Avalanche",'Avalanche workings'!$AS$550,'Snowball workings'!$AS$550))</f>
      </c>
      <c r="N548" s="29">
        <f>IF(OR(543&gt;$Z$1,NOT(OR('Your debts'!$B$10&lt;&gt;"",N('Your debts'!$C$10)&gt;0))),"",IF('Your debts'!$D$20="Avalanche",'Avalanche workings'!$P$550,'Snowball workings'!$P$550)+IF('Your debts'!$D$20="Avalanche",'Avalanche workings'!$AJ$550,'Snowball workings'!$AJ$550))</f>
      </c>
      <c r="O548" s="30">
        <f>IF(OR(543&gt;$Z$1,NOT(OR('Your debts'!$B$10&lt;&gt;"",N('Your debts'!$C$10)&gt;0))),"",IF('Your debts'!$D$20="Avalanche",'Avalanche workings'!$AT$550,'Snowball workings'!$AT$550))</f>
      </c>
      <c r="P548" s="29">
        <f>IF(OR(543&gt;$Z$1,NOT(OR('Your debts'!$B$11&lt;&gt;"",N('Your debts'!$C$11)&gt;0))),"",IF('Your debts'!$D$20="Avalanche",'Avalanche workings'!$Q$550,'Snowball workings'!$Q$550)+IF('Your debts'!$D$20="Avalanche",'Avalanche workings'!$AK$550,'Snowball workings'!$AK$550))</f>
      </c>
      <c r="Q548" s="30">
        <f>IF(OR(543&gt;$Z$1,NOT(OR('Your debts'!$B$11&lt;&gt;"",N('Your debts'!$C$11)&gt;0))),"",IF('Your debts'!$D$20="Avalanche",'Avalanche workings'!$AU$550,'Snowball workings'!$AU$550))</f>
      </c>
      <c r="R548" s="29">
        <f>IF(OR(543&gt;$Z$1,NOT(OR('Your debts'!$B$12&lt;&gt;"",N('Your debts'!$C$12)&gt;0))),"",IF('Your debts'!$D$20="Avalanche",'Avalanche workings'!$R$550,'Snowball workings'!$R$550)+IF('Your debts'!$D$20="Avalanche",'Avalanche workings'!$AL$550,'Snowball workings'!$AL$550))</f>
      </c>
      <c r="S548" s="30">
        <f>IF(OR(543&gt;$Z$1,NOT(OR('Your debts'!$B$12&lt;&gt;"",N('Your debts'!$C$12)&gt;0))),"",IF('Your debts'!$D$20="Avalanche",'Avalanche workings'!$AV$550,'Snowball workings'!$AV$550))</f>
      </c>
      <c r="T548" s="29">
        <f>IF(OR(543&gt;$Z$1,NOT(OR('Your debts'!$B$13&lt;&gt;"",N('Your debts'!$C$13)&gt;0))),"",IF('Your debts'!$D$20="Avalanche",'Avalanche workings'!$S$550,'Snowball workings'!$S$550)+IF('Your debts'!$D$20="Avalanche",'Avalanche workings'!$AM$550,'Snowball workings'!$AM$550))</f>
      </c>
      <c r="U548" s="30">
        <f>IF(OR(543&gt;$Z$1,NOT(OR('Your debts'!$B$13&lt;&gt;"",N('Your debts'!$C$13)&gt;0))),"",IF('Your debts'!$D$20="Avalanche",'Avalanche workings'!$AW$550,'Snowball workings'!$AW$550))</f>
      </c>
      <c r="V548" s="29">
        <f>IF(OR(543&gt;$Z$1,NOT(OR('Your debts'!$B$14&lt;&gt;"",N('Your debts'!$C$14)&gt;0))),"",IF('Your debts'!$D$20="Avalanche",'Avalanche workings'!$T$550,'Snowball workings'!$T$550)+IF('Your debts'!$D$20="Avalanche",'Avalanche workings'!$AN$550,'Snowball workings'!$AN$550))</f>
      </c>
      <c r="W548" s="30">
        <f>IF(OR(543&gt;$Z$1,NOT(OR('Your debts'!$B$14&lt;&gt;"",N('Your debts'!$C$14)&gt;0))),"",IF('Your debts'!$D$20="Avalanche",'Avalanche workings'!$AX$550,'Snowball workings'!$AX$550))</f>
      </c>
      <c r="X548" s="29">
        <f>IF(OR(543&gt;$Z$1,NOT(OR('Your debts'!$B$15&lt;&gt;"",N('Your debts'!$C$15)&gt;0))),"",IF('Your debts'!$D$20="Avalanche",'Avalanche workings'!$U$550,'Snowball workings'!$U$550)+IF('Your debts'!$D$20="Avalanche",'Avalanche workings'!$AO$550,'Snowball workings'!$AO$550))</f>
      </c>
      <c r="Y548" s="30">
        <f>IF(OR(543&gt;$Z$1,NOT(OR('Your debts'!$B$15&lt;&gt;"",N('Your debts'!$C$15)&gt;0))),"",IF('Your debts'!$D$20="Avalanche",'Avalanche workings'!$AY$550,'Snowball workings'!$AY$550))</f>
      </c>
    </row>
    <row r="549" spans="1:25" x14ac:dyDescent="0.25">
      <c r="A549" s="2">
        <f>IF(544&gt;$Z$1,"",544)</f>
      </c>
      <c r="B549" s="28">
        <f>IF(544&gt;$Z$1,"",EDATE('Your debts'!$D$21,543))</f>
      </c>
      <c r="C549" s="29">
        <f>IF(544&gt;$Z$1,"",IF('Your debts'!$D$20="Avalanche",'Avalanche workings'!$BC$551,'Snowball workings'!$BC$551))</f>
      </c>
      <c r="D549" s="29">
        <f>IF(544&gt;$Z$1,"",IF('Your debts'!$D$20="Avalanche",'Avalanche workings'!$BA$551,'Snowball workings'!$BA$551))</f>
      </c>
      <c r="E549" s="29">
        <f>IF(544&gt;$Z$1,"",IF('Your debts'!$D$20="Avalanche",'Avalanche workings'!$BB$551,'Snowball workings'!$BB$551))</f>
      </c>
      <c r="F549" s="29">
        <f>IF(OR(544&gt;$Z$1,NOT(OR('Your debts'!$B$6&lt;&gt;"",N('Your debts'!$C$6)&gt;0))),"",IF('Your debts'!$D$20="Avalanche",'Avalanche workings'!$L$551,'Snowball workings'!$L$551)+IF('Your debts'!$D$20="Avalanche",'Avalanche workings'!$AF$551,'Snowball workings'!$AF$551))</f>
      </c>
      <c r="G549" s="30">
        <f>IF(OR(544&gt;$Z$1,NOT(OR('Your debts'!$B$6&lt;&gt;"",N('Your debts'!$C$6)&gt;0))),"",IF('Your debts'!$D$20="Avalanche",'Avalanche workings'!$AP$551,'Snowball workings'!$AP$551))</f>
      </c>
      <c r="H549" s="29">
        <f>IF(OR(544&gt;$Z$1,NOT(OR('Your debts'!$B$7&lt;&gt;"",N('Your debts'!$C$7)&gt;0))),"",IF('Your debts'!$D$20="Avalanche",'Avalanche workings'!$M$551,'Snowball workings'!$M$551)+IF('Your debts'!$D$20="Avalanche",'Avalanche workings'!$AG$551,'Snowball workings'!$AG$551))</f>
      </c>
      <c r="I549" s="30">
        <f>IF(OR(544&gt;$Z$1,NOT(OR('Your debts'!$B$7&lt;&gt;"",N('Your debts'!$C$7)&gt;0))),"",IF('Your debts'!$D$20="Avalanche",'Avalanche workings'!$AQ$551,'Snowball workings'!$AQ$551))</f>
      </c>
      <c r="J549" s="29">
        <f>IF(OR(544&gt;$Z$1,NOT(OR('Your debts'!$B$8&lt;&gt;"",N('Your debts'!$C$8)&gt;0))),"",IF('Your debts'!$D$20="Avalanche",'Avalanche workings'!$N$551,'Snowball workings'!$N$551)+IF('Your debts'!$D$20="Avalanche",'Avalanche workings'!$AH$551,'Snowball workings'!$AH$551))</f>
      </c>
      <c r="K549" s="30">
        <f>IF(OR(544&gt;$Z$1,NOT(OR('Your debts'!$B$8&lt;&gt;"",N('Your debts'!$C$8)&gt;0))),"",IF('Your debts'!$D$20="Avalanche",'Avalanche workings'!$AR$551,'Snowball workings'!$AR$551))</f>
      </c>
      <c r="L549" s="29">
        <f>IF(OR(544&gt;$Z$1,NOT(OR('Your debts'!$B$9&lt;&gt;"",N('Your debts'!$C$9)&gt;0))),"",IF('Your debts'!$D$20="Avalanche",'Avalanche workings'!$O$551,'Snowball workings'!$O$551)+IF('Your debts'!$D$20="Avalanche",'Avalanche workings'!$AI$551,'Snowball workings'!$AI$551))</f>
      </c>
      <c r="M549" s="30">
        <f>IF(OR(544&gt;$Z$1,NOT(OR('Your debts'!$B$9&lt;&gt;"",N('Your debts'!$C$9)&gt;0))),"",IF('Your debts'!$D$20="Avalanche",'Avalanche workings'!$AS$551,'Snowball workings'!$AS$551))</f>
      </c>
      <c r="N549" s="29">
        <f>IF(OR(544&gt;$Z$1,NOT(OR('Your debts'!$B$10&lt;&gt;"",N('Your debts'!$C$10)&gt;0))),"",IF('Your debts'!$D$20="Avalanche",'Avalanche workings'!$P$551,'Snowball workings'!$P$551)+IF('Your debts'!$D$20="Avalanche",'Avalanche workings'!$AJ$551,'Snowball workings'!$AJ$551))</f>
      </c>
      <c r="O549" s="30">
        <f>IF(OR(544&gt;$Z$1,NOT(OR('Your debts'!$B$10&lt;&gt;"",N('Your debts'!$C$10)&gt;0))),"",IF('Your debts'!$D$20="Avalanche",'Avalanche workings'!$AT$551,'Snowball workings'!$AT$551))</f>
      </c>
      <c r="P549" s="29">
        <f>IF(OR(544&gt;$Z$1,NOT(OR('Your debts'!$B$11&lt;&gt;"",N('Your debts'!$C$11)&gt;0))),"",IF('Your debts'!$D$20="Avalanche",'Avalanche workings'!$Q$551,'Snowball workings'!$Q$551)+IF('Your debts'!$D$20="Avalanche",'Avalanche workings'!$AK$551,'Snowball workings'!$AK$551))</f>
      </c>
      <c r="Q549" s="30">
        <f>IF(OR(544&gt;$Z$1,NOT(OR('Your debts'!$B$11&lt;&gt;"",N('Your debts'!$C$11)&gt;0))),"",IF('Your debts'!$D$20="Avalanche",'Avalanche workings'!$AU$551,'Snowball workings'!$AU$551))</f>
      </c>
      <c r="R549" s="29">
        <f>IF(OR(544&gt;$Z$1,NOT(OR('Your debts'!$B$12&lt;&gt;"",N('Your debts'!$C$12)&gt;0))),"",IF('Your debts'!$D$20="Avalanche",'Avalanche workings'!$R$551,'Snowball workings'!$R$551)+IF('Your debts'!$D$20="Avalanche",'Avalanche workings'!$AL$551,'Snowball workings'!$AL$551))</f>
      </c>
      <c r="S549" s="30">
        <f>IF(OR(544&gt;$Z$1,NOT(OR('Your debts'!$B$12&lt;&gt;"",N('Your debts'!$C$12)&gt;0))),"",IF('Your debts'!$D$20="Avalanche",'Avalanche workings'!$AV$551,'Snowball workings'!$AV$551))</f>
      </c>
      <c r="T549" s="29">
        <f>IF(OR(544&gt;$Z$1,NOT(OR('Your debts'!$B$13&lt;&gt;"",N('Your debts'!$C$13)&gt;0))),"",IF('Your debts'!$D$20="Avalanche",'Avalanche workings'!$S$551,'Snowball workings'!$S$551)+IF('Your debts'!$D$20="Avalanche",'Avalanche workings'!$AM$551,'Snowball workings'!$AM$551))</f>
      </c>
      <c r="U549" s="30">
        <f>IF(OR(544&gt;$Z$1,NOT(OR('Your debts'!$B$13&lt;&gt;"",N('Your debts'!$C$13)&gt;0))),"",IF('Your debts'!$D$20="Avalanche",'Avalanche workings'!$AW$551,'Snowball workings'!$AW$551))</f>
      </c>
      <c r="V549" s="29">
        <f>IF(OR(544&gt;$Z$1,NOT(OR('Your debts'!$B$14&lt;&gt;"",N('Your debts'!$C$14)&gt;0))),"",IF('Your debts'!$D$20="Avalanche",'Avalanche workings'!$T$551,'Snowball workings'!$T$551)+IF('Your debts'!$D$20="Avalanche",'Avalanche workings'!$AN$551,'Snowball workings'!$AN$551))</f>
      </c>
      <c r="W549" s="30">
        <f>IF(OR(544&gt;$Z$1,NOT(OR('Your debts'!$B$14&lt;&gt;"",N('Your debts'!$C$14)&gt;0))),"",IF('Your debts'!$D$20="Avalanche",'Avalanche workings'!$AX$551,'Snowball workings'!$AX$551))</f>
      </c>
      <c r="X549" s="29">
        <f>IF(OR(544&gt;$Z$1,NOT(OR('Your debts'!$B$15&lt;&gt;"",N('Your debts'!$C$15)&gt;0))),"",IF('Your debts'!$D$20="Avalanche",'Avalanche workings'!$U$551,'Snowball workings'!$U$551)+IF('Your debts'!$D$20="Avalanche",'Avalanche workings'!$AO$551,'Snowball workings'!$AO$551))</f>
      </c>
      <c r="Y549" s="30">
        <f>IF(OR(544&gt;$Z$1,NOT(OR('Your debts'!$B$15&lt;&gt;"",N('Your debts'!$C$15)&gt;0))),"",IF('Your debts'!$D$20="Avalanche",'Avalanche workings'!$AY$551,'Snowball workings'!$AY$551))</f>
      </c>
    </row>
    <row r="550" spans="1:25" x14ac:dyDescent="0.25">
      <c r="A550" s="2">
        <f>IF(545&gt;$Z$1,"",545)</f>
      </c>
      <c r="B550" s="28">
        <f>IF(545&gt;$Z$1,"",EDATE('Your debts'!$D$21,544))</f>
      </c>
      <c r="C550" s="29">
        <f>IF(545&gt;$Z$1,"",IF('Your debts'!$D$20="Avalanche",'Avalanche workings'!$BC$552,'Snowball workings'!$BC$552))</f>
      </c>
      <c r="D550" s="29">
        <f>IF(545&gt;$Z$1,"",IF('Your debts'!$D$20="Avalanche",'Avalanche workings'!$BA$552,'Snowball workings'!$BA$552))</f>
      </c>
      <c r="E550" s="29">
        <f>IF(545&gt;$Z$1,"",IF('Your debts'!$D$20="Avalanche",'Avalanche workings'!$BB$552,'Snowball workings'!$BB$552))</f>
      </c>
      <c r="F550" s="29">
        <f>IF(OR(545&gt;$Z$1,NOT(OR('Your debts'!$B$6&lt;&gt;"",N('Your debts'!$C$6)&gt;0))),"",IF('Your debts'!$D$20="Avalanche",'Avalanche workings'!$L$552,'Snowball workings'!$L$552)+IF('Your debts'!$D$20="Avalanche",'Avalanche workings'!$AF$552,'Snowball workings'!$AF$552))</f>
      </c>
      <c r="G550" s="30">
        <f>IF(OR(545&gt;$Z$1,NOT(OR('Your debts'!$B$6&lt;&gt;"",N('Your debts'!$C$6)&gt;0))),"",IF('Your debts'!$D$20="Avalanche",'Avalanche workings'!$AP$552,'Snowball workings'!$AP$552))</f>
      </c>
      <c r="H550" s="29">
        <f>IF(OR(545&gt;$Z$1,NOT(OR('Your debts'!$B$7&lt;&gt;"",N('Your debts'!$C$7)&gt;0))),"",IF('Your debts'!$D$20="Avalanche",'Avalanche workings'!$M$552,'Snowball workings'!$M$552)+IF('Your debts'!$D$20="Avalanche",'Avalanche workings'!$AG$552,'Snowball workings'!$AG$552))</f>
      </c>
      <c r="I550" s="30">
        <f>IF(OR(545&gt;$Z$1,NOT(OR('Your debts'!$B$7&lt;&gt;"",N('Your debts'!$C$7)&gt;0))),"",IF('Your debts'!$D$20="Avalanche",'Avalanche workings'!$AQ$552,'Snowball workings'!$AQ$552))</f>
      </c>
      <c r="J550" s="29">
        <f>IF(OR(545&gt;$Z$1,NOT(OR('Your debts'!$B$8&lt;&gt;"",N('Your debts'!$C$8)&gt;0))),"",IF('Your debts'!$D$20="Avalanche",'Avalanche workings'!$N$552,'Snowball workings'!$N$552)+IF('Your debts'!$D$20="Avalanche",'Avalanche workings'!$AH$552,'Snowball workings'!$AH$552))</f>
      </c>
      <c r="K550" s="30">
        <f>IF(OR(545&gt;$Z$1,NOT(OR('Your debts'!$B$8&lt;&gt;"",N('Your debts'!$C$8)&gt;0))),"",IF('Your debts'!$D$20="Avalanche",'Avalanche workings'!$AR$552,'Snowball workings'!$AR$552))</f>
      </c>
      <c r="L550" s="29">
        <f>IF(OR(545&gt;$Z$1,NOT(OR('Your debts'!$B$9&lt;&gt;"",N('Your debts'!$C$9)&gt;0))),"",IF('Your debts'!$D$20="Avalanche",'Avalanche workings'!$O$552,'Snowball workings'!$O$552)+IF('Your debts'!$D$20="Avalanche",'Avalanche workings'!$AI$552,'Snowball workings'!$AI$552))</f>
      </c>
      <c r="M550" s="30">
        <f>IF(OR(545&gt;$Z$1,NOT(OR('Your debts'!$B$9&lt;&gt;"",N('Your debts'!$C$9)&gt;0))),"",IF('Your debts'!$D$20="Avalanche",'Avalanche workings'!$AS$552,'Snowball workings'!$AS$552))</f>
      </c>
      <c r="N550" s="29">
        <f>IF(OR(545&gt;$Z$1,NOT(OR('Your debts'!$B$10&lt;&gt;"",N('Your debts'!$C$10)&gt;0))),"",IF('Your debts'!$D$20="Avalanche",'Avalanche workings'!$P$552,'Snowball workings'!$P$552)+IF('Your debts'!$D$20="Avalanche",'Avalanche workings'!$AJ$552,'Snowball workings'!$AJ$552))</f>
      </c>
      <c r="O550" s="30">
        <f>IF(OR(545&gt;$Z$1,NOT(OR('Your debts'!$B$10&lt;&gt;"",N('Your debts'!$C$10)&gt;0))),"",IF('Your debts'!$D$20="Avalanche",'Avalanche workings'!$AT$552,'Snowball workings'!$AT$552))</f>
      </c>
      <c r="P550" s="29">
        <f>IF(OR(545&gt;$Z$1,NOT(OR('Your debts'!$B$11&lt;&gt;"",N('Your debts'!$C$11)&gt;0))),"",IF('Your debts'!$D$20="Avalanche",'Avalanche workings'!$Q$552,'Snowball workings'!$Q$552)+IF('Your debts'!$D$20="Avalanche",'Avalanche workings'!$AK$552,'Snowball workings'!$AK$552))</f>
      </c>
      <c r="Q550" s="30">
        <f>IF(OR(545&gt;$Z$1,NOT(OR('Your debts'!$B$11&lt;&gt;"",N('Your debts'!$C$11)&gt;0))),"",IF('Your debts'!$D$20="Avalanche",'Avalanche workings'!$AU$552,'Snowball workings'!$AU$552))</f>
      </c>
      <c r="R550" s="29">
        <f>IF(OR(545&gt;$Z$1,NOT(OR('Your debts'!$B$12&lt;&gt;"",N('Your debts'!$C$12)&gt;0))),"",IF('Your debts'!$D$20="Avalanche",'Avalanche workings'!$R$552,'Snowball workings'!$R$552)+IF('Your debts'!$D$20="Avalanche",'Avalanche workings'!$AL$552,'Snowball workings'!$AL$552))</f>
      </c>
      <c r="S550" s="30">
        <f>IF(OR(545&gt;$Z$1,NOT(OR('Your debts'!$B$12&lt;&gt;"",N('Your debts'!$C$12)&gt;0))),"",IF('Your debts'!$D$20="Avalanche",'Avalanche workings'!$AV$552,'Snowball workings'!$AV$552))</f>
      </c>
      <c r="T550" s="29">
        <f>IF(OR(545&gt;$Z$1,NOT(OR('Your debts'!$B$13&lt;&gt;"",N('Your debts'!$C$13)&gt;0))),"",IF('Your debts'!$D$20="Avalanche",'Avalanche workings'!$S$552,'Snowball workings'!$S$552)+IF('Your debts'!$D$20="Avalanche",'Avalanche workings'!$AM$552,'Snowball workings'!$AM$552))</f>
      </c>
      <c r="U550" s="30">
        <f>IF(OR(545&gt;$Z$1,NOT(OR('Your debts'!$B$13&lt;&gt;"",N('Your debts'!$C$13)&gt;0))),"",IF('Your debts'!$D$20="Avalanche",'Avalanche workings'!$AW$552,'Snowball workings'!$AW$552))</f>
      </c>
      <c r="V550" s="29">
        <f>IF(OR(545&gt;$Z$1,NOT(OR('Your debts'!$B$14&lt;&gt;"",N('Your debts'!$C$14)&gt;0))),"",IF('Your debts'!$D$20="Avalanche",'Avalanche workings'!$T$552,'Snowball workings'!$T$552)+IF('Your debts'!$D$20="Avalanche",'Avalanche workings'!$AN$552,'Snowball workings'!$AN$552))</f>
      </c>
      <c r="W550" s="30">
        <f>IF(OR(545&gt;$Z$1,NOT(OR('Your debts'!$B$14&lt;&gt;"",N('Your debts'!$C$14)&gt;0))),"",IF('Your debts'!$D$20="Avalanche",'Avalanche workings'!$AX$552,'Snowball workings'!$AX$552))</f>
      </c>
      <c r="X550" s="29">
        <f>IF(OR(545&gt;$Z$1,NOT(OR('Your debts'!$B$15&lt;&gt;"",N('Your debts'!$C$15)&gt;0))),"",IF('Your debts'!$D$20="Avalanche",'Avalanche workings'!$U$552,'Snowball workings'!$U$552)+IF('Your debts'!$D$20="Avalanche",'Avalanche workings'!$AO$552,'Snowball workings'!$AO$552))</f>
      </c>
      <c r="Y550" s="30">
        <f>IF(OR(545&gt;$Z$1,NOT(OR('Your debts'!$B$15&lt;&gt;"",N('Your debts'!$C$15)&gt;0))),"",IF('Your debts'!$D$20="Avalanche",'Avalanche workings'!$AY$552,'Snowball workings'!$AY$552))</f>
      </c>
    </row>
    <row r="551" spans="1:25" x14ac:dyDescent="0.25">
      <c r="A551" s="2">
        <f>IF(546&gt;$Z$1,"",546)</f>
      </c>
      <c r="B551" s="28">
        <f>IF(546&gt;$Z$1,"",EDATE('Your debts'!$D$21,545))</f>
      </c>
      <c r="C551" s="29">
        <f>IF(546&gt;$Z$1,"",IF('Your debts'!$D$20="Avalanche",'Avalanche workings'!$BC$553,'Snowball workings'!$BC$553))</f>
      </c>
      <c r="D551" s="29">
        <f>IF(546&gt;$Z$1,"",IF('Your debts'!$D$20="Avalanche",'Avalanche workings'!$BA$553,'Snowball workings'!$BA$553))</f>
      </c>
      <c r="E551" s="29">
        <f>IF(546&gt;$Z$1,"",IF('Your debts'!$D$20="Avalanche",'Avalanche workings'!$BB$553,'Snowball workings'!$BB$553))</f>
      </c>
      <c r="F551" s="29">
        <f>IF(OR(546&gt;$Z$1,NOT(OR('Your debts'!$B$6&lt;&gt;"",N('Your debts'!$C$6)&gt;0))),"",IF('Your debts'!$D$20="Avalanche",'Avalanche workings'!$L$553,'Snowball workings'!$L$553)+IF('Your debts'!$D$20="Avalanche",'Avalanche workings'!$AF$553,'Snowball workings'!$AF$553))</f>
      </c>
      <c r="G551" s="30">
        <f>IF(OR(546&gt;$Z$1,NOT(OR('Your debts'!$B$6&lt;&gt;"",N('Your debts'!$C$6)&gt;0))),"",IF('Your debts'!$D$20="Avalanche",'Avalanche workings'!$AP$553,'Snowball workings'!$AP$553))</f>
      </c>
      <c r="H551" s="29">
        <f>IF(OR(546&gt;$Z$1,NOT(OR('Your debts'!$B$7&lt;&gt;"",N('Your debts'!$C$7)&gt;0))),"",IF('Your debts'!$D$20="Avalanche",'Avalanche workings'!$M$553,'Snowball workings'!$M$553)+IF('Your debts'!$D$20="Avalanche",'Avalanche workings'!$AG$553,'Snowball workings'!$AG$553))</f>
      </c>
      <c r="I551" s="30">
        <f>IF(OR(546&gt;$Z$1,NOT(OR('Your debts'!$B$7&lt;&gt;"",N('Your debts'!$C$7)&gt;0))),"",IF('Your debts'!$D$20="Avalanche",'Avalanche workings'!$AQ$553,'Snowball workings'!$AQ$553))</f>
      </c>
      <c r="J551" s="29">
        <f>IF(OR(546&gt;$Z$1,NOT(OR('Your debts'!$B$8&lt;&gt;"",N('Your debts'!$C$8)&gt;0))),"",IF('Your debts'!$D$20="Avalanche",'Avalanche workings'!$N$553,'Snowball workings'!$N$553)+IF('Your debts'!$D$20="Avalanche",'Avalanche workings'!$AH$553,'Snowball workings'!$AH$553))</f>
      </c>
      <c r="K551" s="30">
        <f>IF(OR(546&gt;$Z$1,NOT(OR('Your debts'!$B$8&lt;&gt;"",N('Your debts'!$C$8)&gt;0))),"",IF('Your debts'!$D$20="Avalanche",'Avalanche workings'!$AR$553,'Snowball workings'!$AR$553))</f>
      </c>
      <c r="L551" s="29">
        <f>IF(OR(546&gt;$Z$1,NOT(OR('Your debts'!$B$9&lt;&gt;"",N('Your debts'!$C$9)&gt;0))),"",IF('Your debts'!$D$20="Avalanche",'Avalanche workings'!$O$553,'Snowball workings'!$O$553)+IF('Your debts'!$D$20="Avalanche",'Avalanche workings'!$AI$553,'Snowball workings'!$AI$553))</f>
      </c>
      <c r="M551" s="30">
        <f>IF(OR(546&gt;$Z$1,NOT(OR('Your debts'!$B$9&lt;&gt;"",N('Your debts'!$C$9)&gt;0))),"",IF('Your debts'!$D$20="Avalanche",'Avalanche workings'!$AS$553,'Snowball workings'!$AS$553))</f>
      </c>
      <c r="N551" s="29">
        <f>IF(OR(546&gt;$Z$1,NOT(OR('Your debts'!$B$10&lt;&gt;"",N('Your debts'!$C$10)&gt;0))),"",IF('Your debts'!$D$20="Avalanche",'Avalanche workings'!$P$553,'Snowball workings'!$P$553)+IF('Your debts'!$D$20="Avalanche",'Avalanche workings'!$AJ$553,'Snowball workings'!$AJ$553))</f>
      </c>
      <c r="O551" s="30">
        <f>IF(OR(546&gt;$Z$1,NOT(OR('Your debts'!$B$10&lt;&gt;"",N('Your debts'!$C$10)&gt;0))),"",IF('Your debts'!$D$20="Avalanche",'Avalanche workings'!$AT$553,'Snowball workings'!$AT$553))</f>
      </c>
      <c r="P551" s="29">
        <f>IF(OR(546&gt;$Z$1,NOT(OR('Your debts'!$B$11&lt;&gt;"",N('Your debts'!$C$11)&gt;0))),"",IF('Your debts'!$D$20="Avalanche",'Avalanche workings'!$Q$553,'Snowball workings'!$Q$553)+IF('Your debts'!$D$20="Avalanche",'Avalanche workings'!$AK$553,'Snowball workings'!$AK$553))</f>
      </c>
      <c r="Q551" s="30">
        <f>IF(OR(546&gt;$Z$1,NOT(OR('Your debts'!$B$11&lt;&gt;"",N('Your debts'!$C$11)&gt;0))),"",IF('Your debts'!$D$20="Avalanche",'Avalanche workings'!$AU$553,'Snowball workings'!$AU$553))</f>
      </c>
      <c r="R551" s="29">
        <f>IF(OR(546&gt;$Z$1,NOT(OR('Your debts'!$B$12&lt;&gt;"",N('Your debts'!$C$12)&gt;0))),"",IF('Your debts'!$D$20="Avalanche",'Avalanche workings'!$R$553,'Snowball workings'!$R$553)+IF('Your debts'!$D$20="Avalanche",'Avalanche workings'!$AL$553,'Snowball workings'!$AL$553))</f>
      </c>
      <c r="S551" s="30">
        <f>IF(OR(546&gt;$Z$1,NOT(OR('Your debts'!$B$12&lt;&gt;"",N('Your debts'!$C$12)&gt;0))),"",IF('Your debts'!$D$20="Avalanche",'Avalanche workings'!$AV$553,'Snowball workings'!$AV$553))</f>
      </c>
      <c r="T551" s="29">
        <f>IF(OR(546&gt;$Z$1,NOT(OR('Your debts'!$B$13&lt;&gt;"",N('Your debts'!$C$13)&gt;0))),"",IF('Your debts'!$D$20="Avalanche",'Avalanche workings'!$S$553,'Snowball workings'!$S$553)+IF('Your debts'!$D$20="Avalanche",'Avalanche workings'!$AM$553,'Snowball workings'!$AM$553))</f>
      </c>
      <c r="U551" s="30">
        <f>IF(OR(546&gt;$Z$1,NOT(OR('Your debts'!$B$13&lt;&gt;"",N('Your debts'!$C$13)&gt;0))),"",IF('Your debts'!$D$20="Avalanche",'Avalanche workings'!$AW$553,'Snowball workings'!$AW$553))</f>
      </c>
      <c r="V551" s="29">
        <f>IF(OR(546&gt;$Z$1,NOT(OR('Your debts'!$B$14&lt;&gt;"",N('Your debts'!$C$14)&gt;0))),"",IF('Your debts'!$D$20="Avalanche",'Avalanche workings'!$T$553,'Snowball workings'!$T$553)+IF('Your debts'!$D$20="Avalanche",'Avalanche workings'!$AN$553,'Snowball workings'!$AN$553))</f>
      </c>
      <c r="W551" s="30">
        <f>IF(OR(546&gt;$Z$1,NOT(OR('Your debts'!$B$14&lt;&gt;"",N('Your debts'!$C$14)&gt;0))),"",IF('Your debts'!$D$20="Avalanche",'Avalanche workings'!$AX$553,'Snowball workings'!$AX$553))</f>
      </c>
      <c r="X551" s="29">
        <f>IF(OR(546&gt;$Z$1,NOT(OR('Your debts'!$B$15&lt;&gt;"",N('Your debts'!$C$15)&gt;0))),"",IF('Your debts'!$D$20="Avalanche",'Avalanche workings'!$U$553,'Snowball workings'!$U$553)+IF('Your debts'!$D$20="Avalanche",'Avalanche workings'!$AO$553,'Snowball workings'!$AO$553))</f>
      </c>
      <c r="Y551" s="30">
        <f>IF(OR(546&gt;$Z$1,NOT(OR('Your debts'!$B$15&lt;&gt;"",N('Your debts'!$C$15)&gt;0))),"",IF('Your debts'!$D$20="Avalanche",'Avalanche workings'!$AY$553,'Snowball workings'!$AY$553))</f>
      </c>
    </row>
    <row r="552" spans="1:25" x14ac:dyDescent="0.25">
      <c r="A552" s="2">
        <f>IF(547&gt;$Z$1,"",547)</f>
      </c>
      <c r="B552" s="28">
        <f>IF(547&gt;$Z$1,"",EDATE('Your debts'!$D$21,546))</f>
      </c>
      <c r="C552" s="29">
        <f>IF(547&gt;$Z$1,"",IF('Your debts'!$D$20="Avalanche",'Avalanche workings'!$BC$554,'Snowball workings'!$BC$554))</f>
      </c>
      <c r="D552" s="29">
        <f>IF(547&gt;$Z$1,"",IF('Your debts'!$D$20="Avalanche",'Avalanche workings'!$BA$554,'Snowball workings'!$BA$554))</f>
      </c>
      <c r="E552" s="29">
        <f>IF(547&gt;$Z$1,"",IF('Your debts'!$D$20="Avalanche",'Avalanche workings'!$BB$554,'Snowball workings'!$BB$554))</f>
      </c>
      <c r="F552" s="29">
        <f>IF(OR(547&gt;$Z$1,NOT(OR('Your debts'!$B$6&lt;&gt;"",N('Your debts'!$C$6)&gt;0))),"",IF('Your debts'!$D$20="Avalanche",'Avalanche workings'!$L$554,'Snowball workings'!$L$554)+IF('Your debts'!$D$20="Avalanche",'Avalanche workings'!$AF$554,'Snowball workings'!$AF$554))</f>
      </c>
      <c r="G552" s="30">
        <f>IF(OR(547&gt;$Z$1,NOT(OR('Your debts'!$B$6&lt;&gt;"",N('Your debts'!$C$6)&gt;0))),"",IF('Your debts'!$D$20="Avalanche",'Avalanche workings'!$AP$554,'Snowball workings'!$AP$554))</f>
      </c>
      <c r="H552" s="29">
        <f>IF(OR(547&gt;$Z$1,NOT(OR('Your debts'!$B$7&lt;&gt;"",N('Your debts'!$C$7)&gt;0))),"",IF('Your debts'!$D$20="Avalanche",'Avalanche workings'!$M$554,'Snowball workings'!$M$554)+IF('Your debts'!$D$20="Avalanche",'Avalanche workings'!$AG$554,'Snowball workings'!$AG$554))</f>
      </c>
      <c r="I552" s="30">
        <f>IF(OR(547&gt;$Z$1,NOT(OR('Your debts'!$B$7&lt;&gt;"",N('Your debts'!$C$7)&gt;0))),"",IF('Your debts'!$D$20="Avalanche",'Avalanche workings'!$AQ$554,'Snowball workings'!$AQ$554))</f>
      </c>
      <c r="J552" s="29">
        <f>IF(OR(547&gt;$Z$1,NOT(OR('Your debts'!$B$8&lt;&gt;"",N('Your debts'!$C$8)&gt;0))),"",IF('Your debts'!$D$20="Avalanche",'Avalanche workings'!$N$554,'Snowball workings'!$N$554)+IF('Your debts'!$D$20="Avalanche",'Avalanche workings'!$AH$554,'Snowball workings'!$AH$554))</f>
      </c>
      <c r="K552" s="30">
        <f>IF(OR(547&gt;$Z$1,NOT(OR('Your debts'!$B$8&lt;&gt;"",N('Your debts'!$C$8)&gt;0))),"",IF('Your debts'!$D$20="Avalanche",'Avalanche workings'!$AR$554,'Snowball workings'!$AR$554))</f>
      </c>
      <c r="L552" s="29">
        <f>IF(OR(547&gt;$Z$1,NOT(OR('Your debts'!$B$9&lt;&gt;"",N('Your debts'!$C$9)&gt;0))),"",IF('Your debts'!$D$20="Avalanche",'Avalanche workings'!$O$554,'Snowball workings'!$O$554)+IF('Your debts'!$D$20="Avalanche",'Avalanche workings'!$AI$554,'Snowball workings'!$AI$554))</f>
      </c>
      <c r="M552" s="30">
        <f>IF(OR(547&gt;$Z$1,NOT(OR('Your debts'!$B$9&lt;&gt;"",N('Your debts'!$C$9)&gt;0))),"",IF('Your debts'!$D$20="Avalanche",'Avalanche workings'!$AS$554,'Snowball workings'!$AS$554))</f>
      </c>
      <c r="N552" s="29">
        <f>IF(OR(547&gt;$Z$1,NOT(OR('Your debts'!$B$10&lt;&gt;"",N('Your debts'!$C$10)&gt;0))),"",IF('Your debts'!$D$20="Avalanche",'Avalanche workings'!$P$554,'Snowball workings'!$P$554)+IF('Your debts'!$D$20="Avalanche",'Avalanche workings'!$AJ$554,'Snowball workings'!$AJ$554))</f>
      </c>
      <c r="O552" s="30">
        <f>IF(OR(547&gt;$Z$1,NOT(OR('Your debts'!$B$10&lt;&gt;"",N('Your debts'!$C$10)&gt;0))),"",IF('Your debts'!$D$20="Avalanche",'Avalanche workings'!$AT$554,'Snowball workings'!$AT$554))</f>
      </c>
      <c r="P552" s="29">
        <f>IF(OR(547&gt;$Z$1,NOT(OR('Your debts'!$B$11&lt;&gt;"",N('Your debts'!$C$11)&gt;0))),"",IF('Your debts'!$D$20="Avalanche",'Avalanche workings'!$Q$554,'Snowball workings'!$Q$554)+IF('Your debts'!$D$20="Avalanche",'Avalanche workings'!$AK$554,'Snowball workings'!$AK$554))</f>
      </c>
      <c r="Q552" s="30">
        <f>IF(OR(547&gt;$Z$1,NOT(OR('Your debts'!$B$11&lt;&gt;"",N('Your debts'!$C$11)&gt;0))),"",IF('Your debts'!$D$20="Avalanche",'Avalanche workings'!$AU$554,'Snowball workings'!$AU$554))</f>
      </c>
      <c r="R552" s="29">
        <f>IF(OR(547&gt;$Z$1,NOT(OR('Your debts'!$B$12&lt;&gt;"",N('Your debts'!$C$12)&gt;0))),"",IF('Your debts'!$D$20="Avalanche",'Avalanche workings'!$R$554,'Snowball workings'!$R$554)+IF('Your debts'!$D$20="Avalanche",'Avalanche workings'!$AL$554,'Snowball workings'!$AL$554))</f>
      </c>
      <c r="S552" s="30">
        <f>IF(OR(547&gt;$Z$1,NOT(OR('Your debts'!$B$12&lt;&gt;"",N('Your debts'!$C$12)&gt;0))),"",IF('Your debts'!$D$20="Avalanche",'Avalanche workings'!$AV$554,'Snowball workings'!$AV$554))</f>
      </c>
      <c r="T552" s="29">
        <f>IF(OR(547&gt;$Z$1,NOT(OR('Your debts'!$B$13&lt;&gt;"",N('Your debts'!$C$13)&gt;0))),"",IF('Your debts'!$D$20="Avalanche",'Avalanche workings'!$S$554,'Snowball workings'!$S$554)+IF('Your debts'!$D$20="Avalanche",'Avalanche workings'!$AM$554,'Snowball workings'!$AM$554))</f>
      </c>
      <c r="U552" s="30">
        <f>IF(OR(547&gt;$Z$1,NOT(OR('Your debts'!$B$13&lt;&gt;"",N('Your debts'!$C$13)&gt;0))),"",IF('Your debts'!$D$20="Avalanche",'Avalanche workings'!$AW$554,'Snowball workings'!$AW$554))</f>
      </c>
      <c r="V552" s="29">
        <f>IF(OR(547&gt;$Z$1,NOT(OR('Your debts'!$B$14&lt;&gt;"",N('Your debts'!$C$14)&gt;0))),"",IF('Your debts'!$D$20="Avalanche",'Avalanche workings'!$T$554,'Snowball workings'!$T$554)+IF('Your debts'!$D$20="Avalanche",'Avalanche workings'!$AN$554,'Snowball workings'!$AN$554))</f>
      </c>
      <c r="W552" s="30">
        <f>IF(OR(547&gt;$Z$1,NOT(OR('Your debts'!$B$14&lt;&gt;"",N('Your debts'!$C$14)&gt;0))),"",IF('Your debts'!$D$20="Avalanche",'Avalanche workings'!$AX$554,'Snowball workings'!$AX$554))</f>
      </c>
      <c r="X552" s="29">
        <f>IF(OR(547&gt;$Z$1,NOT(OR('Your debts'!$B$15&lt;&gt;"",N('Your debts'!$C$15)&gt;0))),"",IF('Your debts'!$D$20="Avalanche",'Avalanche workings'!$U$554,'Snowball workings'!$U$554)+IF('Your debts'!$D$20="Avalanche",'Avalanche workings'!$AO$554,'Snowball workings'!$AO$554))</f>
      </c>
      <c r="Y552" s="30">
        <f>IF(OR(547&gt;$Z$1,NOT(OR('Your debts'!$B$15&lt;&gt;"",N('Your debts'!$C$15)&gt;0))),"",IF('Your debts'!$D$20="Avalanche",'Avalanche workings'!$AY$554,'Snowball workings'!$AY$554))</f>
      </c>
    </row>
    <row r="553" spans="1:25" x14ac:dyDescent="0.25">
      <c r="A553" s="2">
        <f>IF(548&gt;$Z$1,"",548)</f>
      </c>
      <c r="B553" s="28">
        <f>IF(548&gt;$Z$1,"",EDATE('Your debts'!$D$21,547))</f>
      </c>
      <c r="C553" s="29">
        <f>IF(548&gt;$Z$1,"",IF('Your debts'!$D$20="Avalanche",'Avalanche workings'!$BC$555,'Snowball workings'!$BC$555))</f>
      </c>
      <c r="D553" s="29">
        <f>IF(548&gt;$Z$1,"",IF('Your debts'!$D$20="Avalanche",'Avalanche workings'!$BA$555,'Snowball workings'!$BA$555))</f>
      </c>
      <c r="E553" s="29">
        <f>IF(548&gt;$Z$1,"",IF('Your debts'!$D$20="Avalanche",'Avalanche workings'!$BB$555,'Snowball workings'!$BB$555))</f>
      </c>
      <c r="F553" s="29">
        <f>IF(OR(548&gt;$Z$1,NOT(OR('Your debts'!$B$6&lt;&gt;"",N('Your debts'!$C$6)&gt;0))),"",IF('Your debts'!$D$20="Avalanche",'Avalanche workings'!$L$555,'Snowball workings'!$L$555)+IF('Your debts'!$D$20="Avalanche",'Avalanche workings'!$AF$555,'Snowball workings'!$AF$555))</f>
      </c>
      <c r="G553" s="30">
        <f>IF(OR(548&gt;$Z$1,NOT(OR('Your debts'!$B$6&lt;&gt;"",N('Your debts'!$C$6)&gt;0))),"",IF('Your debts'!$D$20="Avalanche",'Avalanche workings'!$AP$555,'Snowball workings'!$AP$555))</f>
      </c>
      <c r="H553" s="29">
        <f>IF(OR(548&gt;$Z$1,NOT(OR('Your debts'!$B$7&lt;&gt;"",N('Your debts'!$C$7)&gt;0))),"",IF('Your debts'!$D$20="Avalanche",'Avalanche workings'!$M$555,'Snowball workings'!$M$555)+IF('Your debts'!$D$20="Avalanche",'Avalanche workings'!$AG$555,'Snowball workings'!$AG$555))</f>
      </c>
      <c r="I553" s="30">
        <f>IF(OR(548&gt;$Z$1,NOT(OR('Your debts'!$B$7&lt;&gt;"",N('Your debts'!$C$7)&gt;0))),"",IF('Your debts'!$D$20="Avalanche",'Avalanche workings'!$AQ$555,'Snowball workings'!$AQ$555))</f>
      </c>
      <c r="J553" s="29">
        <f>IF(OR(548&gt;$Z$1,NOT(OR('Your debts'!$B$8&lt;&gt;"",N('Your debts'!$C$8)&gt;0))),"",IF('Your debts'!$D$20="Avalanche",'Avalanche workings'!$N$555,'Snowball workings'!$N$555)+IF('Your debts'!$D$20="Avalanche",'Avalanche workings'!$AH$555,'Snowball workings'!$AH$555))</f>
      </c>
      <c r="K553" s="30">
        <f>IF(OR(548&gt;$Z$1,NOT(OR('Your debts'!$B$8&lt;&gt;"",N('Your debts'!$C$8)&gt;0))),"",IF('Your debts'!$D$20="Avalanche",'Avalanche workings'!$AR$555,'Snowball workings'!$AR$555))</f>
      </c>
      <c r="L553" s="29">
        <f>IF(OR(548&gt;$Z$1,NOT(OR('Your debts'!$B$9&lt;&gt;"",N('Your debts'!$C$9)&gt;0))),"",IF('Your debts'!$D$20="Avalanche",'Avalanche workings'!$O$555,'Snowball workings'!$O$555)+IF('Your debts'!$D$20="Avalanche",'Avalanche workings'!$AI$555,'Snowball workings'!$AI$555))</f>
      </c>
      <c r="M553" s="30">
        <f>IF(OR(548&gt;$Z$1,NOT(OR('Your debts'!$B$9&lt;&gt;"",N('Your debts'!$C$9)&gt;0))),"",IF('Your debts'!$D$20="Avalanche",'Avalanche workings'!$AS$555,'Snowball workings'!$AS$555))</f>
      </c>
      <c r="N553" s="29">
        <f>IF(OR(548&gt;$Z$1,NOT(OR('Your debts'!$B$10&lt;&gt;"",N('Your debts'!$C$10)&gt;0))),"",IF('Your debts'!$D$20="Avalanche",'Avalanche workings'!$P$555,'Snowball workings'!$P$555)+IF('Your debts'!$D$20="Avalanche",'Avalanche workings'!$AJ$555,'Snowball workings'!$AJ$555))</f>
      </c>
      <c r="O553" s="30">
        <f>IF(OR(548&gt;$Z$1,NOT(OR('Your debts'!$B$10&lt;&gt;"",N('Your debts'!$C$10)&gt;0))),"",IF('Your debts'!$D$20="Avalanche",'Avalanche workings'!$AT$555,'Snowball workings'!$AT$555))</f>
      </c>
      <c r="P553" s="29">
        <f>IF(OR(548&gt;$Z$1,NOT(OR('Your debts'!$B$11&lt;&gt;"",N('Your debts'!$C$11)&gt;0))),"",IF('Your debts'!$D$20="Avalanche",'Avalanche workings'!$Q$555,'Snowball workings'!$Q$555)+IF('Your debts'!$D$20="Avalanche",'Avalanche workings'!$AK$555,'Snowball workings'!$AK$555))</f>
      </c>
      <c r="Q553" s="30">
        <f>IF(OR(548&gt;$Z$1,NOT(OR('Your debts'!$B$11&lt;&gt;"",N('Your debts'!$C$11)&gt;0))),"",IF('Your debts'!$D$20="Avalanche",'Avalanche workings'!$AU$555,'Snowball workings'!$AU$555))</f>
      </c>
      <c r="R553" s="29">
        <f>IF(OR(548&gt;$Z$1,NOT(OR('Your debts'!$B$12&lt;&gt;"",N('Your debts'!$C$12)&gt;0))),"",IF('Your debts'!$D$20="Avalanche",'Avalanche workings'!$R$555,'Snowball workings'!$R$555)+IF('Your debts'!$D$20="Avalanche",'Avalanche workings'!$AL$555,'Snowball workings'!$AL$555))</f>
      </c>
      <c r="S553" s="30">
        <f>IF(OR(548&gt;$Z$1,NOT(OR('Your debts'!$B$12&lt;&gt;"",N('Your debts'!$C$12)&gt;0))),"",IF('Your debts'!$D$20="Avalanche",'Avalanche workings'!$AV$555,'Snowball workings'!$AV$555))</f>
      </c>
      <c r="T553" s="29">
        <f>IF(OR(548&gt;$Z$1,NOT(OR('Your debts'!$B$13&lt;&gt;"",N('Your debts'!$C$13)&gt;0))),"",IF('Your debts'!$D$20="Avalanche",'Avalanche workings'!$S$555,'Snowball workings'!$S$555)+IF('Your debts'!$D$20="Avalanche",'Avalanche workings'!$AM$555,'Snowball workings'!$AM$555))</f>
      </c>
      <c r="U553" s="30">
        <f>IF(OR(548&gt;$Z$1,NOT(OR('Your debts'!$B$13&lt;&gt;"",N('Your debts'!$C$13)&gt;0))),"",IF('Your debts'!$D$20="Avalanche",'Avalanche workings'!$AW$555,'Snowball workings'!$AW$555))</f>
      </c>
      <c r="V553" s="29">
        <f>IF(OR(548&gt;$Z$1,NOT(OR('Your debts'!$B$14&lt;&gt;"",N('Your debts'!$C$14)&gt;0))),"",IF('Your debts'!$D$20="Avalanche",'Avalanche workings'!$T$555,'Snowball workings'!$T$555)+IF('Your debts'!$D$20="Avalanche",'Avalanche workings'!$AN$555,'Snowball workings'!$AN$555))</f>
      </c>
      <c r="W553" s="30">
        <f>IF(OR(548&gt;$Z$1,NOT(OR('Your debts'!$B$14&lt;&gt;"",N('Your debts'!$C$14)&gt;0))),"",IF('Your debts'!$D$20="Avalanche",'Avalanche workings'!$AX$555,'Snowball workings'!$AX$555))</f>
      </c>
      <c r="X553" s="29">
        <f>IF(OR(548&gt;$Z$1,NOT(OR('Your debts'!$B$15&lt;&gt;"",N('Your debts'!$C$15)&gt;0))),"",IF('Your debts'!$D$20="Avalanche",'Avalanche workings'!$U$555,'Snowball workings'!$U$555)+IF('Your debts'!$D$20="Avalanche",'Avalanche workings'!$AO$555,'Snowball workings'!$AO$555))</f>
      </c>
      <c r="Y553" s="30">
        <f>IF(OR(548&gt;$Z$1,NOT(OR('Your debts'!$B$15&lt;&gt;"",N('Your debts'!$C$15)&gt;0))),"",IF('Your debts'!$D$20="Avalanche",'Avalanche workings'!$AY$555,'Snowball workings'!$AY$555))</f>
      </c>
    </row>
    <row r="554" spans="1:25" x14ac:dyDescent="0.25">
      <c r="A554" s="2">
        <f>IF(549&gt;$Z$1,"",549)</f>
      </c>
      <c r="B554" s="28">
        <f>IF(549&gt;$Z$1,"",EDATE('Your debts'!$D$21,548))</f>
      </c>
      <c r="C554" s="29">
        <f>IF(549&gt;$Z$1,"",IF('Your debts'!$D$20="Avalanche",'Avalanche workings'!$BC$556,'Snowball workings'!$BC$556))</f>
      </c>
      <c r="D554" s="29">
        <f>IF(549&gt;$Z$1,"",IF('Your debts'!$D$20="Avalanche",'Avalanche workings'!$BA$556,'Snowball workings'!$BA$556))</f>
      </c>
      <c r="E554" s="29">
        <f>IF(549&gt;$Z$1,"",IF('Your debts'!$D$20="Avalanche",'Avalanche workings'!$BB$556,'Snowball workings'!$BB$556))</f>
      </c>
      <c r="F554" s="29">
        <f>IF(OR(549&gt;$Z$1,NOT(OR('Your debts'!$B$6&lt;&gt;"",N('Your debts'!$C$6)&gt;0))),"",IF('Your debts'!$D$20="Avalanche",'Avalanche workings'!$L$556,'Snowball workings'!$L$556)+IF('Your debts'!$D$20="Avalanche",'Avalanche workings'!$AF$556,'Snowball workings'!$AF$556))</f>
      </c>
      <c r="G554" s="30">
        <f>IF(OR(549&gt;$Z$1,NOT(OR('Your debts'!$B$6&lt;&gt;"",N('Your debts'!$C$6)&gt;0))),"",IF('Your debts'!$D$20="Avalanche",'Avalanche workings'!$AP$556,'Snowball workings'!$AP$556))</f>
      </c>
      <c r="H554" s="29">
        <f>IF(OR(549&gt;$Z$1,NOT(OR('Your debts'!$B$7&lt;&gt;"",N('Your debts'!$C$7)&gt;0))),"",IF('Your debts'!$D$20="Avalanche",'Avalanche workings'!$M$556,'Snowball workings'!$M$556)+IF('Your debts'!$D$20="Avalanche",'Avalanche workings'!$AG$556,'Snowball workings'!$AG$556))</f>
      </c>
      <c r="I554" s="30">
        <f>IF(OR(549&gt;$Z$1,NOT(OR('Your debts'!$B$7&lt;&gt;"",N('Your debts'!$C$7)&gt;0))),"",IF('Your debts'!$D$20="Avalanche",'Avalanche workings'!$AQ$556,'Snowball workings'!$AQ$556))</f>
      </c>
      <c r="J554" s="29">
        <f>IF(OR(549&gt;$Z$1,NOT(OR('Your debts'!$B$8&lt;&gt;"",N('Your debts'!$C$8)&gt;0))),"",IF('Your debts'!$D$20="Avalanche",'Avalanche workings'!$N$556,'Snowball workings'!$N$556)+IF('Your debts'!$D$20="Avalanche",'Avalanche workings'!$AH$556,'Snowball workings'!$AH$556))</f>
      </c>
      <c r="K554" s="30">
        <f>IF(OR(549&gt;$Z$1,NOT(OR('Your debts'!$B$8&lt;&gt;"",N('Your debts'!$C$8)&gt;0))),"",IF('Your debts'!$D$20="Avalanche",'Avalanche workings'!$AR$556,'Snowball workings'!$AR$556))</f>
      </c>
      <c r="L554" s="29">
        <f>IF(OR(549&gt;$Z$1,NOT(OR('Your debts'!$B$9&lt;&gt;"",N('Your debts'!$C$9)&gt;0))),"",IF('Your debts'!$D$20="Avalanche",'Avalanche workings'!$O$556,'Snowball workings'!$O$556)+IF('Your debts'!$D$20="Avalanche",'Avalanche workings'!$AI$556,'Snowball workings'!$AI$556))</f>
      </c>
      <c r="M554" s="30">
        <f>IF(OR(549&gt;$Z$1,NOT(OR('Your debts'!$B$9&lt;&gt;"",N('Your debts'!$C$9)&gt;0))),"",IF('Your debts'!$D$20="Avalanche",'Avalanche workings'!$AS$556,'Snowball workings'!$AS$556))</f>
      </c>
      <c r="N554" s="29">
        <f>IF(OR(549&gt;$Z$1,NOT(OR('Your debts'!$B$10&lt;&gt;"",N('Your debts'!$C$10)&gt;0))),"",IF('Your debts'!$D$20="Avalanche",'Avalanche workings'!$P$556,'Snowball workings'!$P$556)+IF('Your debts'!$D$20="Avalanche",'Avalanche workings'!$AJ$556,'Snowball workings'!$AJ$556))</f>
      </c>
      <c r="O554" s="30">
        <f>IF(OR(549&gt;$Z$1,NOT(OR('Your debts'!$B$10&lt;&gt;"",N('Your debts'!$C$10)&gt;0))),"",IF('Your debts'!$D$20="Avalanche",'Avalanche workings'!$AT$556,'Snowball workings'!$AT$556))</f>
      </c>
      <c r="P554" s="29">
        <f>IF(OR(549&gt;$Z$1,NOT(OR('Your debts'!$B$11&lt;&gt;"",N('Your debts'!$C$11)&gt;0))),"",IF('Your debts'!$D$20="Avalanche",'Avalanche workings'!$Q$556,'Snowball workings'!$Q$556)+IF('Your debts'!$D$20="Avalanche",'Avalanche workings'!$AK$556,'Snowball workings'!$AK$556))</f>
      </c>
      <c r="Q554" s="30">
        <f>IF(OR(549&gt;$Z$1,NOT(OR('Your debts'!$B$11&lt;&gt;"",N('Your debts'!$C$11)&gt;0))),"",IF('Your debts'!$D$20="Avalanche",'Avalanche workings'!$AU$556,'Snowball workings'!$AU$556))</f>
      </c>
      <c r="R554" s="29">
        <f>IF(OR(549&gt;$Z$1,NOT(OR('Your debts'!$B$12&lt;&gt;"",N('Your debts'!$C$12)&gt;0))),"",IF('Your debts'!$D$20="Avalanche",'Avalanche workings'!$R$556,'Snowball workings'!$R$556)+IF('Your debts'!$D$20="Avalanche",'Avalanche workings'!$AL$556,'Snowball workings'!$AL$556))</f>
      </c>
      <c r="S554" s="30">
        <f>IF(OR(549&gt;$Z$1,NOT(OR('Your debts'!$B$12&lt;&gt;"",N('Your debts'!$C$12)&gt;0))),"",IF('Your debts'!$D$20="Avalanche",'Avalanche workings'!$AV$556,'Snowball workings'!$AV$556))</f>
      </c>
      <c r="T554" s="29">
        <f>IF(OR(549&gt;$Z$1,NOT(OR('Your debts'!$B$13&lt;&gt;"",N('Your debts'!$C$13)&gt;0))),"",IF('Your debts'!$D$20="Avalanche",'Avalanche workings'!$S$556,'Snowball workings'!$S$556)+IF('Your debts'!$D$20="Avalanche",'Avalanche workings'!$AM$556,'Snowball workings'!$AM$556))</f>
      </c>
      <c r="U554" s="30">
        <f>IF(OR(549&gt;$Z$1,NOT(OR('Your debts'!$B$13&lt;&gt;"",N('Your debts'!$C$13)&gt;0))),"",IF('Your debts'!$D$20="Avalanche",'Avalanche workings'!$AW$556,'Snowball workings'!$AW$556))</f>
      </c>
      <c r="V554" s="29">
        <f>IF(OR(549&gt;$Z$1,NOT(OR('Your debts'!$B$14&lt;&gt;"",N('Your debts'!$C$14)&gt;0))),"",IF('Your debts'!$D$20="Avalanche",'Avalanche workings'!$T$556,'Snowball workings'!$T$556)+IF('Your debts'!$D$20="Avalanche",'Avalanche workings'!$AN$556,'Snowball workings'!$AN$556))</f>
      </c>
      <c r="W554" s="30">
        <f>IF(OR(549&gt;$Z$1,NOT(OR('Your debts'!$B$14&lt;&gt;"",N('Your debts'!$C$14)&gt;0))),"",IF('Your debts'!$D$20="Avalanche",'Avalanche workings'!$AX$556,'Snowball workings'!$AX$556))</f>
      </c>
      <c r="X554" s="29">
        <f>IF(OR(549&gt;$Z$1,NOT(OR('Your debts'!$B$15&lt;&gt;"",N('Your debts'!$C$15)&gt;0))),"",IF('Your debts'!$D$20="Avalanche",'Avalanche workings'!$U$556,'Snowball workings'!$U$556)+IF('Your debts'!$D$20="Avalanche",'Avalanche workings'!$AO$556,'Snowball workings'!$AO$556))</f>
      </c>
      <c r="Y554" s="30">
        <f>IF(OR(549&gt;$Z$1,NOT(OR('Your debts'!$B$15&lt;&gt;"",N('Your debts'!$C$15)&gt;0))),"",IF('Your debts'!$D$20="Avalanche",'Avalanche workings'!$AY$556,'Snowball workings'!$AY$556))</f>
      </c>
    </row>
    <row r="555" spans="1:25" x14ac:dyDescent="0.25">
      <c r="A555" s="2">
        <f>IF(550&gt;$Z$1,"",550)</f>
      </c>
      <c r="B555" s="28">
        <f>IF(550&gt;$Z$1,"",EDATE('Your debts'!$D$21,549))</f>
      </c>
      <c r="C555" s="29">
        <f>IF(550&gt;$Z$1,"",IF('Your debts'!$D$20="Avalanche",'Avalanche workings'!$BC$557,'Snowball workings'!$BC$557))</f>
      </c>
      <c r="D555" s="29">
        <f>IF(550&gt;$Z$1,"",IF('Your debts'!$D$20="Avalanche",'Avalanche workings'!$BA$557,'Snowball workings'!$BA$557))</f>
      </c>
      <c r="E555" s="29">
        <f>IF(550&gt;$Z$1,"",IF('Your debts'!$D$20="Avalanche",'Avalanche workings'!$BB$557,'Snowball workings'!$BB$557))</f>
      </c>
      <c r="F555" s="29">
        <f>IF(OR(550&gt;$Z$1,NOT(OR('Your debts'!$B$6&lt;&gt;"",N('Your debts'!$C$6)&gt;0))),"",IF('Your debts'!$D$20="Avalanche",'Avalanche workings'!$L$557,'Snowball workings'!$L$557)+IF('Your debts'!$D$20="Avalanche",'Avalanche workings'!$AF$557,'Snowball workings'!$AF$557))</f>
      </c>
      <c r="G555" s="30">
        <f>IF(OR(550&gt;$Z$1,NOT(OR('Your debts'!$B$6&lt;&gt;"",N('Your debts'!$C$6)&gt;0))),"",IF('Your debts'!$D$20="Avalanche",'Avalanche workings'!$AP$557,'Snowball workings'!$AP$557))</f>
      </c>
      <c r="H555" s="29">
        <f>IF(OR(550&gt;$Z$1,NOT(OR('Your debts'!$B$7&lt;&gt;"",N('Your debts'!$C$7)&gt;0))),"",IF('Your debts'!$D$20="Avalanche",'Avalanche workings'!$M$557,'Snowball workings'!$M$557)+IF('Your debts'!$D$20="Avalanche",'Avalanche workings'!$AG$557,'Snowball workings'!$AG$557))</f>
      </c>
      <c r="I555" s="30">
        <f>IF(OR(550&gt;$Z$1,NOT(OR('Your debts'!$B$7&lt;&gt;"",N('Your debts'!$C$7)&gt;0))),"",IF('Your debts'!$D$20="Avalanche",'Avalanche workings'!$AQ$557,'Snowball workings'!$AQ$557))</f>
      </c>
      <c r="J555" s="29">
        <f>IF(OR(550&gt;$Z$1,NOT(OR('Your debts'!$B$8&lt;&gt;"",N('Your debts'!$C$8)&gt;0))),"",IF('Your debts'!$D$20="Avalanche",'Avalanche workings'!$N$557,'Snowball workings'!$N$557)+IF('Your debts'!$D$20="Avalanche",'Avalanche workings'!$AH$557,'Snowball workings'!$AH$557))</f>
      </c>
      <c r="K555" s="30">
        <f>IF(OR(550&gt;$Z$1,NOT(OR('Your debts'!$B$8&lt;&gt;"",N('Your debts'!$C$8)&gt;0))),"",IF('Your debts'!$D$20="Avalanche",'Avalanche workings'!$AR$557,'Snowball workings'!$AR$557))</f>
      </c>
      <c r="L555" s="29">
        <f>IF(OR(550&gt;$Z$1,NOT(OR('Your debts'!$B$9&lt;&gt;"",N('Your debts'!$C$9)&gt;0))),"",IF('Your debts'!$D$20="Avalanche",'Avalanche workings'!$O$557,'Snowball workings'!$O$557)+IF('Your debts'!$D$20="Avalanche",'Avalanche workings'!$AI$557,'Snowball workings'!$AI$557))</f>
      </c>
      <c r="M555" s="30">
        <f>IF(OR(550&gt;$Z$1,NOT(OR('Your debts'!$B$9&lt;&gt;"",N('Your debts'!$C$9)&gt;0))),"",IF('Your debts'!$D$20="Avalanche",'Avalanche workings'!$AS$557,'Snowball workings'!$AS$557))</f>
      </c>
      <c r="N555" s="29">
        <f>IF(OR(550&gt;$Z$1,NOT(OR('Your debts'!$B$10&lt;&gt;"",N('Your debts'!$C$10)&gt;0))),"",IF('Your debts'!$D$20="Avalanche",'Avalanche workings'!$P$557,'Snowball workings'!$P$557)+IF('Your debts'!$D$20="Avalanche",'Avalanche workings'!$AJ$557,'Snowball workings'!$AJ$557))</f>
      </c>
      <c r="O555" s="30">
        <f>IF(OR(550&gt;$Z$1,NOT(OR('Your debts'!$B$10&lt;&gt;"",N('Your debts'!$C$10)&gt;0))),"",IF('Your debts'!$D$20="Avalanche",'Avalanche workings'!$AT$557,'Snowball workings'!$AT$557))</f>
      </c>
      <c r="P555" s="29">
        <f>IF(OR(550&gt;$Z$1,NOT(OR('Your debts'!$B$11&lt;&gt;"",N('Your debts'!$C$11)&gt;0))),"",IF('Your debts'!$D$20="Avalanche",'Avalanche workings'!$Q$557,'Snowball workings'!$Q$557)+IF('Your debts'!$D$20="Avalanche",'Avalanche workings'!$AK$557,'Snowball workings'!$AK$557))</f>
      </c>
      <c r="Q555" s="30">
        <f>IF(OR(550&gt;$Z$1,NOT(OR('Your debts'!$B$11&lt;&gt;"",N('Your debts'!$C$11)&gt;0))),"",IF('Your debts'!$D$20="Avalanche",'Avalanche workings'!$AU$557,'Snowball workings'!$AU$557))</f>
      </c>
      <c r="R555" s="29">
        <f>IF(OR(550&gt;$Z$1,NOT(OR('Your debts'!$B$12&lt;&gt;"",N('Your debts'!$C$12)&gt;0))),"",IF('Your debts'!$D$20="Avalanche",'Avalanche workings'!$R$557,'Snowball workings'!$R$557)+IF('Your debts'!$D$20="Avalanche",'Avalanche workings'!$AL$557,'Snowball workings'!$AL$557))</f>
      </c>
      <c r="S555" s="30">
        <f>IF(OR(550&gt;$Z$1,NOT(OR('Your debts'!$B$12&lt;&gt;"",N('Your debts'!$C$12)&gt;0))),"",IF('Your debts'!$D$20="Avalanche",'Avalanche workings'!$AV$557,'Snowball workings'!$AV$557))</f>
      </c>
      <c r="T555" s="29">
        <f>IF(OR(550&gt;$Z$1,NOT(OR('Your debts'!$B$13&lt;&gt;"",N('Your debts'!$C$13)&gt;0))),"",IF('Your debts'!$D$20="Avalanche",'Avalanche workings'!$S$557,'Snowball workings'!$S$557)+IF('Your debts'!$D$20="Avalanche",'Avalanche workings'!$AM$557,'Snowball workings'!$AM$557))</f>
      </c>
      <c r="U555" s="30">
        <f>IF(OR(550&gt;$Z$1,NOT(OR('Your debts'!$B$13&lt;&gt;"",N('Your debts'!$C$13)&gt;0))),"",IF('Your debts'!$D$20="Avalanche",'Avalanche workings'!$AW$557,'Snowball workings'!$AW$557))</f>
      </c>
      <c r="V555" s="29">
        <f>IF(OR(550&gt;$Z$1,NOT(OR('Your debts'!$B$14&lt;&gt;"",N('Your debts'!$C$14)&gt;0))),"",IF('Your debts'!$D$20="Avalanche",'Avalanche workings'!$T$557,'Snowball workings'!$T$557)+IF('Your debts'!$D$20="Avalanche",'Avalanche workings'!$AN$557,'Snowball workings'!$AN$557))</f>
      </c>
      <c r="W555" s="30">
        <f>IF(OR(550&gt;$Z$1,NOT(OR('Your debts'!$B$14&lt;&gt;"",N('Your debts'!$C$14)&gt;0))),"",IF('Your debts'!$D$20="Avalanche",'Avalanche workings'!$AX$557,'Snowball workings'!$AX$557))</f>
      </c>
      <c r="X555" s="29">
        <f>IF(OR(550&gt;$Z$1,NOT(OR('Your debts'!$B$15&lt;&gt;"",N('Your debts'!$C$15)&gt;0))),"",IF('Your debts'!$D$20="Avalanche",'Avalanche workings'!$U$557,'Snowball workings'!$U$557)+IF('Your debts'!$D$20="Avalanche",'Avalanche workings'!$AO$557,'Snowball workings'!$AO$557))</f>
      </c>
      <c r="Y555" s="30">
        <f>IF(OR(550&gt;$Z$1,NOT(OR('Your debts'!$B$15&lt;&gt;"",N('Your debts'!$C$15)&gt;0))),"",IF('Your debts'!$D$20="Avalanche",'Avalanche workings'!$AY$557,'Snowball workings'!$AY$557))</f>
      </c>
    </row>
    <row r="556" spans="1:25" x14ac:dyDescent="0.25">
      <c r="A556" s="2">
        <f>IF(551&gt;$Z$1,"",551)</f>
      </c>
      <c r="B556" s="28">
        <f>IF(551&gt;$Z$1,"",EDATE('Your debts'!$D$21,550))</f>
      </c>
      <c r="C556" s="29">
        <f>IF(551&gt;$Z$1,"",IF('Your debts'!$D$20="Avalanche",'Avalanche workings'!$BC$558,'Snowball workings'!$BC$558))</f>
      </c>
      <c r="D556" s="29">
        <f>IF(551&gt;$Z$1,"",IF('Your debts'!$D$20="Avalanche",'Avalanche workings'!$BA$558,'Snowball workings'!$BA$558))</f>
      </c>
      <c r="E556" s="29">
        <f>IF(551&gt;$Z$1,"",IF('Your debts'!$D$20="Avalanche",'Avalanche workings'!$BB$558,'Snowball workings'!$BB$558))</f>
      </c>
      <c r="F556" s="29">
        <f>IF(OR(551&gt;$Z$1,NOT(OR('Your debts'!$B$6&lt;&gt;"",N('Your debts'!$C$6)&gt;0))),"",IF('Your debts'!$D$20="Avalanche",'Avalanche workings'!$L$558,'Snowball workings'!$L$558)+IF('Your debts'!$D$20="Avalanche",'Avalanche workings'!$AF$558,'Snowball workings'!$AF$558))</f>
      </c>
      <c r="G556" s="30">
        <f>IF(OR(551&gt;$Z$1,NOT(OR('Your debts'!$B$6&lt;&gt;"",N('Your debts'!$C$6)&gt;0))),"",IF('Your debts'!$D$20="Avalanche",'Avalanche workings'!$AP$558,'Snowball workings'!$AP$558))</f>
      </c>
      <c r="H556" s="29">
        <f>IF(OR(551&gt;$Z$1,NOT(OR('Your debts'!$B$7&lt;&gt;"",N('Your debts'!$C$7)&gt;0))),"",IF('Your debts'!$D$20="Avalanche",'Avalanche workings'!$M$558,'Snowball workings'!$M$558)+IF('Your debts'!$D$20="Avalanche",'Avalanche workings'!$AG$558,'Snowball workings'!$AG$558))</f>
      </c>
      <c r="I556" s="30">
        <f>IF(OR(551&gt;$Z$1,NOT(OR('Your debts'!$B$7&lt;&gt;"",N('Your debts'!$C$7)&gt;0))),"",IF('Your debts'!$D$20="Avalanche",'Avalanche workings'!$AQ$558,'Snowball workings'!$AQ$558))</f>
      </c>
      <c r="J556" s="29">
        <f>IF(OR(551&gt;$Z$1,NOT(OR('Your debts'!$B$8&lt;&gt;"",N('Your debts'!$C$8)&gt;0))),"",IF('Your debts'!$D$20="Avalanche",'Avalanche workings'!$N$558,'Snowball workings'!$N$558)+IF('Your debts'!$D$20="Avalanche",'Avalanche workings'!$AH$558,'Snowball workings'!$AH$558))</f>
      </c>
      <c r="K556" s="30">
        <f>IF(OR(551&gt;$Z$1,NOT(OR('Your debts'!$B$8&lt;&gt;"",N('Your debts'!$C$8)&gt;0))),"",IF('Your debts'!$D$20="Avalanche",'Avalanche workings'!$AR$558,'Snowball workings'!$AR$558))</f>
      </c>
      <c r="L556" s="29">
        <f>IF(OR(551&gt;$Z$1,NOT(OR('Your debts'!$B$9&lt;&gt;"",N('Your debts'!$C$9)&gt;0))),"",IF('Your debts'!$D$20="Avalanche",'Avalanche workings'!$O$558,'Snowball workings'!$O$558)+IF('Your debts'!$D$20="Avalanche",'Avalanche workings'!$AI$558,'Snowball workings'!$AI$558))</f>
      </c>
      <c r="M556" s="30">
        <f>IF(OR(551&gt;$Z$1,NOT(OR('Your debts'!$B$9&lt;&gt;"",N('Your debts'!$C$9)&gt;0))),"",IF('Your debts'!$D$20="Avalanche",'Avalanche workings'!$AS$558,'Snowball workings'!$AS$558))</f>
      </c>
      <c r="N556" s="29">
        <f>IF(OR(551&gt;$Z$1,NOT(OR('Your debts'!$B$10&lt;&gt;"",N('Your debts'!$C$10)&gt;0))),"",IF('Your debts'!$D$20="Avalanche",'Avalanche workings'!$P$558,'Snowball workings'!$P$558)+IF('Your debts'!$D$20="Avalanche",'Avalanche workings'!$AJ$558,'Snowball workings'!$AJ$558))</f>
      </c>
      <c r="O556" s="30">
        <f>IF(OR(551&gt;$Z$1,NOT(OR('Your debts'!$B$10&lt;&gt;"",N('Your debts'!$C$10)&gt;0))),"",IF('Your debts'!$D$20="Avalanche",'Avalanche workings'!$AT$558,'Snowball workings'!$AT$558))</f>
      </c>
      <c r="P556" s="29">
        <f>IF(OR(551&gt;$Z$1,NOT(OR('Your debts'!$B$11&lt;&gt;"",N('Your debts'!$C$11)&gt;0))),"",IF('Your debts'!$D$20="Avalanche",'Avalanche workings'!$Q$558,'Snowball workings'!$Q$558)+IF('Your debts'!$D$20="Avalanche",'Avalanche workings'!$AK$558,'Snowball workings'!$AK$558))</f>
      </c>
      <c r="Q556" s="30">
        <f>IF(OR(551&gt;$Z$1,NOT(OR('Your debts'!$B$11&lt;&gt;"",N('Your debts'!$C$11)&gt;0))),"",IF('Your debts'!$D$20="Avalanche",'Avalanche workings'!$AU$558,'Snowball workings'!$AU$558))</f>
      </c>
      <c r="R556" s="29">
        <f>IF(OR(551&gt;$Z$1,NOT(OR('Your debts'!$B$12&lt;&gt;"",N('Your debts'!$C$12)&gt;0))),"",IF('Your debts'!$D$20="Avalanche",'Avalanche workings'!$R$558,'Snowball workings'!$R$558)+IF('Your debts'!$D$20="Avalanche",'Avalanche workings'!$AL$558,'Snowball workings'!$AL$558))</f>
      </c>
      <c r="S556" s="30">
        <f>IF(OR(551&gt;$Z$1,NOT(OR('Your debts'!$B$12&lt;&gt;"",N('Your debts'!$C$12)&gt;0))),"",IF('Your debts'!$D$20="Avalanche",'Avalanche workings'!$AV$558,'Snowball workings'!$AV$558))</f>
      </c>
      <c r="T556" s="29">
        <f>IF(OR(551&gt;$Z$1,NOT(OR('Your debts'!$B$13&lt;&gt;"",N('Your debts'!$C$13)&gt;0))),"",IF('Your debts'!$D$20="Avalanche",'Avalanche workings'!$S$558,'Snowball workings'!$S$558)+IF('Your debts'!$D$20="Avalanche",'Avalanche workings'!$AM$558,'Snowball workings'!$AM$558))</f>
      </c>
      <c r="U556" s="30">
        <f>IF(OR(551&gt;$Z$1,NOT(OR('Your debts'!$B$13&lt;&gt;"",N('Your debts'!$C$13)&gt;0))),"",IF('Your debts'!$D$20="Avalanche",'Avalanche workings'!$AW$558,'Snowball workings'!$AW$558))</f>
      </c>
      <c r="V556" s="29">
        <f>IF(OR(551&gt;$Z$1,NOT(OR('Your debts'!$B$14&lt;&gt;"",N('Your debts'!$C$14)&gt;0))),"",IF('Your debts'!$D$20="Avalanche",'Avalanche workings'!$T$558,'Snowball workings'!$T$558)+IF('Your debts'!$D$20="Avalanche",'Avalanche workings'!$AN$558,'Snowball workings'!$AN$558))</f>
      </c>
      <c r="W556" s="30">
        <f>IF(OR(551&gt;$Z$1,NOT(OR('Your debts'!$B$14&lt;&gt;"",N('Your debts'!$C$14)&gt;0))),"",IF('Your debts'!$D$20="Avalanche",'Avalanche workings'!$AX$558,'Snowball workings'!$AX$558))</f>
      </c>
      <c r="X556" s="29">
        <f>IF(OR(551&gt;$Z$1,NOT(OR('Your debts'!$B$15&lt;&gt;"",N('Your debts'!$C$15)&gt;0))),"",IF('Your debts'!$D$20="Avalanche",'Avalanche workings'!$U$558,'Snowball workings'!$U$558)+IF('Your debts'!$D$20="Avalanche",'Avalanche workings'!$AO$558,'Snowball workings'!$AO$558))</f>
      </c>
      <c r="Y556" s="30">
        <f>IF(OR(551&gt;$Z$1,NOT(OR('Your debts'!$B$15&lt;&gt;"",N('Your debts'!$C$15)&gt;0))),"",IF('Your debts'!$D$20="Avalanche",'Avalanche workings'!$AY$558,'Snowball workings'!$AY$558))</f>
      </c>
    </row>
    <row r="557" spans="1:25" x14ac:dyDescent="0.25">
      <c r="A557" s="2">
        <f>IF(552&gt;$Z$1,"",552)</f>
      </c>
      <c r="B557" s="28">
        <f>IF(552&gt;$Z$1,"",EDATE('Your debts'!$D$21,551))</f>
      </c>
      <c r="C557" s="29">
        <f>IF(552&gt;$Z$1,"",IF('Your debts'!$D$20="Avalanche",'Avalanche workings'!$BC$559,'Snowball workings'!$BC$559))</f>
      </c>
      <c r="D557" s="29">
        <f>IF(552&gt;$Z$1,"",IF('Your debts'!$D$20="Avalanche",'Avalanche workings'!$BA$559,'Snowball workings'!$BA$559))</f>
      </c>
      <c r="E557" s="29">
        <f>IF(552&gt;$Z$1,"",IF('Your debts'!$D$20="Avalanche",'Avalanche workings'!$BB$559,'Snowball workings'!$BB$559))</f>
      </c>
      <c r="F557" s="29">
        <f>IF(OR(552&gt;$Z$1,NOT(OR('Your debts'!$B$6&lt;&gt;"",N('Your debts'!$C$6)&gt;0))),"",IF('Your debts'!$D$20="Avalanche",'Avalanche workings'!$L$559,'Snowball workings'!$L$559)+IF('Your debts'!$D$20="Avalanche",'Avalanche workings'!$AF$559,'Snowball workings'!$AF$559))</f>
      </c>
      <c r="G557" s="30">
        <f>IF(OR(552&gt;$Z$1,NOT(OR('Your debts'!$B$6&lt;&gt;"",N('Your debts'!$C$6)&gt;0))),"",IF('Your debts'!$D$20="Avalanche",'Avalanche workings'!$AP$559,'Snowball workings'!$AP$559))</f>
      </c>
      <c r="H557" s="29">
        <f>IF(OR(552&gt;$Z$1,NOT(OR('Your debts'!$B$7&lt;&gt;"",N('Your debts'!$C$7)&gt;0))),"",IF('Your debts'!$D$20="Avalanche",'Avalanche workings'!$M$559,'Snowball workings'!$M$559)+IF('Your debts'!$D$20="Avalanche",'Avalanche workings'!$AG$559,'Snowball workings'!$AG$559))</f>
      </c>
      <c r="I557" s="30">
        <f>IF(OR(552&gt;$Z$1,NOT(OR('Your debts'!$B$7&lt;&gt;"",N('Your debts'!$C$7)&gt;0))),"",IF('Your debts'!$D$20="Avalanche",'Avalanche workings'!$AQ$559,'Snowball workings'!$AQ$559))</f>
      </c>
      <c r="J557" s="29">
        <f>IF(OR(552&gt;$Z$1,NOT(OR('Your debts'!$B$8&lt;&gt;"",N('Your debts'!$C$8)&gt;0))),"",IF('Your debts'!$D$20="Avalanche",'Avalanche workings'!$N$559,'Snowball workings'!$N$559)+IF('Your debts'!$D$20="Avalanche",'Avalanche workings'!$AH$559,'Snowball workings'!$AH$559))</f>
      </c>
      <c r="K557" s="30">
        <f>IF(OR(552&gt;$Z$1,NOT(OR('Your debts'!$B$8&lt;&gt;"",N('Your debts'!$C$8)&gt;0))),"",IF('Your debts'!$D$20="Avalanche",'Avalanche workings'!$AR$559,'Snowball workings'!$AR$559))</f>
      </c>
      <c r="L557" s="29">
        <f>IF(OR(552&gt;$Z$1,NOT(OR('Your debts'!$B$9&lt;&gt;"",N('Your debts'!$C$9)&gt;0))),"",IF('Your debts'!$D$20="Avalanche",'Avalanche workings'!$O$559,'Snowball workings'!$O$559)+IF('Your debts'!$D$20="Avalanche",'Avalanche workings'!$AI$559,'Snowball workings'!$AI$559))</f>
      </c>
      <c r="M557" s="30">
        <f>IF(OR(552&gt;$Z$1,NOT(OR('Your debts'!$B$9&lt;&gt;"",N('Your debts'!$C$9)&gt;0))),"",IF('Your debts'!$D$20="Avalanche",'Avalanche workings'!$AS$559,'Snowball workings'!$AS$559))</f>
      </c>
      <c r="N557" s="29">
        <f>IF(OR(552&gt;$Z$1,NOT(OR('Your debts'!$B$10&lt;&gt;"",N('Your debts'!$C$10)&gt;0))),"",IF('Your debts'!$D$20="Avalanche",'Avalanche workings'!$P$559,'Snowball workings'!$P$559)+IF('Your debts'!$D$20="Avalanche",'Avalanche workings'!$AJ$559,'Snowball workings'!$AJ$559))</f>
      </c>
      <c r="O557" s="30">
        <f>IF(OR(552&gt;$Z$1,NOT(OR('Your debts'!$B$10&lt;&gt;"",N('Your debts'!$C$10)&gt;0))),"",IF('Your debts'!$D$20="Avalanche",'Avalanche workings'!$AT$559,'Snowball workings'!$AT$559))</f>
      </c>
      <c r="P557" s="29">
        <f>IF(OR(552&gt;$Z$1,NOT(OR('Your debts'!$B$11&lt;&gt;"",N('Your debts'!$C$11)&gt;0))),"",IF('Your debts'!$D$20="Avalanche",'Avalanche workings'!$Q$559,'Snowball workings'!$Q$559)+IF('Your debts'!$D$20="Avalanche",'Avalanche workings'!$AK$559,'Snowball workings'!$AK$559))</f>
      </c>
      <c r="Q557" s="30">
        <f>IF(OR(552&gt;$Z$1,NOT(OR('Your debts'!$B$11&lt;&gt;"",N('Your debts'!$C$11)&gt;0))),"",IF('Your debts'!$D$20="Avalanche",'Avalanche workings'!$AU$559,'Snowball workings'!$AU$559))</f>
      </c>
      <c r="R557" s="29">
        <f>IF(OR(552&gt;$Z$1,NOT(OR('Your debts'!$B$12&lt;&gt;"",N('Your debts'!$C$12)&gt;0))),"",IF('Your debts'!$D$20="Avalanche",'Avalanche workings'!$R$559,'Snowball workings'!$R$559)+IF('Your debts'!$D$20="Avalanche",'Avalanche workings'!$AL$559,'Snowball workings'!$AL$559))</f>
      </c>
      <c r="S557" s="30">
        <f>IF(OR(552&gt;$Z$1,NOT(OR('Your debts'!$B$12&lt;&gt;"",N('Your debts'!$C$12)&gt;0))),"",IF('Your debts'!$D$20="Avalanche",'Avalanche workings'!$AV$559,'Snowball workings'!$AV$559))</f>
      </c>
      <c r="T557" s="29">
        <f>IF(OR(552&gt;$Z$1,NOT(OR('Your debts'!$B$13&lt;&gt;"",N('Your debts'!$C$13)&gt;0))),"",IF('Your debts'!$D$20="Avalanche",'Avalanche workings'!$S$559,'Snowball workings'!$S$559)+IF('Your debts'!$D$20="Avalanche",'Avalanche workings'!$AM$559,'Snowball workings'!$AM$559))</f>
      </c>
      <c r="U557" s="30">
        <f>IF(OR(552&gt;$Z$1,NOT(OR('Your debts'!$B$13&lt;&gt;"",N('Your debts'!$C$13)&gt;0))),"",IF('Your debts'!$D$20="Avalanche",'Avalanche workings'!$AW$559,'Snowball workings'!$AW$559))</f>
      </c>
      <c r="V557" s="29">
        <f>IF(OR(552&gt;$Z$1,NOT(OR('Your debts'!$B$14&lt;&gt;"",N('Your debts'!$C$14)&gt;0))),"",IF('Your debts'!$D$20="Avalanche",'Avalanche workings'!$T$559,'Snowball workings'!$T$559)+IF('Your debts'!$D$20="Avalanche",'Avalanche workings'!$AN$559,'Snowball workings'!$AN$559))</f>
      </c>
      <c r="W557" s="30">
        <f>IF(OR(552&gt;$Z$1,NOT(OR('Your debts'!$B$14&lt;&gt;"",N('Your debts'!$C$14)&gt;0))),"",IF('Your debts'!$D$20="Avalanche",'Avalanche workings'!$AX$559,'Snowball workings'!$AX$559))</f>
      </c>
      <c r="X557" s="29">
        <f>IF(OR(552&gt;$Z$1,NOT(OR('Your debts'!$B$15&lt;&gt;"",N('Your debts'!$C$15)&gt;0))),"",IF('Your debts'!$D$20="Avalanche",'Avalanche workings'!$U$559,'Snowball workings'!$U$559)+IF('Your debts'!$D$20="Avalanche",'Avalanche workings'!$AO$559,'Snowball workings'!$AO$559))</f>
      </c>
      <c r="Y557" s="30">
        <f>IF(OR(552&gt;$Z$1,NOT(OR('Your debts'!$B$15&lt;&gt;"",N('Your debts'!$C$15)&gt;0))),"",IF('Your debts'!$D$20="Avalanche",'Avalanche workings'!$AY$559,'Snowball workings'!$AY$559))</f>
      </c>
    </row>
    <row r="558" spans="1:25" x14ac:dyDescent="0.25">
      <c r="A558" s="2">
        <f>IF(553&gt;$Z$1,"",553)</f>
      </c>
      <c r="B558" s="28">
        <f>IF(553&gt;$Z$1,"",EDATE('Your debts'!$D$21,552))</f>
      </c>
      <c r="C558" s="29">
        <f>IF(553&gt;$Z$1,"",IF('Your debts'!$D$20="Avalanche",'Avalanche workings'!$BC$560,'Snowball workings'!$BC$560))</f>
      </c>
      <c r="D558" s="29">
        <f>IF(553&gt;$Z$1,"",IF('Your debts'!$D$20="Avalanche",'Avalanche workings'!$BA$560,'Snowball workings'!$BA$560))</f>
      </c>
      <c r="E558" s="29">
        <f>IF(553&gt;$Z$1,"",IF('Your debts'!$D$20="Avalanche",'Avalanche workings'!$BB$560,'Snowball workings'!$BB$560))</f>
      </c>
      <c r="F558" s="29">
        <f>IF(OR(553&gt;$Z$1,NOT(OR('Your debts'!$B$6&lt;&gt;"",N('Your debts'!$C$6)&gt;0))),"",IF('Your debts'!$D$20="Avalanche",'Avalanche workings'!$L$560,'Snowball workings'!$L$560)+IF('Your debts'!$D$20="Avalanche",'Avalanche workings'!$AF$560,'Snowball workings'!$AF$560))</f>
      </c>
      <c r="G558" s="30">
        <f>IF(OR(553&gt;$Z$1,NOT(OR('Your debts'!$B$6&lt;&gt;"",N('Your debts'!$C$6)&gt;0))),"",IF('Your debts'!$D$20="Avalanche",'Avalanche workings'!$AP$560,'Snowball workings'!$AP$560))</f>
      </c>
      <c r="H558" s="29">
        <f>IF(OR(553&gt;$Z$1,NOT(OR('Your debts'!$B$7&lt;&gt;"",N('Your debts'!$C$7)&gt;0))),"",IF('Your debts'!$D$20="Avalanche",'Avalanche workings'!$M$560,'Snowball workings'!$M$560)+IF('Your debts'!$D$20="Avalanche",'Avalanche workings'!$AG$560,'Snowball workings'!$AG$560))</f>
      </c>
      <c r="I558" s="30">
        <f>IF(OR(553&gt;$Z$1,NOT(OR('Your debts'!$B$7&lt;&gt;"",N('Your debts'!$C$7)&gt;0))),"",IF('Your debts'!$D$20="Avalanche",'Avalanche workings'!$AQ$560,'Snowball workings'!$AQ$560))</f>
      </c>
      <c r="J558" s="29">
        <f>IF(OR(553&gt;$Z$1,NOT(OR('Your debts'!$B$8&lt;&gt;"",N('Your debts'!$C$8)&gt;0))),"",IF('Your debts'!$D$20="Avalanche",'Avalanche workings'!$N$560,'Snowball workings'!$N$560)+IF('Your debts'!$D$20="Avalanche",'Avalanche workings'!$AH$560,'Snowball workings'!$AH$560))</f>
      </c>
      <c r="K558" s="30">
        <f>IF(OR(553&gt;$Z$1,NOT(OR('Your debts'!$B$8&lt;&gt;"",N('Your debts'!$C$8)&gt;0))),"",IF('Your debts'!$D$20="Avalanche",'Avalanche workings'!$AR$560,'Snowball workings'!$AR$560))</f>
      </c>
      <c r="L558" s="29">
        <f>IF(OR(553&gt;$Z$1,NOT(OR('Your debts'!$B$9&lt;&gt;"",N('Your debts'!$C$9)&gt;0))),"",IF('Your debts'!$D$20="Avalanche",'Avalanche workings'!$O$560,'Snowball workings'!$O$560)+IF('Your debts'!$D$20="Avalanche",'Avalanche workings'!$AI$560,'Snowball workings'!$AI$560))</f>
      </c>
      <c r="M558" s="30">
        <f>IF(OR(553&gt;$Z$1,NOT(OR('Your debts'!$B$9&lt;&gt;"",N('Your debts'!$C$9)&gt;0))),"",IF('Your debts'!$D$20="Avalanche",'Avalanche workings'!$AS$560,'Snowball workings'!$AS$560))</f>
      </c>
      <c r="N558" s="29">
        <f>IF(OR(553&gt;$Z$1,NOT(OR('Your debts'!$B$10&lt;&gt;"",N('Your debts'!$C$10)&gt;0))),"",IF('Your debts'!$D$20="Avalanche",'Avalanche workings'!$P$560,'Snowball workings'!$P$560)+IF('Your debts'!$D$20="Avalanche",'Avalanche workings'!$AJ$560,'Snowball workings'!$AJ$560))</f>
      </c>
      <c r="O558" s="30">
        <f>IF(OR(553&gt;$Z$1,NOT(OR('Your debts'!$B$10&lt;&gt;"",N('Your debts'!$C$10)&gt;0))),"",IF('Your debts'!$D$20="Avalanche",'Avalanche workings'!$AT$560,'Snowball workings'!$AT$560))</f>
      </c>
      <c r="P558" s="29">
        <f>IF(OR(553&gt;$Z$1,NOT(OR('Your debts'!$B$11&lt;&gt;"",N('Your debts'!$C$11)&gt;0))),"",IF('Your debts'!$D$20="Avalanche",'Avalanche workings'!$Q$560,'Snowball workings'!$Q$560)+IF('Your debts'!$D$20="Avalanche",'Avalanche workings'!$AK$560,'Snowball workings'!$AK$560))</f>
      </c>
      <c r="Q558" s="30">
        <f>IF(OR(553&gt;$Z$1,NOT(OR('Your debts'!$B$11&lt;&gt;"",N('Your debts'!$C$11)&gt;0))),"",IF('Your debts'!$D$20="Avalanche",'Avalanche workings'!$AU$560,'Snowball workings'!$AU$560))</f>
      </c>
      <c r="R558" s="29">
        <f>IF(OR(553&gt;$Z$1,NOT(OR('Your debts'!$B$12&lt;&gt;"",N('Your debts'!$C$12)&gt;0))),"",IF('Your debts'!$D$20="Avalanche",'Avalanche workings'!$R$560,'Snowball workings'!$R$560)+IF('Your debts'!$D$20="Avalanche",'Avalanche workings'!$AL$560,'Snowball workings'!$AL$560))</f>
      </c>
      <c r="S558" s="30">
        <f>IF(OR(553&gt;$Z$1,NOT(OR('Your debts'!$B$12&lt;&gt;"",N('Your debts'!$C$12)&gt;0))),"",IF('Your debts'!$D$20="Avalanche",'Avalanche workings'!$AV$560,'Snowball workings'!$AV$560))</f>
      </c>
      <c r="T558" s="29">
        <f>IF(OR(553&gt;$Z$1,NOT(OR('Your debts'!$B$13&lt;&gt;"",N('Your debts'!$C$13)&gt;0))),"",IF('Your debts'!$D$20="Avalanche",'Avalanche workings'!$S$560,'Snowball workings'!$S$560)+IF('Your debts'!$D$20="Avalanche",'Avalanche workings'!$AM$560,'Snowball workings'!$AM$560))</f>
      </c>
      <c r="U558" s="30">
        <f>IF(OR(553&gt;$Z$1,NOT(OR('Your debts'!$B$13&lt;&gt;"",N('Your debts'!$C$13)&gt;0))),"",IF('Your debts'!$D$20="Avalanche",'Avalanche workings'!$AW$560,'Snowball workings'!$AW$560))</f>
      </c>
      <c r="V558" s="29">
        <f>IF(OR(553&gt;$Z$1,NOT(OR('Your debts'!$B$14&lt;&gt;"",N('Your debts'!$C$14)&gt;0))),"",IF('Your debts'!$D$20="Avalanche",'Avalanche workings'!$T$560,'Snowball workings'!$T$560)+IF('Your debts'!$D$20="Avalanche",'Avalanche workings'!$AN$560,'Snowball workings'!$AN$560))</f>
      </c>
      <c r="W558" s="30">
        <f>IF(OR(553&gt;$Z$1,NOT(OR('Your debts'!$B$14&lt;&gt;"",N('Your debts'!$C$14)&gt;0))),"",IF('Your debts'!$D$20="Avalanche",'Avalanche workings'!$AX$560,'Snowball workings'!$AX$560))</f>
      </c>
      <c r="X558" s="29">
        <f>IF(OR(553&gt;$Z$1,NOT(OR('Your debts'!$B$15&lt;&gt;"",N('Your debts'!$C$15)&gt;0))),"",IF('Your debts'!$D$20="Avalanche",'Avalanche workings'!$U$560,'Snowball workings'!$U$560)+IF('Your debts'!$D$20="Avalanche",'Avalanche workings'!$AO$560,'Snowball workings'!$AO$560))</f>
      </c>
      <c r="Y558" s="30">
        <f>IF(OR(553&gt;$Z$1,NOT(OR('Your debts'!$B$15&lt;&gt;"",N('Your debts'!$C$15)&gt;0))),"",IF('Your debts'!$D$20="Avalanche",'Avalanche workings'!$AY$560,'Snowball workings'!$AY$560))</f>
      </c>
    </row>
    <row r="559" spans="1:25" x14ac:dyDescent="0.25">
      <c r="A559" s="2">
        <f>IF(554&gt;$Z$1,"",554)</f>
      </c>
      <c r="B559" s="28">
        <f>IF(554&gt;$Z$1,"",EDATE('Your debts'!$D$21,553))</f>
      </c>
      <c r="C559" s="29">
        <f>IF(554&gt;$Z$1,"",IF('Your debts'!$D$20="Avalanche",'Avalanche workings'!$BC$561,'Snowball workings'!$BC$561))</f>
      </c>
      <c r="D559" s="29">
        <f>IF(554&gt;$Z$1,"",IF('Your debts'!$D$20="Avalanche",'Avalanche workings'!$BA$561,'Snowball workings'!$BA$561))</f>
      </c>
      <c r="E559" s="29">
        <f>IF(554&gt;$Z$1,"",IF('Your debts'!$D$20="Avalanche",'Avalanche workings'!$BB$561,'Snowball workings'!$BB$561))</f>
      </c>
      <c r="F559" s="29">
        <f>IF(OR(554&gt;$Z$1,NOT(OR('Your debts'!$B$6&lt;&gt;"",N('Your debts'!$C$6)&gt;0))),"",IF('Your debts'!$D$20="Avalanche",'Avalanche workings'!$L$561,'Snowball workings'!$L$561)+IF('Your debts'!$D$20="Avalanche",'Avalanche workings'!$AF$561,'Snowball workings'!$AF$561))</f>
      </c>
      <c r="G559" s="30">
        <f>IF(OR(554&gt;$Z$1,NOT(OR('Your debts'!$B$6&lt;&gt;"",N('Your debts'!$C$6)&gt;0))),"",IF('Your debts'!$D$20="Avalanche",'Avalanche workings'!$AP$561,'Snowball workings'!$AP$561))</f>
      </c>
      <c r="H559" s="29">
        <f>IF(OR(554&gt;$Z$1,NOT(OR('Your debts'!$B$7&lt;&gt;"",N('Your debts'!$C$7)&gt;0))),"",IF('Your debts'!$D$20="Avalanche",'Avalanche workings'!$M$561,'Snowball workings'!$M$561)+IF('Your debts'!$D$20="Avalanche",'Avalanche workings'!$AG$561,'Snowball workings'!$AG$561))</f>
      </c>
      <c r="I559" s="30">
        <f>IF(OR(554&gt;$Z$1,NOT(OR('Your debts'!$B$7&lt;&gt;"",N('Your debts'!$C$7)&gt;0))),"",IF('Your debts'!$D$20="Avalanche",'Avalanche workings'!$AQ$561,'Snowball workings'!$AQ$561))</f>
      </c>
      <c r="J559" s="29">
        <f>IF(OR(554&gt;$Z$1,NOT(OR('Your debts'!$B$8&lt;&gt;"",N('Your debts'!$C$8)&gt;0))),"",IF('Your debts'!$D$20="Avalanche",'Avalanche workings'!$N$561,'Snowball workings'!$N$561)+IF('Your debts'!$D$20="Avalanche",'Avalanche workings'!$AH$561,'Snowball workings'!$AH$561))</f>
      </c>
      <c r="K559" s="30">
        <f>IF(OR(554&gt;$Z$1,NOT(OR('Your debts'!$B$8&lt;&gt;"",N('Your debts'!$C$8)&gt;0))),"",IF('Your debts'!$D$20="Avalanche",'Avalanche workings'!$AR$561,'Snowball workings'!$AR$561))</f>
      </c>
      <c r="L559" s="29">
        <f>IF(OR(554&gt;$Z$1,NOT(OR('Your debts'!$B$9&lt;&gt;"",N('Your debts'!$C$9)&gt;0))),"",IF('Your debts'!$D$20="Avalanche",'Avalanche workings'!$O$561,'Snowball workings'!$O$561)+IF('Your debts'!$D$20="Avalanche",'Avalanche workings'!$AI$561,'Snowball workings'!$AI$561))</f>
      </c>
      <c r="M559" s="30">
        <f>IF(OR(554&gt;$Z$1,NOT(OR('Your debts'!$B$9&lt;&gt;"",N('Your debts'!$C$9)&gt;0))),"",IF('Your debts'!$D$20="Avalanche",'Avalanche workings'!$AS$561,'Snowball workings'!$AS$561))</f>
      </c>
      <c r="N559" s="29">
        <f>IF(OR(554&gt;$Z$1,NOT(OR('Your debts'!$B$10&lt;&gt;"",N('Your debts'!$C$10)&gt;0))),"",IF('Your debts'!$D$20="Avalanche",'Avalanche workings'!$P$561,'Snowball workings'!$P$561)+IF('Your debts'!$D$20="Avalanche",'Avalanche workings'!$AJ$561,'Snowball workings'!$AJ$561))</f>
      </c>
      <c r="O559" s="30">
        <f>IF(OR(554&gt;$Z$1,NOT(OR('Your debts'!$B$10&lt;&gt;"",N('Your debts'!$C$10)&gt;0))),"",IF('Your debts'!$D$20="Avalanche",'Avalanche workings'!$AT$561,'Snowball workings'!$AT$561))</f>
      </c>
      <c r="P559" s="29">
        <f>IF(OR(554&gt;$Z$1,NOT(OR('Your debts'!$B$11&lt;&gt;"",N('Your debts'!$C$11)&gt;0))),"",IF('Your debts'!$D$20="Avalanche",'Avalanche workings'!$Q$561,'Snowball workings'!$Q$561)+IF('Your debts'!$D$20="Avalanche",'Avalanche workings'!$AK$561,'Snowball workings'!$AK$561))</f>
      </c>
      <c r="Q559" s="30">
        <f>IF(OR(554&gt;$Z$1,NOT(OR('Your debts'!$B$11&lt;&gt;"",N('Your debts'!$C$11)&gt;0))),"",IF('Your debts'!$D$20="Avalanche",'Avalanche workings'!$AU$561,'Snowball workings'!$AU$561))</f>
      </c>
      <c r="R559" s="29">
        <f>IF(OR(554&gt;$Z$1,NOT(OR('Your debts'!$B$12&lt;&gt;"",N('Your debts'!$C$12)&gt;0))),"",IF('Your debts'!$D$20="Avalanche",'Avalanche workings'!$R$561,'Snowball workings'!$R$561)+IF('Your debts'!$D$20="Avalanche",'Avalanche workings'!$AL$561,'Snowball workings'!$AL$561))</f>
      </c>
      <c r="S559" s="30">
        <f>IF(OR(554&gt;$Z$1,NOT(OR('Your debts'!$B$12&lt;&gt;"",N('Your debts'!$C$12)&gt;0))),"",IF('Your debts'!$D$20="Avalanche",'Avalanche workings'!$AV$561,'Snowball workings'!$AV$561))</f>
      </c>
      <c r="T559" s="29">
        <f>IF(OR(554&gt;$Z$1,NOT(OR('Your debts'!$B$13&lt;&gt;"",N('Your debts'!$C$13)&gt;0))),"",IF('Your debts'!$D$20="Avalanche",'Avalanche workings'!$S$561,'Snowball workings'!$S$561)+IF('Your debts'!$D$20="Avalanche",'Avalanche workings'!$AM$561,'Snowball workings'!$AM$561))</f>
      </c>
      <c r="U559" s="30">
        <f>IF(OR(554&gt;$Z$1,NOT(OR('Your debts'!$B$13&lt;&gt;"",N('Your debts'!$C$13)&gt;0))),"",IF('Your debts'!$D$20="Avalanche",'Avalanche workings'!$AW$561,'Snowball workings'!$AW$561))</f>
      </c>
      <c r="V559" s="29">
        <f>IF(OR(554&gt;$Z$1,NOT(OR('Your debts'!$B$14&lt;&gt;"",N('Your debts'!$C$14)&gt;0))),"",IF('Your debts'!$D$20="Avalanche",'Avalanche workings'!$T$561,'Snowball workings'!$T$561)+IF('Your debts'!$D$20="Avalanche",'Avalanche workings'!$AN$561,'Snowball workings'!$AN$561))</f>
      </c>
      <c r="W559" s="30">
        <f>IF(OR(554&gt;$Z$1,NOT(OR('Your debts'!$B$14&lt;&gt;"",N('Your debts'!$C$14)&gt;0))),"",IF('Your debts'!$D$20="Avalanche",'Avalanche workings'!$AX$561,'Snowball workings'!$AX$561))</f>
      </c>
      <c r="X559" s="29">
        <f>IF(OR(554&gt;$Z$1,NOT(OR('Your debts'!$B$15&lt;&gt;"",N('Your debts'!$C$15)&gt;0))),"",IF('Your debts'!$D$20="Avalanche",'Avalanche workings'!$U$561,'Snowball workings'!$U$561)+IF('Your debts'!$D$20="Avalanche",'Avalanche workings'!$AO$561,'Snowball workings'!$AO$561))</f>
      </c>
      <c r="Y559" s="30">
        <f>IF(OR(554&gt;$Z$1,NOT(OR('Your debts'!$B$15&lt;&gt;"",N('Your debts'!$C$15)&gt;0))),"",IF('Your debts'!$D$20="Avalanche",'Avalanche workings'!$AY$561,'Snowball workings'!$AY$561))</f>
      </c>
    </row>
    <row r="560" spans="1:25" x14ac:dyDescent="0.25">
      <c r="A560" s="2">
        <f>IF(555&gt;$Z$1,"",555)</f>
      </c>
      <c r="B560" s="28">
        <f>IF(555&gt;$Z$1,"",EDATE('Your debts'!$D$21,554))</f>
      </c>
      <c r="C560" s="29">
        <f>IF(555&gt;$Z$1,"",IF('Your debts'!$D$20="Avalanche",'Avalanche workings'!$BC$562,'Snowball workings'!$BC$562))</f>
      </c>
      <c r="D560" s="29">
        <f>IF(555&gt;$Z$1,"",IF('Your debts'!$D$20="Avalanche",'Avalanche workings'!$BA$562,'Snowball workings'!$BA$562))</f>
      </c>
      <c r="E560" s="29">
        <f>IF(555&gt;$Z$1,"",IF('Your debts'!$D$20="Avalanche",'Avalanche workings'!$BB$562,'Snowball workings'!$BB$562))</f>
      </c>
      <c r="F560" s="29">
        <f>IF(OR(555&gt;$Z$1,NOT(OR('Your debts'!$B$6&lt;&gt;"",N('Your debts'!$C$6)&gt;0))),"",IF('Your debts'!$D$20="Avalanche",'Avalanche workings'!$L$562,'Snowball workings'!$L$562)+IF('Your debts'!$D$20="Avalanche",'Avalanche workings'!$AF$562,'Snowball workings'!$AF$562))</f>
      </c>
      <c r="G560" s="30">
        <f>IF(OR(555&gt;$Z$1,NOT(OR('Your debts'!$B$6&lt;&gt;"",N('Your debts'!$C$6)&gt;0))),"",IF('Your debts'!$D$20="Avalanche",'Avalanche workings'!$AP$562,'Snowball workings'!$AP$562))</f>
      </c>
      <c r="H560" s="29">
        <f>IF(OR(555&gt;$Z$1,NOT(OR('Your debts'!$B$7&lt;&gt;"",N('Your debts'!$C$7)&gt;0))),"",IF('Your debts'!$D$20="Avalanche",'Avalanche workings'!$M$562,'Snowball workings'!$M$562)+IF('Your debts'!$D$20="Avalanche",'Avalanche workings'!$AG$562,'Snowball workings'!$AG$562))</f>
      </c>
      <c r="I560" s="30">
        <f>IF(OR(555&gt;$Z$1,NOT(OR('Your debts'!$B$7&lt;&gt;"",N('Your debts'!$C$7)&gt;0))),"",IF('Your debts'!$D$20="Avalanche",'Avalanche workings'!$AQ$562,'Snowball workings'!$AQ$562))</f>
      </c>
      <c r="J560" s="29">
        <f>IF(OR(555&gt;$Z$1,NOT(OR('Your debts'!$B$8&lt;&gt;"",N('Your debts'!$C$8)&gt;0))),"",IF('Your debts'!$D$20="Avalanche",'Avalanche workings'!$N$562,'Snowball workings'!$N$562)+IF('Your debts'!$D$20="Avalanche",'Avalanche workings'!$AH$562,'Snowball workings'!$AH$562))</f>
      </c>
      <c r="K560" s="30">
        <f>IF(OR(555&gt;$Z$1,NOT(OR('Your debts'!$B$8&lt;&gt;"",N('Your debts'!$C$8)&gt;0))),"",IF('Your debts'!$D$20="Avalanche",'Avalanche workings'!$AR$562,'Snowball workings'!$AR$562))</f>
      </c>
      <c r="L560" s="29">
        <f>IF(OR(555&gt;$Z$1,NOT(OR('Your debts'!$B$9&lt;&gt;"",N('Your debts'!$C$9)&gt;0))),"",IF('Your debts'!$D$20="Avalanche",'Avalanche workings'!$O$562,'Snowball workings'!$O$562)+IF('Your debts'!$D$20="Avalanche",'Avalanche workings'!$AI$562,'Snowball workings'!$AI$562))</f>
      </c>
      <c r="M560" s="30">
        <f>IF(OR(555&gt;$Z$1,NOT(OR('Your debts'!$B$9&lt;&gt;"",N('Your debts'!$C$9)&gt;0))),"",IF('Your debts'!$D$20="Avalanche",'Avalanche workings'!$AS$562,'Snowball workings'!$AS$562))</f>
      </c>
      <c r="N560" s="29">
        <f>IF(OR(555&gt;$Z$1,NOT(OR('Your debts'!$B$10&lt;&gt;"",N('Your debts'!$C$10)&gt;0))),"",IF('Your debts'!$D$20="Avalanche",'Avalanche workings'!$P$562,'Snowball workings'!$P$562)+IF('Your debts'!$D$20="Avalanche",'Avalanche workings'!$AJ$562,'Snowball workings'!$AJ$562))</f>
      </c>
      <c r="O560" s="30">
        <f>IF(OR(555&gt;$Z$1,NOT(OR('Your debts'!$B$10&lt;&gt;"",N('Your debts'!$C$10)&gt;0))),"",IF('Your debts'!$D$20="Avalanche",'Avalanche workings'!$AT$562,'Snowball workings'!$AT$562))</f>
      </c>
      <c r="P560" s="29">
        <f>IF(OR(555&gt;$Z$1,NOT(OR('Your debts'!$B$11&lt;&gt;"",N('Your debts'!$C$11)&gt;0))),"",IF('Your debts'!$D$20="Avalanche",'Avalanche workings'!$Q$562,'Snowball workings'!$Q$562)+IF('Your debts'!$D$20="Avalanche",'Avalanche workings'!$AK$562,'Snowball workings'!$AK$562))</f>
      </c>
      <c r="Q560" s="30">
        <f>IF(OR(555&gt;$Z$1,NOT(OR('Your debts'!$B$11&lt;&gt;"",N('Your debts'!$C$11)&gt;0))),"",IF('Your debts'!$D$20="Avalanche",'Avalanche workings'!$AU$562,'Snowball workings'!$AU$562))</f>
      </c>
      <c r="R560" s="29">
        <f>IF(OR(555&gt;$Z$1,NOT(OR('Your debts'!$B$12&lt;&gt;"",N('Your debts'!$C$12)&gt;0))),"",IF('Your debts'!$D$20="Avalanche",'Avalanche workings'!$R$562,'Snowball workings'!$R$562)+IF('Your debts'!$D$20="Avalanche",'Avalanche workings'!$AL$562,'Snowball workings'!$AL$562))</f>
      </c>
      <c r="S560" s="30">
        <f>IF(OR(555&gt;$Z$1,NOT(OR('Your debts'!$B$12&lt;&gt;"",N('Your debts'!$C$12)&gt;0))),"",IF('Your debts'!$D$20="Avalanche",'Avalanche workings'!$AV$562,'Snowball workings'!$AV$562))</f>
      </c>
      <c r="T560" s="29">
        <f>IF(OR(555&gt;$Z$1,NOT(OR('Your debts'!$B$13&lt;&gt;"",N('Your debts'!$C$13)&gt;0))),"",IF('Your debts'!$D$20="Avalanche",'Avalanche workings'!$S$562,'Snowball workings'!$S$562)+IF('Your debts'!$D$20="Avalanche",'Avalanche workings'!$AM$562,'Snowball workings'!$AM$562))</f>
      </c>
      <c r="U560" s="30">
        <f>IF(OR(555&gt;$Z$1,NOT(OR('Your debts'!$B$13&lt;&gt;"",N('Your debts'!$C$13)&gt;0))),"",IF('Your debts'!$D$20="Avalanche",'Avalanche workings'!$AW$562,'Snowball workings'!$AW$562))</f>
      </c>
      <c r="V560" s="29">
        <f>IF(OR(555&gt;$Z$1,NOT(OR('Your debts'!$B$14&lt;&gt;"",N('Your debts'!$C$14)&gt;0))),"",IF('Your debts'!$D$20="Avalanche",'Avalanche workings'!$T$562,'Snowball workings'!$T$562)+IF('Your debts'!$D$20="Avalanche",'Avalanche workings'!$AN$562,'Snowball workings'!$AN$562))</f>
      </c>
      <c r="W560" s="30">
        <f>IF(OR(555&gt;$Z$1,NOT(OR('Your debts'!$B$14&lt;&gt;"",N('Your debts'!$C$14)&gt;0))),"",IF('Your debts'!$D$20="Avalanche",'Avalanche workings'!$AX$562,'Snowball workings'!$AX$562))</f>
      </c>
      <c r="X560" s="29">
        <f>IF(OR(555&gt;$Z$1,NOT(OR('Your debts'!$B$15&lt;&gt;"",N('Your debts'!$C$15)&gt;0))),"",IF('Your debts'!$D$20="Avalanche",'Avalanche workings'!$U$562,'Snowball workings'!$U$562)+IF('Your debts'!$D$20="Avalanche",'Avalanche workings'!$AO$562,'Snowball workings'!$AO$562))</f>
      </c>
      <c r="Y560" s="30">
        <f>IF(OR(555&gt;$Z$1,NOT(OR('Your debts'!$B$15&lt;&gt;"",N('Your debts'!$C$15)&gt;0))),"",IF('Your debts'!$D$20="Avalanche",'Avalanche workings'!$AY$562,'Snowball workings'!$AY$562))</f>
      </c>
    </row>
    <row r="561" spans="1:25" x14ac:dyDescent="0.25">
      <c r="A561" s="2">
        <f>IF(556&gt;$Z$1,"",556)</f>
      </c>
      <c r="B561" s="28">
        <f>IF(556&gt;$Z$1,"",EDATE('Your debts'!$D$21,555))</f>
      </c>
      <c r="C561" s="29">
        <f>IF(556&gt;$Z$1,"",IF('Your debts'!$D$20="Avalanche",'Avalanche workings'!$BC$563,'Snowball workings'!$BC$563))</f>
      </c>
      <c r="D561" s="29">
        <f>IF(556&gt;$Z$1,"",IF('Your debts'!$D$20="Avalanche",'Avalanche workings'!$BA$563,'Snowball workings'!$BA$563))</f>
      </c>
      <c r="E561" s="29">
        <f>IF(556&gt;$Z$1,"",IF('Your debts'!$D$20="Avalanche",'Avalanche workings'!$BB$563,'Snowball workings'!$BB$563))</f>
      </c>
      <c r="F561" s="29">
        <f>IF(OR(556&gt;$Z$1,NOT(OR('Your debts'!$B$6&lt;&gt;"",N('Your debts'!$C$6)&gt;0))),"",IF('Your debts'!$D$20="Avalanche",'Avalanche workings'!$L$563,'Snowball workings'!$L$563)+IF('Your debts'!$D$20="Avalanche",'Avalanche workings'!$AF$563,'Snowball workings'!$AF$563))</f>
      </c>
      <c r="G561" s="30">
        <f>IF(OR(556&gt;$Z$1,NOT(OR('Your debts'!$B$6&lt;&gt;"",N('Your debts'!$C$6)&gt;0))),"",IF('Your debts'!$D$20="Avalanche",'Avalanche workings'!$AP$563,'Snowball workings'!$AP$563))</f>
      </c>
      <c r="H561" s="29">
        <f>IF(OR(556&gt;$Z$1,NOT(OR('Your debts'!$B$7&lt;&gt;"",N('Your debts'!$C$7)&gt;0))),"",IF('Your debts'!$D$20="Avalanche",'Avalanche workings'!$M$563,'Snowball workings'!$M$563)+IF('Your debts'!$D$20="Avalanche",'Avalanche workings'!$AG$563,'Snowball workings'!$AG$563))</f>
      </c>
      <c r="I561" s="30">
        <f>IF(OR(556&gt;$Z$1,NOT(OR('Your debts'!$B$7&lt;&gt;"",N('Your debts'!$C$7)&gt;0))),"",IF('Your debts'!$D$20="Avalanche",'Avalanche workings'!$AQ$563,'Snowball workings'!$AQ$563))</f>
      </c>
      <c r="J561" s="29">
        <f>IF(OR(556&gt;$Z$1,NOT(OR('Your debts'!$B$8&lt;&gt;"",N('Your debts'!$C$8)&gt;0))),"",IF('Your debts'!$D$20="Avalanche",'Avalanche workings'!$N$563,'Snowball workings'!$N$563)+IF('Your debts'!$D$20="Avalanche",'Avalanche workings'!$AH$563,'Snowball workings'!$AH$563))</f>
      </c>
      <c r="K561" s="30">
        <f>IF(OR(556&gt;$Z$1,NOT(OR('Your debts'!$B$8&lt;&gt;"",N('Your debts'!$C$8)&gt;0))),"",IF('Your debts'!$D$20="Avalanche",'Avalanche workings'!$AR$563,'Snowball workings'!$AR$563))</f>
      </c>
      <c r="L561" s="29">
        <f>IF(OR(556&gt;$Z$1,NOT(OR('Your debts'!$B$9&lt;&gt;"",N('Your debts'!$C$9)&gt;0))),"",IF('Your debts'!$D$20="Avalanche",'Avalanche workings'!$O$563,'Snowball workings'!$O$563)+IF('Your debts'!$D$20="Avalanche",'Avalanche workings'!$AI$563,'Snowball workings'!$AI$563))</f>
      </c>
      <c r="M561" s="30">
        <f>IF(OR(556&gt;$Z$1,NOT(OR('Your debts'!$B$9&lt;&gt;"",N('Your debts'!$C$9)&gt;0))),"",IF('Your debts'!$D$20="Avalanche",'Avalanche workings'!$AS$563,'Snowball workings'!$AS$563))</f>
      </c>
      <c r="N561" s="29">
        <f>IF(OR(556&gt;$Z$1,NOT(OR('Your debts'!$B$10&lt;&gt;"",N('Your debts'!$C$10)&gt;0))),"",IF('Your debts'!$D$20="Avalanche",'Avalanche workings'!$P$563,'Snowball workings'!$P$563)+IF('Your debts'!$D$20="Avalanche",'Avalanche workings'!$AJ$563,'Snowball workings'!$AJ$563))</f>
      </c>
      <c r="O561" s="30">
        <f>IF(OR(556&gt;$Z$1,NOT(OR('Your debts'!$B$10&lt;&gt;"",N('Your debts'!$C$10)&gt;0))),"",IF('Your debts'!$D$20="Avalanche",'Avalanche workings'!$AT$563,'Snowball workings'!$AT$563))</f>
      </c>
      <c r="P561" s="29">
        <f>IF(OR(556&gt;$Z$1,NOT(OR('Your debts'!$B$11&lt;&gt;"",N('Your debts'!$C$11)&gt;0))),"",IF('Your debts'!$D$20="Avalanche",'Avalanche workings'!$Q$563,'Snowball workings'!$Q$563)+IF('Your debts'!$D$20="Avalanche",'Avalanche workings'!$AK$563,'Snowball workings'!$AK$563))</f>
      </c>
      <c r="Q561" s="30">
        <f>IF(OR(556&gt;$Z$1,NOT(OR('Your debts'!$B$11&lt;&gt;"",N('Your debts'!$C$11)&gt;0))),"",IF('Your debts'!$D$20="Avalanche",'Avalanche workings'!$AU$563,'Snowball workings'!$AU$563))</f>
      </c>
      <c r="R561" s="29">
        <f>IF(OR(556&gt;$Z$1,NOT(OR('Your debts'!$B$12&lt;&gt;"",N('Your debts'!$C$12)&gt;0))),"",IF('Your debts'!$D$20="Avalanche",'Avalanche workings'!$R$563,'Snowball workings'!$R$563)+IF('Your debts'!$D$20="Avalanche",'Avalanche workings'!$AL$563,'Snowball workings'!$AL$563))</f>
      </c>
      <c r="S561" s="30">
        <f>IF(OR(556&gt;$Z$1,NOT(OR('Your debts'!$B$12&lt;&gt;"",N('Your debts'!$C$12)&gt;0))),"",IF('Your debts'!$D$20="Avalanche",'Avalanche workings'!$AV$563,'Snowball workings'!$AV$563))</f>
      </c>
      <c r="T561" s="29">
        <f>IF(OR(556&gt;$Z$1,NOT(OR('Your debts'!$B$13&lt;&gt;"",N('Your debts'!$C$13)&gt;0))),"",IF('Your debts'!$D$20="Avalanche",'Avalanche workings'!$S$563,'Snowball workings'!$S$563)+IF('Your debts'!$D$20="Avalanche",'Avalanche workings'!$AM$563,'Snowball workings'!$AM$563))</f>
      </c>
      <c r="U561" s="30">
        <f>IF(OR(556&gt;$Z$1,NOT(OR('Your debts'!$B$13&lt;&gt;"",N('Your debts'!$C$13)&gt;0))),"",IF('Your debts'!$D$20="Avalanche",'Avalanche workings'!$AW$563,'Snowball workings'!$AW$563))</f>
      </c>
      <c r="V561" s="29">
        <f>IF(OR(556&gt;$Z$1,NOT(OR('Your debts'!$B$14&lt;&gt;"",N('Your debts'!$C$14)&gt;0))),"",IF('Your debts'!$D$20="Avalanche",'Avalanche workings'!$T$563,'Snowball workings'!$T$563)+IF('Your debts'!$D$20="Avalanche",'Avalanche workings'!$AN$563,'Snowball workings'!$AN$563))</f>
      </c>
      <c r="W561" s="30">
        <f>IF(OR(556&gt;$Z$1,NOT(OR('Your debts'!$B$14&lt;&gt;"",N('Your debts'!$C$14)&gt;0))),"",IF('Your debts'!$D$20="Avalanche",'Avalanche workings'!$AX$563,'Snowball workings'!$AX$563))</f>
      </c>
      <c r="X561" s="29">
        <f>IF(OR(556&gt;$Z$1,NOT(OR('Your debts'!$B$15&lt;&gt;"",N('Your debts'!$C$15)&gt;0))),"",IF('Your debts'!$D$20="Avalanche",'Avalanche workings'!$U$563,'Snowball workings'!$U$563)+IF('Your debts'!$D$20="Avalanche",'Avalanche workings'!$AO$563,'Snowball workings'!$AO$563))</f>
      </c>
      <c r="Y561" s="30">
        <f>IF(OR(556&gt;$Z$1,NOT(OR('Your debts'!$B$15&lt;&gt;"",N('Your debts'!$C$15)&gt;0))),"",IF('Your debts'!$D$20="Avalanche",'Avalanche workings'!$AY$563,'Snowball workings'!$AY$563))</f>
      </c>
    </row>
    <row r="562" spans="1:25" x14ac:dyDescent="0.25">
      <c r="A562" s="2">
        <f>IF(557&gt;$Z$1,"",557)</f>
      </c>
      <c r="B562" s="28">
        <f>IF(557&gt;$Z$1,"",EDATE('Your debts'!$D$21,556))</f>
      </c>
      <c r="C562" s="29">
        <f>IF(557&gt;$Z$1,"",IF('Your debts'!$D$20="Avalanche",'Avalanche workings'!$BC$564,'Snowball workings'!$BC$564))</f>
      </c>
      <c r="D562" s="29">
        <f>IF(557&gt;$Z$1,"",IF('Your debts'!$D$20="Avalanche",'Avalanche workings'!$BA$564,'Snowball workings'!$BA$564))</f>
      </c>
      <c r="E562" s="29">
        <f>IF(557&gt;$Z$1,"",IF('Your debts'!$D$20="Avalanche",'Avalanche workings'!$BB$564,'Snowball workings'!$BB$564))</f>
      </c>
      <c r="F562" s="29">
        <f>IF(OR(557&gt;$Z$1,NOT(OR('Your debts'!$B$6&lt;&gt;"",N('Your debts'!$C$6)&gt;0))),"",IF('Your debts'!$D$20="Avalanche",'Avalanche workings'!$L$564,'Snowball workings'!$L$564)+IF('Your debts'!$D$20="Avalanche",'Avalanche workings'!$AF$564,'Snowball workings'!$AF$564))</f>
      </c>
      <c r="G562" s="30">
        <f>IF(OR(557&gt;$Z$1,NOT(OR('Your debts'!$B$6&lt;&gt;"",N('Your debts'!$C$6)&gt;0))),"",IF('Your debts'!$D$20="Avalanche",'Avalanche workings'!$AP$564,'Snowball workings'!$AP$564))</f>
      </c>
      <c r="H562" s="29">
        <f>IF(OR(557&gt;$Z$1,NOT(OR('Your debts'!$B$7&lt;&gt;"",N('Your debts'!$C$7)&gt;0))),"",IF('Your debts'!$D$20="Avalanche",'Avalanche workings'!$M$564,'Snowball workings'!$M$564)+IF('Your debts'!$D$20="Avalanche",'Avalanche workings'!$AG$564,'Snowball workings'!$AG$564))</f>
      </c>
      <c r="I562" s="30">
        <f>IF(OR(557&gt;$Z$1,NOT(OR('Your debts'!$B$7&lt;&gt;"",N('Your debts'!$C$7)&gt;0))),"",IF('Your debts'!$D$20="Avalanche",'Avalanche workings'!$AQ$564,'Snowball workings'!$AQ$564))</f>
      </c>
      <c r="J562" s="29">
        <f>IF(OR(557&gt;$Z$1,NOT(OR('Your debts'!$B$8&lt;&gt;"",N('Your debts'!$C$8)&gt;0))),"",IF('Your debts'!$D$20="Avalanche",'Avalanche workings'!$N$564,'Snowball workings'!$N$564)+IF('Your debts'!$D$20="Avalanche",'Avalanche workings'!$AH$564,'Snowball workings'!$AH$564))</f>
      </c>
      <c r="K562" s="30">
        <f>IF(OR(557&gt;$Z$1,NOT(OR('Your debts'!$B$8&lt;&gt;"",N('Your debts'!$C$8)&gt;0))),"",IF('Your debts'!$D$20="Avalanche",'Avalanche workings'!$AR$564,'Snowball workings'!$AR$564))</f>
      </c>
      <c r="L562" s="29">
        <f>IF(OR(557&gt;$Z$1,NOT(OR('Your debts'!$B$9&lt;&gt;"",N('Your debts'!$C$9)&gt;0))),"",IF('Your debts'!$D$20="Avalanche",'Avalanche workings'!$O$564,'Snowball workings'!$O$564)+IF('Your debts'!$D$20="Avalanche",'Avalanche workings'!$AI$564,'Snowball workings'!$AI$564))</f>
      </c>
      <c r="M562" s="30">
        <f>IF(OR(557&gt;$Z$1,NOT(OR('Your debts'!$B$9&lt;&gt;"",N('Your debts'!$C$9)&gt;0))),"",IF('Your debts'!$D$20="Avalanche",'Avalanche workings'!$AS$564,'Snowball workings'!$AS$564))</f>
      </c>
      <c r="N562" s="29">
        <f>IF(OR(557&gt;$Z$1,NOT(OR('Your debts'!$B$10&lt;&gt;"",N('Your debts'!$C$10)&gt;0))),"",IF('Your debts'!$D$20="Avalanche",'Avalanche workings'!$P$564,'Snowball workings'!$P$564)+IF('Your debts'!$D$20="Avalanche",'Avalanche workings'!$AJ$564,'Snowball workings'!$AJ$564))</f>
      </c>
      <c r="O562" s="30">
        <f>IF(OR(557&gt;$Z$1,NOT(OR('Your debts'!$B$10&lt;&gt;"",N('Your debts'!$C$10)&gt;0))),"",IF('Your debts'!$D$20="Avalanche",'Avalanche workings'!$AT$564,'Snowball workings'!$AT$564))</f>
      </c>
      <c r="P562" s="29">
        <f>IF(OR(557&gt;$Z$1,NOT(OR('Your debts'!$B$11&lt;&gt;"",N('Your debts'!$C$11)&gt;0))),"",IF('Your debts'!$D$20="Avalanche",'Avalanche workings'!$Q$564,'Snowball workings'!$Q$564)+IF('Your debts'!$D$20="Avalanche",'Avalanche workings'!$AK$564,'Snowball workings'!$AK$564))</f>
      </c>
      <c r="Q562" s="30">
        <f>IF(OR(557&gt;$Z$1,NOT(OR('Your debts'!$B$11&lt;&gt;"",N('Your debts'!$C$11)&gt;0))),"",IF('Your debts'!$D$20="Avalanche",'Avalanche workings'!$AU$564,'Snowball workings'!$AU$564))</f>
      </c>
      <c r="R562" s="29">
        <f>IF(OR(557&gt;$Z$1,NOT(OR('Your debts'!$B$12&lt;&gt;"",N('Your debts'!$C$12)&gt;0))),"",IF('Your debts'!$D$20="Avalanche",'Avalanche workings'!$R$564,'Snowball workings'!$R$564)+IF('Your debts'!$D$20="Avalanche",'Avalanche workings'!$AL$564,'Snowball workings'!$AL$564))</f>
      </c>
      <c r="S562" s="30">
        <f>IF(OR(557&gt;$Z$1,NOT(OR('Your debts'!$B$12&lt;&gt;"",N('Your debts'!$C$12)&gt;0))),"",IF('Your debts'!$D$20="Avalanche",'Avalanche workings'!$AV$564,'Snowball workings'!$AV$564))</f>
      </c>
      <c r="T562" s="29">
        <f>IF(OR(557&gt;$Z$1,NOT(OR('Your debts'!$B$13&lt;&gt;"",N('Your debts'!$C$13)&gt;0))),"",IF('Your debts'!$D$20="Avalanche",'Avalanche workings'!$S$564,'Snowball workings'!$S$564)+IF('Your debts'!$D$20="Avalanche",'Avalanche workings'!$AM$564,'Snowball workings'!$AM$564))</f>
      </c>
      <c r="U562" s="30">
        <f>IF(OR(557&gt;$Z$1,NOT(OR('Your debts'!$B$13&lt;&gt;"",N('Your debts'!$C$13)&gt;0))),"",IF('Your debts'!$D$20="Avalanche",'Avalanche workings'!$AW$564,'Snowball workings'!$AW$564))</f>
      </c>
      <c r="V562" s="29">
        <f>IF(OR(557&gt;$Z$1,NOT(OR('Your debts'!$B$14&lt;&gt;"",N('Your debts'!$C$14)&gt;0))),"",IF('Your debts'!$D$20="Avalanche",'Avalanche workings'!$T$564,'Snowball workings'!$T$564)+IF('Your debts'!$D$20="Avalanche",'Avalanche workings'!$AN$564,'Snowball workings'!$AN$564))</f>
      </c>
      <c r="W562" s="30">
        <f>IF(OR(557&gt;$Z$1,NOT(OR('Your debts'!$B$14&lt;&gt;"",N('Your debts'!$C$14)&gt;0))),"",IF('Your debts'!$D$20="Avalanche",'Avalanche workings'!$AX$564,'Snowball workings'!$AX$564))</f>
      </c>
      <c r="X562" s="29">
        <f>IF(OR(557&gt;$Z$1,NOT(OR('Your debts'!$B$15&lt;&gt;"",N('Your debts'!$C$15)&gt;0))),"",IF('Your debts'!$D$20="Avalanche",'Avalanche workings'!$U$564,'Snowball workings'!$U$564)+IF('Your debts'!$D$20="Avalanche",'Avalanche workings'!$AO$564,'Snowball workings'!$AO$564))</f>
      </c>
      <c r="Y562" s="30">
        <f>IF(OR(557&gt;$Z$1,NOT(OR('Your debts'!$B$15&lt;&gt;"",N('Your debts'!$C$15)&gt;0))),"",IF('Your debts'!$D$20="Avalanche",'Avalanche workings'!$AY$564,'Snowball workings'!$AY$564))</f>
      </c>
    </row>
    <row r="563" spans="1:25" x14ac:dyDescent="0.25">
      <c r="A563" s="2">
        <f>IF(558&gt;$Z$1,"",558)</f>
      </c>
      <c r="B563" s="28">
        <f>IF(558&gt;$Z$1,"",EDATE('Your debts'!$D$21,557))</f>
      </c>
      <c r="C563" s="29">
        <f>IF(558&gt;$Z$1,"",IF('Your debts'!$D$20="Avalanche",'Avalanche workings'!$BC$565,'Snowball workings'!$BC$565))</f>
      </c>
      <c r="D563" s="29">
        <f>IF(558&gt;$Z$1,"",IF('Your debts'!$D$20="Avalanche",'Avalanche workings'!$BA$565,'Snowball workings'!$BA$565))</f>
      </c>
      <c r="E563" s="29">
        <f>IF(558&gt;$Z$1,"",IF('Your debts'!$D$20="Avalanche",'Avalanche workings'!$BB$565,'Snowball workings'!$BB$565))</f>
      </c>
      <c r="F563" s="29">
        <f>IF(OR(558&gt;$Z$1,NOT(OR('Your debts'!$B$6&lt;&gt;"",N('Your debts'!$C$6)&gt;0))),"",IF('Your debts'!$D$20="Avalanche",'Avalanche workings'!$L$565,'Snowball workings'!$L$565)+IF('Your debts'!$D$20="Avalanche",'Avalanche workings'!$AF$565,'Snowball workings'!$AF$565))</f>
      </c>
      <c r="G563" s="30">
        <f>IF(OR(558&gt;$Z$1,NOT(OR('Your debts'!$B$6&lt;&gt;"",N('Your debts'!$C$6)&gt;0))),"",IF('Your debts'!$D$20="Avalanche",'Avalanche workings'!$AP$565,'Snowball workings'!$AP$565))</f>
      </c>
      <c r="H563" s="29">
        <f>IF(OR(558&gt;$Z$1,NOT(OR('Your debts'!$B$7&lt;&gt;"",N('Your debts'!$C$7)&gt;0))),"",IF('Your debts'!$D$20="Avalanche",'Avalanche workings'!$M$565,'Snowball workings'!$M$565)+IF('Your debts'!$D$20="Avalanche",'Avalanche workings'!$AG$565,'Snowball workings'!$AG$565))</f>
      </c>
      <c r="I563" s="30">
        <f>IF(OR(558&gt;$Z$1,NOT(OR('Your debts'!$B$7&lt;&gt;"",N('Your debts'!$C$7)&gt;0))),"",IF('Your debts'!$D$20="Avalanche",'Avalanche workings'!$AQ$565,'Snowball workings'!$AQ$565))</f>
      </c>
      <c r="J563" s="29">
        <f>IF(OR(558&gt;$Z$1,NOT(OR('Your debts'!$B$8&lt;&gt;"",N('Your debts'!$C$8)&gt;0))),"",IF('Your debts'!$D$20="Avalanche",'Avalanche workings'!$N$565,'Snowball workings'!$N$565)+IF('Your debts'!$D$20="Avalanche",'Avalanche workings'!$AH$565,'Snowball workings'!$AH$565))</f>
      </c>
      <c r="K563" s="30">
        <f>IF(OR(558&gt;$Z$1,NOT(OR('Your debts'!$B$8&lt;&gt;"",N('Your debts'!$C$8)&gt;0))),"",IF('Your debts'!$D$20="Avalanche",'Avalanche workings'!$AR$565,'Snowball workings'!$AR$565))</f>
      </c>
      <c r="L563" s="29">
        <f>IF(OR(558&gt;$Z$1,NOT(OR('Your debts'!$B$9&lt;&gt;"",N('Your debts'!$C$9)&gt;0))),"",IF('Your debts'!$D$20="Avalanche",'Avalanche workings'!$O$565,'Snowball workings'!$O$565)+IF('Your debts'!$D$20="Avalanche",'Avalanche workings'!$AI$565,'Snowball workings'!$AI$565))</f>
      </c>
      <c r="M563" s="30">
        <f>IF(OR(558&gt;$Z$1,NOT(OR('Your debts'!$B$9&lt;&gt;"",N('Your debts'!$C$9)&gt;0))),"",IF('Your debts'!$D$20="Avalanche",'Avalanche workings'!$AS$565,'Snowball workings'!$AS$565))</f>
      </c>
      <c r="N563" s="29">
        <f>IF(OR(558&gt;$Z$1,NOT(OR('Your debts'!$B$10&lt;&gt;"",N('Your debts'!$C$10)&gt;0))),"",IF('Your debts'!$D$20="Avalanche",'Avalanche workings'!$P$565,'Snowball workings'!$P$565)+IF('Your debts'!$D$20="Avalanche",'Avalanche workings'!$AJ$565,'Snowball workings'!$AJ$565))</f>
      </c>
      <c r="O563" s="30">
        <f>IF(OR(558&gt;$Z$1,NOT(OR('Your debts'!$B$10&lt;&gt;"",N('Your debts'!$C$10)&gt;0))),"",IF('Your debts'!$D$20="Avalanche",'Avalanche workings'!$AT$565,'Snowball workings'!$AT$565))</f>
      </c>
      <c r="P563" s="29">
        <f>IF(OR(558&gt;$Z$1,NOT(OR('Your debts'!$B$11&lt;&gt;"",N('Your debts'!$C$11)&gt;0))),"",IF('Your debts'!$D$20="Avalanche",'Avalanche workings'!$Q$565,'Snowball workings'!$Q$565)+IF('Your debts'!$D$20="Avalanche",'Avalanche workings'!$AK$565,'Snowball workings'!$AK$565))</f>
      </c>
      <c r="Q563" s="30">
        <f>IF(OR(558&gt;$Z$1,NOT(OR('Your debts'!$B$11&lt;&gt;"",N('Your debts'!$C$11)&gt;0))),"",IF('Your debts'!$D$20="Avalanche",'Avalanche workings'!$AU$565,'Snowball workings'!$AU$565))</f>
      </c>
      <c r="R563" s="29">
        <f>IF(OR(558&gt;$Z$1,NOT(OR('Your debts'!$B$12&lt;&gt;"",N('Your debts'!$C$12)&gt;0))),"",IF('Your debts'!$D$20="Avalanche",'Avalanche workings'!$R$565,'Snowball workings'!$R$565)+IF('Your debts'!$D$20="Avalanche",'Avalanche workings'!$AL$565,'Snowball workings'!$AL$565))</f>
      </c>
      <c r="S563" s="30">
        <f>IF(OR(558&gt;$Z$1,NOT(OR('Your debts'!$B$12&lt;&gt;"",N('Your debts'!$C$12)&gt;0))),"",IF('Your debts'!$D$20="Avalanche",'Avalanche workings'!$AV$565,'Snowball workings'!$AV$565))</f>
      </c>
      <c r="T563" s="29">
        <f>IF(OR(558&gt;$Z$1,NOT(OR('Your debts'!$B$13&lt;&gt;"",N('Your debts'!$C$13)&gt;0))),"",IF('Your debts'!$D$20="Avalanche",'Avalanche workings'!$S$565,'Snowball workings'!$S$565)+IF('Your debts'!$D$20="Avalanche",'Avalanche workings'!$AM$565,'Snowball workings'!$AM$565))</f>
      </c>
      <c r="U563" s="30">
        <f>IF(OR(558&gt;$Z$1,NOT(OR('Your debts'!$B$13&lt;&gt;"",N('Your debts'!$C$13)&gt;0))),"",IF('Your debts'!$D$20="Avalanche",'Avalanche workings'!$AW$565,'Snowball workings'!$AW$565))</f>
      </c>
      <c r="V563" s="29">
        <f>IF(OR(558&gt;$Z$1,NOT(OR('Your debts'!$B$14&lt;&gt;"",N('Your debts'!$C$14)&gt;0))),"",IF('Your debts'!$D$20="Avalanche",'Avalanche workings'!$T$565,'Snowball workings'!$T$565)+IF('Your debts'!$D$20="Avalanche",'Avalanche workings'!$AN$565,'Snowball workings'!$AN$565))</f>
      </c>
      <c r="W563" s="30">
        <f>IF(OR(558&gt;$Z$1,NOT(OR('Your debts'!$B$14&lt;&gt;"",N('Your debts'!$C$14)&gt;0))),"",IF('Your debts'!$D$20="Avalanche",'Avalanche workings'!$AX$565,'Snowball workings'!$AX$565))</f>
      </c>
      <c r="X563" s="29">
        <f>IF(OR(558&gt;$Z$1,NOT(OR('Your debts'!$B$15&lt;&gt;"",N('Your debts'!$C$15)&gt;0))),"",IF('Your debts'!$D$20="Avalanche",'Avalanche workings'!$U$565,'Snowball workings'!$U$565)+IF('Your debts'!$D$20="Avalanche",'Avalanche workings'!$AO$565,'Snowball workings'!$AO$565))</f>
      </c>
      <c r="Y563" s="30">
        <f>IF(OR(558&gt;$Z$1,NOT(OR('Your debts'!$B$15&lt;&gt;"",N('Your debts'!$C$15)&gt;0))),"",IF('Your debts'!$D$20="Avalanche",'Avalanche workings'!$AY$565,'Snowball workings'!$AY$565))</f>
      </c>
    </row>
    <row r="564" spans="1:25" x14ac:dyDescent="0.25">
      <c r="A564" s="2">
        <f>IF(559&gt;$Z$1,"",559)</f>
      </c>
      <c r="B564" s="28">
        <f>IF(559&gt;$Z$1,"",EDATE('Your debts'!$D$21,558))</f>
      </c>
      <c r="C564" s="29">
        <f>IF(559&gt;$Z$1,"",IF('Your debts'!$D$20="Avalanche",'Avalanche workings'!$BC$566,'Snowball workings'!$BC$566))</f>
      </c>
      <c r="D564" s="29">
        <f>IF(559&gt;$Z$1,"",IF('Your debts'!$D$20="Avalanche",'Avalanche workings'!$BA$566,'Snowball workings'!$BA$566))</f>
      </c>
      <c r="E564" s="29">
        <f>IF(559&gt;$Z$1,"",IF('Your debts'!$D$20="Avalanche",'Avalanche workings'!$BB$566,'Snowball workings'!$BB$566))</f>
      </c>
      <c r="F564" s="29">
        <f>IF(OR(559&gt;$Z$1,NOT(OR('Your debts'!$B$6&lt;&gt;"",N('Your debts'!$C$6)&gt;0))),"",IF('Your debts'!$D$20="Avalanche",'Avalanche workings'!$L$566,'Snowball workings'!$L$566)+IF('Your debts'!$D$20="Avalanche",'Avalanche workings'!$AF$566,'Snowball workings'!$AF$566))</f>
      </c>
      <c r="G564" s="30">
        <f>IF(OR(559&gt;$Z$1,NOT(OR('Your debts'!$B$6&lt;&gt;"",N('Your debts'!$C$6)&gt;0))),"",IF('Your debts'!$D$20="Avalanche",'Avalanche workings'!$AP$566,'Snowball workings'!$AP$566))</f>
      </c>
      <c r="H564" s="29">
        <f>IF(OR(559&gt;$Z$1,NOT(OR('Your debts'!$B$7&lt;&gt;"",N('Your debts'!$C$7)&gt;0))),"",IF('Your debts'!$D$20="Avalanche",'Avalanche workings'!$M$566,'Snowball workings'!$M$566)+IF('Your debts'!$D$20="Avalanche",'Avalanche workings'!$AG$566,'Snowball workings'!$AG$566))</f>
      </c>
      <c r="I564" s="30">
        <f>IF(OR(559&gt;$Z$1,NOT(OR('Your debts'!$B$7&lt;&gt;"",N('Your debts'!$C$7)&gt;0))),"",IF('Your debts'!$D$20="Avalanche",'Avalanche workings'!$AQ$566,'Snowball workings'!$AQ$566))</f>
      </c>
      <c r="J564" s="29">
        <f>IF(OR(559&gt;$Z$1,NOT(OR('Your debts'!$B$8&lt;&gt;"",N('Your debts'!$C$8)&gt;0))),"",IF('Your debts'!$D$20="Avalanche",'Avalanche workings'!$N$566,'Snowball workings'!$N$566)+IF('Your debts'!$D$20="Avalanche",'Avalanche workings'!$AH$566,'Snowball workings'!$AH$566))</f>
      </c>
      <c r="K564" s="30">
        <f>IF(OR(559&gt;$Z$1,NOT(OR('Your debts'!$B$8&lt;&gt;"",N('Your debts'!$C$8)&gt;0))),"",IF('Your debts'!$D$20="Avalanche",'Avalanche workings'!$AR$566,'Snowball workings'!$AR$566))</f>
      </c>
      <c r="L564" s="29">
        <f>IF(OR(559&gt;$Z$1,NOT(OR('Your debts'!$B$9&lt;&gt;"",N('Your debts'!$C$9)&gt;0))),"",IF('Your debts'!$D$20="Avalanche",'Avalanche workings'!$O$566,'Snowball workings'!$O$566)+IF('Your debts'!$D$20="Avalanche",'Avalanche workings'!$AI$566,'Snowball workings'!$AI$566))</f>
      </c>
      <c r="M564" s="30">
        <f>IF(OR(559&gt;$Z$1,NOT(OR('Your debts'!$B$9&lt;&gt;"",N('Your debts'!$C$9)&gt;0))),"",IF('Your debts'!$D$20="Avalanche",'Avalanche workings'!$AS$566,'Snowball workings'!$AS$566))</f>
      </c>
      <c r="N564" s="29">
        <f>IF(OR(559&gt;$Z$1,NOT(OR('Your debts'!$B$10&lt;&gt;"",N('Your debts'!$C$10)&gt;0))),"",IF('Your debts'!$D$20="Avalanche",'Avalanche workings'!$P$566,'Snowball workings'!$P$566)+IF('Your debts'!$D$20="Avalanche",'Avalanche workings'!$AJ$566,'Snowball workings'!$AJ$566))</f>
      </c>
      <c r="O564" s="30">
        <f>IF(OR(559&gt;$Z$1,NOT(OR('Your debts'!$B$10&lt;&gt;"",N('Your debts'!$C$10)&gt;0))),"",IF('Your debts'!$D$20="Avalanche",'Avalanche workings'!$AT$566,'Snowball workings'!$AT$566))</f>
      </c>
      <c r="P564" s="29">
        <f>IF(OR(559&gt;$Z$1,NOT(OR('Your debts'!$B$11&lt;&gt;"",N('Your debts'!$C$11)&gt;0))),"",IF('Your debts'!$D$20="Avalanche",'Avalanche workings'!$Q$566,'Snowball workings'!$Q$566)+IF('Your debts'!$D$20="Avalanche",'Avalanche workings'!$AK$566,'Snowball workings'!$AK$566))</f>
      </c>
      <c r="Q564" s="30">
        <f>IF(OR(559&gt;$Z$1,NOT(OR('Your debts'!$B$11&lt;&gt;"",N('Your debts'!$C$11)&gt;0))),"",IF('Your debts'!$D$20="Avalanche",'Avalanche workings'!$AU$566,'Snowball workings'!$AU$566))</f>
      </c>
      <c r="R564" s="29">
        <f>IF(OR(559&gt;$Z$1,NOT(OR('Your debts'!$B$12&lt;&gt;"",N('Your debts'!$C$12)&gt;0))),"",IF('Your debts'!$D$20="Avalanche",'Avalanche workings'!$R$566,'Snowball workings'!$R$566)+IF('Your debts'!$D$20="Avalanche",'Avalanche workings'!$AL$566,'Snowball workings'!$AL$566))</f>
      </c>
      <c r="S564" s="30">
        <f>IF(OR(559&gt;$Z$1,NOT(OR('Your debts'!$B$12&lt;&gt;"",N('Your debts'!$C$12)&gt;0))),"",IF('Your debts'!$D$20="Avalanche",'Avalanche workings'!$AV$566,'Snowball workings'!$AV$566))</f>
      </c>
      <c r="T564" s="29">
        <f>IF(OR(559&gt;$Z$1,NOT(OR('Your debts'!$B$13&lt;&gt;"",N('Your debts'!$C$13)&gt;0))),"",IF('Your debts'!$D$20="Avalanche",'Avalanche workings'!$S$566,'Snowball workings'!$S$566)+IF('Your debts'!$D$20="Avalanche",'Avalanche workings'!$AM$566,'Snowball workings'!$AM$566))</f>
      </c>
      <c r="U564" s="30">
        <f>IF(OR(559&gt;$Z$1,NOT(OR('Your debts'!$B$13&lt;&gt;"",N('Your debts'!$C$13)&gt;0))),"",IF('Your debts'!$D$20="Avalanche",'Avalanche workings'!$AW$566,'Snowball workings'!$AW$566))</f>
      </c>
      <c r="V564" s="29">
        <f>IF(OR(559&gt;$Z$1,NOT(OR('Your debts'!$B$14&lt;&gt;"",N('Your debts'!$C$14)&gt;0))),"",IF('Your debts'!$D$20="Avalanche",'Avalanche workings'!$T$566,'Snowball workings'!$T$566)+IF('Your debts'!$D$20="Avalanche",'Avalanche workings'!$AN$566,'Snowball workings'!$AN$566))</f>
      </c>
      <c r="W564" s="30">
        <f>IF(OR(559&gt;$Z$1,NOT(OR('Your debts'!$B$14&lt;&gt;"",N('Your debts'!$C$14)&gt;0))),"",IF('Your debts'!$D$20="Avalanche",'Avalanche workings'!$AX$566,'Snowball workings'!$AX$566))</f>
      </c>
      <c r="X564" s="29">
        <f>IF(OR(559&gt;$Z$1,NOT(OR('Your debts'!$B$15&lt;&gt;"",N('Your debts'!$C$15)&gt;0))),"",IF('Your debts'!$D$20="Avalanche",'Avalanche workings'!$U$566,'Snowball workings'!$U$566)+IF('Your debts'!$D$20="Avalanche",'Avalanche workings'!$AO$566,'Snowball workings'!$AO$566))</f>
      </c>
      <c r="Y564" s="30">
        <f>IF(OR(559&gt;$Z$1,NOT(OR('Your debts'!$B$15&lt;&gt;"",N('Your debts'!$C$15)&gt;0))),"",IF('Your debts'!$D$20="Avalanche",'Avalanche workings'!$AY$566,'Snowball workings'!$AY$566))</f>
      </c>
    </row>
    <row r="565" spans="1:25" x14ac:dyDescent="0.25">
      <c r="A565" s="2">
        <f>IF(560&gt;$Z$1,"",560)</f>
      </c>
      <c r="B565" s="28">
        <f>IF(560&gt;$Z$1,"",EDATE('Your debts'!$D$21,559))</f>
      </c>
      <c r="C565" s="29">
        <f>IF(560&gt;$Z$1,"",IF('Your debts'!$D$20="Avalanche",'Avalanche workings'!$BC$567,'Snowball workings'!$BC$567))</f>
      </c>
      <c r="D565" s="29">
        <f>IF(560&gt;$Z$1,"",IF('Your debts'!$D$20="Avalanche",'Avalanche workings'!$BA$567,'Snowball workings'!$BA$567))</f>
      </c>
      <c r="E565" s="29">
        <f>IF(560&gt;$Z$1,"",IF('Your debts'!$D$20="Avalanche",'Avalanche workings'!$BB$567,'Snowball workings'!$BB$567))</f>
      </c>
      <c r="F565" s="29">
        <f>IF(OR(560&gt;$Z$1,NOT(OR('Your debts'!$B$6&lt;&gt;"",N('Your debts'!$C$6)&gt;0))),"",IF('Your debts'!$D$20="Avalanche",'Avalanche workings'!$L$567,'Snowball workings'!$L$567)+IF('Your debts'!$D$20="Avalanche",'Avalanche workings'!$AF$567,'Snowball workings'!$AF$567))</f>
      </c>
      <c r="G565" s="30">
        <f>IF(OR(560&gt;$Z$1,NOT(OR('Your debts'!$B$6&lt;&gt;"",N('Your debts'!$C$6)&gt;0))),"",IF('Your debts'!$D$20="Avalanche",'Avalanche workings'!$AP$567,'Snowball workings'!$AP$567))</f>
      </c>
      <c r="H565" s="29">
        <f>IF(OR(560&gt;$Z$1,NOT(OR('Your debts'!$B$7&lt;&gt;"",N('Your debts'!$C$7)&gt;0))),"",IF('Your debts'!$D$20="Avalanche",'Avalanche workings'!$M$567,'Snowball workings'!$M$567)+IF('Your debts'!$D$20="Avalanche",'Avalanche workings'!$AG$567,'Snowball workings'!$AG$567))</f>
      </c>
      <c r="I565" s="30">
        <f>IF(OR(560&gt;$Z$1,NOT(OR('Your debts'!$B$7&lt;&gt;"",N('Your debts'!$C$7)&gt;0))),"",IF('Your debts'!$D$20="Avalanche",'Avalanche workings'!$AQ$567,'Snowball workings'!$AQ$567))</f>
      </c>
      <c r="J565" s="29">
        <f>IF(OR(560&gt;$Z$1,NOT(OR('Your debts'!$B$8&lt;&gt;"",N('Your debts'!$C$8)&gt;0))),"",IF('Your debts'!$D$20="Avalanche",'Avalanche workings'!$N$567,'Snowball workings'!$N$567)+IF('Your debts'!$D$20="Avalanche",'Avalanche workings'!$AH$567,'Snowball workings'!$AH$567))</f>
      </c>
      <c r="K565" s="30">
        <f>IF(OR(560&gt;$Z$1,NOT(OR('Your debts'!$B$8&lt;&gt;"",N('Your debts'!$C$8)&gt;0))),"",IF('Your debts'!$D$20="Avalanche",'Avalanche workings'!$AR$567,'Snowball workings'!$AR$567))</f>
      </c>
      <c r="L565" s="29">
        <f>IF(OR(560&gt;$Z$1,NOT(OR('Your debts'!$B$9&lt;&gt;"",N('Your debts'!$C$9)&gt;0))),"",IF('Your debts'!$D$20="Avalanche",'Avalanche workings'!$O$567,'Snowball workings'!$O$567)+IF('Your debts'!$D$20="Avalanche",'Avalanche workings'!$AI$567,'Snowball workings'!$AI$567))</f>
      </c>
      <c r="M565" s="30">
        <f>IF(OR(560&gt;$Z$1,NOT(OR('Your debts'!$B$9&lt;&gt;"",N('Your debts'!$C$9)&gt;0))),"",IF('Your debts'!$D$20="Avalanche",'Avalanche workings'!$AS$567,'Snowball workings'!$AS$567))</f>
      </c>
      <c r="N565" s="29">
        <f>IF(OR(560&gt;$Z$1,NOT(OR('Your debts'!$B$10&lt;&gt;"",N('Your debts'!$C$10)&gt;0))),"",IF('Your debts'!$D$20="Avalanche",'Avalanche workings'!$P$567,'Snowball workings'!$P$567)+IF('Your debts'!$D$20="Avalanche",'Avalanche workings'!$AJ$567,'Snowball workings'!$AJ$567))</f>
      </c>
      <c r="O565" s="30">
        <f>IF(OR(560&gt;$Z$1,NOT(OR('Your debts'!$B$10&lt;&gt;"",N('Your debts'!$C$10)&gt;0))),"",IF('Your debts'!$D$20="Avalanche",'Avalanche workings'!$AT$567,'Snowball workings'!$AT$567))</f>
      </c>
      <c r="P565" s="29">
        <f>IF(OR(560&gt;$Z$1,NOT(OR('Your debts'!$B$11&lt;&gt;"",N('Your debts'!$C$11)&gt;0))),"",IF('Your debts'!$D$20="Avalanche",'Avalanche workings'!$Q$567,'Snowball workings'!$Q$567)+IF('Your debts'!$D$20="Avalanche",'Avalanche workings'!$AK$567,'Snowball workings'!$AK$567))</f>
      </c>
      <c r="Q565" s="30">
        <f>IF(OR(560&gt;$Z$1,NOT(OR('Your debts'!$B$11&lt;&gt;"",N('Your debts'!$C$11)&gt;0))),"",IF('Your debts'!$D$20="Avalanche",'Avalanche workings'!$AU$567,'Snowball workings'!$AU$567))</f>
      </c>
      <c r="R565" s="29">
        <f>IF(OR(560&gt;$Z$1,NOT(OR('Your debts'!$B$12&lt;&gt;"",N('Your debts'!$C$12)&gt;0))),"",IF('Your debts'!$D$20="Avalanche",'Avalanche workings'!$R$567,'Snowball workings'!$R$567)+IF('Your debts'!$D$20="Avalanche",'Avalanche workings'!$AL$567,'Snowball workings'!$AL$567))</f>
      </c>
      <c r="S565" s="30">
        <f>IF(OR(560&gt;$Z$1,NOT(OR('Your debts'!$B$12&lt;&gt;"",N('Your debts'!$C$12)&gt;0))),"",IF('Your debts'!$D$20="Avalanche",'Avalanche workings'!$AV$567,'Snowball workings'!$AV$567))</f>
      </c>
      <c r="T565" s="29">
        <f>IF(OR(560&gt;$Z$1,NOT(OR('Your debts'!$B$13&lt;&gt;"",N('Your debts'!$C$13)&gt;0))),"",IF('Your debts'!$D$20="Avalanche",'Avalanche workings'!$S$567,'Snowball workings'!$S$567)+IF('Your debts'!$D$20="Avalanche",'Avalanche workings'!$AM$567,'Snowball workings'!$AM$567))</f>
      </c>
      <c r="U565" s="30">
        <f>IF(OR(560&gt;$Z$1,NOT(OR('Your debts'!$B$13&lt;&gt;"",N('Your debts'!$C$13)&gt;0))),"",IF('Your debts'!$D$20="Avalanche",'Avalanche workings'!$AW$567,'Snowball workings'!$AW$567))</f>
      </c>
      <c r="V565" s="29">
        <f>IF(OR(560&gt;$Z$1,NOT(OR('Your debts'!$B$14&lt;&gt;"",N('Your debts'!$C$14)&gt;0))),"",IF('Your debts'!$D$20="Avalanche",'Avalanche workings'!$T$567,'Snowball workings'!$T$567)+IF('Your debts'!$D$20="Avalanche",'Avalanche workings'!$AN$567,'Snowball workings'!$AN$567))</f>
      </c>
      <c r="W565" s="30">
        <f>IF(OR(560&gt;$Z$1,NOT(OR('Your debts'!$B$14&lt;&gt;"",N('Your debts'!$C$14)&gt;0))),"",IF('Your debts'!$D$20="Avalanche",'Avalanche workings'!$AX$567,'Snowball workings'!$AX$567))</f>
      </c>
      <c r="X565" s="29">
        <f>IF(OR(560&gt;$Z$1,NOT(OR('Your debts'!$B$15&lt;&gt;"",N('Your debts'!$C$15)&gt;0))),"",IF('Your debts'!$D$20="Avalanche",'Avalanche workings'!$U$567,'Snowball workings'!$U$567)+IF('Your debts'!$D$20="Avalanche",'Avalanche workings'!$AO$567,'Snowball workings'!$AO$567))</f>
      </c>
      <c r="Y565" s="30">
        <f>IF(OR(560&gt;$Z$1,NOT(OR('Your debts'!$B$15&lt;&gt;"",N('Your debts'!$C$15)&gt;0))),"",IF('Your debts'!$D$20="Avalanche",'Avalanche workings'!$AY$567,'Snowball workings'!$AY$567))</f>
      </c>
    </row>
    <row r="566" spans="1:25" x14ac:dyDescent="0.25">
      <c r="A566" s="2">
        <f>IF(561&gt;$Z$1,"",561)</f>
      </c>
      <c r="B566" s="28">
        <f>IF(561&gt;$Z$1,"",EDATE('Your debts'!$D$21,560))</f>
      </c>
      <c r="C566" s="29">
        <f>IF(561&gt;$Z$1,"",IF('Your debts'!$D$20="Avalanche",'Avalanche workings'!$BC$568,'Snowball workings'!$BC$568))</f>
      </c>
      <c r="D566" s="29">
        <f>IF(561&gt;$Z$1,"",IF('Your debts'!$D$20="Avalanche",'Avalanche workings'!$BA$568,'Snowball workings'!$BA$568))</f>
      </c>
      <c r="E566" s="29">
        <f>IF(561&gt;$Z$1,"",IF('Your debts'!$D$20="Avalanche",'Avalanche workings'!$BB$568,'Snowball workings'!$BB$568))</f>
      </c>
      <c r="F566" s="29">
        <f>IF(OR(561&gt;$Z$1,NOT(OR('Your debts'!$B$6&lt;&gt;"",N('Your debts'!$C$6)&gt;0))),"",IF('Your debts'!$D$20="Avalanche",'Avalanche workings'!$L$568,'Snowball workings'!$L$568)+IF('Your debts'!$D$20="Avalanche",'Avalanche workings'!$AF$568,'Snowball workings'!$AF$568))</f>
      </c>
      <c r="G566" s="30">
        <f>IF(OR(561&gt;$Z$1,NOT(OR('Your debts'!$B$6&lt;&gt;"",N('Your debts'!$C$6)&gt;0))),"",IF('Your debts'!$D$20="Avalanche",'Avalanche workings'!$AP$568,'Snowball workings'!$AP$568))</f>
      </c>
      <c r="H566" s="29">
        <f>IF(OR(561&gt;$Z$1,NOT(OR('Your debts'!$B$7&lt;&gt;"",N('Your debts'!$C$7)&gt;0))),"",IF('Your debts'!$D$20="Avalanche",'Avalanche workings'!$M$568,'Snowball workings'!$M$568)+IF('Your debts'!$D$20="Avalanche",'Avalanche workings'!$AG$568,'Snowball workings'!$AG$568))</f>
      </c>
      <c r="I566" s="30">
        <f>IF(OR(561&gt;$Z$1,NOT(OR('Your debts'!$B$7&lt;&gt;"",N('Your debts'!$C$7)&gt;0))),"",IF('Your debts'!$D$20="Avalanche",'Avalanche workings'!$AQ$568,'Snowball workings'!$AQ$568))</f>
      </c>
      <c r="J566" s="29">
        <f>IF(OR(561&gt;$Z$1,NOT(OR('Your debts'!$B$8&lt;&gt;"",N('Your debts'!$C$8)&gt;0))),"",IF('Your debts'!$D$20="Avalanche",'Avalanche workings'!$N$568,'Snowball workings'!$N$568)+IF('Your debts'!$D$20="Avalanche",'Avalanche workings'!$AH$568,'Snowball workings'!$AH$568))</f>
      </c>
      <c r="K566" s="30">
        <f>IF(OR(561&gt;$Z$1,NOT(OR('Your debts'!$B$8&lt;&gt;"",N('Your debts'!$C$8)&gt;0))),"",IF('Your debts'!$D$20="Avalanche",'Avalanche workings'!$AR$568,'Snowball workings'!$AR$568))</f>
      </c>
      <c r="L566" s="29">
        <f>IF(OR(561&gt;$Z$1,NOT(OR('Your debts'!$B$9&lt;&gt;"",N('Your debts'!$C$9)&gt;0))),"",IF('Your debts'!$D$20="Avalanche",'Avalanche workings'!$O$568,'Snowball workings'!$O$568)+IF('Your debts'!$D$20="Avalanche",'Avalanche workings'!$AI$568,'Snowball workings'!$AI$568))</f>
      </c>
      <c r="M566" s="30">
        <f>IF(OR(561&gt;$Z$1,NOT(OR('Your debts'!$B$9&lt;&gt;"",N('Your debts'!$C$9)&gt;0))),"",IF('Your debts'!$D$20="Avalanche",'Avalanche workings'!$AS$568,'Snowball workings'!$AS$568))</f>
      </c>
      <c r="N566" s="29">
        <f>IF(OR(561&gt;$Z$1,NOT(OR('Your debts'!$B$10&lt;&gt;"",N('Your debts'!$C$10)&gt;0))),"",IF('Your debts'!$D$20="Avalanche",'Avalanche workings'!$P$568,'Snowball workings'!$P$568)+IF('Your debts'!$D$20="Avalanche",'Avalanche workings'!$AJ$568,'Snowball workings'!$AJ$568))</f>
      </c>
      <c r="O566" s="30">
        <f>IF(OR(561&gt;$Z$1,NOT(OR('Your debts'!$B$10&lt;&gt;"",N('Your debts'!$C$10)&gt;0))),"",IF('Your debts'!$D$20="Avalanche",'Avalanche workings'!$AT$568,'Snowball workings'!$AT$568))</f>
      </c>
      <c r="P566" s="29">
        <f>IF(OR(561&gt;$Z$1,NOT(OR('Your debts'!$B$11&lt;&gt;"",N('Your debts'!$C$11)&gt;0))),"",IF('Your debts'!$D$20="Avalanche",'Avalanche workings'!$Q$568,'Snowball workings'!$Q$568)+IF('Your debts'!$D$20="Avalanche",'Avalanche workings'!$AK$568,'Snowball workings'!$AK$568))</f>
      </c>
      <c r="Q566" s="30">
        <f>IF(OR(561&gt;$Z$1,NOT(OR('Your debts'!$B$11&lt;&gt;"",N('Your debts'!$C$11)&gt;0))),"",IF('Your debts'!$D$20="Avalanche",'Avalanche workings'!$AU$568,'Snowball workings'!$AU$568))</f>
      </c>
      <c r="R566" s="29">
        <f>IF(OR(561&gt;$Z$1,NOT(OR('Your debts'!$B$12&lt;&gt;"",N('Your debts'!$C$12)&gt;0))),"",IF('Your debts'!$D$20="Avalanche",'Avalanche workings'!$R$568,'Snowball workings'!$R$568)+IF('Your debts'!$D$20="Avalanche",'Avalanche workings'!$AL$568,'Snowball workings'!$AL$568))</f>
      </c>
      <c r="S566" s="30">
        <f>IF(OR(561&gt;$Z$1,NOT(OR('Your debts'!$B$12&lt;&gt;"",N('Your debts'!$C$12)&gt;0))),"",IF('Your debts'!$D$20="Avalanche",'Avalanche workings'!$AV$568,'Snowball workings'!$AV$568))</f>
      </c>
      <c r="T566" s="29">
        <f>IF(OR(561&gt;$Z$1,NOT(OR('Your debts'!$B$13&lt;&gt;"",N('Your debts'!$C$13)&gt;0))),"",IF('Your debts'!$D$20="Avalanche",'Avalanche workings'!$S$568,'Snowball workings'!$S$568)+IF('Your debts'!$D$20="Avalanche",'Avalanche workings'!$AM$568,'Snowball workings'!$AM$568))</f>
      </c>
      <c r="U566" s="30">
        <f>IF(OR(561&gt;$Z$1,NOT(OR('Your debts'!$B$13&lt;&gt;"",N('Your debts'!$C$13)&gt;0))),"",IF('Your debts'!$D$20="Avalanche",'Avalanche workings'!$AW$568,'Snowball workings'!$AW$568))</f>
      </c>
      <c r="V566" s="29">
        <f>IF(OR(561&gt;$Z$1,NOT(OR('Your debts'!$B$14&lt;&gt;"",N('Your debts'!$C$14)&gt;0))),"",IF('Your debts'!$D$20="Avalanche",'Avalanche workings'!$T$568,'Snowball workings'!$T$568)+IF('Your debts'!$D$20="Avalanche",'Avalanche workings'!$AN$568,'Snowball workings'!$AN$568))</f>
      </c>
      <c r="W566" s="30">
        <f>IF(OR(561&gt;$Z$1,NOT(OR('Your debts'!$B$14&lt;&gt;"",N('Your debts'!$C$14)&gt;0))),"",IF('Your debts'!$D$20="Avalanche",'Avalanche workings'!$AX$568,'Snowball workings'!$AX$568))</f>
      </c>
      <c r="X566" s="29">
        <f>IF(OR(561&gt;$Z$1,NOT(OR('Your debts'!$B$15&lt;&gt;"",N('Your debts'!$C$15)&gt;0))),"",IF('Your debts'!$D$20="Avalanche",'Avalanche workings'!$U$568,'Snowball workings'!$U$568)+IF('Your debts'!$D$20="Avalanche",'Avalanche workings'!$AO$568,'Snowball workings'!$AO$568))</f>
      </c>
      <c r="Y566" s="30">
        <f>IF(OR(561&gt;$Z$1,NOT(OR('Your debts'!$B$15&lt;&gt;"",N('Your debts'!$C$15)&gt;0))),"",IF('Your debts'!$D$20="Avalanche",'Avalanche workings'!$AY$568,'Snowball workings'!$AY$568))</f>
      </c>
    </row>
    <row r="567" spans="1:25" x14ac:dyDescent="0.25">
      <c r="A567" s="2">
        <f>IF(562&gt;$Z$1,"",562)</f>
      </c>
      <c r="B567" s="28">
        <f>IF(562&gt;$Z$1,"",EDATE('Your debts'!$D$21,561))</f>
      </c>
      <c r="C567" s="29">
        <f>IF(562&gt;$Z$1,"",IF('Your debts'!$D$20="Avalanche",'Avalanche workings'!$BC$569,'Snowball workings'!$BC$569))</f>
      </c>
      <c r="D567" s="29">
        <f>IF(562&gt;$Z$1,"",IF('Your debts'!$D$20="Avalanche",'Avalanche workings'!$BA$569,'Snowball workings'!$BA$569))</f>
      </c>
      <c r="E567" s="29">
        <f>IF(562&gt;$Z$1,"",IF('Your debts'!$D$20="Avalanche",'Avalanche workings'!$BB$569,'Snowball workings'!$BB$569))</f>
      </c>
      <c r="F567" s="29">
        <f>IF(OR(562&gt;$Z$1,NOT(OR('Your debts'!$B$6&lt;&gt;"",N('Your debts'!$C$6)&gt;0))),"",IF('Your debts'!$D$20="Avalanche",'Avalanche workings'!$L$569,'Snowball workings'!$L$569)+IF('Your debts'!$D$20="Avalanche",'Avalanche workings'!$AF$569,'Snowball workings'!$AF$569))</f>
      </c>
      <c r="G567" s="30">
        <f>IF(OR(562&gt;$Z$1,NOT(OR('Your debts'!$B$6&lt;&gt;"",N('Your debts'!$C$6)&gt;0))),"",IF('Your debts'!$D$20="Avalanche",'Avalanche workings'!$AP$569,'Snowball workings'!$AP$569))</f>
      </c>
      <c r="H567" s="29">
        <f>IF(OR(562&gt;$Z$1,NOT(OR('Your debts'!$B$7&lt;&gt;"",N('Your debts'!$C$7)&gt;0))),"",IF('Your debts'!$D$20="Avalanche",'Avalanche workings'!$M$569,'Snowball workings'!$M$569)+IF('Your debts'!$D$20="Avalanche",'Avalanche workings'!$AG$569,'Snowball workings'!$AG$569))</f>
      </c>
      <c r="I567" s="30">
        <f>IF(OR(562&gt;$Z$1,NOT(OR('Your debts'!$B$7&lt;&gt;"",N('Your debts'!$C$7)&gt;0))),"",IF('Your debts'!$D$20="Avalanche",'Avalanche workings'!$AQ$569,'Snowball workings'!$AQ$569))</f>
      </c>
      <c r="J567" s="29">
        <f>IF(OR(562&gt;$Z$1,NOT(OR('Your debts'!$B$8&lt;&gt;"",N('Your debts'!$C$8)&gt;0))),"",IF('Your debts'!$D$20="Avalanche",'Avalanche workings'!$N$569,'Snowball workings'!$N$569)+IF('Your debts'!$D$20="Avalanche",'Avalanche workings'!$AH$569,'Snowball workings'!$AH$569))</f>
      </c>
      <c r="K567" s="30">
        <f>IF(OR(562&gt;$Z$1,NOT(OR('Your debts'!$B$8&lt;&gt;"",N('Your debts'!$C$8)&gt;0))),"",IF('Your debts'!$D$20="Avalanche",'Avalanche workings'!$AR$569,'Snowball workings'!$AR$569))</f>
      </c>
      <c r="L567" s="29">
        <f>IF(OR(562&gt;$Z$1,NOT(OR('Your debts'!$B$9&lt;&gt;"",N('Your debts'!$C$9)&gt;0))),"",IF('Your debts'!$D$20="Avalanche",'Avalanche workings'!$O$569,'Snowball workings'!$O$569)+IF('Your debts'!$D$20="Avalanche",'Avalanche workings'!$AI$569,'Snowball workings'!$AI$569))</f>
      </c>
      <c r="M567" s="30">
        <f>IF(OR(562&gt;$Z$1,NOT(OR('Your debts'!$B$9&lt;&gt;"",N('Your debts'!$C$9)&gt;0))),"",IF('Your debts'!$D$20="Avalanche",'Avalanche workings'!$AS$569,'Snowball workings'!$AS$569))</f>
      </c>
      <c r="N567" s="29">
        <f>IF(OR(562&gt;$Z$1,NOT(OR('Your debts'!$B$10&lt;&gt;"",N('Your debts'!$C$10)&gt;0))),"",IF('Your debts'!$D$20="Avalanche",'Avalanche workings'!$P$569,'Snowball workings'!$P$569)+IF('Your debts'!$D$20="Avalanche",'Avalanche workings'!$AJ$569,'Snowball workings'!$AJ$569))</f>
      </c>
      <c r="O567" s="30">
        <f>IF(OR(562&gt;$Z$1,NOT(OR('Your debts'!$B$10&lt;&gt;"",N('Your debts'!$C$10)&gt;0))),"",IF('Your debts'!$D$20="Avalanche",'Avalanche workings'!$AT$569,'Snowball workings'!$AT$569))</f>
      </c>
      <c r="P567" s="29">
        <f>IF(OR(562&gt;$Z$1,NOT(OR('Your debts'!$B$11&lt;&gt;"",N('Your debts'!$C$11)&gt;0))),"",IF('Your debts'!$D$20="Avalanche",'Avalanche workings'!$Q$569,'Snowball workings'!$Q$569)+IF('Your debts'!$D$20="Avalanche",'Avalanche workings'!$AK$569,'Snowball workings'!$AK$569))</f>
      </c>
      <c r="Q567" s="30">
        <f>IF(OR(562&gt;$Z$1,NOT(OR('Your debts'!$B$11&lt;&gt;"",N('Your debts'!$C$11)&gt;0))),"",IF('Your debts'!$D$20="Avalanche",'Avalanche workings'!$AU$569,'Snowball workings'!$AU$569))</f>
      </c>
      <c r="R567" s="29">
        <f>IF(OR(562&gt;$Z$1,NOT(OR('Your debts'!$B$12&lt;&gt;"",N('Your debts'!$C$12)&gt;0))),"",IF('Your debts'!$D$20="Avalanche",'Avalanche workings'!$R$569,'Snowball workings'!$R$569)+IF('Your debts'!$D$20="Avalanche",'Avalanche workings'!$AL$569,'Snowball workings'!$AL$569))</f>
      </c>
      <c r="S567" s="30">
        <f>IF(OR(562&gt;$Z$1,NOT(OR('Your debts'!$B$12&lt;&gt;"",N('Your debts'!$C$12)&gt;0))),"",IF('Your debts'!$D$20="Avalanche",'Avalanche workings'!$AV$569,'Snowball workings'!$AV$569))</f>
      </c>
      <c r="T567" s="29">
        <f>IF(OR(562&gt;$Z$1,NOT(OR('Your debts'!$B$13&lt;&gt;"",N('Your debts'!$C$13)&gt;0))),"",IF('Your debts'!$D$20="Avalanche",'Avalanche workings'!$S$569,'Snowball workings'!$S$569)+IF('Your debts'!$D$20="Avalanche",'Avalanche workings'!$AM$569,'Snowball workings'!$AM$569))</f>
      </c>
      <c r="U567" s="30">
        <f>IF(OR(562&gt;$Z$1,NOT(OR('Your debts'!$B$13&lt;&gt;"",N('Your debts'!$C$13)&gt;0))),"",IF('Your debts'!$D$20="Avalanche",'Avalanche workings'!$AW$569,'Snowball workings'!$AW$569))</f>
      </c>
      <c r="V567" s="29">
        <f>IF(OR(562&gt;$Z$1,NOT(OR('Your debts'!$B$14&lt;&gt;"",N('Your debts'!$C$14)&gt;0))),"",IF('Your debts'!$D$20="Avalanche",'Avalanche workings'!$T$569,'Snowball workings'!$T$569)+IF('Your debts'!$D$20="Avalanche",'Avalanche workings'!$AN$569,'Snowball workings'!$AN$569))</f>
      </c>
      <c r="W567" s="30">
        <f>IF(OR(562&gt;$Z$1,NOT(OR('Your debts'!$B$14&lt;&gt;"",N('Your debts'!$C$14)&gt;0))),"",IF('Your debts'!$D$20="Avalanche",'Avalanche workings'!$AX$569,'Snowball workings'!$AX$569))</f>
      </c>
      <c r="X567" s="29">
        <f>IF(OR(562&gt;$Z$1,NOT(OR('Your debts'!$B$15&lt;&gt;"",N('Your debts'!$C$15)&gt;0))),"",IF('Your debts'!$D$20="Avalanche",'Avalanche workings'!$U$569,'Snowball workings'!$U$569)+IF('Your debts'!$D$20="Avalanche",'Avalanche workings'!$AO$569,'Snowball workings'!$AO$569))</f>
      </c>
      <c r="Y567" s="30">
        <f>IF(OR(562&gt;$Z$1,NOT(OR('Your debts'!$B$15&lt;&gt;"",N('Your debts'!$C$15)&gt;0))),"",IF('Your debts'!$D$20="Avalanche",'Avalanche workings'!$AY$569,'Snowball workings'!$AY$569))</f>
      </c>
    </row>
    <row r="568" spans="1:25" x14ac:dyDescent="0.25">
      <c r="A568" s="2">
        <f>IF(563&gt;$Z$1,"",563)</f>
      </c>
      <c r="B568" s="28">
        <f>IF(563&gt;$Z$1,"",EDATE('Your debts'!$D$21,562))</f>
      </c>
      <c r="C568" s="29">
        <f>IF(563&gt;$Z$1,"",IF('Your debts'!$D$20="Avalanche",'Avalanche workings'!$BC$570,'Snowball workings'!$BC$570))</f>
      </c>
      <c r="D568" s="29">
        <f>IF(563&gt;$Z$1,"",IF('Your debts'!$D$20="Avalanche",'Avalanche workings'!$BA$570,'Snowball workings'!$BA$570))</f>
      </c>
      <c r="E568" s="29">
        <f>IF(563&gt;$Z$1,"",IF('Your debts'!$D$20="Avalanche",'Avalanche workings'!$BB$570,'Snowball workings'!$BB$570))</f>
      </c>
      <c r="F568" s="29">
        <f>IF(OR(563&gt;$Z$1,NOT(OR('Your debts'!$B$6&lt;&gt;"",N('Your debts'!$C$6)&gt;0))),"",IF('Your debts'!$D$20="Avalanche",'Avalanche workings'!$L$570,'Snowball workings'!$L$570)+IF('Your debts'!$D$20="Avalanche",'Avalanche workings'!$AF$570,'Snowball workings'!$AF$570))</f>
      </c>
      <c r="G568" s="30">
        <f>IF(OR(563&gt;$Z$1,NOT(OR('Your debts'!$B$6&lt;&gt;"",N('Your debts'!$C$6)&gt;0))),"",IF('Your debts'!$D$20="Avalanche",'Avalanche workings'!$AP$570,'Snowball workings'!$AP$570))</f>
      </c>
      <c r="H568" s="29">
        <f>IF(OR(563&gt;$Z$1,NOT(OR('Your debts'!$B$7&lt;&gt;"",N('Your debts'!$C$7)&gt;0))),"",IF('Your debts'!$D$20="Avalanche",'Avalanche workings'!$M$570,'Snowball workings'!$M$570)+IF('Your debts'!$D$20="Avalanche",'Avalanche workings'!$AG$570,'Snowball workings'!$AG$570))</f>
      </c>
      <c r="I568" s="30">
        <f>IF(OR(563&gt;$Z$1,NOT(OR('Your debts'!$B$7&lt;&gt;"",N('Your debts'!$C$7)&gt;0))),"",IF('Your debts'!$D$20="Avalanche",'Avalanche workings'!$AQ$570,'Snowball workings'!$AQ$570))</f>
      </c>
      <c r="J568" s="29">
        <f>IF(OR(563&gt;$Z$1,NOT(OR('Your debts'!$B$8&lt;&gt;"",N('Your debts'!$C$8)&gt;0))),"",IF('Your debts'!$D$20="Avalanche",'Avalanche workings'!$N$570,'Snowball workings'!$N$570)+IF('Your debts'!$D$20="Avalanche",'Avalanche workings'!$AH$570,'Snowball workings'!$AH$570))</f>
      </c>
      <c r="K568" s="30">
        <f>IF(OR(563&gt;$Z$1,NOT(OR('Your debts'!$B$8&lt;&gt;"",N('Your debts'!$C$8)&gt;0))),"",IF('Your debts'!$D$20="Avalanche",'Avalanche workings'!$AR$570,'Snowball workings'!$AR$570))</f>
      </c>
      <c r="L568" s="29">
        <f>IF(OR(563&gt;$Z$1,NOT(OR('Your debts'!$B$9&lt;&gt;"",N('Your debts'!$C$9)&gt;0))),"",IF('Your debts'!$D$20="Avalanche",'Avalanche workings'!$O$570,'Snowball workings'!$O$570)+IF('Your debts'!$D$20="Avalanche",'Avalanche workings'!$AI$570,'Snowball workings'!$AI$570))</f>
      </c>
      <c r="M568" s="30">
        <f>IF(OR(563&gt;$Z$1,NOT(OR('Your debts'!$B$9&lt;&gt;"",N('Your debts'!$C$9)&gt;0))),"",IF('Your debts'!$D$20="Avalanche",'Avalanche workings'!$AS$570,'Snowball workings'!$AS$570))</f>
      </c>
      <c r="N568" s="29">
        <f>IF(OR(563&gt;$Z$1,NOT(OR('Your debts'!$B$10&lt;&gt;"",N('Your debts'!$C$10)&gt;0))),"",IF('Your debts'!$D$20="Avalanche",'Avalanche workings'!$P$570,'Snowball workings'!$P$570)+IF('Your debts'!$D$20="Avalanche",'Avalanche workings'!$AJ$570,'Snowball workings'!$AJ$570))</f>
      </c>
      <c r="O568" s="30">
        <f>IF(OR(563&gt;$Z$1,NOT(OR('Your debts'!$B$10&lt;&gt;"",N('Your debts'!$C$10)&gt;0))),"",IF('Your debts'!$D$20="Avalanche",'Avalanche workings'!$AT$570,'Snowball workings'!$AT$570))</f>
      </c>
      <c r="P568" s="29">
        <f>IF(OR(563&gt;$Z$1,NOT(OR('Your debts'!$B$11&lt;&gt;"",N('Your debts'!$C$11)&gt;0))),"",IF('Your debts'!$D$20="Avalanche",'Avalanche workings'!$Q$570,'Snowball workings'!$Q$570)+IF('Your debts'!$D$20="Avalanche",'Avalanche workings'!$AK$570,'Snowball workings'!$AK$570))</f>
      </c>
      <c r="Q568" s="30">
        <f>IF(OR(563&gt;$Z$1,NOT(OR('Your debts'!$B$11&lt;&gt;"",N('Your debts'!$C$11)&gt;0))),"",IF('Your debts'!$D$20="Avalanche",'Avalanche workings'!$AU$570,'Snowball workings'!$AU$570))</f>
      </c>
      <c r="R568" s="29">
        <f>IF(OR(563&gt;$Z$1,NOT(OR('Your debts'!$B$12&lt;&gt;"",N('Your debts'!$C$12)&gt;0))),"",IF('Your debts'!$D$20="Avalanche",'Avalanche workings'!$R$570,'Snowball workings'!$R$570)+IF('Your debts'!$D$20="Avalanche",'Avalanche workings'!$AL$570,'Snowball workings'!$AL$570))</f>
      </c>
      <c r="S568" s="30">
        <f>IF(OR(563&gt;$Z$1,NOT(OR('Your debts'!$B$12&lt;&gt;"",N('Your debts'!$C$12)&gt;0))),"",IF('Your debts'!$D$20="Avalanche",'Avalanche workings'!$AV$570,'Snowball workings'!$AV$570))</f>
      </c>
      <c r="T568" s="29">
        <f>IF(OR(563&gt;$Z$1,NOT(OR('Your debts'!$B$13&lt;&gt;"",N('Your debts'!$C$13)&gt;0))),"",IF('Your debts'!$D$20="Avalanche",'Avalanche workings'!$S$570,'Snowball workings'!$S$570)+IF('Your debts'!$D$20="Avalanche",'Avalanche workings'!$AM$570,'Snowball workings'!$AM$570))</f>
      </c>
      <c r="U568" s="30">
        <f>IF(OR(563&gt;$Z$1,NOT(OR('Your debts'!$B$13&lt;&gt;"",N('Your debts'!$C$13)&gt;0))),"",IF('Your debts'!$D$20="Avalanche",'Avalanche workings'!$AW$570,'Snowball workings'!$AW$570))</f>
      </c>
      <c r="V568" s="29">
        <f>IF(OR(563&gt;$Z$1,NOT(OR('Your debts'!$B$14&lt;&gt;"",N('Your debts'!$C$14)&gt;0))),"",IF('Your debts'!$D$20="Avalanche",'Avalanche workings'!$T$570,'Snowball workings'!$T$570)+IF('Your debts'!$D$20="Avalanche",'Avalanche workings'!$AN$570,'Snowball workings'!$AN$570))</f>
      </c>
      <c r="W568" s="30">
        <f>IF(OR(563&gt;$Z$1,NOT(OR('Your debts'!$B$14&lt;&gt;"",N('Your debts'!$C$14)&gt;0))),"",IF('Your debts'!$D$20="Avalanche",'Avalanche workings'!$AX$570,'Snowball workings'!$AX$570))</f>
      </c>
      <c r="X568" s="29">
        <f>IF(OR(563&gt;$Z$1,NOT(OR('Your debts'!$B$15&lt;&gt;"",N('Your debts'!$C$15)&gt;0))),"",IF('Your debts'!$D$20="Avalanche",'Avalanche workings'!$U$570,'Snowball workings'!$U$570)+IF('Your debts'!$D$20="Avalanche",'Avalanche workings'!$AO$570,'Snowball workings'!$AO$570))</f>
      </c>
      <c r="Y568" s="30">
        <f>IF(OR(563&gt;$Z$1,NOT(OR('Your debts'!$B$15&lt;&gt;"",N('Your debts'!$C$15)&gt;0))),"",IF('Your debts'!$D$20="Avalanche",'Avalanche workings'!$AY$570,'Snowball workings'!$AY$570))</f>
      </c>
    </row>
    <row r="569" spans="1:25" x14ac:dyDescent="0.25">
      <c r="A569" s="2">
        <f>IF(564&gt;$Z$1,"",564)</f>
      </c>
      <c r="B569" s="28">
        <f>IF(564&gt;$Z$1,"",EDATE('Your debts'!$D$21,563))</f>
      </c>
      <c r="C569" s="29">
        <f>IF(564&gt;$Z$1,"",IF('Your debts'!$D$20="Avalanche",'Avalanche workings'!$BC$571,'Snowball workings'!$BC$571))</f>
      </c>
      <c r="D569" s="29">
        <f>IF(564&gt;$Z$1,"",IF('Your debts'!$D$20="Avalanche",'Avalanche workings'!$BA$571,'Snowball workings'!$BA$571))</f>
      </c>
      <c r="E569" s="29">
        <f>IF(564&gt;$Z$1,"",IF('Your debts'!$D$20="Avalanche",'Avalanche workings'!$BB$571,'Snowball workings'!$BB$571))</f>
      </c>
      <c r="F569" s="29">
        <f>IF(OR(564&gt;$Z$1,NOT(OR('Your debts'!$B$6&lt;&gt;"",N('Your debts'!$C$6)&gt;0))),"",IF('Your debts'!$D$20="Avalanche",'Avalanche workings'!$L$571,'Snowball workings'!$L$571)+IF('Your debts'!$D$20="Avalanche",'Avalanche workings'!$AF$571,'Snowball workings'!$AF$571))</f>
      </c>
      <c r="G569" s="30">
        <f>IF(OR(564&gt;$Z$1,NOT(OR('Your debts'!$B$6&lt;&gt;"",N('Your debts'!$C$6)&gt;0))),"",IF('Your debts'!$D$20="Avalanche",'Avalanche workings'!$AP$571,'Snowball workings'!$AP$571))</f>
      </c>
      <c r="H569" s="29">
        <f>IF(OR(564&gt;$Z$1,NOT(OR('Your debts'!$B$7&lt;&gt;"",N('Your debts'!$C$7)&gt;0))),"",IF('Your debts'!$D$20="Avalanche",'Avalanche workings'!$M$571,'Snowball workings'!$M$571)+IF('Your debts'!$D$20="Avalanche",'Avalanche workings'!$AG$571,'Snowball workings'!$AG$571))</f>
      </c>
      <c r="I569" s="30">
        <f>IF(OR(564&gt;$Z$1,NOT(OR('Your debts'!$B$7&lt;&gt;"",N('Your debts'!$C$7)&gt;0))),"",IF('Your debts'!$D$20="Avalanche",'Avalanche workings'!$AQ$571,'Snowball workings'!$AQ$571))</f>
      </c>
      <c r="J569" s="29">
        <f>IF(OR(564&gt;$Z$1,NOT(OR('Your debts'!$B$8&lt;&gt;"",N('Your debts'!$C$8)&gt;0))),"",IF('Your debts'!$D$20="Avalanche",'Avalanche workings'!$N$571,'Snowball workings'!$N$571)+IF('Your debts'!$D$20="Avalanche",'Avalanche workings'!$AH$571,'Snowball workings'!$AH$571))</f>
      </c>
      <c r="K569" s="30">
        <f>IF(OR(564&gt;$Z$1,NOT(OR('Your debts'!$B$8&lt;&gt;"",N('Your debts'!$C$8)&gt;0))),"",IF('Your debts'!$D$20="Avalanche",'Avalanche workings'!$AR$571,'Snowball workings'!$AR$571))</f>
      </c>
      <c r="L569" s="29">
        <f>IF(OR(564&gt;$Z$1,NOT(OR('Your debts'!$B$9&lt;&gt;"",N('Your debts'!$C$9)&gt;0))),"",IF('Your debts'!$D$20="Avalanche",'Avalanche workings'!$O$571,'Snowball workings'!$O$571)+IF('Your debts'!$D$20="Avalanche",'Avalanche workings'!$AI$571,'Snowball workings'!$AI$571))</f>
      </c>
      <c r="M569" s="30">
        <f>IF(OR(564&gt;$Z$1,NOT(OR('Your debts'!$B$9&lt;&gt;"",N('Your debts'!$C$9)&gt;0))),"",IF('Your debts'!$D$20="Avalanche",'Avalanche workings'!$AS$571,'Snowball workings'!$AS$571))</f>
      </c>
      <c r="N569" s="29">
        <f>IF(OR(564&gt;$Z$1,NOT(OR('Your debts'!$B$10&lt;&gt;"",N('Your debts'!$C$10)&gt;0))),"",IF('Your debts'!$D$20="Avalanche",'Avalanche workings'!$P$571,'Snowball workings'!$P$571)+IF('Your debts'!$D$20="Avalanche",'Avalanche workings'!$AJ$571,'Snowball workings'!$AJ$571))</f>
      </c>
      <c r="O569" s="30">
        <f>IF(OR(564&gt;$Z$1,NOT(OR('Your debts'!$B$10&lt;&gt;"",N('Your debts'!$C$10)&gt;0))),"",IF('Your debts'!$D$20="Avalanche",'Avalanche workings'!$AT$571,'Snowball workings'!$AT$571))</f>
      </c>
      <c r="P569" s="29">
        <f>IF(OR(564&gt;$Z$1,NOT(OR('Your debts'!$B$11&lt;&gt;"",N('Your debts'!$C$11)&gt;0))),"",IF('Your debts'!$D$20="Avalanche",'Avalanche workings'!$Q$571,'Snowball workings'!$Q$571)+IF('Your debts'!$D$20="Avalanche",'Avalanche workings'!$AK$571,'Snowball workings'!$AK$571))</f>
      </c>
      <c r="Q569" s="30">
        <f>IF(OR(564&gt;$Z$1,NOT(OR('Your debts'!$B$11&lt;&gt;"",N('Your debts'!$C$11)&gt;0))),"",IF('Your debts'!$D$20="Avalanche",'Avalanche workings'!$AU$571,'Snowball workings'!$AU$571))</f>
      </c>
      <c r="R569" s="29">
        <f>IF(OR(564&gt;$Z$1,NOT(OR('Your debts'!$B$12&lt;&gt;"",N('Your debts'!$C$12)&gt;0))),"",IF('Your debts'!$D$20="Avalanche",'Avalanche workings'!$R$571,'Snowball workings'!$R$571)+IF('Your debts'!$D$20="Avalanche",'Avalanche workings'!$AL$571,'Snowball workings'!$AL$571))</f>
      </c>
      <c r="S569" s="30">
        <f>IF(OR(564&gt;$Z$1,NOT(OR('Your debts'!$B$12&lt;&gt;"",N('Your debts'!$C$12)&gt;0))),"",IF('Your debts'!$D$20="Avalanche",'Avalanche workings'!$AV$571,'Snowball workings'!$AV$571))</f>
      </c>
      <c r="T569" s="29">
        <f>IF(OR(564&gt;$Z$1,NOT(OR('Your debts'!$B$13&lt;&gt;"",N('Your debts'!$C$13)&gt;0))),"",IF('Your debts'!$D$20="Avalanche",'Avalanche workings'!$S$571,'Snowball workings'!$S$571)+IF('Your debts'!$D$20="Avalanche",'Avalanche workings'!$AM$571,'Snowball workings'!$AM$571))</f>
      </c>
      <c r="U569" s="30">
        <f>IF(OR(564&gt;$Z$1,NOT(OR('Your debts'!$B$13&lt;&gt;"",N('Your debts'!$C$13)&gt;0))),"",IF('Your debts'!$D$20="Avalanche",'Avalanche workings'!$AW$571,'Snowball workings'!$AW$571))</f>
      </c>
      <c r="V569" s="29">
        <f>IF(OR(564&gt;$Z$1,NOT(OR('Your debts'!$B$14&lt;&gt;"",N('Your debts'!$C$14)&gt;0))),"",IF('Your debts'!$D$20="Avalanche",'Avalanche workings'!$T$571,'Snowball workings'!$T$571)+IF('Your debts'!$D$20="Avalanche",'Avalanche workings'!$AN$571,'Snowball workings'!$AN$571))</f>
      </c>
      <c r="W569" s="30">
        <f>IF(OR(564&gt;$Z$1,NOT(OR('Your debts'!$B$14&lt;&gt;"",N('Your debts'!$C$14)&gt;0))),"",IF('Your debts'!$D$20="Avalanche",'Avalanche workings'!$AX$571,'Snowball workings'!$AX$571))</f>
      </c>
      <c r="X569" s="29">
        <f>IF(OR(564&gt;$Z$1,NOT(OR('Your debts'!$B$15&lt;&gt;"",N('Your debts'!$C$15)&gt;0))),"",IF('Your debts'!$D$20="Avalanche",'Avalanche workings'!$U$571,'Snowball workings'!$U$571)+IF('Your debts'!$D$20="Avalanche",'Avalanche workings'!$AO$571,'Snowball workings'!$AO$571))</f>
      </c>
      <c r="Y569" s="30">
        <f>IF(OR(564&gt;$Z$1,NOT(OR('Your debts'!$B$15&lt;&gt;"",N('Your debts'!$C$15)&gt;0))),"",IF('Your debts'!$D$20="Avalanche",'Avalanche workings'!$AY$571,'Snowball workings'!$AY$571))</f>
      </c>
    </row>
    <row r="570" spans="1:25" x14ac:dyDescent="0.25">
      <c r="A570" s="2">
        <f>IF(565&gt;$Z$1,"",565)</f>
      </c>
      <c r="B570" s="28">
        <f>IF(565&gt;$Z$1,"",EDATE('Your debts'!$D$21,564))</f>
      </c>
      <c r="C570" s="29">
        <f>IF(565&gt;$Z$1,"",IF('Your debts'!$D$20="Avalanche",'Avalanche workings'!$BC$572,'Snowball workings'!$BC$572))</f>
      </c>
      <c r="D570" s="29">
        <f>IF(565&gt;$Z$1,"",IF('Your debts'!$D$20="Avalanche",'Avalanche workings'!$BA$572,'Snowball workings'!$BA$572))</f>
      </c>
      <c r="E570" s="29">
        <f>IF(565&gt;$Z$1,"",IF('Your debts'!$D$20="Avalanche",'Avalanche workings'!$BB$572,'Snowball workings'!$BB$572))</f>
      </c>
      <c r="F570" s="29">
        <f>IF(OR(565&gt;$Z$1,NOT(OR('Your debts'!$B$6&lt;&gt;"",N('Your debts'!$C$6)&gt;0))),"",IF('Your debts'!$D$20="Avalanche",'Avalanche workings'!$L$572,'Snowball workings'!$L$572)+IF('Your debts'!$D$20="Avalanche",'Avalanche workings'!$AF$572,'Snowball workings'!$AF$572))</f>
      </c>
      <c r="G570" s="30">
        <f>IF(OR(565&gt;$Z$1,NOT(OR('Your debts'!$B$6&lt;&gt;"",N('Your debts'!$C$6)&gt;0))),"",IF('Your debts'!$D$20="Avalanche",'Avalanche workings'!$AP$572,'Snowball workings'!$AP$572))</f>
      </c>
      <c r="H570" s="29">
        <f>IF(OR(565&gt;$Z$1,NOT(OR('Your debts'!$B$7&lt;&gt;"",N('Your debts'!$C$7)&gt;0))),"",IF('Your debts'!$D$20="Avalanche",'Avalanche workings'!$M$572,'Snowball workings'!$M$572)+IF('Your debts'!$D$20="Avalanche",'Avalanche workings'!$AG$572,'Snowball workings'!$AG$572))</f>
      </c>
      <c r="I570" s="30">
        <f>IF(OR(565&gt;$Z$1,NOT(OR('Your debts'!$B$7&lt;&gt;"",N('Your debts'!$C$7)&gt;0))),"",IF('Your debts'!$D$20="Avalanche",'Avalanche workings'!$AQ$572,'Snowball workings'!$AQ$572))</f>
      </c>
      <c r="J570" s="29">
        <f>IF(OR(565&gt;$Z$1,NOT(OR('Your debts'!$B$8&lt;&gt;"",N('Your debts'!$C$8)&gt;0))),"",IF('Your debts'!$D$20="Avalanche",'Avalanche workings'!$N$572,'Snowball workings'!$N$572)+IF('Your debts'!$D$20="Avalanche",'Avalanche workings'!$AH$572,'Snowball workings'!$AH$572))</f>
      </c>
      <c r="K570" s="30">
        <f>IF(OR(565&gt;$Z$1,NOT(OR('Your debts'!$B$8&lt;&gt;"",N('Your debts'!$C$8)&gt;0))),"",IF('Your debts'!$D$20="Avalanche",'Avalanche workings'!$AR$572,'Snowball workings'!$AR$572))</f>
      </c>
      <c r="L570" s="29">
        <f>IF(OR(565&gt;$Z$1,NOT(OR('Your debts'!$B$9&lt;&gt;"",N('Your debts'!$C$9)&gt;0))),"",IF('Your debts'!$D$20="Avalanche",'Avalanche workings'!$O$572,'Snowball workings'!$O$572)+IF('Your debts'!$D$20="Avalanche",'Avalanche workings'!$AI$572,'Snowball workings'!$AI$572))</f>
      </c>
      <c r="M570" s="30">
        <f>IF(OR(565&gt;$Z$1,NOT(OR('Your debts'!$B$9&lt;&gt;"",N('Your debts'!$C$9)&gt;0))),"",IF('Your debts'!$D$20="Avalanche",'Avalanche workings'!$AS$572,'Snowball workings'!$AS$572))</f>
      </c>
      <c r="N570" s="29">
        <f>IF(OR(565&gt;$Z$1,NOT(OR('Your debts'!$B$10&lt;&gt;"",N('Your debts'!$C$10)&gt;0))),"",IF('Your debts'!$D$20="Avalanche",'Avalanche workings'!$P$572,'Snowball workings'!$P$572)+IF('Your debts'!$D$20="Avalanche",'Avalanche workings'!$AJ$572,'Snowball workings'!$AJ$572))</f>
      </c>
      <c r="O570" s="30">
        <f>IF(OR(565&gt;$Z$1,NOT(OR('Your debts'!$B$10&lt;&gt;"",N('Your debts'!$C$10)&gt;0))),"",IF('Your debts'!$D$20="Avalanche",'Avalanche workings'!$AT$572,'Snowball workings'!$AT$572))</f>
      </c>
      <c r="P570" s="29">
        <f>IF(OR(565&gt;$Z$1,NOT(OR('Your debts'!$B$11&lt;&gt;"",N('Your debts'!$C$11)&gt;0))),"",IF('Your debts'!$D$20="Avalanche",'Avalanche workings'!$Q$572,'Snowball workings'!$Q$572)+IF('Your debts'!$D$20="Avalanche",'Avalanche workings'!$AK$572,'Snowball workings'!$AK$572))</f>
      </c>
      <c r="Q570" s="30">
        <f>IF(OR(565&gt;$Z$1,NOT(OR('Your debts'!$B$11&lt;&gt;"",N('Your debts'!$C$11)&gt;0))),"",IF('Your debts'!$D$20="Avalanche",'Avalanche workings'!$AU$572,'Snowball workings'!$AU$572))</f>
      </c>
      <c r="R570" s="29">
        <f>IF(OR(565&gt;$Z$1,NOT(OR('Your debts'!$B$12&lt;&gt;"",N('Your debts'!$C$12)&gt;0))),"",IF('Your debts'!$D$20="Avalanche",'Avalanche workings'!$R$572,'Snowball workings'!$R$572)+IF('Your debts'!$D$20="Avalanche",'Avalanche workings'!$AL$572,'Snowball workings'!$AL$572))</f>
      </c>
      <c r="S570" s="30">
        <f>IF(OR(565&gt;$Z$1,NOT(OR('Your debts'!$B$12&lt;&gt;"",N('Your debts'!$C$12)&gt;0))),"",IF('Your debts'!$D$20="Avalanche",'Avalanche workings'!$AV$572,'Snowball workings'!$AV$572))</f>
      </c>
      <c r="T570" s="29">
        <f>IF(OR(565&gt;$Z$1,NOT(OR('Your debts'!$B$13&lt;&gt;"",N('Your debts'!$C$13)&gt;0))),"",IF('Your debts'!$D$20="Avalanche",'Avalanche workings'!$S$572,'Snowball workings'!$S$572)+IF('Your debts'!$D$20="Avalanche",'Avalanche workings'!$AM$572,'Snowball workings'!$AM$572))</f>
      </c>
      <c r="U570" s="30">
        <f>IF(OR(565&gt;$Z$1,NOT(OR('Your debts'!$B$13&lt;&gt;"",N('Your debts'!$C$13)&gt;0))),"",IF('Your debts'!$D$20="Avalanche",'Avalanche workings'!$AW$572,'Snowball workings'!$AW$572))</f>
      </c>
      <c r="V570" s="29">
        <f>IF(OR(565&gt;$Z$1,NOT(OR('Your debts'!$B$14&lt;&gt;"",N('Your debts'!$C$14)&gt;0))),"",IF('Your debts'!$D$20="Avalanche",'Avalanche workings'!$T$572,'Snowball workings'!$T$572)+IF('Your debts'!$D$20="Avalanche",'Avalanche workings'!$AN$572,'Snowball workings'!$AN$572))</f>
      </c>
      <c r="W570" s="30">
        <f>IF(OR(565&gt;$Z$1,NOT(OR('Your debts'!$B$14&lt;&gt;"",N('Your debts'!$C$14)&gt;0))),"",IF('Your debts'!$D$20="Avalanche",'Avalanche workings'!$AX$572,'Snowball workings'!$AX$572))</f>
      </c>
      <c r="X570" s="29">
        <f>IF(OR(565&gt;$Z$1,NOT(OR('Your debts'!$B$15&lt;&gt;"",N('Your debts'!$C$15)&gt;0))),"",IF('Your debts'!$D$20="Avalanche",'Avalanche workings'!$U$572,'Snowball workings'!$U$572)+IF('Your debts'!$D$20="Avalanche",'Avalanche workings'!$AO$572,'Snowball workings'!$AO$572))</f>
      </c>
      <c r="Y570" s="30">
        <f>IF(OR(565&gt;$Z$1,NOT(OR('Your debts'!$B$15&lt;&gt;"",N('Your debts'!$C$15)&gt;0))),"",IF('Your debts'!$D$20="Avalanche",'Avalanche workings'!$AY$572,'Snowball workings'!$AY$572))</f>
      </c>
    </row>
    <row r="571" spans="1:25" x14ac:dyDescent="0.25">
      <c r="A571" s="2">
        <f>IF(566&gt;$Z$1,"",566)</f>
      </c>
      <c r="B571" s="28">
        <f>IF(566&gt;$Z$1,"",EDATE('Your debts'!$D$21,565))</f>
      </c>
      <c r="C571" s="29">
        <f>IF(566&gt;$Z$1,"",IF('Your debts'!$D$20="Avalanche",'Avalanche workings'!$BC$573,'Snowball workings'!$BC$573))</f>
      </c>
      <c r="D571" s="29">
        <f>IF(566&gt;$Z$1,"",IF('Your debts'!$D$20="Avalanche",'Avalanche workings'!$BA$573,'Snowball workings'!$BA$573))</f>
      </c>
      <c r="E571" s="29">
        <f>IF(566&gt;$Z$1,"",IF('Your debts'!$D$20="Avalanche",'Avalanche workings'!$BB$573,'Snowball workings'!$BB$573))</f>
      </c>
      <c r="F571" s="29">
        <f>IF(OR(566&gt;$Z$1,NOT(OR('Your debts'!$B$6&lt;&gt;"",N('Your debts'!$C$6)&gt;0))),"",IF('Your debts'!$D$20="Avalanche",'Avalanche workings'!$L$573,'Snowball workings'!$L$573)+IF('Your debts'!$D$20="Avalanche",'Avalanche workings'!$AF$573,'Snowball workings'!$AF$573))</f>
      </c>
      <c r="G571" s="30">
        <f>IF(OR(566&gt;$Z$1,NOT(OR('Your debts'!$B$6&lt;&gt;"",N('Your debts'!$C$6)&gt;0))),"",IF('Your debts'!$D$20="Avalanche",'Avalanche workings'!$AP$573,'Snowball workings'!$AP$573))</f>
      </c>
      <c r="H571" s="29">
        <f>IF(OR(566&gt;$Z$1,NOT(OR('Your debts'!$B$7&lt;&gt;"",N('Your debts'!$C$7)&gt;0))),"",IF('Your debts'!$D$20="Avalanche",'Avalanche workings'!$M$573,'Snowball workings'!$M$573)+IF('Your debts'!$D$20="Avalanche",'Avalanche workings'!$AG$573,'Snowball workings'!$AG$573))</f>
      </c>
      <c r="I571" s="30">
        <f>IF(OR(566&gt;$Z$1,NOT(OR('Your debts'!$B$7&lt;&gt;"",N('Your debts'!$C$7)&gt;0))),"",IF('Your debts'!$D$20="Avalanche",'Avalanche workings'!$AQ$573,'Snowball workings'!$AQ$573))</f>
      </c>
      <c r="J571" s="29">
        <f>IF(OR(566&gt;$Z$1,NOT(OR('Your debts'!$B$8&lt;&gt;"",N('Your debts'!$C$8)&gt;0))),"",IF('Your debts'!$D$20="Avalanche",'Avalanche workings'!$N$573,'Snowball workings'!$N$573)+IF('Your debts'!$D$20="Avalanche",'Avalanche workings'!$AH$573,'Snowball workings'!$AH$573))</f>
      </c>
      <c r="K571" s="30">
        <f>IF(OR(566&gt;$Z$1,NOT(OR('Your debts'!$B$8&lt;&gt;"",N('Your debts'!$C$8)&gt;0))),"",IF('Your debts'!$D$20="Avalanche",'Avalanche workings'!$AR$573,'Snowball workings'!$AR$573))</f>
      </c>
      <c r="L571" s="29">
        <f>IF(OR(566&gt;$Z$1,NOT(OR('Your debts'!$B$9&lt;&gt;"",N('Your debts'!$C$9)&gt;0))),"",IF('Your debts'!$D$20="Avalanche",'Avalanche workings'!$O$573,'Snowball workings'!$O$573)+IF('Your debts'!$D$20="Avalanche",'Avalanche workings'!$AI$573,'Snowball workings'!$AI$573))</f>
      </c>
      <c r="M571" s="30">
        <f>IF(OR(566&gt;$Z$1,NOT(OR('Your debts'!$B$9&lt;&gt;"",N('Your debts'!$C$9)&gt;0))),"",IF('Your debts'!$D$20="Avalanche",'Avalanche workings'!$AS$573,'Snowball workings'!$AS$573))</f>
      </c>
      <c r="N571" s="29">
        <f>IF(OR(566&gt;$Z$1,NOT(OR('Your debts'!$B$10&lt;&gt;"",N('Your debts'!$C$10)&gt;0))),"",IF('Your debts'!$D$20="Avalanche",'Avalanche workings'!$P$573,'Snowball workings'!$P$573)+IF('Your debts'!$D$20="Avalanche",'Avalanche workings'!$AJ$573,'Snowball workings'!$AJ$573))</f>
      </c>
      <c r="O571" s="30">
        <f>IF(OR(566&gt;$Z$1,NOT(OR('Your debts'!$B$10&lt;&gt;"",N('Your debts'!$C$10)&gt;0))),"",IF('Your debts'!$D$20="Avalanche",'Avalanche workings'!$AT$573,'Snowball workings'!$AT$573))</f>
      </c>
      <c r="P571" s="29">
        <f>IF(OR(566&gt;$Z$1,NOT(OR('Your debts'!$B$11&lt;&gt;"",N('Your debts'!$C$11)&gt;0))),"",IF('Your debts'!$D$20="Avalanche",'Avalanche workings'!$Q$573,'Snowball workings'!$Q$573)+IF('Your debts'!$D$20="Avalanche",'Avalanche workings'!$AK$573,'Snowball workings'!$AK$573))</f>
      </c>
      <c r="Q571" s="30">
        <f>IF(OR(566&gt;$Z$1,NOT(OR('Your debts'!$B$11&lt;&gt;"",N('Your debts'!$C$11)&gt;0))),"",IF('Your debts'!$D$20="Avalanche",'Avalanche workings'!$AU$573,'Snowball workings'!$AU$573))</f>
      </c>
      <c r="R571" s="29">
        <f>IF(OR(566&gt;$Z$1,NOT(OR('Your debts'!$B$12&lt;&gt;"",N('Your debts'!$C$12)&gt;0))),"",IF('Your debts'!$D$20="Avalanche",'Avalanche workings'!$R$573,'Snowball workings'!$R$573)+IF('Your debts'!$D$20="Avalanche",'Avalanche workings'!$AL$573,'Snowball workings'!$AL$573))</f>
      </c>
      <c r="S571" s="30">
        <f>IF(OR(566&gt;$Z$1,NOT(OR('Your debts'!$B$12&lt;&gt;"",N('Your debts'!$C$12)&gt;0))),"",IF('Your debts'!$D$20="Avalanche",'Avalanche workings'!$AV$573,'Snowball workings'!$AV$573))</f>
      </c>
      <c r="T571" s="29">
        <f>IF(OR(566&gt;$Z$1,NOT(OR('Your debts'!$B$13&lt;&gt;"",N('Your debts'!$C$13)&gt;0))),"",IF('Your debts'!$D$20="Avalanche",'Avalanche workings'!$S$573,'Snowball workings'!$S$573)+IF('Your debts'!$D$20="Avalanche",'Avalanche workings'!$AM$573,'Snowball workings'!$AM$573))</f>
      </c>
      <c r="U571" s="30">
        <f>IF(OR(566&gt;$Z$1,NOT(OR('Your debts'!$B$13&lt;&gt;"",N('Your debts'!$C$13)&gt;0))),"",IF('Your debts'!$D$20="Avalanche",'Avalanche workings'!$AW$573,'Snowball workings'!$AW$573))</f>
      </c>
      <c r="V571" s="29">
        <f>IF(OR(566&gt;$Z$1,NOT(OR('Your debts'!$B$14&lt;&gt;"",N('Your debts'!$C$14)&gt;0))),"",IF('Your debts'!$D$20="Avalanche",'Avalanche workings'!$T$573,'Snowball workings'!$T$573)+IF('Your debts'!$D$20="Avalanche",'Avalanche workings'!$AN$573,'Snowball workings'!$AN$573))</f>
      </c>
      <c r="W571" s="30">
        <f>IF(OR(566&gt;$Z$1,NOT(OR('Your debts'!$B$14&lt;&gt;"",N('Your debts'!$C$14)&gt;0))),"",IF('Your debts'!$D$20="Avalanche",'Avalanche workings'!$AX$573,'Snowball workings'!$AX$573))</f>
      </c>
      <c r="X571" s="29">
        <f>IF(OR(566&gt;$Z$1,NOT(OR('Your debts'!$B$15&lt;&gt;"",N('Your debts'!$C$15)&gt;0))),"",IF('Your debts'!$D$20="Avalanche",'Avalanche workings'!$U$573,'Snowball workings'!$U$573)+IF('Your debts'!$D$20="Avalanche",'Avalanche workings'!$AO$573,'Snowball workings'!$AO$573))</f>
      </c>
      <c r="Y571" s="30">
        <f>IF(OR(566&gt;$Z$1,NOT(OR('Your debts'!$B$15&lt;&gt;"",N('Your debts'!$C$15)&gt;0))),"",IF('Your debts'!$D$20="Avalanche",'Avalanche workings'!$AY$573,'Snowball workings'!$AY$573))</f>
      </c>
    </row>
    <row r="572" spans="1:25" x14ac:dyDescent="0.25">
      <c r="A572" s="2">
        <f>IF(567&gt;$Z$1,"",567)</f>
      </c>
      <c r="B572" s="28">
        <f>IF(567&gt;$Z$1,"",EDATE('Your debts'!$D$21,566))</f>
      </c>
      <c r="C572" s="29">
        <f>IF(567&gt;$Z$1,"",IF('Your debts'!$D$20="Avalanche",'Avalanche workings'!$BC$574,'Snowball workings'!$BC$574))</f>
      </c>
      <c r="D572" s="29">
        <f>IF(567&gt;$Z$1,"",IF('Your debts'!$D$20="Avalanche",'Avalanche workings'!$BA$574,'Snowball workings'!$BA$574))</f>
      </c>
      <c r="E572" s="29">
        <f>IF(567&gt;$Z$1,"",IF('Your debts'!$D$20="Avalanche",'Avalanche workings'!$BB$574,'Snowball workings'!$BB$574))</f>
      </c>
      <c r="F572" s="29">
        <f>IF(OR(567&gt;$Z$1,NOT(OR('Your debts'!$B$6&lt;&gt;"",N('Your debts'!$C$6)&gt;0))),"",IF('Your debts'!$D$20="Avalanche",'Avalanche workings'!$L$574,'Snowball workings'!$L$574)+IF('Your debts'!$D$20="Avalanche",'Avalanche workings'!$AF$574,'Snowball workings'!$AF$574))</f>
      </c>
      <c r="G572" s="30">
        <f>IF(OR(567&gt;$Z$1,NOT(OR('Your debts'!$B$6&lt;&gt;"",N('Your debts'!$C$6)&gt;0))),"",IF('Your debts'!$D$20="Avalanche",'Avalanche workings'!$AP$574,'Snowball workings'!$AP$574))</f>
      </c>
      <c r="H572" s="29">
        <f>IF(OR(567&gt;$Z$1,NOT(OR('Your debts'!$B$7&lt;&gt;"",N('Your debts'!$C$7)&gt;0))),"",IF('Your debts'!$D$20="Avalanche",'Avalanche workings'!$M$574,'Snowball workings'!$M$574)+IF('Your debts'!$D$20="Avalanche",'Avalanche workings'!$AG$574,'Snowball workings'!$AG$574))</f>
      </c>
      <c r="I572" s="30">
        <f>IF(OR(567&gt;$Z$1,NOT(OR('Your debts'!$B$7&lt;&gt;"",N('Your debts'!$C$7)&gt;0))),"",IF('Your debts'!$D$20="Avalanche",'Avalanche workings'!$AQ$574,'Snowball workings'!$AQ$574))</f>
      </c>
      <c r="J572" s="29">
        <f>IF(OR(567&gt;$Z$1,NOT(OR('Your debts'!$B$8&lt;&gt;"",N('Your debts'!$C$8)&gt;0))),"",IF('Your debts'!$D$20="Avalanche",'Avalanche workings'!$N$574,'Snowball workings'!$N$574)+IF('Your debts'!$D$20="Avalanche",'Avalanche workings'!$AH$574,'Snowball workings'!$AH$574))</f>
      </c>
      <c r="K572" s="30">
        <f>IF(OR(567&gt;$Z$1,NOT(OR('Your debts'!$B$8&lt;&gt;"",N('Your debts'!$C$8)&gt;0))),"",IF('Your debts'!$D$20="Avalanche",'Avalanche workings'!$AR$574,'Snowball workings'!$AR$574))</f>
      </c>
      <c r="L572" s="29">
        <f>IF(OR(567&gt;$Z$1,NOT(OR('Your debts'!$B$9&lt;&gt;"",N('Your debts'!$C$9)&gt;0))),"",IF('Your debts'!$D$20="Avalanche",'Avalanche workings'!$O$574,'Snowball workings'!$O$574)+IF('Your debts'!$D$20="Avalanche",'Avalanche workings'!$AI$574,'Snowball workings'!$AI$574))</f>
      </c>
      <c r="M572" s="30">
        <f>IF(OR(567&gt;$Z$1,NOT(OR('Your debts'!$B$9&lt;&gt;"",N('Your debts'!$C$9)&gt;0))),"",IF('Your debts'!$D$20="Avalanche",'Avalanche workings'!$AS$574,'Snowball workings'!$AS$574))</f>
      </c>
      <c r="N572" s="29">
        <f>IF(OR(567&gt;$Z$1,NOT(OR('Your debts'!$B$10&lt;&gt;"",N('Your debts'!$C$10)&gt;0))),"",IF('Your debts'!$D$20="Avalanche",'Avalanche workings'!$P$574,'Snowball workings'!$P$574)+IF('Your debts'!$D$20="Avalanche",'Avalanche workings'!$AJ$574,'Snowball workings'!$AJ$574))</f>
      </c>
      <c r="O572" s="30">
        <f>IF(OR(567&gt;$Z$1,NOT(OR('Your debts'!$B$10&lt;&gt;"",N('Your debts'!$C$10)&gt;0))),"",IF('Your debts'!$D$20="Avalanche",'Avalanche workings'!$AT$574,'Snowball workings'!$AT$574))</f>
      </c>
      <c r="P572" s="29">
        <f>IF(OR(567&gt;$Z$1,NOT(OR('Your debts'!$B$11&lt;&gt;"",N('Your debts'!$C$11)&gt;0))),"",IF('Your debts'!$D$20="Avalanche",'Avalanche workings'!$Q$574,'Snowball workings'!$Q$574)+IF('Your debts'!$D$20="Avalanche",'Avalanche workings'!$AK$574,'Snowball workings'!$AK$574))</f>
      </c>
      <c r="Q572" s="30">
        <f>IF(OR(567&gt;$Z$1,NOT(OR('Your debts'!$B$11&lt;&gt;"",N('Your debts'!$C$11)&gt;0))),"",IF('Your debts'!$D$20="Avalanche",'Avalanche workings'!$AU$574,'Snowball workings'!$AU$574))</f>
      </c>
      <c r="R572" s="29">
        <f>IF(OR(567&gt;$Z$1,NOT(OR('Your debts'!$B$12&lt;&gt;"",N('Your debts'!$C$12)&gt;0))),"",IF('Your debts'!$D$20="Avalanche",'Avalanche workings'!$R$574,'Snowball workings'!$R$574)+IF('Your debts'!$D$20="Avalanche",'Avalanche workings'!$AL$574,'Snowball workings'!$AL$574))</f>
      </c>
      <c r="S572" s="30">
        <f>IF(OR(567&gt;$Z$1,NOT(OR('Your debts'!$B$12&lt;&gt;"",N('Your debts'!$C$12)&gt;0))),"",IF('Your debts'!$D$20="Avalanche",'Avalanche workings'!$AV$574,'Snowball workings'!$AV$574))</f>
      </c>
      <c r="T572" s="29">
        <f>IF(OR(567&gt;$Z$1,NOT(OR('Your debts'!$B$13&lt;&gt;"",N('Your debts'!$C$13)&gt;0))),"",IF('Your debts'!$D$20="Avalanche",'Avalanche workings'!$S$574,'Snowball workings'!$S$574)+IF('Your debts'!$D$20="Avalanche",'Avalanche workings'!$AM$574,'Snowball workings'!$AM$574))</f>
      </c>
      <c r="U572" s="30">
        <f>IF(OR(567&gt;$Z$1,NOT(OR('Your debts'!$B$13&lt;&gt;"",N('Your debts'!$C$13)&gt;0))),"",IF('Your debts'!$D$20="Avalanche",'Avalanche workings'!$AW$574,'Snowball workings'!$AW$574))</f>
      </c>
      <c r="V572" s="29">
        <f>IF(OR(567&gt;$Z$1,NOT(OR('Your debts'!$B$14&lt;&gt;"",N('Your debts'!$C$14)&gt;0))),"",IF('Your debts'!$D$20="Avalanche",'Avalanche workings'!$T$574,'Snowball workings'!$T$574)+IF('Your debts'!$D$20="Avalanche",'Avalanche workings'!$AN$574,'Snowball workings'!$AN$574))</f>
      </c>
      <c r="W572" s="30">
        <f>IF(OR(567&gt;$Z$1,NOT(OR('Your debts'!$B$14&lt;&gt;"",N('Your debts'!$C$14)&gt;0))),"",IF('Your debts'!$D$20="Avalanche",'Avalanche workings'!$AX$574,'Snowball workings'!$AX$574))</f>
      </c>
      <c r="X572" s="29">
        <f>IF(OR(567&gt;$Z$1,NOT(OR('Your debts'!$B$15&lt;&gt;"",N('Your debts'!$C$15)&gt;0))),"",IF('Your debts'!$D$20="Avalanche",'Avalanche workings'!$U$574,'Snowball workings'!$U$574)+IF('Your debts'!$D$20="Avalanche",'Avalanche workings'!$AO$574,'Snowball workings'!$AO$574))</f>
      </c>
      <c r="Y572" s="30">
        <f>IF(OR(567&gt;$Z$1,NOT(OR('Your debts'!$B$15&lt;&gt;"",N('Your debts'!$C$15)&gt;0))),"",IF('Your debts'!$D$20="Avalanche",'Avalanche workings'!$AY$574,'Snowball workings'!$AY$574))</f>
      </c>
    </row>
    <row r="573" spans="1:25" x14ac:dyDescent="0.25">
      <c r="A573" s="2">
        <f>IF(568&gt;$Z$1,"",568)</f>
      </c>
      <c r="B573" s="28">
        <f>IF(568&gt;$Z$1,"",EDATE('Your debts'!$D$21,567))</f>
      </c>
      <c r="C573" s="29">
        <f>IF(568&gt;$Z$1,"",IF('Your debts'!$D$20="Avalanche",'Avalanche workings'!$BC$575,'Snowball workings'!$BC$575))</f>
      </c>
      <c r="D573" s="29">
        <f>IF(568&gt;$Z$1,"",IF('Your debts'!$D$20="Avalanche",'Avalanche workings'!$BA$575,'Snowball workings'!$BA$575))</f>
      </c>
      <c r="E573" s="29">
        <f>IF(568&gt;$Z$1,"",IF('Your debts'!$D$20="Avalanche",'Avalanche workings'!$BB$575,'Snowball workings'!$BB$575))</f>
      </c>
      <c r="F573" s="29">
        <f>IF(OR(568&gt;$Z$1,NOT(OR('Your debts'!$B$6&lt;&gt;"",N('Your debts'!$C$6)&gt;0))),"",IF('Your debts'!$D$20="Avalanche",'Avalanche workings'!$L$575,'Snowball workings'!$L$575)+IF('Your debts'!$D$20="Avalanche",'Avalanche workings'!$AF$575,'Snowball workings'!$AF$575))</f>
      </c>
      <c r="G573" s="30">
        <f>IF(OR(568&gt;$Z$1,NOT(OR('Your debts'!$B$6&lt;&gt;"",N('Your debts'!$C$6)&gt;0))),"",IF('Your debts'!$D$20="Avalanche",'Avalanche workings'!$AP$575,'Snowball workings'!$AP$575))</f>
      </c>
      <c r="H573" s="29">
        <f>IF(OR(568&gt;$Z$1,NOT(OR('Your debts'!$B$7&lt;&gt;"",N('Your debts'!$C$7)&gt;0))),"",IF('Your debts'!$D$20="Avalanche",'Avalanche workings'!$M$575,'Snowball workings'!$M$575)+IF('Your debts'!$D$20="Avalanche",'Avalanche workings'!$AG$575,'Snowball workings'!$AG$575))</f>
      </c>
      <c r="I573" s="30">
        <f>IF(OR(568&gt;$Z$1,NOT(OR('Your debts'!$B$7&lt;&gt;"",N('Your debts'!$C$7)&gt;0))),"",IF('Your debts'!$D$20="Avalanche",'Avalanche workings'!$AQ$575,'Snowball workings'!$AQ$575))</f>
      </c>
      <c r="J573" s="29">
        <f>IF(OR(568&gt;$Z$1,NOT(OR('Your debts'!$B$8&lt;&gt;"",N('Your debts'!$C$8)&gt;0))),"",IF('Your debts'!$D$20="Avalanche",'Avalanche workings'!$N$575,'Snowball workings'!$N$575)+IF('Your debts'!$D$20="Avalanche",'Avalanche workings'!$AH$575,'Snowball workings'!$AH$575))</f>
      </c>
      <c r="K573" s="30">
        <f>IF(OR(568&gt;$Z$1,NOT(OR('Your debts'!$B$8&lt;&gt;"",N('Your debts'!$C$8)&gt;0))),"",IF('Your debts'!$D$20="Avalanche",'Avalanche workings'!$AR$575,'Snowball workings'!$AR$575))</f>
      </c>
      <c r="L573" s="29">
        <f>IF(OR(568&gt;$Z$1,NOT(OR('Your debts'!$B$9&lt;&gt;"",N('Your debts'!$C$9)&gt;0))),"",IF('Your debts'!$D$20="Avalanche",'Avalanche workings'!$O$575,'Snowball workings'!$O$575)+IF('Your debts'!$D$20="Avalanche",'Avalanche workings'!$AI$575,'Snowball workings'!$AI$575))</f>
      </c>
      <c r="M573" s="30">
        <f>IF(OR(568&gt;$Z$1,NOT(OR('Your debts'!$B$9&lt;&gt;"",N('Your debts'!$C$9)&gt;0))),"",IF('Your debts'!$D$20="Avalanche",'Avalanche workings'!$AS$575,'Snowball workings'!$AS$575))</f>
      </c>
      <c r="N573" s="29">
        <f>IF(OR(568&gt;$Z$1,NOT(OR('Your debts'!$B$10&lt;&gt;"",N('Your debts'!$C$10)&gt;0))),"",IF('Your debts'!$D$20="Avalanche",'Avalanche workings'!$P$575,'Snowball workings'!$P$575)+IF('Your debts'!$D$20="Avalanche",'Avalanche workings'!$AJ$575,'Snowball workings'!$AJ$575))</f>
      </c>
      <c r="O573" s="30">
        <f>IF(OR(568&gt;$Z$1,NOT(OR('Your debts'!$B$10&lt;&gt;"",N('Your debts'!$C$10)&gt;0))),"",IF('Your debts'!$D$20="Avalanche",'Avalanche workings'!$AT$575,'Snowball workings'!$AT$575))</f>
      </c>
      <c r="P573" s="29">
        <f>IF(OR(568&gt;$Z$1,NOT(OR('Your debts'!$B$11&lt;&gt;"",N('Your debts'!$C$11)&gt;0))),"",IF('Your debts'!$D$20="Avalanche",'Avalanche workings'!$Q$575,'Snowball workings'!$Q$575)+IF('Your debts'!$D$20="Avalanche",'Avalanche workings'!$AK$575,'Snowball workings'!$AK$575))</f>
      </c>
      <c r="Q573" s="30">
        <f>IF(OR(568&gt;$Z$1,NOT(OR('Your debts'!$B$11&lt;&gt;"",N('Your debts'!$C$11)&gt;0))),"",IF('Your debts'!$D$20="Avalanche",'Avalanche workings'!$AU$575,'Snowball workings'!$AU$575))</f>
      </c>
      <c r="R573" s="29">
        <f>IF(OR(568&gt;$Z$1,NOT(OR('Your debts'!$B$12&lt;&gt;"",N('Your debts'!$C$12)&gt;0))),"",IF('Your debts'!$D$20="Avalanche",'Avalanche workings'!$R$575,'Snowball workings'!$R$575)+IF('Your debts'!$D$20="Avalanche",'Avalanche workings'!$AL$575,'Snowball workings'!$AL$575))</f>
      </c>
      <c r="S573" s="30">
        <f>IF(OR(568&gt;$Z$1,NOT(OR('Your debts'!$B$12&lt;&gt;"",N('Your debts'!$C$12)&gt;0))),"",IF('Your debts'!$D$20="Avalanche",'Avalanche workings'!$AV$575,'Snowball workings'!$AV$575))</f>
      </c>
      <c r="T573" s="29">
        <f>IF(OR(568&gt;$Z$1,NOT(OR('Your debts'!$B$13&lt;&gt;"",N('Your debts'!$C$13)&gt;0))),"",IF('Your debts'!$D$20="Avalanche",'Avalanche workings'!$S$575,'Snowball workings'!$S$575)+IF('Your debts'!$D$20="Avalanche",'Avalanche workings'!$AM$575,'Snowball workings'!$AM$575))</f>
      </c>
      <c r="U573" s="30">
        <f>IF(OR(568&gt;$Z$1,NOT(OR('Your debts'!$B$13&lt;&gt;"",N('Your debts'!$C$13)&gt;0))),"",IF('Your debts'!$D$20="Avalanche",'Avalanche workings'!$AW$575,'Snowball workings'!$AW$575))</f>
      </c>
      <c r="V573" s="29">
        <f>IF(OR(568&gt;$Z$1,NOT(OR('Your debts'!$B$14&lt;&gt;"",N('Your debts'!$C$14)&gt;0))),"",IF('Your debts'!$D$20="Avalanche",'Avalanche workings'!$T$575,'Snowball workings'!$T$575)+IF('Your debts'!$D$20="Avalanche",'Avalanche workings'!$AN$575,'Snowball workings'!$AN$575))</f>
      </c>
      <c r="W573" s="30">
        <f>IF(OR(568&gt;$Z$1,NOT(OR('Your debts'!$B$14&lt;&gt;"",N('Your debts'!$C$14)&gt;0))),"",IF('Your debts'!$D$20="Avalanche",'Avalanche workings'!$AX$575,'Snowball workings'!$AX$575))</f>
      </c>
      <c r="X573" s="29">
        <f>IF(OR(568&gt;$Z$1,NOT(OR('Your debts'!$B$15&lt;&gt;"",N('Your debts'!$C$15)&gt;0))),"",IF('Your debts'!$D$20="Avalanche",'Avalanche workings'!$U$575,'Snowball workings'!$U$575)+IF('Your debts'!$D$20="Avalanche",'Avalanche workings'!$AO$575,'Snowball workings'!$AO$575))</f>
      </c>
      <c r="Y573" s="30">
        <f>IF(OR(568&gt;$Z$1,NOT(OR('Your debts'!$B$15&lt;&gt;"",N('Your debts'!$C$15)&gt;0))),"",IF('Your debts'!$D$20="Avalanche",'Avalanche workings'!$AY$575,'Snowball workings'!$AY$575))</f>
      </c>
    </row>
    <row r="574" spans="1:25" x14ac:dyDescent="0.25">
      <c r="A574" s="2">
        <f>IF(569&gt;$Z$1,"",569)</f>
      </c>
      <c r="B574" s="28">
        <f>IF(569&gt;$Z$1,"",EDATE('Your debts'!$D$21,568))</f>
      </c>
      <c r="C574" s="29">
        <f>IF(569&gt;$Z$1,"",IF('Your debts'!$D$20="Avalanche",'Avalanche workings'!$BC$576,'Snowball workings'!$BC$576))</f>
      </c>
      <c r="D574" s="29">
        <f>IF(569&gt;$Z$1,"",IF('Your debts'!$D$20="Avalanche",'Avalanche workings'!$BA$576,'Snowball workings'!$BA$576))</f>
      </c>
      <c r="E574" s="29">
        <f>IF(569&gt;$Z$1,"",IF('Your debts'!$D$20="Avalanche",'Avalanche workings'!$BB$576,'Snowball workings'!$BB$576))</f>
      </c>
      <c r="F574" s="29">
        <f>IF(OR(569&gt;$Z$1,NOT(OR('Your debts'!$B$6&lt;&gt;"",N('Your debts'!$C$6)&gt;0))),"",IF('Your debts'!$D$20="Avalanche",'Avalanche workings'!$L$576,'Snowball workings'!$L$576)+IF('Your debts'!$D$20="Avalanche",'Avalanche workings'!$AF$576,'Snowball workings'!$AF$576))</f>
      </c>
      <c r="G574" s="30">
        <f>IF(OR(569&gt;$Z$1,NOT(OR('Your debts'!$B$6&lt;&gt;"",N('Your debts'!$C$6)&gt;0))),"",IF('Your debts'!$D$20="Avalanche",'Avalanche workings'!$AP$576,'Snowball workings'!$AP$576))</f>
      </c>
      <c r="H574" s="29">
        <f>IF(OR(569&gt;$Z$1,NOT(OR('Your debts'!$B$7&lt;&gt;"",N('Your debts'!$C$7)&gt;0))),"",IF('Your debts'!$D$20="Avalanche",'Avalanche workings'!$M$576,'Snowball workings'!$M$576)+IF('Your debts'!$D$20="Avalanche",'Avalanche workings'!$AG$576,'Snowball workings'!$AG$576))</f>
      </c>
      <c r="I574" s="30">
        <f>IF(OR(569&gt;$Z$1,NOT(OR('Your debts'!$B$7&lt;&gt;"",N('Your debts'!$C$7)&gt;0))),"",IF('Your debts'!$D$20="Avalanche",'Avalanche workings'!$AQ$576,'Snowball workings'!$AQ$576))</f>
      </c>
      <c r="J574" s="29">
        <f>IF(OR(569&gt;$Z$1,NOT(OR('Your debts'!$B$8&lt;&gt;"",N('Your debts'!$C$8)&gt;0))),"",IF('Your debts'!$D$20="Avalanche",'Avalanche workings'!$N$576,'Snowball workings'!$N$576)+IF('Your debts'!$D$20="Avalanche",'Avalanche workings'!$AH$576,'Snowball workings'!$AH$576))</f>
      </c>
      <c r="K574" s="30">
        <f>IF(OR(569&gt;$Z$1,NOT(OR('Your debts'!$B$8&lt;&gt;"",N('Your debts'!$C$8)&gt;0))),"",IF('Your debts'!$D$20="Avalanche",'Avalanche workings'!$AR$576,'Snowball workings'!$AR$576))</f>
      </c>
      <c r="L574" s="29">
        <f>IF(OR(569&gt;$Z$1,NOT(OR('Your debts'!$B$9&lt;&gt;"",N('Your debts'!$C$9)&gt;0))),"",IF('Your debts'!$D$20="Avalanche",'Avalanche workings'!$O$576,'Snowball workings'!$O$576)+IF('Your debts'!$D$20="Avalanche",'Avalanche workings'!$AI$576,'Snowball workings'!$AI$576))</f>
      </c>
      <c r="M574" s="30">
        <f>IF(OR(569&gt;$Z$1,NOT(OR('Your debts'!$B$9&lt;&gt;"",N('Your debts'!$C$9)&gt;0))),"",IF('Your debts'!$D$20="Avalanche",'Avalanche workings'!$AS$576,'Snowball workings'!$AS$576))</f>
      </c>
      <c r="N574" s="29">
        <f>IF(OR(569&gt;$Z$1,NOT(OR('Your debts'!$B$10&lt;&gt;"",N('Your debts'!$C$10)&gt;0))),"",IF('Your debts'!$D$20="Avalanche",'Avalanche workings'!$P$576,'Snowball workings'!$P$576)+IF('Your debts'!$D$20="Avalanche",'Avalanche workings'!$AJ$576,'Snowball workings'!$AJ$576))</f>
      </c>
      <c r="O574" s="30">
        <f>IF(OR(569&gt;$Z$1,NOT(OR('Your debts'!$B$10&lt;&gt;"",N('Your debts'!$C$10)&gt;0))),"",IF('Your debts'!$D$20="Avalanche",'Avalanche workings'!$AT$576,'Snowball workings'!$AT$576))</f>
      </c>
      <c r="P574" s="29">
        <f>IF(OR(569&gt;$Z$1,NOT(OR('Your debts'!$B$11&lt;&gt;"",N('Your debts'!$C$11)&gt;0))),"",IF('Your debts'!$D$20="Avalanche",'Avalanche workings'!$Q$576,'Snowball workings'!$Q$576)+IF('Your debts'!$D$20="Avalanche",'Avalanche workings'!$AK$576,'Snowball workings'!$AK$576))</f>
      </c>
      <c r="Q574" s="30">
        <f>IF(OR(569&gt;$Z$1,NOT(OR('Your debts'!$B$11&lt;&gt;"",N('Your debts'!$C$11)&gt;0))),"",IF('Your debts'!$D$20="Avalanche",'Avalanche workings'!$AU$576,'Snowball workings'!$AU$576))</f>
      </c>
      <c r="R574" s="29">
        <f>IF(OR(569&gt;$Z$1,NOT(OR('Your debts'!$B$12&lt;&gt;"",N('Your debts'!$C$12)&gt;0))),"",IF('Your debts'!$D$20="Avalanche",'Avalanche workings'!$R$576,'Snowball workings'!$R$576)+IF('Your debts'!$D$20="Avalanche",'Avalanche workings'!$AL$576,'Snowball workings'!$AL$576))</f>
      </c>
      <c r="S574" s="30">
        <f>IF(OR(569&gt;$Z$1,NOT(OR('Your debts'!$B$12&lt;&gt;"",N('Your debts'!$C$12)&gt;0))),"",IF('Your debts'!$D$20="Avalanche",'Avalanche workings'!$AV$576,'Snowball workings'!$AV$576))</f>
      </c>
      <c r="T574" s="29">
        <f>IF(OR(569&gt;$Z$1,NOT(OR('Your debts'!$B$13&lt;&gt;"",N('Your debts'!$C$13)&gt;0))),"",IF('Your debts'!$D$20="Avalanche",'Avalanche workings'!$S$576,'Snowball workings'!$S$576)+IF('Your debts'!$D$20="Avalanche",'Avalanche workings'!$AM$576,'Snowball workings'!$AM$576))</f>
      </c>
      <c r="U574" s="30">
        <f>IF(OR(569&gt;$Z$1,NOT(OR('Your debts'!$B$13&lt;&gt;"",N('Your debts'!$C$13)&gt;0))),"",IF('Your debts'!$D$20="Avalanche",'Avalanche workings'!$AW$576,'Snowball workings'!$AW$576))</f>
      </c>
      <c r="V574" s="29">
        <f>IF(OR(569&gt;$Z$1,NOT(OR('Your debts'!$B$14&lt;&gt;"",N('Your debts'!$C$14)&gt;0))),"",IF('Your debts'!$D$20="Avalanche",'Avalanche workings'!$T$576,'Snowball workings'!$T$576)+IF('Your debts'!$D$20="Avalanche",'Avalanche workings'!$AN$576,'Snowball workings'!$AN$576))</f>
      </c>
      <c r="W574" s="30">
        <f>IF(OR(569&gt;$Z$1,NOT(OR('Your debts'!$B$14&lt;&gt;"",N('Your debts'!$C$14)&gt;0))),"",IF('Your debts'!$D$20="Avalanche",'Avalanche workings'!$AX$576,'Snowball workings'!$AX$576))</f>
      </c>
      <c r="X574" s="29">
        <f>IF(OR(569&gt;$Z$1,NOT(OR('Your debts'!$B$15&lt;&gt;"",N('Your debts'!$C$15)&gt;0))),"",IF('Your debts'!$D$20="Avalanche",'Avalanche workings'!$U$576,'Snowball workings'!$U$576)+IF('Your debts'!$D$20="Avalanche",'Avalanche workings'!$AO$576,'Snowball workings'!$AO$576))</f>
      </c>
      <c r="Y574" s="30">
        <f>IF(OR(569&gt;$Z$1,NOT(OR('Your debts'!$B$15&lt;&gt;"",N('Your debts'!$C$15)&gt;0))),"",IF('Your debts'!$D$20="Avalanche",'Avalanche workings'!$AY$576,'Snowball workings'!$AY$576))</f>
      </c>
    </row>
    <row r="575" spans="1:25" x14ac:dyDescent="0.25">
      <c r="A575" s="2">
        <f>IF(570&gt;$Z$1,"",570)</f>
      </c>
      <c r="B575" s="28">
        <f>IF(570&gt;$Z$1,"",EDATE('Your debts'!$D$21,569))</f>
      </c>
      <c r="C575" s="29">
        <f>IF(570&gt;$Z$1,"",IF('Your debts'!$D$20="Avalanche",'Avalanche workings'!$BC$577,'Snowball workings'!$BC$577))</f>
      </c>
      <c r="D575" s="29">
        <f>IF(570&gt;$Z$1,"",IF('Your debts'!$D$20="Avalanche",'Avalanche workings'!$BA$577,'Snowball workings'!$BA$577))</f>
      </c>
      <c r="E575" s="29">
        <f>IF(570&gt;$Z$1,"",IF('Your debts'!$D$20="Avalanche",'Avalanche workings'!$BB$577,'Snowball workings'!$BB$577))</f>
      </c>
      <c r="F575" s="29">
        <f>IF(OR(570&gt;$Z$1,NOT(OR('Your debts'!$B$6&lt;&gt;"",N('Your debts'!$C$6)&gt;0))),"",IF('Your debts'!$D$20="Avalanche",'Avalanche workings'!$L$577,'Snowball workings'!$L$577)+IF('Your debts'!$D$20="Avalanche",'Avalanche workings'!$AF$577,'Snowball workings'!$AF$577))</f>
      </c>
      <c r="G575" s="30">
        <f>IF(OR(570&gt;$Z$1,NOT(OR('Your debts'!$B$6&lt;&gt;"",N('Your debts'!$C$6)&gt;0))),"",IF('Your debts'!$D$20="Avalanche",'Avalanche workings'!$AP$577,'Snowball workings'!$AP$577))</f>
      </c>
      <c r="H575" s="29">
        <f>IF(OR(570&gt;$Z$1,NOT(OR('Your debts'!$B$7&lt;&gt;"",N('Your debts'!$C$7)&gt;0))),"",IF('Your debts'!$D$20="Avalanche",'Avalanche workings'!$M$577,'Snowball workings'!$M$577)+IF('Your debts'!$D$20="Avalanche",'Avalanche workings'!$AG$577,'Snowball workings'!$AG$577))</f>
      </c>
      <c r="I575" s="30">
        <f>IF(OR(570&gt;$Z$1,NOT(OR('Your debts'!$B$7&lt;&gt;"",N('Your debts'!$C$7)&gt;0))),"",IF('Your debts'!$D$20="Avalanche",'Avalanche workings'!$AQ$577,'Snowball workings'!$AQ$577))</f>
      </c>
      <c r="J575" s="29">
        <f>IF(OR(570&gt;$Z$1,NOT(OR('Your debts'!$B$8&lt;&gt;"",N('Your debts'!$C$8)&gt;0))),"",IF('Your debts'!$D$20="Avalanche",'Avalanche workings'!$N$577,'Snowball workings'!$N$577)+IF('Your debts'!$D$20="Avalanche",'Avalanche workings'!$AH$577,'Snowball workings'!$AH$577))</f>
      </c>
      <c r="K575" s="30">
        <f>IF(OR(570&gt;$Z$1,NOT(OR('Your debts'!$B$8&lt;&gt;"",N('Your debts'!$C$8)&gt;0))),"",IF('Your debts'!$D$20="Avalanche",'Avalanche workings'!$AR$577,'Snowball workings'!$AR$577))</f>
      </c>
      <c r="L575" s="29">
        <f>IF(OR(570&gt;$Z$1,NOT(OR('Your debts'!$B$9&lt;&gt;"",N('Your debts'!$C$9)&gt;0))),"",IF('Your debts'!$D$20="Avalanche",'Avalanche workings'!$O$577,'Snowball workings'!$O$577)+IF('Your debts'!$D$20="Avalanche",'Avalanche workings'!$AI$577,'Snowball workings'!$AI$577))</f>
      </c>
      <c r="M575" s="30">
        <f>IF(OR(570&gt;$Z$1,NOT(OR('Your debts'!$B$9&lt;&gt;"",N('Your debts'!$C$9)&gt;0))),"",IF('Your debts'!$D$20="Avalanche",'Avalanche workings'!$AS$577,'Snowball workings'!$AS$577))</f>
      </c>
      <c r="N575" s="29">
        <f>IF(OR(570&gt;$Z$1,NOT(OR('Your debts'!$B$10&lt;&gt;"",N('Your debts'!$C$10)&gt;0))),"",IF('Your debts'!$D$20="Avalanche",'Avalanche workings'!$P$577,'Snowball workings'!$P$577)+IF('Your debts'!$D$20="Avalanche",'Avalanche workings'!$AJ$577,'Snowball workings'!$AJ$577))</f>
      </c>
      <c r="O575" s="30">
        <f>IF(OR(570&gt;$Z$1,NOT(OR('Your debts'!$B$10&lt;&gt;"",N('Your debts'!$C$10)&gt;0))),"",IF('Your debts'!$D$20="Avalanche",'Avalanche workings'!$AT$577,'Snowball workings'!$AT$577))</f>
      </c>
      <c r="P575" s="29">
        <f>IF(OR(570&gt;$Z$1,NOT(OR('Your debts'!$B$11&lt;&gt;"",N('Your debts'!$C$11)&gt;0))),"",IF('Your debts'!$D$20="Avalanche",'Avalanche workings'!$Q$577,'Snowball workings'!$Q$577)+IF('Your debts'!$D$20="Avalanche",'Avalanche workings'!$AK$577,'Snowball workings'!$AK$577))</f>
      </c>
      <c r="Q575" s="30">
        <f>IF(OR(570&gt;$Z$1,NOT(OR('Your debts'!$B$11&lt;&gt;"",N('Your debts'!$C$11)&gt;0))),"",IF('Your debts'!$D$20="Avalanche",'Avalanche workings'!$AU$577,'Snowball workings'!$AU$577))</f>
      </c>
      <c r="R575" s="29">
        <f>IF(OR(570&gt;$Z$1,NOT(OR('Your debts'!$B$12&lt;&gt;"",N('Your debts'!$C$12)&gt;0))),"",IF('Your debts'!$D$20="Avalanche",'Avalanche workings'!$R$577,'Snowball workings'!$R$577)+IF('Your debts'!$D$20="Avalanche",'Avalanche workings'!$AL$577,'Snowball workings'!$AL$577))</f>
      </c>
      <c r="S575" s="30">
        <f>IF(OR(570&gt;$Z$1,NOT(OR('Your debts'!$B$12&lt;&gt;"",N('Your debts'!$C$12)&gt;0))),"",IF('Your debts'!$D$20="Avalanche",'Avalanche workings'!$AV$577,'Snowball workings'!$AV$577))</f>
      </c>
      <c r="T575" s="29">
        <f>IF(OR(570&gt;$Z$1,NOT(OR('Your debts'!$B$13&lt;&gt;"",N('Your debts'!$C$13)&gt;0))),"",IF('Your debts'!$D$20="Avalanche",'Avalanche workings'!$S$577,'Snowball workings'!$S$577)+IF('Your debts'!$D$20="Avalanche",'Avalanche workings'!$AM$577,'Snowball workings'!$AM$577))</f>
      </c>
      <c r="U575" s="30">
        <f>IF(OR(570&gt;$Z$1,NOT(OR('Your debts'!$B$13&lt;&gt;"",N('Your debts'!$C$13)&gt;0))),"",IF('Your debts'!$D$20="Avalanche",'Avalanche workings'!$AW$577,'Snowball workings'!$AW$577))</f>
      </c>
      <c r="V575" s="29">
        <f>IF(OR(570&gt;$Z$1,NOT(OR('Your debts'!$B$14&lt;&gt;"",N('Your debts'!$C$14)&gt;0))),"",IF('Your debts'!$D$20="Avalanche",'Avalanche workings'!$T$577,'Snowball workings'!$T$577)+IF('Your debts'!$D$20="Avalanche",'Avalanche workings'!$AN$577,'Snowball workings'!$AN$577))</f>
      </c>
      <c r="W575" s="30">
        <f>IF(OR(570&gt;$Z$1,NOT(OR('Your debts'!$B$14&lt;&gt;"",N('Your debts'!$C$14)&gt;0))),"",IF('Your debts'!$D$20="Avalanche",'Avalanche workings'!$AX$577,'Snowball workings'!$AX$577))</f>
      </c>
      <c r="X575" s="29">
        <f>IF(OR(570&gt;$Z$1,NOT(OR('Your debts'!$B$15&lt;&gt;"",N('Your debts'!$C$15)&gt;0))),"",IF('Your debts'!$D$20="Avalanche",'Avalanche workings'!$U$577,'Snowball workings'!$U$577)+IF('Your debts'!$D$20="Avalanche",'Avalanche workings'!$AO$577,'Snowball workings'!$AO$577))</f>
      </c>
      <c r="Y575" s="30">
        <f>IF(OR(570&gt;$Z$1,NOT(OR('Your debts'!$B$15&lt;&gt;"",N('Your debts'!$C$15)&gt;0))),"",IF('Your debts'!$D$20="Avalanche",'Avalanche workings'!$AY$577,'Snowball workings'!$AY$577))</f>
      </c>
    </row>
    <row r="576" spans="1:25" x14ac:dyDescent="0.25">
      <c r="A576" s="2">
        <f>IF(571&gt;$Z$1,"",571)</f>
      </c>
      <c r="B576" s="28">
        <f>IF(571&gt;$Z$1,"",EDATE('Your debts'!$D$21,570))</f>
      </c>
      <c r="C576" s="29">
        <f>IF(571&gt;$Z$1,"",IF('Your debts'!$D$20="Avalanche",'Avalanche workings'!$BC$578,'Snowball workings'!$BC$578))</f>
      </c>
      <c r="D576" s="29">
        <f>IF(571&gt;$Z$1,"",IF('Your debts'!$D$20="Avalanche",'Avalanche workings'!$BA$578,'Snowball workings'!$BA$578))</f>
      </c>
      <c r="E576" s="29">
        <f>IF(571&gt;$Z$1,"",IF('Your debts'!$D$20="Avalanche",'Avalanche workings'!$BB$578,'Snowball workings'!$BB$578))</f>
      </c>
      <c r="F576" s="29">
        <f>IF(OR(571&gt;$Z$1,NOT(OR('Your debts'!$B$6&lt;&gt;"",N('Your debts'!$C$6)&gt;0))),"",IF('Your debts'!$D$20="Avalanche",'Avalanche workings'!$L$578,'Snowball workings'!$L$578)+IF('Your debts'!$D$20="Avalanche",'Avalanche workings'!$AF$578,'Snowball workings'!$AF$578))</f>
      </c>
      <c r="G576" s="30">
        <f>IF(OR(571&gt;$Z$1,NOT(OR('Your debts'!$B$6&lt;&gt;"",N('Your debts'!$C$6)&gt;0))),"",IF('Your debts'!$D$20="Avalanche",'Avalanche workings'!$AP$578,'Snowball workings'!$AP$578))</f>
      </c>
      <c r="H576" s="29">
        <f>IF(OR(571&gt;$Z$1,NOT(OR('Your debts'!$B$7&lt;&gt;"",N('Your debts'!$C$7)&gt;0))),"",IF('Your debts'!$D$20="Avalanche",'Avalanche workings'!$M$578,'Snowball workings'!$M$578)+IF('Your debts'!$D$20="Avalanche",'Avalanche workings'!$AG$578,'Snowball workings'!$AG$578))</f>
      </c>
      <c r="I576" s="30">
        <f>IF(OR(571&gt;$Z$1,NOT(OR('Your debts'!$B$7&lt;&gt;"",N('Your debts'!$C$7)&gt;0))),"",IF('Your debts'!$D$20="Avalanche",'Avalanche workings'!$AQ$578,'Snowball workings'!$AQ$578))</f>
      </c>
      <c r="J576" s="29">
        <f>IF(OR(571&gt;$Z$1,NOT(OR('Your debts'!$B$8&lt;&gt;"",N('Your debts'!$C$8)&gt;0))),"",IF('Your debts'!$D$20="Avalanche",'Avalanche workings'!$N$578,'Snowball workings'!$N$578)+IF('Your debts'!$D$20="Avalanche",'Avalanche workings'!$AH$578,'Snowball workings'!$AH$578))</f>
      </c>
      <c r="K576" s="30">
        <f>IF(OR(571&gt;$Z$1,NOT(OR('Your debts'!$B$8&lt;&gt;"",N('Your debts'!$C$8)&gt;0))),"",IF('Your debts'!$D$20="Avalanche",'Avalanche workings'!$AR$578,'Snowball workings'!$AR$578))</f>
      </c>
      <c r="L576" s="29">
        <f>IF(OR(571&gt;$Z$1,NOT(OR('Your debts'!$B$9&lt;&gt;"",N('Your debts'!$C$9)&gt;0))),"",IF('Your debts'!$D$20="Avalanche",'Avalanche workings'!$O$578,'Snowball workings'!$O$578)+IF('Your debts'!$D$20="Avalanche",'Avalanche workings'!$AI$578,'Snowball workings'!$AI$578))</f>
      </c>
      <c r="M576" s="30">
        <f>IF(OR(571&gt;$Z$1,NOT(OR('Your debts'!$B$9&lt;&gt;"",N('Your debts'!$C$9)&gt;0))),"",IF('Your debts'!$D$20="Avalanche",'Avalanche workings'!$AS$578,'Snowball workings'!$AS$578))</f>
      </c>
      <c r="N576" s="29">
        <f>IF(OR(571&gt;$Z$1,NOT(OR('Your debts'!$B$10&lt;&gt;"",N('Your debts'!$C$10)&gt;0))),"",IF('Your debts'!$D$20="Avalanche",'Avalanche workings'!$P$578,'Snowball workings'!$P$578)+IF('Your debts'!$D$20="Avalanche",'Avalanche workings'!$AJ$578,'Snowball workings'!$AJ$578))</f>
      </c>
      <c r="O576" s="30">
        <f>IF(OR(571&gt;$Z$1,NOT(OR('Your debts'!$B$10&lt;&gt;"",N('Your debts'!$C$10)&gt;0))),"",IF('Your debts'!$D$20="Avalanche",'Avalanche workings'!$AT$578,'Snowball workings'!$AT$578))</f>
      </c>
      <c r="P576" s="29">
        <f>IF(OR(571&gt;$Z$1,NOT(OR('Your debts'!$B$11&lt;&gt;"",N('Your debts'!$C$11)&gt;0))),"",IF('Your debts'!$D$20="Avalanche",'Avalanche workings'!$Q$578,'Snowball workings'!$Q$578)+IF('Your debts'!$D$20="Avalanche",'Avalanche workings'!$AK$578,'Snowball workings'!$AK$578))</f>
      </c>
      <c r="Q576" s="30">
        <f>IF(OR(571&gt;$Z$1,NOT(OR('Your debts'!$B$11&lt;&gt;"",N('Your debts'!$C$11)&gt;0))),"",IF('Your debts'!$D$20="Avalanche",'Avalanche workings'!$AU$578,'Snowball workings'!$AU$578))</f>
      </c>
      <c r="R576" s="29">
        <f>IF(OR(571&gt;$Z$1,NOT(OR('Your debts'!$B$12&lt;&gt;"",N('Your debts'!$C$12)&gt;0))),"",IF('Your debts'!$D$20="Avalanche",'Avalanche workings'!$R$578,'Snowball workings'!$R$578)+IF('Your debts'!$D$20="Avalanche",'Avalanche workings'!$AL$578,'Snowball workings'!$AL$578))</f>
      </c>
      <c r="S576" s="30">
        <f>IF(OR(571&gt;$Z$1,NOT(OR('Your debts'!$B$12&lt;&gt;"",N('Your debts'!$C$12)&gt;0))),"",IF('Your debts'!$D$20="Avalanche",'Avalanche workings'!$AV$578,'Snowball workings'!$AV$578))</f>
      </c>
      <c r="T576" s="29">
        <f>IF(OR(571&gt;$Z$1,NOT(OR('Your debts'!$B$13&lt;&gt;"",N('Your debts'!$C$13)&gt;0))),"",IF('Your debts'!$D$20="Avalanche",'Avalanche workings'!$S$578,'Snowball workings'!$S$578)+IF('Your debts'!$D$20="Avalanche",'Avalanche workings'!$AM$578,'Snowball workings'!$AM$578))</f>
      </c>
      <c r="U576" s="30">
        <f>IF(OR(571&gt;$Z$1,NOT(OR('Your debts'!$B$13&lt;&gt;"",N('Your debts'!$C$13)&gt;0))),"",IF('Your debts'!$D$20="Avalanche",'Avalanche workings'!$AW$578,'Snowball workings'!$AW$578))</f>
      </c>
      <c r="V576" s="29">
        <f>IF(OR(571&gt;$Z$1,NOT(OR('Your debts'!$B$14&lt;&gt;"",N('Your debts'!$C$14)&gt;0))),"",IF('Your debts'!$D$20="Avalanche",'Avalanche workings'!$T$578,'Snowball workings'!$T$578)+IF('Your debts'!$D$20="Avalanche",'Avalanche workings'!$AN$578,'Snowball workings'!$AN$578))</f>
      </c>
      <c r="W576" s="30">
        <f>IF(OR(571&gt;$Z$1,NOT(OR('Your debts'!$B$14&lt;&gt;"",N('Your debts'!$C$14)&gt;0))),"",IF('Your debts'!$D$20="Avalanche",'Avalanche workings'!$AX$578,'Snowball workings'!$AX$578))</f>
      </c>
      <c r="X576" s="29">
        <f>IF(OR(571&gt;$Z$1,NOT(OR('Your debts'!$B$15&lt;&gt;"",N('Your debts'!$C$15)&gt;0))),"",IF('Your debts'!$D$20="Avalanche",'Avalanche workings'!$U$578,'Snowball workings'!$U$578)+IF('Your debts'!$D$20="Avalanche",'Avalanche workings'!$AO$578,'Snowball workings'!$AO$578))</f>
      </c>
      <c r="Y576" s="30">
        <f>IF(OR(571&gt;$Z$1,NOT(OR('Your debts'!$B$15&lt;&gt;"",N('Your debts'!$C$15)&gt;0))),"",IF('Your debts'!$D$20="Avalanche",'Avalanche workings'!$AY$578,'Snowball workings'!$AY$578))</f>
      </c>
    </row>
    <row r="577" spans="1:25" x14ac:dyDescent="0.25">
      <c r="A577" s="2">
        <f>IF(572&gt;$Z$1,"",572)</f>
      </c>
      <c r="B577" s="28">
        <f>IF(572&gt;$Z$1,"",EDATE('Your debts'!$D$21,571))</f>
      </c>
      <c r="C577" s="29">
        <f>IF(572&gt;$Z$1,"",IF('Your debts'!$D$20="Avalanche",'Avalanche workings'!$BC$579,'Snowball workings'!$BC$579))</f>
      </c>
      <c r="D577" s="29">
        <f>IF(572&gt;$Z$1,"",IF('Your debts'!$D$20="Avalanche",'Avalanche workings'!$BA$579,'Snowball workings'!$BA$579))</f>
      </c>
      <c r="E577" s="29">
        <f>IF(572&gt;$Z$1,"",IF('Your debts'!$D$20="Avalanche",'Avalanche workings'!$BB$579,'Snowball workings'!$BB$579))</f>
      </c>
      <c r="F577" s="29">
        <f>IF(OR(572&gt;$Z$1,NOT(OR('Your debts'!$B$6&lt;&gt;"",N('Your debts'!$C$6)&gt;0))),"",IF('Your debts'!$D$20="Avalanche",'Avalanche workings'!$L$579,'Snowball workings'!$L$579)+IF('Your debts'!$D$20="Avalanche",'Avalanche workings'!$AF$579,'Snowball workings'!$AF$579))</f>
      </c>
      <c r="G577" s="30">
        <f>IF(OR(572&gt;$Z$1,NOT(OR('Your debts'!$B$6&lt;&gt;"",N('Your debts'!$C$6)&gt;0))),"",IF('Your debts'!$D$20="Avalanche",'Avalanche workings'!$AP$579,'Snowball workings'!$AP$579))</f>
      </c>
      <c r="H577" s="29">
        <f>IF(OR(572&gt;$Z$1,NOT(OR('Your debts'!$B$7&lt;&gt;"",N('Your debts'!$C$7)&gt;0))),"",IF('Your debts'!$D$20="Avalanche",'Avalanche workings'!$M$579,'Snowball workings'!$M$579)+IF('Your debts'!$D$20="Avalanche",'Avalanche workings'!$AG$579,'Snowball workings'!$AG$579))</f>
      </c>
      <c r="I577" s="30">
        <f>IF(OR(572&gt;$Z$1,NOT(OR('Your debts'!$B$7&lt;&gt;"",N('Your debts'!$C$7)&gt;0))),"",IF('Your debts'!$D$20="Avalanche",'Avalanche workings'!$AQ$579,'Snowball workings'!$AQ$579))</f>
      </c>
      <c r="J577" s="29">
        <f>IF(OR(572&gt;$Z$1,NOT(OR('Your debts'!$B$8&lt;&gt;"",N('Your debts'!$C$8)&gt;0))),"",IF('Your debts'!$D$20="Avalanche",'Avalanche workings'!$N$579,'Snowball workings'!$N$579)+IF('Your debts'!$D$20="Avalanche",'Avalanche workings'!$AH$579,'Snowball workings'!$AH$579))</f>
      </c>
      <c r="K577" s="30">
        <f>IF(OR(572&gt;$Z$1,NOT(OR('Your debts'!$B$8&lt;&gt;"",N('Your debts'!$C$8)&gt;0))),"",IF('Your debts'!$D$20="Avalanche",'Avalanche workings'!$AR$579,'Snowball workings'!$AR$579))</f>
      </c>
      <c r="L577" s="29">
        <f>IF(OR(572&gt;$Z$1,NOT(OR('Your debts'!$B$9&lt;&gt;"",N('Your debts'!$C$9)&gt;0))),"",IF('Your debts'!$D$20="Avalanche",'Avalanche workings'!$O$579,'Snowball workings'!$O$579)+IF('Your debts'!$D$20="Avalanche",'Avalanche workings'!$AI$579,'Snowball workings'!$AI$579))</f>
      </c>
      <c r="M577" s="30">
        <f>IF(OR(572&gt;$Z$1,NOT(OR('Your debts'!$B$9&lt;&gt;"",N('Your debts'!$C$9)&gt;0))),"",IF('Your debts'!$D$20="Avalanche",'Avalanche workings'!$AS$579,'Snowball workings'!$AS$579))</f>
      </c>
      <c r="N577" s="29">
        <f>IF(OR(572&gt;$Z$1,NOT(OR('Your debts'!$B$10&lt;&gt;"",N('Your debts'!$C$10)&gt;0))),"",IF('Your debts'!$D$20="Avalanche",'Avalanche workings'!$P$579,'Snowball workings'!$P$579)+IF('Your debts'!$D$20="Avalanche",'Avalanche workings'!$AJ$579,'Snowball workings'!$AJ$579))</f>
      </c>
      <c r="O577" s="30">
        <f>IF(OR(572&gt;$Z$1,NOT(OR('Your debts'!$B$10&lt;&gt;"",N('Your debts'!$C$10)&gt;0))),"",IF('Your debts'!$D$20="Avalanche",'Avalanche workings'!$AT$579,'Snowball workings'!$AT$579))</f>
      </c>
      <c r="P577" s="29">
        <f>IF(OR(572&gt;$Z$1,NOT(OR('Your debts'!$B$11&lt;&gt;"",N('Your debts'!$C$11)&gt;0))),"",IF('Your debts'!$D$20="Avalanche",'Avalanche workings'!$Q$579,'Snowball workings'!$Q$579)+IF('Your debts'!$D$20="Avalanche",'Avalanche workings'!$AK$579,'Snowball workings'!$AK$579))</f>
      </c>
      <c r="Q577" s="30">
        <f>IF(OR(572&gt;$Z$1,NOT(OR('Your debts'!$B$11&lt;&gt;"",N('Your debts'!$C$11)&gt;0))),"",IF('Your debts'!$D$20="Avalanche",'Avalanche workings'!$AU$579,'Snowball workings'!$AU$579))</f>
      </c>
      <c r="R577" s="29">
        <f>IF(OR(572&gt;$Z$1,NOT(OR('Your debts'!$B$12&lt;&gt;"",N('Your debts'!$C$12)&gt;0))),"",IF('Your debts'!$D$20="Avalanche",'Avalanche workings'!$R$579,'Snowball workings'!$R$579)+IF('Your debts'!$D$20="Avalanche",'Avalanche workings'!$AL$579,'Snowball workings'!$AL$579))</f>
      </c>
      <c r="S577" s="30">
        <f>IF(OR(572&gt;$Z$1,NOT(OR('Your debts'!$B$12&lt;&gt;"",N('Your debts'!$C$12)&gt;0))),"",IF('Your debts'!$D$20="Avalanche",'Avalanche workings'!$AV$579,'Snowball workings'!$AV$579))</f>
      </c>
      <c r="T577" s="29">
        <f>IF(OR(572&gt;$Z$1,NOT(OR('Your debts'!$B$13&lt;&gt;"",N('Your debts'!$C$13)&gt;0))),"",IF('Your debts'!$D$20="Avalanche",'Avalanche workings'!$S$579,'Snowball workings'!$S$579)+IF('Your debts'!$D$20="Avalanche",'Avalanche workings'!$AM$579,'Snowball workings'!$AM$579))</f>
      </c>
      <c r="U577" s="30">
        <f>IF(OR(572&gt;$Z$1,NOT(OR('Your debts'!$B$13&lt;&gt;"",N('Your debts'!$C$13)&gt;0))),"",IF('Your debts'!$D$20="Avalanche",'Avalanche workings'!$AW$579,'Snowball workings'!$AW$579))</f>
      </c>
      <c r="V577" s="29">
        <f>IF(OR(572&gt;$Z$1,NOT(OR('Your debts'!$B$14&lt;&gt;"",N('Your debts'!$C$14)&gt;0))),"",IF('Your debts'!$D$20="Avalanche",'Avalanche workings'!$T$579,'Snowball workings'!$T$579)+IF('Your debts'!$D$20="Avalanche",'Avalanche workings'!$AN$579,'Snowball workings'!$AN$579))</f>
      </c>
      <c r="W577" s="30">
        <f>IF(OR(572&gt;$Z$1,NOT(OR('Your debts'!$B$14&lt;&gt;"",N('Your debts'!$C$14)&gt;0))),"",IF('Your debts'!$D$20="Avalanche",'Avalanche workings'!$AX$579,'Snowball workings'!$AX$579))</f>
      </c>
      <c r="X577" s="29">
        <f>IF(OR(572&gt;$Z$1,NOT(OR('Your debts'!$B$15&lt;&gt;"",N('Your debts'!$C$15)&gt;0))),"",IF('Your debts'!$D$20="Avalanche",'Avalanche workings'!$U$579,'Snowball workings'!$U$579)+IF('Your debts'!$D$20="Avalanche",'Avalanche workings'!$AO$579,'Snowball workings'!$AO$579))</f>
      </c>
      <c r="Y577" s="30">
        <f>IF(OR(572&gt;$Z$1,NOT(OR('Your debts'!$B$15&lt;&gt;"",N('Your debts'!$C$15)&gt;0))),"",IF('Your debts'!$D$20="Avalanche",'Avalanche workings'!$AY$579,'Snowball workings'!$AY$579))</f>
      </c>
    </row>
    <row r="578" spans="1:25" x14ac:dyDescent="0.25">
      <c r="A578" s="2">
        <f>IF(573&gt;$Z$1,"",573)</f>
      </c>
      <c r="B578" s="28">
        <f>IF(573&gt;$Z$1,"",EDATE('Your debts'!$D$21,572))</f>
      </c>
      <c r="C578" s="29">
        <f>IF(573&gt;$Z$1,"",IF('Your debts'!$D$20="Avalanche",'Avalanche workings'!$BC$580,'Snowball workings'!$BC$580))</f>
      </c>
      <c r="D578" s="29">
        <f>IF(573&gt;$Z$1,"",IF('Your debts'!$D$20="Avalanche",'Avalanche workings'!$BA$580,'Snowball workings'!$BA$580))</f>
      </c>
      <c r="E578" s="29">
        <f>IF(573&gt;$Z$1,"",IF('Your debts'!$D$20="Avalanche",'Avalanche workings'!$BB$580,'Snowball workings'!$BB$580))</f>
      </c>
      <c r="F578" s="29">
        <f>IF(OR(573&gt;$Z$1,NOT(OR('Your debts'!$B$6&lt;&gt;"",N('Your debts'!$C$6)&gt;0))),"",IF('Your debts'!$D$20="Avalanche",'Avalanche workings'!$L$580,'Snowball workings'!$L$580)+IF('Your debts'!$D$20="Avalanche",'Avalanche workings'!$AF$580,'Snowball workings'!$AF$580))</f>
      </c>
      <c r="G578" s="30">
        <f>IF(OR(573&gt;$Z$1,NOT(OR('Your debts'!$B$6&lt;&gt;"",N('Your debts'!$C$6)&gt;0))),"",IF('Your debts'!$D$20="Avalanche",'Avalanche workings'!$AP$580,'Snowball workings'!$AP$580))</f>
      </c>
      <c r="H578" s="29">
        <f>IF(OR(573&gt;$Z$1,NOT(OR('Your debts'!$B$7&lt;&gt;"",N('Your debts'!$C$7)&gt;0))),"",IF('Your debts'!$D$20="Avalanche",'Avalanche workings'!$M$580,'Snowball workings'!$M$580)+IF('Your debts'!$D$20="Avalanche",'Avalanche workings'!$AG$580,'Snowball workings'!$AG$580))</f>
      </c>
      <c r="I578" s="30">
        <f>IF(OR(573&gt;$Z$1,NOT(OR('Your debts'!$B$7&lt;&gt;"",N('Your debts'!$C$7)&gt;0))),"",IF('Your debts'!$D$20="Avalanche",'Avalanche workings'!$AQ$580,'Snowball workings'!$AQ$580))</f>
      </c>
      <c r="J578" s="29">
        <f>IF(OR(573&gt;$Z$1,NOT(OR('Your debts'!$B$8&lt;&gt;"",N('Your debts'!$C$8)&gt;0))),"",IF('Your debts'!$D$20="Avalanche",'Avalanche workings'!$N$580,'Snowball workings'!$N$580)+IF('Your debts'!$D$20="Avalanche",'Avalanche workings'!$AH$580,'Snowball workings'!$AH$580))</f>
      </c>
      <c r="K578" s="30">
        <f>IF(OR(573&gt;$Z$1,NOT(OR('Your debts'!$B$8&lt;&gt;"",N('Your debts'!$C$8)&gt;0))),"",IF('Your debts'!$D$20="Avalanche",'Avalanche workings'!$AR$580,'Snowball workings'!$AR$580))</f>
      </c>
      <c r="L578" s="29">
        <f>IF(OR(573&gt;$Z$1,NOT(OR('Your debts'!$B$9&lt;&gt;"",N('Your debts'!$C$9)&gt;0))),"",IF('Your debts'!$D$20="Avalanche",'Avalanche workings'!$O$580,'Snowball workings'!$O$580)+IF('Your debts'!$D$20="Avalanche",'Avalanche workings'!$AI$580,'Snowball workings'!$AI$580))</f>
      </c>
      <c r="M578" s="30">
        <f>IF(OR(573&gt;$Z$1,NOT(OR('Your debts'!$B$9&lt;&gt;"",N('Your debts'!$C$9)&gt;0))),"",IF('Your debts'!$D$20="Avalanche",'Avalanche workings'!$AS$580,'Snowball workings'!$AS$580))</f>
      </c>
      <c r="N578" s="29">
        <f>IF(OR(573&gt;$Z$1,NOT(OR('Your debts'!$B$10&lt;&gt;"",N('Your debts'!$C$10)&gt;0))),"",IF('Your debts'!$D$20="Avalanche",'Avalanche workings'!$P$580,'Snowball workings'!$P$580)+IF('Your debts'!$D$20="Avalanche",'Avalanche workings'!$AJ$580,'Snowball workings'!$AJ$580))</f>
      </c>
      <c r="O578" s="30">
        <f>IF(OR(573&gt;$Z$1,NOT(OR('Your debts'!$B$10&lt;&gt;"",N('Your debts'!$C$10)&gt;0))),"",IF('Your debts'!$D$20="Avalanche",'Avalanche workings'!$AT$580,'Snowball workings'!$AT$580))</f>
      </c>
      <c r="P578" s="29">
        <f>IF(OR(573&gt;$Z$1,NOT(OR('Your debts'!$B$11&lt;&gt;"",N('Your debts'!$C$11)&gt;0))),"",IF('Your debts'!$D$20="Avalanche",'Avalanche workings'!$Q$580,'Snowball workings'!$Q$580)+IF('Your debts'!$D$20="Avalanche",'Avalanche workings'!$AK$580,'Snowball workings'!$AK$580))</f>
      </c>
      <c r="Q578" s="30">
        <f>IF(OR(573&gt;$Z$1,NOT(OR('Your debts'!$B$11&lt;&gt;"",N('Your debts'!$C$11)&gt;0))),"",IF('Your debts'!$D$20="Avalanche",'Avalanche workings'!$AU$580,'Snowball workings'!$AU$580))</f>
      </c>
      <c r="R578" s="29">
        <f>IF(OR(573&gt;$Z$1,NOT(OR('Your debts'!$B$12&lt;&gt;"",N('Your debts'!$C$12)&gt;0))),"",IF('Your debts'!$D$20="Avalanche",'Avalanche workings'!$R$580,'Snowball workings'!$R$580)+IF('Your debts'!$D$20="Avalanche",'Avalanche workings'!$AL$580,'Snowball workings'!$AL$580))</f>
      </c>
      <c r="S578" s="30">
        <f>IF(OR(573&gt;$Z$1,NOT(OR('Your debts'!$B$12&lt;&gt;"",N('Your debts'!$C$12)&gt;0))),"",IF('Your debts'!$D$20="Avalanche",'Avalanche workings'!$AV$580,'Snowball workings'!$AV$580))</f>
      </c>
      <c r="T578" s="29">
        <f>IF(OR(573&gt;$Z$1,NOT(OR('Your debts'!$B$13&lt;&gt;"",N('Your debts'!$C$13)&gt;0))),"",IF('Your debts'!$D$20="Avalanche",'Avalanche workings'!$S$580,'Snowball workings'!$S$580)+IF('Your debts'!$D$20="Avalanche",'Avalanche workings'!$AM$580,'Snowball workings'!$AM$580))</f>
      </c>
      <c r="U578" s="30">
        <f>IF(OR(573&gt;$Z$1,NOT(OR('Your debts'!$B$13&lt;&gt;"",N('Your debts'!$C$13)&gt;0))),"",IF('Your debts'!$D$20="Avalanche",'Avalanche workings'!$AW$580,'Snowball workings'!$AW$580))</f>
      </c>
      <c r="V578" s="29">
        <f>IF(OR(573&gt;$Z$1,NOT(OR('Your debts'!$B$14&lt;&gt;"",N('Your debts'!$C$14)&gt;0))),"",IF('Your debts'!$D$20="Avalanche",'Avalanche workings'!$T$580,'Snowball workings'!$T$580)+IF('Your debts'!$D$20="Avalanche",'Avalanche workings'!$AN$580,'Snowball workings'!$AN$580))</f>
      </c>
      <c r="W578" s="30">
        <f>IF(OR(573&gt;$Z$1,NOT(OR('Your debts'!$B$14&lt;&gt;"",N('Your debts'!$C$14)&gt;0))),"",IF('Your debts'!$D$20="Avalanche",'Avalanche workings'!$AX$580,'Snowball workings'!$AX$580))</f>
      </c>
      <c r="X578" s="29">
        <f>IF(OR(573&gt;$Z$1,NOT(OR('Your debts'!$B$15&lt;&gt;"",N('Your debts'!$C$15)&gt;0))),"",IF('Your debts'!$D$20="Avalanche",'Avalanche workings'!$U$580,'Snowball workings'!$U$580)+IF('Your debts'!$D$20="Avalanche",'Avalanche workings'!$AO$580,'Snowball workings'!$AO$580))</f>
      </c>
      <c r="Y578" s="30">
        <f>IF(OR(573&gt;$Z$1,NOT(OR('Your debts'!$B$15&lt;&gt;"",N('Your debts'!$C$15)&gt;0))),"",IF('Your debts'!$D$20="Avalanche",'Avalanche workings'!$AY$580,'Snowball workings'!$AY$580))</f>
      </c>
    </row>
    <row r="579" spans="1:25" x14ac:dyDescent="0.25">
      <c r="A579" s="2">
        <f>IF(574&gt;$Z$1,"",574)</f>
      </c>
      <c r="B579" s="28">
        <f>IF(574&gt;$Z$1,"",EDATE('Your debts'!$D$21,573))</f>
      </c>
      <c r="C579" s="29">
        <f>IF(574&gt;$Z$1,"",IF('Your debts'!$D$20="Avalanche",'Avalanche workings'!$BC$581,'Snowball workings'!$BC$581))</f>
      </c>
      <c r="D579" s="29">
        <f>IF(574&gt;$Z$1,"",IF('Your debts'!$D$20="Avalanche",'Avalanche workings'!$BA$581,'Snowball workings'!$BA$581))</f>
      </c>
      <c r="E579" s="29">
        <f>IF(574&gt;$Z$1,"",IF('Your debts'!$D$20="Avalanche",'Avalanche workings'!$BB$581,'Snowball workings'!$BB$581))</f>
      </c>
      <c r="F579" s="29">
        <f>IF(OR(574&gt;$Z$1,NOT(OR('Your debts'!$B$6&lt;&gt;"",N('Your debts'!$C$6)&gt;0))),"",IF('Your debts'!$D$20="Avalanche",'Avalanche workings'!$L$581,'Snowball workings'!$L$581)+IF('Your debts'!$D$20="Avalanche",'Avalanche workings'!$AF$581,'Snowball workings'!$AF$581))</f>
      </c>
      <c r="G579" s="30">
        <f>IF(OR(574&gt;$Z$1,NOT(OR('Your debts'!$B$6&lt;&gt;"",N('Your debts'!$C$6)&gt;0))),"",IF('Your debts'!$D$20="Avalanche",'Avalanche workings'!$AP$581,'Snowball workings'!$AP$581))</f>
      </c>
      <c r="H579" s="29">
        <f>IF(OR(574&gt;$Z$1,NOT(OR('Your debts'!$B$7&lt;&gt;"",N('Your debts'!$C$7)&gt;0))),"",IF('Your debts'!$D$20="Avalanche",'Avalanche workings'!$M$581,'Snowball workings'!$M$581)+IF('Your debts'!$D$20="Avalanche",'Avalanche workings'!$AG$581,'Snowball workings'!$AG$581))</f>
      </c>
      <c r="I579" s="30">
        <f>IF(OR(574&gt;$Z$1,NOT(OR('Your debts'!$B$7&lt;&gt;"",N('Your debts'!$C$7)&gt;0))),"",IF('Your debts'!$D$20="Avalanche",'Avalanche workings'!$AQ$581,'Snowball workings'!$AQ$581))</f>
      </c>
      <c r="J579" s="29">
        <f>IF(OR(574&gt;$Z$1,NOT(OR('Your debts'!$B$8&lt;&gt;"",N('Your debts'!$C$8)&gt;0))),"",IF('Your debts'!$D$20="Avalanche",'Avalanche workings'!$N$581,'Snowball workings'!$N$581)+IF('Your debts'!$D$20="Avalanche",'Avalanche workings'!$AH$581,'Snowball workings'!$AH$581))</f>
      </c>
      <c r="K579" s="30">
        <f>IF(OR(574&gt;$Z$1,NOT(OR('Your debts'!$B$8&lt;&gt;"",N('Your debts'!$C$8)&gt;0))),"",IF('Your debts'!$D$20="Avalanche",'Avalanche workings'!$AR$581,'Snowball workings'!$AR$581))</f>
      </c>
      <c r="L579" s="29">
        <f>IF(OR(574&gt;$Z$1,NOT(OR('Your debts'!$B$9&lt;&gt;"",N('Your debts'!$C$9)&gt;0))),"",IF('Your debts'!$D$20="Avalanche",'Avalanche workings'!$O$581,'Snowball workings'!$O$581)+IF('Your debts'!$D$20="Avalanche",'Avalanche workings'!$AI$581,'Snowball workings'!$AI$581))</f>
      </c>
      <c r="M579" s="30">
        <f>IF(OR(574&gt;$Z$1,NOT(OR('Your debts'!$B$9&lt;&gt;"",N('Your debts'!$C$9)&gt;0))),"",IF('Your debts'!$D$20="Avalanche",'Avalanche workings'!$AS$581,'Snowball workings'!$AS$581))</f>
      </c>
      <c r="N579" s="29">
        <f>IF(OR(574&gt;$Z$1,NOT(OR('Your debts'!$B$10&lt;&gt;"",N('Your debts'!$C$10)&gt;0))),"",IF('Your debts'!$D$20="Avalanche",'Avalanche workings'!$P$581,'Snowball workings'!$P$581)+IF('Your debts'!$D$20="Avalanche",'Avalanche workings'!$AJ$581,'Snowball workings'!$AJ$581))</f>
      </c>
      <c r="O579" s="30">
        <f>IF(OR(574&gt;$Z$1,NOT(OR('Your debts'!$B$10&lt;&gt;"",N('Your debts'!$C$10)&gt;0))),"",IF('Your debts'!$D$20="Avalanche",'Avalanche workings'!$AT$581,'Snowball workings'!$AT$581))</f>
      </c>
      <c r="P579" s="29">
        <f>IF(OR(574&gt;$Z$1,NOT(OR('Your debts'!$B$11&lt;&gt;"",N('Your debts'!$C$11)&gt;0))),"",IF('Your debts'!$D$20="Avalanche",'Avalanche workings'!$Q$581,'Snowball workings'!$Q$581)+IF('Your debts'!$D$20="Avalanche",'Avalanche workings'!$AK$581,'Snowball workings'!$AK$581))</f>
      </c>
      <c r="Q579" s="30">
        <f>IF(OR(574&gt;$Z$1,NOT(OR('Your debts'!$B$11&lt;&gt;"",N('Your debts'!$C$11)&gt;0))),"",IF('Your debts'!$D$20="Avalanche",'Avalanche workings'!$AU$581,'Snowball workings'!$AU$581))</f>
      </c>
      <c r="R579" s="29">
        <f>IF(OR(574&gt;$Z$1,NOT(OR('Your debts'!$B$12&lt;&gt;"",N('Your debts'!$C$12)&gt;0))),"",IF('Your debts'!$D$20="Avalanche",'Avalanche workings'!$R$581,'Snowball workings'!$R$581)+IF('Your debts'!$D$20="Avalanche",'Avalanche workings'!$AL$581,'Snowball workings'!$AL$581))</f>
      </c>
      <c r="S579" s="30">
        <f>IF(OR(574&gt;$Z$1,NOT(OR('Your debts'!$B$12&lt;&gt;"",N('Your debts'!$C$12)&gt;0))),"",IF('Your debts'!$D$20="Avalanche",'Avalanche workings'!$AV$581,'Snowball workings'!$AV$581))</f>
      </c>
      <c r="T579" s="29">
        <f>IF(OR(574&gt;$Z$1,NOT(OR('Your debts'!$B$13&lt;&gt;"",N('Your debts'!$C$13)&gt;0))),"",IF('Your debts'!$D$20="Avalanche",'Avalanche workings'!$S$581,'Snowball workings'!$S$581)+IF('Your debts'!$D$20="Avalanche",'Avalanche workings'!$AM$581,'Snowball workings'!$AM$581))</f>
      </c>
      <c r="U579" s="30">
        <f>IF(OR(574&gt;$Z$1,NOT(OR('Your debts'!$B$13&lt;&gt;"",N('Your debts'!$C$13)&gt;0))),"",IF('Your debts'!$D$20="Avalanche",'Avalanche workings'!$AW$581,'Snowball workings'!$AW$581))</f>
      </c>
      <c r="V579" s="29">
        <f>IF(OR(574&gt;$Z$1,NOT(OR('Your debts'!$B$14&lt;&gt;"",N('Your debts'!$C$14)&gt;0))),"",IF('Your debts'!$D$20="Avalanche",'Avalanche workings'!$T$581,'Snowball workings'!$T$581)+IF('Your debts'!$D$20="Avalanche",'Avalanche workings'!$AN$581,'Snowball workings'!$AN$581))</f>
      </c>
      <c r="W579" s="30">
        <f>IF(OR(574&gt;$Z$1,NOT(OR('Your debts'!$B$14&lt;&gt;"",N('Your debts'!$C$14)&gt;0))),"",IF('Your debts'!$D$20="Avalanche",'Avalanche workings'!$AX$581,'Snowball workings'!$AX$581))</f>
      </c>
      <c r="X579" s="29">
        <f>IF(OR(574&gt;$Z$1,NOT(OR('Your debts'!$B$15&lt;&gt;"",N('Your debts'!$C$15)&gt;0))),"",IF('Your debts'!$D$20="Avalanche",'Avalanche workings'!$U$581,'Snowball workings'!$U$581)+IF('Your debts'!$D$20="Avalanche",'Avalanche workings'!$AO$581,'Snowball workings'!$AO$581))</f>
      </c>
      <c r="Y579" s="30">
        <f>IF(OR(574&gt;$Z$1,NOT(OR('Your debts'!$B$15&lt;&gt;"",N('Your debts'!$C$15)&gt;0))),"",IF('Your debts'!$D$20="Avalanche",'Avalanche workings'!$AY$581,'Snowball workings'!$AY$581))</f>
      </c>
    </row>
    <row r="580" spans="1:25" x14ac:dyDescent="0.25">
      <c r="A580" s="2">
        <f>IF(575&gt;$Z$1,"",575)</f>
      </c>
      <c r="B580" s="28">
        <f>IF(575&gt;$Z$1,"",EDATE('Your debts'!$D$21,574))</f>
      </c>
      <c r="C580" s="29">
        <f>IF(575&gt;$Z$1,"",IF('Your debts'!$D$20="Avalanche",'Avalanche workings'!$BC$582,'Snowball workings'!$BC$582))</f>
      </c>
      <c r="D580" s="29">
        <f>IF(575&gt;$Z$1,"",IF('Your debts'!$D$20="Avalanche",'Avalanche workings'!$BA$582,'Snowball workings'!$BA$582))</f>
      </c>
      <c r="E580" s="29">
        <f>IF(575&gt;$Z$1,"",IF('Your debts'!$D$20="Avalanche",'Avalanche workings'!$BB$582,'Snowball workings'!$BB$582))</f>
      </c>
      <c r="F580" s="29">
        <f>IF(OR(575&gt;$Z$1,NOT(OR('Your debts'!$B$6&lt;&gt;"",N('Your debts'!$C$6)&gt;0))),"",IF('Your debts'!$D$20="Avalanche",'Avalanche workings'!$L$582,'Snowball workings'!$L$582)+IF('Your debts'!$D$20="Avalanche",'Avalanche workings'!$AF$582,'Snowball workings'!$AF$582))</f>
      </c>
      <c r="G580" s="30">
        <f>IF(OR(575&gt;$Z$1,NOT(OR('Your debts'!$B$6&lt;&gt;"",N('Your debts'!$C$6)&gt;0))),"",IF('Your debts'!$D$20="Avalanche",'Avalanche workings'!$AP$582,'Snowball workings'!$AP$582))</f>
      </c>
      <c r="H580" s="29">
        <f>IF(OR(575&gt;$Z$1,NOT(OR('Your debts'!$B$7&lt;&gt;"",N('Your debts'!$C$7)&gt;0))),"",IF('Your debts'!$D$20="Avalanche",'Avalanche workings'!$M$582,'Snowball workings'!$M$582)+IF('Your debts'!$D$20="Avalanche",'Avalanche workings'!$AG$582,'Snowball workings'!$AG$582))</f>
      </c>
      <c r="I580" s="30">
        <f>IF(OR(575&gt;$Z$1,NOT(OR('Your debts'!$B$7&lt;&gt;"",N('Your debts'!$C$7)&gt;0))),"",IF('Your debts'!$D$20="Avalanche",'Avalanche workings'!$AQ$582,'Snowball workings'!$AQ$582))</f>
      </c>
      <c r="J580" s="29">
        <f>IF(OR(575&gt;$Z$1,NOT(OR('Your debts'!$B$8&lt;&gt;"",N('Your debts'!$C$8)&gt;0))),"",IF('Your debts'!$D$20="Avalanche",'Avalanche workings'!$N$582,'Snowball workings'!$N$582)+IF('Your debts'!$D$20="Avalanche",'Avalanche workings'!$AH$582,'Snowball workings'!$AH$582))</f>
      </c>
      <c r="K580" s="30">
        <f>IF(OR(575&gt;$Z$1,NOT(OR('Your debts'!$B$8&lt;&gt;"",N('Your debts'!$C$8)&gt;0))),"",IF('Your debts'!$D$20="Avalanche",'Avalanche workings'!$AR$582,'Snowball workings'!$AR$582))</f>
      </c>
      <c r="L580" s="29">
        <f>IF(OR(575&gt;$Z$1,NOT(OR('Your debts'!$B$9&lt;&gt;"",N('Your debts'!$C$9)&gt;0))),"",IF('Your debts'!$D$20="Avalanche",'Avalanche workings'!$O$582,'Snowball workings'!$O$582)+IF('Your debts'!$D$20="Avalanche",'Avalanche workings'!$AI$582,'Snowball workings'!$AI$582))</f>
      </c>
      <c r="M580" s="30">
        <f>IF(OR(575&gt;$Z$1,NOT(OR('Your debts'!$B$9&lt;&gt;"",N('Your debts'!$C$9)&gt;0))),"",IF('Your debts'!$D$20="Avalanche",'Avalanche workings'!$AS$582,'Snowball workings'!$AS$582))</f>
      </c>
      <c r="N580" s="29">
        <f>IF(OR(575&gt;$Z$1,NOT(OR('Your debts'!$B$10&lt;&gt;"",N('Your debts'!$C$10)&gt;0))),"",IF('Your debts'!$D$20="Avalanche",'Avalanche workings'!$P$582,'Snowball workings'!$P$582)+IF('Your debts'!$D$20="Avalanche",'Avalanche workings'!$AJ$582,'Snowball workings'!$AJ$582))</f>
      </c>
      <c r="O580" s="30">
        <f>IF(OR(575&gt;$Z$1,NOT(OR('Your debts'!$B$10&lt;&gt;"",N('Your debts'!$C$10)&gt;0))),"",IF('Your debts'!$D$20="Avalanche",'Avalanche workings'!$AT$582,'Snowball workings'!$AT$582))</f>
      </c>
      <c r="P580" s="29">
        <f>IF(OR(575&gt;$Z$1,NOT(OR('Your debts'!$B$11&lt;&gt;"",N('Your debts'!$C$11)&gt;0))),"",IF('Your debts'!$D$20="Avalanche",'Avalanche workings'!$Q$582,'Snowball workings'!$Q$582)+IF('Your debts'!$D$20="Avalanche",'Avalanche workings'!$AK$582,'Snowball workings'!$AK$582))</f>
      </c>
      <c r="Q580" s="30">
        <f>IF(OR(575&gt;$Z$1,NOT(OR('Your debts'!$B$11&lt;&gt;"",N('Your debts'!$C$11)&gt;0))),"",IF('Your debts'!$D$20="Avalanche",'Avalanche workings'!$AU$582,'Snowball workings'!$AU$582))</f>
      </c>
      <c r="R580" s="29">
        <f>IF(OR(575&gt;$Z$1,NOT(OR('Your debts'!$B$12&lt;&gt;"",N('Your debts'!$C$12)&gt;0))),"",IF('Your debts'!$D$20="Avalanche",'Avalanche workings'!$R$582,'Snowball workings'!$R$582)+IF('Your debts'!$D$20="Avalanche",'Avalanche workings'!$AL$582,'Snowball workings'!$AL$582))</f>
      </c>
      <c r="S580" s="30">
        <f>IF(OR(575&gt;$Z$1,NOT(OR('Your debts'!$B$12&lt;&gt;"",N('Your debts'!$C$12)&gt;0))),"",IF('Your debts'!$D$20="Avalanche",'Avalanche workings'!$AV$582,'Snowball workings'!$AV$582))</f>
      </c>
      <c r="T580" s="29">
        <f>IF(OR(575&gt;$Z$1,NOT(OR('Your debts'!$B$13&lt;&gt;"",N('Your debts'!$C$13)&gt;0))),"",IF('Your debts'!$D$20="Avalanche",'Avalanche workings'!$S$582,'Snowball workings'!$S$582)+IF('Your debts'!$D$20="Avalanche",'Avalanche workings'!$AM$582,'Snowball workings'!$AM$582))</f>
      </c>
      <c r="U580" s="30">
        <f>IF(OR(575&gt;$Z$1,NOT(OR('Your debts'!$B$13&lt;&gt;"",N('Your debts'!$C$13)&gt;0))),"",IF('Your debts'!$D$20="Avalanche",'Avalanche workings'!$AW$582,'Snowball workings'!$AW$582))</f>
      </c>
      <c r="V580" s="29">
        <f>IF(OR(575&gt;$Z$1,NOT(OR('Your debts'!$B$14&lt;&gt;"",N('Your debts'!$C$14)&gt;0))),"",IF('Your debts'!$D$20="Avalanche",'Avalanche workings'!$T$582,'Snowball workings'!$T$582)+IF('Your debts'!$D$20="Avalanche",'Avalanche workings'!$AN$582,'Snowball workings'!$AN$582))</f>
      </c>
      <c r="W580" s="30">
        <f>IF(OR(575&gt;$Z$1,NOT(OR('Your debts'!$B$14&lt;&gt;"",N('Your debts'!$C$14)&gt;0))),"",IF('Your debts'!$D$20="Avalanche",'Avalanche workings'!$AX$582,'Snowball workings'!$AX$582))</f>
      </c>
      <c r="X580" s="29">
        <f>IF(OR(575&gt;$Z$1,NOT(OR('Your debts'!$B$15&lt;&gt;"",N('Your debts'!$C$15)&gt;0))),"",IF('Your debts'!$D$20="Avalanche",'Avalanche workings'!$U$582,'Snowball workings'!$U$582)+IF('Your debts'!$D$20="Avalanche",'Avalanche workings'!$AO$582,'Snowball workings'!$AO$582))</f>
      </c>
      <c r="Y580" s="30">
        <f>IF(OR(575&gt;$Z$1,NOT(OR('Your debts'!$B$15&lt;&gt;"",N('Your debts'!$C$15)&gt;0))),"",IF('Your debts'!$D$20="Avalanche",'Avalanche workings'!$AY$582,'Snowball workings'!$AY$582))</f>
      </c>
    </row>
    <row r="581" spans="1:25" x14ac:dyDescent="0.25">
      <c r="A581" s="2">
        <f>IF(576&gt;$Z$1,"",576)</f>
      </c>
      <c r="B581" s="28">
        <f>IF(576&gt;$Z$1,"",EDATE('Your debts'!$D$21,575))</f>
      </c>
      <c r="C581" s="29">
        <f>IF(576&gt;$Z$1,"",IF('Your debts'!$D$20="Avalanche",'Avalanche workings'!$BC$583,'Snowball workings'!$BC$583))</f>
      </c>
      <c r="D581" s="29">
        <f>IF(576&gt;$Z$1,"",IF('Your debts'!$D$20="Avalanche",'Avalanche workings'!$BA$583,'Snowball workings'!$BA$583))</f>
      </c>
      <c r="E581" s="29">
        <f>IF(576&gt;$Z$1,"",IF('Your debts'!$D$20="Avalanche",'Avalanche workings'!$BB$583,'Snowball workings'!$BB$583))</f>
      </c>
      <c r="F581" s="29">
        <f>IF(OR(576&gt;$Z$1,NOT(OR('Your debts'!$B$6&lt;&gt;"",N('Your debts'!$C$6)&gt;0))),"",IF('Your debts'!$D$20="Avalanche",'Avalanche workings'!$L$583,'Snowball workings'!$L$583)+IF('Your debts'!$D$20="Avalanche",'Avalanche workings'!$AF$583,'Snowball workings'!$AF$583))</f>
      </c>
      <c r="G581" s="30">
        <f>IF(OR(576&gt;$Z$1,NOT(OR('Your debts'!$B$6&lt;&gt;"",N('Your debts'!$C$6)&gt;0))),"",IF('Your debts'!$D$20="Avalanche",'Avalanche workings'!$AP$583,'Snowball workings'!$AP$583))</f>
      </c>
      <c r="H581" s="29">
        <f>IF(OR(576&gt;$Z$1,NOT(OR('Your debts'!$B$7&lt;&gt;"",N('Your debts'!$C$7)&gt;0))),"",IF('Your debts'!$D$20="Avalanche",'Avalanche workings'!$M$583,'Snowball workings'!$M$583)+IF('Your debts'!$D$20="Avalanche",'Avalanche workings'!$AG$583,'Snowball workings'!$AG$583))</f>
      </c>
      <c r="I581" s="30">
        <f>IF(OR(576&gt;$Z$1,NOT(OR('Your debts'!$B$7&lt;&gt;"",N('Your debts'!$C$7)&gt;0))),"",IF('Your debts'!$D$20="Avalanche",'Avalanche workings'!$AQ$583,'Snowball workings'!$AQ$583))</f>
      </c>
      <c r="J581" s="29">
        <f>IF(OR(576&gt;$Z$1,NOT(OR('Your debts'!$B$8&lt;&gt;"",N('Your debts'!$C$8)&gt;0))),"",IF('Your debts'!$D$20="Avalanche",'Avalanche workings'!$N$583,'Snowball workings'!$N$583)+IF('Your debts'!$D$20="Avalanche",'Avalanche workings'!$AH$583,'Snowball workings'!$AH$583))</f>
      </c>
      <c r="K581" s="30">
        <f>IF(OR(576&gt;$Z$1,NOT(OR('Your debts'!$B$8&lt;&gt;"",N('Your debts'!$C$8)&gt;0))),"",IF('Your debts'!$D$20="Avalanche",'Avalanche workings'!$AR$583,'Snowball workings'!$AR$583))</f>
      </c>
      <c r="L581" s="29">
        <f>IF(OR(576&gt;$Z$1,NOT(OR('Your debts'!$B$9&lt;&gt;"",N('Your debts'!$C$9)&gt;0))),"",IF('Your debts'!$D$20="Avalanche",'Avalanche workings'!$O$583,'Snowball workings'!$O$583)+IF('Your debts'!$D$20="Avalanche",'Avalanche workings'!$AI$583,'Snowball workings'!$AI$583))</f>
      </c>
      <c r="M581" s="30">
        <f>IF(OR(576&gt;$Z$1,NOT(OR('Your debts'!$B$9&lt;&gt;"",N('Your debts'!$C$9)&gt;0))),"",IF('Your debts'!$D$20="Avalanche",'Avalanche workings'!$AS$583,'Snowball workings'!$AS$583))</f>
      </c>
      <c r="N581" s="29">
        <f>IF(OR(576&gt;$Z$1,NOT(OR('Your debts'!$B$10&lt;&gt;"",N('Your debts'!$C$10)&gt;0))),"",IF('Your debts'!$D$20="Avalanche",'Avalanche workings'!$P$583,'Snowball workings'!$P$583)+IF('Your debts'!$D$20="Avalanche",'Avalanche workings'!$AJ$583,'Snowball workings'!$AJ$583))</f>
      </c>
      <c r="O581" s="30">
        <f>IF(OR(576&gt;$Z$1,NOT(OR('Your debts'!$B$10&lt;&gt;"",N('Your debts'!$C$10)&gt;0))),"",IF('Your debts'!$D$20="Avalanche",'Avalanche workings'!$AT$583,'Snowball workings'!$AT$583))</f>
      </c>
      <c r="P581" s="29">
        <f>IF(OR(576&gt;$Z$1,NOT(OR('Your debts'!$B$11&lt;&gt;"",N('Your debts'!$C$11)&gt;0))),"",IF('Your debts'!$D$20="Avalanche",'Avalanche workings'!$Q$583,'Snowball workings'!$Q$583)+IF('Your debts'!$D$20="Avalanche",'Avalanche workings'!$AK$583,'Snowball workings'!$AK$583))</f>
      </c>
      <c r="Q581" s="30">
        <f>IF(OR(576&gt;$Z$1,NOT(OR('Your debts'!$B$11&lt;&gt;"",N('Your debts'!$C$11)&gt;0))),"",IF('Your debts'!$D$20="Avalanche",'Avalanche workings'!$AU$583,'Snowball workings'!$AU$583))</f>
      </c>
      <c r="R581" s="29">
        <f>IF(OR(576&gt;$Z$1,NOT(OR('Your debts'!$B$12&lt;&gt;"",N('Your debts'!$C$12)&gt;0))),"",IF('Your debts'!$D$20="Avalanche",'Avalanche workings'!$R$583,'Snowball workings'!$R$583)+IF('Your debts'!$D$20="Avalanche",'Avalanche workings'!$AL$583,'Snowball workings'!$AL$583))</f>
      </c>
      <c r="S581" s="30">
        <f>IF(OR(576&gt;$Z$1,NOT(OR('Your debts'!$B$12&lt;&gt;"",N('Your debts'!$C$12)&gt;0))),"",IF('Your debts'!$D$20="Avalanche",'Avalanche workings'!$AV$583,'Snowball workings'!$AV$583))</f>
      </c>
      <c r="T581" s="29">
        <f>IF(OR(576&gt;$Z$1,NOT(OR('Your debts'!$B$13&lt;&gt;"",N('Your debts'!$C$13)&gt;0))),"",IF('Your debts'!$D$20="Avalanche",'Avalanche workings'!$S$583,'Snowball workings'!$S$583)+IF('Your debts'!$D$20="Avalanche",'Avalanche workings'!$AM$583,'Snowball workings'!$AM$583))</f>
      </c>
      <c r="U581" s="30">
        <f>IF(OR(576&gt;$Z$1,NOT(OR('Your debts'!$B$13&lt;&gt;"",N('Your debts'!$C$13)&gt;0))),"",IF('Your debts'!$D$20="Avalanche",'Avalanche workings'!$AW$583,'Snowball workings'!$AW$583))</f>
      </c>
      <c r="V581" s="29">
        <f>IF(OR(576&gt;$Z$1,NOT(OR('Your debts'!$B$14&lt;&gt;"",N('Your debts'!$C$14)&gt;0))),"",IF('Your debts'!$D$20="Avalanche",'Avalanche workings'!$T$583,'Snowball workings'!$T$583)+IF('Your debts'!$D$20="Avalanche",'Avalanche workings'!$AN$583,'Snowball workings'!$AN$583))</f>
      </c>
      <c r="W581" s="30">
        <f>IF(OR(576&gt;$Z$1,NOT(OR('Your debts'!$B$14&lt;&gt;"",N('Your debts'!$C$14)&gt;0))),"",IF('Your debts'!$D$20="Avalanche",'Avalanche workings'!$AX$583,'Snowball workings'!$AX$583))</f>
      </c>
      <c r="X581" s="29">
        <f>IF(OR(576&gt;$Z$1,NOT(OR('Your debts'!$B$15&lt;&gt;"",N('Your debts'!$C$15)&gt;0))),"",IF('Your debts'!$D$20="Avalanche",'Avalanche workings'!$U$583,'Snowball workings'!$U$583)+IF('Your debts'!$D$20="Avalanche",'Avalanche workings'!$AO$583,'Snowball workings'!$AO$583))</f>
      </c>
      <c r="Y581" s="30">
        <f>IF(OR(576&gt;$Z$1,NOT(OR('Your debts'!$B$15&lt;&gt;"",N('Your debts'!$C$15)&gt;0))),"",IF('Your debts'!$D$20="Avalanche",'Avalanche workings'!$AY$583,'Snowball workings'!$AY$583))</f>
      </c>
    </row>
    <row r="582" spans="1:25" x14ac:dyDescent="0.25">
      <c r="A582" s="2">
        <f>IF(577&gt;$Z$1,"",577)</f>
      </c>
      <c r="B582" s="28">
        <f>IF(577&gt;$Z$1,"",EDATE('Your debts'!$D$21,576))</f>
      </c>
      <c r="C582" s="29">
        <f>IF(577&gt;$Z$1,"",IF('Your debts'!$D$20="Avalanche",'Avalanche workings'!$BC$584,'Snowball workings'!$BC$584))</f>
      </c>
      <c r="D582" s="29">
        <f>IF(577&gt;$Z$1,"",IF('Your debts'!$D$20="Avalanche",'Avalanche workings'!$BA$584,'Snowball workings'!$BA$584))</f>
      </c>
      <c r="E582" s="29">
        <f>IF(577&gt;$Z$1,"",IF('Your debts'!$D$20="Avalanche",'Avalanche workings'!$BB$584,'Snowball workings'!$BB$584))</f>
      </c>
      <c r="F582" s="29">
        <f>IF(OR(577&gt;$Z$1,NOT(OR('Your debts'!$B$6&lt;&gt;"",N('Your debts'!$C$6)&gt;0))),"",IF('Your debts'!$D$20="Avalanche",'Avalanche workings'!$L$584,'Snowball workings'!$L$584)+IF('Your debts'!$D$20="Avalanche",'Avalanche workings'!$AF$584,'Snowball workings'!$AF$584))</f>
      </c>
      <c r="G582" s="30">
        <f>IF(OR(577&gt;$Z$1,NOT(OR('Your debts'!$B$6&lt;&gt;"",N('Your debts'!$C$6)&gt;0))),"",IF('Your debts'!$D$20="Avalanche",'Avalanche workings'!$AP$584,'Snowball workings'!$AP$584))</f>
      </c>
      <c r="H582" s="29">
        <f>IF(OR(577&gt;$Z$1,NOT(OR('Your debts'!$B$7&lt;&gt;"",N('Your debts'!$C$7)&gt;0))),"",IF('Your debts'!$D$20="Avalanche",'Avalanche workings'!$M$584,'Snowball workings'!$M$584)+IF('Your debts'!$D$20="Avalanche",'Avalanche workings'!$AG$584,'Snowball workings'!$AG$584))</f>
      </c>
      <c r="I582" s="30">
        <f>IF(OR(577&gt;$Z$1,NOT(OR('Your debts'!$B$7&lt;&gt;"",N('Your debts'!$C$7)&gt;0))),"",IF('Your debts'!$D$20="Avalanche",'Avalanche workings'!$AQ$584,'Snowball workings'!$AQ$584))</f>
      </c>
      <c r="J582" s="29">
        <f>IF(OR(577&gt;$Z$1,NOT(OR('Your debts'!$B$8&lt;&gt;"",N('Your debts'!$C$8)&gt;0))),"",IF('Your debts'!$D$20="Avalanche",'Avalanche workings'!$N$584,'Snowball workings'!$N$584)+IF('Your debts'!$D$20="Avalanche",'Avalanche workings'!$AH$584,'Snowball workings'!$AH$584))</f>
      </c>
      <c r="K582" s="30">
        <f>IF(OR(577&gt;$Z$1,NOT(OR('Your debts'!$B$8&lt;&gt;"",N('Your debts'!$C$8)&gt;0))),"",IF('Your debts'!$D$20="Avalanche",'Avalanche workings'!$AR$584,'Snowball workings'!$AR$584))</f>
      </c>
      <c r="L582" s="29">
        <f>IF(OR(577&gt;$Z$1,NOT(OR('Your debts'!$B$9&lt;&gt;"",N('Your debts'!$C$9)&gt;0))),"",IF('Your debts'!$D$20="Avalanche",'Avalanche workings'!$O$584,'Snowball workings'!$O$584)+IF('Your debts'!$D$20="Avalanche",'Avalanche workings'!$AI$584,'Snowball workings'!$AI$584))</f>
      </c>
      <c r="M582" s="30">
        <f>IF(OR(577&gt;$Z$1,NOT(OR('Your debts'!$B$9&lt;&gt;"",N('Your debts'!$C$9)&gt;0))),"",IF('Your debts'!$D$20="Avalanche",'Avalanche workings'!$AS$584,'Snowball workings'!$AS$584))</f>
      </c>
      <c r="N582" s="29">
        <f>IF(OR(577&gt;$Z$1,NOT(OR('Your debts'!$B$10&lt;&gt;"",N('Your debts'!$C$10)&gt;0))),"",IF('Your debts'!$D$20="Avalanche",'Avalanche workings'!$P$584,'Snowball workings'!$P$584)+IF('Your debts'!$D$20="Avalanche",'Avalanche workings'!$AJ$584,'Snowball workings'!$AJ$584))</f>
      </c>
      <c r="O582" s="30">
        <f>IF(OR(577&gt;$Z$1,NOT(OR('Your debts'!$B$10&lt;&gt;"",N('Your debts'!$C$10)&gt;0))),"",IF('Your debts'!$D$20="Avalanche",'Avalanche workings'!$AT$584,'Snowball workings'!$AT$584))</f>
      </c>
      <c r="P582" s="29">
        <f>IF(OR(577&gt;$Z$1,NOT(OR('Your debts'!$B$11&lt;&gt;"",N('Your debts'!$C$11)&gt;0))),"",IF('Your debts'!$D$20="Avalanche",'Avalanche workings'!$Q$584,'Snowball workings'!$Q$584)+IF('Your debts'!$D$20="Avalanche",'Avalanche workings'!$AK$584,'Snowball workings'!$AK$584))</f>
      </c>
      <c r="Q582" s="30">
        <f>IF(OR(577&gt;$Z$1,NOT(OR('Your debts'!$B$11&lt;&gt;"",N('Your debts'!$C$11)&gt;0))),"",IF('Your debts'!$D$20="Avalanche",'Avalanche workings'!$AU$584,'Snowball workings'!$AU$584))</f>
      </c>
      <c r="R582" s="29">
        <f>IF(OR(577&gt;$Z$1,NOT(OR('Your debts'!$B$12&lt;&gt;"",N('Your debts'!$C$12)&gt;0))),"",IF('Your debts'!$D$20="Avalanche",'Avalanche workings'!$R$584,'Snowball workings'!$R$584)+IF('Your debts'!$D$20="Avalanche",'Avalanche workings'!$AL$584,'Snowball workings'!$AL$584))</f>
      </c>
      <c r="S582" s="30">
        <f>IF(OR(577&gt;$Z$1,NOT(OR('Your debts'!$B$12&lt;&gt;"",N('Your debts'!$C$12)&gt;0))),"",IF('Your debts'!$D$20="Avalanche",'Avalanche workings'!$AV$584,'Snowball workings'!$AV$584))</f>
      </c>
      <c r="T582" s="29">
        <f>IF(OR(577&gt;$Z$1,NOT(OR('Your debts'!$B$13&lt;&gt;"",N('Your debts'!$C$13)&gt;0))),"",IF('Your debts'!$D$20="Avalanche",'Avalanche workings'!$S$584,'Snowball workings'!$S$584)+IF('Your debts'!$D$20="Avalanche",'Avalanche workings'!$AM$584,'Snowball workings'!$AM$584))</f>
      </c>
      <c r="U582" s="30">
        <f>IF(OR(577&gt;$Z$1,NOT(OR('Your debts'!$B$13&lt;&gt;"",N('Your debts'!$C$13)&gt;0))),"",IF('Your debts'!$D$20="Avalanche",'Avalanche workings'!$AW$584,'Snowball workings'!$AW$584))</f>
      </c>
      <c r="V582" s="29">
        <f>IF(OR(577&gt;$Z$1,NOT(OR('Your debts'!$B$14&lt;&gt;"",N('Your debts'!$C$14)&gt;0))),"",IF('Your debts'!$D$20="Avalanche",'Avalanche workings'!$T$584,'Snowball workings'!$T$584)+IF('Your debts'!$D$20="Avalanche",'Avalanche workings'!$AN$584,'Snowball workings'!$AN$584))</f>
      </c>
      <c r="W582" s="30">
        <f>IF(OR(577&gt;$Z$1,NOT(OR('Your debts'!$B$14&lt;&gt;"",N('Your debts'!$C$14)&gt;0))),"",IF('Your debts'!$D$20="Avalanche",'Avalanche workings'!$AX$584,'Snowball workings'!$AX$584))</f>
      </c>
      <c r="X582" s="29">
        <f>IF(OR(577&gt;$Z$1,NOT(OR('Your debts'!$B$15&lt;&gt;"",N('Your debts'!$C$15)&gt;0))),"",IF('Your debts'!$D$20="Avalanche",'Avalanche workings'!$U$584,'Snowball workings'!$U$584)+IF('Your debts'!$D$20="Avalanche",'Avalanche workings'!$AO$584,'Snowball workings'!$AO$584))</f>
      </c>
      <c r="Y582" s="30">
        <f>IF(OR(577&gt;$Z$1,NOT(OR('Your debts'!$B$15&lt;&gt;"",N('Your debts'!$C$15)&gt;0))),"",IF('Your debts'!$D$20="Avalanche",'Avalanche workings'!$AY$584,'Snowball workings'!$AY$584))</f>
      </c>
    </row>
    <row r="583" spans="1:25" x14ac:dyDescent="0.25">
      <c r="A583" s="2">
        <f>IF(578&gt;$Z$1,"",578)</f>
      </c>
      <c r="B583" s="28">
        <f>IF(578&gt;$Z$1,"",EDATE('Your debts'!$D$21,577))</f>
      </c>
      <c r="C583" s="29">
        <f>IF(578&gt;$Z$1,"",IF('Your debts'!$D$20="Avalanche",'Avalanche workings'!$BC$585,'Snowball workings'!$BC$585))</f>
      </c>
      <c r="D583" s="29">
        <f>IF(578&gt;$Z$1,"",IF('Your debts'!$D$20="Avalanche",'Avalanche workings'!$BA$585,'Snowball workings'!$BA$585))</f>
      </c>
      <c r="E583" s="29">
        <f>IF(578&gt;$Z$1,"",IF('Your debts'!$D$20="Avalanche",'Avalanche workings'!$BB$585,'Snowball workings'!$BB$585))</f>
      </c>
      <c r="F583" s="29">
        <f>IF(OR(578&gt;$Z$1,NOT(OR('Your debts'!$B$6&lt;&gt;"",N('Your debts'!$C$6)&gt;0))),"",IF('Your debts'!$D$20="Avalanche",'Avalanche workings'!$L$585,'Snowball workings'!$L$585)+IF('Your debts'!$D$20="Avalanche",'Avalanche workings'!$AF$585,'Snowball workings'!$AF$585))</f>
      </c>
      <c r="G583" s="30">
        <f>IF(OR(578&gt;$Z$1,NOT(OR('Your debts'!$B$6&lt;&gt;"",N('Your debts'!$C$6)&gt;0))),"",IF('Your debts'!$D$20="Avalanche",'Avalanche workings'!$AP$585,'Snowball workings'!$AP$585))</f>
      </c>
      <c r="H583" s="29">
        <f>IF(OR(578&gt;$Z$1,NOT(OR('Your debts'!$B$7&lt;&gt;"",N('Your debts'!$C$7)&gt;0))),"",IF('Your debts'!$D$20="Avalanche",'Avalanche workings'!$M$585,'Snowball workings'!$M$585)+IF('Your debts'!$D$20="Avalanche",'Avalanche workings'!$AG$585,'Snowball workings'!$AG$585))</f>
      </c>
      <c r="I583" s="30">
        <f>IF(OR(578&gt;$Z$1,NOT(OR('Your debts'!$B$7&lt;&gt;"",N('Your debts'!$C$7)&gt;0))),"",IF('Your debts'!$D$20="Avalanche",'Avalanche workings'!$AQ$585,'Snowball workings'!$AQ$585))</f>
      </c>
      <c r="J583" s="29">
        <f>IF(OR(578&gt;$Z$1,NOT(OR('Your debts'!$B$8&lt;&gt;"",N('Your debts'!$C$8)&gt;0))),"",IF('Your debts'!$D$20="Avalanche",'Avalanche workings'!$N$585,'Snowball workings'!$N$585)+IF('Your debts'!$D$20="Avalanche",'Avalanche workings'!$AH$585,'Snowball workings'!$AH$585))</f>
      </c>
      <c r="K583" s="30">
        <f>IF(OR(578&gt;$Z$1,NOT(OR('Your debts'!$B$8&lt;&gt;"",N('Your debts'!$C$8)&gt;0))),"",IF('Your debts'!$D$20="Avalanche",'Avalanche workings'!$AR$585,'Snowball workings'!$AR$585))</f>
      </c>
      <c r="L583" s="29">
        <f>IF(OR(578&gt;$Z$1,NOT(OR('Your debts'!$B$9&lt;&gt;"",N('Your debts'!$C$9)&gt;0))),"",IF('Your debts'!$D$20="Avalanche",'Avalanche workings'!$O$585,'Snowball workings'!$O$585)+IF('Your debts'!$D$20="Avalanche",'Avalanche workings'!$AI$585,'Snowball workings'!$AI$585))</f>
      </c>
      <c r="M583" s="30">
        <f>IF(OR(578&gt;$Z$1,NOT(OR('Your debts'!$B$9&lt;&gt;"",N('Your debts'!$C$9)&gt;0))),"",IF('Your debts'!$D$20="Avalanche",'Avalanche workings'!$AS$585,'Snowball workings'!$AS$585))</f>
      </c>
      <c r="N583" s="29">
        <f>IF(OR(578&gt;$Z$1,NOT(OR('Your debts'!$B$10&lt;&gt;"",N('Your debts'!$C$10)&gt;0))),"",IF('Your debts'!$D$20="Avalanche",'Avalanche workings'!$P$585,'Snowball workings'!$P$585)+IF('Your debts'!$D$20="Avalanche",'Avalanche workings'!$AJ$585,'Snowball workings'!$AJ$585))</f>
      </c>
      <c r="O583" s="30">
        <f>IF(OR(578&gt;$Z$1,NOT(OR('Your debts'!$B$10&lt;&gt;"",N('Your debts'!$C$10)&gt;0))),"",IF('Your debts'!$D$20="Avalanche",'Avalanche workings'!$AT$585,'Snowball workings'!$AT$585))</f>
      </c>
      <c r="P583" s="29">
        <f>IF(OR(578&gt;$Z$1,NOT(OR('Your debts'!$B$11&lt;&gt;"",N('Your debts'!$C$11)&gt;0))),"",IF('Your debts'!$D$20="Avalanche",'Avalanche workings'!$Q$585,'Snowball workings'!$Q$585)+IF('Your debts'!$D$20="Avalanche",'Avalanche workings'!$AK$585,'Snowball workings'!$AK$585))</f>
      </c>
      <c r="Q583" s="30">
        <f>IF(OR(578&gt;$Z$1,NOT(OR('Your debts'!$B$11&lt;&gt;"",N('Your debts'!$C$11)&gt;0))),"",IF('Your debts'!$D$20="Avalanche",'Avalanche workings'!$AU$585,'Snowball workings'!$AU$585))</f>
      </c>
      <c r="R583" s="29">
        <f>IF(OR(578&gt;$Z$1,NOT(OR('Your debts'!$B$12&lt;&gt;"",N('Your debts'!$C$12)&gt;0))),"",IF('Your debts'!$D$20="Avalanche",'Avalanche workings'!$R$585,'Snowball workings'!$R$585)+IF('Your debts'!$D$20="Avalanche",'Avalanche workings'!$AL$585,'Snowball workings'!$AL$585))</f>
      </c>
      <c r="S583" s="30">
        <f>IF(OR(578&gt;$Z$1,NOT(OR('Your debts'!$B$12&lt;&gt;"",N('Your debts'!$C$12)&gt;0))),"",IF('Your debts'!$D$20="Avalanche",'Avalanche workings'!$AV$585,'Snowball workings'!$AV$585))</f>
      </c>
      <c r="T583" s="29">
        <f>IF(OR(578&gt;$Z$1,NOT(OR('Your debts'!$B$13&lt;&gt;"",N('Your debts'!$C$13)&gt;0))),"",IF('Your debts'!$D$20="Avalanche",'Avalanche workings'!$S$585,'Snowball workings'!$S$585)+IF('Your debts'!$D$20="Avalanche",'Avalanche workings'!$AM$585,'Snowball workings'!$AM$585))</f>
      </c>
      <c r="U583" s="30">
        <f>IF(OR(578&gt;$Z$1,NOT(OR('Your debts'!$B$13&lt;&gt;"",N('Your debts'!$C$13)&gt;0))),"",IF('Your debts'!$D$20="Avalanche",'Avalanche workings'!$AW$585,'Snowball workings'!$AW$585))</f>
      </c>
      <c r="V583" s="29">
        <f>IF(OR(578&gt;$Z$1,NOT(OR('Your debts'!$B$14&lt;&gt;"",N('Your debts'!$C$14)&gt;0))),"",IF('Your debts'!$D$20="Avalanche",'Avalanche workings'!$T$585,'Snowball workings'!$T$585)+IF('Your debts'!$D$20="Avalanche",'Avalanche workings'!$AN$585,'Snowball workings'!$AN$585))</f>
      </c>
      <c r="W583" s="30">
        <f>IF(OR(578&gt;$Z$1,NOT(OR('Your debts'!$B$14&lt;&gt;"",N('Your debts'!$C$14)&gt;0))),"",IF('Your debts'!$D$20="Avalanche",'Avalanche workings'!$AX$585,'Snowball workings'!$AX$585))</f>
      </c>
      <c r="X583" s="29">
        <f>IF(OR(578&gt;$Z$1,NOT(OR('Your debts'!$B$15&lt;&gt;"",N('Your debts'!$C$15)&gt;0))),"",IF('Your debts'!$D$20="Avalanche",'Avalanche workings'!$U$585,'Snowball workings'!$U$585)+IF('Your debts'!$D$20="Avalanche",'Avalanche workings'!$AO$585,'Snowball workings'!$AO$585))</f>
      </c>
      <c r="Y583" s="30">
        <f>IF(OR(578&gt;$Z$1,NOT(OR('Your debts'!$B$15&lt;&gt;"",N('Your debts'!$C$15)&gt;0))),"",IF('Your debts'!$D$20="Avalanche",'Avalanche workings'!$AY$585,'Snowball workings'!$AY$585))</f>
      </c>
    </row>
    <row r="584" spans="1:25" x14ac:dyDescent="0.25">
      <c r="A584" s="2">
        <f>IF(579&gt;$Z$1,"",579)</f>
      </c>
      <c r="B584" s="28">
        <f>IF(579&gt;$Z$1,"",EDATE('Your debts'!$D$21,578))</f>
      </c>
      <c r="C584" s="29">
        <f>IF(579&gt;$Z$1,"",IF('Your debts'!$D$20="Avalanche",'Avalanche workings'!$BC$586,'Snowball workings'!$BC$586))</f>
      </c>
      <c r="D584" s="29">
        <f>IF(579&gt;$Z$1,"",IF('Your debts'!$D$20="Avalanche",'Avalanche workings'!$BA$586,'Snowball workings'!$BA$586))</f>
      </c>
      <c r="E584" s="29">
        <f>IF(579&gt;$Z$1,"",IF('Your debts'!$D$20="Avalanche",'Avalanche workings'!$BB$586,'Snowball workings'!$BB$586))</f>
      </c>
      <c r="F584" s="29">
        <f>IF(OR(579&gt;$Z$1,NOT(OR('Your debts'!$B$6&lt;&gt;"",N('Your debts'!$C$6)&gt;0))),"",IF('Your debts'!$D$20="Avalanche",'Avalanche workings'!$L$586,'Snowball workings'!$L$586)+IF('Your debts'!$D$20="Avalanche",'Avalanche workings'!$AF$586,'Snowball workings'!$AF$586))</f>
      </c>
      <c r="G584" s="30">
        <f>IF(OR(579&gt;$Z$1,NOT(OR('Your debts'!$B$6&lt;&gt;"",N('Your debts'!$C$6)&gt;0))),"",IF('Your debts'!$D$20="Avalanche",'Avalanche workings'!$AP$586,'Snowball workings'!$AP$586))</f>
      </c>
      <c r="H584" s="29">
        <f>IF(OR(579&gt;$Z$1,NOT(OR('Your debts'!$B$7&lt;&gt;"",N('Your debts'!$C$7)&gt;0))),"",IF('Your debts'!$D$20="Avalanche",'Avalanche workings'!$M$586,'Snowball workings'!$M$586)+IF('Your debts'!$D$20="Avalanche",'Avalanche workings'!$AG$586,'Snowball workings'!$AG$586))</f>
      </c>
      <c r="I584" s="30">
        <f>IF(OR(579&gt;$Z$1,NOT(OR('Your debts'!$B$7&lt;&gt;"",N('Your debts'!$C$7)&gt;0))),"",IF('Your debts'!$D$20="Avalanche",'Avalanche workings'!$AQ$586,'Snowball workings'!$AQ$586))</f>
      </c>
      <c r="J584" s="29">
        <f>IF(OR(579&gt;$Z$1,NOT(OR('Your debts'!$B$8&lt;&gt;"",N('Your debts'!$C$8)&gt;0))),"",IF('Your debts'!$D$20="Avalanche",'Avalanche workings'!$N$586,'Snowball workings'!$N$586)+IF('Your debts'!$D$20="Avalanche",'Avalanche workings'!$AH$586,'Snowball workings'!$AH$586))</f>
      </c>
      <c r="K584" s="30">
        <f>IF(OR(579&gt;$Z$1,NOT(OR('Your debts'!$B$8&lt;&gt;"",N('Your debts'!$C$8)&gt;0))),"",IF('Your debts'!$D$20="Avalanche",'Avalanche workings'!$AR$586,'Snowball workings'!$AR$586))</f>
      </c>
      <c r="L584" s="29">
        <f>IF(OR(579&gt;$Z$1,NOT(OR('Your debts'!$B$9&lt;&gt;"",N('Your debts'!$C$9)&gt;0))),"",IF('Your debts'!$D$20="Avalanche",'Avalanche workings'!$O$586,'Snowball workings'!$O$586)+IF('Your debts'!$D$20="Avalanche",'Avalanche workings'!$AI$586,'Snowball workings'!$AI$586))</f>
      </c>
      <c r="M584" s="30">
        <f>IF(OR(579&gt;$Z$1,NOT(OR('Your debts'!$B$9&lt;&gt;"",N('Your debts'!$C$9)&gt;0))),"",IF('Your debts'!$D$20="Avalanche",'Avalanche workings'!$AS$586,'Snowball workings'!$AS$586))</f>
      </c>
      <c r="N584" s="29">
        <f>IF(OR(579&gt;$Z$1,NOT(OR('Your debts'!$B$10&lt;&gt;"",N('Your debts'!$C$10)&gt;0))),"",IF('Your debts'!$D$20="Avalanche",'Avalanche workings'!$P$586,'Snowball workings'!$P$586)+IF('Your debts'!$D$20="Avalanche",'Avalanche workings'!$AJ$586,'Snowball workings'!$AJ$586))</f>
      </c>
      <c r="O584" s="30">
        <f>IF(OR(579&gt;$Z$1,NOT(OR('Your debts'!$B$10&lt;&gt;"",N('Your debts'!$C$10)&gt;0))),"",IF('Your debts'!$D$20="Avalanche",'Avalanche workings'!$AT$586,'Snowball workings'!$AT$586))</f>
      </c>
      <c r="P584" s="29">
        <f>IF(OR(579&gt;$Z$1,NOT(OR('Your debts'!$B$11&lt;&gt;"",N('Your debts'!$C$11)&gt;0))),"",IF('Your debts'!$D$20="Avalanche",'Avalanche workings'!$Q$586,'Snowball workings'!$Q$586)+IF('Your debts'!$D$20="Avalanche",'Avalanche workings'!$AK$586,'Snowball workings'!$AK$586))</f>
      </c>
      <c r="Q584" s="30">
        <f>IF(OR(579&gt;$Z$1,NOT(OR('Your debts'!$B$11&lt;&gt;"",N('Your debts'!$C$11)&gt;0))),"",IF('Your debts'!$D$20="Avalanche",'Avalanche workings'!$AU$586,'Snowball workings'!$AU$586))</f>
      </c>
      <c r="R584" s="29">
        <f>IF(OR(579&gt;$Z$1,NOT(OR('Your debts'!$B$12&lt;&gt;"",N('Your debts'!$C$12)&gt;0))),"",IF('Your debts'!$D$20="Avalanche",'Avalanche workings'!$R$586,'Snowball workings'!$R$586)+IF('Your debts'!$D$20="Avalanche",'Avalanche workings'!$AL$586,'Snowball workings'!$AL$586))</f>
      </c>
      <c r="S584" s="30">
        <f>IF(OR(579&gt;$Z$1,NOT(OR('Your debts'!$B$12&lt;&gt;"",N('Your debts'!$C$12)&gt;0))),"",IF('Your debts'!$D$20="Avalanche",'Avalanche workings'!$AV$586,'Snowball workings'!$AV$586))</f>
      </c>
      <c r="T584" s="29">
        <f>IF(OR(579&gt;$Z$1,NOT(OR('Your debts'!$B$13&lt;&gt;"",N('Your debts'!$C$13)&gt;0))),"",IF('Your debts'!$D$20="Avalanche",'Avalanche workings'!$S$586,'Snowball workings'!$S$586)+IF('Your debts'!$D$20="Avalanche",'Avalanche workings'!$AM$586,'Snowball workings'!$AM$586))</f>
      </c>
      <c r="U584" s="30">
        <f>IF(OR(579&gt;$Z$1,NOT(OR('Your debts'!$B$13&lt;&gt;"",N('Your debts'!$C$13)&gt;0))),"",IF('Your debts'!$D$20="Avalanche",'Avalanche workings'!$AW$586,'Snowball workings'!$AW$586))</f>
      </c>
      <c r="V584" s="29">
        <f>IF(OR(579&gt;$Z$1,NOT(OR('Your debts'!$B$14&lt;&gt;"",N('Your debts'!$C$14)&gt;0))),"",IF('Your debts'!$D$20="Avalanche",'Avalanche workings'!$T$586,'Snowball workings'!$T$586)+IF('Your debts'!$D$20="Avalanche",'Avalanche workings'!$AN$586,'Snowball workings'!$AN$586))</f>
      </c>
      <c r="W584" s="30">
        <f>IF(OR(579&gt;$Z$1,NOT(OR('Your debts'!$B$14&lt;&gt;"",N('Your debts'!$C$14)&gt;0))),"",IF('Your debts'!$D$20="Avalanche",'Avalanche workings'!$AX$586,'Snowball workings'!$AX$586))</f>
      </c>
      <c r="X584" s="29">
        <f>IF(OR(579&gt;$Z$1,NOT(OR('Your debts'!$B$15&lt;&gt;"",N('Your debts'!$C$15)&gt;0))),"",IF('Your debts'!$D$20="Avalanche",'Avalanche workings'!$U$586,'Snowball workings'!$U$586)+IF('Your debts'!$D$20="Avalanche",'Avalanche workings'!$AO$586,'Snowball workings'!$AO$586))</f>
      </c>
      <c r="Y584" s="30">
        <f>IF(OR(579&gt;$Z$1,NOT(OR('Your debts'!$B$15&lt;&gt;"",N('Your debts'!$C$15)&gt;0))),"",IF('Your debts'!$D$20="Avalanche",'Avalanche workings'!$AY$586,'Snowball workings'!$AY$586))</f>
      </c>
    </row>
    <row r="585" spans="1:25" x14ac:dyDescent="0.25">
      <c r="A585" s="2">
        <f>IF(580&gt;$Z$1,"",580)</f>
      </c>
      <c r="B585" s="28">
        <f>IF(580&gt;$Z$1,"",EDATE('Your debts'!$D$21,579))</f>
      </c>
      <c r="C585" s="29">
        <f>IF(580&gt;$Z$1,"",IF('Your debts'!$D$20="Avalanche",'Avalanche workings'!$BC$587,'Snowball workings'!$BC$587))</f>
      </c>
      <c r="D585" s="29">
        <f>IF(580&gt;$Z$1,"",IF('Your debts'!$D$20="Avalanche",'Avalanche workings'!$BA$587,'Snowball workings'!$BA$587))</f>
      </c>
      <c r="E585" s="29">
        <f>IF(580&gt;$Z$1,"",IF('Your debts'!$D$20="Avalanche",'Avalanche workings'!$BB$587,'Snowball workings'!$BB$587))</f>
      </c>
      <c r="F585" s="29">
        <f>IF(OR(580&gt;$Z$1,NOT(OR('Your debts'!$B$6&lt;&gt;"",N('Your debts'!$C$6)&gt;0))),"",IF('Your debts'!$D$20="Avalanche",'Avalanche workings'!$L$587,'Snowball workings'!$L$587)+IF('Your debts'!$D$20="Avalanche",'Avalanche workings'!$AF$587,'Snowball workings'!$AF$587))</f>
      </c>
      <c r="G585" s="30">
        <f>IF(OR(580&gt;$Z$1,NOT(OR('Your debts'!$B$6&lt;&gt;"",N('Your debts'!$C$6)&gt;0))),"",IF('Your debts'!$D$20="Avalanche",'Avalanche workings'!$AP$587,'Snowball workings'!$AP$587))</f>
      </c>
      <c r="H585" s="29">
        <f>IF(OR(580&gt;$Z$1,NOT(OR('Your debts'!$B$7&lt;&gt;"",N('Your debts'!$C$7)&gt;0))),"",IF('Your debts'!$D$20="Avalanche",'Avalanche workings'!$M$587,'Snowball workings'!$M$587)+IF('Your debts'!$D$20="Avalanche",'Avalanche workings'!$AG$587,'Snowball workings'!$AG$587))</f>
      </c>
      <c r="I585" s="30">
        <f>IF(OR(580&gt;$Z$1,NOT(OR('Your debts'!$B$7&lt;&gt;"",N('Your debts'!$C$7)&gt;0))),"",IF('Your debts'!$D$20="Avalanche",'Avalanche workings'!$AQ$587,'Snowball workings'!$AQ$587))</f>
      </c>
      <c r="J585" s="29">
        <f>IF(OR(580&gt;$Z$1,NOT(OR('Your debts'!$B$8&lt;&gt;"",N('Your debts'!$C$8)&gt;0))),"",IF('Your debts'!$D$20="Avalanche",'Avalanche workings'!$N$587,'Snowball workings'!$N$587)+IF('Your debts'!$D$20="Avalanche",'Avalanche workings'!$AH$587,'Snowball workings'!$AH$587))</f>
      </c>
      <c r="K585" s="30">
        <f>IF(OR(580&gt;$Z$1,NOT(OR('Your debts'!$B$8&lt;&gt;"",N('Your debts'!$C$8)&gt;0))),"",IF('Your debts'!$D$20="Avalanche",'Avalanche workings'!$AR$587,'Snowball workings'!$AR$587))</f>
      </c>
      <c r="L585" s="29">
        <f>IF(OR(580&gt;$Z$1,NOT(OR('Your debts'!$B$9&lt;&gt;"",N('Your debts'!$C$9)&gt;0))),"",IF('Your debts'!$D$20="Avalanche",'Avalanche workings'!$O$587,'Snowball workings'!$O$587)+IF('Your debts'!$D$20="Avalanche",'Avalanche workings'!$AI$587,'Snowball workings'!$AI$587))</f>
      </c>
      <c r="M585" s="30">
        <f>IF(OR(580&gt;$Z$1,NOT(OR('Your debts'!$B$9&lt;&gt;"",N('Your debts'!$C$9)&gt;0))),"",IF('Your debts'!$D$20="Avalanche",'Avalanche workings'!$AS$587,'Snowball workings'!$AS$587))</f>
      </c>
      <c r="N585" s="29">
        <f>IF(OR(580&gt;$Z$1,NOT(OR('Your debts'!$B$10&lt;&gt;"",N('Your debts'!$C$10)&gt;0))),"",IF('Your debts'!$D$20="Avalanche",'Avalanche workings'!$P$587,'Snowball workings'!$P$587)+IF('Your debts'!$D$20="Avalanche",'Avalanche workings'!$AJ$587,'Snowball workings'!$AJ$587))</f>
      </c>
      <c r="O585" s="30">
        <f>IF(OR(580&gt;$Z$1,NOT(OR('Your debts'!$B$10&lt;&gt;"",N('Your debts'!$C$10)&gt;0))),"",IF('Your debts'!$D$20="Avalanche",'Avalanche workings'!$AT$587,'Snowball workings'!$AT$587))</f>
      </c>
      <c r="P585" s="29">
        <f>IF(OR(580&gt;$Z$1,NOT(OR('Your debts'!$B$11&lt;&gt;"",N('Your debts'!$C$11)&gt;0))),"",IF('Your debts'!$D$20="Avalanche",'Avalanche workings'!$Q$587,'Snowball workings'!$Q$587)+IF('Your debts'!$D$20="Avalanche",'Avalanche workings'!$AK$587,'Snowball workings'!$AK$587))</f>
      </c>
      <c r="Q585" s="30">
        <f>IF(OR(580&gt;$Z$1,NOT(OR('Your debts'!$B$11&lt;&gt;"",N('Your debts'!$C$11)&gt;0))),"",IF('Your debts'!$D$20="Avalanche",'Avalanche workings'!$AU$587,'Snowball workings'!$AU$587))</f>
      </c>
      <c r="R585" s="29">
        <f>IF(OR(580&gt;$Z$1,NOT(OR('Your debts'!$B$12&lt;&gt;"",N('Your debts'!$C$12)&gt;0))),"",IF('Your debts'!$D$20="Avalanche",'Avalanche workings'!$R$587,'Snowball workings'!$R$587)+IF('Your debts'!$D$20="Avalanche",'Avalanche workings'!$AL$587,'Snowball workings'!$AL$587))</f>
      </c>
      <c r="S585" s="30">
        <f>IF(OR(580&gt;$Z$1,NOT(OR('Your debts'!$B$12&lt;&gt;"",N('Your debts'!$C$12)&gt;0))),"",IF('Your debts'!$D$20="Avalanche",'Avalanche workings'!$AV$587,'Snowball workings'!$AV$587))</f>
      </c>
      <c r="T585" s="29">
        <f>IF(OR(580&gt;$Z$1,NOT(OR('Your debts'!$B$13&lt;&gt;"",N('Your debts'!$C$13)&gt;0))),"",IF('Your debts'!$D$20="Avalanche",'Avalanche workings'!$S$587,'Snowball workings'!$S$587)+IF('Your debts'!$D$20="Avalanche",'Avalanche workings'!$AM$587,'Snowball workings'!$AM$587))</f>
      </c>
      <c r="U585" s="30">
        <f>IF(OR(580&gt;$Z$1,NOT(OR('Your debts'!$B$13&lt;&gt;"",N('Your debts'!$C$13)&gt;0))),"",IF('Your debts'!$D$20="Avalanche",'Avalanche workings'!$AW$587,'Snowball workings'!$AW$587))</f>
      </c>
      <c r="V585" s="29">
        <f>IF(OR(580&gt;$Z$1,NOT(OR('Your debts'!$B$14&lt;&gt;"",N('Your debts'!$C$14)&gt;0))),"",IF('Your debts'!$D$20="Avalanche",'Avalanche workings'!$T$587,'Snowball workings'!$T$587)+IF('Your debts'!$D$20="Avalanche",'Avalanche workings'!$AN$587,'Snowball workings'!$AN$587))</f>
      </c>
      <c r="W585" s="30">
        <f>IF(OR(580&gt;$Z$1,NOT(OR('Your debts'!$B$14&lt;&gt;"",N('Your debts'!$C$14)&gt;0))),"",IF('Your debts'!$D$20="Avalanche",'Avalanche workings'!$AX$587,'Snowball workings'!$AX$587))</f>
      </c>
      <c r="X585" s="29">
        <f>IF(OR(580&gt;$Z$1,NOT(OR('Your debts'!$B$15&lt;&gt;"",N('Your debts'!$C$15)&gt;0))),"",IF('Your debts'!$D$20="Avalanche",'Avalanche workings'!$U$587,'Snowball workings'!$U$587)+IF('Your debts'!$D$20="Avalanche",'Avalanche workings'!$AO$587,'Snowball workings'!$AO$587))</f>
      </c>
      <c r="Y585" s="30">
        <f>IF(OR(580&gt;$Z$1,NOT(OR('Your debts'!$B$15&lt;&gt;"",N('Your debts'!$C$15)&gt;0))),"",IF('Your debts'!$D$20="Avalanche",'Avalanche workings'!$AY$587,'Snowball workings'!$AY$587))</f>
      </c>
    </row>
    <row r="586" spans="1:25" x14ac:dyDescent="0.25">
      <c r="A586" s="2">
        <f>IF(581&gt;$Z$1,"",581)</f>
      </c>
      <c r="B586" s="28">
        <f>IF(581&gt;$Z$1,"",EDATE('Your debts'!$D$21,580))</f>
      </c>
      <c r="C586" s="29">
        <f>IF(581&gt;$Z$1,"",IF('Your debts'!$D$20="Avalanche",'Avalanche workings'!$BC$588,'Snowball workings'!$BC$588))</f>
      </c>
      <c r="D586" s="29">
        <f>IF(581&gt;$Z$1,"",IF('Your debts'!$D$20="Avalanche",'Avalanche workings'!$BA$588,'Snowball workings'!$BA$588))</f>
      </c>
      <c r="E586" s="29">
        <f>IF(581&gt;$Z$1,"",IF('Your debts'!$D$20="Avalanche",'Avalanche workings'!$BB$588,'Snowball workings'!$BB$588))</f>
      </c>
      <c r="F586" s="29">
        <f>IF(OR(581&gt;$Z$1,NOT(OR('Your debts'!$B$6&lt;&gt;"",N('Your debts'!$C$6)&gt;0))),"",IF('Your debts'!$D$20="Avalanche",'Avalanche workings'!$L$588,'Snowball workings'!$L$588)+IF('Your debts'!$D$20="Avalanche",'Avalanche workings'!$AF$588,'Snowball workings'!$AF$588))</f>
      </c>
      <c r="G586" s="30">
        <f>IF(OR(581&gt;$Z$1,NOT(OR('Your debts'!$B$6&lt;&gt;"",N('Your debts'!$C$6)&gt;0))),"",IF('Your debts'!$D$20="Avalanche",'Avalanche workings'!$AP$588,'Snowball workings'!$AP$588))</f>
      </c>
      <c r="H586" s="29">
        <f>IF(OR(581&gt;$Z$1,NOT(OR('Your debts'!$B$7&lt;&gt;"",N('Your debts'!$C$7)&gt;0))),"",IF('Your debts'!$D$20="Avalanche",'Avalanche workings'!$M$588,'Snowball workings'!$M$588)+IF('Your debts'!$D$20="Avalanche",'Avalanche workings'!$AG$588,'Snowball workings'!$AG$588))</f>
      </c>
      <c r="I586" s="30">
        <f>IF(OR(581&gt;$Z$1,NOT(OR('Your debts'!$B$7&lt;&gt;"",N('Your debts'!$C$7)&gt;0))),"",IF('Your debts'!$D$20="Avalanche",'Avalanche workings'!$AQ$588,'Snowball workings'!$AQ$588))</f>
      </c>
      <c r="J586" s="29">
        <f>IF(OR(581&gt;$Z$1,NOT(OR('Your debts'!$B$8&lt;&gt;"",N('Your debts'!$C$8)&gt;0))),"",IF('Your debts'!$D$20="Avalanche",'Avalanche workings'!$N$588,'Snowball workings'!$N$588)+IF('Your debts'!$D$20="Avalanche",'Avalanche workings'!$AH$588,'Snowball workings'!$AH$588))</f>
      </c>
      <c r="K586" s="30">
        <f>IF(OR(581&gt;$Z$1,NOT(OR('Your debts'!$B$8&lt;&gt;"",N('Your debts'!$C$8)&gt;0))),"",IF('Your debts'!$D$20="Avalanche",'Avalanche workings'!$AR$588,'Snowball workings'!$AR$588))</f>
      </c>
      <c r="L586" s="29">
        <f>IF(OR(581&gt;$Z$1,NOT(OR('Your debts'!$B$9&lt;&gt;"",N('Your debts'!$C$9)&gt;0))),"",IF('Your debts'!$D$20="Avalanche",'Avalanche workings'!$O$588,'Snowball workings'!$O$588)+IF('Your debts'!$D$20="Avalanche",'Avalanche workings'!$AI$588,'Snowball workings'!$AI$588))</f>
      </c>
      <c r="M586" s="30">
        <f>IF(OR(581&gt;$Z$1,NOT(OR('Your debts'!$B$9&lt;&gt;"",N('Your debts'!$C$9)&gt;0))),"",IF('Your debts'!$D$20="Avalanche",'Avalanche workings'!$AS$588,'Snowball workings'!$AS$588))</f>
      </c>
      <c r="N586" s="29">
        <f>IF(OR(581&gt;$Z$1,NOT(OR('Your debts'!$B$10&lt;&gt;"",N('Your debts'!$C$10)&gt;0))),"",IF('Your debts'!$D$20="Avalanche",'Avalanche workings'!$P$588,'Snowball workings'!$P$588)+IF('Your debts'!$D$20="Avalanche",'Avalanche workings'!$AJ$588,'Snowball workings'!$AJ$588))</f>
      </c>
      <c r="O586" s="30">
        <f>IF(OR(581&gt;$Z$1,NOT(OR('Your debts'!$B$10&lt;&gt;"",N('Your debts'!$C$10)&gt;0))),"",IF('Your debts'!$D$20="Avalanche",'Avalanche workings'!$AT$588,'Snowball workings'!$AT$588))</f>
      </c>
      <c r="P586" s="29">
        <f>IF(OR(581&gt;$Z$1,NOT(OR('Your debts'!$B$11&lt;&gt;"",N('Your debts'!$C$11)&gt;0))),"",IF('Your debts'!$D$20="Avalanche",'Avalanche workings'!$Q$588,'Snowball workings'!$Q$588)+IF('Your debts'!$D$20="Avalanche",'Avalanche workings'!$AK$588,'Snowball workings'!$AK$588))</f>
      </c>
      <c r="Q586" s="30">
        <f>IF(OR(581&gt;$Z$1,NOT(OR('Your debts'!$B$11&lt;&gt;"",N('Your debts'!$C$11)&gt;0))),"",IF('Your debts'!$D$20="Avalanche",'Avalanche workings'!$AU$588,'Snowball workings'!$AU$588))</f>
      </c>
      <c r="R586" s="29">
        <f>IF(OR(581&gt;$Z$1,NOT(OR('Your debts'!$B$12&lt;&gt;"",N('Your debts'!$C$12)&gt;0))),"",IF('Your debts'!$D$20="Avalanche",'Avalanche workings'!$R$588,'Snowball workings'!$R$588)+IF('Your debts'!$D$20="Avalanche",'Avalanche workings'!$AL$588,'Snowball workings'!$AL$588))</f>
      </c>
      <c r="S586" s="30">
        <f>IF(OR(581&gt;$Z$1,NOT(OR('Your debts'!$B$12&lt;&gt;"",N('Your debts'!$C$12)&gt;0))),"",IF('Your debts'!$D$20="Avalanche",'Avalanche workings'!$AV$588,'Snowball workings'!$AV$588))</f>
      </c>
      <c r="T586" s="29">
        <f>IF(OR(581&gt;$Z$1,NOT(OR('Your debts'!$B$13&lt;&gt;"",N('Your debts'!$C$13)&gt;0))),"",IF('Your debts'!$D$20="Avalanche",'Avalanche workings'!$S$588,'Snowball workings'!$S$588)+IF('Your debts'!$D$20="Avalanche",'Avalanche workings'!$AM$588,'Snowball workings'!$AM$588))</f>
      </c>
      <c r="U586" s="30">
        <f>IF(OR(581&gt;$Z$1,NOT(OR('Your debts'!$B$13&lt;&gt;"",N('Your debts'!$C$13)&gt;0))),"",IF('Your debts'!$D$20="Avalanche",'Avalanche workings'!$AW$588,'Snowball workings'!$AW$588))</f>
      </c>
      <c r="V586" s="29">
        <f>IF(OR(581&gt;$Z$1,NOT(OR('Your debts'!$B$14&lt;&gt;"",N('Your debts'!$C$14)&gt;0))),"",IF('Your debts'!$D$20="Avalanche",'Avalanche workings'!$T$588,'Snowball workings'!$T$588)+IF('Your debts'!$D$20="Avalanche",'Avalanche workings'!$AN$588,'Snowball workings'!$AN$588))</f>
      </c>
      <c r="W586" s="30">
        <f>IF(OR(581&gt;$Z$1,NOT(OR('Your debts'!$B$14&lt;&gt;"",N('Your debts'!$C$14)&gt;0))),"",IF('Your debts'!$D$20="Avalanche",'Avalanche workings'!$AX$588,'Snowball workings'!$AX$588))</f>
      </c>
      <c r="X586" s="29">
        <f>IF(OR(581&gt;$Z$1,NOT(OR('Your debts'!$B$15&lt;&gt;"",N('Your debts'!$C$15)&gt;0))),"",IF('Your debts'!$D$20="Avalanche",'Avalanche workings'!$U$588,'Snowball workings'!$U$588)+IF('Your debts'!$D$20="Avalanche",'Avalanche workings'!$AO$588,'Snowball workings'!$AO$588))</f>
      </c>
      <c r="Y586" s="30">
        <f>IF(OR(581&gt;$Z$1,NOT(OR('Your debts'!$B$15&lt;&gt;"",N('Your debts'!$C$15)&gt;0))),"",IF('Your debts'!$D$20="Avalanche",'Avalanche workings'!$AY$588,'Snowball workings'!$AY$588))</f>
      </c>
    </row>
    <row r="587" spans="1:25" x14ac:dyDescent="0.25">
      <c r="A587" s="2">
        <f>IF(582&gt;$Z$1,"",582)</f>
      </c>
      <c r="B587" s="28">
        <f>IF(582&gt;$Z$1,"",EDATE('Your debts'!$D$21,581))</f>
      </c>
      <c r="C587" s="29">
        <f>IF(582&gt;$Z$1,"",IF('Your debts'!$D$20="Avalanche",'Avalanche workings'!$BC$589,'Snowball workings'!$BC$589))</f>
      </c>
      <c r="D587" s="29">
        <f>IF(582&gt;$Z$1,"",IF('Your debts'!$D$20="Avalanche",'Avalanche workings'!$BA$589,'Snowball workings'!$BA$589))</f>
      </c>
      <c r="E587" s="29">
        <f>IF(582&gt;$Z$1,"",IF('Your debts'!$D$20="Avalanche",'Avalanche workings'!$BB$589,'Snowball workings'!$BB$589))</f>
      </c>
      <c r="F587" s="29">
        <f>IF(OR(582&gt;$Z$1,NOT(OR('Your debts'!$B$6&lt;&gt;"",N('Your debts'!$C$6)&gt;0))),"",IF('Your debts'!$D$20="Avalanche",'Avalanche workings'!$L$589,'Snowball workings'!$L$589)+IF('Your debts'!$D$20="Avalanche",'Avalanche workings'!$AF$589,'Snowball workings'!$AF$589))</f>
      </c>
      <c r="G587" s="30">
        <f>IF(OR(582&gt;$Z$1,NOT(OR('Your debts'!$B$6&lt;&gt;"",N('Your debts'!$C$6)&gt;0))),"",IF('Your debts'!$D$20="Avalanche",'Avalanche workings'!$AP$589,'Snowball workings'!$AP$589))</f>
      </c>
      <c r="H587" s="29">
        <f>IF(OR(582&gt;$Z$1,NOT(OR('Your debts'!$B$7&lt;&gt;"",N('Your debts'!$C$7)&gt;0))),"",IF('Your debts'!$D$20="Avalanche",'Avalanche workings'!$M$589,'Snowball workings'!$M$589)+IF('Your debts'!$D$20="Avalanche",'Avalanche workings'!$AG$589,'Snowball workings'!$AG$589))</f>
      </c>
      <c r="I587" s="30">
        <f>IF(OR(582&gt;$Z$1,NOT(OR('Your debts'!$B$7&lt;&gt;"",N('Your debts'!$C$7)&gt;0))),"",IF('Your debts'!$D$20="Avalanche",'Avalanche workings'!$AQ$589,'Snowball workings'!$AQ$589))</f>
      </c>
      <c r="J587" s="29">
        <f>IF(OR(582&gt;$Z$1,NOT(OR('Your debts'!$B$8&lt;&gt;"",N('Your debts'!$C$8)&gt;0))),"",IF('Your debts'!$D$20="Avalanche",'Avalanche workings'!$N$589,'Snowball workings'!$N$589)+IF('Your debts'!$D$20="Avalanche",'Avalanche workings'!$AH$589,'Snowball workings'!$AH$589))</f>
      </c>
      <c r="K587" s="30">
        <f>IF(OR(582&gt;$Z$1,NOT(OR('Your debts'!$B$8&lt;&gt;"",N('Your debts'!$C$8)&gt;0))),"",IF('Your debts'!$D$20="Avalanche",'Avalanche workings'!$AR$589,'Snowball workings'!$AR$589))</f>
      </c>
      <c r="L587" s="29">
        <f>IF(OR(582&gt;$Z$1,NOT(OR('Your debts'!$B$9&lt;&gt;"",N('Your debts'!$C$9)&gt;0))),"",IF('Your debts'!$D$20="Avalanche",'Avalanche workings'!$O$589,'Snowball workings'!$O$589)+IF('Your debts'!$D$20="Avalanche",'Avalanche workings'!$AI$589,'Snowball workings'!$AI$589))</f>
      </c>
      <c r="M587" s="30">
        <f>IF(OR(582&gt;$Z$1,NOT(OR('Your debts'!$B$9&lt;&gt;"",N('Your debts'!$C$9)&gt;0))),"",IF('Your debts'!$D$20="Avalanche",'Avalanche workings'!$AS$589,'Snowball workings'!$AS$589))</f>
      </c>
      <c r="N587" s="29">
        <f>IF(OR(582&gt;$Z$1,NOT(OR('Your debts'!$B$10&lt;&gt;"",N('Your debts'!$C$10)&gt;0))),"",IF('Your debts'!$D$20="Avalanche",'Avalanche workings'!$P$589,'Snowball workings'!$P$589)+IF('Your debts'!$D$20="Avalanche",'Avalanche workings'!$AJ$589,'Snowball workings'!$AJ$589))</f>
      </c>
      <c r="O587" s="30">
        <f>IF(OR(582&gt;$Z$1,NOT(OR('Your debts'!$B$10&lt;&gt;"",N('Your debts'!$C$10)&gt;0))),"",IF('Your debts'!$D$20="Avalanche",'Avalanche workings'!$AT$589,'Snowball workings'!$AT$589))</f>
      </c>
      <c r="P587" s="29">
        <f>IF(OR(582&gt;$Z$1,NOT(OR('Your debts'!$B$11&lt;&gt;"",N('Your debts'!$C$11)&gt;0))),"",IF('Your debts'!$D$20="Avalanche",'Avalanche workings'!$Q$589,'Snowball workings'!$Q$589)+IF('Your debts'!$D$20="Avalanche",'Avalanche workings'!$AK$589,'Snowball workings'!$AK$589))</f>
      </c>
      <c r="Q587" s="30">
        <f>IF(OR(582&gt;$Z$1,NOT(OR('Your debts'!$B$11&lt;&gt;"",N('Your debts'!$C$11)&gt;0))),"",IF('Your debts'!$D$20="Avalanche",'Avalanche workings'!$AU$589,'Snowball workings'!$AU$589))</f>
      </c>
      <c r="R587" s="29">
        <f>IF(OR(582&gt;$Z$1,NOT(OR('Your debts'!$B$12&lt;&gt;"",N('Your debts'!$C$12)&gt;0))),"",IF('Your debts'!$D$20="Avalanche",'Avalanche workings'!$R$589,'Snowball workings'!$R$589)+IF('Your debts'!$D$20="Avalanche",'Avalanche workings'!$AL$589,'Snowball workings'!$AL$589))</f>
      </c>
      <c r="S587" s="30">
        <f>IF(OR(582&gt;$Z$1,NOT(OR('Your debts'!$B$12&lt;&gt;"",N('Your debts'!$C$12)&gt;0))),"",IF('Your debts'!$D$20="Avalanche",'Avalanche workings'!$AV$589,'Snowball workings'!$AV$589))</f>
      </c>
      <c r="T587" s="29">
        <f>IF(OR(582&gt;$Z$1,NOT(OR('Your debts'!$B$13&lt;&gt;"",N('Your debts'!$C$13)&gt;0))),"",IF('Your debts'!$D$20="Avalanche",'Avalanche workings'!$S$589,'Snowball workings'!$S$589)+IF('Your debts'!$D$20="Avalanche",'Avalanche workings'!$AM$589,'Snowball workings'!$AM$589))</f>
      </c>
      <c r="U587" s="30">
        <f>IF(OR(582&gt;$Z$1,NOT(OR('Your debts'!$B$13&lt;&gt;"",N('Your debts'!$C$13)&gt;0))),"",IF('Your debts'!$D$20="Avalanche",'Avalanche workings'!$AW$589,'Snowball workings'!$AW$589))</f>
      </c>
      <c r="V587" s="29">
        <f>IF(OR(582&gt;$Z$1,NOT(OR('Your debts'!$B$14&lt;&gt;"",N('Your debts'!$C$14)&gt;0))),"",IF('Your debts'!$D$20="Avalanche",'Avalanche workings'!$T$589,'Snowball workings'!$T$589)+IF('Your debts'!$D$20="Avalanche",'Avalanche workings'!$AN$589,'Snowball workings'!$AN$589))</f>
      </c>
      <c r="W587" s="30">
        <f>IF(OR(582&gt;$Z$1,NOT(OR('Your debts'!$B$14&lt;&gt;"",N('Your debts'!$C$14)&gt;0))),"",IF('Your debts'!$D$20="Avalanche",'Avalanche workings'!$AX$589,'Snowball workings'!$AX$589))</f>
      </c>
      <c r="X587" s="29">
        <f>IF(OR(582&gt;$Z$1,NOT(OR('Your debts'!$B$15&lt;&gt;"",N('Your debts'!$C$15)&gt;0))),"",IF('Your debts'!$D$20="Avalanche",'Avalanche workings'!$U$589,'Snowball workings'!$U$589)+IF('Your debts'!$D$20="Avalanche",'Avalanche workings'!$AO$589,'Snowball workings'!$AO$589))</f>
      </c>
      <c r="Y587" s="30">
        <f>IF(OR(582&gt;$Z$1,NOT(OR('Your debts'!$B$15&lt;&gt;"",N('Your debts'!$C$15)&gt;0))),"",IF('Your debts'!$D$20="Avalanche",'Avalanche workings'!$AY$589,'Snowball workings'!$AY$589))</f>
      </c>
    </row>
    <row r="588" spans="1:25" x14ac:dyDescent="0.25">
      <c r="A588" s="2">
        <f>IF(583&gt;$Z$1,"",583)</f>
      </c>
      <c r="B588" s="28">
        <f>IF(583&gt;$Z$1,"",EDATE('Your debts'!$D$21,582))</f>
      </c>
      <c r="C588" s="29">
        <f>IF(583&gt;$Z$1,"",IF('Your debts'!$D$20="Avalanche",'Avalanche workings'!$BC$590,'Snowball workings'!$BC$590))</f>
      </c>
      <c r="D588" s="29">
        <f>IF(583&gt;$Z$1,"",IF('Your debts'!$D$20="Avalanche",'Avalanche workings'!$BA$590,'Snowball workings'!$BA$590))</f>
      </c>
      <c r="E588" s="29">
        <f>IF(583&gt;$Z$1,"",IF('Your debts'!$D$20="Avalanche",'Avalanche workings'!$BB$590,'Snowball workings'!$BB$590))</f>
      </c>
      <c r="F588" s="29">
        <f>IF(OR(583&gt;$Z$1,NOT(OR('Your debts'!$B$6&lt;&gt;"",N('Your debts'!$C$6)&gt;0))),"",IF('Your debts'!$D$20="Avalanche",'Avalanche workings'!$L$590,'Snowball workings'!$L$590)+IF('Your debts'!$D$20="Avalanche",'Avalanche workings'!$AF$590,'Snowball workings'!$AF$590))</f>
      </c>
      <c r="G588" s="30">
        <f>IF(OR(583&gt;$Z$1,NOT(OR('Your debts'!$B$6&lt;&gt;"",N('Your debts'!$C$6)&gt;0))),"",IF('Your debts'!$D$20="Avalanche",'Avalanche workings'!$AP$590,'Snowball workings'!$AP$590))</f>
      </c>
      <c r="H588" s="29">
        <f>IF(OR(583&gt;$Z$1,NOT(OR('Your debts'!$B$7&lt;&gt;"",N('Your debts'!$C$7)&gt;0))),"",IF('Your debts'!$D$20="Avalanche",'Avalanche workings'!$M$590,'Snowball workings'!$M$590)+IF('Your debts'!$D$20="Avalanche",'Avalanche workings'!$AG$590,'Snowball workings'!$AG$590))</f>
      </c>
      <c r="I588" s="30">
        <f>IF(OR(583&gt;$Z$1,NOT(OR('Your debts'!$B$7&lt;&gt;"",N('Your debts'!$C$7)&gt;0))),"",IF('Your debts'!$D$20="Avalanche",'Avalanche workings'!$AQ$590,'Snowball workings'!$AQ$590))</f>
      </c>
      <c r="J588" s="29">
        <f>IF(OR(583&gt;$Z$1,NOT(OR('Your debts'!$B$8&lt;&gt;"",N('Your debts'!$C$8)&gt;0))),"",IF('Your debts'!$D$20="Avalanche",'Avalanche workings'!$N$590,'Snowball workings'!$N$590)+IF('Your debts'!$D$20="Avalanche",'Avalanche workings'!$AH$590,'Snowball workings'!$AH$590))</f>
      </c>
      <c r="K588" s="30">
        <f>IF(OR(583&gt;$Z$1,NOT(OR('Your debts'!$B$8&lt;&gt;"",N('Your debts'!$C$8)&gt;0))),"",IF('Your debts'!$D$20="Avalanche",'Avalanche workings'!$AR$590,'Snowball workings'!$AR$590))</f>
      </c>
      <c r="L588" s="29">
        <f>IF(OR(583&gt;$Z$1,NOT(OR('Your debts'!$B$9&lt;&gt;"",N('Your debts'!$C$9)&gt;0))),"",IF('Your debts'!$D$20="Avalanche",'Avalanche workings'!$O$590,'Snowball workings'!$O$590)+IF('Your debts'!$D$20="Avalanche",'Avalanche workings'!$AI$590,'Snowball workings'!$AI$590))</f>
      </c>
      <c r="M588" s="30">
        <f>IF(OR(583&gt;$Z$1,NOT(OR('Your debts'!$B$9&lt;&gt;"",N('Your debts'!$C$9)&gt;0))),"",IF('Your debts'!$D$20="Avalanche",'Avalanche workings'!$AS$590,'Snowball workings'!$AS$590))</f>
      </c>
      <c r="N588" s="29">
        <f>IF(OR(583&gt;$Z$1,NOT(OR('Your debts'!$B$10&lt;&gt;"",N('Your debts'!$C$10)&gt;0))),"",IF('Your debts'!$D$20="Avalanche",'Avalanche workings'!$P$590,'Snowball workings'!$P$590)+IF('Your debts'!$D$20="Avalanche",'Avalanche workings'!$AJ$590,'Snowball workings'!$AJ$590))</f>
      </c>
      <c r="O588" s="30">
        <f>IF(OR(583&gt;$Z$1,NOT(OR('Your debts'!$B$10&lt;&gt;"",N('Your debts'!$C$10)&gt;0))),"",IF('Your debts'!$D$20="Avalanche",'Avalanche workings'!$AT$590,'Snowball workings'!$AT$590))</f>
      </c>
      <c r="P588" s="29">
        <f>IF(OR(583&gt;$Z$1,NOT(OR('Your debts'!$B$11&lt;&gt;"",N('Your debts'!$C$11)&gt;0))),"",IF('Your debts'!$D$20="Avalanche",'Avalanche workings'!$Q$590,'Snowball workings'!$Q$590)+IF('Your debts'!$D$20="Avalanche",'Avalanche workings'!$AK$590,'Snowball workings'!$AK$590))</f>
      </c>
      <c r="Q588" s="30">
        <f>IF(OR(583&gt;$Z$1,NOT(OR('Your debts'!$B$11&lt;&gt;"",N('Your debts'!$C$11)&gt;0))),"",IF('Your debts'!$D$20="Avalanche",'Avalanche workings'!$AU$590,'Snowball workings'!$AU$590))</f>
      </c>
      <c r="R588" s="29">
        <f>IF(OR(583&gt;$Z$1,NOT(OR('Your debts'!$B$12&lt;&gt;"",N('Your debts'!$C$12)&gt;0))),"",IF('Your debts'!$D$20="Avalanche",'Avalanche workings'!$R$590,'Snowball workings'!$R$590)+IF('Your debts'!$D$20="Avalanche",'Avalanche workings'!$AL$590,'Snowball workings'!$AL$590))</f>
      </c>
      <c r="S588" s="30">
        <f>IF(OR(583&gt;$Z$1,NOT(OR('Your debts'!$B$12&lt;&gt;"",N('Your debts'!$C$12)&gt;0))),"",IF('Your debts'!$D$20="Avalanche",'Avalanche workings'!$AV$590,'Snowball workings'!$AV$590))</f>
      </c>
      <c r="T588" s="29">
        <f>IF(OR(583&gt;$Z$1,NOT(OR('Your debts'!$B$13&lt;&gt;"",N('Your debts'!$C$13)&gt;0))),"",IF('Your debts'!$D$20="Avalanche",'Avalanche workings'!$S$590,'Snowball workings'!$S$590)+IF('Your debts'!$D$20="Avalanche",'Avalanche workings'!$AM$590,'Snowball workings'!$AM$590))</f>
      </c>
      <c r="U588" s="30">
        <f>IF(OR(583&gt;$Z$1,NOT(OR('Your debts'!$B$13&lt;&gt;"",N('Your debts'!$C$13)&gt;0))),"",IF('Your debts'!$D$20="Avalanche",'Avalanche workings'!$AW$590,'Snowball workings'!$AW$590))</f>
      </c>
      <c r="V588" s="29">
        <f>IF(OR(583&gt;$Z$1,NOT(OR('Your debts'!$B$14&lt;&gt;"",N('Your debts'!$C$14)&gt;0))),"",IF('Your debts'!$D$20="Avalanche",'Avalanche workings'!$T$590,'Snowball workings'!$T$590)+IF('Your debts'!$D$20="Avalanche",'Avalanche workings'!$AN$590,'Snowball workings'!$AN$590))</f>
      </c>
      <c r="W588" s="30">
        <f>IF(OR(583&gt;$Z$1,NOT(OR('Your debts'!$B$14&lt;&gt;"",N('Your debts'!$C$14)&gt;0))),"",IF('Your debts'!$D$20="Avalanche",'Avalanche workings'!$AX$590,'Snowball workings'!$AX$590))</f>
      </c>
      <c r="X588" s="29">
        <f>IF(OR(583&gt;$Z$1,NOT(OR('Your debts'!$B$15&lt;&gt;"",N('Your debts'!$C$15)&gt;0))),"",IF('Your debts'!$D$20="Avalanche",'Avalanche workings'!$U$590,'Snowball workings'!$U$590)+IF('Your debts'!$D$20="Avalanche",'Avalanche workings'!$AO$590,'Snowball workings'!$AO$590))</f>
      </c>
      <c r="Y588" s="30">
        <f>IF(OR(583&gt;$Z$1,NOT(OR('Your debts'!$B$15&lt;&gt;"",N('Your debts'!$C$15)&gt;0))),"",IF('Your debts'!$D$20="Avalanche",'Avalanche workings'!$AY$590,'Snowball workings'!$AY$590))</f>
      </c>
    </row>
    <row r="589" spans="1:25" x14ac:dyDescent="0.25">
      <c r="A589" s="2">
        <f>IF(584&gt;$Z$1,"",584)</f>
      </c>
      <c r="B589" s="28">
        <f>IF(584&gt;$Z$1,"",EDATE('Your debts'!$D$21,583))</f>
      </c>
      <c r="C589" s="29">
        <f>IF(584&gt;$Z$1,"",IF('Your debts'!$D$20="Avalanche",'Avalanche workings'!$BC$591,'Snowball workings'!$BC$591))</f>
      </c>
      <c r="D589" s="29">
        <f>IF(584&gt;$Z$1,"",IF('Your debts'!$D$20="Avalanche",'Avalanche workings'!$BA$591,'Snowball workings'!$BA$591))</f>
      </c>
      <c r="E589" s="29">
        <f>IF(584&gt;$Z$1,"",IF('Your debts'!$D$20="Avalanche",'Avalanche workings'!$BB$591,'Snowball workings'!$BB$591))</f>
      </c>
      <c r="F589" s="29">
        <f>IF(OR(584&gt;$Z$1,NOT(OR('Your debts'!$B$6&lt;&gt;"",N('Your debts'!$C$6)&gt;0))),"",IF('Your debts'!$D$20="Avalanche",'Avalanche workings'!$L$591,'Snowball workings'!$L$591)+IF('Your debts'!$D$20="Avalanche",'Avalanche workings'!$AF$591,'Snowball workings'!$AF$591))</f>
      </c>
      <c r="G589" s="30">
        <f>IF(OR(584&gt;$Z$1,NOT(OR('Your debts'!$B$6&lt;&gt;"",N('Your debts'!$C$6)&gt;0))),"",IF('Your debts'!$D$20="Avalanche",'Avalanche workings'!$AP$591,'Snowball workings'!$AP$591))</f>
      </c>
      <c r="H589" s="29">
        <f>IF(OR(584&gt;$Z$1,NOT(OR('Your debts'!$B$7&lt;&gt;"",N('Your debts'!$C$7)&gt;0))),"",IF('Your debts'!$D$20="Avalanche",'Avalanche workings'!$M$591,'Snowball workings'!$M$591)+IF('Your debts'!$D$20="Avalanche",'Avalanche workings'!$AG$591,'Snowball workings'!$AG$591))</f>
      </c>
      <c r="I589" s="30">
        <f>IF(OR(584&gt;$Z$1,NOT(OR('Your debts'!$B$7&lt;&gt;"",N('Your debts'!$C$7)&gt;0))),"",IF('Your debts'!$D$20="Avalanche",'Avalanche workings'!$AQ$591,'Snowball workings'!$AQ$591))</f>
      </c>
      <c r="J589" s="29">
        <f>IF(OR(584&gt;$Z$1,NOT(OR('Your debts'!$B$8&lt;&gt;"",N('Your debts'!$C$8)&gt;0))),"",IF('Your debts'!$D$20="Avalanche",'Avalanche workings'!$N$591,'Snowball workings'!$N$591)+IF('Your debts'!$D$20="Avalanche",'Avalanche workings'!$AH$591,'Snowball workings'!$AH$591))</f>
      </c>
      <c r="K589" s="30">
        <f>IF(OR(584&gt;$Z$1,NOT(OR('Your debts'!$B$8&lt;&gt;"",N('Your debts'!$C$8)&gt;0))),"",IF('Your debts'!$D$20="Avalanche",'Avalanche workings'!$AR$591,'Snowball workings'!$AR$591))</f>
      </c>
      <c r="L589" s="29">
        <f>IF(OR(584&gt;$Z$1,NOT(OR('Your debts'!$B$9&lt;&gt;"",N('Your debts'!$C$9)&gt;0))),"",IF('Your debts'!$D$20="Avalanche",'Avalanche workings'!$O$591,'Snowball workings'!$O$591)+IF('Your debts'!$D$20="Avalanche",'Avalanche workings'!$AI$591,'Snowball workings'!$AI$591))</f>
      </c>
      <c r="M589" s="30">
        <f>IF(OR(584&gt;$Z$1,NOT(OR('Your debts'!$B$9&lt;&gt;"",N('Your debts'!$C$9)&gt;0))),"",IF('Your debts'!$D$20="Avalanche",'Avalanche workings'!$AS$591,'Snowball workings'!$AS$591))</f>
      </c>
      <c r="N589" s="29">
        <f>IF(OR(584&gt;$Z$1,NOT(OR('Your debts'!$B$10&lt;&gt;"",N('Your debts'!$C$10)&gt;0))),"",IF('Your debts'!$D$20="Avalanche",'Avalanche workings'!$P$591,'Snowball workings'!$P$591)+IF('Your debts'!$D$20="Avalanche",'Avalanche workings'!$AJ$591,'Snowball workings'!$AJ$591))</f>
      </c>
      <c r="O589" s="30">
        <f>IF(OR(584&gt;$Z$1,NOT(OR('Your debts'!$B$10&lt;&gt;"",N('Your debts'!$C$10)&gt;0))),"",IF('Your debts'!$D$20="Avalanche",'Avalanche workings'!$AT$591,'Snowball workings'!$AT$591))</f>
      </c>
      <c r="P589" s="29">
        <f>IF(OR(584&gt;$Z$1,NOT(OR('Your debts'!$B$11&lt;&gt;"",N('Your debts'!$C$11)&gt;0))),"",IF('Your debts'!$D$20="Avalanche",'Avalanche workings'!$Q$591,'Snowball workings'!$Q$591)+IF('Your debts'!$D$20="Avalanche",'Avalanche workings'!$AK$591,'Snowball workings'!$AK$591))</f>
      </c>
      <c r="Q589" s="30">
        <f>IF(OR(584&gt;$Z$1,NOT(OR('Your debts'!$B$11&lt;&gt;"",N('Your debts'!$C$11)&gt;0))),"",IF('Your debts'!$D$20="Avalanche",'Avalanche workings'!$AU$591,'Snowball workings'!$AU$591))</f>
      </c>
      <c r="R589" s="29">
        <f>IF(OR(584&gt;$Z$1,NOT(OR('Your debts'!$B$12&lt;&gt;"",N('Your debts'!$C$12)&gt;0))),"",IF('Your debts'!$D$20="Avalanche",'Avalanche workings'!$R$591,'Snowball workings'!$R$591)+IF('Your debts'!$D$20="Avalanche",'Avalanche workings'!$AL$591,'Snowball workings'!$AL$591))</f>
      </c>
      <c r="S589" s="30">
        <f>IF(OR(584&gt;$Z$1,NOT(OR('Your debts'!$B$12&lt;&gt;"",N('Your debts'!$C$12)&gt;0))),"",IF('Your debts'!$D$20="Avalanche",'Avalanche workings'!$AV$591,'Snowball workings'!$AV$591))</f>
      </c>
      <c r="T589" s="29">
        <f>IF(OR(584&gt;$Z$1,NOT(OR('Your debts'!$B$13&lt;&gt;"",N('Your debts'!$C$13)&gt;0))),"",IF('Your debts'!$D$20="Avalanche",'Avalanche workings'!$S$591,'Snowball workings'!$S$591)+IF('Your debts'!$D$20="Avalanche",'Avalanche workings'!$AM$591,'Snowball workings'!$AM$591))</f>
      </c>
      <c r="U589" s="30">
        <f>IF(OR(584&gt;$Z$1,NOT(OR('Your debts'!$B$13&lt;&gt;"",N('Your debts'!$C$13)&gt;0))),"",IF('Your debts'!$D$20="Avalanche",'Avalanche workings'!$AW$591,'Snowball workings'!$AW$591))</f>
      </c>
      <c r="V589" s="29">
        <f>IF(OR(584&gt;$Z$1,NOT(OR('Your debts'!$B$14&lt;&gt;"",N('Your debts'!$C$14)&gt;0))),"",IF('Your debts'!$D$20="Avalanche",'Avalanche workings'!$T$591,'Snowball workings'!$T$591)+IF('Your debts'!$D$20="Avalanche",'Avalanche workings'!$AN$591,'Snowball workings'!$AN$591))</f>
      </c>
      <c r="W589" s="30">
        <f>IF(OR(584&gt;$Z$1,NOT(OR('Your debts'!$B$14&lt;&gt;"",N('Your debts'!$C$14)&gt;0))),"",IF('Your debts'!$D$20="Avalanche",'Avalanche workings'!$AX$591,'Snowball workings'!$AX$591))</f>
      </c>
      <c r="X589" s="29">
        <f>IF(OR(584&gt;$Z$1,NOT(OR('Your debts'!$B$15&lt;&gt;"",N('Your debts'!$C$15)&gt;0))),"",IF('Your debts'!$D$20="Avalanche",'Avalanche workings'!$U$591,'Snowball workings'!$U$591)+IF('Your debts'!$D$20="Avalanche",'Avalanche workings'!$AO$591,'Snowball workings'!$AO$591))</f>
      </c>
      <c r="Y589" s="30">
        <f>IF(OR(584&gt;$Z$1,NOT(OR('Your debts'!$B$15&lt;&gt;"",N('Your debts'!$C$15)&gt;0))),"",IF('Your debts'!$D$20="Avalanche",'Avalanche workings'!$AY$591,'Snowball workings'!$AY$591))</f>
      </c>
    </row>
    <row r="590" spans="1:25" x14ac:dyDescent="0.25">
      <c r="A590" s="2">
        <f>IF(585&gt;$Z$1,"",585)</f>
      </c>
      <c r="B590" s="28">
        <f>IF(585&gt;$Z$1,"",EDATE('Your debts'!$D$21,584))</f>
      </c>
      <c r="C590" s="29">
        <f>IF(585&gt;$Z$1,"",IF('Your debts'!$D$20="Avalanche",'Avalanche workings'!$BC$592,'Snowball workings'!$BC$592))</f>
      </c>
      <c r="D590" s="29">
        <f>IF(585&gt;$Z$1,"",IF('Your debts'!$D$20="Avalanche",'Avalanche workings'!$BA$592,'Snowball workings'!$BA$592))</f>
      </c>
      <c r="E590" s="29">
        <f>IF(585&gt;$Z$1,"",IF('Your debts'!$D$20="Avalanche",'Avalanche workings'!$BB$592,'Snowball workings'!$BB$592))</f>
      </c>
      <c r="F590" s="29">
        <f>IF(OR(585&gt;$Z$1,NOT(OR('Your debts'!$B$6&lt;&gt;"",N('Your debts'!$C$6)&gt;0))),"",IF('Your debts'!$D$20="Avalanche",'Avalanche workings'!$L$592,'Snowball workings'!$L$592)+IF('Your debts'!$D$20="Avalanche",'Avalanche workings'!$AF$592,'Snowball workings'!$AF$592))</f>
      </c>
      <c r="G590" s="30">
        <f>IF(OR(585&gt;$Z$1,NOT(OR('Your debts'!$B$6&lt;&gt;"",N('Your debts'!$C$6)&gt;0))),"",IF('Your debts'!$D$20="Avalanche",'Avalanche workings'!$AP$592,'Snowball workings'!$AP$592))</f>
      </c>
      <c r="H590" s="29">
        <f>IF(OR(585&gt;$Z$1,NOT(OR('Your debts'!$B$7&lt;&gt;"",N('Your debts'!$C$7)&gt;0))),"",IF('Your debts'!$D$20="Avalanche",'Avalanche workings'!$M$592,'Snowball workings'!$M$592)+IF('Your debts'!$D$20="Avalanche",'Avalanche workings'!$AG$592,'Snowball workings'!$AG$592))</f>
      </c>
      <c r="I590" s="30">
        <f>IF(OR(585&gt;$Z$1,NOT(OR('Your debts'!$B$7&lt;&gt;"",N('Your debts'!$C$7)&gt;0))),"",IF('Your debts'!$D$20="Avalanche",'Avalanche workings'!$AQ$592,'Snowball workings'!$AQ$592))</f>
      </c>
      <c r="J590" s="29">
        <f>IF(OR(585&gt;$Z$1,NOT(OR('Your debts'!$B$8&lt;&gt;"",N('Your debts'!$C$8)&gt;0))),"",IF('Your debts'!$D$20="Avalanche",'Avalanche workings'!$N$592,'Snowball workings'!$N$592)+IF('Your debts'!$D$20="Avalanche",'Avalanche workings'!$AH$592,'Snowball workings'!$AH$592))</f>
      </c>
      <c r="K590" s="30">
        <f>IF(OR(585&gt;$Z$1,NOT(OR('Your debts'!$B$8&lt;&gt;"",N('Your debts'!$C$8)&gt;0))),"",IF('Your debts'!$D$20="Avalanche",'Avalanche workings'!$AR$592,'Snowball workings'!$AR$592))</f>
      </c>
      <c r="L590" s="29">
        <f>IF(OR(585&gt;$Z$1,NOT(OR('Your debts'!$B$9&lt;&gt;"",N('Your debts'!$C$9)&gt;0))),"",IF('Your debts'!$D$20="Avalanche",'Avalanche workings'!$O$592,'Snowball workings'!$O$592)+IF('Your debts'!$D$20="Avalanche",'Avalanche workings'!$AI$592,'Snowball workings'!$AI$592))</f>
      </c>
      <c r="M590" s="30">
        <f>IF(OR(585&gt;$Z$1,NOT(OR('Your debts'!$B$9&lt;&gt;"",N('Your debts'!$C$9)&gt;0))),"",IF('Your debts'!$D$20="Avalanche",'Avalanche workings'!$AS$592,'Snowball workings'!$AS$592))</f>
      </c>
      <c r="N590" s="29">
        <f>IF(OR(585&gt;$Z$1,NOT(OR('Your debts'!$B$10&lt;&gt;"",N('Your debts'!$C$10)&gt;0))),"",IF('Your debts'!$D$20="Avalanche",'Avalanche workings'!$P$592,'Snowball workings'!$P$592)+IF('Your debts'!$D$20="Avalanche",'Avalanche workings'!$AJ$592,'Snowball workings'!$AJ$592))</f>
      </c>
      <c r="O590" s="30">
        <f>IF(OR(585&gt;$Z$1,NOT(OR('Your debts'!$B$10&lt;&gt;"",N('Your debts'!$C$10)&gt;0))),"",IF('Your debts'!$D$20="Avalanche",'Avalanche workings'!$AT$592,'Snowball workings'!$AT$592))</f>
      </c>
      <c r="P590" s="29">
        <f>IF(OR(585&gt;$Z$1,NOT(OR('Your debts'!$B$11&lt;&gt;"",N('Your debts'!$C$11)&gt;0))),"",IF('Your debts'!$D$20="Avalanche",'Avalanche workings'!$Q$592,'Snowball workings'!$Q$592)+IF('Your debts'!$D$20="Avalanche",'Avalanche workings'!$AK$592,'Snowball workings'!$AK$592))</f>
      </c>
      <c r="Q590" s="30">
        <f>IF(OR(585&gt;$Z$1,NOT(OR('Your debts'!$B$11&lt;&gt;"",N('Your debts'!$C$11)&gt;0))),"",IF('Your debts'!$D$20="Avalanche",'Avalanche workings'!$AU$592,'Snowball workings'!$AU$592))</f>
      </c>
      <c r="R590" s="29">
        <f>IF(OR(585&gt;$Z$1,NOT(OR('Your debts'!$B$12&lt;&gt;"",N('Your debts'!$C$12)&gt;0))),"",IF('Your debts'!$D$20="Avalanche",'Avalanche workings'!$R$592,'Snowball workings'!$R$592)+IF('Your debts'!$D$20="Avalanche",'Avalanche workings'!$AL$592,'Snowball workings'!$AL$592))</f>
      </c>
      <c r="S590" s="30">
        <f>IF(OR(585&gt;$Z$1,NOT(OR('Your debts'!$B$12&lt;&gt;"",N('Your debts'!$C$12)&gt;0))),"",IF('Your debts'!$D$20="Avalanche",'Avalanche workings'!$AV$592,'Snowball workings'!$AV$592))</f>
      </c>
      <c r="T590" s="29">
        <f>IF(OR(585&gt;$Z$1,NOT(OR('Your debts'!$B$13&lt;&gt;"",N('Your debts'!$C$13)&gt;0))),"",IF('Your debts'!$D$20="Avalanche",'Avalanche workings'!$S$592,'Snowball workings'!$S$592)+IF('Your debts'!$D$20="Avalanche",'Avalanche workings'!$AM$592,'Snowball workings'!$AM$592))</f>
      </c>
      <c r="U590" s="30">
        <f>IF(OR(585&gt;$Z$1,NOT(OR('Your debts'!$B$13&lt;&gt;"",N('Your debts'!$C$13)&gt;0))),"",IF('Your debts'!$D$20="Avalanche",'Avalanche workings'!$AW$592,'Snowball workings'!$AW$592))</f>
      </c>
      <c r="V590" s="29">
        <f>IF(OR(585&gt;$Z$1,NOT(OR('Your debts'!$B$14&lt;&gt;"",N('Your debts'!$C$14)&gt;0))),"",IF('Your debts'!$D$20="Avalanche",'Avalanche workings'!$T$592,'Snowball workings'!$T$592)+IF('Your debts'!$D$20="Avalanche",'Avalanche workings'!$AN$592,'Snowball workings'!$AN$592))</f>
      </c>
      <c r="W590" s="30">
        <f>IF(OR(585&gt;$Z$1,NOT(OR('Your debts'!$B$14&lt;&gt;"",N('Your debts'!$C$14)&gt;0))),"",IF('Your debts'!$D$20="Avalanche",'Avalanche workings'!$AX$592,'Snowball workings'!$AX$592))</f>
      </c>
      <c r="X590" s="29">
        <f>IF(OR(585&gt;$Z$1,NOT(OR('Your debts'!$B$15&lt;&gt;"",N('Your debts'!$C$15)&gt;0))),"",IF('Your debts'!$D$20="Avalanche",'Avalanche workings'!$U$592,'Snowball workings'!$U$592)+IF('Your debts'!$D$20="Avalanche",'Avalanche workings'!$AO$592,'Snowball workings'!$AO$592))</f>
      </c>
      <c r="Y590" s="30">
        <f>IF(OR(585&gt;$Z$1,NOT(OR('Your debts'!$B$15&lt;&gt;"",N('Your debts'!$C$15)&gt;0))),"",IF('Your debts'!$D$20="Avalanche",'Avalanche workings'!$AY$592,'Snowball workings'!$AY$592))</f>
      </c>
    </row>
    <row r="591" spans="1:25" x14ac:dyDescent="0.25">
      <c r="A591" s="2">
        <f>IF(586&gt;$Z$1,"",586)</f>
      </c>
      <c r="B591" s="28">
        <f>IF(586&gt;$Z$1,"",EDATE('Your debts'!$D$21,585))</f>
      </c>
      <c r="C591" s="29">
        <f>IF(586&gt;$Z$1,"",IF('Your debts'!$D$20="Avalanche",'Avalanche workings'!$BC$593,'Snowball workings'!$BC$593))</f>
      </c>
      <c r="D591" s="29">
        <f>IF(586&gt;$Z$1,"",IF('Your debts'!$D$20="Avalanche",'Avalanche workings'!$BA$593,'Snowball workings'!$BA$593))</f>
      </c>
      <c r="E591" s="29">
        <f>IF(586&gt;$Z$1,"",IF('Your debts'!$D$20="Avalanche",'Avalanche workings'!$BB$593,'Snowball workings'!$BB$593))</f>
      </c>
      <c r="F591" s="29">
        <f>IF(OR(586&gt;$Z$1,NOT(OR('Your debts'!$B$6&lt;&gt;"",N('Your debts'!$C$6)&gt;0))),"",IF('Your debts'!$D$20="Avalanche",'Avalanche workings'!$L$593,'Snowball workings'!$L$593)+IF('Your debts'!$D$20="Avalanche",'Avalanche workings'!$AF$593,'Snowball workings'!$AF$593))</f>
      </c>
      <c r="G591" s="30">
        <f>IF(OR(586&gt;$Z$1,NOT(OR('Your debts'!$B$6&lt;&gt;"",N('Your debts'!$C$6)&gt;0))),"",IF('Your debts'!$D$20="Avalanche",'Avalanche workings'!$AP$593,'Snowball workings'!$AP$593))</f>
      </c>
      <c r="H591" s="29">
        <f>IF(OR(586&gt;$Z$1,NOT(OR('Your debts'!$B$7&lt;&gt;"",N('Your debts'!$C$7)&gt;0))),"",IF('Your debts'!$D$20="Avalanche",'Avalanche workings'!$M$593,'Snowball workings'!$M$593)+IF('Your debts'!$D$20="Avalanche",'Avalanche workings'!$AG$593,'Snowball workings'!$AG$593))</f>
      </c>
      <c r="I591" s="30">
        <f>IF(OR(586&gt;$Z$1,NOT(OR('Your debts'!$B$7&lt;&gt;"",N('Your debts'!$C$7)&gt;0))),"",IF('Your debts'!$D$20="Avalanche",'Avalanche workings'!$AQ$593,'Snowball workings'!$AQ$593))</f>
      </c>
      <c r="J591" s="29">
        <f>IF(OR(586&gt;$Z$1,NOT(OR('Your debts'!$B$8&lt;&gt;"",N('Your debts'!$C$8)&gt;0))),"",IF('Your debts'!$D$20="Avalanche",'Avalanche workings'!$N$593,'Snowball workings'!$N$593)+IF('Your debts'!$D$20="Avalanche",'Avalanche workings'!$AH$593,'Snowball workings'!$AH$593))</f>
      </c>
      <c r="K591" s="30">
        <f>IF(OR(586&gt;$Z$1,NOT(OR('Your debts'!$B$8&lt;&gt;"",N('Your debts'!$C$8)&gt;0))),"",IF('Your debts'!$D$20="Avalanche",'Avalanche workings'!$AR$593,'Snowball workings'!$AR$593))</f>
      </c>
      <c r="L591" s="29">
        <f>IF(OR(586&gt;$Z$1,NOT(OR('Your debts'!$B$9&lt;&gt;"",N('Your debts'!$C$9)&gt;0))),"",IF('Your debts'!$D$20="Avalanche",'Avalanche workings'!$O$593,'Snowball workings'!$O$593)+IF('Your debts'!$D$20="Avalanche",'Avalanche workings'!$AI$593,'Snowball workings'!$AI$593))</f>
      </c>
      <c r="M591" s="30">
        <f>IF(OR(586&gt;$Z$1,NOT(OR('Your debts'!$B$9&lt;&gt;"",N('Your debts'!$C$9)&gt;0))),"",IF('Your debts'!$D$20="Avalanche",'Avalanche workings'!$AS$593,'Snowball workings'!$AS$593))</f>
      </c>
      <c r="N591" s="29">
        <f>IF(OR(586&gt;$Z$1,NOT(OR('Your debts'!$B$10&lt;&gt;"",N('Your debts'!$C$10)&gt;0))),"",IF('Your debts'!$D$20="Avalanche",'Avalanche workings'!$P$593,'Snowball workings'!$P$593)+IF('Your debts'!$D$20="Avalanche",'Avalanche workings'!$AJ$593,'Snowball workings'!$AJ$593))</f>
      </c>
      <c r="O591" s="30">
        <f>IF(OR(586&gt;$Z$1,NOT(OR('Your debts'!$B$10&lt;&gt;"",N('Your debts'!$C$10)&gt;0))),"",IF('Your debts'!$D$20="Avalanche",'Avalanche workings'!$AT$593,'Snowball workings'!$AT$593))</f>
      </c>
      <c r="P591" s="29">
        <f>IF(OR(586&gt;$Z$1,NOT(OR('Your debts'!$B$11&lt;&gt;"",N('Your debts'!$C$11)&gt;0))),"",IF('Your debts'!$D$20="Avalanche",'Avalanche workings'!$Q$593,'Snowball workings'!$Q$593)+IF('Your debts'!$D$20="Avalanche",'Avalanche workings'!$AK$593,'Snowball workings'!$AK$593))</f>
      </c>
      <c r="Q591" s="30">
        <f>IF(OR(586&gt;$Z$1,NOT(OR('Your debts'!$B$11&lt;&gt;"",N('Your debts'!$C$11)&gt;0))),"",IF('Your debts'!$D$20="Avalanche",'Avalanche workings'!$AU$593,'Snowball workings'!$AU$593))</f>
      </c>
      <c r="R591" s="29">
        <f>IF(OR(586&gt;$Z$1,NOT(OR('Your debts'!$B$12&lt;&gt;"",N('Your debts'!$C$12)&gt;0))),"",IF('Your debts'!$D$20="Avalanche",'Avalanche workings'!$R$593,'Snowball workings'!$R$593)+IF('Your debts'!$D$20="Avalanche",'Avalanche workings'!$AL$593,'Snowball workings'!$AL$593))</f>
      </c>
      <c r="S591" s="30">
        <f>IF(OR(586&gt;$Z$1,NOT(OR('Your debts'!$B$12&lt;&gt;"",N('Your debts'!$C$12)&gt;0))),"",IF('Your debts'!$D$20="Avalanche",'Avalanche workings'!$AV$593,'Snowball workings'!$AV$593))</f>
      </c>
      <c r="T591" s="29">
        <f>IF(OR(586&gt;$Z$1,NOT(OR('Your debts'!$B$13&lt;&gt;"",N('Your debts'!$C$13)&gt;0))),"",IF('Your debts'!$D$20="Avalanche",'Avalanche workings'!$S$593,'Snowball workings'!$S$593)+IF('Your debts'!$D$20="Avalanche",'Avalanche workings'!$AM$593,'Snowball workings'!$AM$593))</f>
      </c>
      <c r="U591" s="30">
        <f>IF(OR(586&gt;$Z$1,NOT(OR('Your debts'!$B$13&lt;&gt;"",N('Your debts'!$C$13)&gt;0))),"",IF('Your debts'!$D$20="Avalanche",'Avalanche workings'!$AW$593,'Snowball workings'!$AW$593))</f>
      </c>
      <c r="V591" s="29">
        <f>IF(OR(586&gt;$Z$1,NOT(OR('Your debts'!$B$14&lt;&gt;"",N('Your debts'!$C$14)&gt;0))),"",IF('Your debts'!$D$20="Avalanche",'Avalanche workings'!$T$593,'Snowball workings'!$T$593)+IF('Your debts'!$D$20="Avalanche",'Avalanche workings'!$AN$593,'Snowball workings'!$AN$593))</f>
      </c>
      <c r="W591" s="30">
        <f>IF(OR(586&gt;$Z$1,NOT(OR('Your debts'!$B$14&lt;&gt;"",N('Your debts'!$C$14)&gt;0))),"",IF('Your debts'!$D$20="Avalanche",'Avalanche workings'!$AX$593,'Snowball workings'!$AX$593))</f>
      </c>
      <c r="X591" s="29">
        <f>IF(OR(586&gt;$Z$1,NOT(OR('Your debts'!$B$15&lt;&gt;"",N('Your debts'!$C$15)&gt;0))),"",IF('Your debts'!$D$20="Avalanche",'Avalanche workings'!$U$593,'Snowball workings'!$U$593)+IF('Your debts'!$D$20="Avalanche",'Avalanche workings'!$AO$593,'Snowball workings'!$AO$593))</f>
      </c>
      <c r="Y591" s="30">
        <f>IF(OR(586&gt;$Z$1,NOT(OR('Your debts'!$B$15&lt;&gt;"",N('Your debts'!$C$15)&gt;0))),"",IF('Your debts'!$D$20="Avalanche",'Avalanche workings'!$AY$593,'Snowball workings'!$AY$593))</f>
      </c>
    </row>
    <row r="592" spans="1:25" x14ac:dyDescent="0.25">
      <c r="A592" s="2">
        <f>IF(587&gt;$Z$1,"",587)</f>
      </c>
      <c r="B592" s="28">
        <f>IF(587&gt;$Z$1,"",EDATE('Your debts'!$D$21,586))</f>
      </c>
      <c r="C592" s="29">
        <f>IF(587&gt;$Z$1,"",IF('Your debts'!$D$20="Avalanche",'Avalanche workings'!$BC$594,'Snowball workings'!$BC$594))</f>
      </c>
      <c r="D592" s="29">
        <f>IF(587&gt;$Z$1,"",IF('Your debts'!$D$20="Avalanche",'Avalanche workings'!$BA$594,'Snowball workings'!$BA$594))</f>
      </c>
      <c r="E592" s="29">
        <f>IF(587&gt;$Z$1,"",IF('Your debts'!$D$20="Avalanche",'Avalanche workings'!$BB$594,'Snowball workings'!$BB$594))</f>
      </c>
      <c r="F592" s="29">
        <f>IF(OR(587&gt;$Z$1,NOT(OR('Your debts'!$B$6&lt;&gt;"",N('Your debts'!$C$6)&gt;0))),"",IF('Your debts'!$D$20="Avalanche",'Avalanche workings'!$L$594,'Snowball workings'!$L$594)+IF('Your debts'!$D$20="Avalanche",'Avalanche workings'!$AF$594,'Snowball workings'!$AF$594))</f>
      </c>
      <c r="G592" s="30">
        <f>IF(OR(587&gt;$Z$1,NOT(OR('Your debts'!$B$6&lt;&gt;"",N('Your debts'!$C$6)&gt;0))),"",IF('Your debts'!$D$20="Avalanche",'Avalanche workings'!$AP$594,'Snowball workings'!$AP$594))</f>
      </c>
      <c r="H592" s="29">
        <f>IF(OR(587&gt;$Z$1,NOT(OR('Your debts'!$B$7&lt;&gt;"",N('Your debts'!$C$7)&gt;0))),"",IF('Your debts'!$D$20="Avalanche",'Avalanche workings'!$M$594,'Snowball workings'!$M$594)+IF('Your debts'!$D$20="Avalanche",'Avalanche workings'!$AG$594,'Snowball workings'!$AG$594))</f>
      </c>
      <c r="I592" s="30">
        <f>IF(OR(587&gt;$Z$1,NOT(OR('Your debts'!$B$7&lt;&gt;"",N('Your debts'!$C$7)&gt;0))),"",IF('Your debts'!$D$20="Avalanche",'Avalanche workings'!$AQ$594,'Snowball workings'!$AQ$594))</f>
      </c>
      <c r="J592" s="29">
        <f>IF(OR(587&gt;$Z$1,NOT(OR('Your debts'!$B$8&lt;&gt;"",N('Your debts'!$C$8)&gt;0))),"",IF('Your debts'!$D$20="Avalanche",'Avalanche workings'!$N$594,'Snowball workings'!$N$594)+IF('Your debts'!$D$20="Avalanche",'Avalanche workings'!$AH$594,'Snowball workings'!$AH$594))</f>
      </c>
      <c r="K592" s="30">
        <f>IF(OR(587&gt;$Z$1,NOT(OR('Your debts'!$B$8&lt;&gt;"",N('Your debts'!$C$8)&gt;0))),"",IF('Your debts'!$D$20="Avalanche",'Avalanche workings'!$AR$594,'Snowball workings'!$AR$594))</f>
      </c>
      <c r="L592" s="29">
        <f>IF(OR(587&gt;$Z$1,NOT(OR('Your debts'!$B$9&lt;&gt;"",N('Your debts'!$C$9)&gt;0))),"",IF('Your debts'!$D$20="Avalanche",'Avalanche workings'!$O$594,'Snowball workings'!$O$594)+IF('Your debts'!$D$20="Avalanche",'Avalanche workings'!$AI$594,'Snowball workings'!$AI$594))</f>
      </c>
      <c r="M592" s="30">
        <f>IF(OR(587&gt;$Z$1,NOT(OR('Your debts'!$B$9&lt;&gt;"",N('Your debts'!$C$9)&gt;0))),"",IF('Your debts'!$D$20="Avalanche",'Avalanche workings'!$AS$594,'Snowball workings'!$AS$594))</f>
      </c>
      <c r="N592" s="29">
        <f>IF(OR(587&gt;$Z$1,NOT(OR('Your debts'!$B$10&lt;&gt;"",N('Your debts'!$C$10)&gt;0))),"",IF('Your debts'!$D$20="Avalanche",'Avalanche workings'!$P$594,'Snowball workings'!$P$594)+IF('Your debts'!$D$20="Avalanche",'Avalanche workings'!$AJ$594,'Snowball workings'!$AJ$594))</f>
      </c>
      <c r="O592" s="30">
        <f>IF(OR(587&gt;$Z$1,NOT(OR('Your debts'!$B$10&lt;&gt;"",N('Your debts'!$C$10)&gt;0))),"",IF('Your debts'!$D$20="Avalanche",'Avalanche workings'!$AT$594,'Snowball workings'!$AT$594))</f>
      </c>
      <c r="P592" s="29">
        <f>IF(OR(587&gt;$Z$1,NOT(OR('Your debts'!$B$11&lt;&gt;"",N('Your debts'!$C$11)&gt;0))),"",IF('Your debts'!$D$20="Avalanche",'Avalanche workings'!$Q$594,'Snowball workings'!$Q$594)+IF('Your debts'!$D$20="Avalanche",'Avalanche workings'!$AK$594,'Snowball workings'!$AK$594))</f>
      </c>
      <c r="Q592" s="30">
        <f>IF(OR(587&gt;$Z$1,NOT(OR('Your debts'!$B$11&lt;&gt;"",N('Your debts'!$C$11)&gt;0))),"",IF('Your debts'!$D$20="Avalanche",'Avalanche workings'!$AU$594,'Snowball workings'!$AU$594))</f>
      </c>
      <c r="R592" s="29">
        <f>IF(OR(587&gt;$Z$1,NOT(OR('Your debts'!$B$12&lt;&gt;"",N('Your debts'!$C$12)&gt;0))),"",IF('Your debts'!$D$20="Avalanche",'Avalanche workings'!$R$594,'Snowball workings'!$R$594)+IF('Your debts'!$D$20="Avalanche",'Avalanche workings'!$AL$594,'Snowball workings'!$AL$594))</f>
      </c>
      <c r="S592" s="30">
        <f>IF(OR(587&gt;$Z$1,NOT(OR('Your debts'!$B$12&lt;&gt;"",N('Your debts'!$C$12)&gt;0))),"",IF('Your debts'!$D$20="Avalanche",'Avalanche workings'!$AV$594,'Snowball workings'!$AV$594))</f>
      </c>
      <c r="T592" s="29">
        <f>IF(OR(587&gt;$Z$1,NOT(OR('Your debts'!$B$13&lt;&gt;"",N('Your debts'!$C$13)&gt;0))),"",IF('Your debts'!$D$20="Avalanche",'Avalanche workings'!$S$594,'Snowball workings'!$S$594)+IF('Your debts'!$D$20="Avalanche",'Avalanche workings'!$AM$594,'Snowball workings'!$AM$594))</f>
      </c>
      <c r="U592" s="30">
        <f>IF(OR(587&gt;$Z$1,NOT(OR('Your debts'!$B$13&lt;&gt;"",N('Your debts'!$C$13)&gt;0))),"",IF('Your debts'!$D$20="Avalanche",'Avalanche workings'!$AW$594,'Snowball workings'!$AW$594))</f>
      </c>
      <c r="V592" s="29">
        <f>IF(OR(587&gt;$Z$1,NOT(OR('Your debts'!$B$14&lt;&gt;"",N('Your debts'!$C$14)&gt;0))),"",IF('Your debts'!$D$20="Avalanche",'Avalanche workings'!$T$594,'Snowball workings'!$T$594)+IF('Your debts'!$D$20="Avalanche",'Avalanche workings'!$AN$594,'Snowball workings'!$AN$594))</f>
      </c>
      <c r="W592" s="30">
        <f>IF(OR(587&gt;$Z$1,NOT(OR('Your debts'!$B$14&lt;&gt;"",N('Your debts'!$C$14)&gt;0))),"",IF('Your debts'!$D$20="Avalanche",'Avalanche workings'!$AX$594,'Snowball workings'!$AX$594))</f>
      </c>
      <c r="X592" s="29">
        <f>IF(OR(587&gt;$Z$1,NOT(OR('Your debts'!$B$15&lt;&gt;"",N('Your debts'!$C$15)&gt;0))),"",IF('Your debts'!$D$20="Avalanche",'Avalanche workings'!$U$594,'Snowball workings'!$U$594)+IF('Your debts'!$D$20="Avalanche",'Avalanche workings'!$AO$594,'Snowball workings'!$AO$594))</f>
      </c>
      <c r="Y592" s="30">
        <f>IF(OR(587&gt;$Z$1,NOT(OR('Your debts'!$B$15&lt;&gt;"",N('Your debts'!$C$15)&gt;0))),"",IF('Your debts'!$D$20="Avalanche",'Avalanche workings'!$AY$594,'Snowball workings'!$AY$594))</f>
      </c>
    </row>
    <row r="593" spans="1:25" x14ac:dyDescent="0.25">
      <c r="A593" s="2">
        <f>IF(588&gt;$Z$1,"",588)</f>
      </c>
      <c r="B593" s="28">
        <f>IF(588&gt;$Z$1,"",EDATE('Your debts'!$D$21,587))</f>
      </c>
      <c r="C593" s="29">
        <f>IF(588&gt;$Z$1,"",IF('Your debts'!$D$20="Avalanche",'Avalanche workings'!$BC$595,'Snowball workings'!$BC$595))</f>
      </c>
      <c r="D593" s="29">
        <f>IF(588&gt;$Z$1,"",IF('Your debts'!$D$20="Avalanche",'Avalanche workings'!$BA$595,'Snowball workings'!$BA$595))</f>
      </c>
      <c r="E593" s="29">
        <f>IF(588&gt;$Z$1,"",IF('Your debts'!$D$20="Avalanche",'Avalanche workings'!$BB$595,'Snowball workings'!$BB$595))</f>
      </c>
      <c r="F593" s="29">
        <f>IF(OR(588&gt;$Z$1,NOT(OR('Your debts'!$B$6&lt;&gt;"",N('Your debts'!$C$6)&gt;0))),"",IF('Your debts'!$D$20="Avalanche",'Avalanche workings'!$L$595,'Snowball workings'!$L$595)+IF('Your debts'!$D$20="Avalanche",'Avalanche workings'!$AF$595,'Snowball workings'!$AF$595))</f>
      </c>
      <c r="G593" s="30">
        <f>IF(OR(588&gt;$Z$1,NOT(OR('Your debts'!$B$6&lt;&gt;"",N('Your debts'!$C$6)&gt;0))),"",IF('Your debts'!$D$20="Avalanche",'Avalanche workings'!$AP$595,'Snowball workings'!$AP$595))</f>
      </c>
      <c r="H593" s="29">
        <f>IF(OR(588&gt;$Z$1,NOT(OR('Your debts'!$B$7&lt;&gt;"",N('Your debts'!$C$7)&gt;0))),"",IF('Your debts'!$D$20="Avalanche",'Avalanche workings'!$M$595,'Snowball workings'!$M$595)+IF('Your debts'!$D$20="Avalanche",'Avalanche workings'!$AG$595,'Snowball workings'!$AG$595))</f>
      </c>
      <c r="I593" s="30">
        <f>IF(OR(588&gt;$Z$1,NOT(OR('Your debts'!$B$7&lt;&gt;"",N('Your debts'!$C$7)&gt;0))),"",IF('Your debts'!$D$20="Avalanche",'Avalanche workings'!$AQ$595,'Snowball workings'!$AQ$595))</f>
      </c>
      <c r="J593" s="29">
        <f>IF(OR(588&gt;$Z$1,NOT(OR('Your debts'!$B$8&lt;&gt;"",N('Your debts'!$C$8)&gt;0))),"",IF('Your debts'!$D$20="Avalanche",'Avalanche workings'!$N$595,'Snowball workings'!$N$595)+IF('Your debts'!$D$20="Avalanche",'Avalanche workings'!$AH$595,'Snowball workings'!$AH$595))</f>
      </c>
      <c r="K593" s="30">
        <f>IF(OR(588&gt;$Z$1,NOT(OR('Your debts'!$B$8&lt;&gt;"",N('Your debts'!$C$8)&gt;0))),"",IF('Your debts'!$D$20="Avalanche",'Avalanche workings'!$AR$595,'Snowball workings'!$AR$595))</f>
      </c>
      <c r="L593" s="29">
        <f>IF(OR(588&gt;$Z$1,NOT(OR('Your debts'!$B$9&lt;&gt;"",N('Your debts'!$C$9)&gt;0))),"",IF('Your debts'!$D$20="Avalanche",'Avalanche workings'!$O$595,'Snowball workings'!$O$595)+IF('Your debts'!$D$20="Avalanche",'Avalanche workings'!$AI$595,'Snowball workings'!$AI$595))</f>
      </c>
      <c r="M593" s="30">
        <f>IF(OR(588&gt;$Z$1,NOT(OR('Your debts'!$B$9&lt;&gt;"",N('Your debts'!$C$9)&gt;0))),"",IF('Your debts'!$D$20="Avalanche",'Avalanche workings'!$AS$595,'Snowball workings'!$AS$595))</f>
      </c>
      <c r="N593" s="29">
        <f>IF(OR(588&gt;$Z$1,NOT(OR('Your debts'!$B$10&lt;&gt;"",N('Your debts'!$C$10)&gt;0))),"",IF('Your debts'!$D$20="Avalanche",'Avalanche workings'!$P$595,'Snowball workings'!$P$595)+IF('Your debts'!$D$20="Avalanche",'Avalanche workings'!$AJ$595,'Snowball workings'!$AJ$595))</f>
      </c>
      <c r="O593" s="30">
        <f>IF(OR(588&gt;$Z$1,NOT(OR('Your debts'!$B$10&lt;&gt;"",N('Your debts'!$C$10)&gt;0))),"",IF('Your debts'!$D$20="Avalanche",'Avalanche workings'!$AT$595,'Snowball workings'!$AT$595))</f>
      </c>
      <c r="P593" s="29">
        <f>IF(OR(588&gt;$Z$1,NOT(OR('Your debts'!$B$11&lt;&gt;"",N('Your debts'!$C$11)&gt;0))),"",IF('Your debts'!$D$20="Avalanche",'Avalanche workings'!$Q$595,'Snowball workings'!$Q$595)+IF('Your debts'!$D$20="Avalanche",'Avalanche workings'!$AK$595,'Snowball workings'!$AK$595))</f>
      </c>
      <c r="Q593" s="30">
        <f>IF(OR(588&gt;$Z$1,NOT(OR('Your debts'!$B$11&lt;&gt;"",N('Your debts'!$C$11)&gt;0))),"",IF('Your debts'!$D$20="Avalanche",'Avalanche workings'!$AU$595,'Snowball workings'!$AU$595))</f>
      </c>
      <c r="R593" s="29">
        <f>IF(OR(588&gt;$Z$1,NOT(OR('Your debts'!$B$12&lt;&gt;"",N('Your debts'!$C$12)&gt;0))),"",IF('Your debts'!$D$20="Avalanche",'Avalanche workings'!$R$595,'Snowball workings'!$R$595)+IF('Your debts'!$D$20="Avalanche",'Avalanche workings'!$AL$595,'Snowball workings'!$AL$595))</f>
      </c>
      <c r="S593" s="30">
        <f>IF(OR(588&gt;$Z$1,NOT(OR('Your debts'!$B$12&lt;&gt;"",N('Your debts'!$C$12)&gt;0))),"",IF('Your debts'!$D$20="Avalanche",'Avalanche workings'!$AV$595,'Snowball workings'!$AV$595))</f>
      </c>
      <c r="T593" s="29">
        <f>IF(OR(588&gt;$Z$1,NOT(OR('Your debts'!$B$13&lt;&gt;"",N('Your debts'!$C$13)&gt;0))),"",IF('Your debts'!$D$20="Avalanche",'Avalanche workings'!$S$595,'Snowball workings'!$S$595)+IF('Your debts'!$D$20="Avalanche",'Avalanche workings'!$AM$595,'Snowball workings'!$AM$595))</f>
      </c>
      <c r="U593" s="30">
        <f>IF(OR(588&gt;$Z$1,NOT(OR('Your debts'!$B$13&lt;&gt;"",N('Your debts'!$C$13)&gt;0))),"",IF('Your debts'!$D$20="Avalanche",'Avalanche workings'!$AW$595,'Snowball workings'!$AW$595))</f>
      </c>
      <c r="V593" s="29">
        <f>IF(OR(588&gt;$Z$1,NOT(OR('Your debts'!$B$14&lt;&gt;"",N('Your debts'!$C$14)&gt;0))),"",IF('Your debts'!$D$20="Avalanche",'Avalanche workings'!$T$595,'Snowball workings'!$T$595)+IF('Your debts'!$D$20="Avalanche",'Avalanche workings'!$AN$595,'Snowball workings'!$AN$595))</f>
      </c>
      <c r="W593" s="30">
        <f>IF(OR(588&gt;$Z$1,NOT(OR('Your debts'!$B$14&lt;&gt;"",N('Your debts'!$C$14)&gt;0))),"",IF('Your debts'!$D$20="Avalanche",'Avalanche workings'!$AX$595,'Snowball workings'!$AX$595))</f>
      </c>
      <c r="X593" s="29">
        <f>IF(OR(588&gt;$Z$1,NOT(OR('Your debts'!$B$15&lt;&gt;"",N('Your debts'!$C$15)&gt;0))),"",IF('Your debts'!$D$20="Avalanche",'Avalanche workings'!$U$595,'Snowball workings'!$U$595)+IF('Your debts'!$D$20="Avalanche",'Avalanche workings'!$AO$595,'Snowball workings'!$AO$595))</f>
      </c>
      <c r="Y593" s="30">
        <f>IF(OR(588&gt;$Z$1,NOT(OR('Your debts'!$B$15&lt;&gt;"",N('Your debts'!$C$15)&gt;0))),"",IF('Your debts'!$D$20="Avalanche",'Avalanche workings'!$AY$595,'Snowball workings'!$AY$595))</f>
      </c>
    </row>
    <row r="594" spans="1:25" x14ac:dyDescent="0.25">
      <c r="A594" s="2">
        <f>IF(589&gt;$Z$1,"",589)</f>
      </c>
      <c r="B594" s="28">
        <f>IF(589&gt;$Z$1,"",EDATE('Your debts'!$D$21,588))</f>
      </c>
      <c r="C594" s="29">
        <f>IF(589&gt;$Z$1,"",IF('Your debts'!$D$20="Avalanche",'Avalanche workings'!$BC$596,'Snowball workings'!$BC$596))</f>
      </c>
      <c r="D594" s="29">
        <f>IF(589&gt;$Z$1,"",IF('Your debts'!$D$20="Avalanche",'Avalanche workings'!$BA$596,'Snowball workings'!$BA$596))</f>
      </c>
      <c r="E594" s="29">
        <f>IF(589&gt;$Z$1,"",IF('Your debts'!$D$20="Avalanche",'Avalanche workings'!$BB$596,'Snowball workings'!$BB$596))</f>
      </c>
      <c r="F594" s="29">
        <f>IF(OR(589&gt;$Z$1,NOT(OR('Your debts'!$B$6&lt;&gt;"",N('Your debts'!$C$6)&gt;0))),"",IF('Your debts'!$D$20="Avalanche",'Avalanche workings'!$L$596,'Snowball workings'!$L$596)+IF('Your debts'!$D$20="Avalanche",'Avalanche workings'!$AF$596,'Snowball workings'!$AF$596))</f>
      </c>
      <c r="G594" s="30">
        <f>IF(OR(589&gt;$Z$1,NOT(OR('Your debts'!$B$6&lt;&gt;"",N('Your debts'!$C$6)&gt;0))),"",IF('Your debts'!$D$20="Avalanche",'Avalanche workings'!$AP$596,'Snowball workings'!$AP$596))</f>
      </c>
      <c r="H594" s="29">
        <f>IF(OR(589&gt;$Z$1,NOT(OR('Your debts'!$B$7&lt;&gt;"",N('Your debts'!$C$7)&gt;0))),"",IF('Your debts'!$D$20="Avalanche",'Avalanche workings'!$M$596,'Snowball workings'!$M$596)+IF('Your debts'!$D$20="Avalanche",'Avalanche workings'!$AG$596,'Snowball workings'!$AG$596))</f>
      </c>
      <c r="I594" s="30">
        <f>IF(OR(589&gt;$Z$1,NOT(OR('Your debts'!$B$7&lt;&gt;"",N('Your debts'!$C$7)&gt;0))),"",IF('Your debts'!$D$20="Avalanche",'Avalanche workings'!$AQ$596,'Snowball workings'!$AQ$596))</f>
      </c>
      <c r="J594" s="29">
        <f>IF(OR(589&gt;$Z$1,NOT(OR('Your debts'!$B$8&lt;&gt;"",N('Your debts'!$C$8)&gt;0))),"",IF('Your debts'!$D$20="Avalanche",'Avalanche workings'!$N$596,'Snowball workings'!$N$596)+IF('Your debts'!$D$20="Avalanche",'Avalanche workings'!$AH$596,'Snowball workings'!$AH$596))</f>
      </c>
      <c r="K594" s="30">
        <f>IF(OR(589&gt;$Z$1,NOT(OR('Your debts'!$B$8&lt;&gt;"",N('Your debts'!$C$8)&gt;0))),"",IF('Your debts'!$D$20="Avalanche",'Avalanche workings'!$AR$596,'Snowball workings'!$AR$596))</f>
      </c>
      <c r="L594" s="29">
        <f>IF(OR(589&gt;$Z$1,NOT(OR('Your debts'!$B$9&lt;&gt;"",N('Your debts'!$C$9)&gt;0))),"",IF('Your debts'!$D$20="Avalanche",'Avalanche workings'!$O$596,'Snowball workings'!$O$596)+IF('Your debts'!$D$20="Avalanche",'Avalanche workings'!$AI$596,'Snowball workings'!$AI$596))</f>
      </c>
      <c r="M594" s="30">
        <f>IF(OR(589&gt;$Z$1,NOT(OR('Your debts'!$B$9&lt;&gt;"",N('Your debts'!$C$9)&gt;0))),"",IF('Your debts'!$D$20="Avalanche",'Avalanche workings'!$AS$596,'Snowball workings'!$AS$596))</f>
      </c>
      <c r="N594" s="29">
        <f>IF(OR(589&gt;$Z$1,NOT(OR('Your debts'!$B$10&lt;&gt;"",N('Your debts'!$C$10)&gt;0))),"",IF('Your debts'!$D$20="Avalanche",'Avalanche workings'!$P$596,'Snowball workings'!$P$596)+IF('Your debts'!$D$20="Avalanche",'Avalanche workings'!$AJ$596,'Snowball workings'!$AJ$596))</f>
      </c>
      <c r="O594" s="30">
        <f>IF(OR(589&gt;$Z$1,NOT(OR('Your debts'!$B$10&lt;&gt;"",N('Your debts'!$C$10)&gt;0))),"",IF('Your debts'!$D$20="Avalanche",'Avalanche workings'!$AT$596,'Snowball workings'!$AT$596))</f>
      </c>
      <c r="P594" s="29">
        <f>IF(OR(589&gt;$Z$1,NOT(OR('Your debts'!$B$11&lt;&gt;"",N('Your debts'!$C$11)&gt;0))),"",IF('Your debts'!$D$20="Avalanche",'Avalanche workings'!$Q$596,'Snowball workings'!$Q$596)+IF('Your debts'!$D$20="Avalanche",'Avalanche workings'!$AK$596,'Snowball workings'!$AK$596))</f>
      </c>
      <c r="Q594" s="30">
        <f>IF(OR(589&gt;$Z$1,NOT(OR('Your debts'!$B$11&lt;&gt;"",N('Your debts'!$C$11)&gt;0))),"",IF('Your debts'!$D$20="Avalanche",'Avalanche workings'!$AU$596,'Snowball workings'!$AU$596))</f>
      </c>
      <c r="R594" s="29">
        <f>IF(OR(589&gt;$Z$1,NOT(OR('Your debts'!$B$12&lt;&gt;"",N('Your debts'!$C$12)&gt;0))),"",IF('Your debts'!$D$20="Avalanche",'Avalanche workings'!$R$596,'Snowball workings'!$R$596)+IF('Your debts'!$D$20="Avalanche",'Avalanche workings'!$AL$596,'Snowball workings'!$AL$596))</f>
      </c>
      <c r="S594" s="30">
        <f>IF(OR(589&gt;$Z$1,NOT(OR('Your debts'!$B$12&lt;&gt;"",N('Your debts'!$C$12)&gt;0))),"",IF('Your debts'!$D$20="Avalanche",'Avalanche workings'!$AV$596,'Snowball workings'!$AV$596))</f>
      </c>
      <c r="T594" s="29">
        <f>IF(OR(589&gt;$Z$1,NOT(OR('Your debts'!$B$13&lt;&gt;"",N('Your debts'!$C$13)&gt;0))),"",IF('Your debts'!$D$20="Avalanche",'Avalanche workings'!$S$596,'Snowball workings'!$S$596)+IF('Your debts'!$D$20="Avalanche",'Avalanche workings'!$AM$596,'Snowball workings'!$AM$596))</f>
      </c>
      <c r="U594" s="30">
        <f>IF(OR(589&gt;$Z$1,NOT(OR('Your debts'!$B$13&lt;&gt;"",N('Your debts'!$C$13)&gt;0))),"",IF('Your debts'!$D$20="Avalanche",'Avalanche workings'!$AW$596,'Snowball workings'!$AW$596))</f>
      </c>
      <c r="V594" s="29">
        <f>IF(OR(589&gt;$Z$1,NOT(OR('Your debts'!$B$14&lt;&gt;"",N('Your debts'!$C$14)&gt;0))),"",IF('Your debts'!$D$20="Avalanche",'Avalanche workings'!$T$596,'Snowball workings'!$T$596)+IF('Your debts'!$D$20="Avalanche",'Avalanche workings'!$AN$596,'Snowball workings'!$AN$596))</f>
      </c>
      <c r="W594" s="30">
        <f>IF(OR(589&gt;$Z$1,NOT(OR('Your debts'!$B$14&lt;&gt;"",N('Your debts'!$C$14)&gt;0))),"",IF('Your debts'!$D$20="Avalanche",'Avalanche workings'!$AX$596,'Snowball workings'!$AX$596))</f>
      </c>
      <c r="X594" s="29">
        <f>IF(OR(589&gt;$Z$1,NOT(OR('Your debts'!$B$15&lt;&gt;"",N('Your debts'!$C$15)&gt;0))),"",IF('Your debts'!$D$20="Avalanche",'Avalanche workings'!$U$596,'Snowball workings'!$U$596)+IF('Your debts'!$D$20="Avalanche",'Avalanche workings'!$AO$596,'Snowball workings'!$AO$596))</f>
      </c>
      <c r="Y594" s="30">
        <f>IF(OR(589&gt;$Z$1,NOT(OR('Your debts'!$B$15&lt;&gt;"",N('Your debts'!$C$15)&gt;0))),"",IF('Your debts'!$D$20="Avalanche",'Avalanche workings'!$AY$596,'Snowball workings'!$AY$596))</f>
      </c>
    </row>
    <row r="595" spans="1:25" x14ac:dyDescent="0.25">
      <c r="A595" s="2">
        <f>IF(590&gt;$Z$1,"",590)</f>
      </c>
      <c r="B595" s="28">
        <f>IF(590&gt;$Z$1,"",EDATE('Your debts'!$D$21,589))</f>
      </c>
      <c r="C595" s="29">
        <f>IF(590&gt;$Z$1,"",IF('Your debts'!$D$20="Avalanche",'Avalanche workings'!$BC$597,'Snowball workings'!$BC$597))</f>
      </c>
      <c r="D595" s="29">
        <f>IF(590&gt;$Z$1,"",IF('Your debts'!$D$20="Avalanche",'Avalanche workings'!$BA$597,'Snowball workings'!$BA$597))</f>
      </c>
      <c r="E595" s="29">
        <f>IF(590&gt;$Z$1,"",IF('Your debts'!$D$20="Avalanche",'Avalanche workings'!$BB$597,'Snowball workings'!$BB$597))</f>
      </c>
      <c r="F595" s="29">
        <f>IF(OR(590&gt;$Z$1,NOT(OR('Your debts'!$B$6&lt;&gt;"",N('Your debts'!$C$6)&gt;0))),"",IF('Your debts'!$D$20="Avalanche",'Avalanche workings'!$L$597,'Snowball workings'!$L$597)+IF('Your debts'!$D$20="Avalanche",'Avalanche workings'!$AF$597,'Snowball workings'!$AF$597))</f>
      </c>
      <c r="G595" s="30">
        <f>IF(OR(590&gt;$Z$1,NOT(OR('Your debts'!$B$6&lt;&gt;"",N('Your debts'!$C$6)&gt;0))),"",IF('Your debts'!$D$20="Avalanche",'Avalanche workings'!$AP$597,'Snowball workings'!$AP$597))</f>
      </c>
      <c r="H595" s="29">
        <f>IF(OR(590&gt;$Z$1,NOT(OR('Your debts'!$B$7&lt;&gt;"",N('Your debts'!$C$7)&gt;0))),"",IF('Your debts'!$D$20="Avalanche",'Avalanche workings'!$M$597,'Snowball workings'!$M$597)+IF('Your debts'!$D$20="Avalanche",'Avalanche workings'!$AG$597,'Snowball workings'!$AG$597))</f>
      </c>
      <c r="I595" s="30">
        <f>IF(OR(590&gt;$Z$1,NOT(OR('Your debts'!$B$7&lt;&gt;"",N('Your debts'!$C$7)&gt;0))),"",IF('Your debts'!$D$20="Avalanche",'Avalanche workings'!$AQ$597,'Snowball workings'!$AQ$597))</f>
      </c>
      <c r="J595" s="29">
        <f>IF(OR(590&gt;$Z$1,NOT(OR('Your debts'!$B$8&lt;&gt;"",N('Your debts'!$C$8)&gt;0))),"",IF('Your debts'!$D$20="Avalanche",'Avalanche workings'!$N$597,'Snowball workings'!$N$597)+IF('Your debts'!$D$20="Avalanche",'Avalanche workings'!$AH$597,'Snowball workings'!$AH$597))</f>
      </c>
      <c r="K595" s="30">
        <f>IF(OR(590&gt;$Z$1,NOT(OR('Your debts'!$B$8&lt;&gt;"",N('Your debts'!$C$8)&gt;0))),"",IF('Your debts'!$D$20="Avalanche",'Avalanche workings'!$AR$597,'Snowball workings'!$AR$597))</f>
      </c>
      <c r="L595" s="29">
        <f>IF(OR(590&gt;$Z$1,NOT(OR('Your debts'!$B$9&lt;&gt;"",N('Your debts'!$C$9)&gt;0))),"",IF('Your debts'!$D$20="Avalanche",'Avalanche workings'!$O$597,'Snowball workings'!$O$597)+IF('Your debts'!$D$20="Avalanche",'Avalanche workings'!$AI$597,'Snowball workings'!$AI$597))</f>
      </c>
      <c r="M595" s="30">
        <f>IF(OR(590&gt;$Z$1,NOT(OR('Your debts'!$B$9&lt;&gt;"",N('Your debts'!$C$9)&gt;0))),"",IF('Your debts'!$D$20="Avalanche",'Avalanche workings'!$AS$597,'Snowball workings'!$AS$597))</f>
      </c>
      <c r="N595" s="29">
        <f>IF(OR(590&gt;$Z$1,NOT(OR('Your debts'!$B$10&lt;&gt;"",N('Your debts'!$C$10)&gt;0))),"",IF('Your debts'!$D$20="Avalanche",'Avalanche workings'!$P$597,'Snowball workings'!$P$597)+IF('Your debts'!$D$20="Avalanche",'Avalanche workings'!$AJ$597,'Snowball workings'!$AJ$597))</f>
      </c>
      <c r="O595" s="30">
        <f>IF(OR(590&gt;$Z$1,NOT(OR('Your debts'!$B$10&lt;&gt;"",N('Your debts'!$C$10)&gt;0))),"",IF('Your debts'!$D$20="Avalanche",'Avalanche workings'!$AT$597,'Snowball workings'!$AT$597))</f>
      </c>
      <c r="P595" s="29">
        <f>IF(OR(590&gt;$Z$1,NOT(OR('Your debts'!$B$11&lt;&gt;"",N('Your debts'!$C$11)&gt;0))),"",IF('Your debts'!$D$20="Avalanche",'Avalanche workings'!$Q$597,'Snowball workings'!$Q$597)+IF('Your debts'!$D$20="Avalanche",'Avalanche workings'!$AK$597,'Snowball workings'!$AK$597))</f>
      </c>
      <c r="Q595" s="30">
        <f>IF(OR(590&gt;$Z$1,NOT(OR('Your debts'!$B$11&lt;&gt;"",N('Your debts'!$C$11)&gt;0))),"",IF('Your debts'!$D$20="Avalanche",'Avalanche workings'!$AU$597,'Snowball workings'!$AU$597))</f>
      </c>
      <c r="R595" s="29">
        <f>IF(OR(590&gt;$Z$1,NOT(OR('Your debts'!$B$12&lt;&gt;"",N('Your debts'!$C$12)&gt;0))),"",IF('Your debts'!$D$20="Avalanche",'Avalanche workings'!$R$597,'Snowball workings'!$R$597)+IF('Your debts'!$D$20="Avalanche",'Avalanche workings'!$AL$597,'Snowball workings'!$AL$597))</f>
      </c>
      <c r="S595" s="30">
        <f>IF(OR(590&gt;$Z$1,NOT(OR('Your debts'!$B$12&lt;&gt;"",N('Your debts'!$C$12)&gt;0))),"",IF('Your debts'!$D$20="Avalanche",'Avalanche workings'!$AV$597,'Snowball workings'!$AV$597))</f>
      </c>
      <c r="T595" s="29">
        <f>IF(OR(590&gt;$Z$1,NOT(OR('Your debts'!$B$13&lt;&gt;"",N('Your debts'!$C$13)&gt;0))),"",IF('Your debts'!$D$20="Avalanche",'Avalanche workings'!$S$597,'Snowball workings'!$S$597)+IF('Your debts'!$D$20="Avalanche",'Avalanche workings'!$AM$597,'Snowball workings'!$AM$597))</f>
      </c>
      <c r="U595" s="30">
        <f>IF(OR(590&gt;$Z$1,NOT(OR('Your debts'!$B$13&lt;&gt;"",N('Your debts'!$C$13)&gt;0))),"",IF('Your debts'!$D$20="Avalanche",'Avalanche workings'!$AW$597,'Snowball workings'!$AW$597))</f>
      </c>
      <c r="V595" s="29">
        <f>IF(OR(590&gt;$Z$1,NOT(OR('Your debts'!$B$14&lt;&gt;"",N('Your debts'!$C$14)&gt;0))),"",IF('Your debts'!$D$20="Avalanche",'Avalanche workings'!$T$597,'Snowball workings'!$T$597)+IF('Your debts'!$D$20="Avalanche",'Avalanche workings'!$AN$597,'Snowball workings'!$AN$597))</f>
      </c>
      <c r="W595" s="30">
        <f>IF(OR(590&gt;$Z$1,NOT(OR('Your debts'!$B$14&lt;&gt;"",N('Your debts'!$C$14)&gt;0))),"",IF('Your debts'!$D$20="Avalanche",'Avalanche workings'!$AX$597,'Snowball workings'!$AX$597))</f>
      </c>
      <c r="X595" s="29">
        <f>IF(OR(590&gt;$Z$1,NOT(OR('Your debts'!$B$15&lt;&gt;"",N('Your debts'!$C$15)&gt;0))),"",IF('Your debts'!$D$20="Avalanche",'Avalanche workings'!$U$597,'Snowball workings'!$U$597)+IF('Your debts'!$D$20="Avalanche",'Avalanche workings'!$AO$597,'Snowball workings'!$AO$597))</f>
      </c>
      <c r="Y595" s="30">
        <f>IF(OR(590&gt;$Z$1,NOT(OR('Your debts'!$B$15&lt;&gt;"",N('Your debts'!$C$15)&gt;0))),"",IF('Your debts'!$D$20="Avalanche",'Avalanche workings'!$AY$597,'Snowball workings'!$AY$597))</f>
      </c>
    </row>
    <row r="596" spans="1:25" x14ac:dyDescent="0.25">
      <c r="A596" s="2">
        <f>IF(591&gt;$Z$1,"",591)</f>
      </c>
      <c r="B596" s="28">
        <f>IF(591&gt;$Z$1,"",EDATE('Your debts'!$D$21,590))</f>
      </c>
      <c r="C596" s="29">
        <f>IF(591&gt;$Z$1,"",IF('Your debts'!$D$20="Avalanche",'Avalanche workings'!$BC$598,'Snowball workings'!$BC$598))</f>
      </c>
      <c r="D596" s="29">
        <f>IF(591&gt;$Z$1,"",IF('Your debts'!$D$20="Avalanche",'Avalanche workings'!$BA$598,'Snowball workings'!$BA$598))</f>
      </c>
      <c r="E596" s="29">
        <f>IF(591&gt;$Z$1,"",IF('Your debts'!$D$20="Avalanche",'Avalanche workings'!$BB$598,'Snowball workings'!$BB$598))</f>
      </c>
      <c r="F596" s="29">
        <f>IF(OR(591&gt;$Z$1,NOT(OR('Your debts'!$B$6&lt;&gt;"",N('Your debts'!$C$6)&gt;0))),"",IF('Your debts'!$D$20="Avalanche",'Avalanche workings'!$L$598,'Snowball workings'!$L$598)+IF('Your debts'!$D$20="Avalanche",'Avalanche workings'!$AF$598,'Snowball workings'!$AF$598))</f>
      </c>
      <c r="G596" s="30">
        <f>IF(OR(591&gt;$Z$1,NOT(OR('Your debts'!$B$6&lt;&gt;"",N('Your debts'!$C$6)&gt;0))),"",IF('Your debts'!$D$20="Avalanche",'Avalanche workings'!$AP$598,'Snowball workings'!$AP$598))</f>
      </c>
      <c r="H596" s="29">
        <f>IF(OR(591&gt;$Z$1,NOT(OR('Your debts'!$B$7&lt;&gt;"",N('Your debts'!$C$7)&gt;0))),"",IF('Your debts'!$D$20="Avalanche",'Avalanche workings'!$M$598,'Snowball workings'!$M$598)+IF('Your debts'!$D$20="Avalanche",'Avalanche workings'!$AG$598,'Snowball workings'!$AG$598))</f>
      </c>
      <c r="I596" s="30">
        <f>IF(OR(591&gt;$Z$1,NOT(OR('Your debts'!$B$7&lt;&gt;"",N('Your debts'!$C$7)&gt;0))),"",IF('Your debts'!$D$20="Avalanche",'Avalanche workings'!$AQ$598,'Snowball workings'!$AQ$598))</f>
      </c>
      <c r="J596" s="29">
        <f>IF(OR(591&gt;$Z$1,NOT(OR('Your debts'!$B$8&lt;&gt;"",N('Your debts'!$C$8)&gt;0))),"",IF('Your debts'!$D$20="Avalanche",'Avalanche workings'!$N$598,'Snowball workings'!$N$598)+IF('Your debts'!$D$20="Avalanche",'Avalanche workings'!$AH$598,'Snowball workings'!$AH$598))</f>
      </c>
      <c r="K596" s="30">
        <f>IF(OR(591&gt;$Z$1,NOT(OR('Your debts'!$B$8&lt;&gt;"",N('Your debts'!$C$8)&gt;0))),"",IF('Your debts'!$D$20="Avalanche",'Avalanche workings'!$AR$598,'Snowball workings'!$AR$598))</f>
      </c>
      <c r="L596" s="29">
        <f>IF(OR(591&gt;$Z$1,NOT(OR('Your debts'!$B$9&lt;&gt;"",N('Your debts'!$C$9)&gt;0))),"",IF('Your debts'!$D$20="Avalanche",'Avalanche workings'!$O$598,'Snowball workings'!$O$598)+IF('Your debts'!$D$20="Avalanche",'Avalanche workings'!$AI$598,'Snowball workings'!$AI$598))</f>
      </c>
      <c r="M596" s="30">
        <f>IF(OR(591&gt;$Z$1,NOT(OR('Your debts'!$B$9&lt;&gt;"",N('Your debts'!$C$9)&gt;0))),"",IF('Your debts'!$D$20="Avalanche",'Avalanche workings'!$AS$598,'Snowball workings'!$AS$598))</f>
      </c>
      <c r="N596" s="29">
        <f>IF(OR(591&gt;$Z$1,NOT(OR('Your debts'!$B$10&lt;&gt;"",N('Your debts'!$C$10)&gt;0))),"",IF('Your debts'!$D$20="Avalanche",'Avalanche workings'!$P$598,'Snowball workings'!$P$598)+IF('Your debts'!$D$20="Avalanche",'Avalanche workings'!$AJ$598,'Snowball workings'!$AJ$598))</f>
      </c>
      <c r="O596" s="30">
        <f>IF(OR(591&gt;$Z$1,NOT(OR('Your debts'!$B$10&lt;&gt;"",N('Your debts'!$C$10)&gt;0))),"",IF('Your debts'!$D$20="Avalanche",'Avalanche workings'!$AT$598,'Snowball workings'!$AT$598))</f>
      </c>
      <c r="P596" s="29">
        <f>IF(OR(591&gt;$Z$1,NOT(OR('Your debts'!$B$11&lt;&gt;"",N('Your debts'!$C$11)&gt;0))),"",IF('Your debts'!$D$20="Avalanche",'Avalanche workings'!$Q$598,'Snowball workings'!$Q$598)+IF('Your debts'!$D$20="Avalanche",'Avalanche workings'!$AK$598,'Snowball workings'!$AK$598))</f>
      </c>
      <c r="Q596" s="30">
        <f>IF(OR(591&gt;$Z$1,NOT(OR('Your debts'!$B$11&lt;&gt;"",N('Your debts'!$C$11)&gt;0))),"",IF('Your debts'!$D$20="Avalanche",'Avalanche workings'!$AU$598,'Snowball workings'!$AU$598))</f>
      </c>
      <c r="R596" s="29">
        <f>IF(OR(591&gt;$Z$1,NOT(OR('Your debts'!$B$12&lt;&gt;"",N('Your debts'!$C$12)&gt;0))),"",IF('Your debts'!$D$20="Avalanche",'Avalanche workings'!$R$598,'Snowball workings'!$R$598)+IF('Your debts'!$D$20="Avalanche",'Avalanche workings'!$AL$598,'Snowball workings'!$AL$598))</f>
      </c>
      <c r="S596" s="30">
        <f>IF(OR(591&gt;$Z$1,NOT(OR('Your debts'!$B$12&lt;&gt;"",N('Your debts'!$C$12)&gt;0))),"",IF('Your debts'!$D$20="Avalanche",'Avalanche workings'!$AV$598,'Snowball workings'!$AV$598))</f>
      </c>
      <c r="T596" s="29">
        <f>IF(OR(591&gt;$Z$1,NOT(OR('Your debts'!$B$13&lt;&gt;"",N('Your debts'!$C$13)&gt;0))),"",IF('Your debts'!$D$20="Avalanche",'Avalanche workings'!$S$598,'Snowball workings'!$S$598)+IF('Your debts'!$D$20="Avalanche",'Avalanche workings'!$AM$598,'Snowball workings'!$AM$598))</f>
      </c>
      <c r="U596" s="30">
        <f>IF(OR(591&gt;$Z$1,NOT(OR('Your debts'!$B$13&lt;&gt;"",N('Your debts'!$C$13)&gt;0))),"",IF('Your debts'!$D$20="Avalanche",'Avalanche workings'!$AW$598,'Snowball workings'!$AW$598))</f>
      </c>
      <c r="V596" s="29">
        <f>IF(OR(591&gt;$Z$1,NOT(OR('Your debts'!$B$14&lt;&gt;"",N('Your debts'!$C$14)&gt;0))),"",IF('Your debts'!$D$20="Avalanche",'Avalanche workings'!$T$598,'Snowball workings'!$T$598)+IF('Your debts'!$D$20="Avalanche",'Avalanche workings'!$AN$598,'Snowball workings'!$AN$598))</f>
      </c>
      <c r="W596" s="30">
        <f>IF(OR(591&gt;$Z$1,NOT(OR('Your debts'!$B$14&lt;&gt;"",N('Your debts'!$C$14)&gt;0))),"",IF('Your debts'!$D$20="Avalanche",'Avalanche workings'!$AX$598,'Snowball workings'!$AX$598))</f>
      </c>
      <c r="X596" s="29">
        <f>IF(OR(591&gt;$Z$1,NOT(OR('Your debts'!$B$15&lt;&gt;"",N('Your debts'!$C$15)&gt;0))),"",IF('Your debts'!$D$20="Avalanche",'Avalanche workings'!$U$598,'Snowball workings'!$U$598)+IF('Your debts'!$D$20="Avalanche",'Avalanche workings'!$AO$598,'Snowball workings'!$AO$598))</f>
      </c>
      <c r="Y596" s="30">
        <f>IF(OR(591&gt;$Z$1,NOT(OR('Your debts'!$B$15&lt;&gt;"",N('Your debts'!$C$15)&gt;0))),"",IF('Your debts'!$D$20="Avalanche",'Avalanche workings'!$AY$598,'Snowball workings'!$AY$598))</f>
      </c>
    </row>
    <row r="597" spans="1:25" x14ac:dyDescent="0.25">
      <c r="A597" s="2">
        <f>IF(592&gt;$Z$1,"",592)</f>
      </c>
      <c r="B597" s="28">
        <f>IF(592&gt;$Z$1,"",EDATE('Your debts'!$D$21,591))</f>
      </c>
      <c r="C597" s="29">
        <f>IF(592&gt;$Z$1,"",IF('Your debts'!$D$20="Avalanche",'Avalanche workings'!$BC$599,'Snowball workings'!$BC$599))</f>
      </c>
      <c r="D597" s="29">
        <f>IF(592&gt;$Z$1,"",IF('Your debts'!$D$20="Avalanche",'Avalanche workings'!$BA$599,'Snowball workings'!$BA$599))</f>
      </c>
      <c r="E597" s="29">
        <f>IF(592&gt;$Z$1,"",IF('Your debts'!$D$20="Avalanche",'Avalanche workings'!$BB$599,'Snowball workings'!$BB$599))</f>
      </c>
      <c r="F597" s="29">
        <f>IF(OR(592&gt;$Z$1,NOT(OR('Your debts'!$B$6&lt;&gt;"",N('Your debts'!$C$6)&gt;0))),"",IF('Your debts'!$D$20="Avalanche",'Avalanche workings'!$L$599,'Snowball workings'!$L$599)+IF('Your debts'!$D$20="Avalanche",'Avalanche workings'!$AF$599,'Snowball workings'!$AF$599))</f>
      </c>
      <c r="G597" s="30">
        <f>IF(OR(592&gt;$Z$1,NOT(OR('Your debts'!$B$6&lt;&gt;"",N('Your debts'!$C$6)&gt;0))),"",IF('Your debts'!$D$20="Avalanche",'Avalanche workings'!$AP$599,'Snowball workings'!$AP$599))</f>
      </c>
      <c r="H597" s="29">
        <f>IF(OR(592&gt;$Z$1,NOT(OR('Your debts'!$B$7&lt;&gt;"",N('Your debts'!$C$7)&gt;0))),"",IF('Your debts'!$D$20="Avalanche",'Avalanche workings'!$M$599,'Snowball workings'!$M$599)+IF('Your debts'!$D$20="Avalanche",'Avalanche workings'!$AG$599,'Snowball workings'!$AG$599))</f>
      </c>
      <c r="I597" s="30">
        <f>IF(OR(592&gt;$Z$1,NOT(OR('Your debts'!$B$7&lt;&gt;"",N('Your debts'!$C$7)&gt;0))),"",IF('Your debts'!$D$20="Avalanche",'Avalanche workings'!$AQ$599,'Snowball workings'!$AQ$599))</f>
      </c>
      <c r="J597" s="29">
        <f>IF(OR(592&gt;$Z$1,NOT(OR('Your debts'!$B$8&lt;&gt;"",N('Your debts'!$C$8)&gt;0))),"",IF('Your debts'!$D$20="Avalanche",'Avalanche workings'!$N$599,'Snowball workings'!$N$599)+IF('Your debts'!$D$20="Avalanche",'Avalanche workings'!$AH$599,'Snowball workings'!$AH$599))</f>
      </c>
      <c r="K597" s="30">
        <f>IF(OR(592&gt;$Z$1,NOT(OR('Your debts'!$B$8&lt;&gt;"",N('Your debts'!$C$8)&gt;0))),"",IF('Your debts'!$D$20="Avalanche",'Avalanche workings'!$AR$599,'Snowball workings'!$AR$599))</f>
      </c>
      <c r="L597" s="29">
        <f>IF(OR(592&gt;$Z$1,NOT(OR('Your debts'!$B$9&lt;&gt;"",N('Your debts'!$C$9)&gt;0))),"",IF('Your debts'!$D$20="Avalanche",'Avalanche workings'!$O$599,'Snowball workings'!$O$599)+IF('Your debts'!$D$20="Avalanche",'Avalanche workings'!$AI$599,'Snowball workings'!$AI$599))</f>
      </c>
      <c r="M597" s="30">
        <f>IF(OR(592&gt;$Z$1,NOT(OR('Your debts'!$B$9&lt;&gt;"",N('Your debts'!$C$9)&gt;0))),"",IF('Your debts'!$D$20="Avalanche",'Avalanche workings'!$AS$599,'Snowball workings'!$AS$599))</f>
      </c>
      <c r="N597" s="29">
        <f>IF(OR(592&gt;$Z$1,NOT(OR('Your debts'!$B$10&lt;&gt;"",N('Your debts'!$C$10)&gt;0))),"",IF('Your debts'!$D$20="Avalanche",'Avalanche workings'!$P$599,'Snowball workings'!$P$599)+IF('Your debts'!$D$20="Avalanche",'Avalanche workings'!$AJ$599,'Snowball workings'!$AJ$599))</f>
      </c>
      <c r="O597" s="30">
        <f>IF(OR(592&gt;$Z$1,NOT(OR('Your debts'!$B$10&lt;&gt;"",N('Your debts'!$C$10)&gt;0))),"",IF('Your debts'!$D$20="Avalanche",'Avalanche workings'!$AT$599,'Snowball workings'!$AT$599))</f>
      </c>
      <c r="P597" s="29">
        <f>IF(OR(592&gt;$Z$1,NOT(OR('Your debts'!$B$11&lt;&gt;"",N('Your debts'!$C$11)&gt;0))),"",IF('Your debts'!$D$20="Avalanche",'Avalanche workings'!$Q$599,'Snowball workings'!$Q$599)+IF('Your debts'!$D$20="Avalanche",'Avalanche workings'!$AK$599,'Snowball workings'!$AK$599))</f>
      </c>
      <c r="Q597" s="30">
        <f>IF(OR(592&gt;$Z$1,NOT(OR('Your debts'!$B$11&lt;&gt;"",N('Your debts'!$C$11)&gt;0))),"",IF('Your debts'!$D$20="Avalanche",'Avalanche workings'!$AU$599,'Snowball workings'!$AU$599))</f>
      </c>
      <c r="R597" s="29">
        <f>IF(OR(592&gt;$Z$1,NOT(OR('Your debts'!$B$12&lt;&gt;"",N('Your debts'!$C$12)&gt;0))),"",IF('Your debts'!$D$20="Avalanche",'Avalanche workings'!$R$599,'Snowball workings'!$R$599)+IF('Your debts'!$D$20="Avalanche",'Avalanche workings'!$AL$599,'Snowball workings'!$AL$599))</f>
      </c>
      <c r="S597" s="30">
        <f>IF(OR(592&gt;$Z$1,NOT(OR('Your debts'!$B$12&lt;&gt;"",N('Your debts'!$C$12)&gt;0))),"",IF('Your debts'!$D$20="Avalanche",'Avalanche workings'!$AV$599,'Snowball workings'!$AV$599))</f>
      </c>
      <c r="T597" s="29">
        <f>IF(OR(592&gt;$Z$1,NOT(OR('Your debts'!$B$13&lt;&gt;"",N('Your debts'!$C$13)&gt;0))),"",IF('Your debts'!$D$20="Avalanche",'Avalanche workings'!$S$599,'Snowball workings'!$S$599)+IF('Your debts'!$D$20="Avalanche",'Avalanche workings'!$AM$599,'Snowball workings'!$AM$599))</f>
      </c>
      <c r="U597" s="30">
        <f>IF(OR(592&gt;$Z$1,NOT(OR('Your debts'!$B$13&lt;&gt;"",N('Your debts'!$C$13)&gt;0))),"",IF('Your debts'!$D$20="Avalanche",'Avalanche workings'!$AW$599,'Snowball workings'!$AW$599))</f>
      </c>
      <c r="V597" s="29">
        <f>IF(OR(592&gt;$Z$1,NOT(OR('Your debts'!$B$14&lt;&gt;"",N('Your debts'!$C$14)&gt;0))),"",IF('Your debts'!$D$20="Avalanche",'Avalanche workings'!$T$599,'Snowball workings'!$T$599)+IF('Your debts'!$D$20="Avalanche",'Avalanche workings'!$AN$599,'Snowball workings'!$AN$599))</f>
      </c>
      <c r="W597" s="30">
        <f>IF(OR(592&gt;$Z$1,NOT(OR('Your debts'!$B$14&lt;&gt;"",N('Your debts'!$C$14)&gt;0))),"",IF('Your debts'!$D$20="Avalanche",'Avalanche workings'!$AX$599,'Snowball workings'!$AX$599))</f>
      </c>
      <c r="X597" s="29">
        <f>IF(OR(592&gt;$Z$1,NOT(OR('Your debts'!$B$15&lt;&gt;"",N('Your debts'!$C$15)&gt;0))),"",IF('Your debts'!$D$20="Avalanche",'Avalanche workings'!$U$599,'Snowball workings'!$U$599)+IF('Your debts'!$D$20="Avalanche",'Avalanche workings'!$AO$599,'Snowball workings'!$AO$599))</f>
      </c>
      <c r="Y597" s="30">
        <f>IF(OR(592&gt;$Z$1,NOT(OR('Your debts'!$B$15&lt;&gt;"",N('Your debts'!$C$15)&gt;0))),"",IF('Your debts'!$D$20="Avalanche",'Avalanche workings'!$AY$599,'Snowball workings'!$AY$599))</f>
      </c>
    </row>
    <row r="598" spans="1:25" x14ac:dyDescent="0.25">
      <c r="A598" s="2">
        <f>IF(593&gt;$Z$1,"",593)</f>
      </c>
      <c r="B598" s="28">
        <f>IF(593&gt;$Z$1,"",EDATE('Your debts'!$D$21,592))</f>
      </c>
      <c r="C598" s="29">
        <f>IF(593&gt;$Z$1,"",IF('Your debts'!$D$20="Avalanche",'Avalanche workings'!$BC$600,'Snowball workings'!$BC$600))</f>
      </c>
      <c r="D598" s="29">
        <f>IF(593&gt;$Z$1,"",IF('Your debts'!$D$20="Avalanche",'Avalanche workings'!$BA$600,'Snowball workings'!$BA$600))</f>
      </c>
      <c r="E598" s="29">
        <f>IF(593&gt;$Z$1,"",IF('Your debts'!$D$20="Avalanche",'Avalanche workings'!$BB$600,'Snowball workings'!$BB$600))</f>
      </c>
      <c r="F598" s="29">
        <f>IF(OR(593&gt;$Z$1,NOT(OR('Your debts'!$B$6&lt;&gt;"",N('Your debts'!$C$6)&gt;0))),"",IF('Your debts'!$D$20="Avalanche",'Avalanche workings'!$L$600,'Snowball workings'!$L$600)+IF('Your debts'!$D$20="Avalanche",'Avalanche workings'!$AF$600,'Snowball workings'!$AF$600))</f>
      </c>
      <c r="G598" s="30">
        <f>IF(OR(593&gt;$Z$1,NOT(OR('Your debts'!$B$6&lt;&gt;"",N('Your debts'!$C$6)&gt;0))),"",IF('Your debts'!$D$20="Avalanche",'Avalanche workings'!$AP$600,'Snowball workings'!$AP$600))</f>
      </c>
      <c r="H598" s="29">
        <f>IF(OR(593&gt;$Z$1,NOT(OR('Your debts'!$B$7&lt;&gt;"",N('Your debts'!$C$7)&gt;0))),"",IF('Your debts'!$D$20="Avalanche",'Avalanche workings'!$M$600,'Snowball workings'!$M$600)+IF('Your debts'!$D$20="Avalanche",'Avalanche workings'!$AG$600,'Snowball workings'!$AG$600))</f>
      </c>
      <c r="I598" s="30">
        <f>IF(OR(593&gt;$Z$1,NOT(OR('Your debts'!$B$7&lt;&gt;"",N('Your debts'!$C$7)&gt;0))),"",IF('Your debts'!$D$20="Avalanche",'Avalanche workings'!$AQ$600,'Snowball workings'!$AQ$600))</f>
      </c>
      <c r="J598" s="29">
        <f>IF(OR(593&gt;$Z$1,NOT(OR('Your debts'!$B$8&lt;&gt;"",N('Your debts'!$C$8)&gt;0))),"",IF('Your debts'!$D$20="Avalanche",'Avalanche workings'!$N$600,'Snowball workings'!$N$600)+IF('Your debts'!$D$20="Avalanche",'Avalanche workings'!$AH$600,'Snowball workings'!$AH$600))</f>
      </c>
      <c r="K598" s="30">
        <f>IF(OR(593&gt;$Z$1,NOT(OR('Your debts'!$B$8&lt;&gt;"",N('Your debts'!$C$8)&gt;0))),"",IF('Your debts'!$D$20="Avalanche",'Avalanche workings'!$AR$600,'Snowball workings'!$AR$600))</f>
      </c>
      <c r="L598" s="29">
        <f>IF(OR(593&gt;$Z$1,NOT(OR('Your debts'!$B$9&lt;&gt;"",N('Your debts'!$C$9)&gt;0))),"",IF('Your debts'!$D$20="Avalanche",'Avalanche workings'!$O$600,'Snowball workings'!$O$600)+IF('Your debts'!$D$20="Avalanche",'Avalanche workings'!$AI$600,'Snowball workings'!$AI$600))</f>
      </c>
      <c r="M598" s="30">
        <f>IF(OR(593&gt;$Z$1,NOT(OR('Your debts'!$B$9&lt;&gt;"",N('Your debts'!$C$9)&gt;0))),"",IF('Your debts'!$D$20="Avalanche",'Avalanche workings'!$AS$600,'Snowball workings'!$AS$600))</f>
      </c>
      <c r="N598" s="29">
        <f>IF(OR(593&gt;$Z$1,NOT(OR('Your debts'!$B$10&lt;&gt;"",N('Your debts'!$C$10)&gt;0))),"",IF('Your debts'!$D$20="Avalanche",'Avalanche workings'!$P$600,'Snowball workings'!$P$600)+IF('Your debts'!$D$20="Avalanche",'Avalanche workings'!$AJ$600,'Snowball workings'!$AJ$600))</f>
      </c>
      <c r="O598" s="30">
        <f>IF(OR(593&gt;$Z$1,NOT(OR('Your debts'!$B$10&lt;&gt;"",N('Your debts'!$C$10)&gt;0))),"",IF('Your debts'!$D$20="Avalanche",'Avalanche workings'!$AT$600,'Snowball workings'!$AT$600))</f>
      </c>
      <c r="P598" s="29">
        <f>IF(OR(593&gt;$Z$1,NOT(OR('Your debts'!$B$11&lt;&gt;"",N('Your debts'!$C$11)&gt;0))),"",IF('Your debts'!$D$20="Avalanche",'Avalanche workings'!$Q$600,'Snowball workings'!$Q$600)+IF('Your debts'!$D$20="Avalanche",'Avalanche workings'!$AK$600,'Snowball workings'!$AK$600))</f>
      </c>
      <c r="Q598" s="30">
        <f>IF(OR(593&gt;$Z$1,NOT(OR('Your debts'!$B$11&lt;&gt;"",N('Your debts'!$C$11)&gt;0))),"",IF('Your debts'!$D$20="Avalanche",'Avalanche workings'!$AU$600,'Snowball workings'!$AU$600))</f>
      </c>
      <c r="R598" s="29">
        <f>IF(OR(593&gt;$Z$1,NOT(OR('Your debts'!$B$12&lt;&gt;"",N('Your debts'!$C$12)&gt;0))),"",IF('Your debts'!$D$20="Avalanche",'Avalanche workings'!$R$600,'Snowball workings'!$R$600)+IF('Your debts'!$D$20="Avalanche",'Avalanche workings'!$AL$600,'Snowball workings'!$AL$600))</f>
      </c>
      <c r="S598" s="30">
        <f>IF(OR(593&gt;$Z$1,NOT(OR('Your debts'!$B$12&lt;&gt;"",N('Your debts'!$C$12)&gt;0))),"",IF('Your debts'!$D$20="Avalanche",'Avalanche workings'!$AV$600,'Snowball workings'!$AV$600))</f>
      </c>
      <c r="T598" s="29">
        <f>IF(OR(593&gt;$Z$1,NOT(OR('Your debts'!$B$13&lt;&gt;"",N('Your debts'!$C$13)&gt;0))),"",IF('Your debts'!$D$20="Avalanche",'Avalanche workings'!$S$600,'Snowball workings'!$S$600)+IF('Your debts'!$D$20="Avalanche",'Avalanche workings'!$AM$600,'Snowball workings'!$AM$600))</f>
      </c>
      <c r="U598" s="30">
        <f>IF(OR(593&gt;$Z$1,NOT(OR('Your debts'!$B$13&lt;&gt;"",N('Your debts'!$C$13)&gt;0))),"",IF('Your debts'!$D$20="Avalanche",'Avalanche workings'!$AW$600,'Snowball workings'!$AW$600))</f>
      </c>
      <c r="V598" s="29">
        <f>IF(OR(593&gt;$Z$1,NOT(OR('Your debts'!$B$14&lt;&gt;"",N('Your debts'!$C$14)&gt;0))),"",IF('Your debts'!$D$20="Avalanche",'Avalanche workings'!$T$600,'Snowball workings'!$T$600)+IF('Your debts'!$D$20="Avalanche",'Avalanche workings'!$AN$600,'Snowball workings'!$AN$600))</f>
      </c>
      <c r="W598" s="30">
        <f>IF(OR(593&gt;$Z$1,NOT(OR('Your debts'!$B$14&lt;&gt;"",N('Your debts'!$C$14)&gt;0))),"",IF('Your debts'!$D$20="Avalanche",'Avalanche workings'!$AX$600,'Snowball workings'!$AX$600))</f>
      </c>
      <c r="X598" s="29">
        <f>IF(OR(593&gt;$Z$1,NOT(OR('Your debts'!$B$15&lt;&gt;"",N('Your debts'!$C$15)&gt;0))),"",IF('Your debts'!$D$20="Avalanche",'Avalanche workings'!$U$600,'Snowball workings'!$U$600)+IF('Your debts'!$D$20="Avalanche",'Avalanche workings'!$AO$600,'Snowball workings'!$AO$600))</f>
      </c>
      <c r="Y598" s="30">
        <f>IF(OR(593&gt;$Z$1,NOT(OR('Your debts'!$B$15&lt;&gt;"",N('Your debts'!$C$15)&gt;0))),"",IF('Your debts'!$D$20="Avalanche",'Avalanche workings'!$AY$600,'Snowball workings'!$AY$600))</f>
      </c>
    </row>
    <row r="599" spans="1:25" x14ac:dyDescent="0.25">
      <c r="A599" s="2">
        <f>IF(594&gt;$Z$1,"",594)</f>
      </c>
      <c r="B599" s="28">
        <f>IF(594&gt;$Z$1,"",EDATE('Your debts'!$D$21,593))</f>
      </c>
      <c r="C599" s="29">
        <f>IF(594&gt;$Z$1,"",IF('Your debts'!$D$20="Avalanche",'Avalanche workings'!$BC$601,'Snowball workings'!$BC$601))</f>
      </c>
      <c r="D599" s="29">
        <f>IF(594&gt;$Z$1,"",IF('Your debts'!$D$20="Avalanche",'Avalanche workings'!$BA$601,'Snowball workings'!$BA$601))</f>
      </c>
      <c r="E599" s="29">
        <f>IF(594&gt;$Z$1,"",IF('Your debts'!$D$20="Avalanche",'Avalanche workings'!$BB$601,'Snowball workings'!$BB$601))</f>
      </c>
      <c r="F599" s="29">
        <f>IF(OR(594&gt;$Z$1,NOT(OR('Your debts'!$B$6&lt;&gt;"",N('Your debts'!$C$6)&gt;0))),"",IF('Your debts'!$D$20="Avalanche",'Avalanche workings'!$L$601,'Snowball workings'!$L$601)+IF('Your debts'!$D$20="Avalanche",'Avalanche workings'!$AF$601,'Snowball workings'!$AF$601))</f>
      </c>
      <c r="G599" s="30">
        <f>IF(OR(594&gt;$Z$1,NOT(OR('Your debts'!$B$6&lt;&gt;"",N('Your debts'!$C$6)&gt;0))),"",IF('Your debts'!$D$20="Avalanche",'Avalanche workings'!$AP$601,'Snowball workings'!$AP$601))</f>
      </c>
      <c r="H599" s="29">
        <f>IF(OR(594&gt;$Z$1,NOT(OR('Your debts'!$B$7&lt;&gt;"",N('Your debts'!$C$7)&gt;0))),"",IF('Your debts'!$D$20="Avalanche",'Avalanche workings'!$M$601,'Snowball workings'!$M$601)+IF('Your debts'!$D$20="Avalanche",'Avalanche workings'!$AG$601,'Snowball workings'!$AG$601))</f>
      </c>
      <c r="I599" s="30">
        <f>IF(OR(594&gt;$Z$1,NOT(OR('Your debts'!$B$7&lt;&gt;"",N('Your debts'!$C$7)&gt;0))),"",IF('Your debts'!$D$20="Avalanche",'Avalanche workings'!$AQ$601,'Snowball workings'!$AQ$601))</f>
      </c>
      <c r="J599" s="29">
        <f>IF(OR(594&gt;$Z$1,NOT(OR('Your debts'!$B$8&lt;&gt;"",N('Your debts'!$C$8)&gt;0))),"",IF('Your debts'!$D$20="Avalanche",'Avalanche workings'!$N$601,'Snowball workings'!$N$601)+IF('Your debts'!$D$20="Avalanche",'Avalanche workings'!$AH$601,'Snowball workings'!$AH$601))</f>
      </c>
      <c r="K599" s="30">
        <f>IF(OR(594&gt;$Z$1,NOT(OR('Your debts'!$B$8&lt;&gt;"",N('Your debts'!$C$8)&gt;0))),"",IF('Your debts'!$D$20="Avalanche",'Avalanche workings'!$AR$601,'Snowball workings'!$AR$601))</f>
      </c>
      <c r="L599" s="29">
        <f>IF(OR(594&gt;$Z$1,NOT(OR('Your debts'!$B$9&lt;&gt;"",N('Your debts'!$C$9)&gt;0))),"",IF('Your debts'!$D$20="Avalanche",'Avalanche workings'!$O$601,'Snowball workings'!$O$601)+IF('Your debts'!$D$20="Avalanche",'Avalanche workings'!$AI$601,'Snowball workings'!$AI$601))</f>
      </c>
      <c r="M599" s="30">
        <f>IF(OR(594&gt;$Z$1,NOT(OR('Your debts'!$B$9&lt;&gt;"",N('Your debts'!$C$9)&gt;0))),"",IF('Your debts'!$D$20="Avalanche",'Avalanche workings'!$AS$601,'Snowball workings'!$AS$601))</f>
      </c>
      <c r="N599" s="29">
        <f>IF(OR(594&gt;$Z$1,NOT(OR('Your debts'!$B$10&lt;&gt;"",N('Your debts'!$C$10)&gt;0))),"",IF('Your debts'!$D$20="Avalanche",'Avalanche workings'!$P$601,'Snowball workings'!$P$601)+IF('Your debts'!$D$20="Avalanche",'Avalanche workings'!$AJ$601,'Snowball workings'!$AJ$601))</f>
      </c>
      <c r="O599" s="30">
        <f>IF(OR(594&gt;$Z$1,NOT(OR('Your debts'!$B$10&lt;&gt;"",N('Your debts'!$C$10)&gt;0))),"",IF('Your debts'!$D$20="Avalanche",'Avalanche workings'!$AT$601,'Snowball workings'!$AT$601))</f>
      </c>
      <c r="P599" s="29">
        <f>IF(OR(594&gt;$Z$1,NOT(OR('Your debts'!$B$11&lt;&gt;"",N('Your debts'!$C$11)&gt;0))),"",IF('Your debts'!$D$20="Avalanche",'Avalanche workings'!$Q$601,'Snowball workings'!$Q$601)+IF('Your debts'!$D$20="Avalanche",'Avalanche workings'!$AK$601,'Snowball workings'!$AK$601))</f>
      </c>
      <c r="Q599" s="30">
        <f>IF(OR(594&gt;$Z$1,NOT(OR('Your debts'!$B$11&lt;&gt;"",N('Your debts'!$C$11)&gt;0))),"",IF('Your debts'!$D$20="Avalanche",'Avalanche workings'!$AU$601,'Snowball workings'!$AU$601))</f>
      </c>
      <c r="R599" s="29">
        <f>IF(OR(594&gt;$Z$1,NOT(OR('Your debts'!$B$12&lt;&gt;"",N('Your debts'!$C$12)&gt;0))),"",IF('Your debts'!$D$20="Avalanche",'Avalanche workings'!$R$601,'Snowball workings'!$R$601)+IF('Your debts'!$D$20="Avalanche",'Avalanche workings'!$AL$601,'Snowball workings'!$AL$601))</f>
      </c>
      <c r="S599" s="30">
        <f>IF(OR(594&gt;$Z$1,NOT(OR('Your debts'!$B$12&lt;&gt;"",N('Your debts'!$C$12)&gt;0))),"",IF('Your debts'!$D$20="Avalanche",'Avalanche workings'!$AV$601,'Snowball workings'!$AV$601))</f>
      </c>
      <c r="T599" s="29">
        <f>IF(OR(594&gt;$Z$1,NOT(OR('Your debts'!$B$13&lt;&gt;"",N('Your debts'!$C$13)&gt;0))),"",IF('Your debts'!$D$20="Avalanche",'Avalanche workings'!$S$601,'Snowball workings'!$S$601)+IF('Your debts'!$D$20="Avalanche",'Avalanche workings'!$AM$601,'Snowball workings'!$AM$601))</f>
      </c>
      <c r="U599" s="30">
        <f>IF(OR(594&gt;$Z$1,NOT(OR('Your debts'!$B$13&lt;&gt;"",N('Your debts'!$C$13)&gt;0))),"",IF('Your debts'!$D$20="Avalanche",'Avalanche workings'!$AW$601,'Snowball workings'!$AW$601))</f>
      </c>
      <c r="V599" s="29">
        <f>IF(OR(594&gt;$Z$1,NOT(OR('Your debts'!$B$14&lt;&gt;"",N('Your debts'!$C$14)&gt;0))),"",IF('Your debts'!$D$20="Avalanche",'Avalanche workings'!$T$601,'Snowball workings'!$T$601)+IF('Your debts'!$D$20="Avalanche",'Avalanche workings'!$AN$601,'Snowball workings'!$AN$601))</f>
      </c>
      <c r="W599" s="30">
        <f>IF(OR(594&gt;$Z$1,NOT(OR('Your debts'!$B$14&lt;&gt;"",N('Your debts'!$C$14)&gt;0))),"",IF('Your debts'!$D$20="Avalanche",'Avalanche workings'!$AX$601,'Snowball workings'!$AX$601))</f>
      </c>
      <c r="X599" s="29">
        <f>IF(OR(594&gt;$Z$1,NOT(OR('Your debts'!$B$15&lt;&gt;"",N('Your debts'!$C$15)&gt;0))),"",IF('Your debts'!$D$20="Avalanche",'Avalanche workings'!$U$601,'Snowball workings'!$U$601)+IF('Your debts'!$D$20="Avalanche",'Avalanche workings'!$AO$601,'Snowball workings'!$AO$601))</f>
      </c>
      <c r="Y599" s="30">
        <f>IF(OR(594&gt;$Z$1,NOT(OR('Your debts'!$B$15&lt;&gt;"",N('Your debts'!$C$15)&gt;0))),"",IF('Your debts'!$D$20="Avalanche",'Avalanche workings'!$AY$601,'Snowball workings'!$AY$601))</f>
      </c>
    </row>
    <row r="600" spans="1:25" x14ac:dyDescent="0.25">
      <c r="A600" s="2">
        <f>IF(595&gt;$Z$1,"",595)</f>
      </c>
      <c r="B600" s="28">
        <f>IF(595&gt;$Z$1,"",EDATE('Your debts'!$D$21,594))</f>
      </c>
      <c r="C600" s="29">
        <f>IF(595&gt;$Z$1,"",IF('Your debts'!$D$20="Avalanche",'Avalanche workings'!$BC$602,'Snowball workings'!$BC$602))</f>
      </c>
      <c r="D600" s="29">
        <f>IF(595&gt;$Z$1,"",IF('Your debts'!$D$20="Avalanche",'Avalanche workings'!$BA$602,'Snowball workings'!$BA$602))</f>
      </c>
      <c r="E600" s="29">
        <f>IF(595&gt;$Z$1,"",IF('Your debts'!$D$20="Avalanche",'Avalanche workings'!$BB$602,'Snowball workings'!$BB$602))</f>
      </c>
      <c r="F600" s="29">
        <f>IF(OR(595&gt;$Z$1,NOT(OR('Your debts'!$B$6&lt;&gt;"",N('Your debts'!$C$6)&gt;0))),"",IF('Your debts'!$D$20="Avalanche",'Avalanche workings'!$L$602,'Snowball workings'!$L$602)+IF('Your debts'!$D$20="Avalanche",'Avalanche workings'!$AF$602,'Snowball workings'!$AF$602))</f>
      </c>
      <c r="G600" s="30">
        <f>IF(OR(595&gt;$Z$1,NOT(OR('Your debts'!$B$6&lt;&gt;"",N('Your debts'!$C$6)&gt;0))),"",IF('Your debts'!$D$20="Avalanche",'Avalanche workings'!$AP$602,'Snowball workings'!$AP$602))</f>
      </c>
      <c r="H600" s="29">
        <f>IF(OR(595&gt;$Z$1,NOT(OR('Your debts'!$B$7&lt;&gt;"",N('Your debts'!$C$7)&gt;0))),"",IF('Your debts'!$D$20="Avalanche",'Avalanche workings'!$M$602,'Snowball workings'!$M$602)+IF('Your debts'!$D$20="Avalanche",'Avalanche workings'!$AG$602,'Snowball workings'!$AG$602))</f>
      </c>
      <c r="I600" s="30">
        <f>IF(OR(595&gt;$Z$1,NOT(OR('Your debts'!$B$7&lt;&gt;"",N('Your debts'!$C$7)&gt;0))),"",IF('Your debts'!$D$20="Avalanche",'Avalanche workings'!$AQ$602,'Snowball workings'!$AQ$602))</f>
      </c>
      <c r="J600" s="29">
        <f>IF(OR(595&gt;$Z$1,NOT(OR('Your debts'!$B$8&lt;&gt;"",N('Your debts'!$C$8)&gt;0))),"",IF('Your debts'!$D$20="Avalanche",'Avalanche workings'!$N$602,'Snowball workings'!$N$602)+IF('Your debts'!$D$20="Avalanche",'Avalanche workings'!$AH$602,'Snowball workings'!$AH$602))</f>
      </c>
      <c r="K600" s="30">
        <f>IF(OR(595&gt;$Z$1,NOT(OR('Your debts'!$B$8&lt;&gt;"",N('Your debts'!$C$8)&gt;0))),"",IF('Your debts'!$D$20="Avalanche",'Avalanche workings'!$AR$602,'Snowball workings'!$AR$602))</f>
      </c>
      <c r="L600" s="29">
        <f>IF(OR(595&gt;$Z$1,NOT(OR('Your debts'!$B$9&lt;&gt;"",N('Your debts'!$C$9)&gt;0))),"",IF('Your debts'!$D$20="Avalanche",'Avalanche workings'!$O$602,'Snowball workings'!$O$602)+IF('Your debts'!$D$20="Avalanche",'Avalanche workings'!$AI$602,'Snowball workings'!$AI$602))</f>
      </c>
      <c r="M600" s="30">
        <f>IF(OR(595&gt;$Z$1,NOT(OR('Your debts'!$B$9&lt;&gt;"",N('Your debts'!$C$9)&gt;0))),"",IF('Your debts'!$D$20="Avalanche",'Avalanche workings'!$AS$602,'Snowball workings'!$AS$602))</f>
      </c>
      <c r="N600" s="29">
        <f>IF(OR(595&gt;$Z$1,NOT(OR('Your debts'!$B$10&lt;&gt;"",N('Your debts'!$C$10)&gt;0))),"",IF('Your debts'!$D$20="Avalanche",'Avalanche workings'!$P$602,'Snowball workings'!$P$602)+IF('Your debts'!$D$20="Avalanche",'Avalanche workings'!$AJ$602,'Snowball workings'!$AJ$602))</f>
      </c>
      <c r="O600" s="30">
        <f>IF(OR(595&gt;$Z$1,NOT(OR('Your debts'!$B$10&lt;&gt;"",N('Your debts'!$C$10)&gt;0))),"",IF('Your debts'!$D$20="Avalanche",'Avalanche workings'!$AT$602,'Snowball workings'!$AT$602))</f>
      </c>
      <c r="P600" s="29">
        <f>IF(OR(595&gt;$Z$1,NOT(OR('Your debts'!$B$11&lt;&gt;"",N('Your debts'!$C$11)&gt;0))),"",IF('Your debts'!$D$20="Avalanche",'Avalanche workings'!$Q$602,'Snowball workings'!$Q$602)+IF('Your debts'!$D$20="Avalanche",'Avalanche workings'!$AK$602,'Snowball workings'!$AK$602))</f>
      </c>
      <c r="Q600" s="30">
        <f>IF(OR(595&gt;$Z$1,NOT(OR('Your debts'!$B$11&lt;&gt;"",N('Your debts'!$C$11)&gt;0))),"",IF('Your debts'!$D$20="Avalanche",'Avalanche workings'!$AU$602,'Snowball workings'!$AU$602))</f>
      </c>
      <c r="R600" s="29">
        <f>IF(OR(595&gt;$Z$1,NOT(OR('Your debts'!$B$12&lt;&gt;"",N('Your debts'!$C$12)&gt;0))),"",IF('Your debts'!$D$20="Avalanche",'Avalanche workings'!$R$602,'Snowball workings'!$R$602)+IF('Your debts'!$D$20="Avalanche",'Avalanche workings'!$AL$602,'Snowball workings'!$AL$602))</f>
      </c>
      <c r="S600" s="30">
        <f>IF(OR(595&gt;$Z$1,NOT(OR('Your debts'!$B$12&lt;&gt;"",N('Your debts'!$C$12)&gt;0))),"",IF('Your debts'!$D$20="Avalanche",'Avalanche workings'!$AV$602,'Snowball workings'!$AV$602))</f>
      </c>
      <c r="T600" s="29">
        <f>IF(OR(595&gt;$Z$1,NOT(OR('Your debts'!$B$13&lt;&gt;"",N('Your debts'!$C$13)&gt;0))),"",IF('Your debts'!$D$20="Avalanche",'Avalanche workings'!$S$602,'Snowball workings'!$S$602)+IF('Your debts'!$D$20="Avalanche",'Avalanche workings'!$AM$602,'Snowball workings'!$AM$602))</f>
      </c>
      <c r="U600" s="30">
        <f>IF(OR(595&gt;$Z$1,NOT(OR('Your debts'!$B$13&lt;&gt;"",N('Your debts'!$C$13)&gt;0))),"",IF('Your debts'!$D$20="Avalanche",'Avalanche workings'!$AW$602,'Snowball workings'!$AW$602))</f>
      </c>
      <c r="V600" s="29">
        <f>IF(OR(595&gt;$Z$1,NOT(OR('Your debts'!$B$14&lt;&gt;"",N('Your debts'!$C$14)&gt;0))),"",IF('Your debts'!$D$20="Avalanche",'Avalanche workings'!$T$602,'Snowball workings'!$T$602)+IF('Your debts'!$D$20="Avalanche",'Avalanche workings'!$AN$602,'Snowball workings'!$AN$602))</f>
      </c>
      <c r="W600" s="30">
        <f>IF(OR(595&gt;$Z$1,NOT(OR('Your debts'!$B$14&lt;&gt;"",N('Your debts'!$C$14)&gt;0))),"",IF('Your debts'!$D$20="Avalanche",'Avalanche workings'!$AX$602,'Snowball workings'!$AX$602))</f>
      </c>
      <c r="X600" s="29">
        <f>IF(OR(595&gt;$Z$1,NOT(OR('Your debts'!$B$15&lt;&gt;"",N('Your debts'!$C$15)&gt;0))),"",IF('Your debts'!$D$20="Avalanche",'Avalanche workings'!$U$602,'Snowball workings'!$U$602)+IF('Your debts'!$D$20="Avalanche",'Avalanche workings'!$AO$602,'Snowball workings'!$AO$602))</f>
      </c>
      <c r="Y600" s="30">
        <f>IF(OR(595&gt;$Z$1,NOT(OR('Your debts'!$B$15&lt;&gt;"",N('Your debts'!$C$15)&gt;0))),"",IF('Your debts'!$D$20="Avalanche",'Avalanche workings'!$AY$602,'Snowball workings'!$AY$602))</f>
      </c>
    </row>
    <row r="601" spans="1:25" x14ac:dyDescent="0.25">
      <c r="A601" s="2">
        <f>IF(596&gt;$Z$1,"",596)</f>
      </c>
      <c r="B601" s="28">
        <f>IF(596&gt;$Z$1,"",EDATE('Your debts'!$D$21,595))</f>
      </c>
      <c r="C601" s="29">
        <f>IF(596&gt;$Z$1,"",IF('Your debts'!$D$20="Avalanche",'Avalanche workings'!$BC$603,'Snowball workings'!$BC$603))</f>
      </c>
      <c r="D601" s="29">
        <f>IF(596&gt;$Z$1,"",IF('Your debts'!$D$20="Avalanche",'Avalanche workings'!$BA$603,'Snowball workings'!$BA$603))</f>
      </c>
      <c r="E601" s="29">
        <f>IF(596&gt;$Z$1,"",IF('Your debts'!$D$20="Avalanche",'Avalanche workings'!$BB$603,'Snowball workings'!$BB$603))</f>
      </c>
      <c r="F601" s="29">
        <f>IF(OR(596&gt;$Z$1,NOT(OR('Your debts'!$B$6&lt;&gt;"",N('Your debts'!$C$6)&gt;0))),"",IF('Your debts'!$D$20="Avalanche",'Avalanche workings'!$L$603,'Snowball workings'!$L$603)+IF('Your debts'!$D$20="Avalanche",'Avalanche workings'!$AF$603,'Snowball workings'!$AF$603))</f>
      </c>
      <c r="G601" s="30">
        <f>IF(OR(596&gt;$Z$1,NOT(OR('Your debts'!$B$6&lt;&gt;"",N('Your debts'!$C$6)&gt;0))),"",IF('Your debts'!$D$20="Avalanche",'Avalanche workings'!$AP$603,'Snowball workings'!$AP$603))</f>
      </c>
      <c r="H601" s="29">
        <f>IF(OR(596&gt;$Z$1,NOT(OR('Your debts'!$B$7&lt;&gt;"",N('Your debts'!$C$7)&gt;0))),"",IF('Your debts'!$D$20="Avalanche",'Avalanche workings'!$M$603,'Snowball workings'!$M$603)+IF('Your debts'!$D$20="Avalanche",'Avalanche workings'!$AG$603,'Snowball workings'!$AG$603))</f>
      </c>
      <c r="I601" s="30">
        <f>IF(OR(596&gt;$Z$1,NOT(OR('Your debts'!$B$7&lt;&gt;"",N('Your debts'!$C$7)&gt;0))),"",IF('Your debts'!$D$20="Avalanche",'Avalanche workings'!$AQ$603,'Snowball workings'!$AQ$603))</f>
      </c>
      <c r="J601" s="29">
        <f>IF(OR(596&gt;$Z$1,NOT(OR('Your debts'!$B$8&lt;&gt;"",N('Your debts'!$C$8)&gt;0))),"",IF('Your debts'!$D$20="Avalanche",'Avalanche workings'!$N$603,'Snowball workings'!$N$603)+IF('Your debts'!$D$20="Avalanche",'Avalanche workings'!$AH$603,'Snowball workings'!$AH$603))</f>
      </c>
      <c r="K601" s="30">
        <f>IF(OR(596&gt;$Z$1,NOT(OR('Your debts'!$B$8&lt;&gt;"",N('Your debts'!$C$8)&gt;0))),"",IF('Your debts'!$D$20="Avalanche",'Avalanche workings'!$AR$603,'Snowball workings'!$AR$603))</f>
      </c>
      <c r="L601" s="29">
        <f>IF(OR(596&gt;$Z$1,NOT(OR('Your debts'!$B$9&lt;&gt;"",N('Your debts'!$C$9)&gt;0))),"",IF('Your debts'!$D$20="Avalanche",'Avalanche workings'!$O$603,'Snowball workings'!$O$603)+IF('Your debts'!$D$20="Avalanche",'Avalanche workings'!$AI$603,'Snowball workings'!$AI$603))</f>
      </c>
      <c r="M601" s="30">
        <f>IF(OR(596&gt;$Z$1,NOT(OR('Your debts'!$B$9&lt;&gt;"",N('Your debts'!$C$9)&gt;0))),"",IF('Your debts'!$D$20="Avalanche",'Avalanche workings'!$AS$603,'Snowball workings'!$AS$603))</f>
      </c>
      <c r="N601" s="29">
        <f>IF(OR(596&gt;$Z$1,NOT(OR('Your debts'!$B$10&lt;&gt;"",N('Your debts'!$C$10)&gt;0))),"",IF('Your debts'!$D$20="Avalanche",'Avalanche workings'!$P$603,'Snowball workings'!$P$603)+IF('Your debts'!$D$20="Avalanche",'Avalanche workings'!$AJ$603,'Snowball workings'!$AJ$603))</f>
      </c>
      <c r="O601" s="30">
        <f>IF(OR(596&gt;$Z$1,NOT(OR('Your debts'!$B$10&lt;&gt;"",N('Your debts'!$C$10)&gt;0))),"",IF('Your debts'!$D$20="Avalanche",'Avalanche workings'!$AT$603,'Snowball workings'!$AT$603))</f>
      </c>
      <c r="P601" s="29">
        <f>IF(OR(596&gt;$Z$1,NOT(OR('Your debts'!$B$11&lt;&gt;"",N('Your debts'!$C$11)&gt;0))),"",IF('Your debts'!$D$20="Avalanche",'Avalanche workings'!$Q$603,'Snowball workings'!$Q$603)+IF('Your debts'!$D$20="Avalanche",'Avalanche workings'!$AK$603,'Snowball workings'!$AK$603))</f>
      </c>
      <c r="Q601" s="30">
        <f>IF(OR(596&gt;$Z$1,NOT(OR('Your debts'!$B$11&lt;&gt;"",N('Your debts'!$C$11)&gt;0))),"",IF('Your debts'!$D$20="Avalanche",'Avalanche workings'!$AU$603,'Snowball workings'!$AU$603))</f>
      </c>
      <c r="R601" s="29">
        <f>IF(OR(596&gt;$Z$1,NOT(OR('Your debts'!$B$12&lt;&gt;"",N('Your debts'!$C$12)&gt;0))),"",IF('Your debts'!$D$20="Avalanche",'Avalanche workings'!$R$603,'Snowball workings'!$R$603)+IF('Your debts'!$D$20="Avalanche",'Avalanche workings'!$AL$603,'Snowball workings'!$AL$603))</f>
      </c>
      <c r="S601" s="30">
        <f>IF(OR(596&gt;$Z$1,NOT(OR('Your debts'!$B$12&lt;&gt;"",N('Your debts'!$C$12)&gt;0))),"",IF('Your debts'!$D$20="Avalanche",'Avalanche workings'!$AV$603,'Snowball workings'!$AV$603))</f>
      </c>
      <c r="T601" s="29">
        <f>IF(OR(596&gt;$Z$1,NOT(OR('Your debts'!$B$13&lt;&gt;"",N('Your debts'!$C$13)&gt;0))),"",IF('Your debts'!$D$20="Avalanche",'Avalanche workings'!$S$603,'Snowball workings'!$S$603)+IF('Your debts'!$D$20="Avalanche",'Avalanche workings'!$AM$603,'Snowball workings'!$AM$603))</f>
      </c>
      <c r="U601" s="30">
        <f>IF(OR(596&gt;$Z$1,NOT(OR('Your debts'!$B$13&lt;&gt;"",N('Your debts'!$C$13)&gt;0))),"",IF('Your debts'!$D$20="Avalanche",'Avalanche workings'!$AW$603,'Snowball workings'!$AW$603))</f>
      </c>
      <c r="V601" s="29">
        <f>IF(OR(596&gt;$Z$1,NOT(OR('Your debts'!$B$14&lt;&gt;"",N('Your debts'!$C$14)&gt;0))),"",IF('Your debts'!$D$20="Avalanche",'Avalanche workings'!$T$603,'Snowball workings'!$T$603)+IF('Your debts'!$D$20="Avalanche",'Avalanche workings'!$AN$603,'Snowball workings'!$AN$603))</f>
      </c>
      <c r="W601" s="30">
        <f>IF(OR(596&gt;$Z$1,NOT(OR('Your debts'!$B$14&lt;&gt;"",N('Your debts'!$C$14)&gt;0))),"",IF('Your debts'!$D$20="Avalanche",'Avalanche workings'!$AX$603,'Snowball workings'!$AX$603))</f>
      </c>
      <c r="X601" s="29">
        <f>IF(OR(596&gt;$Z$1,NOT(OR('Your debts'!$B$15&lt;&gt;"",N('Your debts'!$C$15)&gt;0))),"",IF('Your debts'!$D$20="Avalanche",'Avalanche workings'!$U$603,'Snowball workings'!$U$603)+IF('Your debts'!$D$20="Avalanche",'Avalanche workings'!$AO$603,'Snowball workings'!$AO$603))</f>
      </c>
      <c r="Y601" s="30">
        <f>IF(OR(596&gt;$Z$1,NOT(OR('Your debts'!$B$15&lt;&gt;"",N('Your debts'!$C$15)&gt;0))),"",IF('Your debts'!$D$20="Avalanche",'Avalanche workings'!$AY$603,'Snowball workings'!$AY$603))</f>
      </c>
    </row>
    <row r="602" spans="1:25" x14ac:dyDescent="0.25">
      <c r="A602" s="2">
        <f>IF(597&gt;$Z$1,"",597)</f>
      </c>
      <c r="B602" s="28">
        <f>IF(597&gt;$Z$1,"",EDATE('Your debts'!$D$21,596))</f>
      </c>
      <c r="C602" s="29">
        <f>IF(597&gt;$Z$1,"",IF('Your debts'!$D$20="Avalanche",'Avalanche workings'!$BC$604,'Snowball workings'!$BC$604))</f>
      </c>
      <c r="D602" s="29">
        <f>IF(597&gt;$Z$1,"",IF('Your debts'!$D$20="Avalanche",'Avalanche workings'!$BA$604,'Snowball workings'!$BA$604))</f>
      </c>
      <c r="E602" s="29">
        <f>IF(597&gt;$Z$1,"",IF('Your debts'!$D$20="Avalanche",'Avalanche workings'!$BB$604,'Snowball workings'!$BB$604))</f>
      </c>
      <c r="F602" s="29">
        <f>IF(OR(597&gt;$Z$1,NOT(OR('Your debts'!$B$6&lt;&gt;"",N('Your debts'!$C$6)&gt;0))),"",IF('Your debts'!$D$20="Avalanche",'Avalanche workings'!$L$604,'Snowball workings'!$L$604)+IF('Your debts'!$D$20="Avalanche",'Avalanche workings'!$AF$604,'Snowball workings'!$AF$604))</f>
      </c>
      <c r="G602" s="30">
        <f>IF(OR(597&gt;$Z$1,NOT(OR('Your debts'!$B$6&lt;&gt;"",N('Your debts'!$C$6)&gt;0))),"",IF('Your debts'!$D$20="Avalanche",'Avalanche workings'!$AP$604,'Snowball workings'!$AP$604))</f>
      </c>
      <c r="H602" s="29">
        <f>IF(OR(597&gt;$Z$1,NOT(OR('Your debts'!$B$7&lt;&gt;"",N('Your debts'!$C$7)&gt;0))),"",IF('Your debts'!$D$20="Avalanche",'Avalanche workings'!$M$604,'Snowball workings'!$M$604)+IF('Your debts'!$D$20="Avalanche",'Avalanche workings'!$AG$604,'Snowball workings'!$AG$604))</f>
      </c>
      <c r="I602" s="30">
        <f>IF(OR(597&gt;$Z$1,NOT(OR('Your debts'!$B$7&lt;&gt;"",N('Your debts'!$C$7)&gt;0))),"",IF('Your debts'!$D$20="Avalanche",'Avalanche workings'!$AQ$604,'Snowball workings'!$AQ$604))</f>
      </c>
      <c r="J602" s="29">
        <f>IF(OR(597&gt;$Z$1,NOT(OR('Your debts'!$B$8&lt;&gt;"",N('Your debts'!$C$8)&gt;0))),"",IF('Your debts'!$D$20="Avalanche",'Avalanche workings'!$N$604,'Snowball workings'!$N$604)+IF('Your debts'!$D$20="Avalanche",'Avalanche workings'!$AH$604,'Snowball workings'!$AH$604))</f>
      </c>
      <c r="K602" s="30">
        <f>IF(OR(597&gt;$Z$1,NOT(OR('Your debts'!$B$8&lt;&gt;"",N('Your debts'!$C$8)&gt;0))),"",IF('Your debts'!$D$20="Avalanche",'Avalanche workings'!$AR$604,'Snowball workings'!$AR$604))</f>
      </c>
      <c r="L602" s="29">
        <f>IF(OR(597&gt;$Z$1,NOT(OR('Your debts'!$B$9&lt;&gt;"",N('Your debts'!$C$9)&gt;0))),"",IF('Your debts'!$D$20="Avalanche",'Avalanche workings'!$O$604,'Snowball workings'!$O$604)+IF('Your debts'!$D$20="Avalanche",'Avalanche workings'!$AI$604,'Snowball workings'!$AI$604))</f>
      </c>
      <c r="M602" s="30">
        <f>IF(OR(597&gt;$Z$1,NOT(OR('Your debts'!$B$9&lt;&gt;"",N('Your debts'!$C$9)&gt;0))),"",IF('Your debts'!$D$20="Avalanche",'Avalanche workings'!$AS$604,'Snowball workings'!$AS$604))</f>
      </c>
      <c r="N602" s="29">
        <f>IF(OR(597&gt;$Z$1,NOT(OR('Your debts'!$B$10&lt;&gt;"",N('Your debts'!$C$10)&gt;0))),"",IF('Your debts'!$D$20="Avalanche",'Avalanche workings'!$P$604,'Snowball workings'!$P$604)+IF('Your debts'!$D$20="Avalanche",'Avalanche workings'!$AJ$604,'Snowball workings'!$AJ$604))</f>
      </c>
      <c r="O602" s="30">
        <f>IF(OR(597&gt;$Z$1,NOT(OR('Your debts'!$B$10&lt;&gt;"",N('Your debts'!$C$10)&gt;0))),"",IF('Your debts'!$D$20="Avalanche",'Avalanche workings'!$AT$604,'Snowball workings'!$AT$604))</f>
      </c>
      <c r="P602" s="29">
        <f>IF(OR(597&gt;$Z$1,NOT(OR('Your debts'!$B$11&lt;&gt;"",N('Your debts'!$C$11)&gt;0))),"",IF('Your debts'!$D$20="Avalanche",'Avalanche workings'!$Q$604,'Snowball workings'!$Q$604)+IF('Your debts'!$D$20="Avalanche",'Avalanche workings'!$AK$604,'Snowball workings'!$AK$604))</f>
      </c>
      <c r="Q602" s="30">
        <f>IF(OR(597&gt;$Z$1,NOT(OR('Your debts'!$B$11&lt;&gt;"",N('Your debts'!$C$11)&gt;0))),"",IF('Your debts'!$D$20="Avalanche",'Avalanche workings'!$AU$604,'Snowball workings'!$AU$604))</f>
      </c>
      <c r="R602" s="29">
        <f>IF(OR(597&gt;$Z$1,NOT(OR('Your debts'!$B$12&lt;&gt;"",N('Your debts'!$C$12)&gt;0))),"",IF('Your debts'!$D$20="Avalanche",'Avalanche workings'!$R$604,'Snowball workings'!$R$604)+IF('Your debts'!$D$20="Avalanche",'Avalanche workings'!$AL$604,'Snowball workings'!$AL$604))</f>
      </c>
      <c r="S602" s="30">
        <f>IF(OR(597&gt;$Z$1,NOT(OR('Your debts'!$B$12&lt;&gt;"",N('Your debts'!$C$12)&gt;0))),"",IF('Your debts'!$D$20="Avalanche",'Avalanche workings'!$AV$604,'Snowball workings'!$AV$604))</f>
      </c>
      <c r="T602" s="29">
        <f>IF(OR(597&gt;$Z$1,NOT(OR('Your debts'!$B$13&lt;&gt;"",N('Your debts'!$C$13)&gt;0))),"",IF('Your debts'!$D$20="Avalanche",'Avalanche workings'!$S$604,'Snowball workings'!$S$604)+IF('Your debts'!$D$20="Avalanche",'Avalanche workings'!$AM$604,'Snowball workings'!$AM$604))</f>
      </c>
      <c r="U602" s="30">
        <f>IF(OR(597&gt;$Z$1,NOT(OR('Your debts'!$B$13&lt;&gt;"",N('Your debts'!$C$13)&gt;0))),"",IF('Your debts'!$D$20="Avalanche",'Avalanche workings'!$AW$604,'Snowball workings'!$AW$604))</f>
      </c>
      <c r="V602" s="29">
        <f>IF(OR(597&gt;$Z$1,NOT(OR('Your debts'!$B$14&lt;&gt;"",N('Your debts'!$C$14)&gt;0))),"",IF('Your debts'!$D$20="Avalanche",'Avalanche workings'!$T$604,'Snowball workings'!$T$604)+IF('Your debts'!$D$20="Avalanche",'Avalanche workings'!$AN$604,'Snowball workings'!$AN$604))</f>
      </c>
      <c r="W602" s="30">
        <f>IF(OR(597&gt;$Z$1,NOT(OR('Your debts'!$B$14&lt;&gt;"",N('Your debts'!$C$14)&gt;0))),"",IF('Your debts'!$D$20="Avalanche",'Avalanche workings'!$AX$604,'Snowball workings'!$AX$604))</f>
      </c>
      <c r="X602" s="29">
        <f>IF(OR(597&gt;$Z$1,NOT(OR('Your debts'!$B$15&lt;&gt;"",N('Your debts'!$C$15)&gt;0))),"",IF('Your debts'!$D$20="Avalanche",'Avalanche workings'!$U$604,'Snowball workings'!$U$604)+IF('Your debts'!$D$20="Avalanche",'Avalanche workings'!$AO$604,'Snowball workings'!$AO$604))</f>
      </c>
      <c r="Y602" s="30">
        <f>IF(OR(597&gt;$Z$1,NOT(OR('Your debts'!$B$15&lt;&gt;"",N('Your debts'!$C$15)&gt;0))),"",IF('Your debts'!$D$20="Avalanche",'Avalanche workings'!$AY$604,'Snowball workings'!$AY$604))</f>
      </c>
    </row>
    <row r="603" spans="1:25" x14ac:dyDescent="0.25">
      <c r="A603" s="2">
        <f>IF(598&gt;$Z$1,"",598)</f>
      </c>
      <c r="B603" s="28">
        <f>IF(598&gt;$Z$1,"",EDATE('Your debts'!$D$21,597))</f>
      </c>
      <c r="C603" s="29">
        <f>IF(598&gt;$Z$1,"",IF('Your debts'!$D$20="Avalanche",'Avalanche workings'!$BC$605,'Snowball workings'!$BC$605))</f>
      </c>
      <c r="D603" s="29">
        <f>IF(598&gt;$Z$1,"",IF('Your debts'!$D$20="Avalanche",'Avalanche workings'!$BA$605,'Snowball workings'!$BA$605))</f>
      </c>
      <c r="E603" s="29">
        <f>IF(598&gt;$Z$1,"",IF('Your debts'!$D$20="Avalanche",'Avalanche workings'!$BB$605,'Snowball workings'!$BB$605))</f>
      </c>
      <c r="F603" s="29">
        <f>IF(OR(598&gt;$Z$1,NOT(OR('Your debts'!$B$6&lt;&gt;"",N('Your debts'!$C$6)&gt;0))),"",IF('Your debts'!$D$20="Avalanche",'Avalanche workings'!$L$605,'Snowball workings'!$L$605)+IF('Your debts'!$D$20="Avalanche",'Avalanche workings'!$AF$605,'Snowball workings'!$AF$605))</f>
      </c>
      <c r="G603" s="30">
        <f>IF(OR(598&gt;$Z$1,NOT(OR('Your debts'!$B$6&lt;&gt;"",N('Your debts'!$C$6)&gt;0))),"",IF('Your debts'!$D$20="Avalanche",'Avalanche workings'!$AP$605,'Snowball workings'!$AP$605))</f>
      </c>
      <c r="H603" s="29">
        <f>IF(OR(598&gt;$Z$1,NOT(OR('Your debts'!$B$7&lt;&gt;"",N('Your debts'!$C$7)&gt;0))),"",IF('Your debts'!$D$20="Avalanche",'Avalanche workings'!$M$605,'Snowball workings'!$M$605)+IF('Your debts'!$D$20="Avalanche",'Avalanche workings'!$AG$605,'Snowball workings'!$AG$605))</f>
      </c>
      <c r="I603" s="30">
        <f>IF(OR(598&gt;$Z$1,NOT(OR('Your debts'!$B$7&lt;&gt;"",N('Your debts'!$C$7)&gt;0))),"",IF('Your debts'!$D$20="Avalanche",'Avalanche workings'!$AQ$605,'Snowball workings'!$AQ$605))</f>
      </c>
      <c r="J603" s="29">
        <f>IF(OR(598&gt;$Z$1,NOT(OR('Your debts'!$B$8&lt;&gt;"",N('Your debts'!$C$8)&gt;0))),"",IF('Your debts'!$D$20="Avalanche",'Avalanche workings'!$N$605,'Snowball workings'!$N$605)+IF('Your debts'!$D$20="Avalanche",'Avalanche workings'!$AH$605,'Snowball workings'!$AH$605))</f>
      </c>
      <c r="K603" s="30">
        <f>IF(OR(598&gt;$Z$1,NOT(OR('Your debts'!$B$8&lt;&gt;"",N('Your debts'!$C$8)&gt;0))),"",IF('Your debts'!$D$20="Avalanche",'Avalanche workings'!$AR$605,'Snowball workings'!$AR$605))</f>
      </c>
      <c r="L603" s="29">
        <f>IF(OR(598&gt;$Z$1,NOT(OR('Your debts'!$B$9&lt;&gt;"",N('Your debts'!$C$9)&gt;0))),"",IF('Your debts'!$D$20="Avalanche",'Avalanche workings'!$O$605,'Snowball workings'!$O$605)+IF('Your debts'!$D$20="Avalanche",'Avalanche workings'!$AI$605,'Snowball workings'!$AI$605))</f>
      </c>
      <c r="M603" s="30">
        <f>IF(OR(598&gt;$Z$1,NOT(OR('Your debts'!$B$9&lt;&gt;"",N('Your debts'!$C$9)&gt;0))),"",IF('Your debts'!$D$20="Avalanche",'Avalanche workings'!$AS$605,'Snowball workings'!$AS$605))</f>
      </c>
      <c r="N603" s="29">
        <f>IF(OR(598&gt;$Z$1,NOT(OR('Your debts'!$B$10&lt;&gt;"",N('Your debts'!$C$10)&gt;0))),"",IF('Your debts'!$D$20="Avalanche",'Avalanche workings'!$P$605,'Snowball workings'!$P$605)+IF('Your debts'!$D$20="Avalanche",'Avalanche workings'!$AJ$605,'Snowball workings'!$AJ$605))</f>
      </c>
      <c r="O603" s="30">
        <f>IF(OR(598&gt;$Z$1,NOT(OR('Your debts'!$B$10&lt;&gt;"",N('Your debts'!$C$10)&gt;0))),"",IF('Your debts'!$D$20="Avalanche",'Avalanche workings'!$AT$605,'Snowball workings'!$AT$605))</f>
      </c>
      <c r="P603" s="29">
        <f>IF(OR(598&gt;$Z$1,NOT(OR('Your debts'!$B$11&lt;&gt;"",N('Your debts'!$C$11)&gt;0))),"",IF('Your debts'!$D$20="Avalanche",'Avalanche workings'!$Q$605,'Snowball workings'!$Q$605)+IF('Your debts'!$D$20="Avalanche",'Avalanche workings'!$AK$605,'Snowball workings'!$AK$605))</f>
      </c>
      <c r="Q603" s="30">
        <f>IF(OR(598&gt;$Z$1,NOT(OR('Your debts'!$B$11&lt;&gt;"",N('Your debts'!$C$11)&gt;0))),"",IF('Your debts'!$D$20="Avalanche",'Avalanche workings'!$AU$605,'Snowball workings'!$AU$605))</f>
      </c>
      <c r="R603" s="29">
        <f>IF(OR(598&gt;$Z$1,NOT(OR('Your debts'!$B$12&lt;&gt;"",N('Your debts'!$C$12)&gt;0))),"",IF('Your debts'!$D$20="Avalanche",'Avalanche workings'!$R$605,'Snowball workings'!$R$605)+IF('Your debts'!$D$20="Avalanche",'Avalanche workings'!$AL$605,'Snowball workings'!$AL$605))</f>
      </c>
      <c r="S603" s="30">
        <f>IF(OR(598&gt;$Z$1,NOT(OR('Your debts'!$B$12&lt;&gt;"",N('Your debts'!$C$12)&gt;0))),"",IF('Your debts'!$D$20="Avalanche",'Avalanche workings'!$AV$605,'Snowball workings'!$AV$605))</f>
      </c>
      <c r="T603" s="29">
        <f>IF(OR(598&gt;$Z$1,NOT(OR('Your debts'!$B$13&lt;&gt;"",N('Your debts'!$C$13)&gt;0))),"",IF('Your debts'!$D$20="Avalanche",'Avalanche workings'!$S$605,'Snowball workings'!$S$605)+IF('Your debts'!$D$20="Avalanche",'Avalanche workings'!$AM$605,'Snowball workings'!$AM$605))</f>
      </c>
      <c r="U603" s="30">
        <f>IF(OR(598&gt;$Z$1,NOT(OR('Your debts'!$B$13&lt;&gt;"",N('Your debts'!$C$13)&gt;0))),"",IF('Your debts'!$D$20="Avalanche",'Avalanche workings'!$AW$605,'Snowball workings'!$AW$605))</f>
      </c>
      <c r="V603" s="29">
        <f>IF(OR(598&gt;$Z$1,NOT(OR('Your debts'!$B$14&lt;&gt;"",N('Your debts'!$C$14)&gt;0))),"",IF('Your debts'!$D$20="Avalanche",'Avalanche workings'!$T$605,'Snowball workings'!$T$605)+IF('Your debts'!$D$20="Avalanche",'Avalanche workings'!$AN$605,'Snowball workings'!$AN$605))</f>
      </c>
      <c r="W603" s="30">
        <f>IF(OR(598&gt;$Z$1,NOT(OR('Your debts'!$B$14&lt;&gt;"",N('Your debts'!$C$14)&gt;0))),"",IF('Your debts'!$D$20="Avalanche",'Avalanche workings'!$AX$605,'Snowball workings'!$AX$605))</f>
      </c>
      <c r="X603" s="29">
        <f>IF(OR(598&gt;$Z$1,NOT(OR('Your debts'!$B$15&lt;&gt;"",N('Your debts'!$C$15)&gt;0))),"",IF('Your debts'!$D$20="Avalanche",'Avalanche workings'!$U$605,'Snowball workings'!$U$605)+IF('Your debts'!$D$20="Avalanche",'Avalanche workings'!$AO$605,'Snowball workings'!$AO$605))</f>
      </c>
      <c r="Y603" s="30">
        <f>IF(OR(598&gt;$Z$1,NOT(OR('Your debts'!$B$15&lt;&gt;"",N('Your debts'!$C$15)&gt;0))),"",IF('Your debts'!$D$20="Avalanche",'Avalanche workings'!$AY$605,'Snowball workings'!$AY$605))</f>
      </c>
    </row>
    <row r="604" spans="1:25" x14ac:dyDescent="0.25">
      <c r="A604" s="2">
        <f>IF(599&gt;$Z$1,"",599)</f>
      </c>
      <c r="B604" s="28">
        <f>IF(599&gt;$Z$1,"",EDATE('Your debts'!$D$21,598))</f>
      </c>
      <c r="C604" s="29">
        <f>IF(599&gt;$Z$1,"",IF('Your debts'!$D$20="Avalanche",'Avalanche workings'!$BC$606,'Snowball workings'!$BC$606))</f>
      </c>
      <c r="D604" s="29">
        <f>IF(599&gt;$Z$1,"",IF('Your debts'!$D$20="Avalanche",'Avalanche workings'!$BA$606,'Snowball workings'!$BA$606))</f>
      </c>
      <c r="E604" s="29">
        <f>IF(599&gt;$Z$1,"",IF('Your debts'!$D$20="Avalanche",'Avalanche workings'!$BB$606,'Snowball workings'!$BB$606))</f>
      </c>
      <c r="F604" s="29">
        <f>IF(OR(599&gt;$Z$1,NOT(OR('Your debts'!$B$6&lt;&gt;"",N('Your debts'!$C$6)&gt;0))),"",IF('Your debts'!$D$20="Avalanche",'Avalanche workings'!$L$606,'Snowball workings'!$L$606)+IF('Your debts'!$D$20="Avalanche",'Avalanche workings'!$AF$606,'Snowball workings'!$AF$606))</f>
      </c>
      <c r="G604" s="30">
        <f>IF(OR(599&gt;$Z$1,NOT(OR('Your debts'!$B$6&lt;&gt;"",N('Your debts'!$C$6)&gt;0))),"",IF('Your debts'!$D$20="Avalanche",'Avalanche workings'!$AP$606,'Snowball workings'!$AP$606))</f>
      </c>
      <c r="H604" s="29">
        <f>IF(OR(599&gt;$Z$1,NOT(OR('Your debts'!$B$7&lt;&gt;"",N('Your debts'!$C$7)&gt;0))),"",IF('Your debts'!$D$20="Avalanche",'Avalanche workings'!$M$606,'Snowball workings'!$M$606)+IF('Your debts'!$D$20="Avalanche",'Avalanche workings'!$AG$606,'Snowball workings'!$AG$606))</f>
      </c>
      <c r="I604" s="30">
        <f>IF(OR(599&gt;$Z$1,NOT(OR('Your debts'!$B$7&lt;&gt;"",N('Your debts'!$C$7)&gt;0))),"",IF('Your debts'!$D$20="Avalanche",'Avalanche workings'!$AQ$606,'Snowball workings'!$AQ$606))</f>
      </c>
      <c r="J604" s="29">
        <f>IF(OR(599&gt;$Z$1,NOT(OR('Your debts'!$B$8&lt;&gt;"",N('Your debts'!$C$8)&gt;0))),"",IF('Your debts'!$D$20="Avalanche",'Avalanche workings'!$N$606,'Snowball workings'!$N$606)+IF('Your debts'!$D$20="Avalanche",'Avalanche workings'!$AH$606,'Snowball workings'!$AH$606))</f>
      </c>
      <c r="K604" s="30">
        <f>IF(OR(599&gt;$Z$1,NOT(OR('Your debts'!$B$8&lt;&gt;"",N('Your debts'!$C$8)&gt;0))),"",IF('Your debts'!$D$20="Avalanche",'Avalanche workings'!$AR$606,'Snowball workings'!$AR$606))</f>
      </c>
      <c r="L604" s="29">
        <f>IF(OR(599&gt;$Z$1,NOT(OR('Your debts'!$B$9&lt;&gt;"",N('Your debts'!$C$9)&gt;0))),"",IF('Your debts'!$D$20="Avalanche",'Avalanche workings'!$O$606,'Snowball workings'!$O$606)+IF('Your debts'!$D$20="Avalanche",'Avalanche workings'!$AI$606,'Snowball workings'!$AI$606))</f>
      </c>
      <c r="M604" s="30">
        <f>IF(OR(599&gt;$Z$1,NOT(OR('Your debts'!$B$9&lt;&gt;"",N('Your debts'!$C$9)&gt;0))),"",IF('Your debts'!$D$20="Avalanche",'Avalanche workings'!$AS$606,'Snowball workings'!$AS$606))</f>
      </c>
      <c r="N604" s="29">
        <f>IF(OR(599&gt;$Z$1,NOT(OR('Your debts'!$B$10&lt;&gt;"",N('Your debts'!$C$10)&gt;0))),"",IF('Your debts'!$D$20="Avalanche",'Avalanche workings'!$P$606,'Snowball workings'!$P$606)+IF('Your debts'!$D$20="Avalanche",'Avalanche workings'!$AJ$606,'Snowball workings'!$AJ$606))</f>
      </c>
      <c r="O604" s="30">
        <f>IF(OR(599&gt;$Z$1,NOT(OR('Your debts'!$B$10&lt;&gt;"",N('Your debts'!$C$10)&gt;0))),"",IF('Your debts'!$D$20="Avalanche",'Avalanche workings'!$AT$606,'Snowball workings'!$AT$606))</f>
      </c>
      <c r="P604" s="29">
        <f>IF(OR(599&gt;$Z$1,NOT(OR('Your debts'!$B$11&lt;&gt;"",N('Your debts'!$C$11)&gt;0))),"",IF('Your debts'!$D$20="Avalanche",'Avalanche workings'!$Q$606,'Snowball workings'!$Q$606)+IF('Your debts'!$D$20="Avalanche",'Avalanche workings'!$AK$606,'Snowball workings'!$AK$606))</f>
      </c>
      <c r="Q604" s="30">
        <f>IF(OR(599&gt;$Z$1,NOT(OR('Your debts'!$B$11&lt;&gt;"",N('Your debts'!$C$11)&gt;0))),"",IF('Your debts'!$D$20="Avalanche",'Avalanche workings'!$AU$606,'Snowball workings'!$AU$606))</f>
      </c>
      <c r="R604" s="29">
        <f>IF(OR(599&gt;$Z$1,NOT(OR('Your debts'!$B$12&lt;&gt;"",N('Your debts'!$C$12)&gt;0))),"",IF('Your debts'!$D$20="Avalanche",'Avalanche workings'!$R$606,'Snowball workings'!$R$606)+IF('Your debts'!$D$20="Avalanche",'Avalanche workings'!$AL$606,'Snowball workings'!$AL$606))</f>
      </c>
      <c r="S604" s="30">
        <f>IF(OR(599&gt;$Z$1,NOT(OR('Your debts'!$B$12&lt;&gt;"",N('Your debts'!$C$12)&gt;0))),"",IF('Your debts'!$D$20="Avalanche",'Avalanche workings'!$AV$606,'Snowball workings'!$AV$606))</f>
      </c>
      <c r="T604" s="29">
        <f>IF(OR(599&gt;$Z$1,NOT(OR('Your debts'!$B$13&lt;&gt;"",N('Your debts'!$C$13)&gt;0))),"",IF('Your debts'!$D$20="Avalanche",'Avalanche workings'!$S$606,'Snowball workings'!$S$606)+IF('Your debts'!$D$20="Avalanche",'Avalanche workings'!$AM$606,'Snowball workings'!$AM$606))</f>
      </c>
      <c r="U604" s="30">
        <f>IF(OR(599&gt;$Z$1,NOT(OR('Your debts'!$B$13&lt;&gt;"",N('Your debts'!$C$13)&gt;0))),"",IF('Your debts'!$D$20="Avalanche",'Avalanche workings'!$AW$606,'Snowball workings'!$AW$606))</f>
      </c>
      <c r="V604" s="29">
        <f>IF(OR(599&gt;$Z$1,NOT(OR('Your debts'!$B$14&lt;&gt;"",N('Your debts'!$C$14)&gt;0))),"",IF('Your debts'!$D$20="Avalanche",'Avalanche workings'!$T$606,'Snowball workings'!$T$606)+IF('Your debts'!$D$20="Avalanche",'Avalanche workings'!$AN$606,'Snowball workings'!$AN$606))</f>
      </c>
      <c r="W604" s="30">
        <f>IF(OR(599&gt;$Z$1,NOT(OR('Your debts'!$B$14&lt;&gt;"",N('Your debts'!$C$14)&gt;0))),"",IF('Your debts'!$D$20="Avalanche",'Avalanche workings'!$AX$606,'Snowball workings'!$AX$606))</f>
      </c>
      <c r="X604" s="29">
        <f>IF(OR(599&gt;$Z$1,NOT(OR('Your debts'!$B$15&lt;&gt;"",N('Your debts'!$C$15)&gt;0))),"",IF('Your debts'!$D$20="Avalanche",'Avalanche workings'!$U$606,'Snowball workings'!$U$606)+IF('Your debts'!$D$20="Avalanche",'Avalanche workings'!$AO$606,'Snowball workings'!$AO$606))</f>
      </c>
      <c r="Y604" s="30">
        <f>IF(OR(599&gt;$Z$1,NOT(OR('Your debts'!$B$15&lt;&gt;"",N('Your debts'!$C$15)&gt;0))),"",IF('Your debts'!$D$20="Avalanche",'Avalanche workings'!$AY$606,'Snowball workings'!$AY$606))</f>
      </c>
    </row>
    <row r="605" spans="1:25" x14ac:dyDescent="0.25">
      <c r="A605" s="2">
        <f>IF(600&gt;$Z$1,"",600)</f>
      </c>
      <c r="B605" s="28">
        <f>IF(600&gt;$Z$1,"",EDATE('Your debts'!$D$21,599))</f>
      </c>
      <c r="C605" s="29">
        <f>IF(600&gt;$Z$1,"",IF('Your debts'!$D$20="Avalanche",'Avalanche workings'!$BC$607,'Snowball workings'!$BC$607))</f>
      </c>
      <c r="D605" s="29">
        <f>IF(600&gt;$Z$1,"",IF('Your debts'!$D$20="Avalanche",'Avalanche workings'!$BA$607,'Snowball workings'!$BA$607))</f>
      </c>
      <c r="E605" s="29">
        <f>IF(600&gt;$Z$1,"",IF('Your debts'!$D$20="Avalanche",'Avalanche workings'!$BB$607,'Snowball workings'!$BB$607))</f>
      </c>
      <c r="F605" s="29">
        <f>IF(OR(600&gt;$Z$1,NOT(OR('Your debts'!$B$6&lt;&gt;"",N('Your debts'!$C$6)&gt;0))),"",IF('Your debts'!$D$20="Avalanche",'Avalanche workings'!$L$607,'Snowball workings'!$L$607)+IF('Your debts'!$D$20="Avalanche",'Avalanche workings'!$AF$607,'Snowball workings'!$AF$607))</f>
      </c>
      <c r="G605" s="30">
        <f>IF(OR(600&gt;$Z$1,NOT(OR('Your debts'!$B$6&lt;&gt;"",N('Your debts'!$C$6)&gt;0))),"",IF('Your debts'!$D$20="Avalanche",'Avalanche workings'!$AP$607,'Snowball workings'!$AP$607))</f>
      </c>
      <c r="H605" s="29">
        <f>IF(OR(600&gt;$Z$1,NOT(OR('Your debts'!$B$7&lt;&gt;"",N('Your debts'!$C$7)&gt;0))),"",IF('Your debts'!$D$20="Avalanche",'Avalanche workings'!$M$607,'Snowball workings'!$M$607)+IF('Your debts'!$D$20="Avalanche",'Avalanche workings'!$AG$607,'Snowball workings'!$AG$607))</f>
      </c>
      <c r="I605" s="30">
        <f>IF(OR(600&gt;$Z$1,NOT(OR('Your debts'!$B$7&lt;&gt;"",N('Your debts'!$C$7)&gt;0))),"",IF('Your debts'!$D$20="Avalanche",'Avalanche workings'!$AQ$607,'Snowball workings'!$AQ$607))</f>
      </c>
      <c r="J605" s="29">
        <f>IF(OR(600&gt;$Z$1,NOT(OR('Your debts'!$B$8&lt;&gt;"",N('Your debts'!$C$8)&gt;0))),"",IF('Your debts'!$D$20="Avalanche",'Avalanche workings'!$N$607,'Snowball workings'!$N$607)+IF('Your debts'!$D$20="Avalanche",'Avalanche workings'!$AH$607,'Snowball workings'!$AH$607))</f>
      </c>
      <c r="K605" s="30">
        <f>IF(OR(600&gt;$Z$1,NOT(OR('Your debts'!$B$8&lt;&gt;"",N('Your debts'!$C$8)&gt;0))),"",IF('Your debts'!$D$20="Avalanche",'Avalanche workings'!$AR$607,'Snowball workings'!$AR$607))</f>
      </c>
      <c r="L605" s="29">
        <f>IF(OR(600&gt;$Z$1,NOT(OR('Your debts'!$B$9&lt;&gt;"",N('Your debts'!$C$9)&gt;0))),"",IF('Your debts'!$D$20="Avalanche",'Avalanche workings'!$O$607,'Snowball workings'!$O$607)+IF('Your debts'!$D$20="Avalanche",'Avalanche workings'!$AI$607,'Snowball workings'!$AI$607))</f>
      </c>
      <c r="M605" s="30">
        <f>IF(OR(600&gt;$Z$1,NOT(OR('Your debts'!$B$9&lt;&gt;"",N('Your debts'!$C$9)&gt;0))),"",IF('Your debts'!$D$20="Avalanche",'Avalanche workings'!$AS$607,'Snowball workings'!$AS$607))</f>
      </c>
      <c r="N605" s="29">
        <f>IF(OR(600&gt;$Z$1,NOT(OR('Your debts'!$B$10&lt;&gt;"",N('Your debts'!$C$10)&gt;0))),"",IF('Your debts'!$D$20="Avalanche",'Avalanche workings'!$P$607,'Snowball workings'!$P$607)+IF('Your debts'!$D$20="Avalanche",'Avalanche workings'!$AJ$607,'Snowball workings'!$AJ$607))</f>
      </c>
      <c r="O605" s="30">
        <f>IF(OR(600&gt;$Z$1,NOT(OR('Your debts'!$B$10&lt;&gt;"",N('Your debts'!$C$10)&gt;0))),"",IF('Your debts'!$D$20="Avalanche",'Avalanche workings'!$AT$607,'Snowball workings'!$AT$607))</f>
      </c>
      <c r="P605" s="29">
        <f>IF(OR(600&gt;$Z$1,NOT(OR('Your debts'!$B$11&lt;&gt;"",N('Your debts'!$C$11)&gt;0))),"",IF('Your debts'!$D$20="Avalanche",'Avalanche workings'!$Q$607,'Snowball workings'!$Q$607)+IF('Your debts'!$D$20="Avalanche",'Avalanche workings'!$AK$607,'Snowball workings'!$AK$607))</f>
      </c>
      <c r="Q605" s="30">
        <f>IF(OR(600&gt;$Z$1,NOT(OR('Your debts'!$B$11&lt;&gt;"",N('Your debts'!$C$11)&gt;0))),"",IF('Your debts'!$D$20="Avalanche",'Avalanche workings'!$AU$607,'Snowball workings'!$AU$607))</f>
      </c>
      <c r="R605" s="29">
        <f>IF(OR(600&gt;$Z$1,NOT(OR('Your debts'!$B$12&lt;&gt;"",N('Your debts'!$C$12)&gt;0))),"",IF('Your debts'!$D$20="Avalanche",'Avalanche workings'!$R$607,'Snowball workings'!$R$607)+IF('Your debts'!$D$20="Avalanche",'Avalanche workings'!$AL$607,'Snowball workings'!$AL$607))</f>
      </c>
      <c r="S605" s="30">
        <f>IF(OR(600&gt;$Z$1,NOT(OR('Your debts'!$B$12&lt;&gt;"",N('Your debts'!$C$12)&gt;0))),"",IF('Your debts'!$D$20="Avalanche",'Avalanche workings'!$AV$607,'Snowball workings'!$AV$607))</f>
      </c>
      <c r="T605" s="29">
        <f>IF(OR(600&gt;$Z$1,NOT(OR('Your debts'!$B$13&lt;&gt;"",N('Your debts'!$C$13)&gt;0))),"",IF('Your debts'!$D$20="Avalanche",'Avalanche workings'!$S$607,'Snowball workings'!$S$607)+IF('Your debts'!$D$20="Avalanche",'Avalanche workings'!$AM$607,'Snowball workings'!$AM$607))</f>
      </c>
      <c r="U605" s="30">
        <f>IF(OR(600&gt;$Z$1,NOT(OR('Your debts'!$B$13&lt;&gt;"",N('Your debts'!$C$13)&gt;0))),"",IF('Your debts'!$D$20="Avalanche",'Avalanche workings'!$AW$607,'Snowball workings'!$AW$607))</f>
      </c>
      <c r="V605" s="29">
        <f>IF(OR(600&gt;$Z$1,NOT(OR('Your debts'!$B$14&lt;&gt;"",N('Your debts'!$C$14)&gt;0))),"",IF('Your debts'!$D$20="Avalanche",'Avalanche workings'!$T$607,'Snowball workings'!$T$607)+IF('Your debts'!$D$20="Avalanche",'Avalanche workings'!$AN$607,'Snowball workings'!$AN$607))</f>
      </c>
      <c r="W605" s="30">
        <f>IF(OR(600&gt;$Z$1,NOT(OR('Your debts'!$B$14&lt;&gt;"",N('Your debts'!$C$14)&gt;0))),"",IF('Your debts'!$D$20="Avalanche",'Avalanche workings'!$AX$607,'Snowball workings'!$AX$607))</f>
      </c>
      <c r="X605" s="29">
        <f>IF(OR(600&gt;$Z$1,NOT(OR('Your debts'!$B$15&lt;&gt;"",N('Your debts'!$C$15)&gt;0))),"",IF('Your debts'!$D$20="Avalanche",'Avalanche workings'!$U$607,'Snowball workings'!$U$607)+IF('Your debts'!$D$20="Avalanche",'Avalanche workings'!$AO$607,'Snowball workings'!$AO$607))</f>
      </c>
      <c r="Y605" s="30">
        <f>IF(OR(600&gt;$Z$1,NOT(OR('Your debts'!$B$15&lt;&gt;"",N('Your debts'!$C$15)&gt;0))),"",IF('Your debts'!$D$20="Avalanche",'Avalanche workings'!$AY$607,'Snowball workings'!$AY$607))</f>
      </c>
    </row>
  </sheetData>
  <mergeCells count="15">
    <mergeCell ref="F4:G4"/>
    <mergeCell ref="H4:I4"/>
    <mergeCell ref="J4:K4"/>
    <mergeCell ref="L4:M4"/>
    <mergeCell ref="N4:O4"/>
    <mergeCell ref="P4:Q4"/>
    <mergeCell ref="R4:S4"/>
    <mergeCell ref="T4:U4"/>
    <mergeCell ref="V4:W4"/>
    <mergeCell ref="X4:Y4"/>
    <mergeCell ref="A4:A5"/>
    <mergeCell ref="B4:B5"/>
    <mergeCell ref="C4:C5"/>
    <mergeCell ref="D4:D5"/>
    <mergeCell ref="E4:E5"/>
  </mergeCells>
  <conditionalFormatting sqref="G6:G605">
    <cfRule type="expression" dxfId="2" priority="10">
      <formula>AND(ISNUMBER(G6),G6&lt;=0.005,ISNUMBER(G5),G5&gt;0.005)</formula>
    </cfRule>
  </conditionalFormatting>
  <conditionalFormatting sqref="I6:I605">
    <cfRule type="expression" dxfId="3" priority="11">
      <formula>AND(ISNUMBER(I6),I6&lt;=0.005,ISNUMBER(I5),I5&gt;0.005)</formula>
    </cfRule>
  </conditionalFormatting>
  <conditionalFormatting sqref="K6:K605">
    <cfRule type="expression" dxfId="4" priority="12">
      <formula>AND(ISNUMBER(K6),K6&lt;=0.005,ISNUMBER(K5),K5&gt;0.005)</formula>
    </cfRule>
  </conditionalFormatting>
  <conditionalFormatting sqref="M6:M605">
    <cfRule type="expression" dxfId="5" priority="13">
      <formula>AND(ISNUMBER(M6),M6&lt;=0.005,ISNUMBER(M5),M5&gt;0.005)</formula>
    </cfRule>
  </conditionalFormatting>
  <conditionalFormatting sqref="O6:O605">
    <cfRule type="expression" dxfId="6" priority="14">
      <formula>AND(ISNUMBER(O6),O6&lt;=0.005,ISNUMBER(O5),O5&gt;0.005)</formula>
    </cfRule>
  </conditionalFormatting>
  <conditionalFormatting sqref="Q6:Q605">
    <cfRule type="expression" dxfId="7" priority="15">
      <formula>AND(ISNUMBER(Q6),Q6&lt;=0.005,ISNUMBER(Q5),Q5&gt;0.005)</formula>
    </cfRule>
  </conditionalFormatting>
  <conditionalFormatting sqref="S6:S605">
    <cfRule type="expression" dxfId="8" priority="16">
      <formula>AND(ISNUMBER(S6),S6&lt;=0.005,ISNUMBER(S5),S5&gt;0.005)</formula>
    </cfRule>
  </conditionalFormatting>
  <conditionalFormatting sqref="U6:U605">
    <cfRule type="expression" dxfId="9" priority="17">
      <formula>AND(ISNUMBER(U6),U6&lt;=0.005,ISNUMBER(U5),U5&gt;0.005)</formula>
    </cfRule>
  </conditionalFormatting>
  <conditionalFormatting sqref="W6:W605">
    <cfRule type="expression" dxfId="10" priority="18">
      <formula>AND(ISNUMBER(W6),W6&lt;=0.005,ISNUMBER(W5),W5&gt;0.005)</formula>
    </cfRule>
  </conditionalFormatting>
  <conditionalFormatting sqref="Y6:Y605">
    <cfRule type="expression" dxfId="11" priority="19">
      <formula>AND(ISNUMBER(Y6),Y6&lt;=0.005,ISNUMBER(Y5),Y5&gt;0.005)</formula>
    </cfRule>
  </conditionalFormatting>
  <pageSetup orientation="landscape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C4C2"/>
  </sheetPr>
  <dimension ref="A1:BH607"/>
  <sheetViews>
    <sheetView workbookViewId="0">
      <pane xSplit="1" ySplit="6" topLeftCell="B7" activePane="bottomRight" state="frozen"/>
      <selection pane="bottomRight"/>
    </sheetView>
  </sheetViews>
  <sheetFormatPr defaultRowHeight="15" outlineLevelRow="0" outlineLevelCol="0" x14ac:dyDescent="55"/>
  <cols>
    <col min="1" max="1" width="16" customWidth="1"/>
    <col min="2" max="55" width="14" customWidth="1"/>
    <col min="59" max="59" width="20" customWidth="1"/>
    <col min="60" max="60" width="14" customWidth="1"/>
  </cols>
  <sheetData>
    <row r="1" spans="1:1" x14ac:dyDescent="0.25">
      <c r="A1" s="31" t="s">
        <v>42</v>
      </c>
    </row>
    <row r="2" spans="1:60" x14ac:dyDescent="0.25">
      <c r="A2" s="31" t="s">
        <v>43</v>
      </c>
      <c r="B2">
        <v>1</v>
      </c>
      <c r="C2">
        <v>2</v>
      </c>
      <c r="D2">
        <v>3</v>
      </c>
      <c r="E2">
        <v>4</v>
      </c>
      <c r="F2">
        <v>5</v>
      </c>
      <c r="G2">
        <v>6</v>
      </c>
      <c r="H2">
        <v>7</v>
      </c>
      <c r="I2">
        <v>8</v>
      </c>
      <c r="J2">
        <v>9</v>
      </c>
      <c r="K2">
        <v>10</v>
      </c>
      <c r="L2">
        <v>1</v>
      </c>
      <c r="M2">
        <v>2</v>
      </c>
      <c r="N2">
        <v>3</v>
      </c>
      <c r="O2">
        <v>4</v>
      </c>
      <c r="P2">
        <v>5</v>
      </c>
      <c r="Q2">
        <v>6</v>
      </c>
      <c r="R2">
        <v>7</v>
      </c>
      <c r="S2">
        <v>8</v>
      </c>
      <c r="T2">
        <v>9</v>
      </c>
      <c r="U2">
        <v>10</v>
      </c>
      <c r="V2">
        <v>1</v>
      </c>
      <c r="W2">
        <v>2</v>
      </c>
      <c r="X2">
        <v>3</v>
      </c>
      <c r="Y2">
        <v>4</v>
      </c>
      <c r="Z2">
        <v>5</v>
      </c>
      <c r="AA2">
        <v>6</v>
      </c>
      <c r="AB2">
        <v>7</v>
      </c>
      <c r="AC2">
        <v>8</v>
      </c>
      <c r="AD2">
        <v>9</v>
      </c>
      <c r="AE2">
        <v>10</v>
      </c>
      <c r="AF2">
        <v>1</v>
      </c>
      <c r="AG2">
        <v>2</v>
      </c>
      <c r="AH2">
        <v>3</v>
      </c>
      <c r="AI2">
        <v>4</v>
      </c>
      <c r="AJ2">
        <v>5</v>
      </c>
      <c r="AK2">
        <v>6</v>
      </c>
      <c r="AL2">
        <v>7</v>
      </c>
      <c r="AM2">
        <v>8</v>
      </c>
      <c r="AN2">
        <v>9</v>
      </c>
      <c r="AO2">
        <v>10</v>
      </c>
      <c r="AP2">
        <v>1</v>
      </c>
      <c r="AQ2">
        <v>2</v>
      </c>
      <c r="AR2">
        <v>3</v>
      </c>
      <c r="AS2">
        <v>4</v>
      </c>
      <c r="AT2">
        <v>5</v>
      </c>
      <c r="AU2">
        <v>6</v>
      </c>
      <c r="AV2">
        <v>7</v>
      </c>
      <c r="AW2">
        <v>8</v>
      </c>
      <c r="AX2">
        <v>9</v>
      </c>
      <c r="AY2">
        <v>10</v>
      </c>
      <c r="BG2" s="31" t="s">
        <v>44</v>
      </c>
      <c r="BH2">
        <f>IF(OR(BB7&lt;=0,BB607&gt;0.005),"",COUNTIF(BB8:BB607,"&gt;0.005")+1)</f>
      </c>
    </row>
    <row r="3" spans="1:60" x14ac:dyDescent="0.25">
      <c r="A3" s="31" t="s">
        <v>6</v>
      </c>
      <c r="B3" s="32">
        <f>N('Your debts'!$D$6)</f>
      </c>
      <c r="C3" s="32">
        <f>N('Your debts'!$D$7)</f>
      </c>
      <c r="D3" s="32">
        <f>N('Your debts'!$D$8)</f>
      </c>
      <c r="E3" s="32">
        <f>N('Your debts'!$D$9)</f>
      </c>
      <c r="F3" s="32">
        <f>N('Your debts'!$D$10)</f>
      </c>
      <c r="G3" s="32">
        <f>N('Your debts'!$D$11)</f>
      </c>
      <c r="H3" s="32">
        <f>N('Your debts'!$D$12)</f>
      </c>
      <c r="I3" s="32">
        <f>N('Your debts'!$D$13)</f>
      </c>
      <c r="J3" s="32">
        <f>N('Your debts'!$D$14)</f>
      </c>
      <c r="K3" s="32">
        <f>N('Your debts'!$D$15)</f>
      </c>
      <c r="L3" s="32">
        <f>N('Your debts'!$D$6)</f>
      </c>
      <c r="M3" s="32">
        <f>N('Your debts'!$D$7)</f>
      </c>
      <c r="N3" s="32">
        <f>N('Your debts'!$D$8)</f>
      </c>
      <c r="O3" s="32">
        <f>N('Your debts'!$D$9)</f>
      </c>
      <c r="P3" s="32">
        <f>N('Your debts'!$D$10)</f>
      </c>
      <c r="Q3" s="32">
        <f>N('Your debts'!$D$11)</f>
      </c>
      <c r="R3" s="32">
        <f>N('Your debts'!$D$12)</f>
      </c>
      <c r="S3" s="32">
        <f>N('Your debts'!$D$13)</f>
      </c>
      <c r="T3" s="32">
        <f>N('Your debts'!$D$14)</f>
      </c>
      <c r="U3" s="32">
        <f>N('Your debts'!$D$15)</f>
      </c>
      <c r="V3" s="32">
        <f>N('Your debts'!$D$6)</f>
      </c>
      <c r="W3" s="32">
        <f>N('Your debts'!$D$7)</f>
      </c>
      <c r="X3" s="32">
        <f>N('Your debts'!$D$8)</f>
      </c>
      <c r="Y3" s="32">
        <f>N('Your debts'!$D$9)</f>
      </c>
      <c r="Z3" s="32">
        <f>N('Your debts'!$D$10)</f>
      </c>
      <c r="AA3" s="32">
        <f>N('Your debts'!$D$11)</f>
      </c>
      <c r="AB3" s="32">
        <f>N('Your debts'!$D$12)</f>
      </c>
      <c r="AC3" s="32">
        <f>N('Your debts'!$D$13)</f>
      </c>
      <c r="AD3" s="32">
        <f>N('Your debts'!$D$14)</f>
      </c>
      <c r="AE3" s="32">
        <f>N('Your debts'!$D$15)</f>
      </c>
      <c r="AF3" s="32">
        <f>N('Your debts'!$D$6)</f>
      </c>
      <c r="AG3" s="32">
        <f>N('Your debts'!$D$7)</f>
      </c>
      <c r="AH3" s="32">
        <f>N('Your debts'!$D$8)</f>
      </c>
      <c r="AI3" s="32">
        <f>N('Your debts'!$D$9)</f>
      </c>
      <c r="AJ3" s="32">
        <f>N('Your debts'!$D$10)</f>
      </c>
      <c r="AK3" s="32">
        <f>N('Your debts'!$D$11)</f>
      </c>
      <c r="AL3" s="32">
        <f>N('Your debts'!$D$12)</f>
      </c>
      <c r="AM3" s="32">
        <f>N('Your debts'!$D$13)</f>
      </c>
      <c r="AN3" s="32">
        <f>N('Your debts'!$D$14)</f>
      </c>
      <c r="AO3" s="32">
        <f>N('Your debts'!$D$15)</f>
      </c>
      <c r="AP3" s="32">
        <f>N('Your debts'!$D$6)</f>
      </c>
      <c r="AQ3" s="32">
        <f>N('Your debts'!$D$7)</f>
      </c>
      <c r="AR3" s="32">
        <f>N('Your debts'!$D$8)</f>
      </c>
      <c r="AS3" s="32">
        <f>N('Your debts'!$D$9)</f>
      </c>
      <c r="AT3" s="32">
        <f>N('Your debts'!$D$10)</f>
      </c>
      <c r="AU3" s="32">
        <f>N('Your debts'!$D$11)</f>
      </c>
      <c r="AV3" s="32">
        <f>N('Your debts'!$D$12)</f>
      </c>
      <c r="AW3" s="32">
        <f>N('Your debts'!$D$13)</f>
      </c>
      <c r="AX3" s="32">
        <f>N('Your debts'!$D$14)</f>
      </c>
      <c r="AY3" s="32">
        <f>N('Your debts'!$D$15)</f>
      </c>
      <c r="BG3" s="31" t="s">
        <v>18</v>
      </c>
      <c r="BH3" s="33">
        <f>SUM(BA8:BA607)</f>
      </c>
    </row>
    <row r="4" spans="1:60" x14ac:dyDescent="0.25">
      <c r="A4" s="31" t="s">
        <v>45</v>
      </c>
      <c r="AP4">
        <f>IF(OR(AP7&lt;=0,AP607&gt;0.005),"",COUNTIF(AP8:AP607,"&gt;0.005")+1)</f>
      </c>
      <c r="AQ4">
        <f>IF(OR(AQ7&lt;=0,AQ607&gt;0.005),"",COUNTIF(AQ8:AQ607,"&gt;0.005")+1)</f>
      </c>
      <c r="AR4">
        <f>IF(OR(AR7&lt;=0,AR607&gt;0.005),"",COUNTIF(AR8:AR607,"&gt;0.005")+1)</f>
      </c>
      <c r="AS4">
        <f>IF(OR(AS7&lt;=0,AS607&gt;0.005),"",COUNTIF(AS8:AS607,"&gt;0.005")+1)</f>
      </c>
      <c r="AT4">
        <f>IF(OR(AT7&lt;=0,AT607&gt;0.005),"",COUNTIF(AT8:AT607,"&gt;0.005")+1)</f>
      </c>
      <c r="AU4">
        <f>IF(OR(AU7&lt;=0,AU607&gt;0.005),"",COUNTIF(AU8:AU607,"&gt;0.005")+1)</f>
      </c>
      <c r="AV4">
        <f>IF(OR(AV7&lt;=0,AV607&gt;0.005),"",COUNTIF(AV8:AV607,"&gt;0.005")+1)</f>
      </c>
      <c r="AW4">
        <f>IF(OR(AW7&lt;=0,AW607&gt;0.005),"",COUNTIF(AW8:AW607,"&gt;0.005")+1)</f>
      </c>
      <c r="AX4">
        <f>IF(OR(AX7&lt;=0,AX607&gt;0.005),"",COUNTIF(AX8:AX607,"&gt;0.005")+1)</f>
      </c>
      <c r="AY4">
        <f>IF(OR(AY7&lt;=0,AY607&gt;0.005),"",COUNTIF(AY8:AY607,"&gt;0.005")+1)</f>
      </c>
      <c r="BG4" s="31" t="s">
        <v>46</v>
      </c>
      <c r="BH4" s="33">
        <f>BB7</f>
      </c>
    </row>
    <row r="5" spans="1:60" x14ac:dyDescent="0.25">
      <c r="A5" s="31" t="s">
        <v>47</v>
      </c>
      <c r="AP5">
        <f>IF(AP4="","",COUNTIF($AP$4:$AY$4,"&lt;"&amp;AP4)+COUNTIFS($AP$4:$AY$4,AP4,$AP$2:$AY$2,"&lt;"&amp;AP2)+1)</f>
      </c>
      <c r="AQ5">
        <f>IF(AQ4="","",COUNTIF($AP$4:$AY$4,"&lt;"&amp;AQ4)+COUNTIFS($AP$4:$AY$4,AQ4,$AP$2:$AY$2,"&lt;"&amp;AQ2)+1)</f>
      </c>
      <c r="AR5">
        <f>IF(AR4="","",COUNTIF($AP$4:$AY$4,"&lt;"&amp;AR4)+COUNTIFS($AP$4:$AY$4,AR4,$AP$2:$AY$2,"&lt;"&amp;AR2)+1)</f>
      </c>
      <c r="AS5">
        <f>IF(AS4="","",COUNTIF($AP$4:$AY$4,"&lt;"&amp;AS4)+COUNTIFS($AP$4:$AY$4,AS4,$AP$2:$AY$2,"&lt;"&amp;AS2)+1)</f>
      </c>
      <c r="AT5">
        <f>IF(AT4="","",COUNTIF($AP$4:$AY$4,"&lt;"&amp;AT4)+COUNTIFS($AP$4:$AY$4,AT4,$AP$2:$AY$2,"&lt;"&amp;AT2)+1)</f>
      </c>
      <c r="AU5">
        <f>IF(AU4="","",COUNTIF($AP$4:$AY$4,"&lt;"&amp;AU4)+COUNTIFS($AP$4:$AY$4,AU4,$AP$2:$AY$2,"&lt;"&amp;AU2)+1)</f>
      </c>
      <c r="AV5">
        <f>IF(AV4="","",COUNTIF($AP$4:$AY$4,"&lt;"&amp;AV4)+COUNTIFS($AP$4:$AY$4,AV4,$AP$2:$AY$2,"&lt;"&amp;AV2)+1)</f>
      </c>
      <c r="AW5">
        <f>IF(AW4="","",COUNTIF($AP$4:$AY$4,"&lt;"&amp;AW4)+COUNTIFS($AP$4:$AY$4,AW4,$AP$2:$AY$2,"&lt;"&amp;AW2)+1)</f>
      </c>
      <c r="AX5">
        <f>IF(AX4="","",COUNTIF($AP$4:$AY$4,"&lt;"&amp;AX4)+COUNTIFS($AP$4:$AY$4,AX4,$AP$2:$AY$2,"&lt;"&amp;AX2)+1)</f>
      </c>
      <c r="AY5">
        <f>IF(AY4="","",COUNTIF($AP$4:$AY$4,"&lt;"&amp;AY4)+COUNTIFS($AP$4:$AY$4,AY4,$AP$2:$AY$2,"&lt;"&amp;AY2)+1)</f>
      </c>
      <c r="BG5" s="31" t="s">
        <v>48</v>
      </c>
      <c r="BH5">
        <f>AND(BB7&gt;0,BB8&gt;=BB7)</f>
      </c>
    </row>
    <row r="6" ht="42" customHeight="1" spans="1:60" x14ac:dyDescent="0.25">
      <c r="A6" s="4" t="s">
        <v>23</v>
      </c>
      <c r="B6" s="4">
        <f>"Balance + interest: "&amp;IF('Your debts'!$B$6="","Debt 1",'Your debts'!$B$6)</f>
      </c>
      <c r="C6" s="4">
        <f>"Balance + interest: "&amp;IF('Your debts'!$B$7="","Debt 2",'Your debts'!$B$7)</f>
      </c>
      <c r="D6" s="4">
        <f>"Balance + interest: "&amp;IF('Your debts'!$B$8="","Debt 3",'Your debts'!$B$8)</f>
      </c>
      <c r="E6" s="4">
        <f>"Balance + interest: "&amp;IF('Your debts'!$B$9="","Debt 4",'Your debts'!$B$9)</f>
      </c>
      <c r="F6" s="4">
        <f>"Balance + interest: "&amp;IF('Your debts'!$B$10="","Debt 5",'Your debts'!$B$10)</f>
      </c>
      <c r="G6" s="4">
        <f>"Balance + interest: "&amp;IF('Your debts'!$B$11="","Debt 6",'Your debts'!$B$11)</f>
      </c>
      <c r="H6" s="4">
        <f>"Balance + interest: "&amp;IF('Your debts'!$B$12="","Debt 7",'Your debts'!$B$12)</f>
      </c>
      <c r="I6" s="4">
        <f>"Balance + interest: "&amp;IF('Your debts'!$B$13="","Debt 8",'Your debts'!$B$13)</f>
      </c>
      <c r="J6" s="4">
        <f>"Balance + interest: "&amp;IF('Your debts'!$B$14="","Debt 9",'Your debts'!$B$14)</f>
      </c>
      <c r="K6" s="4">
        <f>"Balance + interest: "&amp;IF('Your debts'!$B$15="","Debt 10",'Your debts'!$B$15)</f>
      </c>
      <c r="L6" s="4">
        <f>"Minimum paid: "&amp;IF('Your debts'!$B$6="","Debt 1",'Your debts'!$B$6)</f>
      </c>
      <c r="M6" s="4">
        <f>"Minimum paid: "&amp;IF('Your debts'!$B$7="","Debt 2",'Your debts'!$B$7)</f>
      </c>
      <c r="N6" s="4">
        <f>"Minimum paid: "&amp;IF('Your debts'!$B$8="","Debt 3",'Your debts'!$B$8)</f>
      </c>
      <c r="O6" s="4">
        <f>"Minimum paid: "&amp;IF('Your debts'!$B$9="","Debt 4",'Your debts'!$B$9)</f>
      </c>
      <c r="P6" s="4">
        <f>"Minimum paid: "&amp;IF('Your debts'!$B$10="","Debt 5",'Your debts'!$B$10)</f>
      </c>
      <c r="Q6" s="4">
        <f>"Minimum paid: "&amp;IF('Your debts'!$B$11="","Debt 6",'Your debts'!$B$11)</f>
      </c>
      <c r="R6" s="4">
        <f>"Minimum paid: "&amp;IF('Your debts'!$B$12="","Debt 7",'Your debts'!$B$12)</f>
      </c>
      <c r="S6" s="4">
        <f>"Minimum paid: "&amp;IF('Your debts'!$B$13="","Debt 8",'Your debts'!$B$13)</f>
      </c>
      <c r="T6" s="4">
        <f>"Minimum paid: "&amp;IF('Your debts'!$B$14="","Debt 9",'Your debts'!$B$14)</f>
      </c>
      <c r="U6" s="4">
        <f>"Minimum paid: "&amp;IF('Your debts'!$B$15="","Debt 10",'Your debts'!$B$15)</f>
      </c>
      <c r="V6" s="4">
        <f>"After minimums: "&amp;IF('Your debts'!$B$6="","Debt 1",'Your debts'!$B$6)</f>
      </c>
      <c r="W6" s="4">
        <f>"After minimums: "&amp;IF('Your debts'!$B$7="","Debt 2",'Your debts'!$B$7)</f>
      </c>
      <c r="X6" s="4">
        <f>"After minimums: "&amp;IF('Your debts'!$B$8="","Debt 3",'Your debts'!$B$8)</f>
      </c>
      <c r="Y6" s="4">
        <f>"After minimums: "&amp;IF('Your debts'!$B$9="","Debt 4",'Your debts'!$B$9)</f>
      </c>
      <c r="Z6" s="4">
        <f>"After minimums: "&amp;IF('Your debts'!$B$10="","Debt 5",'Your debts'!$B$10)</f>
      </c>
      <c r="AA6" s="4">
        <f>"After minimums: "&amp;IF('Your debts'!$B$11="","Debt 6",'Your debts'!$B$11)</f>
      </c>
      <c r="AB6" s="4">
        <f>"After minimums: "&amp;IF('Your debts'!$B$12="","Debt 7",'Your debts'!$B$12)</f>
      </c>
      <c r="AC6" s="4">
        <f>"After minimums: "&amp;IF('Your debts'!$B$13="","Debt 8",'Your debts'!$B$13)</f>
      </c>
      <c r="AD6" s="4">
        <f>"After minimums: "&amp;IF('Your debts'!$B$14="","Debt 9",'Your debts'!$B$14)</f>
      </c>
      <c r="AE6" s="4">
        <f>"After minimums: "&amp;IF('Your debts'!$B$15="","Debt 10",'Your debts'!$B$15)</f>
      </c>
      <c r="AF6" s="4">
        <f>"Extra paid: "&amp;IF('Your debts'!$B$6="","Debt 1",'Your debts'!$B$6)</f>
      </c>
      <c r="AG6" s="4">
        <f>"Extra paid: "&amp;IF('Your debts'!$B$7="","Debt 2",'Your debts'!$B$7)</f>
      </c>
      <c r="AH6" s="4">
        <f>"Extra paid: "&amp;IF('Your debts'!$B$8="","Debt 3",'Your debts'!$B$8)</f>
      </c>
      <c r="AI6" s="4">
        <f>"Extra paid: "&amp;IF('Your debts'!$B$9="","Debt 4",'Your debts'!$B$9)</f>
      </c>
      <c r="AJ6" s="4">
        <f>"Extra paid: "&amp;IF('Your debts'!$B$10="","Debt 5",'Your debts'!$B$10)</f>
      </c>
      <c r="AK6" s="4">
        <f>"Extra paid: "&amp;IF('Your debts'!$B$11="","Debt 6",'Your debts'!$B$11)</f>
      </c>
      <c r="AL6" s="4">
        <f>"Extra paid: "&amp;IF('Your debts'!$B$12="","Debt 7",'Your debts'!$B$12)</f>
      </c>
      <c r="AM6" s="4">
        <f>"Extra paid: "&amp;IF('Your debts'!$B$13="","Debt 8",'Your debts'!$B$13)</f>
      </c>
      <c r="AN6" s="4">
        <f>"Extra paid: "&amp;IF('Your debts'!$B$14="","Debt 9",'Your debts'!$B$14)</f>
      </c>
      <c r="AO6" s="4">
        <f>"Extra paid: "&amp;IF('Your debts'!$B$15="","Debt 10",'Your debts'!$B$15)</f>
      </c>
      <c r="AP6" s="4">
        <f>"Closing balance: "&amp;IF('Your debts'!$B$6="","Debt 1",'Your debts'!$B$6)</f>
      </c>
      <c r="AQ6" s="4">
        <f>"Closing balance: "&amp;IF('Your debts'!$B$7="","Debt 2",'Your debts'!$B$7)</f>
      </c>
      <c r="AR6" s="4">
        <f>"Closing balance: "&amp;IF('Your debts'!$B$8="","Debt 3",'Your debts'!$B$8)</f>
      </c>
      <c r="AS6" s="4">
        <f>"Closing balance: "&amp;IF('Your debts'!$B$9="","Debt 4",'Your debts'!$B$9)</f>
      </c>
      <c r="AT6" s="4">
        <f>"Closing balance: "&amp;IF('Your debts'!$B$10="","Debt 5",'Your debts'!$B$10)</f>
      </c>
      <c r="AU6" s="4">
        <f>"Closing balance: "&amp;IF('Your debts'!$B$11="","Debt 6",'Your debts'!$B$11)</f>
      </c>
      <c r="AV6" s="4">
        <f>"Closing balance: "&amp;IF('Your debts'!$B$12="","Debt 7",'Your debts'!$B$12)</f>
      </c>
      <c r="AW6" s="4">
        <f>"Closing balance: "&amp;IF('Your debts'!$B$13="","Debt 8",'Your debts'!$B$13)</f>
      </c>
      <c r="AX6" s="4">
        <f>"Closing balance: "&amp;IF('Your debts'!$B$14="","Debt 9",'Your debts'!$B$14)</f>
      </c>
      <c r="AY6" s="4">
        <f>"Closing balance: "&amp;IF('Your debts'!$B$15="","Debt 10",'Your debts'!$B$15)</f>
      </c>
      <c r="AZ6" s="4" t="s">
        <v>49</v>
      </c>
      <c r="BA6" s="4" t="s">
        <v>50</v>
      </c>
      <c r="BB6" s="4" t="s">
        <v>51</v>
      </c>
      <c r="BC6" s="4" t="s">
        <v>52</v>
      </c>
      <c r="BG6" s="31" t="s">
        <v>53</v>
      </c>
      <c r="BH6">
        <f>BB607&gt;0.005</f>
      </c>
    </row>
    <row r="7" spans="1:54" x14ac:dyDescent="0.25">
      <c r="A7">
        <v>0</v>
      </c>
      <c r="AP7" s="33">
        <f>ROUND(MAX(0,N('Your debts'!$C$6)),2)</f>
      </c>
      <c r="AQ7" s="33">
        <f>ROUND(MAX(0,N('Your debts'!$C$7)),2)</f>
      </c>
      <c r="AR7" s="33">
        <f>ROUND(MAX(0,N('Your debts'!$C$8)),2)</f>
      </c>
      <c r="AS7" s="33">
        <f>ROUND(MAX(0,N('Your debts'!$C$9)),2)</f>
      </c>
      <c r="AT7" s="33">
        <f>ROUND(MAX(0,N('Your debts'!$C$10)),2)</f>
      </c>
      <c r="AU7" s="33">
        <f>ROUND(MAX(0,N('Your debts'!$C$11)),2)</f>
      </c>
      <c r="AV7" s="33">
        <f>ROUND(MAX(0,N('Your debts'!$C$12)),2)</f>
      </c>
      <c r="AW7" s="33">
        <f>ROUND(MAX(0,N('Your debts'!$C$13)),2)</f>
      </c>
      <c r="AX7" s="33">
        <f>ROUND(MAX(0,N('Your debts'!$C$14)),2)</f>
      </c>
      <c r="AY7" s="33">
        <f>ROUND(MAX(0,N('Your debts'!$C$15)),2)</f>
      </c>
      <c r="BB7" s="33">
        <f>SUM($AP7:$AY7)</f>
      </c>
    </row>
    <row r="8" spans="1:55" x14ac:dyDescent="0.25">
      <c r="A8">
        <v>1</v>
      </c>
      <c r="B8" s="33">
        <f>IF(AP7&lt;=0,0,ROUND(AP7+ROUND(AP7*V$3/12,2),2))</f>
      </c>
      <c r="C8" s="33">
        <f>IF(AQ7&lt;=0,0,ROUND(AQ7+ROUND(AQ7*W$3/12,2),2))</f>
      </c>
      <c r="D8" s="33">
        <f>IF(AR7&lt;=0,0,ROUND(AR7+ROUND(AR7*X$3/12,2),2))</f>
      </c>
      <c r="E8" s="33">
        <f>IF(AS7&lt;=0,0,ROUND(AS7+ROUND(AS7*Y$3/12,2),2))</f>
      </c>
      <c r="F8" s="33">
        <f>IF(AT7&lt;=0,0,ROUND(AT7+ROUND(AT7*Z$3/12,2),2))</f>
      </c>
      <c r="G8" s="33">
        <f>IF(AU7&lt;=0,0,ROUND(AU7+ROUND(AU7*AA$3/12,2),2))</f>
      </c>
      <c r="H8" s="33">
        <f>IF(AV7&lt;=0,0,ROUND(AV7+ROUND(AV7*AB$3/12,2),2))</f>
      </c>
      <c r="I8" s="33">
        <f>IF(AW7&lt;=0,0,ROUND(AW7+ROUND(AW7*AC$3/12,2),2))</f>
      </c>
      <c r="J8" s="33">
        <f>IF(AX7&lt;=0,0,ROUND(AX7+ROUND(AX7*AD$3/12,2),2))</f>
      </c>
      <c r="K8" s="33">
        <f>IF(AY7&lt;=0,0,ROUND(AY7+ROUND(AY7*AE$3/12,2),2))</f>
      </c>
      <c r="L8" s="33">
        <f>ROUND(MIN(MAX(0,N('Your debts'!$E$6)),B8),2)</f>
      </c>
      <c r="M8" s="33">
        <f>ROUND(MIN(MAX(0,N('Your debts'!$E$7)),C8),2)</f>
      </c>
      <c r="N8" s="33">
        <f>ROUND(MIN(MAX(0,N('Your debts'!$E$8)),D8),2)</f>
      </c>
      <c r="O8" s="33">
        <f>ROUND(MIN(MAX(0,N('Your debts'!$E$9)),E8),2)</f>
      </c>
      <c r="P8" s="33">
        <f>ROUND(MIN(MAX(0,N('Your debts'!$E$10)),F8),2)</f>
      </c>
      <c r="Q8" s="33">
        <f>ROUND(MIN(MAX(0,N('Your debts'!$E$11)),G8),2)</f>
      </c>
      <c r="R8" s="33">
        <f>ROUND(MIN(MAX(0,N('Your debts'!$E$12)),H8),2)</f>
      </c>
      <c r="S8" s="33">
        <f>ROUND(MIN(MAX(0,N('Your debts'!$E$13)),I8),2)</f>
      </c>
      <c r="T8" s="33">
        <f>ROUND(MIN(MAX(0,N('Your debts'!$E$14)),J8),2)</f>
      </c>
      <c r="U8" s="33">
        <f>ROUND(MIN(MAX(0,N('Your debts'!$E$15)),K8),2)</f>
      </c>
      <c r="V8" s="33">
        <f>ROUND(B8-L8,2)</f>
      </c>
      <c r="W8" s="33">
        <f>ROUND(C8-M8,2)</f>
      </c>
      <c r="X8" s="33">
        <f>ROUND(D8-N8,2)</f>
      </c>
      <c r="Y8" s="33">
        <f>ROUND(E8-O8,2)</f>
      </c>
      <c r="Z8" s="33">
        <f>ROUND(F8-P8,2)</f>
      </c>
      <c r="AA8" s="33">
        <f>ROUND(G8-Q8,2)</f>
      </c>
      <c r="AB8" s="33">
        <f>ROUND(H8-R8,2)</f>
      </c>
      <c r="AC8" s="33">
        <f>ROUND(I8-S8,2)</f>
      </c>
      <c r="AD8" s="33">
        <f>ROUND(J8-T8,2)</f>
      </c>
      <c r="AE8" s="33">
        <f>ROUND(K8-U8,2)</f>
      </c>
      <c r="AF8" s="33">
        <f>IF(V8&lt;=0,0,MAX(0,MIN(V8,ROUND($AZ8-SUMPRODUCT($V8:$AE8*($V8:$AE8&gt;0)*(($V8:$AE8&lt;V8)+($V8:$AE8=V8)*($V$3:$AE$3&gt;V$3)+($V8:$AE8=V8)*($V$3:$AE$3=V$3)*($V$2:$AE$2&lt;V$2))),2))))</f>
      </c>
      <c r="AG8" s="33">
        <f>IF(W8&lt;=0,0,MAX(0,MIN(W8,ROUND($AZ8-SUMPRODUCT($V8:$AE8*($V8:$AE8&gt;0)*(($V8:$AE8&lt;W8)+($V8:$AE8=W8)*($V$3:$AE$3&gt;W$3)+($V8:$AE8=W8)*($V$3:$AE$3=W$3)*($V$2:$AE$2&lt;W$2))),2))))</f>
      </c>
      <c r="AH8" s="33">
        <f>IF(X8&lt;=0,0,MAX(0,MIN(X8,ROUND($AZ8-SUMPRODUCT($V8:$AE8*($V8:$AE8&gt;0)*(($V8:$AE8&lt;X8)+($V8:$AE8=X8)*($V$3:$AE$3&gt;X$3)+($V8:$AE8=X8)*($V$3:$AE$3=X$3)*($V$2:$AE$2&lt;X$2))),2))))</f>
      </c>
      <c r="AI8" s="33">
        <f>IF(Y8&lt;=0,0,MAX(0,MIN(Y8,ROUND($AZ8-SUMPRODUCT($V8:$AE8*($V8:$AE8&gt;0)*(($V8:$AE8&lt;Y8)+($V8:$AE8=Y8)*($V$3:$AE$3&gt;Y$3)+($V8:$AE8=Y8)*($V$3:$AE$3=Y$3)*($V$2:$AE$2&lt;Y$2))),2))))</f>
      </c>
      <c r="AJ8" s="33">
        <f>IF(Z8&lt;=0,0,MAX(0,MIN(Z8,ROUND($AZ8-SUMPRODUCT($V8:$AE8*($V8:$AE8&gt;0)*(($V8:$AE8&lt;Z8)+($V8:$AE8=Z8)*($V$3:$AE$3&gt;Z$3)+($V8:$AE8=Z8)*($V$3:$AE$3=Z$3)*($V$2:$AE$2&lt;Z$2))),2))))</f>
      </c>
      <c r="AK8" s="33">
        <f>IF(AA8&lt;=0,0,MAX(0,MIN(AA8,ROUND($AZ8-SUMPRODUCT($V8:$AE8*($V8:$AE8&gt;0)*(($V8:$AE8&lt;AA8)+($V8:$AE8=AA8)*($V$3:$AE$3&gt;AA$3)+($V8:$AE8=AA8)*($V$3:$AE$3=AA$3)*($V$2:$AE$2&lt;AA$2))),2))))</f>
      </c>
      <c r="AL8" s="33">
        <f>IF(AB8&lt;=0,0,MAX(0,MIN(AB8,ROUND($AZ8-SUMPRODUCT($V8:$AE8*($V8:$AE8&gt;0)*(($V8:$AE8&lt;AB8)+($V8:$AE8=AB8)*($V$3:$AE$3&gt;AB$3)+($V8:$AE8=AB8)*($V$3:$AE$3=AB$3)*($V$2:$AE$2&lt;AB$2))),2))))</f>
      </c>
      <c r="AM8" s="33">
        <f>IF(AC8&lt;=0,0,MAX(0,MIN(AC8,ROUND($AZ8-SUMPRODUCT($V8:$AE8*($V8:$AE8&gt;0)*(($V8:$AE8&lt;AC8)+($V8:$AE8=AC8)*($V$3:$AE$3&gt;AC$3)+($V8:$AE8=AC8)*($V$3:$AE$3=AC$3)*($V$2:$AE$2&lt;AC$2))),2))))</f>
      </c>
      <c r="AN8" s="33">
        <f>IF(AD8&lt;=0,0,MAX(0,MIN(AD8,ROUND($AZ8-SUMPRODUCT($V8:$AE8*($V8:$AE8&gt;0)*(($V8:$AE8&lt;AD8)+($V8:$AE8=AD8)*($V$3:$AE$3&gt;AD$3)+($V8:$AE8=AD8)*($V$3:$AE$3=AD$3)*($V$2:$AE$2&lt;AD$2))),2))))</f>
      </c>
      <c r="AO8" s="33">
        <f>IF(AE8&lt;=0,0,MAX(0,MIN(AE8,ROUND($AZ8-SUMPRODUCT($V8:$AE8*($V8:$AE8&gt;0)*(($V8:$AE8&lt;AE8)+($V8:$AE8=AE8)*($V$3:$AE$3&gt;AE$3)+($V8:$AE8=AE8)*($V$3:$AE$3=AE$3)*($V$2:$AE$2&lt;AE$2))),2))))</f>
      </c>
      <c r="AP8" s="33">
        <f>ROUND(V8-AF8,2)</f>
      </c>
      <c r="AQ8" s="33">
        <f>ROUND(W8-AG8,2)</f>
      </c>
      <c r="AR8" s="33">
        <f>ROUND(X8-AH8,2)</f>
      </c>
      <c r="AS8" s="33">
        <f>ROUND(Y8-AI8,2)</f>
      </c>
      <c r="AT8" s="33">
        <f>ROUND(Z8-AJ8,2)</f>
      </c>
      <c r="AU8" s="33">
        <f>ROUND(AA8-AK8,2)</f>
      </c>
      <c r="AV8" s="33">
        <f>ROUND(AB8-AL8,2)</f>
      </c>
      <c r="AW8" s="33">
        <f>ROUND(AC8-AM8,2)</f>
      </c>
      <c r="AX8" s="33">
        <f>ROUND(AD8-AN8,2)</f>
      </c>
      <c r="AY8" s="33">
        <f>ROUND(AE8-AO8,2)</f>
      </c>
      <c r="AZ8" s="33">
        <f>ROUND(MAX(0,'Your debts'!$D$22-SUM($L8:$U8)),2)</f>
      </c>
      <c r="BA8" s="33">
        <f>ROUND(SUM($B8:$K8)-SUM($AP7:$AY7),2)</f>
      </c>
      <c r="BB8" s="33">
        <f>SUM($AP8:$AY8)</f>
      </c>
      <c r="BC8" s="33">
        <f>ROUND(SUM($L8:$U8)+SUM($AF8:$AO8),2)</f>
      </c>
    </row>
    <row r="9" spans="1:55" x14ac:dyDescent="0.25">
      <c r="A9">
        <v>2</v>
      </c>
      <c r="B9" s="33">
        <f>IF(AP8&lt;=0,0,ROUND(AP8+ROUND(AP8*V$3/12,2),2))</f>
      </c>
      <c r="C9" s="33">
        <f>IF(AQ8&lt;=0,0,ROUND(AQ8+ROUND(AQ8*W$3/12,2),2))</f>
      </c>
      <c r="D9" s="33">
        <f>IF(AR8&lt;=0,0,ROUND(AR8+ROUND(AR8*X$3/12,2),2))</f>
      </c>
      <c r="E9" s="33">
        <f>IF(AS8&lt;=0,0,ROUND(AS8+ROUND(AS8*Y$3/12,2),2))</f>
      </c>
      <c r="F9" s="33">
        <f>IF(AT8&lt;=0,0,ROUND(AT8+ROUND(AT8*Z$3/12,2),2))</f>
      </c>
      <c r="G9" s="33">
        <f>IF(AU8&lt;=0,0,ROUND(AU8+ROUND(AU8*AA$3/12,2),2))</f>
      </c>
      <c r="H9" s="33">
        <f>IF(AV8&lt;=0,0,ROUND(AV8+ROUND(AV8*AB$3/12,2),2))</f>
      </c>
      <c r="I9" s="33">
        <f>IF(AW8&lt;=0,0,ROUND(AW8+ROUND(AW8*AC$3/12,2),2))</f>
      </c>
      <c r="J9" s="33">
        <f>IF(AX8&lt;=0,0,ROUND(AX8+ROUND(AX8*AD$3/12,2),2))</f>
      </c>
      <c r="K9" s="33">
        <f>IF(AY8&lt;=0,0,ROUND(AY8+ROUND(AY8*AE$3/12,2),2))</f>
      </c>
      <c r="L9" s="33">
        <f>ROUND(MIN(MAX(0,N('Your debts'!$E$6)),B9),2)</f>
      </c>
      <c r="M9" s="33">
        <f>ROUND(MIN(MAX(0,N('Your debts'!$E$7)),C9),2)</f>
      </c>
      <c r="N9" s="33">
        <f>ROUND(MIN(MAX(0,N('Your debts'!$E$8)),D9),2)</f>
      </c>
      <c r="O9" s="33">
        <f>ROUND(MIN(MAX(0,N('Your debts'!$E$9)),E9),2)</f>
      </c>
      <c r="P9" s="33">
        <f>ROUND(MIN(MAX(0,N('Your debts'!$E$10)),F9),2)</f>
      </c>
      <c r="Q9" s="33">
        <f>ROUND(MIN(MAX(0,N('Your debts'!$E$11)),G9),2)</f>
      </c>
      <c r="R9" s="33">
        <f>ROUND(MIN(MAX(0,N('Your debts'!$E$12)),H9),2)</f>
      </c>
      <c r="S9" s="33">
        <f>ROUND(MIN(MAX(0,N('Your debts'!$E$13)),I9),2)</f>
      </c>
      <c r="T9" s="33">
        <f>ROUND(MIN(MAX(0,N('Your debts'!$E$14)),J9),2)</f>
      </c>
      <c r="U9" s="33">
        <f>ROUND(MIN(MAX(0,N('Your debts'!$E$15)),K9),2)</f>
      </c>
      <c r="V9" s="33">
        <f>ROUND(B9-L9,2)</f>
      </c>
      <c r="W9" s="33">
        <f>ROUND(C9-M9,2)</f>
      </c>
      <c r="X9" s="33">
        <f>ROUND(D9-N9,2)</f>
      </c>
      <c r="Y9" s="33">
        <f>ROUND(E9-O9,2)</f>
      </c>
      <c r="Z9" s="33">
        <f>ROUND(F9-P9,2)</f>
      </c>
      <c r="AA9" s="33">
        <f>ROUND(G9-Q9,2)</f>
      </c>
      <c r="AB9" s="33">
        <f>ROUND(H9-R9,2)</f>
      </c>
      <c r="AC9" s="33">
        <f>ROUND(I9-S9,2)</f>
      </c>
      <c r="AD9" s="33">
        <f>ROUND(J9-T9,2)</f>
      </c>
      <c r="AE9" s="33">
        <f>ROUND(K9-U9,2)</f>
      </c>
      <c r="AF9" s="33">
        <f>IF(V9&lt;=0,0,MAX(0,MIN(V9,ROUND($AZ9-SUMPRODUCT($V9:$AE9*($V9:$AE9&gt;0)*(($V9:$AE9&lt;V9)+($V9:$AE9=V9)*($V$3:$AE$3&gt;V$3)+($V9:$AE9=V9)*($V$3:$AE$3=V$3)*($V$2:$AE$2&lt;V$2))),2))))</f>
      </c>
      <c r="AG9" s="33">
        <f>IF(W9&lt;=0,0,MAX(0,MIN(W9,ROUND($AZ9-SUMPRODUCT($V9:$AE9*($V9:$AE9&gt;0)*(($V9:$AE9&lt;W9)+($V9:$AE9=W9)*($V$3:$AE$3&gt;W$3)+($V9:$AE9=W9)*($V$3:$AE$3=W$3)*($V$2:$AE$2&lt;W$2))),2))))</f>
      </c>
      <c r="AH9" s="33">
        <f>IF(X9&lt;=0,0,MAX(0,MIN(X9,ROUND($AZ9-SUMPRODUCT($V9:$AE9*($V9:$AE9&gt;0)*(($V9:$AE9&lt;X9)+($V9:$AE9=X9)*($V$3:$AE$3&gt;X$3)+($V9:$AE9=X9)*($V$3:$AE$3=X$3)*($V$2:$AE$2&lt;X$2))),2))))</f>
      </c>
      <c r="AI9" s="33">
        <f>IF(Y9&lt;=0,0,MAX(0,MIN(Y9,ROUND($AZ9-SUMPRODUCT($V9:$AE9*($V9:$AE9&gt;0)*(($V9:$AE9&lt;Y9)+($V9:$AE9=Y9)*($V$3:$AE$3&gt;Y$3)+($V9:$AE9=Y9)*($V$3:$AE$3=Y$3)*($V$2:$AE$2&lt;Y$2))),2))))</f>
      </c>
      <c r="AJ9" s="33">
        <f>IF(Z9&lt;=0,0,MAX(0,MIN(Z9,ROUND($AZ9-SUMPRODUCT($V9:$AE9*($V9:$AE9&gt;0)*(($V9:$AE9&lt;Z9)+($V9:$AE9=Z9)*($V$3:$AE$3&gt;Z$3)+($V9:$AE9=Z9)*($V$3:$AE$3=Z$3)*($V$2:$AE$2&lt;Z$2))),2))))</f>
      </c>
      <c r="AK9" s="33">
        <f>IF(AA9&lt;=0,0,MAX(0,MIN(AA9,ROUND($AZ9-SUMPRODUCT($V9:$AE9*($V9:$AE9&gt;0)*(($V9:$AE9&lt;AA9)+($V9:$AE9=AA9)*($V$3:$AE$3&gt;AA$3)+($V9:$AE9=AA9)*($V$3:$AE$3=AA$3)*($V$2:$AE$2&lt;AA$2))),2))))</f>
      </c>
      <c r="AL9" s="33">
        <f>IF(AB9&lt;=0,0,MAX(0,MIN(AB9,ROUND($AZ9-SUMPRODUCT($V9:$AE9*($V9:$AE9&gt;0)*(($V9:$AE9&lt;AB9)+($V9:$AE9=AB9)*($V$3:$AE$3&gt;AB$3)+($V9:$AE9=AB9)*($V$3:$AE$3=AB$3)*($V$2:$AE$2&lt;AB$2))),2))))</f>
      </c>
      <c r="AM9" s="33">
        <f>IF(AC9&lt;=0,0,MAX(0,MIN(AC9,ROUND($AZ9-SUMPRODUCT($V9:$AE9*($V9:$AE9&gt;0)*(($V9:$AE9&lt;AC9)+($V9:$AE9=AC9)*($V$3:$AE$3&gt;AC$3)+($V9:$AE9=AC9)*($V$3:$AE$3=AC$3)*($V$2:$AE$2&lt;AC$2))),2))))</f>
      </c>
      <c r="AN9" s="33">
        <f>IF(AD9&lt;=0,0,MAX(0,MIN(AD9,ROUND($AZ9-SUMPRODUCT($V9:$AE9*($V9:$AE9&gt;0)*(($V9:$AE9&lt;AD9)+($V9:$AE9=AD9)*($V$3:$AE$3&gt;AD$3)+($V9:$AE9=AD9)*($V$3:$AE$3=AD$3)*($V$2:$AE$2&lt;AD$2))),2))))</f>
      </c>
      <c r="AO9" s="33">
        <f>IF(AE9&lt;=0,0,MAX(0,MIN(AE9,ROUND($AZ9-SUMPRODUCT($V9:$AE9*($V9:$AE9&gt;0)*(($V9:$AE9&lt;AE9)+($V9:$AE9=AE9)*($V$3:$AE$3&gt;AE$3)+($V9:$AE9=AE9)*($V$3:$AE$3=AE$3)*($V$2:$AE$2&lt;AE$2))),2))))</f>
      </c>
      <c r="AP9" s="33">
        <f>ROUND(V9-AF9,2)</f>
      </c>
      <c r="AQ9" s="33">
        <f>ROUND(W9-AG9,2)</f>
      </c>
      <c r="AR9" s="33">
        <f>ROUND(X9-AH9,2)</f>
      </c>
      <c r="AS9" s="33">
        <f>ROUND(Y9-AI9,2)</f>
      </c>
      <c r="AT9" s="33">
        <f>ROUND(Z9-AJ9,2)</f>
      </c>
      <c r="AU9" s="33">
        <f>ROUND(AA9-AK9,2)</f>
      </c>
      <c r="AV9" s="33">
        <f>ROUND(AB9-AL9,2)</f>
      </c>
      <c r="AW9" s="33">
        <f>ROUND(AC9-AM9,2)</f>
      </c>
      <c r="AX9" s="33">
        <f>ROUND(AD9-AN9,2)</f>
      </c>
      <c r="AY9" s="33">
        <f>ROUND(AE9-AO9,2)</f>
      </c>
      <c r="AZ9" s="33">
        <f>ROUND(MAX(0,'Your debts'!$D$22-SUM($L9:$U9)),2)</f>
      </c>
      <c r="BA9" s="33">
        <f>ROUND(SUM($B9:$K9)-SUM($AP8:$AY8),2)</f>
      </c>
      <c r="BB9" s="33">
        <f>SUM($AP9:$AY9)</f>
      </c>
      <c r="BC9" s="33">
        <f>ROUND(SUM($L9:$U9)+SUM($AF9:$AO9),2)</f>
      </c>
    </row>
    <row r="10" spans="1:55" x14ac:dyDescent="0.25">
      <c r="A10">
        <v>3</v>
      </c>
      <c r="B10" s="33">
        <f>IF(AP9&lt;=0,0,ROUND(AP9+ROUND(AP9*V$3/12,2),2))</f>
      </c>
      <c r="C10" s="33">
        <f>IF(AQ9&lt;=0,0,ROUND(AQ9+ROUND(AQ9*W$3/12,2),2))</f>
      </c>
      <c r="D10" s="33">
        <f>IF(AR9&lt;=0,0,ROUND(AR9+ROUND(AR9*X$3/12,2),2))</f>
      </c>
      <c r="E10" s="33">
        <f>IF(AS9&lt;=0,0,ROUND(AS9+ROUND(AS9*Y$3/12,2),2))</f>
      </c>
      <c r="F10" s="33">
        <f>IF(AT9&lt;=0,0,ROUND(AT9+ROUND(AT9*Z$3/12,2),2))</f>
      </c>
      <c r="G10" s="33">
        <f>IF(AU9&lt;=0,0,ROUND(AU9+ROUND(AU9*AA$3/12,2),2))</f>
      </c>
      <c r="H10" s="33">
        <f>IF(AV9&lt;=0,0,ROUND(AV9+ROUND(AV9*AB$3/12,2),2))</f>
      </c>
      <c r="I10" s="33">
        <f>IF(AW9&lt;=0,0,ROUND(AW9+ROUND(AW9*AC$3/12,2),2))</f>
      </c>
      <c r="J10" s="33">
        <f>IF(AX9&lt;=0,0,ROUND(AX9+ROUND(AX9*AD$3/12,2),2))</f>
      </c>
      <c r="K10" s="33">
        <f>IF(AY9&lt;=0,0,ROUND(AY9+ROUND(AY9*AE$3/12,2),2))</f>
      </c>
      <c r="L10" s="33">
        <f>ROUND(MIN(MAX(0,N('Your debts'!$E$6)),B10),2)</f>
      </c>
      <c r="M10" s="33">
        <f>ROUND(MIN(MAX(0,N('Your debts'!$E$7)),C10),2)</f>
      </c>
      <c r="N10" s="33">
        <f>ROUND(MIN(MAX(0,N('Your debts'!$E$8)),D10),2)</f>
      </c>
      <c r="O10" s="33">
        <f>ROUND(MIN(MAX(0,N('Your debts'!$E$9)),E10),2)</f>
      </c>
      <c r="P10" s="33">
        <f>ROUND(MIN(MAX(0,N('Your debts'!$E$10)),F10),2)</f>
      </c>
      <c r="Q10" s="33">
        <f>ROUND(MIN(MAX(0,N('Your debts'!$E$11)),G10),2)</f>
      </c>
      <c r="R10" s="33">
        <f>ROUND(MIN(MAX(0,N('Your debts'!$E$12)),H10),2)</f>
      </c>
      <c r="S10" s="33">
        <f>ROUND(MIN(MAX(0,N('Your debts'!$E$13)),I10),2)</f>
      </c>
      <c r="T10" s="33">
        <f>ROUND(MIN(MAX(0,N('Your debts'!$E$14)),J10),2)</f>
      </c>
      <c r="U10" s="33">
        <f>ROUND(MIN(MAX(0,N('Your debts'!$E$15)),K10),2)</f>
      </c>
      <c r="V10" s="33">
        <f>ROUND(B10-L10,2)</f>
      </c>
      <c r="W10" s="33">
        <f>ROUND(C10-M10,2)</f>
      </c>
      <c r="X10" s="33">
        <f>ROUND(D10-N10,2)</f>
      </c>
      <c r="Y10" s="33">
        <f>ROUND(E10-O10,2)</f>
      </c>
      <c r="Z10" s="33">
        <f>ROUND(F10-P10,2)</f>
      </c>
      <c r="AA10" s="33">
        <f>ROUND(G10-Q10,2)</f>
      </c>
      <c r="AB10" s="33">
        <f>ROUND(H10-R10,2)</f>
      </c>
      <c r="AC10" s="33">
        <f>ROUND(I10-S10,2)</f>
      </c>
      <c r="AD10" s="33">
        <f>ROUND(J10-T10,2)</f>
      </c>
      <c r="AE10" s="33">
        <f>ROUND(K10-U10,2)</f>
      </c>
      <c r="AF10" s="33">
        <f>IF(V10&lt;=0,0,MAX(0,MIN(V10,ROUND($AZ10-SUMPRODUCT($V10:$AE10*($V10:$AE10&gt;0)*(($V10:$AE10&lt;V10)+($V10:$AE10=V10)*($V$3:$AE$3&gt;V$3)+($V10:$AE10=V10)*($V$3:$AE$3=V$3)*($V$2:$AE$2&lt;V$2))),2))))</f>
      </c>
      <c r="AG10" s="33">
        <f>IF(W10&lt;=0,0,MAX(0,MIN(W10,ROUND($AZ10-SUMPRODUCT($V10:$AE10*($V10:$AE10&gt;0)*(($V10:$AE10&lt;W10)+($V10:$AE10=W10)*($V$3:$AE$3&gt;W$3)+($V10:$AE10=W10)*($V$3:$AE$3=W$3)*($V$2:$AE$2&lt;W$2))),2))))</f>
      </c>
      <c r="AH10" s="33">
        <f>IF(X10&lt;=0,0,MAX(0,MIN(X10,ROUND($AZ10-SUMPRODUCT($V10:$AE10*($V10:$AE10&gt;0)*(($V10:$AE10&lt;X10)+($V10:$AE10=X10)*($V$3:$AE$3&gt;X$3)+($V10:$AE10=X10)*($V$3:$AE$3=X$3)*($V$2:$AE$2&lt;X$2))),2))))</f>
      </c>
      <c r="AI10" s="33">
        <f>IF(Y10&lt;=0,0,MAX(0,MIN(Y10,ROUND($AZ10-SUMPRODUCT($V10:$AE10*($V10:$AE10&gt;0)*(($V10:$AE10&lt;Y10)+($V10:$AE10=Y10)*($V$3:$AE$3&gt;Y$3)+($V10:$AE10=Y10)*($V$3:$AE$3=Y$3)*($V$2:$AE$2&lt;Y$2))),2))))</f>
      </c>
      <c r="AJ10" s="33">
        <f>IF(Z10&lt;=0,0,MAX(0,MIN(Z10,ROUND($AZ10-SUMPRODUCT($V10:$AE10*($V10:$AE10&gt;0)*(($V10:$AE10&lt;Z10)+($V10:$AE10=Z10)*($V$3:$AE$3&gt;Z$3)+($V10:$AE10=Z10)*($V$3:$AE$3=Z$3)*($V$2:$AE$2&lt;Z$2))),2))))</f>
      </c>
      <c r="AK10" s="33">
        <f>IF(AA10&lt;=0,0,MAX(0,MIN(AA10,ROUND($AZ10-SUMPRODUCT($V10:$AE10*($V10:$AE10&gt;0)*(($V10:$AE10&lt;AA10)+($V10:$AE10=AA10)*($V$3:$AE$3&gt;AA$3)+($V10:$AE10=AA10)*($V$3:$AE$3=AA$3)*($V$2:$AE$2&lt;AA$2))),2))))</f>
      </c>
      <c r="AL10" s="33">
        <f>IF(AB10&lt;=0,0,MAX(0,MIN(AB10,ROUND($AZ10-SUMPRODUCT($V10:$AE10*($V10:$AE10&gt;0)*(($V10:$AE10&lt;AB10)+($V10:$AE10=AB10)*($V$3:$AE$3&gt;AB$3)+($V10:$AE10=AB10)*($V$3:$AE$3=AB$3)*($V$2:$AE$2&lt;AB$2))),2))))</f>
      </c>
      <c r="AM10" s="33">
        <f>IF(AC10&lt;=0,0,MAX(0,MIN(AC10,ROUND($AZ10-SUMPRODUCT($V10:$AE10*($V10:$AE10&gt;0)*(($V10:$AE10&lt;AC10)+($V10:$AE10=AC10)*($V$3:$AE$3&gt;AC$3)+($V10:$AE10=AC10)*($V$3:$AE$3=AC$3)*($V$2:$AE$2&lt;AC$2))),2))))</f>
      </c>
      <c r="AN10" s="33">
        <f>IF(AD10&lt;=0,0,MAX(0,MIN(AD10,ROUND($AZ10-SUMPRODUCT($V10:$AE10*($V10:$AE10&gt;0)*(($V10:$AE10&lt;AD10)+($V10:$AE10=AD10)*($V$3:$AE$3&gt;AD$3)+($V10:$AE10=AD10)*($V$3:$AE$3=AD$3)*($V$2:$AE$2&lt;AD$2))),2))))</f>
      </c>
      <c r="AO10" s="33">
        <f>IF(AE10&lt;=0,0,MAX(0,MIN(AE10,ROUND($AZ10-SUMPRODUCT($V10:$AE10*($V10:$AE10&gt;0)*(($V10:$AE10&lt;AE10)+($V10:$AE10=AE10)*($V$3:$AE$3&gt;AE$3)+($V10:$AE10=AE10)*($V$3:$AE$3=AE$3)*($V$2:$AE$2&lt;AE$2))),2))))</f>
      </c>
      <c r="AP10" s="33">
        <f>ROUND(V10-AF10,2)</f>
      </c>
      <c r="AQ10" s="33">
        <f>ROUND(W10-AG10,2)</f>
      </c>
      <c r="AR10" s="33">
        <f>ROUND(X10-AH10,2)</f>
      </c>
      <c r="AS10" s="33">
        <f>ROUND(Y10-AI10,2)</f>
      </c>
      <c r="AT10" s="33">
        <f>ROUND(Z10-AJ10,2)</f>
      </c>
      <c r="AU10" s="33">
        <f>ROUND(AA10-AK10,2)</f>
      </c>
      <c r="AV10" s="33">
        <f>ROUND(AB10-AL10,2)</f>
      </c>
      <c r="AW10" s="33">
        <f>ROUND(AC10-AM10,2)</f>
      </c>
      <c r="AX10" s="33">
        <f>ROUND(AD10-AN10,2)</f>
      </c>
      <c r="AY10" s="33">
        <f>ROUND(AE10-AO10,2)</f>
      </c>
      <c r="AZ10" s="33">
        <f>ROUND(MAX(0,'Your debts'!$D$22-SUM($L10:$U10)),2)</f>
      </c>
      <c r="BA10" s="33">
        <f>ROUND(SUM($B10:$K10)-SUM($AP9:$AY9),2)</f>
      </c>
      <c r="BB10" s="33">
        <f>SUM($AP10:$AY10)</f>
      </c>
      <c r="BC10" s="33">
        <f>ROUND(SUM($L10:$U10)+SUM($AF10:$AO10),2)</f>
      </c>
    </row>
    <row r="11" spans="1:55" x14ac:dyDescent="0.25">
      <c r="A11">
        <v>4</v>
      </c>
      <c r="B11" s="33">
        <f>IF(AP10&lt;=0,0,ROUND(AP10+ROUND(AP10*V$3/12,2),2))</f>
      </c>
      <c r="C11" s="33">
        <f>IF(AQ10&lt;=0,0,ROUND(AQ10+ROUND(AQ10*W$3/12,2),2))</f>
      </c>
      <c r="D11" s="33">
        <f>IF(AR10&lt;=0,0,ROUND(AR10+ROUND(AR10*X$3/12,2),2))</f>
      </c>
      <c r="E11" s="33">
        <f>IF(AS10&lt;=0,0,ROUND(AS10+ROUND(AS10*Y$3/12,2),2))</f>
      </c>
      <c r="F11" s="33">
        <f>IF(AT10&lt;=0,0,ROUND(AT10+ROUND(AT10*Z$3/12,2),2))</f>
      </c>
      <c r="G11" s="33">
        <f>IF(AU10&lt;=0,0,ROUND(AU10+ROUND(AU10*AA$3/12,2),2))</f>
      </c>
      <c r="H11" s="33">
        <f>IF(AV10&lt;=0,0,ROUND(AV10+ROUND(AV10*AB$3/12,2),2))</f>
      </c>
      <c r="I11" s="33">
        <f>IF(AW10&lt;=0,0,ROUND(AW10+ROUND(AW10*AC$3/12,2),2))</f>
      </c>
      <c r="J11" s="33">
        <f>IF(AX10&lt;=0,0,ROUND(AX10+ROUND(AX10*AD$3/12,2),2))</f>
      </c>
      <c r="K11" s="33">
        <f>IF(AY10&lt;=0,0,ROUND(AY10+ROUND(AY10*AE$3/12,2),2))</f>
      </c>
      <c r="L11" s="33">
        <f>ROUND(MIN(MAX(0,N('Your debts'!$E$6)),B11),2)</f>
      </c>
      <c r="M11" s="33">
        <f>ROUND(MIN(MAX(0,N('Your debts'!$E$7)),C11),2)</f>
      </c>
      <c r="N11" s="33">
        <f>ROUND(MIN(MAX(0,N('Your debts'!$E$8)),D11),2)</f>
      </c>
      <c r="O11" s="33">
        <f>ROUND(MIN(MAX(0,N('Your debts'!$E$9)),E11),2)</f>
      </c>
      <c r="P11" s="33">
        <f>ROUND(MIN(MAX(0,N('Your debts'!$E$10)),F11),2)</f>
      </c>
      <c r="Q11" s="33">
        <f>ROUND(MIN(MAX(0,N('Your debts'!$E$11)),G11),2)</f>
      </c>
      <c r="R11" s="33">
        <f>ROUND(MIN(MAX(0,N('Your debts'!$E$12)),H11),2)</f>
      </c>
      <c r="S11" s="33">
        <f>ROUND(MIN(MAX(0,N('Your debts'!$E$13)),I11),2)</f>
      </c>
      <c r="T11" s="33">
        <f>ROUND(MIN(MAX(0,N('Your debts'!$E$14)),J11),2)</f>
      </c>
      <c r="U11" s="33">
        <f>ROUND(MIN(MAX(0,N('Your debts'!$E$15)),K11),2)</f>
      </c>
      <c r="V11" s="33">
        <f>ROUND(B11-L11,2)</f>
      </c>
      <c r="W11" s="33">
        <f>ROUND(C11-M11,2)</f>
      </c>
      <c r="X11" s="33">
        <f>ROUND(D11-N11,2)</f>
      </c>
      <c r="Y11" s="33">
        <f>ROUND(E11-O11,2)</f>
      </c>
      <c r="Z11" s="33">
        <f>ROUND(F11-P11,2)</f>
      </c>
      <c r="AA11" s="33">
        <f>ROUND(G11-Q11,2)</f>
      </c>
      <c r="AB11" s="33">
        <f>ROUND(H11-R11,2)</f>
      </c>
      <c r="AC11" s="33">
        <f>ROUND(I11-S11,2)</f>
      </c>
      <c r="AD11" s="33">
        <f>ROUND(J11-T11,2)</f>
      </c>
      <c r="AE11" s="33">
        <f>ROUND(K11-U11,2)</f>
      </c>
      <c r="AF11" s="33">
        <f>IF(V11&lt;=0,0,MAX(0,MIN(V11,ROUND($AZ11-SUMPRODUCT($V11:$AE11*($V11:$AE11&gt;0)*(($V11:$AE11&lt;V11)+($V11:$AE11=V11)*($V$3:$AE$3&gt;V$3)+($V11:$AE11=V11)*($V$3:$AE$3=V$3)*($V$2:$AE$2&lt;V$2))),2))))</f>
      </c>
      <c r="AG11" s="33">
        <f>IF(W11&lt;=0,0,MAX(0,MIN(W11,ROUND($AZ11-SUMPRODUCT($V11:$AE11*($V11:$AE11&gt;0)*(($V11:$AE11&lt;W11)+($V11:$AE11=W11)*($V$3:$AE$3&gt;W$3)+($V11:$AE11=W11)*($V$3:$AE$3=W$3)*($V$2:$AE$2&lt;W$2))),2))))</f>
      </c>
      <c r="AH11" s="33">
        <f>IF(X11&lt;=0,0,MAX(0,MIN(X11,ROUND($AZ11-SUMPRODUCT($V11:$AE11*($V11:$AE11&gt;0)*(($V11:$AE11&lt;X11)+($V11:$AE11=X11)*($V$3:$AE$3&gt;X$3)+($V11:$AE11=X11)*($V$3:$AE$3=X$3)*($V$2:$AE$2&lt;X$2))),2))))</f>
      </c>
      <c r="AI11" s="33">
        <f>IF(Y11&lt;=0,0,MAX(0,MIN(Y11,ROUND($AZ11-SUMPRODUCT($V11:$AE11*($V11:$AE11&gt;0)*(($V11:$AE11&lt;Y11)+($V11:$AE11=Y11)*($V$3:$AE$3&gt;Y$3)+($V11:$AE11=Y11)*($V$3:$AE$3=Y$3)*($V$2:$AE$2&lt;Y$2))),2))))</f>
      </c>
      <c r="AJ11" s="33">
        <f>IF(Z11&lt;=0,0,MAX(0,MIN(Z11,ROUND($AZ11-SUMPRODUCT($V11:$AE11*($V11:$AE11&gt;0)*(($V11:$AE11&lt;Z11)+($V11:$AE11=Z11)*($V$3:$AE$3&gt;Z$3)+($V11:$AE11=Z11)*($V$3:$AE$3=Z$3)*($V$2:$AE$2&lt;Z$2))),2))))</f>
      </c>
      <c r="AK11" s="33">
        <f>IF(AA11&lt;=0,0,MAX(0,MIN(AA11,ROUND($AZ11-SUMPRODUCT($V11:$AE11*($V11:$AE11&gt;0)*(($V11:$AE11&lt;AA11)+($V11:$AE11=AA11)*($V$3:$AE$3&gt;AA$3)+($V11:$AE11=AA11)*($V$3:$AE$3=AA$3)*($V$2:$AE$2&lt;AA$2))),2))))</f>
      </c>
      <c r="AL11" s="33">
        <f>IF(AB11&lt;=0,0,MAX(0,MIN(AB11,ROUND($AZ11-SUMPRODUCT($V11:$AE11*($V11:$AE11&gt;0)*(($V11:$AE11&lt;AB11)+($V11:$AE11=AB11)*($V$3:$AE$3&gt;AB$3)+($V11:$AE11=AB11)*($V$3:$AE$3=AB$3)*($V$2:$AE$2&lt;AB$2))),2))))</f>
      </c>
      <c r="AM11" s="33">
        <f>IF(AC11&lt;=0,0,MAX(0,MIN(AC11,ROUND($AZ11-SUMPRODUCT($V11:$AE11*($V11:$AE11&gt;0)*(($V11:$AE11&lt;AC11)+($V11:$AE11=AC11)*($V$3:$AE$3&gt;AC$3)+($V11:$AE11=AC11)*($V$3:$AE$3=AC$3)*($V$2:$AE$2&lt;AC$2))),2))))</f>
      </c>
      <c r="AN11" s="33">
        <f>IF(AD11&lt;=0,0,MAX(0,MIN(AD11,ROUND($AZ11-SUMPRODUCT($V11:$AE11*($V11:$AE11&gt;0)*(($V11:$AE11&lt;AD11)+($V11:$AE11=AD11)*($V$3:$AE$3&gt;AD$3)+($V11:$AE11=AD11)*($V$3:$AE$3=AD$3)*($V$2:$AE$2&lt;AD$2))),2))))</f>
      </c>
      <c r="AO11" s="33">
        <f>IF(AE11&lt;=0,0,MAX(0,MIN(AE11,ROUND($AZ11-SUMPRODUCT($V11:$AE11*($V11:$AE11&gt;0)*(($V11:$AE11&lt;AE11)+($V11:$AE11=AE11)*($V$3:$AE$3&gt;AE$3)+($V11:$AE11=AE11)*($V$3:$AE$3=AE$3)*($V$2:$AE$2&lt;AE$2))),2))))</f>
      </c>
      <c r="AP11" s="33">
        <f>ROUND(V11-AF11,2)</f>
      </c>
      <c r="AQ11" s="33">
        <f>ROUND(W11-AG11,2)</f>
      </c>
      <c r="AR11" s="33">
        <f>ROUND(X11-AH11,2)</f>
      </c>
      <c r="AS11" s="33">
        <f>ROUND(Y11-AI11,2)</f>
      </c>
      <c r="AT11" s="33">
        <f>ROUND(Z11-AJ11,2)</f>
      </c>
      <c r="AU11" s="33">
        <f>ROUND(AA11-AK11,2)</f>
      </c>
      <c r="AV11" s="33">
        <f>ROUND(AB11-AL11,2)</f>
      </c>
      <c r="AW11" s="33">
        <f>ROUND(AC11-AM11,2)</f>
      </c>
      <c r="AX11" s="33">
        <f>ROUND(AD11-AN11,2)</f>
      </c>
      <c r="AY11" s="33">
        <f>ROUND(AE11-AO11,2)</f>
      </c>
      <c r="AZ11" s="33">
        <f>ROUND(MAX(0,'Your debts'!$D$22-SUM($L11:$U11)),2)</f>
      </c>
      <c r="BA11" s="33">
        <f>ROUND(SUM($B11:$K11)-SUM($AP10:$AY10),2)</f>
      </c>
      <c r="BB11" s="33">
        <f>SUM($AP11:$AY11)</f>
      </c>
      <c r="BC11" s="33">
        <f>ROUND(SUM($L11:$U11)+SUM($AF11:$AO11),2)</f>
      </c>
    </row>
    <row r="12" spans="1:55" x14ac:dyDescent="0.25">
      <c r="A12">
        <v>5</v>
      </c>
      <c r="B12" s="33">
        <f>IF(AP11&lt;=0,0,ROUND(AP11+ROUND(AP11*V$3/12,2),2))</f>
      </c>
      <c r="C12" s="33">
        <f>IF(AQ11&lt;=0,0,ROUND(AQ11+ROUND(AQ11*W$3/12,2),2))</f>
      </c>
      <c r="D12" s="33">
        <f>IF(AR11&lt;=0,0,ROUND(AR11+ROUND(AR11*X$3/12,2),2))</f>
      </c>
      <c r="E12" s="33">
        <f>IF(AS11&lt;=0,0,ROUND(AS11+ROUND(AS11*Y$3/12,2),2))</f>
      </c>
      <c r="F12" s="33">
        <f>IF(AT11&lt;=0,0,ROUND(AT11+ROUND(AT11*Z$3/12,2),2))</f>
      </c>
      <c r="G12" s="33">
        <f>IF(AU11&lt;=0,0,ROUND(AU11+ROUND(AU11*AA$3/12,2),2))</f>
      </c>
      <c r="H12" s="33">
        <f>IF(AV11&lt;=0,0,ROUND(AV11+ROUND(AV11*AB$3/12,2),2))</f>
      </c>
      <c r="I12" s="33">
        <f>IF(AW11&lt;=0,0,ROUND(AW11+ROUND(AW11*AC$3/12,2),2))</f>
      </c>
      <c r="J12" s="33">
        <f>IF(AX11&lt;=0,0,ROUND(AX11+ROUND(AX11*AD$3/12,2),2))</f>
      </c>
      <c r="K12" s="33">
        <f>IF(AY11&lt;=0,0,ROUND(AY11+ROUND(AY11*AE$3/12,2),2))</f>
      </c>
      <c r="L12" s="33">
        <f>ROUND(MIN(MAX(0,N('Your debts'!$E$6)),B12),2)</f>
      </c>
      <c r="M12" s="33">
        <f>ROUND(MIN(MAX(0,N('Your debts'!$E$7)),C12),2)</f>
      </c>
      <c r="N12" s="33">
        <f>ROUND(MIN(MAX(0,N('Your debts'!$E$8)),D12),2)</f>
      </c>
      <c r="O12" s="33">
        <f>ROUND(MIN(MAX(0,N('Your debts'!$E$9)),E12),2)</f>
      </c>
      <c r="P12" s="33">
        <f>ROUND(MIN(MAX(0,N('Your debts'!$E$10)),F12),2)</f>
      </c>
      <c r="Q12" s="33">
        <f>ROUND(MIN(MAX(0,N('Your debts'!$E$11)),G12),2)</f>
      </c>
      <c r="R12" s="33">
        <f>ROUND(MIN(MAX(0,N('Your debts'!$E$12)),H12),2)</f>
      </c>
      <c r="S12" s="33">
        <f>ROUND(MIN(MAX(0,N('Your debts'!$E$13)),I12),2)</f>
      </c>
      <c r="T12" s="33">
        <f>ROUND(MIN(MAX(0,N('Your debts'!$E$14)),J12),2)</f>
      </c>
      <c r="U12" s="33">
        <f>ROUND(MIN(MAX(0,N('Your debts'!$E$15)),K12),2)</f>
      </c>
      <c r="V12" s="33">
        <f>ROUND(B12-L12,2)</f>
      </c>
      <c r="W12" s="33">
        <f>ROUND(C12-M12,2)</f>
      </c>
      <c r="X12" s="33">
        <f>ROUND(D12-N12,2)</f>
      </c>
      <c r="Y12" s="33">
        <f>ROUND(E12-O12,2)</f>
      </c>
      <c r="Z12" s="33">
        <f>ROUND(F12-P12,2)</f>
      </c>
      <c r="AA12" s="33">
        <f>ROUND(G12-Q12,2)</f>
      </c>
      <c r="AB12" s="33">
        <f>ROUND(H12-R12,2)</f>
      </c>
      <c r="AC12" s="33">
        <f>ROUND(I12-S12,2)</f>
      </c>
      <c r="AD12" s="33">
        <f>ROUND(J12-T12,2)</f>
      </c>
      <c r="AE12" s="33">
        <f>ROUND(K12-U12,2)</f>
      </c>
      <c r="AF12" s="33">
        <f>IF(V12&lt;=0,0,MAX(0,MIN(V12,ROUND($AZ12-SUMPRODUCT($V12:$AE12*($V12:$AE12&gt;0)*(($V12:$AE12&lt;V12)+($V12:$AE12=V12)*($V$3:$AE$3&gt;V$3)+($V12:$AE12=V12)*($V$3:$AE$3=V$3)*($V$2:$AE$2&lt;V$2))),2))))</f>
      </c>
      <c r="AG12" s="33">
        <f>IF(W12&lt;=0,0,MAX(0,MIN(W12,ROUND($AZ12-SUMPRODUCT($V12:$AE12*($V12:$AE12&gt;0)*(($V12:$AE12&lt;W12)+($V12:$AE12=W12)*($V$3:$AE$3&gt;W$3)+($V12:$AE12=W12)*($V$3:$AE$3=W$3)*($V$2:$AE$2&lt;W$2))),2))))</f>
      </c>
      <c r="AH12" s="33">
        <f>IF(X12&lt;=0,0,MAX(0,MIN(X12,ROUND($AZ12-SUMPRODUCT($V12:$AE12*($V12:$AE12&gt;0)*(($V12:$AE12&lt;X12)+($V12:$AE12=X12)*($V$3:$AE$3&gt;X$3)+($V12:$AE12=X12)*($V$3:$AE$3=X$3)*($V$2:$AE$2&lt;X$2))),2))))</f>
      </c>
      <c r="AI12" s="33">
        <f>IF(Y12&lt;=0,0,MAX(0,MIN(Y12,ROUND($AZ12-SUMPRODUCT($V12:$AE12*($V12:$AE12&gt;0)*(($V12:$AE12&lt;Y12)+($V12:$AE12=Y12)*($V$3:$AE$3&gt;Y$3)+($V12:$AE12=Y12)*($V$3:$AE$3=Y$3)*($V$2:$AE$2&lt;Y$2))),2))))</f>
      </c>
      <c r="AJ12" s="33">
        <f>IF(Z12&lt;=0,0,MAX(0,MIN(Z12,ROUND($AZ12-SUMPRODUCT($V12:$AE12*($V12:$AE12&gt;0)*(($V12:$AE12&lt;Z12)+($V12:$AE12=Z12)*($V$3:$AE$3&gt;Z$3)+($V12:$AE12=Z12)*($V$3:$AE$3=Z$3)*($V$2:$AE$2&lt;Z$2))),2))))</f>
      </c>
      <c r="AK12" s="33">
        <f>IF(AA12&lt;=0,0,MAX(0,MIN(AA12,ROUND($AZ12-SUMPRODUCT($V12:$AE12*($V12:$AE12&gt;0)*(($V12:$AE12&lt;AA12)+($V12:$AE12=AA12)*($V$3:$AE$3&gt;AA$3)+($V12:$AE12=AA12)*($V$3:$AE$3=AA$3)*($V$2:$AE$2&lt;AA$2))),2))))</f>
      </c>
      <c r="AL12" s="33">
        <f>IF(AB12&lt;=0,0,MAX(0,MIN(AB12,ROUND($AZ12-SUMPRODUCT($V12:$AE12*($V12:$AE12&gt;0)*(($V12:$AE12&lt;AB12)+($V12:$AE12=AB12)*($V$3:$AE$3&gt;AB$3)+($V12:$AE12=AB12)*($V$3:$AE$3=AB$3)*($V$2:$AE$2&lt;AB$2))),2))))</f>
      </c>
      <c r="AM12" s="33">
        <f>IF(AC12&lt;=0,0,MAX(0,MIN(AC12,ROUND($AZ12-SUMPRODUCT($V12:$AE12*($V12:$AE12&gt;0)*(($V12:$AE12&lt;AC12)+($V12:$AE12=AC12)*($V$3:$AE$3&gt;AC$3)+($V12:$AE12=AC12)*($V$3:$AE$3=AC$3)*($V$2:$AE$2&lt;AC$2))),2))))</f>
      </c>
      <c r="AN12" s="33">
        <f>IF(AD12&lt;=0,0,MAX(0,MIN(AD12,ROUND($AZ12-SUMPRODUCT($V12:$AE12*($V12:$AE12&gt;0)*(($V12:$AE12&lt;AD12)+($V12:$AE12=AD12)*($V$3:$AE$3&gt;AD$3)+($V12:$AE12=AD12)*($V$3:$AE$3=AD$3)*($V$2:$AE$2&lt;AD$2))),2))))</f>
      </c>
      <c r="AO12" s="33">
        <f>IF(AE12&lt;=0,0,MAX(0,MIN(AE12,ROUND($AZ12-SUMPRODUCT($V12:$AE12*($V12:$AE12&gt;0)*(($V12:$AE12&lt;AE12)+($V12:$AE12=AE12)*($V$3:$AE$3&gt;AE$3)+($V12:$AE12=AE12)*($V$3:$AE$3=AE$3)*($V$2:$AE$2&lt;AE$2))),2))))</f>
      </c>
      <c r="AP12" s="33">
        <f>ROUND(V12-AF12,2)</f>
      </c>
      <c r="AQ12" s="33">
        <f>ROUND(W12-AG12,2)</f>
      </c>
      <c r="AR12" s="33">
        <f>ROUND(X12-AH12,2)</f>
      </c>
      <c r="AS12" s="33">
        <f>ROUND(Y12-AI12,2)</f>
      </c>
      <c r="AT12" s="33">
        <f>ROUND(Z12-AJ12,2)</f>
      </c>
      <c r="AU12" s="33">
        <f>ROUND(AA12-AK12,2)</f>
      </c>
      <c r="AV12" s="33">
        <f>ROUND(AB12-AL12,2)</f>
      </c>
      <c r="AW12" s="33">
        <f>ROUND(AC12-AM12,2)</f>
      </c>
      <c r="AX12" s="33">
        <f>ROUND(AD12-AN12,2)</f>
      </c>
      <c r="AY12" s="33">
        <f>ROUND(AE12-AO12,2)</f>
      </c>
      <c r="AZ12" s="33">
        <f>ROUND(MAX(0,'Your debts'!$D$22-SUM($L12:$U12)),2)</f>
      </c>
      <c r="BA12" s="33">
        <f>ROUND(SUM($B12:$K12)-SUM($AP11:$AY11),2)</f>
      </c>
      <c r="BB12" s="33">
        <f>SUM($AP12:$AY12)</f>
      </c>
      <c r="BC12" s="33">
        <f>ROUND(SUM($L12:$U12)+SUM($AF12:$AO12),2)</f>
      </c>
    </row>
    <row r="13" spans="1:55" x14ac:dyDescent="0.25">
      <c r="A13">
        <v>6</v>
      </c>
      <c r="B13" s="33">
        <f>IF(AP12&lt;=0,0,ROUND(AP12+ROUND(AP12*V$3/12,2),2))</f>
      </c>
      <c r="C13" s="33">
        <f>IF(AQ12&lt;=0,0,ROUND(AQ12+ROUND(AQ12*W$3/12,2),2))</f>
      </c>
      <c r="D13" s="33">
        <f>IF(AR12&lt;=0,0,ROUND(AR12+ROUND(AR12*X$3/12,2),2))</f>
      </c>
      <c r="E13" s="33">
        <f>IF(AS12&lt;=0,0,ROUND(AS12+ROUND(AS12*Y$3/12,2),2))</f>
      </c>
      <c r="F13" s="33">
        <f>IF(AT12&lt;=0,0,ROUND(AT12+ROUND(AT12*Z$3/12,2),2))</f>
      </c>
      <c r="G13" s="33">
        <f>IF(AU12&lt;=0,0,ROUND(AU12+ROUND(AU12*AA$3/12,2),2))</f>
      </c>
      <c r="H13" s="33">
        <f>IF(AV12&lt;=0,0,ROUND(AV12+ROUND(AV12*AB$3/12,2),2))</f>
      </c>
      <c r="I13" s="33">
        <f>IF(AW12&lt;=0,0,ROUND(AW12+ROUND(AW12*AC$3/12,2),2))</f>
      </c>
      <c r="J13" s="33">
        <f>IF(AX12&lt;=0,0,ROUND(AX12+ROUND(AX12*AD$3/12,2),2))</f>
      </c>
      <c r="K13" s="33">
        <f>IF(AY12&lt;=0,0,ROUND(AY12+ROUND(AY12*AE$3/12,2),2))</f>
      </c>
      <c r="L13" s="33">
        <f>ROUND(MIN(MAX(0,N('Your debts'!$E$6)),B13),2)</f>
      </c>
      <c r="M13" s="33">
        <f>ROUND(MIN(MAX(0,N('Your debts'!$E$7)),C13),2)</f>
      </c>
      <c r="N13" s="33">
        <f>ROUND(MIN(MAX(0,N('Your debts'!$E$8)),D13),2)</f>
      </c>
      <c r="O13" s="33">
        <f>ROUND(MIN(MAX(0,N('Your debts'!$E$9)),E13),2)</f>
      </c>
      <c r="P13" s="33">
        <f>ROUND(MIN(MAX(0,N('Your debts'!$E$10)),F13),2)</f>
      </c>
      <c r="Q13" s="33">
        <f>ROUND(MIN(MAX(0,N('Your debts'!$E$11)),G13),2)</f>
      </c>
      <c r="R13" s="33">
        <f>ROUND(MIN(MAX(0,N('Your debts'!$E$12)),H13),2)</f>
      </c>
      <c r="S13" s="33">
        <f>ROUND(MIN(MAX(0,N('Your debts'!$E$13)),I13),2)</f>
      </c>
      <c r="T13" s="33">
        <f>ROUND(MIN(MAX(0,N('Your debts'!$E$14)),J13),2)</f>
      </c>
      <c r="U13" s="33">
        <f>ROUND(MIN(MAX(0,N('Your debts'!$E$15)),K13),2)</f>
      </c>
      <c r="V13" s="33">
        <f>ROUND(B13-L13,2)</f>
      </c>
      <c r="W13" s="33">
        <f>ROUND(C13-M13,2)</f>
      </c>
      <c r="X13" s="33">
        <f>ROUND(D13-N13,2)</f>
      </c>
      <c r="Y13" s="33">
        <f>ROUND(E13-O13,2)</f>
      </c>
      <c r="Z13" s="33">
        <f>ROUND(F13-P13,2)</f>
      </c>
      <c r="AA13" s="33">
        <f>ROUND(G13-Q13,2)</f>
      </c>
      <c r="AB13" s="33">
        <f>ROUND(H13-R13,2)</f>
      </c>
      <c r="AC13" s="33">
        <f>ROUND(I13-S13,2)</f>
      </c>
      <c r="AD13" s="33">
        <f>ROUND(J13-T13,2)</f>
      </c>
      <c r="AE13" s="33">
        <f>ROUND(K13-U13,2)</f>
      </c>
      <c r="AF13" s="33">
        <f>IF(V13&lt;=0,0,MAX(0,MIN(V13,ROUND($AZ13-SUMPRODUCT($V13:$AE13*($V13:$AE13&gt;0)*(($V13:$AE13&lt;V13)+($V13:$AE13=V13)*($V$3:$AE$3&gt;V$3)+($V13:$AE13=V13)*($V$3:$AE$3=V$3)*($V$2:$AE$2&lt;V$2))),2))))</f>
      </c>
      <c r="AG13" s="33">
        <f>IF(W13&lt;=0,0,MAX(0,MIN(W13,ROUND($AZ13-SUMPRODUCT($V13:$AE13*($V13:$AE13&gt;0)*(($V13:$AE13&lt;W13)+($V13:$AE13=W13)*($V$3:$AE$3&gt;W$3)+($V13:$AE13=W13)*($V$3:$AE$3=W$3)*($V$2:$AE$2&lt;W$2))),2))))</f>
      </c>
      <c r="AH13" s="33">
        <f>IF(X13&lt;=0,0,MAX(0,MIN(X13,ROUND($AZ13-SUMPRODUCT($V13:$AE13*($V13:$AE13&gt;0)*(($V13:$AE13&lt;X13)+($V13:$AE13=X13)*($V$3:$AE$3&gt;X$3)+($V13:$AE13=X13)*($V$3:$AE$3=X$3)*($V$2:$AE$2&lt;X$2))),2))))</f>
      </c>
      <c r="AI13" s="33">
        <f>IF(Y13&lt;=0,0,MAX(0,MIN(Y13,ROUND($AZ13-SUMPRODUCT($V13:$AE13*($V13:$AE13&gt;0)*(($V13:$AE13&lt;Y13)+($V13:$AE13=Y13)*($V$3:$AE$3&gt;Y$3)+($V13:$AE13=Y13)*($V$3:$AE$3=Y$3)*($V$2:$AE$2&lt;Y$2))),2))))</f>
      </c>
      <c r="AJ13" s="33">
        <f>IF(Z13&lt;=0,0,MAX(0,MIN(Z13,ROUND($AZ13-SUMPRODUCT($V13:$AE13*($V13:$AE13&gt;0)*(($V13:$AE13&lt;Z13)+($V13:$AE13=Z13)*($V$3:$AE$3&gt;Z$3)+($V13:$AE13=Z13)*($V$3:$AE$3=Z$3)*($V$2:$AE$2&lt;Z$2))),2))))</f>
      </c>
      <c r="AK13" s="33">
        <f>IF(AA13&lt;=0,0,MAX(0,MIN(AA13,ROUND($AZ13-SUMPRODUCT($V13:$AE13*($V13:$AE13&gt;0)*(($V13:$AE13&lt;AA13)+($V13:$AE13=AA13)*($V$3:$AE$3&gt;AA$3)+($V13:$AE13=AA13)*($V$3:$AE$3=AA$3)*($V$2:$AE$2&lt;AA$2))),2))))</f>
      </c>
      <c r="AL13" s="33">
        <f>IF(AB13&lt;=0,0,MAX(0,MIN(AB13,ROUND($AZ13-SUMPRODUCT($V13:$AE13*($V13:$AE13&gt;0)*(($V13:$AE13&lt;AB13)+($V13:$AE13=AB13)*($V$3:$AE$3&gt;AB$3)+($V13:$AE13=AB13)*($V$3:$AE$3=AB$3)*($V$2:$AE$2&lt;AB$2))),2))))</f>
      </c>
      <c r="AM13" s="33">
        <f>IF(AC13&lt;=0,0,MAX(0,MIN(AC13,ROUND($AZ13-SUMPRODUCT($V13:$AE13*($V13:$AE13&gt;0)*(($V13:$AE13&lt;AC13)+($V13:$AE13=AC13)*($V$3:$AE$3&gt;AC$3)+($V13:$AE13=AC13)*($V$3:$AE$3=AC$3)*($V$2:$AE$2&lt;AC$2))),2))))</f>
      </c>
      <c r="AN13" s="33">
        <f>IF(AD13&lt;=0,0,MAX(0,MIN(AD13,ROUND($AZ13-SUMPRODUCT($V13:$AE13*($V13:$AE13&gt;0)*(($V13:$AE13&lt;AD13)+($V13:$AE13=AD13)*($V$3:$AE$3&gt;AD$3)+($V13:$AE13=AD13)*($V$3:$AE$3=AD$3)*($V$2:$AE$2&lt;AD$2))),2))))</f>
      </c>
      <c r="AO13" s="33">
        <f>IF(AE13&lt;=0,0,MAX(0,MIN(AE13,ROUND($AZ13-SUMPRODUCT($V13:$AE13*($V13:$AE13&gt;0)*(($V13:$AE13&lt;AE13)+($V13:$AE13=AE13)*($V$3:$AE$3&gt;AE$3)+($V13:$AE13=AE13)*($V$3:$AE$3=AE$3)*($V$2:$AE$2&lt;AE$2))),2))))</f>
      </c>
      <c r="AP13" s="33">
        <f>ROUND(V13-AF13,2)</f>
      </c>
      <c r="AQ13" s="33">
        <f>ROUND(W13-AG13,2)</f>
      </c>
      <c r="AR13" s="33">
        <f>ROUND(X13-AH13,2)</f>
      </c>
      <c r="AS13" s="33">
        <f>ROUND(Y13-AI13,2)</f>
      </c>
      <c r="AT13" s="33">
        <f>ROUND(Z13-AJ13,2)</f>
      </c>
      <c r="AU13" s="33">
        <f>ROUND(AA13-AK13,2)</f>
      </c>
      <c r="AV13" s="33">
        <f>ROUND(AB13-AL13,2)</f>
      </c>
      <c r="AW13" s="33">
        <f>ROUND(AC13-AM13,2)</f>
      </c>
      <c r="AX13" s="33">
        <f>ROUND(AD13-AN13,2)</f>
      </c>
      <c r="AY13" s="33">
        <f>ROUND(AE13-AO13,2)</f>
      </c>
      <c r="AZ13" s="33">
        <f>ROUND(MAX(0,'Your debts'!$D$22-SUM($L13:$U13)),2)</f>
      </c>
      <c r="BA13" s="33">
        <f>ROUND(SUM($B13:$K13)-SUM($AP12:$AY12),2)</f>
      </c>
      <c r="BB13" s="33">
        <f>SUM($AP13:$AY13)</f>
      </c>
      <c r="BC13" s="33">
        <f>ROUND(SUM($L13:$U13)+SUM($AF13:$AO13),2)</f>
      </c>
    </row>
    <row r="14" spans="1:55" x14ac:dyDescent="0.25">
      <c r="A14">
        <v>7</v>
      </c>
      <c r="B14" s="33">
        <f>IF(AP13&lt;=0,0,ROUND(AP13+ROUND(AP13*V$3/12,2),2))</f>
      </c>
      <c r="C14" s="33">
        <f>IF(AQ13&lt;=0,0,ROUND(AQ13+ROUND(AQ13*W$3/12,2),2))</f>
      </c>
      <c r="D14" s="33">
        <f>IF(AR13&lt;=0,0,ROUND(AR13+ROUND(AR13*X$3/12,2),2))</f>
      </c>
      <c r="E14" s="33">
        <f>IF(AS13&lt;=0,0,ROUND(AS13+ROUND(AS13*Y$3/12,2),2))</f>
      </c>
      <c r="F14" s="33">
        <f>IF(AT13&lt;=0,0,ROUND(AT13+ROUND(AT13*Z$3/12,2),2))</f>
      </c>
      <c r="G14" s="33">
        <f>IF(AU13&lt;=0,0,ROUND(AU13+ROUND(AU13*AA$3/12,2),2))</f>
      </c>
      <c r="H14" s="33">
        <f>IF(AV13&lt;=0,0,ROUND(AV13+ROUND(AV13*AB$3/12,2),2))</f>
      </c>
      <c r="I14" s="33">
        <f>IF(AW13&lt;=0,0,ROUND(AW13+ROUND(AW13*AC$3/12,2),2))</f>
      </c>
      <c r="J14" s="33">
        <f>IF(AX13&lt;=0,0,ROUND(AX13+ROUND(AX13*AD$3/12,2),2))</f>
      </c>
      <c r="K14" s="33">
        <f>IF(AY13&lt;=0,0,ROUND(AY13+ROUND(AY13*AE$3/12,2),2))</f>
      </c>
      <c r="L14" s="33">
        <f>ROUND(MIN(MAX(0,N('Your debts'!$E$6)),B14),2)</f>
      </c>
      <c r="M14" s="33">
        <f>ROUND(MIN(MAX(0,N('Your debts'!$E$7)),C14),2)</f>
      </c>
      <c r="N14" s="33">
        <f>ROUND(MIN(MAX(0,N('Your debts'!$E$8)),D14),2)</f>
      </c>
      <c r="O14" s="33">
        <f>ROUND(MIN(MAX(0,N('Your debts'!$E$9)),E14),2)</f>
      </c>
      <c r="P14" s="33">
        <f>ROUND(MIN(MAX(0,N('Your debts'!$E$10)),F14),2)</f>
      </c>
      <c r="Q14" s="33">
        <f>ROUND(MIN(MAX(0,N('Your debts'!$E$11)),G14),2)</f>
      </c>
      <c r="R14" s="33">
        <f>ROUND(MIN(MAX(0,N('Your debts'!$E$12)),H14),2)</f>
      </c>
      <c r="S14" s="33">
        <f>ROUND(MIN(MAX(0,N('Your debts'!$E$13)),I14),2)</f>
      </c>
      <c r="T14" s="33">
        <f>ROUND(MIN(MAX(0,N('Your debts'!$E$14)),J14),2)</f>
      </c>
      <c r="U14" s="33">
        <f>ROUND(MIN(MAX(0,N('Your debts'!$E$15)),K14),2)</f>
      </c>
      <c r="V14" s="33">
        <f>ROUND(B14-L14,2)</f>
      </c>
      <c r="W14" s="33">
        <f>ROUND(C14-M14,2)</f>
      </c>
      <c r="X14" s="33">
        <f>ROUND(D14-N14,2)</f>
      </c>
      <c r="Y14" s="33">
        <f>ROUND(E14-O14,2)</f>
      </c>
      <c r="Z14" s="33">
        <f>ROUND(F14-P14,2)</f>
      </c>
      <c r="AA14" s="33">
        <f>ROUND(G14-Q14,2)</f>
      </c>
      <c r="AB14" s="33">
        <f>ROUND(H14-R14,2)</f>
      </c>
      <c r="AC14" s="33">
        <f>ROUND(I14-S14,2)</f>
      </c>
      <c r="AD14" s="33">
        <f>ROUND(J14-T14,2)</f>
      </c>
      <c r="AE14" s="33">
        <f>ROUND(K14-U14,2)</f>
      </c>
      <c r="AF14" s="33">
        <f>IF(V14&lt;=0,0,MAX(0,MIN(V14,ROUND($AZ14-SUMPRODUCT($V14:$AE14*($V14:$AE14&gt;0)*(($V14:$AE14&lt;V14)+($V14:$AE14=V14)*($V$3:$AE$3&gt;V$3)+($V14:$AE14=V14)*($V$3:$AE$3=V$3)*($V$2:$AE$2&lt;V$2))),2))))</f>
      </c>
      <c r="AG14" s="33">
        <f>IF(W14&lt;=0,0,MAX(0,MIN(W14,ROUND($AZ14-SUMPRODUCT($V14:$AE14*($V14:$AE14&gt;0)*(($V14:$AE14&lt;W14)+($V14:$AE14=W14)*($V$3:$AE$3&gt;W$3)+($V14:$AE14=W14)*($V$3:$AE$3=W$3)*($V$2:$AE$2&lt;W$2))),2))))</f>
      </c>
      <c r="AH14" s="33">
        <f>IF(X14&lt;=0,0,MAX(0,MIN(X14,ROUND($AZ14-SUMPRODUCT($V14:$AE14*($V14:$AE14&gt;0)*(($V14:$AE14&lt;X14)+($V14:$AE14=X14)*($V$3:$AE$3&gt;X$3)+($V14:$AE14=X14)*($V$3:$AE$3=X$3)*($V$2:$AE$2&lt;X$2))),2))))</f>
      </c>
      <c r="AI14" s="33">
        <f>IF(Y14&lt;=0,0,MAX(0,MIN(Y14,ROUND($AZ14-SUMPRODUCT($V14:$AE14*($V14:$AE14&gt;0)*(($V14:$AE14&lt;Y14)+($V14:$AE14=Y14)*($V$3:$AE$3&gt;Y$3)+($V14:$AE14=Y14)*($V$3:$AE$3=Y$3)*($V$2:$AE$2&lt;Y$2))),2))))</f>
      </c>
      <c r="AJ14" s="33">
        <f>IF(Z14&lt;=0,0,MAX(0,MIN(Z14,ROUND($AZ14-SUMPRODUCT($V14:$AE14*($V14:$AE14&gt;0)*(($V14:$AE14&lt;Z14)+($V14:$AE14=Z14)*($V$3:$AE$3&gt;Z$3)+($V14:$AE14=Z14)*($V$3:$AE$3=Z$3)*($V$2:$AE$2&lt;Z$2))),2))))</f>
      </c>
      <c r="AK14" s="33">
        <f>IF(AA14&lt;=0,0,MAX(0,MIN(AA14,ROUND($AZ14-SUMPRODUCT($V14:$AE14*($V14:$AE14&gt;0)*(($V14:$AE14&lt;AA14)+($V14:$AE14=AA14)*($V$3:$AE$3&gt;AA$3)+($V14:$AE14=AA14)*($V$3:$AE$3=AA$3)*($V$2:$AE$2&lt;AA$2))),2))))</f>
      </c>
      <c r="AL14" s="33">
        <f>IF(AB14&lt;=0,0,MAX(0,MIN(AB14,ROUND($AZ14-SUMPRODUCT($V14:$AE14*($V14:$AE14&gt;0)*(($V14:$AE14&lt;AB14)+($V14:$AE14=AB14)*($V$3:$AE$3&gt;AB$3)+($V14:$AE14=AB14)*($V$3:$AE$3=AB$3)*($V$2:$AE$2&lt;AB$2))),2))))</f>
      </c>
      <c r="AM14" s="33">
        <f>IF(AC14&lt;=0,0,MAX(0,MIN(AC14,ROUND($AZ14-SUMPRODUCT($V14:$AE14*($V14:$AE14&gt;0)*(($V14:$AE14&lt;AC14)+($V14:$AE14=AC14)*($V$3:$AE$3&gt;AC$3)+($V14:$AE14=AC14)*($V$3:$AE$3=AC$3)*($V$2:$AE$2&lt;AC$2))),2))))</f>
      </c>
      <c r="AN14" s="33">
        <f>IF(AD14&lt;=0,0,MAX(0,MIN(AD14,ROUND($AZ14-SUMPRODUCT($V14:$AE14*($V14:$AE14&gt;0)*(($V14:$AE14&lt;AD14)+($V14:$AE14=AD14)*($V$3:$AE$3&gt;AD$3)+($V14:$AE14=AD14)*($V$3:$AE$3=AD$3)*($V$2:$AE$2&lt;AD$2))),2))))</f>
      </c>
      <c r="AO14" s="33">
        <f>IF(AE14&lt;=0,0,MAX(0,MIN(AE14,ROUND($AZ14-SUMPRODUCT($V14:$AE14*($V14:$AE14&gt;0)*(($V14:$AE14&lt;AE14)+($V14:$AE14=AE14)*($V$3:$AE$3&gt;AE$3)+($V14:$AE14=AE14)*($V$3:$AE$3=AE$3)*($V$2:$AE$2&lt;AE$2))),2))))</f>
      </c>
      <c r="AP14" s="33">
        <f>ROUND(V14-AF14,2)</f>
      </c>
      <c r="AQ14" s="33">
        <f>ROUND(W14-AG14,2)</f>
      </c>
      <c r="AR14" s="33">
        <f>ROUND(X14-AH14,2)</f>
      </c>
      <c r="AS14" s="33">
        <f>ROUND(Y14-AI14,2)</f>
      </c>
      <c r="AT14" s="33">
        <f>ROUND(Z14-AJ14,2)</f>
      </c>
      <c r="AU14" s="33">
        <f>ROUND(AA14-AK14,2)</f>
      </c>
      <c r="AV14" s="33">
        <f>ROUND(AB14-AL14,2)</f>
      </c>
      <c r="AW14" s="33">
        <f>ROUND(AC14-AM14,2)</f>
      </c>
      <c r="AX14" s="33">
        <f>ROUND(AD14-AN14,2)</f>
      </c>
      <c r="AY14" s="33">
        <f>ROUND(AE14-AO14,2)</f>
      </c>
      <c r="AZ14" s="33">
        <f>ROUND(MAX(0,'Your debts'!$D$22-SUM($L14:$U14)),2)</f>
      </c>
      <c r="BA14" s="33">
        <f>ROUND(SUM($B14:$K14)-SUM($AP13:$AY13),2)</f>
      </c>
      <c r="BB14" s="33">
        <f>SUM($AP14:$AY14)</f>
      </c>
      <c r="BC14" s="33">
        <f>ROUND(SUM($L14:$U14)+SUM($AF14:$AO14),2)</f>
      </c>
    </row>
    <row r="15" spans="1:55" x14ac:dyDescent="0.25">
      <c r="A15">
        <v>8</v>
      </c>
      <c r="B15" s="33">
        <f>IF(AP14&lt;=0,0,ROUND(AP14+ROUND(AP14*V$3/12,2),2))</f>
      </c>
      <c r="C15" s="33">
        <f>IF(AQ14&lt;=0,0,ROUND(AQ14+ROUND(AQ14*W$3/12,2),2))</f>
      </c>
      <c r="D15" s="33">
        <f>IF(AR14&lt;=0,0,ROUND(AR14+ROUND(AR14*X$3/12,2),2))</f>
      </c>
      <c r="E15" s="33">
        <f>IF(AS14&lt;=0,0,ROUND(AS14+ROUND(AS14*Y$3/12,2),2))</f>
      </c>
      <c r="F15" s="33">
        <f>IF(AT14&lt;=0,0,ROUND(AT14+ROUND(AT14*Z$3/12,2),2))</f>
      </c>
      <c r="G15" s="33">
        <f>IF(AU14&lt;=0,0,ROUND(AU14+ROUND(AU14*AA$3/12,2),2))</f>
      </c>
      <c r="H15" s="33">
        <f>IF(AV14&lt;=0,0,ROUND(AV14+ROUND(AV14*AB$3/12,2),2))</f>
      </c>
      <c r="I15" s="33">
        <f>IF(AW14&lt;=0,0,ROUND(AW14+ROUND(AW14*AC$3/12,2),2))</f>
      </c>
      <c r="J15" s="33">
        <f>IF(AX14&lt;=0,0,ROUND(AX14+ROUND(AX14*AD$3/12,2),2))</f>
      </c>
      <c r="K15" s="33">
        <f>IF(AY14&lt;=0,0,ROUND(AY14+ROUND(AY14*AE$3/12,2),2))</f>
      </c>
      <c r="L15" s="33">
        <f>ROUND(MIN(MAX(0,N('Your debts'!$E$6)),B15),2)</f>
      </c>
      <c r="M15" s="33">
        <f>ROUND(MIN(MAX(0,N('Your debts'!$E$7)),C15),2)</f>
      </c>
      <c r="N15" s="33">
        <f>ROUND(MIN(MAX(0,N('Your debts'!$E$8)),D15),2)</f>
      </c>
      <c r="O15" s="33">
        <f>ROUND(MIN(MAX(0,N('Your debts'!$E$9)),E15),2)</f>
      </c>
      <c r="P15" s="33">
        <f>ROUND(MIN(MAX(0,N('Your debts'!$E$10)),F15),2)</f>
      </c>
      <c r="Q15" s="33">
        <f>ROUND(MIN(MAX(0,N('Your debts'!$E$11)),G15),2)</f>
      </c>
      <c r="R15" s="33">
        <f>ROUND(MIN(MAX(0,N('Your debts'!$E$12)),H15),2)</f>
      </c>
      <c r="S15" s="33">
        <f>ROUND(MIN(MAX(0,N('Your debts'!$E$13)),I15),2)</f>
      </c>
      <c r="T15" s="33">
        <f>ROUND(MIN(MAX(0,N('Your debts'!$E$14)),J15),2)</f>
      </c>
      <c r="U15" s="33">
        <f>ROUND(MIN(MAX(0,N('Your debts'!$E$15)),K15),2)</f>
      </c>
      <c r="V15" s="33">
        <f>ROUND(B15-L15,2)</f>
      </c>
      <c r="W15" s="33">
        <f>ROUND(C15-M15,2)</f>
      </c>
      <c r="X15" s="33">
        <f>ROUND(D15-N15,2)</f>
      </c>
      <c r="Y15" s="33">
        <f>ROUND(E15-O15,2)</f>
      </c>
      <c r="Z15" s="33">
        <f>ROUND(F15-P15,2)</f>
      </c>
      <c r="AA15" s="33">
        <f>ROUND(G15-Q15,2)</f>
      </c>
      <c r="AB15" s="33">
        <f>ROUND(H15-R15,2)</f>
      </c>
      <c r="AC15" s="33">
        <f>ROUND(I15-S15,2)</f>
      </c>
      <c r="AD15" s="33">
        <f>ROUND(J15-T15,2)</f>
      </c>
      <c r="AE15" s="33">
        <f>ROUND(K15-U15,2)</f>
      </c>
      <c r="AF15" s="33">
        <f>IF(V15&lt;=0,0,MAX(0,MIN(V15,ROUND($AZ15-SUMPRODUCT($V15:$AE15*($V15:$AE15&gt;0)*(($V15:$AE15&lt;V15)+($V15:$AE15=V15)*($V$3:$AE$3&gt;V$3)+($V15:$AE15=V15)*($V$3:$AE$3=V$3)*($V$2:$AE$2&lt;V$2))),2))))</f>
      </c>
      <c r="AG15" s="33">
        <f>IF(W15&lt;=0,0,MAX(0,MIN(W15,ROUND($AZ15-SUMPRODUCT($V15:$AE15*($V15:$AE15&gt;0)*(($V15:$AE15&lt;W15)+($V15:$AE15=W15)*($V$3:$AE$3&gt;W$3)+($V15:$AE15=W15)*($V$3:$AE$3=W$3)*($V$2:$AE$2&lt;W$2))),2))))</f>
      </c>
      <c r="AH15" s="33">
        <f>IF(X15&lt;=0,0,MAX(0,MIN(X15,ROUND($AZ15-SUMPRODUCT($V15:$AE15*($V15:$AE15&gt;0)*(($V15:$AE15&lt;X15)+($V15:$AE15=X15)*($V$3:$AE$3&gt;X$3)+($V15:$AE15=X15)*($V$3:$AE$3=X$3)*($V$2:$AE$2&lt;X$2))),2))))</f>
      </c>
      <c r="AI15" s="33">
        <f>IF(Y15&lt;=0,0,MAX(0,MIN(Y15,ROUND($AZ15-SUMPRODUCT($V15:$AE15*($V15:$AE15&gt;0)*(($V15:$AE15&lt;Y15)+($V15:$AE15=Y15)*($V$3:$AE$3&gt;Y$3)+($V15:$AE15=Y15)*($V$3:$AE$3=Y$3)*($V$2:$AE$2&lt;Y$2))),2))))</f>
      </c>
      <c r="AJ15" s="33">
        <f>IF(Z15&lt;=0,0,MAX(0,MIN(Z15,ROUND($AZ15-SUMPRODUCT($V15:$AE15*($V15:$AE15&gt;0)*(($V15:$AE15&lt;Z15)+($V15:$AE15=Z15)*($V$3:$AE$3&gt;Z$3)+($V15:$AE15=Z15)*($V$3:$AE$3=Z$3)*($V$2:$AE$2&lt;Z$2))),2))))</f>
      </c>
      <c r="AK15" s="33">
        <f>IF(AA15&lt;=0,0,MAX(0,MIN(AA15,ROUND($AZ15-SUMPRODUCT($V15:$AE15*($V15:$AE15&gt;0)*(($V15:$AE15&lt;AA15)+($V15:$AE15=AA15)*($V$3:$AE$3&gt;AA$3)+($V15:$AE15=AA15)*($V$3:$AE$3=AA$3)*($V$2:$AE$2&lt;AA$2))),2))))</f>
      </c>
      <c r="AL15" s="33">
        <f>IF(AB15&lt;=0,0,MAX(0,MIN(AB15,ROUND($AZ15-SUMPRODUCT($V15:$AE15*($V15:$AE15&gt;0)*(($V15:$AE15&lt;AB15)+($V15:$AE15=AB15)*($V$3:$AE$3&gt;AB$3)+($V15:$AE15=AB15)*($V$3:$AE$3=AB$3)*($V$2:$AE$2&lt;AB$2))),2))))</f>
      </c>
      <c r="AM15" s="33">
        <f>IF(AC15&lt;=0,0,MAX(0,MIN(AC15,ROUND($AZ15-SUMPRODUCT($V15:$AE15*($V15:$AE15&gt;0)*(($V15:$AE15&lt;AC15)+($V15:$AE15=AC15)*($V$3:$AE$3&gt;AC$3)+($V15:$AE15=AC15)*($V$3:$AE$3=AC$3)*($V$2:$AE$2&lt;AC$2))),2))))</f>
      </c>
      <c r="AN15" s="33">
        <f>IF(AD15&lt;=0,0,MAX(0,MIN(AD15,ROUND($AZ15-SUMPRODUCT($V15:$AE15*($V15:$AE15&gt;0)*(($V15:$AE15&lt;AD15)+($V15:$AE15=AD15)*($V$3:$AE$3&gt;AD$3)+($V15:$AE15=AD15)*($V$3:$AE$3=AD$3)*($V$2:$AE$2&lt;AD$2))),2))))</f>
      </c>
      <c r="AO15" s="33">
        <f>IF(AE15&lt;=0,0,MAX(0,MIN(AE15,ROUND($AZ15-SUMPRODUCT($V15:$AE15*($V15:$AE15&gt;0)*(($V15:$AE15&lt;AE15)+($V15:$AE15=AE15)*($V$3:$AE$3&gt;AE$3)+($V15:$AE15=AE15)*($V$3:$AE$3=AE$3)*($V$2:$AE$2&lt;AE$2))),2))))</f>
      </c>
      <c r="AP15" s="33">
        <f>ROUND(V15-AF15,2)</f>
      </c>
      <c r="AQ15" s="33">
        <f>ROUND(W15-AG15,2)</f>
      </c>
      <c r="AR15" s="33">
        <f>ROUND(X15-AH15,2)</f>
      </c>
      <c r="AS15" s="33">
        <f>ROUND(Y15-AI15,2)</f>
      </c>
      <c r="AT15" s="33">
        <f>ROUND(Z15-AJ15,2)</f>
      </c>
      <c r="AU15" s="33">
        <f>ROUND(AA15-AK15,2)</f>
      </c>
      <c r="AV15" s="33">
        <f>ROUND(AB15-AL15,2)</f>
      </c>
      <c r="AW15" s="33">
        <f>ROUND(AC15-AM15,2)</f>
      </c>
      <c r="AX15" s="33">
        <f>ROUND(AD15-AN15,2)</f>
      </c>
      <c r="AY15" s="33">
        <f>ROUND(AE15-AO15,2)</f>
      </c>
      <c r="AZ15" s="33">
        <f>ROUND(MAX(0,'Your debts'!$D$22-SUM($L15:$U15)),2)</f>
      </c>
      <c r="BA15" s="33">
        <f>ROUND(SUM($B15:$K15)-SUM($AP14:$AY14),2)</f>
      </c>
      <c r="BB15" s="33">
        <f>SUM($AP15:$AY15)</f>
      </c>
      <c r="BC15" s="33">
        <f>ROUND(SUM($L15:$U15)+SUM($AF15:$AO15),2)</f>
      </c>
    </row>
    <row r="16" spans="1:55" x14ac:dyDescent="0.25">
      <c r="A16">
        <v>9</v>
      </c>
      <c r="B16" s="33">
        <f>IF(AP15&lt;=0,0,ROUND(AP15+ROUND(AP15*V$3/12,2),2))</f>
      </c>
      <c r="C16" s="33">
        <f>IF(AQ15&lt;=0,0,ROUND(AQ15+ROUND(AQ15*W$3/12,2),2))</f>
      </c>
      <c r="D16" s="33">
        <f>IF(AR15&lt;=0,0,ROUND(AR15+ROUND(AR15*X$3/12,2),2))</f>
      </c>
      <c r="E16" s="33">
        <f>IF(AS15&lt;=0,0,ROUND(AS15+ROUND(AS15*Y$3/12,2),2))</f>
      </c>
      <c r="F16" s="33">
        <f>IF(AT15&lt;=0,0,ROUND(AT15+ROUND(AT15*Z$3/12,2),2))</f>
      </c>
      <c r="G16" s="33">
        <f>IF(AU15&lt;=0,0,ROUND(AU15+ROUND(AU15*AA$3/12,2),2))</f>
      </c>
      <c r="H16" s="33">
        <f>IF(AV15&lt;=0,0,ROUND(AV15+ROUND(AV15*AB$3/12,2),2))</f>
      </c>
      <c r="I16" s="33">
        <f>IF(AW15&lt;=0,0,ROUND(AW15+ROUND(AW15*AC$3/12,2),2))</f>
      </c>
      <c r="J16" s="33">
        <f>IF(AX15&lt;=0,0,ROUND(AX15+ROUND(AX15*AD$3/12,2),2))</f>
      </c>
      <c r="K16" s="33">
        <f>IF(AY15&lt;=0,0,ROUND(AY15+ROUND(AY15*AE$3/12,2),2))</f>
      </c>
      <c r="L16" s="33">
        <f>ROUND(MIN(MAX(0,N('Your debts'!$E$6)),B16),2)</f>
      </c>
      <c r="M16" s="33">
        <f>ROUND(MIN(MAX(0,N('Your debts'!$E$7)),C16),2)</f>
      </c>
      <c r="N16" s="33">
        <f>ROUND(MIN(MAX(0,N('Your debts'!$E$8)),D16),2)</f>
      </c>
      <c r="O16" s="33">
        <f>ROUND(MIN(MAX(0,N('Your debts'!$E$9)),E16),2)</f>
      </c>
      <c r="P16" s="33">
        <f>ROUND(MIN(MAX(0,N('Your debts'!$E$10)),F16),2)</f>
      </c>
      <c r="Q16" s="33">
        <f>ROUND(MIN(MAX(0,N('Your debts'!$E$11)),G16),2)</f>
      </c>
      <c r="R16" s="33">
        <f>ROUND(MIN(MAX(0,N('Your debts'!$E$12)),H16),2)</f>
      </c>
      <c r="S16" s="33">
        <f>ROUND(MIN(MAX(0,N('Your debts'!$E$13)),I16),2)</f>
      </c>
      <c r="T16" s="33">
        <f>ROUND(MIN(MAX(0,N('Your debts'!$E$14)),J16),2)</f>
      </c>
      <c r="U16" s="33">
        <f>ROUND(MIN(MAX(0,N('Your debts'!$E$15)),K16),2)</f>
      </c>
      <c r="V16" s="33">
        <f>ROUND(B16-L16,2)</f>
      </c>
      <c r="W16" s="33">
        <f>ROUND(C16-M16,2)</f>
      </c>
      <c r="X16" s="33">
        <f>ROUND(D16-N16,2)</f>
      </c>
      <c r="Y16" s="33">
        <f>ROUND(E16-O16,2)</f>
      </c>
      <c r="Z16" s="33">
        <f>ROUND(F16-P16,2)</f>
      </c>
      <c r="AA16" s="33">
        <f>ROUND(G16-Q16,2)</f>
      </c>
      <c r="AB16" s="33">
        <f>ROUND(H16-R16,2)</f>
      </c>
      <c r="AC16" s="33">
        <f>ROUND(I16-S16,2)</f>
      </c>
      <c r="AD16" s="33">
        <f>ROUND(J16-T16,2)</f>
      </c>
      <c r="AE16" s="33">
        <f>ROUND(K16-U16,2)</f>
      </c>
      <c r="AF16" s="33">
        <f>IF(V16&lt;=0,0,MAX(0,MIN(V16,ROUND($AZ16-SUMPRODUCT($V16:$AE16*($V16:$AE16&gt;0)*(($V16:$AE16&lt;V16)+($V16:$AE16=V16)*($V$3:$AE$3&gt;V$3)+($V16:$AE16=V16)*($V$3:$AE$3=V$3)*($V$2:$AE$2&lt;V$2))),2))))</f>
      </c>
      <c r="AG16" s="33">
        <f>IF(W16&lt;=0,0,MAX(0,MIN(W16,ROUND($AZ16-SUMPRODUCT($V16:$AE16*($V16:$AE16&gt;0)*(($V16:$AE16&lt;W16)+($V16:$AE16=W16)*($V$3:$AE$3&gt;W$3)+($V16:$AE16=W16)*($V$3:$AE$3=W$3)*($V$2:$AE$2&lt;W$2))),2))))</f>
      </c>
      <c r="AH16" s="33">
        <f>IF(X16&lt;=0,0,MAX(0,MIN(X16,ROUND($AZ16-SUMPRODUCT($V16:$AE16*($V16:$AE16&gt;0)*(($V16:$AE16&lt;X16)+($V16:$AE16=X16)*($V$3:$AE$3&gt;X$3)+($V16:$AE16=X16)*($V$3:$AE$3=X$3)*($V$2:$AE$2&lt;X$2))),2))))</f>
      </c>
      <c r="AI16" s="33">
        <f>IF(Y16&lt;=0,0,MAX(0,MIN(Y16,ROUND($AZ16-SUMPRODUCT($V16:$AE16*($V16:$AE16&gt;0)*(($V16:$AE16&lt;Y16)+($V16:$AE16=Y16)*($V$3:$AE$3&gt;Y$3)+($V16:$AE16=Y16)*($V$3:$AE$3=Y$3)*($V$2:$AE$2&lt;Y$2))),2))))</f>
      </c>
      <c r="AJ16" s="33">
        <f>IF(Z16&lt;=0,0,MAX(0,MIN(Z16,ROUND($AZ16-SUMPRODUCT($V16:$AE16*($V16:$AE16&gt;0)*(($V16:$AE16&lt;Z16)+($V16:$AE16=Z16)*($V$3:$AE$3&gt;Z$3)+($V16:$AE16=Z16)*($V$3:$AE$3=Z$3)*($V$2:$AE$2&lt;Z$2))),2))))</f>
      </c>
      <c r="AK16" s="33">
        <f>IF(AA16&lt;=0,0,MAX(0,MIN(AA16,ROUND($AZ16-SUMPRODUCT($V16:$AE16*($V16:$AE16&gt;0)*(($V16:$AE16&lt;AA16)+($V16:$AE16=AA16)*($V$3:$AE$3&gt;AA$3)+($V16:$AE16=AA16)*($V$3:$AE$3=AA$3)*($V$2:$AE$2&lt;AA$2))),2))))</f>
      </c>
      <c r="AL16" s="33">
        <f>IF(AB16&lt;=0,0,MAX(0,MIN(AB16,ROUND($AZ16-SUMPRODUCT($V16:$AE16*($V16:$AE16&gt;0)*(($V16:$AE16&lt;AB16)+($V16:$AE16=AB16)*($V$3:$AE$3&gt;AB$3)+($V16:$AE16=AB16)*($V$3:$AE$3=AB$3)*($V$2:$AE$2&lt;AB$2))),2))))</f>
      </c>
      <c r="AM16" s="33">
        <f>IF(AC16&lt;=0,0,MAX(0,MIN(AC16,ROUND($AZ16-SUMPRODUCT($V16:$AE16*($V16:$AE16&gt;0)*(($V16:$AE16&lt;AC16)+($V16:$AE16=AC16)*($V$3:$AE$3&gt;AC$3)+($V16:$AE16=AC16)*($V$3:$AE$3=AC$3)*($V$2:$AE$2&lt;AC$2))),2))))</f>
      </c>
      <c r="AN16" s="33">
        <f>IF(AD16&lt;=0,0,MAX(0,MIN(AD16,ROUND($AZ16-SUMPRODUCT($V16:$AE16*($V16:$AE16&gt;0)*(($V16:$AE16&lt;AD16)+($V16:$AE16=AD16)*($V$3:$AE$3&gt;AD$3)+($V16:$AE16=AD16)*($V$3:$AE$3=AD$3)*($V$2:$AE$2&lt;AD$2))),2))))</f>
      </c>
      <c r="AO16" s="33">
        <f>IF(AE16&lt;=0,0,MAX(0,MIN(AE16,ROUND($AZ16-SUMPRODUCT($V16:$AE16*($V16:$AE16&gt;0)*(($V16:$AE16&lt;AE16)+($V16:$AE16=AE16)*($V$3:$AE$3&gt;AE$3)+($V16:$AE16=AE16)*($V$3:$AE$3=AE$3)*($V$2:$AE$2&lt;AE$2))),2))))</f>
      </c>
      <c r="AP16" s="33">
        <f>ROUND(V16-AF16,2)</f>
      </c>
      <c r="AQ16" s="33">
        <f>ROUND(W16-AG16,2)</f>
      </c>
      <c r="AR16" s="33">
        <f>ROUND(X16-AH16,2)</f>
      </c>
      <c r="AS16" s="33">
        <f>ROUND(Y16-AI16,2)</f>
      </c>
      <c r="AT16" s="33">
        <f>ROUND(Z16-AJ16,2)</f>
      </c>
      <c r="AU16" s="33">
        <f>ROUND(AA16-AK16,2)</f>
      </c>
      <c r="AV16" s="33">
        <f>ROUND(AB16-AL16,2)</f>
      </c>
      <c r="AW16" s="33">
        <f>ROUND(AC16-AM16,2)</f>
      </c>
      <c r="AX16" s="33">
        <f>ROUND(AD16-AN16,2)</f>
      </c>
      <c r="AY16" s="33">
        <f>ROUND(AE16-AO16,2)</f>
      </c>
      <c r="AZ16" s="33">
        <f>ROUND(MAX(0,'Your debts'!$D$22-SUM($L16:$U16)),2)</f>
      </c>
      <c r="BA16" s="33">
        <f>ROUND(SUM($B16:$K16)-SUM($AP15:$AY15),2)</f>
      </c>
      <c r="BB16" s="33">
        <f>SUM($AP16:$AY16)</f>
      </c>
      <c r="BC16" s="33">
        <f>ROUND(SUM($L16:$U16)+SUM($AF16:$AO16),2)</f>
      </c>
    </row>
    <row r="17" spans="1:55" x14ac:dyDescent="0.25">
      <c r="A17">
        <v>10</v>
      </c>
      <c r="B17" s="33">
        <f>IF(AP16&lt;=0,0,ROUND(AP16+ROUND(AP16*V$3/12,2),2))</f>
      </c>
      <c r="C17" s="33">
        <f>IF(AQ16&lt;=0,0,ROUND(AQ16+ROUND(AQ16*W$3/12,2),2))</f>
      </c>
      <c r="D17" s="33">
        <f>IF(AR16&lt;=0,0,ROUND(AR16+ROUND(AR16*X$3/12,2),2))</f>
      </c>
      <c r="E17" s="33">
        <f>IF(AS16&lt;=0,0,ROUND(AS16+ROUND(AS16*Y$3/12,2),2))</f>
      </c>
      <c r="F17" s="33">
        <f>IF(AT16&lt;=0,0,ROUND(AT16+ROUND(AT16*Z$3/12,2),2))</f>
      </c>
      <c r="G17" s="33">
        <f>IF(AU16&lt;=0,0,ROUND(AU16+ROUND(AU16*AA$3/12,2),2))</f>
      </c>
      <c r="H17" s="33">
        <f>IF(AV16&lt;=0,0,ROUND(AV16+ROUND(AV16*AB$3/12,2),2))</f>
      </c>
      <c r="I17" s="33">
        <f>IF(AW16&lt;=0,0,ROUND(AW16+ROUND(AW16*AC$3/12,2),2))</f>
      </c>
      <c r="J17" s="33">
        <f>IF(AX16&lt;=0,0,ROUND(AX16+ROUND(AX16*AD$3/12,2),2))</f>
      </c>
      <c r="K17" s="33">
        <f>IF(AY16&lt;=0,0,ROUND(AY16+ROUND(AY16*AE$3/12,2),2))</f>
      </c>
      <c r="L17" s="33">
        <f>ROUND(MIN(MAX(0,N('Your debts'!$E$6)),B17),2)</f>
      </c>
      <c r="M17" s="33">
        <f>ROUND(MIN(MAX(0,N('Your debts'!$E$7)),C17),2)</f>
      </c>
      <c r="N17" s="33">
        <f>ROUND(MIN(MAX(0,N('Your debts'!$E$8)),D17),2)</f>
      </c>
      <c r="O17" s="33">
        <f>ROUND(MIN(MAX(0,N('Your debts'!$E$9)),E17),2)</f>
      </c>
      <c r="P17" s="33">
        <f>ROUND(MIN(MAX(0,N('Your debts'!$E$10)),F17),2)</f>
      </c>
      <c r="Q17" s="33">
        <f>ROUND(MIN(MAX(0,N('Your debts'!$E$11)),G17),2)</f>
      </c>
      <c r="R17" s="33">
        <f>ROUND(MIN(MAX(0,N('Your debts'!$E$12)),H17),2)</f>
      </c>
      <c r="S17" s="33">
        <f>ROUND(MIN(MAX(0,N('Your debts'!$E$13)),I17),2)</f>
      </c>
      <c r="T17" s="33">
        <f>ROUND(MIN(MAX(0,N('Your debts'!$E$14)),J17),2)</f>
      </c>
      <c r="U17" s="33">
        <f>ROUND(MIN(MAX(0,N('Your debts'!$E$15)),K17),2)</f>
      </c>
      <c r="V17" s="33">
        <f>ROUND(B17-L17,2)</f>
      </c>
      <c r="W17" s="33">
        <f>ROUND(C17-M17,2)</f>
      </c>
      <c r="X17" s="33">
        <f>ROUND(D17-N17,2)</f>
      </c>
      <c r="Y17" s="33">
        <f>ROUND(E17-O17,2)</f>
      </c>
      <c r="Z17" s="33">
        <f>ROUND(F17-P17,2)</f>
      </c>
      <c r="AA17" s="33">
        <f>ROUND(G17-Q17,2)</f>
      </c>
      <c r="AB17" s="33">
        <f>ROUND(H17-R17,2)</f>
      </c>
      <c r="AC17" s="33">
        <f>ROUND(I17-S17,2)</f>
      </c>
      <c r="AD17" s="33">
        <f>ROUND(J17-T17,2)</f>
      </c>
      <c r="AE17" s="33">
        <f>ROUND(K17-U17,2)</f>
      </c>
      <c r="AF17" s="33">
        <f>IF(V17&lt;=0,0,MAX(0,MIN(V17,ROUND($AZ17-SUMPRODUCT($V17:$AE17*($V17:$AE17&gt;0)*(($V17:$AE17&lt;V17)+($V17:$AE17=V17)*($V$3:$AE$3&gt;V$3)+($V17:$AE17=V17)*($V$3:$AE$3=V$3)*($V$2:$AE$2&lt;V$2))),2))))</f>
      </c>
      <c r="AG17" s="33">
        <f>IF(W17&lt;=0,0,MAX(0,MIN(W17,ROUND($AZ17-SUMPRODUCT($V17:$AE17*($V17:$AE17&gt;0)*(($V17:$AE17&lt;W17)+($V17:$AE17=W17)*($V$3:$AE$3&gt;W$3)+($V17:$AE17=W17)*($V$3:$AE$3=W$3)*($V$2:$AE$2&lt;W$2))),2))))</f>
      </c>
      <c r="AH17" s="33">
        <f>IF(X17&lt;=0,0,MAX(0,MIN(X17,ROUND($AZ17-SUMPRODUCT($V17:$AE17*($V17:$AE17&gt;0)*(($V17:$AE17&lt;X17)+($V17:$AE17=X17)*($V$3:$AE$3&gt;X$3)+($V17:$AE17=X17)*($V$3:$AE$3=X$3)*($V$2:$AE$2&lt;X$2))),2))))</f>
      </c>
      <c r="AI17" s="33">
        <f>IF(Y17&lt;=0,0,MAX(0,MIN(Y17,ROUND($AZ17-SUMPRODUCT($V17:$AE17*($V17:$AE17&gt;0)*(($V17:$AE17&lt;Y17)+($V17:$AE17=Y17)*($V$3:$AE$3&gt;Y$3)+($V17:$AE17=Y17)*($V$3:$AE$3=Y$3)*($V$2:$AE$2&lt;Y$2))),2))))</f>
      </c>
      <c r="AJ17" s="33">
        <f>IF(Z17&lt;=0,0,MAX(0,MIN(Z17,ROUND($AZ17-SUMPRODUCT($V17:$AE17*($V17:$AE17&gt;0)*(($V17:$AE17&lt;Z17)+($V17:$AE17=Z17)*($V$3:$AE$3&gt;Z$3)+($V17:$AE17=Z17)*($V$3:$AE$3=Z$3)*($V$2:$AE$2&lt;Z$2))),2))))</f>
      </c>
      <c r="AK17" s="33">
        <f>IF(AA17&lt;=0,0,MAX(0,MIN(AA17,ROUND($AZ17-SUMPRODUCT($V17:$AE17*($V17:$AE17&gt;0)*(($V17:$AE17&lt;AA17)+($V17:$AE17=AA17)*($V$3:$AE$3&gt;AA$3)+($V17:$AE17=AA17)*($V$3:$AE$3=AA$3)*($V$2:$AE$2&lt;AA$2))),2))))</f>
      </c>
      <c r="AL17" s="33">
        <f>IF(AB17&lt;=0,0,MAX(0,MIN(AB17,ROUND($AZ17-SUMPRODUCT($V17:$AE17*($V17:$AE17&gt;0)*(($V17:$AE17&lt;AB17)+($V17:$AE17=AB17)*($V$3:$AE$3&gt;AB$3)+($V17:$AE17=AB17)*($V$3:$AE$3=AB$3)*($V$2:$AE$2&lt;AB$2))),2))))</f>
      </c>
      <c r="AM17" s="33">
        <f>IF(AC17&lt;=0,0,MAX(0,MIN(AC17,ROUND($AZ17-SUMPRODUCT($V17:$AE17*($V17:$AE17&gt;0)*(($V17:$AE17&lt;AC17)+($V17:$AE17=AC17)*($V$3:$AE$3&gt;AC$3)+($V17:$AE17=AC17)*($V$3:$AE$3=AC$3)*($V$2:$AE$2&lt;AC$2))),2))))</f>
      </c>
      <c r="AN17" s="33">
        <f>IF(AD17&lt;=0,0,MAX(0,MIN(AD17,ROUND($AZ17-SUMPRODUCT($V17:$AE17*($V17:$AE17&gt;0)*(($V17:$AE17&lt;AD17)+($V17:$AE17=AD17)*($V$3:$AE$3&gt;AD$3)+($V17:$AE17=AD17)*($V$3:$AE$3=AD$3)*($V$2:$AE$2&lt;AD$2))),2))))</f>
      </c>
      <c r="AO17" s="33">
        <f>IF(AE17&lt;=0,0,MAX(0,MIN(AE17,ROUND($AZ17-SUMPRODUCT($V17:$AE17*($V17:$AE17&gt;0)*(($V17:$AE17&lt;AE17)+($V17:$AE17=AE17)*($V$3:$AE$3&gt;AE$3)+($V17:$AE17=AE17)*($V$3:$AE$3=AE$3)*($V$2:$AE$2&lt;AE$2))),2))))</f>
      </c>
      <c r="AP17" s="33">
        <f>ROUND(V17-AF17,2)</f>
      </c>
      <c r="AQ17" s="33">
        <f>ROUND(W17-AG17,2)</f>
      </c>
      <c r="AR17" s="33">
        <f>ROUND(X17-AH17,2)</f>
      </c>
      <c r="AS17" s="33">
        <f>ROUND(Y17-AI17,2)</f>
      </c>
      <c r="AT17" s="33">
        <f>ROUND(Z17-AJ17,2)</f>
      </c>
      <c r="AU17" s="33">
        <f>ROUND(AA17-AK17,2)</f>
      </c>
      <c r="AV17" s="33">
        <f>ROUND(AB17-AL17,2)</f>
      </c>
      <c r="AW17" s="33">
        <f>ROUND(AC17-AM17,2)</f>
      </c>
      <c r="AX17" s="33">
        <f>ROUND(AD17-AN17,2)</f>
      </c>
      <c r="AY17" s="33">
        <f>ROUND(AE17-AO17,2)</f>
      </c>
      <c r="AZ17" s="33">
        <f>ROUND(MAX(0,'Your debts'!$D$22-SUM($L17:$U17)),2)</f>
      </c>
      <c r="BA17" s="33">
        <f>ROUND(SUM($B17:$K17)-SUM($AP16:$AY16),2)</f>
      </c>
      <c r="BB17" s="33">
        <f>SUM($AP17:$AY17)</f>
      </c>
      <c r="BC17" s="33">
        <f>ROUND(SUM($L17:$U17)+SUM($AF17:$AO17),2)</f>
      </c>
    </row>
    <row r="18" spans="1:55" x14ac:dyDescent="0.25">
      <c r="A18">
        <v>11</v>
      </c>
      <c r="B18" s="33">
        <f>IF(AP17&lt;=0,0,ROUND(AP17+ROUND(AP17*V$3/12,2),2))</f>
      </c>
      <c r="C18" s="33">
        <f>IF(AQ17&lt;=0,0,ROUND(AQ17+ROUND(AQ17*W$3/12,2),2))</f>
      </c>
      <c r="D18" s="33">
        <f>IF(AR17&lt;=0,0,ROUND(AR17+ROUND(AR17*X$3/12,2),2))</f>
      </c>
      <c r="E18" s="33">
        <f>IF(AS17&lt;=0,0,ROUND(AS17+ROUND(AS17*Y$3/12,2),2))</f>
      </c>
      <c r="F18" s="33">
        <f>IF(AT17&lt;=0,0,ROUND(AT17+ROUND(AT17*Z$3/12,2),2))</f>
      </c>
      <c r="G18" s="33">
        <f>IF(AU17&lt;=0,0,ROUND(AU17+ROUND(AU17*AA$3/12,2),2))</f>
      </c>
      <c r="H18" s="33">
        <f>IF(AV17&lt;=0,0,ROUND(AV17+ROUND(AV17*AB$3/12,2),2))</f>
      </c>
      <c r="I18" s="33">
        <f>IF(AW17&lt;=0,0,ROUND(AW17+ROUND(AW17*AC$3/12,2),2))</f>
      </c>
      <c r="J18" s="33">
        <f>IF(AX17&lt;=0,0,ROUND(AX17+ROUND(AX17*AD$3/12,2),2))</f>
      </c>
      <c r="K18" s="33">
        <f>IF(AY17&lt;=0,0,ROUND(AY17+ROUND(AY17*AE$3/12,2),2))</f>
      </c>
      <c r="L18" s="33">
        <f>ROUND(MIN(MAX(0,N('Your debts'!$E$6)),B18),2)</f>
      </c>
      <c r="M18" s="33">
        <f>ROUND(MIN(MAX(0,N('Your debts'!$E$7)),C18),2)</f>
      </c>
      <c r="N18" s="33">
        <f>ROUND(MIN(MAX(0,N('Your debts'!$E$8)),D18),2)</f>
      </c>
      <c r="O18" s="33">
        <f>ROUND(MIN(MAX(0,N('Your debts'!$E$9)),E18),2)</f>
      </c>
      <c r="P18" s="33">
        <f>ROUND(MIN(MAX(0,N('Your debts'!$E$10)),F18),2)</f>
      </c>
      <c r="Q18" s="33">
        <f>ROUND(MIN(MAX(0,N('Your debts'!$E$11)),G18),2)</f>
      </c>
      <c r="R18" s="33">
        <f>ROUND(MIN(MAX(0,N('Your debts'!$E$12)),H18),2)</f>
      </c>
      <c r="S18" s="33">
        <f>ROUND(MIN(MAX(0,N('Your debts'!$E$13)),I18),2)</f>
      </c>
      <c r="T18" s="33">
        <f>ROUND(MIN(MAX(0,N('Your debts'!$E$14)),J18),2)</f>
      </c>
      <c r="U18" s="33">
        <f>ROUND(MIN(MAX(0,N('Your debts'!$E$15)),K18),2)</f>
      </c>
      <c r="V18" s="33">
        <f>ROUND(B18-L18,2)</f>
      </c>
      <c r="W18" s="33">
        <f>ROUND(C18-M18,2)</f>
      </c>
      <c r="X18" s="33">
        <f>ROUND(D18-N18,2)</f>
      </c>
      <c r="Y18" s="33">
        <f>ROUND(E18-O18,2)</f>
      </c>
      <c r="Z18" s="33">
        <f>ROUND(F18-P18,2)</f>
      </c>
      <c r="AA18" s="33">
        <f>ROUND(G18-Q18,2)</f>
      </c>
      <c r="AB18" s="33">
        <f>ROUND(H18-R18,2)</f>
      </c>
      <c r="AC18" s="33">
        <f>ROUND(I18-S18,2)</f>
      </c>
      <c r="AD18" s="33">
        <f>ROUND(J18-T18,2)</f>
      </c>
      <c r="AE18" s="33">
        <f>ROUND(K18-U18,2)</f>
      </c>
      <c r="AF18" s="33">
        <f>IF(V18&lt;=0,0,MAX(0,MIN(V18,ROUND($AZ18-SUMPRODUCT($V18:$AE18*($V18:$AE18&gt;0)*(($V18:$AE18&lt;V18)+($V18:$AE18=V18)*($V$3:$AE$3&gt;V$3)+($V18:$AE18=V18)*($V$3:$AE$3=V$3)*($V$2:$AE$2&lt;V$2))),2))))</f>
      </c>
      <c r="AG18" s="33">
        <f>IF(W18&lt;=0,0,MAX(0,MIN(W18,ROUND($AZ18-SUMPRODUCT($V18:$AE18*($V18:$AE18&gt;0)*(($V18:$AE18&lt;W18)+($V18:$AE18=W18)*($V$3:$AE$3&gt;W$3)+($V18:$AE18=W18)*($V$3:$AE$3=W$3)*($V$2:$AE$2&lt;W$2))),2))))</f>
      </c>
      <c r="AH18" s="33">
        <f>IF(X18&lt;=0,0,MAX(0,MIN(X18,ROUND($AZ18-SUMPRODUCT($V18:$AE18*($V18:$AE18&gt;0)*(($V18:$AE18&lt;X18)+($V18:$AE18=X18)*($V$3:$AE$3&gt;X$3)+($V18:$AE18=X18)*($V$3:$AE$3=X$3)*($V$2:$AE$2&lt;X$2))),2))))</f>
      </c>
      <c r="AI18" s="33">
        <f>IF(Y18&lt;=0,0,MAX(0,MIN(Y18,ROUND($AZ18-SUMPRODUCT($V18:$AE18*($V18:$AE18&gt;0)*(($V18:$AE18&lt;Y18)+($V18:$AE18=Y18)*($V$3:$AE$3&gt;Y$3)+($V18:$AE18=Y18)*($V$3:$AE$3=Y$3)*($V$2:$AE$2&lt;Y$2))),2))))</f>
      </c>
      <c r="AJ18" s="33">
        <f>IF(Z18&lt;=0,0,MAX(0,MIN(Z18,ROUND($AZ18-SUMPRODUCT($V18:$AE18*($V18:$AE18&gt;0)*(($V18:$AE18&lt;Z18)+($V18:$AE18=Z18)*($V$3:$AE$3&gt;Z$3)+($V18:$AE18=Z18)*($V$3:$AE$3=Z$3)*($V$2:$AE$2&lt;Z$2))),2))))</f>
      </c>
      <c r="AK18" s="33">
        <f>IF(AA18&lt;=0,0,MAX(0,MIN(AA18,ROUND($AZ18-SUMPRODUCT($V18:$AE18*($V18:$AE18&gt;0)*(($V18:$AE18&lt;AA18)+($V18:$AE18=AA18)*($V$3:$AE$3&gt;AA$3)+($V18:$AE18=AA18)*($V$3:$AE$3=AA$3)*($V$2:$AE$2&lt;AA$2))),2))))</f>
      </c>
      <c r="AL18" s="33">
        <f>IF(AB18&lt;=0,0,MAX(0,MIN(AB18,ROUND($AZ18-SUMPRODUCT($V18:$AE18*($V18:$AE18&gt;0)*(($V18:$AE18&lt;AB18)+($V18:$AE18=AB18)*($V$3:$AE$3&gt;AB$3)+($V18:$AE18=AB18)*($V$3:$AE$3=AB$3)*($V$2:$AE$2&lt;AB$2))),2))))</f>
      </c>
      <c r="AM18" s="33">
        <f>IF(AC18&lt;=0,0,MAX(0,MIN(AC18,ROUND($AZ18-SUMPRODUCT($V18:$AE18*($V18:$AE18&gt;0)*(($V18:$AE18&lt;AC18)+($V18:$AE18=AC18)*($V$3:$AE$3&gt;AC$3)+($V18:$AE18=AC18)*($V$3:$AE$3=AC$3)*($V$2:$AE$2&lt;AC$2))),2))))</f>
      </c>
      <c r="AN18" s="33">
        <f>IF(AD18&lt;=0,0,MAX(0,MIN(AD18,ROUND($AZ18-SUMPRODUCT($V18:$AE18*($V18:$AE18&gt;0)*(($V18:$AE18&lt;AD18)+($V18:$AE18=AD18)*($V$3:$AE$3&gt;AD$3)+($V18:$AE18=AD18)*($V$3:$AE$3=AD$3)*($V$2:$AE$2&lt;AD$2))),2))))</f>
      </c>
      <c r="AO18" s="33">
        <f>IF(AE18&lt;=0,0,MAX(0,MIN(AE18,ROUND($AZ18-SUMPRODUCT($V18:$AE18*($V18:$AE18&gt;0)*(($V18:$AE18&lt;AE18)+($V18:$AE18=AE18)*($V$3:$AE$3&gt;AE$3)+($V18:$AE18=AE18)*($V$3:$AE$3=AE$3)*($V$2:$AE$2&lt;AE$2))),2))))</f>
      </c>
      <c r="AP18" s="33">
        <f>ROUND(V18-AF18,2)</f>
      </c>
      <c r="AQ18" s="33">
        <f>ROUND(W18-AG18,2)</f>
      </c>
      <c r="AR18" s="33">
        <f>ROUND(X18-AH18,2)</f>
      </c>
      <c r="AS18" s="33">
        <f>ROUND(Y18-AI18,2)</f>
      </c>
      <c r="AT18" s="33">
        <f>ROUND(Z18-AJ18,2)</f>
      </c>
      <c r="AU18" s="33">
        <f>ROUND(AA18-AK18,2)</f>
      </c>
      <c r="AV18" s="33">
        <f>ROUND(AB18-AL18,2)</f>
      </c>
      <c r="AW18" s="33">
        <f>ROUND(AC18-AM18,2)</f>
      </c>
      <c r="AX18" s="33">
        <f>ROUND(AD18-AN18,2)</f>
      </c>
      <c r="AY18" s="33">
        <f>ROUND(AE18-AO18,2)</f>
      </c>
      <c r="AZ18" s="33">
        <f>ROUND(MAX(0,'Your debts'!$D$22-SUM($L18:$U18)),2)</f>
      </c>
      <c r="BA18" s="33">
        <f>ROUND(SUM($B18:$K18)-SUM($AP17:$AY17),2)</f>
      </c>
      <c r="BB18" s="33">
        <f>SUM($AP18:$AY18)</f>
      </c>
      <c r="BC18" s="33">
        <f>ROUND(SUM($L18:$U18)+SUM($AF18:$AO18),2)</f>
      </c>
    </row>
    <row r="19" spans="1:55" x14ac:dyDescent="0.25">
      <c r="A19">
        <v>12</v>
      </c>
      <c r="B19" s="33">
        <f>IF(AP18&lt;=0,0,ROUND(AP18+ROUND(AP18*V$3/12,2),2))</f>
      </c>
      <c r="C19" s="33">
        <f>IF(AQ18&lt;=0,0,ROUND(AQ18+ROUND(AQ18*W$3/12,2),2))</f>
      </c>
      <c r="D19" s="33">
        <f>IF(AR18&lt;=0,0,ROUND(AR18+ROUND(AR18*X$3/12,2),2))</f>
      </c>
      <c r="E19" s="33">
        <f>IF(AS18&lt;=0,0,ROUND(AS18+ROUND(AS18*Y$3/12,2),2))</f>
      </c>
      <c r="F19" s="33">
        <f>IF(AT18&lt;=0,0,ROUND(AT18+ROUND(AT18*Z$3/12,2),2))</f>
      </c>
      <c r="G19" s="33">
        <f>IF(AU18&lt;=0,0,ROUND(AU18+ROUND(AU18*AA$3/12,2),2))</f>
      </c>
      <c r="H19" s="33">
        <f>IF(AV18&lt;=0,0,ROUND(AV18+ROUND(AV18*AB$3/12,2),2))</f>
      </c>
      <c r="I19" s="33">
        <f>IF(AW18&lt;=0,0,ROUND(AW18+ROUND(AW18*AC$3/12,2),2))</f>
      </c>
      <c r="J19" s="33">
        <f>IF(AX18&lt;=0,0,ROUND(AX18+ROUND(AX18*AD$3/12,2),2))</f>
      </c>
      <c r="K19" s="33">
        <f>IF(AY18&lt;=0,0,ROUND(AY18+ROUND(AY18*AE$3/12,2),2))</f>
      </c>
      <c r="L19" s="33">
        <f>ROUND(MIN(MAX(0,N('Your debts'!$E$6)),B19),2)</f>
      </c>
      <c r="M19" s="33">
        <f>ROUND(MIN(MAX(0,N('Your debts'!$E$7)),C19),2)</f>
      </c>
      <c r="N19" s="33">
        <f>ROUND(MIN(MAX(0,N('Your debts'!$E$8)),D19),2)</f>
      </c>
      <c r="O19" s="33">
        <f>ROUND(MIN(MAX(0,N('Your debts'!$E$9)),E19),2)</f>
      </c>
      <c r="P19" s="33">
        <f>ROUND(MIN(MAX(0,N('Your debts'!$E$10)),F19),2)</f>
      </c>
      <c r="Q19" s="33">
        <f>ROUND(MIN(MAX(0,N('Your debts'!$E$11)),G19),2)</f>
      </c>
      <c r="R19" s="33">
        <f>ROUND(MIN(MAX(0,N('Your debts'!$E$12)),H19),2)</f>
      </c>
      <c r="S19" s="33">
        <f>ROUND(MIN(MAX(0,N('Your debts'!$E$13)),I19),2)</f>
      </c>
      <c r="T19" s="33">
        <f>ROUND(MIN(MAX(0,N('Your debts'!$E$14)),J19),2)</f>
      </c>
      <c r="U19" s="33">
        <f>ROUND(MIN(MAX(0,N('Your debts'!$E$15)),K19),2)</f>
      </c>
      <c r="V19" s="33">
        <f>ROUND(B19-L19,2)</f>
      </c>
      <c r="W19" s="33">
        <f>ROUND(C19-M19,2)</f>
      </c>
      <c r="X19" s="33">
        <f>ROUND(D19-N19,2)</f>
      </c>
      <c r="Y19" s="33">
        <f>ROUND(E19-O19,2)</f>
      </c>
      <c r="Z19" s="33">
        <f>ROUND(F19-P19,2)</f>
      </c>
      <c r="AA19" s="33">
        <f>ROUND(G19-Q19,2)</f>
      </c>
      <c r="AB19" s="33">
        <f>ROUND(H19-R19,2)</f>
      </c>
      <c r="AC19" s="33">
        <f>ROUND(I19-S19,2)</f>
      </c>
      <c r="AD19" s="33">
        <f>ROUND(J19-T19,2)</f>
      </c>
      <c r="AE19" s="33">
        <f>ROUND(K19-U19,2)</f>
      </c>
      <c r="AF19" s="33">
        <f>IF(V19&lt;=0,0,MAX(0,MIN(V19,ROUND($AZ19-SUMPRODUCT($V19:$AE19*($V19:$AE19&gt;0)*(($V19:$AE19&lt;V19)+($V19:$AE19=V19)*($V$3:$AE$3&gt;V$3)+($V19:$AE19=V19)*($V$3:$AE$3=V$3)*($V$2:$AE$2&lt;V$2))),2))))</f>
      </c>
      <c r="AG19" s="33">
        <f>IF(W19&lt;=0,0,MAX(0,MIN(W19,ROUND($AZ19-SUMPRODUCT($V19:$AE19*($V19:$AE19&gt;0)*(($V19:$AE19&lt;W19)+($V19:$AE19=W19)*($V$3:$AE$3&gt;W$3)+($V19:$AE19=W19)*($V$3:$AE$3=W$3)*($V$2:$AE$2&lt;W$2))),2))))</f>
      </c>
      <c r="AH19" s="33">
        <f>IF(X19&lt;=0,0,MAX(0,MIN(X19,ROUND($AZ19-SUMPRODUCT($V19:$AE19*($V19:$AE19&gt;0)*(($V19:$AE19&lt;X19)+($V19:$AE19=X19)*($V$3:$AE$3&gt;X$3)+($V19:$AE19=X19)*($V$3:$AE$3=X$3)*($V$2:$AE$2&lt;X$2))),2))))</f>
      </c>
      <c r="AI19" s="33">
        <f>IF(Y19&lt;=0,0,MAX(0,MIN(Y19,ROUND($AZ19-SUMPRODUCT($V19:$AE19*($V19:$AE19&gt;0)*(($V19:$AE19&lt;Y19)+($V19:$AE19=Y19)*($V$3:$AE$3&gt;Y$3)+($V19:$AE19=Y19)*($V$3:$AE$3=Y$3)*($V$2:$AE$2&lt;Y$2))),2))))</f>
      </c>
      <c r="AJ19" s="33">
        <f>IF(Z19&lt;=0,0,MAX(0,MIN(Z19,ROUND($AZ19-SUMPRODUCT($V19:$AE19*($V19:$AE19&gt;0)*(($V19:$AE19&lt;Z19)+($V19:$AE19=Z19)*($V$3:$AE$3&gt;Z$3)+($V19:$AE19=Z19)*($V$3:$AE$3=Z$3)*($V$2:$AE$2&lt;Z$2))),2))))</f>
      </c>
      <c r="AK19" s="33">
        <f>IF(AA19&lt;=0,0,MAX(0,MIN(AA19,ROUND($AZ19-SUMPRODUCT($V19:$AE19*($V19:$AE19&gt;0)*(($V19:$AE19&lt;AA19)+($V19:$AE19=AA19)*($V$3:$AE$3&gt;AA$3)+($V19:$AE19=AA19)*($V$3:$AE$3=AA$3)*($V$2:$AE$2&lt;AA$2))),2))))</f>
      </c>
      <c r="AL19" s="33">
        <f>IF(AB19&lt;=0,0,MAX(0,MIN(AB19,ROUND($AZ19-SUMPRODUCT($V19:$AE19*($V19:$AE19&gt;0)*(($V19:$AE19&lt;AB19)+($V19:$AE19=AB19)*($V$3:$AE$3&gt;AB$3)+($V19:$AE19=AB19)*($V$3:$AE$3=AB$3)*($V$2:$AE$2&lt;AB$2))),2))))</f>
      </c>
      <c r="AM19" s="33">
        <f>IF(AC19&lt;=0,0,MAX(0,MIN(AC19,ROUND($AZ19-SUMPRODUCT($V19:$AE19*($V19:$AE19&gt;0)*(($V19:$AE19&lt;AC19)+($V19:$AE19=AC19)*($V$3:$AE$3&gt;AC$3)+($V19:$AE19=AC19)*($V$3:$AE$3=AC$3)*($V$2:$AE$2&lt;AC$2))),2))))</f>
      </c>
      <c r="AN19" s="33">
        <f>IF(AD19&lt;=0,0,MAX(0,MIN(AD19,ROUND($AZ19-SUMPRODUCT($V19:$AE19*($V19:$AE19&gt;0)*(($V19:$AE19&lt;AD19)+($V19:$AE19=AD19)*($V$3:$AE$3&gt;AD$3)+($V19:$AE19=AD19)*($V$3:$AE$3=AD$3)*($V$2:$AE$2&lt;AD$2))),2))))</f>
      </c>
      <c r="AO19" s="33">
        <f>IF(AE19&lt;=0,0,MAX(0,MIN(AE19,ROUND($AZ19-SUMPRODUCT($V19:$AE19*($V19:$AE19&gt;0)*(($V19:$AE19&lt;AE19)+($V19:$AE19=AE19)*($V$3:$AE$3&gt;AE$3)+($V19:$AE19=AE19)*($V$3:$AE$3=AE$3)*($V$2:$AE$2&lt;AE$2))),2))))</f>
      </c>
      <c r="AP19" s="33">
        <f>ROUND(V19-AF19,2)</f>
      </c>
      <c r="AQ19" s="33">
        <f>ROUND(W19-AG19,2)</f>
      </c>
      <c r="AR19" s="33">
        <f>ROUND(X19-AH19,2)</f>
      </c>
      <c r="AS19" s="33">
        <f>ROUND(Y19-AI19,2)</f>
      </c>
      <c r="AT19" s="33">
        <f>ROUND(Z19-AJ19,2)</f>
      </c>
      <c r="AU19" s="33">
        <f>ROUND(AA19-AK19,2)</f>
      </c>
      <c r="AV19" s="33">
        <f>ROUND(AB19-AL19,2)</f>
      </c>
      <c r="AW19" s="33">
        <f>ROUND(AC19-AM19,2)</f>
      </c>
      <c r="AX19" s="33">
        <f>ROUND(AD19-AN19,2)</f>
      </c>
      <c r="AY19" s="33">
        <f>ROUND(AE19-AO19,2)</f>
      </c>
      <c r="AZ19" s="33">
        <f>ROUND(MAX(0,'Your debts'!$D$22-SUM($L19:$U19)),2)</f>
      </c>
      <c r="BA19" s="33">
        <f>ROUND(SUM($B19:$K19)-SUM($AP18:$AY18),2)</f>
      </c>
      <c r="BB19" s="33">
        <f>SUM($AP19:$AY19)</f>
      </c>
      <c r="BC19" s="33">
        <f>ROUND(SUM($L19:$U19)+SUM($AF19:$AO19),2)</f>
      </c>
    </row>
    <row r="20" spans="1:55" x14ac:dyDescent="0.25">
      <c r="A20">
        <v>13</v>
      </c>
      <c r="B20" s="33">
        <f>IF(AP19&lt;=0,0,ROUND(AP19+ROUND(AP19*V$3/12,2),2))</f>
      </c>
      <c r="C20" s="33">
        <f>IF(AQ19&lt;=0,0,ROUND(AQ19+ROUND(AQ19*W$3/12,2),2))</f>
      </c>
      <c r="D20" s="33">
        <f>IF(AR19&lt;=0,0,ROUND(AR19+ROUND(AR19*X$3/12,2),2))</f>
      </c>
      <c r="E20" s="33">
        <f>IF(AS19&lt;=0,0,ROUND(AS19+ROUND(AS19*Y$3/12,2),2))</f>
      </c>
      <c r="F20" s="33">
        <f>IF(AT19&lt;=0,0,ROUND(AT19+ROUND(AT19*Z$3/12,2),2))</f>
      </c>
      <c r="G20" s="33">
        <f>IF(AU19&lt;=0,0,ROUND(AU19+ROUND(AU19*AA$3/12,2),2))</f>
      </c>
      <c r="H20" s="33">
        <f>IF(AV19&lt;=0,0,ROUND(AV19+ROUND(AV19*AB$3/12,2),2))</f>
      </c>
      <c r="I20" s="33">
        <f>IF(AW19&lt;=0,0,ROUND(AW19+ROUND(AW19*AC$3/12,2),2))</f>
      </c>
      <c r="J20" s="33">
        <f>IF(AX19&lt;=0,0,ROUND(AX19+ROUND(AX19*AD$3/12,2),2))</f>
      </c>
      <c r="K20" s="33">
        <f>IF(AY19&lt;=0,0,ROUND(AY19+ROUND(AY19*AE$3/12,2),2))</f>
      </c>
      <c r="L20" s="33">
        <f>ROUND(MIN(MAX(0,N('Your debts'!$E$6)),B20),2)</f>
      </c>
      <c r="M20" s="33">
        <f>ROUND(MIN(MAX(0,N('Your debts'!$E$7)),C20),2)</f>
      </c>
      <c r="N20" s="33">
        <f>ROUND(MIN(MAX(0,N('Your debts'!$E$8)),D20),2)</f>
      </c>
      <c r="O20" s="33">
        <f>ROUND(MIN(MAX(0,N('Your debts'!$E$9)),E20),2)</f>
      </c>
      <c r="P20" s="33">
        <f>ROUND(MIN(MAX(0,N('Your debts'!$E$10)),F20),2)</f>
      </c>
      <c r="Q20" s="33">
        <f>ROUND(MIN(MAX(0,N('Your debts'!$E$11)),G20),2)</f>
      </c>
      <c r="R20" s="33">
        <f>ROUND(MIN(MAX(0,N('Your debts'!$E$12)),H20),2)</f>
      </c>
      <c r="S20" s="33">
        <f>ROUND(MIN(MAX(0,N('Your debts'!$E$13)),I20),2)</f>
      </c>
      <c r="T20" s="33">
        <f>ROUND(MIN(MAX(0,N('Your debts'!$E$14)),J20),2)</f>
      </c>
      <c r="U20" s="33">
        <f>ROUND(MIN(MAX(0,N('Your debts'!$E$15)),K20),2)</f>
      </c>
      <c r="V20" s="33">
        <f>ROUND(B20-L20,2)</f>
      </c>
      <c r="W20" s="33">
        <f>ROUND(C20-M20,2)</f>
      </c>
      <c r="X20" s="33">
        <f>ROUND(D20-N20,2)</f>
      </c>
      <c r="Y20" s="33">
        <f>ROUND(E20-O20,2)</f>
      </c>
      <c r="Z20" s="33">
        <f>ROUND(F20-P20,2)</f>
      </c>
      <c r="AA20" s="33">
        <f>ROUND(G20-Q20,2)</f>
      </c>
      <c r="AB20" s="33">
        <f>ROUND(H20-R20,2)</f>
      </c>
      <c r="AC20" s="33">
        <f>ROUND(I20-S20,2)</f>
      </c>
      <c r="AD20" s="33">
        <f>ROUND(J20-T20,2)</f>
      </c>
      <c r="AE20" s="33">
        <f>ROUND(K20-U20,2)</f>
      </c>
      <c r="AF20" s="33">
        <f>IF(V20&lt;=0,0,MAX(0,MIN(V20,ROUND($AZ20-SUMPRODUCT($V20:$AE20*($V20:$AE20&gt;0)*(($V20:$AE20&lt;V20)+($V20:$AE20=V20)*($V$3:$AE$3&gt;V$3)+($V20:$AE20=V20)*($V$3:$AE$3=V$3)*($V$2:$AE$2&lt;V$2))),2))))</f>
      </c>
      <c r="AG20" s="33">
        <f>IF(W20&lt;=0,0,MAX(0,MIN(W20,ROUND($AZ20-SUMPRODUCT($V20:$AE20*($V20:$AE20&gt;0)*(($V20:$AE20&lt;W20)+($V20:$AE20=W20)*($V$3:$AE$3&gt;W$3)+($V20:$AE20=W20)*($V$3:$AE$3=W$3)*($V$2:$AE$2&lt;W$2))),2))))</f>
      </c>
      <c r="AH20" s="33">
        <f>IF(X20&lt;=0,0,MAX(0,MIN(X20,ROUND($AZ20-SUMPRODUCT($V20:$AE20*($V20:$AE20&gt;0)*(($V20:$AE20&lt;X20)+($V20:$AE20=X20)*($V$3:$AE$3&gt;X$3)+($V20:$AE20=X20)*($V$3:$AE$3=X$3)*($V$2:$AE$2&lt;X$2))),2))))</f>
      </c>
      <c r="AI20" s="33">
        <f>IF(Y20&lt;=0,0,MAX(0,MIN(Y20,ROUND($AZ20-SUMPRODUCT($V20:$AE20*($V20:$AE20&gt;0)*(($V20:$AE20&lt;Y20)+($V20:$AE20=Y20)*($V$3:$AE$3&gt;Y$3)+($V20:$AE20=Y20)*($V$3:$AE$3=Y$3)*($V$2:$AE$2&lt;Y$2))),2))))</f>
      </c>
      <c r="AJ20" s="33">
        <f>IF(Z20&lt;=0,0,MAX(0,MIN(Z20,ROUND($AZ20-SUMPRODUCT($V20:$AE20*($V20:$AE20&gt;0)*(($V20:$AE20&lt;Z20)+($V20:$AE20=Z20)*($V$3:$AE$3&gt;Z$3)+($V20:$AE20=Z20)*($V$3:$AE$3=Z$3)*($V$2:$AE$2&lt;Z$2))),2))))</f>
      </c>
      <c r="AK20" s="33">
        <f>IF(AA20&lt;=0,0,MAX(0,MIN(AA20,ROUND($AZ20-SUMPRODUCT($V20:$AE20*($V20:$AE20&gt;0)*(($V20:$AE20&lt;AA20)+($V20:$AE20=AA20)*($V$3:$AE$3&gt;AA$3)+($V20:$AE20=AA20)*($V$3:$AE$3=AA$3)*($V$2:$AE$2&lt;AA$2))),2))))</f>
      </c>
      <c r="AL20" s="33">
        <f>IF(AB20&lt;=0,0,MAX(0,MIN(AB20,ROUND($AZ20-SUMPRODUCT($V20:$AE20*($V20:$AE20&gt;0)*(($V20:$AE20&lt;AB20)+($V20:$AE20=AB20)*($V$3:$AE$3&gt;AB$3)+($V20:$AE20=AB20)*($V$3:$AE$3=AB$3)*($V$2:$AE$2&lt;AB$2))),2))))</f>
      </c>
      <c r="AM20" s="33">
        <f>IF(AC20&lt;=0,0,MAX(0,MIN(AC20,ROUND($AZ20-SUMPRODUCT($V20:$AE20*($V20:$AE20&gt;0)*(($V20:$AE20&lt;AC20)+($V20:$AE20=AC20)*($V$3:$AE$3&gt;AC$3)+($V20:$AE20=AC20)*($V$3:$AE$3=AC$3)*($V$2:$AE$2&lt;AC$2))),2))))</f>
      </c>
      <c r="AN20" s="33">
        <f>IF(AD20&lt;=0,0,MAX(0,MIN(AD20,ROUND($AZ20-SUMPRODUCT($V20:$AE20*($V20:$AE20&gt;0)*(($V20:$AE20&lt;AD20)+($V20:$AE20=AD20)*($V$3:$AE$3&gt;AD$3)+($V20:$AE20=AD20)*($V$3:$AE$3=AD$3)*($V$2:$AE$2&lt;AD$2))),2))))</f>
      </c>
      <c r="AO20" s="33">
        <f>IF(AE20&lt;=0,0,MAX(0,MIN(AE20,ROUND($AZ20-SUMPRODUCT($V20:$AE20*($V20:$AE20&gt;0)*(($V20:$AE20&lt;AE20)+($V20:$AE20=AE20)*($V$3:$AE$3&gt;AE$3)+($V20:$AE20=AE20)*($V$3:$AE$3=AE$3)*($V$2:$AE$2&lt;AE$2))),2))))</f>
      </c>
      <c r="AP20" s="33">
        <f>ROUND(V20-AF20,2)</f>
      </c>
      <c r="AQ20" s="33">
        <f>ROUND(W20-AG20,2)</f>
      </c>
      <c r="AR20" s="33">
        <f>ROUND(X20-AH20,2)</f>
      </c>
      <c r="AS20" s="33">
        <f>ROUND(Y20-AI20,2)</f>
      </c>
      <c r="AT20" s="33">
        <f>ROUND(Z20-AJ20,2)</f>
      </c>
      <c r="AU20" s="33">
        <f>ROUND(AA20-AK20,2)</f>
      </c>
      <c r="AV20" s="33">
        <f>ROUND(AB20-AL20,2)</f>
      </c>
      <c r="AW20" s="33">
        <f>ROUND(AC20-AM20,2)</f>
      </c>
      <c r="AX20" s="33">
        <f>ROUND(AD20-AN20,2)</f>
      </c>
      <c r="AY20" s="33">
        <f>ROUND(AE20-AO20,2)</f>
      </c>
      <c r="AZ20" s="33">
        <f>ROUND(MAX(0,'Your debts'!$D$22-SUM($L20:$U20)),2)</f>
      </c>
      <c r="BA20" s="33">
        <f>ROUND(SUM($B20:$K20)-SUM($AP19:$AY19),2)</f>
      </c>
      <c r="BB20" s="33">
        <f>SUM($AP20:$AY20)</f>
      </c>
      <c r="BC20" s="33">
        <f>ROUND(SUM($L20:$U20)+SUM($AF20:$AO20),2)</f>
      </c>
    </row>
    <row r="21" spans="1:55" x14ac:dyDescent="0.25">
      <c r="A21">
        <v>14</v>
      </c>
      <c r="B21" s="33">
        <f>IF(AP20&lt;=0,0,ROUND(AP20+ROUND(AP20*V$3/12,2),2))</f>
      </c>
      <c r="C21" s="33">
        <f>IF(AQ20&lt;=0,0,ROUND(AQ20+ROUND(AQ20*W$3/12,2),2))</f>
      </c>
      <c r="D21" s="33">
        <f>IF(AR20&lt;=0,0,ROUND(AR20+ROUND(AR20*X$3/12,2),2))</f>
      </c>
      <c r="E21" s="33">
        <f>IF(AS20&lt;=0,0,ROUND(AS20+ROUND(AS20*Y$3/12,2),2))</f>
      </c>
      <c r="F21" s="33">
        <f>IF(AT20&lt;=0,0,ROUND(AT20+ROUND(AT20*Z$3/12,2),2))</f>
      </c>
      <c r="G21" s="33">
        <f>IF(AU20&lt;=0,0,ROUND(AU20+ROUND(AU20*AA$3/12,2),2))</f>
      </c>
      <c r="H21" s="33">
        <f>IF(AV20&lt;=0,0,ROUND(AV20+ROUND(AV20*AB$3/12,2),2))</f>
      </c>
      <c r="I21" s="33">
        <f>IF(AW20&lt;=0,0,ROUND(AW20+ROUND(AW20*AC$3/12,2),2))</f>
      </c>
      <c r="J21" s="33">
        <f>IF(AX20&lt;=0,0,ROUND(AX20+ROUND(AX20*AD$3/12,2),2))</f>
      </c>
      <c r="K21" s="33">
        <f>IF(AY20&lt;=0,0,ROUND(AY20+ROUND(AY20*AE$3/12,2),2))</f>
      </c>
      <c r="L21" s="33">
        <f>ROUND(MIN(MAX(0,N('Your debts'!$E$6)),B21),2)</f>
      </c>
      <c r="M21" s="33">
        <f>ROUND(MIN(MAX(0,N('Your debts'!$E$7)),C21),2)</f>
      </c>
      <c r="N21" s="33">
        <f>ROUND(MIN(MAX(0,N('Your debts'!$E$8)),D21),2)</f>
      </c>
      <c r="O21" s="33">
        <f>ROUND(MIN(MAX(0,N('Your debts'!$E$9)),E21),2)</f>
      </c>
      <c r="P21" s="33">
        <f>ROUND(MIN(MAX(0,N('Your debts'!$E$10)),F21),2)</f>
      </c>
      <c r="Q21" s="33">
        <f>ROUND(MIN(MAX(0,N('Your debts'!$E$11)),G21),2)</f>
      </c>
      <c r="R21" s="33">
        <f>ROUND(MIN(MAX(0,N('Your debts'!$E$12)),H21),2)</f>
      </c>
      <c r="S21" s="33">
        <f>ROUND(MIN(MAX(0,N('Your debts'!$E$13)),I21),2)</f>
      </c>
      <c r="T21" s="33">
        <f>ROUND(MIN(MAX(0,N('Your debts'!$E$14)),J21),2)</f>
      </c>
      <c r="U21" s="33">
        <f>ROUND(MIN(MAX(0,N('Your debts'!$E$15)),K21),2)</f>
      </c>
      <c r="V21" s="33">
        <f>ROUND(B21-L21,2)</f>
      </c>
      <c r="W21" s="33">
        <f>ROUND(C21-M21,2)</f>
      </c>
      <c r="X21" s="33">
        <f>ROUND(D21-N21,2)</f>
      </c>
      <c r="Y21" s="33">
        <f>ROUND(E21-O21,2)</f>
      </c>
      <c r="Z21" s="33">
        <f>ROUND(F21-P21,2)</f>
      </c>
      <c r="AA21" s="33">
        <f>ROUND(G21-Q21,2)</f>
      </c>
      <c r="AB21" s="33">
        <f>ROUND(H21-R21,2)</f>
      </c>
      <c r="AC21" s="33">
        <f>ROUND(I21-S21,2)</f>
      </c>
      <c r="AD21" s="33">
        <f>ROUND(J21-T21,2)</f>
      </c>
      <c r="AE21" s="33">
        <f>ROUND(K21-U21,2)</f>
      </c>
      <c r="AF21" s="33">
        <f>IF(V21&lt;=0,0,MAX(0,MIN(V21,ROUND($AZ21-SUMPRODUCT($V21:$AE21*($V21:$AE21&gt;0)*(($V21:$AE21&lt;V21)+($V21:$AE21=V21)*($V$3:$AE$3&gt;V$3)+($V21:$AE21=V21)*($V$3:$AE$3=V$3)*($V$2:$AE$2&lt;V$2))),2))))</f>
      </c>
      <c r="AG21" s="33">
        <f>IF(W21&lt;=0,0,MAX(0,MIN(W21,ROUND($AZ21-SUMPRODUCT($V21:$AE21*($V21:$AE21&gt;0)*(($V21:$AE21&lt;W21)+($V21:$AE21=W21)*($V$3:$AE$3&gt;W$3)+($V21:$AE21=W21)*($V$3:$AE$3=W$3)*($V$2:$AE$2&lt;W$2))),2))))</f>
      </c>
      <c r="AH21" s="33">
        <f>IF(X21&lt;=0,0,MAX(0,MIN(X21,ROUND($AZ21-SUMPRODUCT($V21:$AE21*($V21:$AE21&gt;0)*(($V21:$AE21&lt;X21)+($V21:$AE21=X21)*($V$3:$AE$3&gt;X$3)+($V21:$AE21=X21)*($V$3:$AE$3=X$3)*($V$2:$AE$2&lt;X$2))),2))))</f>
      </c>
      <c r="AI21" s="33">
        <f>IF(Y21&lt;=0,0,MAX(0,MIN(Y21,ROUND($AZ21-SUMPRODUCT($V21:$AE21*($V21:$AE21&gt;0)*(($V21:$AE21&lt;Y21)+($V21:$AE21=Y21)*($V$3:$AE$3&gt;Y$3)+($V21:$AE21=Y21)*($V$3:$AE$3=Y$3)*($V$2:$AE$2&lt;Y$2))),2))))</f>
      </c>
      <c r="AJ21" s="33">
        <f>IF(Z21&lt;=0,0,MAX(0,MIN(Z21,ROUND($AZ21-SUMPRODUCT($V21:$AE21*($V21:$AE21&gt;0)*(($V21:$AE21&lt;Z21)+($V21:$AE21=Z21)*($V$3:$AE$3&gt;Z$3)+($V21:$AE21=Z21)*($V$3:$AE$3=Z$3)*($V$2:$AE$2&lt;Z$2))),2))))</f>
      </c>
      <c r="AK21" s="33">
        <f>IF(AA21&lt;=0,0,MAX(0,MIN(AA21,ROUND($AZ21-SUMPRODUCT($V21:$AE21*($V21:$AE21&gt;0)*(($V21:$AE21&lt;AA21)+($V21:$AE21=AA21)*($V$3:$AE$3&gt;AA$3)+($V21:$AE21=AA21)*($V$3:$AE$3=AA$3)*($V$2:$AE$2&lt;AA$2))),2))))</f>
      </c>
      <c r="AL21" s="33">
        <f>IF(AB21&lt;=0,0,MAX(0,MIN(AB21,ROUND($AZ21-SUMPRODUCT($V21:$AE21*($V21:$AE21&gt;0)*(($V21:$AE21&lt;AB21)+($V21:$AE21=AB21)*($V$3:$AE$3&gt;AB$3)+($V21:$AE21=AB21)*($V$3:$AE$3=AB$3)*($V$2:$AE$2&lt;AB$2))),2))))</f>
      </c>
      <c r="AM21" s="33">
        <f>IF(AC21&lt;=0,0,MAX(0,MIN(AC21,ROUND($AZ21-SUMPRODUCT($V21:$AE21*($V21:$AE21&gt;0)*(($V21:$AE21&lt;AC21)+($V21:$AE21=AC21)*($V$3:$AE$3&gt;AC$3)+($V21:$AE21=AC21)*($V$3:$AE$3=AC$3)*($V$2:$AE$2&lt;AC$2))),2))))</f>
      </c>
      <c r="AN21" s="33">
        <f>IF(AD21&lt;=0,0,MAX(0,MIN(AD21,ROUND($AZ21-SUMPRODUCT($V21:$AE21*($V21:$AE21&gt;0)*(($V21:$AE21&lt;AD21)+($V21:$AE21=AD21)*($V$3:$AE$3&gt;AD$3)+($V21:$AE21=AD21)*($V$3:$AE$3=AD$3)*($V$2:$AE$2&lt;AD$2))),2))))</f>
      </c>
      <c r="AO21" s="33">
        <f>IF(AE21&lt;=0,0,MAX(0,MIN(AE21,ROUND($AZ21-SUMPRODUCT($V21:$AE21*($V21:$AE21&gt;0)*(($V21:$AE21&lt;AE21)+($V21:$AE21=AE21)*($V$3:$AE$3&gt;AE$3)+($V21:$AE21=AE21)*($V$3:$AE$3=AE$3)*($V$2:$AE$2&lt;AE$2))),2))))</f>
      </c>
      <c r="AP21" s="33">
        <f>ROUND(V21-AF21,2)</f>
      </c>
      <c r="AQ21" s="33">
        <f>ROUND(W21-AG21,2)</f>
      </c>
      <c r="AR21" s="33">
        <f>ROUND(X21-AH21,2)</f>
      </c>
      <c r="AS21" s="33">
        <f>ROUND(Y21-AI21,2)</f>
      </c>
      <c r="AT21" s="33">
        <f>ROUND(Z21-AJ21,2)</f>
      </c>
      <c r="AU21" s="33">
        <f>ROUND(AA21-AK21,2)</f>
      </c>
      <c r="AV21" s="33">
        <f>ROUND(AB21-AL21,2)</f>
      </c>
      <c r="AW21" s="33">
        <f>ROUND(AC21-AM21,2)</f>
      </c>
      <c r="AX21" s="33">
        <f>ROUND(AD21-AN21,2)</f>
      </c>
      <c r="AY21" s="33">
        <f>ROUND(AE21-AO21,2)</f>
      </c>
      <c r="AZ21" s="33">
        <f>ROUND(MAX(0,'Your debts'!$D$22-SUM($L21:$U21)),2)</f>
      </c>
      <c r="BA21" s="33">
        <f>ROUND(SUM($B21:$K21)-SUM($AP20:$AY20),2)</f>
      </c>
      <c r="BB21" s="33">
        <f>SUM($AP21:$AY21)</f>
      </c>
      <c r="BC21" s="33">
        <f>ROUND(SUM($L21:$U21)+SUM($AF21:$AO21),2)</f>
      </c>
    </row>
    <row r="22" spans="1:55" x14ac:dyDescent="0.25">
      <c r="A22">
        <v>15</v>
      </c>
      <c r="B22" s="33">
        <f>IF(AP21&lt;=0,0,ROUND(AP21+ROUND(AP21*V$3/12,2),2))</f>
      </c>
      <c r="C22" s="33">
        <f>IF(AQ21&lt;=0,0,ROUND(AQ21+ROUND(AQ21*W$3/12,2),2))</f>
      </c>
      <c r="D22" s="33">
        <f>IF(AR21&lt;=0,0,ROUND(AR21+ROUND(AR21*X$3/12,2),2))</f>
      </c>
      <c r="E22" s="33">
        <f>IF(AS21&lt;=0,0,ROUND(AS21+ROUND(AS21*Y$3/12,2),2))</f>
      </c>
      <c r="F22" s="33">
        <f>IF(AT21&lt;=0,0,ROUND(AT21+ROUND(AT21*Z$3/12,2),2))</f>
      </c>
      <c r="G22" s="33">
        <f>IF(AU21&lt;=0,0,ROUND(AU21+ROUND(AU21*AA$3/12,2),2))</f>
      </c>
      <c r="H22" s="33">
        <f>IF(AV21&lt;=0,0,ROUND(AV21+ROUND(AV21*AB$3/12,2),2))</f>
      </c>
      <c r="I22" s="33">
        <f>IF(AW21&lt;=0,0,ROUND(AW21+ROUND(AW21*AC$3/12,2),2))</f>
      </c>
      <c r="J22" s="33">
        <f>IF(AX21&lt;=0,0,ROUND(AX21+ROUND(AX21*AD$3/12,2),2))</f>
      </c>
      <c r="K22" s="33">
        <f>IF(AY21&lt;=0,0,ROUND(AY21+ROUND(AY21*AE$3/12,2),2))</f>
      </c>
      <c r="L22" s="33">
        <f>ROUND(MIN(MAX(0,N('Your debts'!$E$6)),B22),2)</f>
      </c>
      <c r="M22" s="33">
        <f>ROUND(MIN(MAX(0,N('Your debts'!$E$7)),C22),2)</f>
      </c>
      <c r="N22" s="33">
        <f>ROUND(MIN(MAX(0,N('Your debts'!$E$8)),D22),2)</f>
      </c>
      <c r="O22" s="33">
        <f>ROUND(MIN(MAX(0,N('Your debts'!$E$9)),E22),2)</f>
      </c>
      <c r="P22" s="33">
        <f>ROUND(MIN(MAX(0,N('Your debts'!$E$10)),F22),2)</f>
      </c>
      <c r="Q22" s="33">
        <f>ROUND(MIN(MAX(0,N('Your debts'!$E$11)),G22),2)</f>
      </c>
      <c r="R22" s="33">
        <f>ROUND(MIN(MAX(0,N('Your debts'!$E$12)),H22),2)</f>
      </c>
      <c r="S22" s="33">
        <f>ROUND(MIN(MAX(0,N('Your debts'!$E$13)),I22),2)</f>
      </c>
      <c r="T22" s="33">
        <f>ROUND(MIN(MAX(0,N('Your debts'!$E$14)),J22),2)</f>
      </c>
      <c r="U22" s="33">
        <f>ROUND(MIN(MAX(0,N('Your debts'!$E$15)),K22),2)</f>
      </c>
      <c r="V22" s="33">
        <f>ROUND(B22-L22,2)</f>
      </c>
      <c r="W22" s="33">
        <f>ROUND(C22-M22,2)</f>
      </c>
      <c r="X22" s="33">
        <f>ROUND(D22-N22,2)</f>
      </c>
      <c r="Y22" s="33">
        <f>ROUND(E22-O22,2)</f>
      </c>
      <c r="Z22" s="33">
        <f>ROUND(F22-P22,2)</f>
      </c>
      <c r="AA22" s="33">
        <f>ROUND(G22-Q22,2)</f>
      </c>
      <c r="AB22" s="33">
        <f>ROUND(H22-R22,2)</f>
      </c>
      <c r="AC22" s="33">
        <f>ROUND(I22-S22,2)</f>
      </c>
      <c r="AD22" s="33">
        <f>ROUND(J22-T22,2)</f>
      </c>
      <c r="AE22" s="33">
        <f>ROUND(K22-U22,2)</f>
      </c>
      <c r="AF22" s="33">
        <f>IF(V22&lt;=0,0,MAX(0,MIN(V22,ROUND($AZ22-SUMPRODUCT($V22:$AE22*($V22:$AE22&gt;0)*(($V22:$AE22&lt;V22)+($V22:$AE22=V22)*($V$3:$AE$3&gt;V$3)+($V22:$AE22=V22)*($V$3:$AE$3=V$3)*($V$2:$AE$2&lt;V$2))),2))))</f>
      </c>
      <c r="AG22" s="33">
        <f>IF(W22&lt;=0,0,MAX(0,MIN(W22,ROUND($AZ22-SUMPRODUCT($V22:$AE22*($V22:$AE22&gt;0)*(($V22:$AE22&lt;W22)+($V22:$AE22=W22)*($V$3:$AE$3&gt;W$3)+($V22:$AE22=W22)*($V$3:$AE$3=W$3)*($V$2:$AE$2&lt;W$2))),2))))</f>
      </c>
      <c r="AH22" s="33">
        <f>IF(X22&lt;=0,0,MAX(0,MIN(X22,ROUND($AZ22-SUMPRODUCT($V22:$AE22*($V22:$AE22&gt;0)*(($V22:$AE22&lt;X22)+($V22:$AE22=X22)*($V$3:$AE$3&gt;X$3)+($V22:$AE22=X22)*($V$3:$AE$3=X$3)*($V$2:$AE$2&lt;X$2))),2))))</f>
      </c>
      <c r="AI22" s="33">
        <f>IF(Y22&lt;=0,0,MAX(0,MIN(Y22,ROUND($AZ22-SUMPRODUCT($V22:$AE22*($V22:$AE22&gt;0)*(($V22:$AE22&lt;Y22)+($V22:$AE22=Y22)*($V$3:$AE$3&gt;Y$3)+($V22:$AE22=Y22)*($V$3:$AE$3=Y$3)*($V$2:$AE$2&lt;Y$2))),2))))</f>
      </c>
      <c r="AJ22" s="33">
        <f>IF(Z22&lt;=0,0,MAX(0,MIN(Z22,ROUND($AZ22-SUMPRODUCT($V22:$AE22*($V22:$AE22&gt;0)*(($V22:$AE22&lt;Z22)+($V22:$AE22=Z22)*($V$3:$AE$3&gt;Z$3)+($V22:$AE22=Z22)*($V$3:$AE$3=Z$3)*($V$2:$AE$2&lt;Z$2))),2))))</f>
      </c>
      <c r="AK22" s="33">
        <f>IF(AA22&lt;=0,0,MAX(0,MIN(AA22,ROUND($AZ22-SUMPRODUCT($V22:$AE22*($V22:$AE22&gt;0)*(($V22:$AE22&lt;AA22)+($V22:$AE22=AA22)*($V$3:$AE$3&gt;AA$3)+($V22:$AE22=AA22)*($V$3:$AE$3=AA$3)*($V$2:$AE$2&lt;AA$2))),2))))</f>
      </c>
      <c r="AL22" s="33">
        <f>IF(AB22&lt;=0,0,MAX(0,MIN(AB22,ROUND($AZ22-SUMPRODUCT($V22:$AE22*($V22:$AE22&gt;0)*(($V22:$AE22&lt;AB22)+($V22:$AE22=AB22)*($V$3:$AE$3&gt;AB$3)+($V22:$AE22=AB22)*($V$3:$AE$3=AB$3)*($V$2:$AE$2&lt;AB$2))),2))))</f>
      </c>
      <c r="AM22" s="33">
        <f>IF(AC22&lt;=0,0,MAX(0,MIN(AC22,ROUND($AZ22-SUMPRODUCT($V22:$AE22*($V22:$AE22&gt;0)*(($V22:$AE22&lt;AC22)+($V22:$AE22=AC22)*($V$3:$AE$3&gt;AC$3)+($V22:$AE22=AC22)*($V$3:$AE$3=AC$3)*($V$2:$AE$2&lt;AC$2))),2))))</f>
      </c>
      <c r="AN22" s="33">
        <f>IF(AD22&lt;=0,0,MAX(0,MIN(AD22,ROUND($AZ22-SUMPRODUCT($V22:$AE22*($V22:$AE22&gt;0)*(($V22:$AE22&lt;AD22)+($V22:$AE22=AD22)*($V$3:$AE$3&gt;AD$3)+($V22:$AE22=AD22)*($V$3:$AE$3=AD$3)*($V$2:$AE$2&lt;AD$2))),2))))</f>
      </c>
      <c r="AO22" s="33">
        <f>IF(AE22&lt;=0,0,MAX(0,MIN(AE22,ROUND($AZ22-SUMPRODUCT($V22:$AE22*($V22:$AE22&gt;0)*(($V22:$AE22&lt;AE22)+($V22:$AE22=AE22)*($V$3:$AE$3&gt;AE$3)+($V22:$AE22=AE22)*($V$3:$AE$3=AE$3)*($V$2:$AE$2&lt;AE$2))),2))))</f>
      </c>
      <c r="AP22" s="33">
        <f>ROUND(V22-AF22,2)</f>
      </c>
      <c r="AQ22" s="33">
        <f>ROUND(W22-AG22,2)</f>
      </c>
      <c r="AR22" s="33">
        <f>ROUND(X22-AH22,2)</f>
      </c>
      <c r="AS22" s="33">
        <f>ROUND(Y22-AI22,2)</f>
      </c>
      <c r="AT22" s="33">
        <f>ROUND(Z22-AJ22,2)</f>
      </c>
      <c r="AU22" s="33">
        <f>ROUND(AA22-AK22,2)</f>
      </c>
      <c r="AV22" s="33">
        <f>ROUND(AB22-AL22,2)</f>
      </c>
      <c r="AW22" s="33">
        <f>ROUND(AC22-AM22,2)</f>
      </c>
      <c r="AX22" s="33">
        <f>ROUND(AD22-AN22,2)</f>
      </c>
      <c r="AY22" s="33">
        <f>ROUND(AE22-AO22,2)</f>
      </c>
      <c r="AZ22" s="33">
        <f>ROUND(MAX(0,'Your debts'!$D$22-SUM($L22:$U22)),2)</f>
      </c>
      <c r="BA22" s="33">
        <f>ROUND(SUM($B22:$K22)-SUM($AP21:$AY21),2)</f>
      </c>
      <c r="BB22" s="33">
        <f>SUM($AP22:$AY22)</f>
      </c>
      <c r="BC22" s="33">
        <f>ROUND(SUM($L22:$U22)+SUM($AF22:$AO22),2)</f>
      </c>
    </row>
    <row r="23" spans="1:55" x14ac:dyDescent="0.25">
      <c r="A23">
        <v>16</v>
      </c>
      <c r="B23" s="33">
        <f>IF(AP22&lt;=0,0,ROUND(AP22+ROUND(AP22*V$3/12,2),2))</f>
      </c>
      <c r="C23" s="33">
        <f>IF(AQ22&lt;=0,0,ROUND(AQ22+ROUND(AQ22*W$3/12,2),2))</f>
      </c>
      <c r="D23" s="33">
        <f>IF(AR22&lt;=0,0,ROUND(AR22+ROUND(AR22*X$3/12,2),2))</f>
      </c>
      <c r="E23" s="33">
        <f>IF(AS22&lt;=0,0,ROUND(AS22+ROUND(AS22*Y$3/12,2),2))</f>
      </c>
      <c r="F23" s="33">
        <f>IF(AT22&lt;=0,0,ROUND(AT22+ROUND(AT22*Z$3/12,2),2))</f>
      </c>
      <c r="G23" s="33">
        <f>IF(AU22&lt;=0,0,ROUND(AU22+ROUND(AU22*AA$3/12,2),2))</f>
      </c>
      <c r="H23" s="33">
        <f>IF(AV22&lt;=0,0,ROUND(AV22+ROUND(AV22*AB$3/12,2),2))</f>
      </c>
      <c r="I23" s="33">
        <f>IF(AW22&lt;=0,0,ROUND(AW22+ROUND(AW22*AC$3/12,2),2))</f>
      </c>
      <c r="J23" s="33">
        <f>IF(AX22&lt;=0,0,ROUND(AX22+ROUND(AX22*AD$3/12,2),2))</f>
      </c>
      <c r="K23" s="33">
        <f>IF(AY22&lt;=0,0,ROUND(AY22+ROUND(AY22*AE$3/12,2),2))</f>
      </c>
      <c r="L23" s="33">
        <f>ROUND(MIN(MAX(0,N('Your debts'!$E$6)),B23),2)</f>
      </c>
      <c r="M23" s="33">
        <f>ROUND(MIN(MAX(0,N('Your debts'!$E$7)),C23),2)</f>
      </c>
      <c r="N23" s="33">
        <f>ROUND(MIN(MAX(0,N('Your debts'!$E$8)),D23),2)</f>
      </c>
      <c r="O23" s="33">
        <f>ROUND(MIN(MAX(0,N('Your debts'!$E$9)),E23),2)</f>
      </c>
      <c r="P23" s="33">
        <f>ROUND(MIN(MAX(0,N('Your debts'!$E$10)),F23),2)</f>
      </c>
      <c r="Q23" s="33">
        <f>ROUND(MIN(MAX(0,N('Your debts'!$E$11)),G23),2)</f>
      </c>
      <c r="R23" s="33">
        <f>ROUND(MIN(MAX(0,N('Your debts'!$E$12)),H23),2)</f>
      </c>
      <c r="S23" s="33">
        <f>ROUND(MIN(MAX(0,N('Your debts'!$E$13)),I23),2)</f>
      </c>
      <c r="T23" s="33">
        <f>ROUND(MIN(MAX(0,N('Your debts'!$E$14)),J23),2)</f>
      </c>
      <c r="U23" s="33">
        <f>ROUND(MIN(MAX(0,N('Your debts'!$E$15)),K23),2)</f>
      </c>
      <c r="V23" s="33">
        <f>ROUND(B23-L23,2)</f>
      </c>
      <c r="W23" s="33">
        <f>ROUND(C23-M23,2)</f>
      </c>
      <c r="X23" s="33">
        <f>ROUND(D23-N23,2)</f>
      </c>
      <c r="Y23" s="33">
        <f>ROUND(E23-O23,2)</f>
      </c>
      <c r="Z23" s="33">
        <f>ROUND(F23-P23,2)</f>
      </c>
      <c r="AA23" s="33">
        <f>ROUND(G23-Q23,2)</f>
      </c>
      <c r="AB23" s="33">
        <f>ROUND(H23-R23,2)</f>
      </c>
      <c r="AC23" s="33">
        <f>ROUND(I23-S23,2)</f>
      </c>
      <c r="AD23" s="33">
        <f>ROUND(J23-T23,2)</f>
      </c>
      <c r="AE23" s="33">
        <f>ROUND(K23-U23,2)</f>
      </c>
      <c r="AF23" s="33">
        <f>IF(V23&lt;=0,0,MAX(0,MIN(V23,ROUND($AZ23-SUMPRODUCT($V23:$AE23*($V23:$AE23&gt;0)*(($V23:$AE23&lt;V23)+($V23:$AE23=V23)*($V$3:$AE$3&gt;V$3)+($V23:$AE23=V23)*($V$3:$AE$3=V$3)*($V$2:$AE$2&lt;V$2))),2))))</f>
      </c>
      <c r="AG23" s="33">
        <f>IF(W23&lt;=0,0,MAX(0,MIN(W23,ROUND($AZ23-SUMPRODUCT($V23:$AE23*($V23:$AE23&gt;0)*(($V23:$AE23&lt;W23)+($V23:$AE23=W23)*($V$3:$AE$3&gt;W$3)+($V23:$AE23=W23)*($V$3:$AE$3=W$3)*($V$2:$AE$2&lt;W$2))),2))))</f>
      </c>
      <c r="AH23" s="33">
        <f>IF(X23&lt;=0,0,MAX(0,MIN(X23,ROUND($AZ23-SUMPRODUCT($V23:$AE23*($V23:$AE23&gt;0)*(($V23:$AE23&lt;X23)+($V23:$AE23=X23)*($V$3:$AE$3&gt;X$3)+($V23:$AE23=X23)*($V$3:$AE$3=X$3)*($V$2:$AE$2&lt;X$2))),2))))</f>
      </c>
      <c r="AI23" s="33">
        <f>IF(Y23&lt;=0,0,MAX(0,MIN(Y23,ROUND($AZ23-SUMPRODUCT($V23:$AE23*($V23:$AE23&gt;0)*(($V23:$AE23&lt;Y23)+($V23:$AE23=Y23)*($V$3:$AE$3&gt;Y$3)+($V23:$AE23=Y23)*($V$3:$AE$3=Y$3)*($V$2:$AE$2&lt;Y$2))),2))))</f>
      </c>
      <c r="AJ23" s="33">
        <f>IF(Z23&lt;=0,0,MAX(0,MIN(Z23,ROUND($AZ23-SUMPRODUCT($V23:$AE23*($V23:$AE23&gt;0)*(($V23:$AE23&lt;Z23)+($V23:$AE23=Z23)*($V$3:$AE$3&gt;Z$3)+($V23:$AE23=Z23)*($V$3:$AE$3=Z$3)*($V$2:$AE$2&lt;Z$2))),2))))</f>
      </c>
      <c r="AK23" s="33">
        <f>IF(AA23&lt;=0,0,MAX(0,MIN(AA23,ROUND($AZ23-SUMPRODUCT($V23:$AE23*($V23:$AE23&gt;0)*(($V23:$AE23&lt;AA23)+($V23:$AE23=AA23)*($V$3:$AE$3&gt;AA$3)+($V23:$AE23=AA23)*($V$3:$AE$3=AA$3)*($V$2:$AE$2&lt;AA$2))),2))))</f>
      </c>
      <c r="AL23" s="33">
        <f>IF(AB23&lt;=0,0,MAX(0,MIN(AB23,ROUND($AZ23-SUMPRODUCT($V23:$AE23*($V23:$AE23&gt;0)*(($V23:$AE23&lt;AB23)+($V23:$AE23=AB23)*($V$3:$AE$3&gt;AB$3)+($V23:$AE23=AB23)*($V$3:$AE$3=AB$3)*($V$2:$AE$2&lt;AB$2))),2))))</f>
      </c>
      <c r="AM23" s="33">
        <f>IF(AC23&lt;=0,0,MAX(0,MIN(AC23,ROUND($AZ23-SUMPRODUCT($V23:$AE23*($V23:$AE23&gt;0)*(($V23:$AE23&lt;AC23)+($V23:$AE23=AC23)*($V$3:$AE$3&gt;AC$3)+($V23:$AE23=AC23)*($V$3:$AE$3=AC$3)*($V$2:$AE$2&lt;AC$2))),2))))</f>
      </c>
      <c r="AN23" s="33">
        <f>IF(AD23&lt;=0,0,MAX(0,MIN(AD23,ROUND($AZ23-SUMPRODUCT($V23:$AE23*($V23:$AE23&gt;0)*(($V23:$AE23&lt;AD23)+($V23:$AE23=AD23)*($V$3:$AE$3&gt;AD$3)+($V23:$AE23=AD23)*($V$3:$AE$3=AD$3)*($V$2:$AE$2&lt;AD$2))),2))))</f>
      </c>
      <c r="AO23" s="33">
        <f>IF(AE23&lt;=0,0,MAX(0,MIN(AE23,ROUND($AZ23-SUMPRODUCT($V23:$AE23*($V23:$AE23&gt;0)*(($V23:$AE23&lt;AE23)+($V23:$AE23=AE23)*($V$3:$AE$3&gt;AE$3)+($V23:$AE23=AE23)*($V$3:$AE$3=AE$3)*($V$2:$AE$2&lt;AE$2))),2))))</f>
      </c>
      <c r="AP23" s="33">
        <f>ROUND(V23-AF23,2)</f>
      </c>
      <c r="AQ23" s="33">
        <f>ROUND(W23-AG23,2)</f>
      </c>
      <c r="AR23" s="33">
        <f>ROUND(X23-AH23,2)</f>
      </c>
      <c r="AS23" s="33">
        <f>ROUND(Y23-AI23,2)</f>
      </c>
      <c r="AT23" s="33">
        <f>ROUND(Z23-AJ23,2)</f>
      </c>
      <c r="AU23" s="33">
        <f>ROUND(AA23-AK23,2)</f>
      </c>
      <c r="AV23" s="33">
        <f>ROUND(AB23-AL23,2)</f>
      </c>
      <c r="AW23" s="33">
        <f>ROUND(AC23-AM23,2)</f>
      </c>
      <c r="AX23" s="33">
        <f>ROUND(AD23-AN23,2)</f>
      </c>
      <c r="AY23" s="33">
        <f>ROUND(AE23-AO23,2)</f>
      </c>
      <c r="AZ23" s="33">
        <f>ROUND(MAX(0,'Your debts'!$D$22-SUM($L23:$U23)),2)</f>
      </c>
      <c r="BA23" s="33">
        <f>ROUND(SUM($B23:$K23)-SUM($AP22:$AY22),2)</f>
      </c>
      <c r="BB23" s="33">
        <f>SUM($AP23:$AY23)</f>
      </c>
      <c r="BC23" s="33">
        <f>ROUND(SUM($L23:$U23)+SUM($AF23:$AO23),2)</f>
      </c>
    </row>
    <row r="24" spans="1:55" x14ac:dyDescent="0.25">
      <c r="A24">
        <v>17</v>
      </c>
      <c r="B24" s="33">
        <f>IF(AP23&lt;=0,0,ROUND(AP23+ROUND(AP23*V$3/12,2),2))</f>
      </c>
      <c r="C24" s="33">
        <f>IF(AQ23&lt;=0,0,ROUND(AQ23+ROUND(AQ23*W$3/12,2),2))</f>
      </c>
      <c r="D24" s="33">
        <f>IF(AR23&lt;=0,0,ROUND(AR23+ROUND(AR23*X$3/12,2),2))</f>
      </c>
      <c r="E24" s="33">
        <f>IF(AS23&lt;=0,0,ROUND(AS23+ROUND(AS23*Y$3/12,2),2))</f>
      </c>
      <c r="F24" s="33">
        <f>IF(AT23&lt;=0,0,ROUND(AT23+ROUND(AT23*Z$3/12,2),2))</f>
      </c>
      <c r="G24" s="33">
        <f>IF(AU23&lt;=0,0,ROUND(AU23+ROUND(AU23*AA$3/12,2),2))</f>
      </c>
      <c r="H24" s="33">
        <f>IF(AV23&lt;=0,0,ROUND(AV23+ROUND(AV23*AB$3/12,2),2))</f>
      </c>
      <c r="I24" s="33">
        <f>IF(AW23&lt;=0,0,ROUND(AW23+ROUND(AW23*AC$3/12,2),2))</f>
      </c>
      <c r="J24" s="33">
        <f>IF(AX23&lt;=0,0,ROUND(AX23+ROUND(AX23*AD$3/12,2),2))</f>
      </c>
      <c r="K24" s="33">
        <f>IF(AY23&lt;=0,0,ROUND(AY23+ROUND(AY23*AE$3/12,2),2))</f>
      </c>
      <c r="L24" s="33">
        <f>ROUND(MIN(MAX(0,N('Your debts'!$E$6)),B24),2)</f>
      </c>
      <c r="M24" s="33">
        <f>ROUND(MIN(MAX(0,N('Your debts'!$E$7)),C24),2)</f>
      </c>
      <c r="N24" s="33">
        <f>ROUND(MIN(MAX(0,N('Your debts'!$E$8)),D24),2)</f>
      </c>
      <c r="O24" s="33">
        <f>ROUND(MIN(MAX(0,N('Your debts'!$E$9)),E24),2)</f>
      </c>
      <c r="P24" s="33">
        <f>ROUND(MIN(MAX(0,N('Your debts'!$E$10)),F24),2)</f>
      </c>
      <c r="Q24" s="33">
        <f>ROUND(MIN(MAX(0,N('Your debts'!$E$11)),G24),2)</f>
      </c>
      <c r="R24" s="33">
        <f>ROUND(MIN(MAX(0,N('Your debts'!$E$12)),H24),2)</f>
      </c>
      <c r="S24" s="33">
        <f>ROUND(MIN(MAX(0,N('Your debts'!$E$13)),I24),2)</f>
      </c>
      <c r="T24" s="33">
        <f>ROUND(MIN(MAX(0,N('Your debts'!$E$14)),J24),2)</f>
      </c>
      <c r="U24" s="33">
        <f>ROUND(MIN(MAX(0,N('Your debts'!$E$15)),K24),2)</f>
      </c>
      <c r="V24" s="33">
        <f>ROUND(B24-L24,2)</f>
      </c>
      <c r="W24" s="33">
        <f>ROUND(C24-M24,2)</f>
      </c>
      <c r="X24" s="33">
        <f>ROUND(D24-N24,2)</f>
      </c>
      <c r="Y24" s="33">
        <f>ROUND(E24-O24,2)</f>
      </c>
      <c r="Z24" s="33">
        <f>ROUND(F24-P24,2)</f>
      </c>
      <c r="AA24" s="33">
        <f>ROUND(G24-Q24,2)</f>
      </c>
      <c r="AB24" s="33">
        <f>ROUND(H24-R24,2)</f>
      </c>
      <c r="AC24" s="33">
        <f>ROUND(I24-S24,2)</f>
      </c>
      <c r="AD24" s="33">
        <f>ROUND(J24-T24,2)</f>
      </c>
      <c r="AE24" s="33">
        <f>ROUND(K24-U24,2)</f>
      </c>
      <c r="AF24" s="33">
        <f>IF(V24&lt;=0,0,MAX(0,MIN(V24,ROUND($AZ24-SUMPRODUCT($V24:$AE24*($V24:$AE24&gt;0)*(($V24:$AE24&lt;V24)+($V24:$AE24=V24)*($V$3:$AE$3&gt;V$3)+($V24:$AE24=V24)*($V$3:$AE$3=V$3)*($V$2:$AE$2&lt;V$2))),2))))</f>
      </c>
      <c r="AG24" s="33">
        <f>IF(W24&lt;=0,0,MAX(0,MIN(W24,ROUND($AZ24-SUMPRODUCT($V24:$AE24*($V24:$AE24&gt;0)*(($V24:$AE24&lt;W24)+($V24:$AE24=W24)*($V$3:$AE$3&gt;W$3)+($V24:$AE24=W24)*($V$3:$AE$3=W$3)*($V$2:$AE$2&lt;W$2))),2))))</f>
      </c>
      <c r="AH24" s="33">
        <f>IF(X24&lt;=0,0,MAX(0,MIN(X24,ROUND($AZ24-SUMPRODUCT($V24:$AE24*($V24:$AE24&gt;0)*(($V24:$AE24&lt;X24)+($V24:$AE24=X24)*($V$3:$AE$3&gt;X$3)+($V24:$AE24=X24)*($V$3:$AE$3=X$3)*($V$2:$AE$2&lt;X$2))),2))))</f>
      </c>
      <c r="AI24" s="33">
        <f>IF(Y24&lt;=0,0,MAX(0,MIN(Y24,ROUND($AZ24-SUMPRODUCT($V24:$AE24*($V24:$AE24&gt;0)*(($V24:$AE24&lt;Y24)+($V24:$AE24=Y24)*($V$3:$AE$3&gt;Y$3)+($V24:$AE24=Y24)*($V$3:$AE$3=Y$3)*($V$2:$AE$2&lt;Y$2))),2))))</f>
      </c>
      <c r="AJ24" s="33">
        <f>IF(Z24&lt;=0,0,MAX(0,MIN(Z24,ROUND($AZ24-SUMPRODUCT($V24:$AE24*($V24:$AE24&gt;0)*(($V24:$AE24&lt;Z24)+($V24:$AE24=Z24)*($V$3:$AE$3&gt;Z$3)+($V24:$AE24=Z24)*($V$3:$AE$3=Z$3)*($V$2:$AE$2&lt;Z$2))),2))))</f>
      </c>
      <c r="AK24" s="33">
        <f>IF(AA24&lt;=0,0,MAX(0,MIN(AA24,ROUND($AZ24-SUMPRODUCT($V24:$AE24*($V24:$AE24&gt;0)*(($V24:$AE24&lt;AA24)+($V24:$AE24=AA24)*($V$3:$AE$3&gt;AA$3)+($V24:$AE24=AA24)*($V$3:$AE$3=AA$3)*($V$2:$AE$2&lt;AA$2))),2))))</f>
      </c>
      <c r="AL24" s="33">
        <f>IF(AB24&lt;=0,0,MAX(0,MIN(AB24,ROUND($AZ24-SUMPRODUCT($V24:$AE24*($V24:$AE24&gt;0)*(($V24:$AE24&lt;AB24)+($V24:$AE24=AB24)*($V$3:$AE$3&gt;AB$3)+($V24:$AE24=AB24)*($V$3:$AE$3=AB$3)*($V$2:$AE$2&lt;AB$2))),2))))</f>
      </c>
      <c r="AM24" s="33">
        <f>IF(AC24&lt;=0,0,MAX(0,MIN(AC24,ROUND($AZ24-SUMPRODUCT($V24:$AE24*($V24:$AE24&gt;0)*(($V24:$AE24&lt;AC24)+($V24:$AE24=AC24)*($V$3:$AE$3&gt;AC$3)+($V24:$AE24=AC24)*($V$3:$AE$3=AC$3)*($V$2:$AE$2&lt;AC$2))),2))))</f>
      </c>
      <c r="AN24" s="33">
        <f>IF(AD24&lt;=0,0,MAX(0,MIN(AD24,ROUND($AZ24-SUMPRODUCT($V24:$AE24*($V24:$AE24&gt;0)*(($V24:$AE24&lt;AD24)+($V24:$AE24=AD24)*($V$3:$AE$3&gt;AD$3)+($V24:$AE24=AD24)*($V$3:$AE$3=AD$3)*($V$2:$AE$2&lt;AD$2))),2))))</f>
      </c>
      <c r="AO24" s="33">
        <f>IF(AE24&lt;=0,0,MAX(0,MIN(AE24,ROUND($AZ24-SUMPRODUCT($V24:$AE24*($V24:$AE24&gt;0)*(($V24:$AE24&lt;AE24)+($V24:$AE24=AE24)*($V$3:$AE$3&gt;AE$3)+($V24:$AE24=AE24)*($V$3:$AE$3=AE$3)*($V$2:$AE$2&lt;AE$2))),2))))</f>
      </c>
      <c r="AP24" s="33">
        <f>ROUND(V24-AF24,2)</f>
      </c>
      <c r="AQ24" s="33">
        <f>ROUND(W24-AG24,2)</f>
      </c>
      <c r="AR24" s="33">
        <f>ROUND(X24-AH24,2)</f>
      </c>
      <c r="AS24" s="33">
        <f>ROUND(Y24-AI24,2)</f>
      </c>
      <c r="AT24" s="33">
        <f>ROUND(Z24-AJ24,2)</f>
      </c>
      <c r="AU24" s="33">
        <f>ROUND(AA24-AK24,2)</f>
      </c>
      <c r="AV24" s="33">
        <f>ROUND(AB24-AL24,2)</f>
      </c>
      <c r="AW24" s="33">
        <f>ROUND(AC24-AM24,2)</f>
      </c>
      <c r="AX24" s="33">
        <f>ROUND(AD24-AN24,2)</f>
      </c>
      <c r="AY24" s="33">
        <f>ROUND(AE24-AO24,2)</f>
      </c>
      <c r="AZ24" s="33">
        <f>ROUND(MAX(0,'Your debts'!$D$22-SUM($L24:$U24)),2)</f>
      </c>
      <c r="BA24" s="33">
        <f>ROUND(SUM($B24:$K24)-SUM($AP23:$AY23),2)</f>
      </c>
      <c r="BB24" s="33">
        <f>SUM($AP24:$AY24)</f>
      </c>
      <c r="BC24" s="33">
        <f>ROUND(SUM($L24:$U24)+SUM($AF24:$AO24),2)</f>
      </c>
    </row>
    <row r="25" spans="1:55" x14ac:dyDescent="0.25">
      <c r="A25">
        <v>18</v>
      </c>
      <c r="B25" s="33">
        <f>IF(AP24&lt;=0,0,ROUND(AP24+ROUND(AP24*V$3/12,2),2))</f>
      </c>
      <c r="C25" s="33">
        <f>IF(AQ24&lt;=0,0,ROUND(AQ24+ROUND(AQ24*W$3/12,2),2))</f>
      </c>
      <c r="D25" s="33">
        <f>IF(AR24&lt;=0,0,ROUND(AR24+ROUND(AR24*X$3/12,2),2))</f>
      </c>
      <c r="E25" s="33">
        <f>IF(AS24&lt;=0,0,ROUND(AS24+ROUND(AS24*Y$3/12,2),2))</f>
      </c>
      <c r="F25" s="33">
        <f>IF(AT24&lt;=0,0,ROUND(AT24+ROUND(AT24*Z$3/12,2),2))</f>
      </c>
      <c r="G25" s="33">
        <f>IF(AU24&lt;=0,0,ROUND(AU24+ROUND(AU24*AA$3/12,2),2))</f>
      </c>
      <c r="H25" s="33">
        <f>IF(AV24&lt;=0,0,ROUND(AV24+ROUND(AV24*AB$3/12,2),2))</f>
      </c>
      <c r="I25" s="33">
        <f>IF(AW24&lt;=0,0,ROUND(AW24+ROUND(AW24*AC$3/12,2),2))</f>
      </c>
      <c r="J25" s="33">
        <f>IF(AX24&lt;=0,0,ROUND(AX24+ROUND(AX24*AD$3/12,2),2))</f>
      </c>
      <c r="K25" s="33">
        <f>IF(AY24&lt;=0,0,ROUND(AY24+ROUND(AY24*AE$3/12,2),2))</f>
      </c>
      <c r="L25" s="33">
        <f>ROUND(MIN(MAX(0,N('Your debts'!$E$6)),B25),2)</f>
      </c>
      <c r="M25" s="33">
        <f>ROUND(MIN(MAX(0,N('Your debts'!$E$7)),C25),2)</f>
      </c>
      <c r="N25" s="33">
        <f>ROUND(MIN(MAX(0,N('Your debts'!$E$8)),D25),2)</f>
      </c>
      <c r="O25" s="33">
        <f>ROUND(MIN(MAX(0,N('Your debts'!$E$9)),E25),2)</f>
      </c>
      <c r="P25" s="33">
        <f>ROUND(MIN(MAX(0,N('Your debts'!$E$10)),F25),2)</f>
      </c>
      <c r="Q25" s="33">
        <f>ROUND(MIN(MAX(0,N('Your debts'!$E$11)),G25),2)</f>
      </c>
      <c r="R25" s="33">
        <f>ROUND(MIN(MAX(0,N('Your debts'!$E$12)),H25),2)</f>
      </c>
      <c r="S25" s="33">
        <f>ROUND(MIN(MAX(0,N('Your debts'!$E$13)),I25),2)</f>
      </c>
      <c r="T25" s="33">
        <f>ROUND(MIN(MAX(0,N('Your debts'!$E$14)),J25),2)</f>
      </c>
      <c r="U25" s="33">
        <f>ROUND(MIN(MAX(0,N('Your debts'!$E$15)),K25),2)</f>
      </c>
      <c r="V25" s="33">
        <f>ROUND(B25-L25,2)</f>
      </c>
      <c r="W25" s="33">
        <f>ROUND(C25-M25,2)</f>
      </c>
      <c r="X25" s="33">
        <f>ROUND(D25-N25,2)</f>
      </c>
      <c r="Y25" s="33">
        <f>ROUND(E25-O25,2)</f>
      </c>
      <c r="Z25" s="33">
        <f>ROUND(F25-P25,2)</f>
      </c>
      <c r="AA25" s="33">
        <f>ROUND(G25-Q25,2)</f>
      </c>
      <c r="AB25" s="33">
        <f>ROUND(H25-R25,2)</f>
      </c>
      <c r="AC25" s="33">
        <f>ROUND(I25-S25,2)</f>
      </c>
      <c r="AD25" s="33">
        <f>ROUND(J25-T25,2)</f>
      </c>
      <c r="AE25" s="33">
        <f>ROUND(K25-U25,2)</f>
      </c>
      <c r="AF25" s="33">
        <f>IF(V25&lt;=0,0,MAX(0,MIN(V25,ROUND($AZ25-SUMPRODUCT($V25:$AE25*($V25:$AE25&gt;0)*(($V25:$AE25&lt;V25)+($V25:$AE25=V25)*($V$3:$AE$3&gt;V$3)+($V25:$AE25=V25)*($V$3:$AE$3=V$3)*($V$2:$AE$2&lt;V$2))),2))))</f>
      </c>
      <c r="AG25" s="33">
        <f>IF(W25&lt;=0,0,MAX(0,MIN(W25,ROUND($AZ25-SUMPRODUCT($V25:$AE25*($V25:$AE25&gt;0)*(($V25:$AE25&lt;W25)+($V25:$AE25=W25)*($V$3:$AE$3&gt;W$3)+($V25:$AE25=W25)*($V$3:$AE$3=W$3)*($V$2:$AE$2&lt;W$2))),2))))</f>
      </c>
      <c r="AH25" s="33">
        <f>IF(X25&lt;=0,0,MAX(0,MIN(X25,ROUND($AZ25-SUMPRODUCT($V25:$AE25*($V25:$AE25&gt;0)*(($V25:$AE25&lt;X25)+($V25:$AE25=X25)*($V$3:$AE$3&gt;X$3)+($V25:$AE25=X25)*($V$3:$AE$3=X$3)*($V$2:$AE$2&lt;X$2))),2))))</f>
      </c>
      <c r="AI25" s="33">
        <f>IF(Y25&lt;=0,0,MAX(0,MIN(Y25,ROUND($AZ25-SUMPRODUCT($V25:$AE25*($V25:$AE25&gt;0)*(($V25:$AE25&lt;Y25)+($V25:$AE25=Y25)*($V$3:$AE$3&gt;Y$3)+($V25:$AE25=Y25)*($V$3:$AE$3=Y$3)*($V$2:$AE$2&lt;Y$2))),2))))</f>
      </c>
      <c r="AJ25" s="33">
        <f>IF(Z25&lt;=0,0,MAX(0,MIN(Z25,ROUND($AZ25-SUMPRODUCT($V25:$AE25*($V25:$AE25&gt;0)*(($V25:$AE25&lt;Z25)+($V25:$AE25=Z25)*($V$3:$AE$3&gt;Z$3)+($V25:$AE25=Z25)*($V$3:$AE$3=Z$3)*($V$2:$AE$2&lt;Z$2))),2))))</f>
      </c>
      <c r="AK25" s="33">
        <f>IF(AA25&lt;=0,0,MAX(0,MIN(AA25,ROUND($AZ25-SUMPRODUCT($V25:$AE25*($V25:$AE25&gt;0)*(($V25:$AE25&lt;AA25)+($V25:$AE25=AA25)*($V$3:$AE$3&gt;AA$3)+($V25:$AE25=AA25)*($V$3:$AE$3=AA$3)*($V$2:$AE$2&lt;AA$2))),2))))</f>
      </c>
      <c r="AL25" s="33">
        <f>IF(AB25&lt;=0,0,MAX(0,MIN(AB25,ROUND($AZ25-SUMPRODUCT($V25:$AE25*($V25:$AE25&gt;0)*(($V25:$AE25&lt;AB25)+($V25:$AE25=AB25)*($V$3:$AE$3&gt;AB$3)+($V25:$AE25=AB25)*($V$3:$AE$3=AB$3)*($V$2:$AE$2&lt;AB$2))),2))))</f>
      </c>
      <c r="AM25" s="33">
        <f>IF(AC25&lt;=0,0,MAX(0,MIN(AC25,ROUND($AZ25-SUMPRODUCT($V25:$AE25*($V25:$AE25&gt;0)*(($V25:$AE25&lt;AC25)+($V25:$AE25=AC25)*($V$3:$AE$3&gt;AC$3)+($V25:$AE25=AC25)*($V$3:$AE$3=AC$3)*($V$2:$AE$2&lt;AC$2))),2))))</f>
      </c>
      <c r="AN25" s="33">
        <f>IF(AD25&lt;=0,0,MAX(0,MIN(AD25,ROUND($AZ25-SUMPRODUCT($V25:$AE25*($V25:$AE25&gt;0)*(($V25:$AE25&lt;AD25)+($V25:$AE25=AD25)*($V$3:$AE$3&gt;AD$3)+($V25:$AE25=AD25)*($V$3:$AE$3=AD$3)*($V$2:$AE$2&lt;AD$2))),2))))</f>
      </c>
      <c r="AO25" s="33">
        <f>IF(AE25&lt;=0,0,MAX(0,MIN(AE25,ROUND($AZ25-SUMPRODUCT($V25:$AE25*($V25:$AE25&gt;0)*(($V25:$AE25&lt;AE25)+($V25:$AE25=AE25)*($V$3:$AE$3&gt;AE$3)+($V25:$AE25=AE25)*($V$3:$AE$3=AE$3)*($V$2:$AE$2&lt;AE$2))),2))))</f>
      </c>
      <c r="AP25" s="33">
        <f>ROUND(V25-AF25,2)</f>
      </c>
      <c r="AQ25" s="33">
        <f>ROUND(W25-AG25,2)</f>
      </c>
      <c r="AR25" s="33">
        <f>ROUND(X25-AH25,2)</f>
      </c>
      <c r="AS25" s="33">
        <f>ROUND(Y25-AI25,2)</f>
      </c>
      <c r="AT25" s="33">
        <f>ROUND(Z25-AJ25,2)</f>
      </c>
      <c r="AU25" s="33">
        <f>ROUND(AA25-AK25,2)</f>
      </c>
      <c r="AV25" s="33">
        <f>ROUND(AB25-AL25,2)</f>
      </c>
      <c r="AW25" s="33">
        <f>ROUND(AC25-AM25,2)</f>
      </c>
      <c r="AX25" s="33">
        <f>ROUND(AD25-AN25,2)</f>
      </c>
      <c r="AY25" s="33">
        <f>ROUND(AE25-AO25,2)</f>
      </c>
      <c r="AZ25" s="33">
        <f>ROUND(MAX(0,'Your debts'!$D$22-SUM($L25:$U25)),2)</f>
      </c>
      <c r="BA25" s="33">
        <f>ROUND(SUM($B25:$K25)-SUM($AP24:$AY24),2)</f>
      </c>
      <c r="BB25" s="33">
        <f>SUM($AP25:$AY25)</f>
      </c>
      <c r="BC25" s="33">
        <f>ROUND(SUM($L25:$U25)+SUM($AF25:$AO25),2)</f>
      </c>
    </row>
    <row r="26" spans="1:55" x14ac:dyDescent="0.25">
      <c r="A26">
        <v>19</v>
      </c>
      <c r="B26" s="33">
        <f>IF(AP25&lt;=0,0,ROUND(AP25+ROUND(AP25*V$3/12,2),2))</f>
      </c>
      <c r="C26" s="33">
        <f>IF(AQ25&lt;=0,0,ROUND(AQ25+ROUND(AQ25*W$3/12,2),2))</f>
      </c>
      <c r="D26" s="33">
        <f>IF(AR25&lt;=0,0,ROUND(AR25+ROUND(AR25*X$3/12,2),2))</f>
      </c>
      <c r="E26" s="33">
        <f>IF(AS25&lt;=0,0,ROUND(AS25+ROUND(AS25*Y$3/12,2),2))</f>
      </c>
      <c r="F26" s="33">
        <f>IF(AT25&lt;=0,0,ROUND(AT25+ROUND(AT25*Z$3/12,2),2))</f>
      </c>
      <c r="G26" s="33">
        <f>IF(AU25&lt;=0,0,ROUND(AU25+ROUND(AU25*AA$3/12,2),2))</f>
      </c>
      <c r="H26" s="33">
        <f>IF(AV25&lt;=0,0,ROUND(AV25+ROUND(AV25*AB$3/12,2),2))</f>
      </c>
      <c r="I26" s="33">
        <f>IF(AW25&lt;=0,0,ROUND(AW25+ROUND(AW25*AC$3/12,2),2))</f>
      </c>
      <c r="J26" s="33">
        <f>IF(AX25&lt;=0,0,ROUND(AX25+ROUND(AX25*AD$3/12,2),2))</f>
      </c>
      <c r="K26" s="33">
        <f>IF(AY25&lt;=0,0,ROUND(AY25+ROUND(AY25*AE$3/12,2),2))</f>
      </c>
      <c r="L26" s="33">
        <f>ROUND(MIN(MAX(0,N('Your debts'!$E$6)),B26),2)</f>
      </c>
      <c r="M26" s="33">
        <f>ROUND(MIN(MAX(0,N('Your debts'!$E$7)),C26),2)</f>
      </c>
      <c r="N26" s="33">
        <f>ROUND(MIN(MAX(0,N('Your debts'!$E$8)),D26),2)</f>
      </c>
      <c r="O26" s="33">
        <f>ROUND(MIN(MAX(0,N('Your debts'!$E$9)),E26),2)</f>
      </c>
      <c r="P26" s="33">
        <f>ROUND(MIN(MAX(0,N('Your debts'!$E$10)),F26),2)</f>
      </c>
      <c r="Q26" s="33">
        <f>ROUND(MIN(MAX(0,N('Your debts'!$E$11)),G26),2)</f>
      </c>
      <c r="R26" s="33">
        <f>ROUND(MIN(MAX(0,N('Your debts'!$E$12)),H26),2)</f>
      </c>
      <c r="S26" s="33">
        <f>ROUND(MIN(MAX(0,N('Your debts'!$E$13)),I26),2)</f>
      </c>
      <c r="T26" s="33">
        <f>ROUND(MIN(MAX(0,N('Your debts'!$E$14)),J26),2)</f>
      </c>
      <c r="U26" s="33">
        <f>ROUND(MIN(MAX(0,N('Your debts'!$E$15)),K26),2)</f>
      </c>
      <c r="V26" s="33">
        <f>ROUND(B26-L26,2)</f>
      </c>
      <c r="W26" s="33">
        <f>ROUND(C26-M26,2)</f>
      </c>
      <c r="X26" s="33">
        <f>ROUND(D26-N26,2)</f>
      </c>
      <c r="Y26" s="33">
        <f>ROUND(E26-O26,2)</f>
      </c>
      <c r="Z26" s="33">
        <f>ROUND(F26-P26,2)</f>
      </c>
      <c r="AA26" s="33">
        <f>ROUND(G26-Q26,2)</f>
      </c>
      <c r="AB26" s="33">
        <f>ROUND(H26-R26,2)</f>
      </c>
      <c r="AC26" s="33">
        <f>ROUND(I26-S26,2)</f>
      </c>
      <c r="AD26" s="33">
        <f>ROUND(J26-T26,2)</f>
      </c>
      <c r="AE26" s="33">
        <f>ROUND(K26-U26,2)</f>
      </c>
      <c r="AF26" s="33">
        <f>IF(V26&lt;=0,0,MAX(0,MIN(V26,ROUND($AZ26-SUMPRODUCT($V26:$AE26*($V26:$AE26&gt;0)*(($V26:$AE26&lt;V26)+($V26:$AE26=V26)*($V$3:$AE$3&gt;V$3)+($V26:$AE26=V26)*($V$3:$AE$3=V$3)*($V$2:$AE$2&lt;V$2))),2))))</f>
      </c>
      <c r="AG26" s="33">
        <f>IF(W26&lt;=0,0,MAX(0,MIN(W26,ROUND($AZ26-SUMPRODUCT($V26:$AE26*($V26:$AE26&gt;0)*(($V26:$AE26&lt;W26)+($V26:$AE26=W26)*($V$3:$AE$3&gt;W$3)+($V26:$AE26=W26)*($V$3:$AE$3=W$3)*($V$2:$AE$2&lt;W$2))),2))))</f>
      </c>
      <c r="AH26" s="33">
        <f>IF(X26&lt;=0,0,MAX(0,MIN(X26,ROUND($AZ26-SUMPRODUCT($V26:$AE26*($V26:$AE26&gt;0)*(($V26:$AE26&lt;X26)+($V26:$AE26=X26)*($V$3:$AE$3&gt;X$3)+($V26:$AE26=X26)*($V$3:$AE$3=X$3)*($V$2:$AE$2&lt;X$2))),2))))</f>
      </c>
      <c r="AI26" s="33">
        <f>IF(Y26&lt;=0,0,MAX(0,MIN(Y26,ROUND($AZ26-SUMPRODUCT($V26:$AE26*($V26:$AE26&gt;0)*(($V26:$AE26&lt;Y26)+($V26:$AE26=Y26)*($V$3:$AE$3&gt;Y$3)+($V26:$AE26=Y26)*($V$3:$AE$3=Y$3)*($V$2:$AE$2&lt;Y$2))),2))))</f>
      </c>
      <c r="AJ26" s="33">
        <f>IF(Z26&lt;=0,0,MAX(0,MIN(Z26,ROUND($AZ26-SUMPRODUCT($V26:$AE26*($V26:$AE26&gt;0)*(($V26:$AE26&lt;Z26)+($V26:$AE26=Z26)*($V$3:$AE$3&gt;Z$3)+($V26:$AE26=Z26)*($V$3:$AE$3=Z$3)*($V$2:$AE$2&lt;Z$2))),2))))</f>
      </c>
      <c r="AK26" s="33">
        <f>IF(AA26&lt;=0,0,MAX(0,MIN(AA26,ROUND($AZ26-SUMPRODUCT($V26:$AE26*($V26:$AE26&gt;0)*(($V26:$AE26&lt;AA26)+($V26:$AE26=AA26)*($V$3:$AE$3&gt;AA$3)+($V26:$AE26=AA26)*($V$3:$AE$3=AA$3)*($V$2:$AE$2&lt;AA$2))),2))))</f>
      </c>
      <c r="AL26" s="33">
        <f>IF(AB26&lt;=0,0,MAX(0,MIN(AB26,ROUND($AZ26-SUMPRODUCT($V26:$AE26*($V26:$AE26&gt;0)*(($V26:$AE26&lt;AB26)+($V26:$AE26=AB26)*($V$3:$AE$3&gt;AB$3)+($V26:$AE26=AB26)*($V$3:$AE$3=AB$3)*($V$2:$AE$2&lt;AB$2))),2))))</f>
      </c>
      <c r="AM26" s="33">
        <f>IF(AC26&lt;=0,0,MAX(0,MIN(AC26,ROUND($AZ26-SUMPRODUCT($V26:$AE26*($V26:$AE26&gt;0)*(($V26:$AE26&lt;AC26)+($V26:$AE26=AC26)*($V$3:$AE$3&gt;AC$3)+($V26:$AE26=AC26)*($V$3:$AE$3=AC$3)*($V$2:$AE$2&lt;AC$2))),2))))</f>
      </c>
      <c r="AN26" s="33">
        <f>IF(AD26&lt;=0,0,MAX(0,MIN(AD26,ROUND($AZ26-SUMPRODUCT($V26:$AE26*($V26:$AE26&gt;0)*(($V26:$AE26&lt;AD26)+($V26:$AE26=AD26)*($V$3:$AE$3&gt;AD$3)+($V26:$AE26=AD26)*($V$3:$AE$3=AD$3)*($V$2:$AE$2&lt;AD$2))),2))))</f>
      </c>
      <c r="AO26" s="33">
        <f>IF(AE26&lt;=0,0,MAX(0,MIN(AE26,ROUND($AZ26-SUMPRODUCT($V26:$AE26*($V26:$AE26&gt;0)*(($V26:$AE26&lt;AE26)+($V26:$AE26=AE26)*($V$3:$AE$3&gt;AE$3)+($V26:$AE26=AE26)*($V$3:$AE$3=AE$3)*($V$2:$AE$2&lt;AE$2))),2))))</f>
      </c>
      <c r="AP26" s="33">
        <f>ROUND(V26-AF26,2)</f>
      </c>
      <c r="AQ26" s="33">
        <f>ROUND(W26-AG26,2)</f>
      </c>
      <c r="AR26" s="33">
        <f>ROUND(X26-AH26,2)</f>
      </c>
      <c r="AS26" s="33">
        <f>ROUND(Y26-AI26,2)</f>
      </c>
      <c r="AT26" s="33">
        <f>ROUND(Z26-AJ26,2)</f>
      </c>
      <c r="AU26" s="33">
        <f>ROUND(AA26-AK26,2)</f>
      </c>
      <c r="AV26" s="33">
        <f>ROUND(AB26-AL26,2)</f>
      </c>
      <c r="AW26" s="33">
        <f>ROUND(AC26-AM26,2)</f>
      </c>
      <c r="AX26" s="33">
        <f>ROUND(AD26-AN26,2)</f>
      </c>
      <c r="AY26" s="33">
        <f>ROUND(AE26-AO26,2)</f>
      </c>
      <c r="AZ26" s="33">
        <f>ROUND(MAX(0,'Your debts'!$D$22-SUM($L26:$U26)),2)</f>
      </c>
      <c r="BA26" s="33">
        <f>ROUND(SUM($B26:$K26)-SUM($AP25:$AY25),2)</f>
      </c>
      <c r="BB26" s="33">
        <f>SUM($AP26:$AY26)</f>
      </c>
      <c r="BC26" s="33">
        <f>ROUND(SUM($L26:$U26)+SUM($AF26:$AO26),2)</f>
      </c>
    </row>
    <row r="27" spans="1:55" x14ac:dyDescent="0.25">
      <c r="A27">
        <v>20</v>
      </c>
      <c r="B27" s="33">
        <f>IF(AP26&lt;=0,0,ROUND(AP26+ROUND(AP26*V$3/12,2),2))</f>
      </c>
      <c r="C27" s="33">
        <f>IF(AQ26&lt;=0,0,ROUND(AQ26+ROUND(AQ26*W$3/12,2),2))</f>
      </c>
      <c r="D27" s="33">
        <f>IF(AR26&lt;=0,0,ROUND(AR26+ROUND(AR26*X$3/12,2),2))</f>
      </c>
      <c r="E27" s="33">
        <f>IF(AS26&lt;=0,0,ROUND(AS26+ROUND(AS26*Y$3/12,2),2))</f>
      </c>
      <c r="F27" s="33">
        <f>IF(AT26&lt;=0,0,ROUND(AT26+ROUND(AT26*Z$3/12,2),2))</f>
      </c>
      <c r="G27" s="33">
        <f>IF(AU26&lt;=0,0,ROUND(AU26+ROUND(AU26*AA$3/12,2),2))</f>
      </c>
      <c r="H27" s="33">
        <f>IF(AV26&lt;=0,0,ROUND(AV26+ROUND(AV26*AB$3/12,2),2))</f>
      </c>
      <c r="I27" s="33">
        <f>IF(AW26&lt;=0,0,ROUND(AW26+ROUND(AW26*AC$3/12,2),2))</f>
      </c>
      <c r="J27" s="33">
        <f>IF(AX26&lt;=0,0,ROUND(AX26+ROUND(AX26*AD$3/12,2),2))</f>
      </c>
      <c r="K27" s="33">
        <f>IF(AY26&lt;=0,0,ROUND(AY26+ROUND(AY26*AE$3/12,2),2))</f>
      </c>
      <c r="L27" s="33">
        <f>ROUND(MIN(MAX(0,N('Your debts'!$E$6)),B27),2)</f>
      </c>
      <c r="M27" s="33">
        <f>ROUND(MIN(MAX(0,N('Your debts'!$E$7)),C27),2)</f>
      </c>
      <c r="N27" s="33">
        <f>ROUND(MIN(MAX(0,N('Your debts'!$E$8)),D27),2)</f>
      </c>
      <c r="O27" s="33">
        <f>ROUND(MIN(MAX(0,N('Your debts'!$E$9)),E27),2)</f>
      </c>
      <c r="P27" s="33">
        <f>ROUND(MIN(MAX(0,N('Your debts'!$E$10)),F27),2)</f>
      </c>
      <c r="Q27" s="33">
        <f>ROUND(MIN(MAX(0,N('Your debts'!$E$11)),G27),2)</f>
      </c>
      <c r="R27" s="33">
        <f>ROUND(MIN(MAX(0,N('Your debts'!$E$12)),H27),2)</f>
      </c>
      <c r="S27" s="33">
        <f>ROUND(MIN(MAX(0,N('Your debts'!$E$13)),I27),2)</f>
      </c>
      <c r="T27" s="33">
        <f>ROUND(MIN(MAX(0,N('Your debts'!$E$14)),J27),2)</f>
      </c>
      <c r="U27" s="33">
        <f>ROUND(MIN(MAX(0,N('Your debts'!$E$15)),K27),2)</f>
      </c>
      <c r="V27" s="33">
        <f>ROUND(B27-L27,2)</f>
      </c>
      <c r="W27" s="33">
        <f>ROUND(C27-M27,2)</f>
      </c>
      <c r="X27" s="33">
        <f>ROUND(D27-N27,2)</f>
      </c>
      <c r="Y27" s="33">
        <f>ROUND(E27-O27,2)</f>
      </c>
      <c r="Z27" s="33">
        <f>ROUND(F27-P27,2)</f>
      </c>
      <c r="AA27" s="33">
        <f>ROUND(G27-Q27,2)</f>
      </c>
      <c r="AB27" s="33">
        <f>ROUND(H27-R27,2)</f>
      </c>
      <c r="AC27" s="33">
        <f>ROUND(I27-S27,2)</f>
      </c>
      <c r="AD27" s="33">
        <f>ROUND(J27-T27,2)</f>
      </c>
      <c r="AE27" s="33">
        <f>ROUND(K27-U27,2)</f>
      </c>
      <c r="AF27" s="33">
        <f>IF(V27&lt;=0,0,MAX(0,MIN(V27,ROUND($AZ27-SUMPRODUCT($V27:$AE27*($V27:$AE27&gt;0)*(($V27:$AE27&lt;V27)+($V27:$AE27=V27)*($V$3:$AE$3&gt;V$3)+($V27:$AE27=V27)*($V$3:$AE$3=V$3)*($V$2:$AE$2&lt;V$2))),2))))</f>
      </c>
      <c r="AG27" s="33">
        <f>IF(W27&lt;=0,0,MAX(0,MIN(W27,ROUND($AZ27-SUMPRODUCT($V27:$AE27*($V27:$AE27&gt;0)*(($V27:$AE27&lt;W27)+($V27:$AE27=W27)*($V$3:$AE$3&gt;W$3)+($V27:$AE27=W27)*($V$3:$AE$3=W$3)*($V$2:$AE$2&lt;W$2))),2))))</f>
      </c>
      <c r="AH27" s="33">
        <f>IF(X27&lt;=0,0,MAX(0,MIN(X27,ROUND($AZ27-SUMPRODUCT($V27:$AE27*($V27:$AE27&gt;0)*(($V27:$AE27&lt;X27)+($V27:$AE27=X27)*($V$3:$AE$3&gt;X$3)+($V27:$AE27=X27)*($V$3:$AE$3=X$3)*($V$2:$AE$2&lt;X$2))),2))))</f>
      </c>
      <c r="AI27" s="33">
        <f>IF(Y27&lt;=0,0,MAX(0,MIN(Y27,ROUND($AZ27-SUMPRODUCT($V27:$AE27*($V27:$AE27&gt;0)*(($V27:$AE27&lt;Y27)+($V27:$AE27=Y27)*($V$3:$AE$3&gt;Y$3)+($V27:$AE27=Y27)*($V$3:$AE$3=Y$3)*($V$2:$AE$2&lt;Y$2))),2))))</f>
      </c>
      <c r="AJ27" s="33">
        <f>IF(Z27&lt;=0,0,MAX(0,MIN(Z27,ROUND($AZ27-SUMPRODUCT($V27:$AE27*($V27:$AE27&gt;0)*(($V27:$AE27&lt;Z27)+($V27:$AE27=Z27)*($V$3:$AE$3&gt;Z$3)+($V27:$AE27=Z27)*($V$3:$AE$3=Z$3)*($V$2:$AE$2&lt;Z$2))),2))))</f>
      </c>
      <c r="AK27" s="33">
        <f>IF(AA27&lt;=0,0,MAX(0,MIN(AA27,ROUND($AZ27-SUMPRODUCT($V27:$AE27*($V27:$AE27&gt;0)*(($V27:$AE27&lt;AA27)+($V27:$AE27=AA27)*($V$3:$AE$3&gt;AA$3)+($V27:$AE27=AA27)*($V$3:$AE$3=AA$3)*($V$2:$AE$2&lt;AA$2))),2))))</f>
      </c>
      <c r="AL27" s="33">
        <f>IF(AB27&lt;=0,0,MAX(0,MIN(AB27,ROUND($AZ27-SUMPRODUCT($V27:$AE27*($V27:$AE27&gt;0)*(($V27:$AE27&lt;AB27)+($V27:$AE27=AB27)*($V$3:$AE$3&gt;AB$3)+($V27:$AE27=AB27)*($V$3:$AE$3=AB$3)*($V$2:$AE$2&lt;AB$2))),2))))</f>
      </c>
      <c r="AM27" s="33">
        <f>IF(AC27&lt;=0,0,MAX(0,MIN(AC27,ROUND($AZ27-SUMPRODUCT($V27:$AE27*($V27:$AE27&gt;0)*(($V27:$AE27&lt;AC27)+($V27:$AE27=AC27)*($V$3:$AE$3&gt;AC$3)+($V27:$AE27=AC27)*($V$3:$AE$3=AC$3)*($V$2:$AE$2&lt;AC$2))),2))))</f>
      </c>
      <c r="AN27" s="33">
        <f>IF(AD27&lt;=0,0,MAX(0,MIN(AD27,ROUND($AZ27-SUMPRODUCT($V27:$AE27*($V27:$AE27&gt;0)*(($V27:$AE27&lt;AD27)+($V27:$AE27=AD27)*($V$3:$AE$3&gt;AD$3)+($V27:$AE27=AD27)*($V$3:$AE$3=AD$3)*($V$2:$AE$2&lt;AD$2))),2))))</f>
      </c>
      <c r="AO27" s="33">
        <f>IF(AE27&lt;=0,0,MAX(0,MIN(AE27,ROUND($AZ27-SUMPRODUCT($V27:$AE27*($V27:$AE27&gt;0)*(($V27:$AE27&lt;AE27)+($V27:$AE27=AE27)*($V$3:$AE$3&gt;AE$3)+($V27:$AE27=AE27)*($V$3:$AE$3=AE$3)*($V$2:$AE$2&lt;AE$2))),2))))</f>
      </c>
      <c r="AP27" s="33">
        <f>ROUND(V27-AF27,2)</f>
      </c>
      <c r="AQ27" s="33">
        <f>ROUND(W27-AG27,2)</f>
      </c>
      <c r="AR27" s="33">
        <f>ROUND(X27-AH27,2)</f>
      </c>
      <c r="AS27" s="33">
        <f>ROUND(Y27-AI27,2)</f>
      </c>
      <c r="AT27" s="33">
        <f>ROUND(Z27-AJ27,2)</f>
      </c>
      <c r="AU27" s="33">
        <f>ROUND(AA27-AK27,2)</f>
      </c>
      <c r="AV27" s="33">
        <f>ROUND(AB27-AL27,2)</f>
      </c>
      <c r="AW27" s="33">
        <f>ROUND(AC27-AM27,2)</f>
      </c>
      <c r="AX27" s="33">
        <f>ROUND(AD27-AN27,2)</f>
      </c>
      <c r="AY27" s="33">
        <f>ROUND(AE27-AO27,2)</f>
      </c>
      <c r="AZ27" s="33">
        <f>ROUND(MAX(0,'Your debts'!$D$22-SUM($L27:$U27)),2)</f>
      </c>
      <c r="BA27" s="33">
        <f>ROUND(SUM($B27:$K27)-SUM($AP26:$AY26),2)</f>
      </c>
      <c r="BB27" s="33">
        <f>SUM($AP27:$AY27)</f>
      </c>
      <c r="BC27" s="33">
        <f>ROUND(SUM($L27:$U27)+SUM($AF27:$AO27),2)</f>
      </c>
    </row>
    <row r="28" spans="1:55" x14ac:dyDescent="0.25">
      <c r="A28">
        <v>21</v>
      </c>
      <c r="B28" s="33">
        <f>IF(AP27&lt;=0,0,ROUND(AP27+ROUND(AP27*V$3/12,2),2))</f>
      </c>
      <c r="C28" s="33">
        <f>IF(AQ27&lt;=0,0,ROUND(AQ27+ROUND(AQ27*W$3/12,2),2))</f>
      </c>
      <c r="D28" s="33">
        <f>IF(AR27&lt;=0,0,ROUND(AR27+ROUND(AR27*X$3/12,2),2))</f>
      </c>
      <c r="E28" s="33">
        <f>IF(AS27&lt;=0,0,ROUND(AS27+ROUND(AS27*Y$3/12,2),2))</f>
      </c>
      <c r="F28" s="33">
        <f>IF(AT27&lt;=0,0,ROUND(AT27+ROUND(AT27*Z$3/12,2),2))</f>
      </c>
      <c r="G28" s="33">
        <f>IF(AU27&lt;=0,0,ROUND(AU27+ROUND(AU27*AA$3/12,2),2))</f>
      </c>
      <c r="H28" s="33">
        <f>IF(AV27&lt;=0,0,ROUND(AV27+ROUND(AV27*AB$3/12,2),2))</f>
      </c>
      <c r="I28" s="33">
        <f>IF(AW27&lt;=0,0,ROUND(AW27+ROUND(AW27*AC$3/12,2),2))</f>
      </c>
      <c r="J28" s="33">
        <f>IF(AX27&lt;=0,0,ROUND(AX27+ROUND(AX27*AD$3/12,2),2))</f>
      </c>
      <c r="K28" s="33">
        <f>IF(AY27&lt;=0,0,ROUND(AY27+ROUND(AY27*AE$3/12,2),2))</f>
      </c>
      <c r="L28" s="33">
        <f>ROUND(MIN(MAX(0,N('Your debts'!$E$6)),B28),2)</f>
      </c>
      <c r="M28" s="33">
        <f>ROUND(MIN(MAX(0,N('Your debts'!$E$7)),C28),2)</f>
      </c>
      <c r="N28" s="33">
        <f>ROUND(MIN(MAX(0,N('Your debts'!$E$8)),D28),2)</f>
      </c>
      <c r="O28" s="33">
        <f>ROUND(MIN(MAX(0,N('Your debts'!$E$9)),E28),2)</f>
      </c>
      <c r="P28" s="33">
        <f>ROUND(MIN(MAX(0,N('Your debts'!$E$10)),F28),2)</f>
      </c>
      <c r="Q28" s="33">
        <f>ROUND(MIN(MAX(0,N('Your debts'!$E$11)),G28),2)</f>
      </c>
      <c r="R28" s="33">
        <f>ROUND(MIN(MAX(0,N('Your debts'!$E$12)),H28),2)</f>
      </c>
      <c r="S28" s="33">
        <f>ROUND(MIN(MAX(0,N('Your debts'!$E$13)),I28),2)</f>
      </c>
      <c r="T28" s="33">
        <f>ROUND(MIN(MAX(0,N('Your debts'!$E$14)),J28),2)</f>
      </c>
      <c r="U28" s="33">
        <f>ROUND(MIN(MAX(0,N('Your debts'!$E$15)),K28),2)</f>
      </c>
      <c r="V28" s="33">
        <f>ROUND(B28-L28,2)</f>
      </c>
      <c r="W28" s="33">
        <f>ROUND(C28-M28,2)</f>
      </c>
      <c r="X28" s="33">
        <f>ROUND(D28-N28,2)</f>
      </c>
      <c r="Y28" s="33">
        <f>ROUND(E28-O28,2)</f>
      </c>
      <c r="Z28" s="33">
        <f>ROUND(F28-P28,2)</f>
      </c>
      <c r="AA28" s="33">
        <f>ROUND(G28-Q28,2)</f>
      </c>
      <c r="AB28" s="33">
        <f>ROUND(H28-R28,2)</f>
      </c>
      <c r="AC28" s="33">
        <f>ROUND(I28-S28,2)</f>
      </c>
      <c r="AD28" s="33">
        <f>ROUND(J28-T28,2)</f>
      </c>
      <c r="AE28" s="33">
        <f>ROUND(K28-U28,2)</f>
      </c>
      <c r="AF28" s="33">
        <f>IF(V28&lt;=0,0,MAX(0,MIN(V28,ROUND($AZ28-SUMPRODUCT($V28:$AE28*($V28:$AE28&gt;0)*(($V28:$AE28&lt;V28)+($V28:$AE28=V28)*($V$3:$AE$3&gt;V$3)+($V28:$AE28=V28)*($V$3:$AE$3=V$3)*($V$2:$AE$2&lt;V$2))),2))))</f>
      </c>
      <c r="AG28" s="33">
        <f>IF(W28&lt;=0,0,MAX(0,MIN(W28,ROUND($AZ28-SUMPRODUCT($V28:$AE28*($V28:$AE28&gt;0)*(($V28:$AE28&lt;W28)+($V28:$AE28=W28)*($V$3:$AE$3&gt;W$3)+($V28:$AE28=W28)*($V$3:$AE$3=W$3)*($V$2:$AE$2&lt;W$2))),2))))</f>
      </c>
      <c r="AH28" s="33">
        <f>IF(X28&lt;=0,0,MAX(0,MIN(X28,ROUND($AZ28-SUMPRODUCT($V28:$AE28*($V28:$AE28&gt;0)*(($V28:$AE28&lt;X28)+($V28:$AE28=X28)*($V$3:$AE$3&gt;X$3)+($V28:$AE28=X28)*($V$3:$AE$3=X$3)*($V$2:$AE$2&lt;X$2))),2))))</f>
      </c>
      <c r="AI28" s="33">
        <f>IF(Y28&lt;=0,0,MAX(0,MIN(Y28,ROUND($AZ28-SUMPRODUCT($V28:$AE28*($V28:$AE28&gt;0)*(($V28:$AE28&lt;Y28)+($V28:$AE28=Y28)*($V$3:$AE$3&gt;Y$3)+($V28:$AE28=Y28)*($V$3:$AE$3=Y$3)*($V$2:$AE$2&lt;Y$2))),2))))</f>
      </c>
      <c r="AJ28" s="33">
        <f>IF(Z28&lt;=0,0,MAX(0,MIN(Z28,ROUND($AZ28-SUMPRODUCT($V28:$AE28*($V28:$AE28&gt;0)*(($V28:$AE28&lt;Z28)+($V28:$AE28=Z28)*($V$3:$AE$3&gt;Z$3)+($V28:$AE28=Z28)*($V$3:$AE$3=Z$3)*($V$2:$AE$2&lt;Z$2))),2))))</f>
      </c>
      <c r="AK28" s="33">
        <f>IF(AA28&lt;=0,0,MAX(0,MIN(AA28,ROUND($AZ28-SUMPRODUCT($V28:$AE28*($V28:$AE28&gt;0)*(($V28:$AE28&lt;AA28)+($V28:$AE28=AA28)*($V$3:$AE$3&gt;AA$3)+($V28:$AE28=AA28)*($V$3:$AE$3=AA$3)*($V$2:$AE$2&lt;AA$2))),2))))</f>
      </c>
      <c r="AL28" s="33">
        <f>IF(AB28&lt;=0,0,MAX(0,MIN(AB28,ROUND($AZ28-SUMPRODUCT($V28:$AE28*($V28:$AE28&gt;0)*(($V28:$AE28&lt;AB28)+($V28:$AE28=AB28)*($V$3:$AE$3&gt;AB$3)+($V28:$AE28=AB28)*($V$3:$AE$3=AB$3)*($V$2:$AE$2&lt;AB$2))),2))))</f>
      </c>
      <c r="AM28" s="33">
        <f>IF(AC28&lt;=0,0,MAX(0,MIN(AC28,ROUND($AZ28-SUMPRODUCT($V28:$AE28*($V28:$AE28&gt;0)*(($V28:$AE28&lt;AC28)+($V28:$AE28=AC28)*($V$3:$AE$3&gt;AC$3)+($V28:$AE28=AC28)*($V$3:$AE$3=AC$3)*($V$2:$AE$2&lt;AC$2))),2))))</f>
      </c>
      <c r="AN28" s="33">
        <f>IF(AD28&lt;=0,0,MAX(0,MIN(AD28,ROUND($AZ28-SUMPRODUCT($V28:$AE28*($V28:$AE28&gt;0)*(($V28:$AE28&lt;AD28)+($V28:$AE28=AD28)*($V$3:$AE$3&gt;AD$3)+($V28:$AE28=AD28)*($V$3:$AE$3=AD$3)*($V$2:$AE$2&lt;AD$2))),2))))</f>
      </c>
      <c r="AO28" s="33">
        <f>IF(AE28&lt;=0,0,MAX(0,MIN(AE28,ROUND($AZ28-SUMPRODUCT($V28:$AE28*($V28:$AE28&gt;0)*(($V28:$AE28&lt;AE28)+($V28:$AE28=AE28)*($V$3:$AE$3&gt;AE$3)+($V28:$AE28=AE28)*($V$3:$AE$3=AE$3)*($V$2:$AE$2&lt;AE$2))),2))))</f>
      </c>
      <c r="AP28" s="33">
        <f>ROUND(V28-AF28,2)</f>
      </c>
      <c r="AQ28" s="33">
        <f>ROUND(W28-AG28,2)</f>
      </c>
      <c r="AR28" s="33">
        <f>ROUND(X28-AH28,2)</f>
      </c>
      <c r="AS28" s="33">
        <f>ROUND(Y28-AI28,2)</f>
      </c>
      <c r="AT28" s="33">
        <f>ROUND(Z28-AJ28,2)</f>
      </c>
      <c r="AU28" s="33">
        <f>ROUND(AA28-AK28,2)</f>
      </c>
      <c r="AV28" s="33">
        <f>ROUND(AB28-AL28,2)</f>
      </c>
      <c r="AW28" s="33">
        <f>ROUND(AC28-AM28,2)</f>
      </c>
      <c r="AX28" s="33">
        <f>ROUND(AD28-AN28,2)</f>
      </c>
      <c r="AY28" s="33">
        <f>ROUND(AE28-AO28,2)</f>
      </c>
      <c r="AZ28" s="33">
        <f>ROUND(MAX(0,'Your debts'!$D$22-SUM($L28:$U28)),2)</f>
      </c>
      <c r="BA28" s="33">
        <f>ROUND(SUM($B28:$K28)-SUM($AP27:$AY27),2)</f>
      </c>
      <c r="BB28" s="33">
        <f>SUM($AP28:$AY28)</f>
      </c>
      <c r="BC28" s="33">
        <f>ROUND(SUM($L28:$U28)+SUM($AF28:$AO28),2)</f>
      </c>
    </row>
    <row r="29" spans="1:55" x14ac:dyDescent="0.25">
      <c r="A29">
        <v>22</v>
      </c>
      <c r="B29" s="33">
        <f>IF(AP28&lt;=0,0,ROUND(AP28+ROUND(AP28*V$3/12,2),2))</f>
      </c>
      <c r="C29" s="33">
        <f>IF(AQ28&lt;=0,0,ROUND(AQ28+ROUND(AQ28*W$3/12,2),2))</f>
      </c>
      <c r="D29" s="33">
        <f>IF(AR28&lt;=0,0,ROUND(AR28+ROUND(AR28*X$3/12,2),2))</f>
      </c>
      <c r="E29" s="33">
        <f>IF(AS28&lt;=0,0,ROUND(AS28+ROUND(AS28*Y$3/12,2),2))</f>
      </c>
      <c r="F29" s="33">
        <f>IF(AT28&lt;=0,0,ROUND(AT28+ROUND(AT28*Z$3/12,2),2))</f>
      </c>
      <c r="G29" s="33">
        <f>IF(AU28&lt;=0,0,ROUND(AU28+ROUND(AU28*AA$3/12,2),2))</f>
      </c>
      <c r="H29" s="33">
        <f>IF(AV28&lt;=0,0,ROUND(AV28+ROUND(AV28*AB$3/12,2),2))</f>
      </c>
      <c r="I29" s="33">
        <f>IF(AW28&lt;=0,0,ROUND(AW28+ROUND(AW28*AC$3/12,2),2))</f>
      </c>
      <c r="J29" s="33">
        <f>IF(AX28&lt;=0,0,ROUND(AX28+ROUND(AX28*AD$3/12,2),2))</f>
      </c>
      <c r="K29" s="33">
        <f>IF(AY28&lt;=0,0,ROUND(AY28+ROUND(AY28*AE$3/12,2),2))</f>
      </c>
      <c r="L29" s="33">
        <f>ROUND(MIN(MAX(0,N('Your debts'!$E$6)),B29),2)</f>
      </c>
      <c r="M29" s="33">
        <f>ROUND(MIN(MAX(0,N('Your debts'!$E$7)),C29),2)</f>
      </c>
      <c r="N29" s="33">
        <f>ROUND(MIN(MAX(0,N('Your debts'!$E$8)),D29),2)</f>
      </c>
      <c r="O29" s="33">
        <f>ROUND(MIN(MAX(0,N('Your debts'!$E$9)),E29),2)</f>
      </c>
      <c r="P29" s="33">
        <f>ROUND(MIN(MAX(0,N('Your debts'!$E$10)),F29),2)</f>
      </c>
      <c r="Q29" s="33">
        <f>ROUND(MIN(MAX(0,N('Your debts'!$E$11)),G29),2)</f>
      </c>
      <c r="R29" s="33">
        <f>ROUND(MIN(MAX(0,N('Your debts'!$E$12)),H29),2)</f>
      </c>
      <c r="S29" s="33">
        <f>ROUND(MIN(MAX(0,N('Your debts'!$E$13)),I29),2)</f>
      </c>
      <c r="T29" s="33">
        <f>ROUND(MIN(MAX(0,N('Your debts'!$E$14)),J29),2)</f>
      </c>
      <c r="U29" s="33">
        <f>ROUND(MIN(MAX(0,N('Your debts'!$E$15)),K29),2)</f>
      </c>
      <c r="V29" s="33">
        <f>ROUND(B29-L29,2)</f>
      </c>
      <c r="W29" s="33">
        <f>ROUND(C29-M29,2)</f>
      </c>
      <c r="X29" s="33">
        <f>ROUND(D29-N29,2)</f>
      </c>
      <c r="Y29" s="33">
        <f>ROUND(E29-O29,2)</f>
      </c>
      <c r="Z29" s="33">
        <f>ROUND(F29-P29,2)</f>
      </c>
      <c r="AA29" s="33">
        <f>ROUND(G29-Q29,2)</f>
      </c>
      <c r="AB29" s="33">
        <f>ROUND(H29-R29,2)</f>
      </c>
      <c r="AC29" s="33">
        <f>ROUND(I29-S29,2)</f>
      </c>
      <c r="AD29" s="33">
        <f>ROUND(J29-T29,2)</f>
      </c>
      <c r="AE29" s="33">
        <f>ROUND(K29-U29,2)</f>
      </c>
      <c r="AF29" s="33">
        <f>IF(V29&lt;=0,0,MAX(0,MIN(V29,ROUND($AZ29-SUMPRODUCT($V29:$AE29*($V29:$AE29&gt;0)*(($V29:$AE29&lt;V29)+($V29:$AE29=V29)*($V$3:$AE$3&gt;V$3)+($V29:$AE29=V29)*($V$3:$AE$3=V$3)*($V$2:$AE$2&lt;V$2))),2))))</f>
      </c>
      <c r="AG29" s="33">
        <f>IF(W29&lt;=0,0,MAX(0,MIN(W29,ROUND($AZ29-SUMPRODUCT($V29:$AE29*($V29:$AE29&gt;0)*(($V29:$AE29&lt;W29)+($V29:$AE29=W29)*($V$3:$AE$3&gt;W$3)+($V29:$AE29=W29)*($V$3:$AE$3=W$3)*($V$2:$AE$2&lt;W$2))),2))))</f>
      </c>
      <c r="AH29" s="33">
        <f>IF(X29&lt;=0,0,MAX(0,MIN(X29,ROUND($AZ29-SUMPRODUCT($V29:$AE29*($V29:$AE29&gt;0)*(($V29:$AE29&lt;X29)+($V29:$AE29=X29)*($V$3:$AE$3&gt;X$3)+($V29:$AE29=X29)*($V$3:$AE$3=X$3)*($V$2:$AE$2&lt;X$2))),2))))</f>
      </c>
      <c r="AI29" s="33">
        <f>IF(Y29&lt;=0,0,MAX(0,MIN(Y29,ROUND($AZ29-SUMPRODUCT($V29:$AE29*($V29:$AE29&gt;0)*(($V29:$AE29&lt;Y29)+($V29:$AE29=Y29)*($V$3:$AE$3&gt;Y$3)+($V29:$AE29=Y29)*($V$3:$AE$3=Y$3)*($V$2:$AE$2&lt;Y$2))),2))))</f>
      </c>
      <c r="AJ29" s="33">
        <f>IF(Z29&lt;=0,0,MAX(0,MIN(Z29,ROUND($AZ29-SUMPRODUCT($V29:$AE29*($V29:$AE29&gt;0)*(($V29:$AE29&lt;Z29)+($V29:$AE29=Z29)*($V$3:$AE$3&gt;Z$3)+($V29:$AE29=Z29)*($V$3:$AE$3=Z$3)*($V$2:$AE$2&lt;Z$2))),2))))</f>
      </c>
      <c r="AK29" s="33">
        <f>IF(AA29&lt;=0,0,MAX(0,MIN(AA29,ROUND($AZ29-SUMPRODUCT($V29:$AE29*($V29:$AE29&gt;0)*(($V29:$AE29&lt;AA29)+($V29:$AE29=AA29)*($V$3:$AE$3&gt;AA$3)+($V29:$AE29=AA29)*($V$3:$AE$3=AA$3)*($V$2:$AE$2&lt;AA$2))),2))))</f>
      </c>
      <c r="AL29" s="33">
        <f>IF(AB29&lt;=0,0,MAX(0,MIN(AB29,ROUND($AZ29-SUMPRODUCT($V29:$AE29*($V29:$AE29&gt;0)*(($V29:$AE29&lt;AB29)+($V29:$AE29=AB29)*($V$3:$AE$3&gt;AB$3)+($V29:$AE29=AB29)*($V$3:$AE$3=AB$3)*($V$2:$AE$2&lt;AB$2))),2))))</f>
      </c>
      <c r="AM29" s="33">
        <f>IF(AC29&lt;=0,0,MAX(0,MIN(AC29,ROUND($AZ29-SUMPRODUCT($V29:$AE29*($V29:$AE29&gt;0)*(($V29:$AE29&lt;AC29)+($V29:$AE29=AC29)*($V$3:$AE$3&gt;AC$3)+($V29:$AE29=AC29)*($V$3:$AE$3=AC$3)*($V$2:$AE$2&lt;AC$2))),2))))</f>
      </c>
      <c r="AN29" s="33">
        <f>IF(AD29&lt;=0,0,MAX(0,MIN(AD29,ROUND($AZ29-SUMPRODUCT($V29:$AE29*($V29:$AE29&gt;0)*(($V29:$AE29&lt;AD29)+($V29:$AE29=AD29)*($V$3:$AE$3&gt;AD$3)+($V29:$AE29=AD29)*($V$3:$AE$3=AD$3)*($V$2:$AE$2&lt;AD$2))),2))))</f>
      </c>
      <c r="AO29" s="33">
        <f>IF(AE29&lt;=0,0,MAX(0,MIN(AE29,ROUND($AZ29-SUMPRODUCT($V29:$AE29*($V29:$AE29&gt;0)*(($V29:$AE29&lt;AE29)+($V29:$AE29=AE29)*($V$3:$AE$3&gt;AE$3)+($V29:$AE29=AE29)*($V$3:$AE$3=AE$3)*($V$2:$AE$2&lt;AE$2))),2))))</f>
      </c>
      <c r="AP29" s="33">
        <f>ROUND(V29-AF29,2)</f>
      </c>
      <c r="AQ29" s="33">
        <f>ROUND(W29-AG29,2)</f>
      </c>
      <c r="AR29" s="33">
        <f>ROUND(X29-AH29,2)</f>
      </c>
      <c r="AS29" s="33">
        <f>ROUND(Y29-AI29,2)</f>
      </c>
      <c r="AT29" s="33">
        <f>ROUND(Z29-AJ29,2)</f>
      </c>
      <c r="AU29" s="33">
        <f>ROUND(AA29-AK29,2)</f>
      </c>
      <c r="AV29" s="33">
        <f>ROUND(AB29-AL29,2)</f>
      </c>
      <c r="AW29" s="33">
        <f>ROUND(AC29-AM29,2)</f>
      </c>
      <c r="AX29" s="33">
        <f>ROUND(AD29-AN29,2)</f>
      </c>
      <c r="AY29" s="33">
        <f>ROUND(AE29-AO29,2)</f>
      </c>
      <c r="AZ29" s="33">
        <f>ROUND(MAX(0,'Your debts'!$D$22-SUM($L29:$U29)),2)</f>
      </c>
      <c r="BA29" s="33">
        <f>ROUND(SUM($B29:$K29)-SUM($AP28:$AY28),2)</f>
      </c>
      <c r="BB29" s="33">
        <f>SUM($AP29:$AY29)</f>
      </c>
      <c r="BC29" s="33">
        <f>ROUND(SUM($L29:$U29)+SUM($AF29:$AO29),2)</f>
      </c>
    </row>
    <row r="30" spans="1:55" x14ac:dyDescent="0.25">
      <c r="A30">
        <v>23</v>
      </c>
      <c r="B30" s="33">
        <f>IF(AP29&lt;=0,0,ROUND(AP29+ROUND(AP29*V$3/12,2),2))</f>
      </c>
      <c r="C30" s="33">
        <f>IF(AQ29&lt;=0,0,ROUND(AQ29+ROUND(AQ29*W$3/12,2),2))</f>
      </c>
      <c r="D30" s="33">
        <f>IF(AR29&lt;=0,0,ROUND(AR29+ROUND(AR29*X$3/12,2),2))</f>
      </c>
      <c r="E30" s="33">
        <f>IF(AS29&lt;=0,0,ROUND(AS29+ROUND(AS29*Y$3/12,2),2))</f>
      </c>
      <c r="F30" s="33">
        <f>IF(AT29&lt;=0,0,ROUND(AT29+ROUND(AT29*Z$3/12,2),2))</f>
      </c>
      <c r="G30" s="33">
        <f>IF(AU29&lt;=0,0,ROUND(AU29+ROUND(AU29*AA$3/12,2),2))</f>
      </c>
      <c r="H30" s="33">
        <f>IF(AV29&lt;=0,0,ROUND(AV29+ROUND(AV29*AB$3/12,2),2))</f>
      </c>
      <c r="I30" s="33">
        <f>IF(AW29&lt;=0,0,ROUND(AW29+ROUND(AW29*AC$3/12,2),2))</f>
      </c>
      <c r="J30" s="33">
        <f>IF(AX29&lt;=0,0,ROUND(AX29+ROUND(AX29*AD$3/12,2),2))</f>
      </c>
      <c r="K30" s="33">
        <f>IF(AY29&lt;=0,0,ROUND(AY29+ROUND(AY29*AE$3/12,2),2))</f>
      </c>
      <c r="L30" s="33">
        <f>ROUND(MIN(MAX(0,N('Your debts'!$E$6)),B30),2)</f>
      </c>
      <c r="M30" s="33">
        <f>ROUND(MIN(MAX(0,N('Your debts'!$E$7)),C30),2)</f>
      </c>
      <c r="N30" s="33">
        <f>ROUND(MIN(MAX(0,N('Your debts'!$E$8)),D30),2)</f>
      </c>
      <c r="O30" s="33">
        <f>ROUND(MIN(MAX(0,N('Your debts'!$E$9)),E30),2)</f>
      </c>
      <c r="P30" s="33">
        <f>ROUND(MIN(MAX(0,N('Your debts'!$E$10)),F30),2)</f>
      </c>
      <c r="Q30" s="33">
        <f>ROUND(MIN(MAX(0,N('Your debts'!$E$11)),G30),2)</f>
      </c>
      <c r="R30" s="33">
        <f>ROUND(MIN(MAX(0,N('Your debts'!$E$12)),H30),2)</f>
      </c>
      <c r="S30" s="33">
        <f>ROUND(MIN(MAX(0,N('Your debts'!$E$13)),I30),2)</f>
      </c>
      <c r="T30" s="33">
        <f>ROUND(MIN(MAX(0,N('Your debts'!$E$14)),J30),2)</f>
      </c>
      <c r="U30" s="33">
        <f>ROUND(MIN(MAX(0,N('Your debts'!$E$15)),K30),2)</f>
      </c>
      <c r="V30" s="33">
        <f>ROUND(B30-L30,2)</f>
      </c>
      <c r="W30" s="33">
        <f>ROUND(C30-M30,2)</f>
      </c>
      <c r="X30" s="33">
        <f>ROUND(D30-N30,2)</f>
      </c>
      <c r="Y30" s="33">
        <f>ROUND(E30-O30,2)</f>
      </c>
      <c r="Z30" s="33">
        <f>ROUND(F30-P30,2)</f>
      </c>
      <c r="AA30" s="33">
        <f>ROUND(G30-Q30,2)</f>
      </c>
      <c r="AB30" s="33">
        <f>ROUND(H30-R30,2)</f>
      </c>
      <c r="AC30" s="33">
        <f>ROUND(I30-S30,2)</f>
      </c>
      <c r="AD30" s="33">
        <f>ROUND(J30-T30,2)</f>
      </c>
      <c r="AE30" s="33">
        <f>ROUND(K30-U30,2)</f>
      </c>
      <c r="AF30" s="33">
        <f>IF(V30&lt;=0,0,MAX(0,MIN(V30,ROUND($AZ30-SUMPRODUCT($V30:$AE30*($V30:$AE30&gt;0)*(($V30:$AE30&lt;V30)+($V30:$AE30=V30)*($V$3:$AE$3&gt;V$3)+($V30:$AE30=V30)*($V$3:$AE$3=V$3)*($V$2:$AE$2&lt;V$2))),2))))</f>
      </c>
      <c r="AG30" s="33">
        <f>IF(W30&lt;=0,0,MAX(0,MIN(W30,ROUND($AZ30-SUMPRODUCT($V30:$AE30*($V30:$AE30&gt;0)*(($V30:$AE30&lt;W30)+($V30:$AE30=W30)*($V$3:$AE$3&gt;W$3)+($V30:$AE30=W30)*($V$3:$AE$3=W$3)*($V$2:$AE$2&lt;W$2))),2))))</f>
      </c>
      <c r="AH30" s="33">
        <f>IF(X30&lt;=0,0,MAX(0,MIN(X30,ROUND($AZ30-SUMPRODUCT($V30:$AE30*($V30:$AE30&gt;0)*(($V30:$AE30&lt;X30)+($V30:$AE30=X30)*($V$3:$AE$3&gt;X$3)+($V30:$AE30=X30)*($V$3:$AE$3=X$3)*($V$2:$AE$2&lt;X$2))),2))))</f>
      </c>
      <c r="AI30" s="33">
        <f>IF(Y30&lt;=0,0,MAX(0,MIN(Y30,ROUND($AZ30-SUMPRODUCT($V30:$AE30*($V30:$AE30&gt;0)*(($V30:$AE30&lt;Y30)+($V30:$AE30=Y30)*($V$3:$AE$3&gt;Y$3)+($V30:$AE30=Y30)*($V$3:$AE$3=Y$3)*($V$2:$AE$2&lt;Y$2))),2))))</f>
      </c>
      <c r="AJ30" s="33">
        <f>IF(Z30&lt;=0,0,MAX(0,MIN(Z30,ROUND($AZ30-SUMPRODUCT($V30:$AE30*($V30:$AE30&gt;0)*(($V30:$AE30&lt;Z30)+($V30:$AE30=Z30)*($V$3:$AE$3&gt;Z$3)+($V30:$AE30=Z30)*($V$3:$AE$3=Z$3)*($V$2:$AE$2&lt;Z$2))),2))))</f>
      </c>
      <c r="AK30" s="33">
        <f>IF(AA30&lt;=0,0,MAX(0,MIN(AA30,ROUND($AZ30-SUMPRODUCT($V30:$AE30*($V30:$AE30&gt;0)*(($V30:$AE30&lt;AA30)+($V30:$AE30=AA30)*($V$3:$AE$3&gt;AA$3)+($V30:$AE30=AA30)*($V$3:$AE$3=AA$3)*($V$2:$AE$2&lt;AA$2))),2))))</f>
      </c>
      <c r="AL30" s="33">
        <f>IF(AB30&lt;=0,0,MAX(0,MIN(AB30,ROUND($AZ30-SUMPRODUCT($V30:$AE30*($V30:$AE30&gt;0)*(($V30:$AE30&lt;AB30)+($V30:$AE30=AB30)*($V$3:$AE$3&gt;AB$3)+($V30:$AE30=AB30)*($V$3:$AE$3=AB$3)*($V$2:$AE$2&lt;AB$2))),2))))</f>
      </c>
      <c r="AM30" s="33">
        <f>IF(AC30&lt;=0,0,MAX(0,MIN(AC30,ROUND($AZ30-SUMPRODUCT($V30:$AE30*($V30:$AE30&gt;0)*(($V30:$AE30&lt;AC30)+($V30:$AE30=AC30)*($V$3:$AE$3&gt;AC$3)+($V30:$AE30=AC30)*($V$3:$AE$3=AC$3)*($V$2:$AE$2&lt;AC$2))),2))))</f>
      </c>
      <c r="AN30" s="33">
        <f>IF(AD30&lt;=0,0,MAX(0,MIN(AD30,ROUND($AZ30-SUMPRODUCT($V30:$AE30*($V30:$AE30&gt;0)*(($V30:$AE30&lt;AD30)+($V30:$AE30=AD30)*($V$3:$AE$3&gt;AD$3)+($V30:$AE30=AD30)*($V$3:$AE$3=AD$3)*($V$2:$AE$2&lt;AD$2))),2))))</f>
      </c>
      <c r="AO30" s="33">
        <f>IF(AE30&lt;=0,0,MAX(0,MIN(AE30,ROUND($AZ30-SUMPRODUCT($V30:$AE30*($V30:$AE30&gt;0)*(($V30:$AE30&lt;AE30)+($V30:$AE30=AE30)*($V$3:$AE$3&gt;AE$3)+($V30:$AE30=AE30)*($V$3:$AE$3=AE$3)*($V$2:$AE$2&lt;AE$2))),2))))</f>
      </c>
      <c r="AP30" s="33">
        <f>ROUND(V30-AF30,2)</f>
      </c>
      <c r="AQ30" s="33">
        <f>ROUND(W30-AG30,2)</f>
      </c>
      <c r="AR30" s="33">
        <f>ROUND(X30-AH30,2)</f>
      </c>
      <c r="AS30" s="33">
        <f>ROUND(Y30-AI30,2)</f>
      </c>
      <c r="AT30" s="33">
        <f>ROUND(Z30-AJ30,2)</f>
      </c>
      <c r="AU30" s="33">
        <f>ROUND(AA30-AK30,2)</f>
      </c>
      <c r="AV30" s="33">
        <f>ROUND(AB30-AL30,2)</f>
      </c>
      <c r="AW30" s="33">
        <f>ROUND(AC30-AM30,2)</f>
      </c>
      <c r="AX30" s="33">
        <f>ROUND(AD30-AN30,2)</f>
      </c>
      <c r="AY30" s="33">
        <f>ROUND(AE30-AO30,2)</f>
      </c>
      <c r="AZ30" s="33">
        <f>ROUND(MAX(0,'Your debts'!$D$22-SUM($L30:$U30)),2)</f>
      </c>
      <c r="BA30" s="33">
        <f>ROUND(SUM($B30:$K30)-SUM($AP29:$AY29),2)</f>
      </c>
      <c r="BB30" s="33">
        <f>SUM($AP30:$AY30)</f>
      </c>
      <c r="BC30" s="33">
        <f>ROUND(SUM($L30:$U30)+SUM($AF30:$AO30),2)</f>
      </c>
    </row>
    <row r="31" spans="1:55" x14ac:dyDescent="0.25">
      <c r="A31">
        <v>24</v>
      </c>
      <c r="B31" s="33">
        <f>IF(AP30&lt;=0,0,ROUND(AP30+ROUND(AP30*V$3/12,2),2))</f>
      </c>
      <c r="C31" s="33">
        <f>IF(AQ30&lt;=0,0,ROUND(AQ30+ROUND(AQ30*W$3/12,2),2))</f>
      </c>
      <c r="D31" s="33">
        <f>IF(AR30&lt;=0,0,ROUND(AR30+ROUND(AR30*X$3/12,2),2))</f>
      </c>
      <c r="E31" s="33">
        <f>IF(AS30&lt;=0,0,ROUND(AS30+ROUND(AS30*Y$3/12,2),2))</f>
      </c>
      <c r="F31" s="33">
        <f>IF(AT30&lt;=0,0,ROUND(AT30+ROUND(AT30*Z$3/12,2),2))</f>
      </c>
      <c r="G31" s="33">
        <f>IF(AU30&lt;=0,0,ROUND(AU30+ROUND(AU30*AA$3/12,2),2))</f>
      </c>
      <c r="H31" s="33">
        <f>IF(AV30&lt;=0,0,ROUND(AV30+ROUND(AV30*AB$3/12,2),2))</f>
      </c>
      <c r="I31" s="33">
        <f>IF(AW30&lt;=0,0,ROUND(AW30+ROUND(AW30*AC$3/12,2),2))</f>
      </c>
      <c r="J31" s="33">
        <f>IF(AX30&lt;=0,0,ROUND(AX30+ROUND(AX30*AD$3/12,2),2))</f>
      </c>
      <c r="K31" s="33">
        <f>IF(AY30&lt;=0,0,ROUND(AY30+ROUND(AY30*AE$3/12,2),2))</f>
      </c>
      <c r="L31" s="33">
        <f>ROUND(MIN(MAX(0,N('Your debts'!$E$6)),B31),2)</f>
      </c>
      <c r="M31" s="33">
        <f>ROUND(MIN(MAX(0,N('Your debts'!$E$7)),C31),2)</f>
      </c>
      <c r="N31" s="33">
        <f>ROUND(MIN(MAX(0,N('Your debts'!$E$8)),D31),2)</f>
      </c>
      <c r="O31" s="33">
        <f>ROUND(MIN(MAX(0,N('Your debts'!$E$9)),E31),2)</f>
      </c>
      <c r="P31" s="33">
        <f>ROUND(MIN(MAX(0,N('Your debts'!$E$10)),F31),2)</f>
      </c>
      <c r="Q31" s="33">
        <f>ROUND(MIN(MAX(0,N('Your debts'!$E$11)),G31),2)</f>
      </c>
      <c r="R31" s="33">
        <f>ROUND(MIN(MAX(0,N('Your debts'!$E$12)),H31),2)</f>
      </c>
      <c r="S31" s="33">
        <f>ROUND(MIN(MAX(0,N('Your debts'!$E$13)),I31),2)</f>
      </c>
      <c r="T31" s="33">
        <f>ROUND(MIN(MAX(0,N('Your debts'!$E$14)),J31),2)</f>
      </c>
      <c r="U31" s="33">
        <f>ROUND(MIN(MAX(0,N('Your debts'!$E$15)),K31),2)</f>
      </c>
      <c r="V31" s="33">
        <f>ROUND(B31-L31,2)</f>
      </c>
      <c r="W31" s="33">
        <f>ROUND(C31-M31,2)</f>
      </c>
      <c r="X31" s="33">
        <f>ROUND(D31-N31,2)</f>
      </c>
      <c r="Y31" s="33">
        <f>ROUND(E31-O31,2)</f>
      </c>
      <c r="Z31" s="33">
        <f>ROUND(F31-P31,2)</f>
      </c>
      <c r="AA31" s="33">
        <f>ROUND(G31-Q31,2)</f>
      </c>
      <c r="AB31" s="33">
        <f>ROUND(H31-R31,2)</f>
      </c>
      <c r="AC31" s="33">
        <f>ROUND(I31-S31,2)</f>
      </c>
      <c r="AD31" s="33">
        <f>ROUND(J31-T31,2)</f>
      </c>
      <c r="AE31" s="33">
        <f>ROUND(K31-U31,2)</f>
      </c>
      <c r="AF31" s="33">
        <f>IF(V31&lt;=0,0,MAX(0,MIN(V31,ROUND($AZ31-SUMPRODUCT($V31:$AE31*($V31:$AE31&gt;0)*(($V31:$AE31&lt;V31)+($V31:$AE31=V31)*($V$3:$AE$3&gt;V$3)+($V31:$AE31=V31)*($V$3:$AE$3=V$3)*($V$2:$AE$2&lt;V$2))),2))))</f>
      </c>
      <c r="AG31" s="33">
        <f>IF(W31&lt;=0,0,MAX(0,MIN(W31,ROUND($AZ31-SUMPRODUCT($V31:$AE31*($V31:$AE31&gt;0)*(($V31:$AE31&lt;W31)+($V31:$AE31=W31)*($V$3:$AE$3&gt;W$3)+($V31:$AE31=W31)*($V$3:$AE$3=W$3)*($V$2:$AE$2&lt;W$2))),2))))</f>
      </c>
      <c r="AH31" s="33">
        <f>IF(X31&lt;=0,0,MAX(0,MIN(X31,ROUND($AZ31-SUMPRODUCT($V31:$AE31*($V31:$AE31&gt;0)*(($V31:$AE31&lt;X31)+($V31:$AE31=X31)*($V$3:$AE$3&gt;X$3)+($V31:$AE31=X31)*($V$3:$AE$3=X$3)*($V$2:$AE$2&lt;X$2))),2))))</f>
      </c>
      <c r="AI31" s="33">
        <f>IF(Y31&lt;=0,0,MAX(0,MIN(Y31,ROUND($AZ31-SUMPRODUCT($V31:$AE31*($V31:$AE31&gt;0)*(($V31:$AE31&lt;Y31)+($V31:$AE31=Y31)*($V$3:$AE$3&gt;Y$3)+($V31:$AE31=Y31)*($V$3:$AE$3=Y$3)*($V$2:$AE$2&lt;Y$2))),2))))</f>
      </c>
      <c r="AJ31" s="33">
        <f>IF(Z31&lt;=0,0,MAX(0,MIN(Z31,ROUND($AZ31-SUMPRODUCT($V31:$AE31*($V31:$AE31&gt;0)*(($V31:$AE31&lt;Z31)+($V31:$AE31=Z31)*($V$3:$AE$3&gt;Z$3)+($V31:$AE31=Z31)*($V$3:$AE$3=Z$3)*($V$2:$AE$2&lt;Z$2))),2))))</f>
      </c>
      <c r="AK31" s="33">
        <f>IF(AA31&lt;=0,0,MAX(0,MIN(AA31,ROUND($AZ31-SUMPRODUCT($V31:$AE31*($V31:$AE31&gt;0)*(($V31:$AE31&lt;AA31)+($V31:$AE31=AA31)*($V$3:$AE$3&gt;AA$3)+($V31:$AE31=AA31)*($V$3:$AE$3=AA$3)*($V$2:$AE$2&lt;AA$2))),2))))</f>
      </c>
      <c r="AL31" s="33">
        <f>IF(AB31&lt;=0,0,MAX(0,MIN(AB31,ROUND($AZ31-SUMPRODUCT($V31:$AE31*($V31:$AE31&gt;0)*(($V31:$AE31&lt;AB31)+($V31:$AE31=AB31)*($V$3:$AE$3&gt;AB$3)+($V31:$AE31=AB31)*($V$3:$AE$3=AB$3)*($V$2:$AE$2&lt;AB$2))),2))))</f>
      </c>
      <c r="AM31" s="33">
        <f>IF(AC31&lt;=0,0,MAX(0,MIN(AC31,ROUND($AZ31-SUMPRODUCT($V31:$AE31*($V31:$AE31&gt;0)*(($V31:$AE31&lt;AC31)+($V31:$AE31=AC31)*($V$3:$AE$3&gt;AC$3)+($V31:$AE31=AC31)*($V$3:$AE$3=AC$3)*($V$2:$AE$2&lt;AC$2))),2))))</f>
      </c>
      <c r="AN31" s="33">
        <f>IF(AD31&lt;=0,0,MAX(0,MIN(AD31,ROUND($AZ31-SUMPRODUCT($V31:$AE31*($V31:$AE31&gt;0)*(($V31:$AE31&lt;AD31)+($V31:$AE31=AD31)*($V$3:$AE$3&gt;AD$3)+($V31:$AE31=AD31)*($V$3:$AE$3=AD$3)*($V$2:$AE$2&lt;AD$2))),2))))</f>
      </c>
      <c r="AO31" s="33">
        <f>IF(AE31&lt;=0,0,MAX(0,MIN(AE31,ROUND($AZ31-SUMPRODUCT($V31:$AE31*($V31:$AE31&gt;0)*(($V31:$AE31&lt;AE31)+($V31:$AE31=AE31)*($V$3:$AE$3&gt;AE$3)+($V31:$AE31=AE31)*($V$3:$AE$3=AE$3)*($V$2:$AE$2&lt;AE$2))),2))))</f>
      </c>
      <c r="AP31" s="33">
        <f>ROUND(V31-AF31,2)</f>
      </c>
      <c r="AQ31" s="33">
        <f>ROUND(W31-AG31,2)</f>
      </c>
      <c r="AR31" s="33">
        <f>ROUND(X31-AH31,2)</f>
      </c>
      <c r="AS31" s="33">
        <f>ROUND(Y31-AI31,2)</f>
      </c>
      <c r="AT31" s="33">
        <f>ROUND(Z31-AJ31,2)</f>
      </c>
      <c r="AU31" s="33">
        <f>ROUND(AA31-AK31,2)</f>
      </c>
      <c r="AV31" s="33">
        <f>ROUND(AB31-AL31,2)</f>
      </c>
      <c r="AW31" s="33">
        <f>ROUND(AC31-AM31,2)</f>
      </c>
      <c r="AX31" s="33">
        <f>ROUND(AD31-AN31,2)</f>
      </c>
      <c r="AY31" s="33">
        <f>ROUND(AE31-AO31,2)</f>
      </c>
      <c r="AZ31" s="33">
        <f>ROUND(MAX(0,'Your debts'!$D$22-SUM($L31:$U31)),2)</f>
      </c>
      <c r="BA31" s="33">
        <f>ROUND(SUM($B31:$K31)-SUM($AP30:$AY30),2)</f>
      </c>
      <c r="BB31" s="33">
        <f>SUM($AP31:$AY31)</f>
      </c>
      <c r="BC31" s="33">
        <f>ROUND(SUM($L31:$U31)+SUM($AF31:$AO31),2)</f>
      </c>
    </row>
    <row r="32" spans="1:55" x14ac:dyDescent="0.25">
      <c r="A32">
        <v>25</v>
      </c>
      <c r="B32" s="33">
        <f>IF(AP31&lt;=0,0,ROUND(AP31+ROUND(AP31*V$3/12,2),2))</f>
      </c>
      <c r="C32" s="33">
        <f>IF(AQ31&lt;=0,0,ROUND(AQ31+ROUND(AQ31*W$3/12,2),2))</f>
      </c>
      <c r="D32" s="33">
        <f>IF(AR31&lt;=0,0,ROUND(AR31+ROUND(AR31*X$3/12,2),2))</f>
      </c>
      <c r="E32" s="33">
        <f>IF(AS31&lt;=0,0,ROUND(AS31+ROUND(AS31*Y$3/12,2),2))</f>
      </c>
      <c r="F32" s="33">
        <f>IF(AT31&lt;=0,0,ROUND(AT31+ROUND(AT31*Z$3/12,2),2))</f>
      </c>
      <c r="G32" s="33">
        <f>IF(AU31&lt;=0,0,ROUND(AU31+ROUND(AU31*AA$3/12,2),2))</f>
      </c>
      <c r="H32" s="33">
        <f>IF(AV31&lt;=0,0,ROUND(AV31+ROUND(AV31*AB$3/12,2),2))</f>
      </c>
      <c r="I32" s="33">
        <f>IF(AW31&lt;=0,0,ROUND(AW31+ROUND(AW31*AC$3/12,2),2))</f>
      </c>
      <c r="J32" s="33">
        <f>IF(AX31&lt;=0,0,ROUND(AX31+ROUND(AX31*AD$3/12,2),2))</f>
      </c>
      <c r="K32" s="33">
        <f>IF(AY31&lt;=0,0,ROUND(AY31+ROUND(AY31*AE$3/12,2),2))</f>
      </c>
      <c r="L32" s="33">
        <f>ROUND(MIN(MAX(0,N('Your debts'!$E$6)),B32),2)</f>
      </c>
      <c r="M32" s="33">
        <f>ROUND(MIN(MAX(0,N('Your debts'!$E$7)),C32),2)</f>
      </c>
      <c r="N32" s="33">
        <f>ROUND(MIN(MAX(0,N('Your debts'!$E$8)),D32),2)</f>
      </c>
      <c r="O32" s="33">
        <f>ROUND(MIN(MAX(0,N('Your debts'!$E$9)),E32),2)</f>
      </c>
      <c r="P32" s="33">
        <f>ROUND(MIN(MAX(0,N('Your debts'!$E$10)),F32),2)</f>
      </c>
      <c r="Q32" s="33">
        <f>ROUND(MIN(MAX(0,N('Your debts'!$E$11)),G32),2)</f>
      </c>
      <c r="R32" s="33">
        <f>ROUND(MIN(MAX(0,N('Your debts'!$E$12)),H32),2)</f>
      </c>
      <c r="S32" s="33">
        <f>ROUND(MIN(MAX(0,N('Your debts'!$E$13)),I32),2)</f>
      </c>
      <c r="T32" s="33">
        <f>ROUND(MIN(MAX(0,N('Your debts'!$E$14)),J32),2)</f>
      </c>
      <c r="U32" s="33">
        <f>ROUND(MIN(MAX(0,N('Your debts'!$E$15)),K32),2)</f>
      </c>
      <c r="V32" s="33">
        <f>ROUND(B32-L32,2)</f>
      </c>
      <c r="W32" s="33">
        <f>ROUND(C32-M32,2)</f>
      </c>
      <c r="X32" s="33">
        <f>ROUND(D32-N32,2)</f>
      </c>
      <c r="Y32" s="33">
        <f>ROUND(E32-O32,2)</f>
      </c>
      <c r="Z32" s="33">
        <f>ROUND(F32-P32,2)</f>
      </c>
      <c r="AA32" s="33">
        <f>ROUND(G32-Q32,2)</f>
      </c>
      <c r="AB32" s="33">
        <f>ROUND(H32-R32,2)</f>
      </c>
      <c r="AC32" s="33">
        <f>ROUND(I32-S32,2)</f>
      </c>
      <c r="AD32" s="33">
        <f>ROUND(J32-T32,2)</f>
      </c>
      <c r="AE32" s="33">
        <f>ROUND(K32-U32,2)</f>
      </c>
      <c r="AF32" s="33">
        <f>IF(V32&lt;=0,0,MAX(0,MIN(V32,ROUND($AZ32-SUMPRODUCT($V32:$AE32*($V32:$AE32&gt;0)*(($V32:$AE32&lt;V32)+($V32:$AE32=V32)*($V$3:$AE$3&gt;V$3)+($V32:$AE32=V32)*($V$3:$AE$3=V$3)*($V$2:$AE$2&lt;V$2))),2))))</f>
      </c>
      <c r="AG32" s="33">
        <f>IF(W32&lt;=0,0,MAX(0,MIN(W32,ROUND($AZ32-SUMPRODUCT($V32:$AE32*($V32:$AE32&gt;0)*(($V32:$AE32&lt;W32)+($V32:$AE32=W32)*($V$3:$AE$3&gt;W$3)+($V32:$AE32=W32)*($V$3:$AE$3=W$3)*($V$2:$AE$2&lt;W$2))),2))))</f>
      </c>
      <c r="AH32" s="33">
        <f>IF(X32&lt;=0,0,MAX(0,MIN(X32,ROUND($AZ32-SUMPRODUCT($V32:$AE32*($V32:$AE32&gt;0)*(($V32:$AE32&lt;X32)+($V32:$AE32=X32)*($V$3:$AE$3&gt;X$3)+($V32:$AE32=X32)*($V$3:$AE$3=X$3)*($V$2:$AE$2&lt;X$2))),2))))</f>
      </c>
      <c r="AI32" s="33">
        <f>IF(Y32&lt;=0,0,MAX(0,MIN(Y32,ROUND($AZ32-SUMPRODUCT($V32:$AE32*($V32:$AE32&gt;0)*(($V32:$AE32&lt;Y32)+($V32:$AE32=Y32)*($V$3:$AE$3&gt;Y$3)+($V32:$AE32=Y32)*($V$3:$AE$3=Y$3)*($V$2:$AE$2&lt;Y$2))),2))))</f>
      </c>
      <c r="AJ32" s="33">
        <f>IF(Z32&lt;=0,0,MAX(0,MIN(Z32,ROUND($AZ32-SUMPRODUCT($V32:$AE32*($V32:$AE32&gt;0)*(($V32:$AE32&lt;Z32)+($V32:$AE32=Z32)*($V$3:$AE$3&gt;Z$3)+($V32:$AE32=Z32)*($V$3:$AE$3=Z$3)*($V$2:$AE$2&lt;Z$2))),2))))</f>
      </c>
      <c r="AK32" s="33">
        <f>IF(AA32&lt;=0,0,MAX(0,MIN(AA32,ROUND($AZ32-SUMPRODUCT($V32:$AE32*($V32:$AE32&gt;0)*(($V32:$AE32&lt;AA32)+($V32:$AE32=AA32)*($V$3:$AE$3&gt;AA$3)+($V32:$AE32=AA32)*($V$3:$AE$3=AA$3)*($V$2:$AE$2&lt;AA$2))),2))))</f>
      </c>
      <c r="AL32" s="33">
        <f>IF(AB32&lt;=0,0,MAX(0,MIN(AB32,ROUND($AZ32-SUMPRODUCT($V32:$AE32*($V32:$AE32&gt;0)*(($V32:$AE32&lt;AB32)+($V32:$AE32=AB32)*($V$3:$AE$3&gt;AB$3)+($V32:$AE32=AB32)*($V$3:$AE$3=AB$3)*($V$2:$AE$2&lt;AB$2))),2))))</f>
      </c>
      <c r="AM32" s="33">
        <f>IF(AC32&lt;=0,0,MAX(0,MIN(AC32,ROUND($AZ32-SUMPRODUCT($V32:$AE32*($V32:$AE32&gt;0)*(($V32:$AE32&lt;AC32)+($V32:$AE32=AC32)*($V$3:$AE$3&gt;AC$3)+($V32:$AE32=AC32)*($V$3:$AE$3=AC$3)*($V$2:$AE$2&lt;AC$2))),2))))</f>
      </c>
      <c r="AN32" s="33">
        <f>IF(AD32&lt;=0,0,MAX(0,MIN(AD32,ROUND($AZ32-SUMPRODUCT($V32:$AE32*($V32:$AE32&gt;0)*(($V32:$AE32&lt;AD32)+($V32:$AE32=AD32)*($V$3:$AE$3&gt;AD$3)+($V32:$AE32=AD32)*($V$3:$AE$3=AD$3)*($V$2:$AE$2&lt;AD$2))),2))))</f>
      </c>
      <c r="AO32" s="33">
        <f>IF(AE32&lt;=0,0,MAX(0,MIN(AE32,ROUND($AZ32-SUMPRODUCT($V32:$AE32*($V32:$AE32&gt;0)*(($V32:$AE32&lt;AE32)+($V32:$AE32=AE32)*($V$3:$AE$3&gt;AE$3)+($V32:$AE32=AE32)*($V$3:$AE$3=AE$3)*($V$2:$AE$2&lt;AE$2))),2))))</f>
      </c>
      <c r="AP32" s="33">
        <f>ROUND(V32-AF32,2)</f>
      </c>
      <c r="AQ32" s="33">
        <f>ROUND(W32-AG32,2)</f>
      </c>
      <c r="AR32" s="33">
        <f>ROUND(X32-AH32,2)</f>
      </c>
      <c r="AS32" s="33">
        <f>ROUND(Y32-AI32,2)</f>
      </c>
      <c r="AT32" s="33">
        <f>ROUND(Z32-AJ32,2)</f>
      </c>
      <c r="AU32" s="33">
        <f>ROUND(AA32-AK32,2)</f>
      </c>
      <c r="AV32" s="33">
        <f>ROUND(AB32-AL32,2)</f>
      </c>
      <c r="AW32" s="33">
        <f>ROUND(AC32-AM32,2)</f>
      </c>
      <c r="AX32" s="33">
        <f>ROUND(AD32-AN32,2)</f>
      </c>
      <c r="AY32" s="33">
        <f>ROUND(AE32-AO32,2)</f>
      </c>
      <c r="AZ32" s="33">
        <f>ROUND(MAX(0,'Your debts'!$D$22-SUM($L32:$U32)),2)</f>
      </c>
      <c r="BA32" s="33">
        <f>ROUND(SUM($B32:$K32)-SUM($AP31:$AY31),2)</f>
      </c>
      <c r="BB32" s="33">
        <f>SUM($AP32:$AY32)</f>
      </c>
      <c r="BC32" s="33">
        <f>ROUND(SUM($L32:$U32)+SUM($AF32:$AO32),2)</f>
      </c>
    </row>
    <row r="33" spans="1:55" x14ac:dyDescent="0.25">
      <c r="A33">
        <v>26</v>
      </c>
      <c r="B33" s="33">
        <f>IF(AP32&lt;=0,0,ROUND(AP32+ROUND(AP32*V$3/12,2),2))</f>
      </c>
      <c r="C33" s="33">
        <f>IF(AQ32&lt;=0,0,ROUND(AQ32+ROUND(AQ32*W$3/12,2),2))</f>
      </c>
      <c r="D33" s="33">
        <f>IF(AR32&lt;=0,0,ROUND(AR32+ROUND(AR32*X$3/12,2),2))</f>
      </c>
      <c r="E33" s="33">
        <f>IF(AS32&lt;=0,0,ROUND(AS32+ROUND(AS32*Y$3/12,2),2))</f>
      </c>
      <c r="F33" s="33">
        <f>IF(AT32&lt;=0,0,ROUND(AT32+ROUND(AT32*Z$3/12,2),2))</f>
      </c>
      <c r="G33" s="33">
        <f>IF(AU32&lt;=0,0,ROUND(AU32+ROUND(AU32*AA$3/12,2),2))</f>
      </c>
      <c r="H33" s="33">
        <f>IF(AV32&lt;=0,0,ROUND(AV32+ROUND(AV32*AB$3/12,2),2))</f>
      </c>
      <c r="I33" s="33">
        <f>IF(AW32&lt;=0,0,ROUND(AW32+ROUND(AW32*AC$3/12,2),2))</f>
      </c>
      <c r="J33" s="33">
        <f>IF(AX32&lt;=0,0,ROUND(AX32+ROUND(AX32*AD$3/12,2),2))</f>
      </c>
      <c r="K33" s="33">
        <f>IF(AY32&lt;=0,0,ROUND(AY32+ROUND(AY32*AE$3/12,2),2))</f>
      </c>
      <c r="L33" s="33">
        <f>ROUND(MIN(MAX(0,N('Your debts'!$E$6)),B33),2)</f>
      </c>
      <c r="M33" s="33">
        <f>ROUND(MIN(MAX(0,N('Your debts'!$E$7)),C33),2)</f>
      </c>
      <c r="N33" s="33">
        <f>ROUND(MIN(MAX(0,N('Your debts'!$E$8)),D33),2)</f>
      </c>
      <c r="O33" s="33">
        <f>ROUND(MIN(MAX(0,N('Your debts'!$E$9)),E33),2)</f>
      </c>
      <c r="P33" s="33">
        <f>ROUND(MIN(MAX(0,N('Your debts'!$E$10)),F33),2)</f>
      </c>
      <c r="Q33" s="33">
        <f>ROUND(MIN(MAX(0,N('Your debts'!$E$11)),G33),2)</f>
      </c>
      <c r="R33" s="33">
        <f>ROUND(MIN(MAX(0,N('Your debts'!$E$12)),H33),2)</f>
      </c>
      <c r="S33" s="33">
        <f>ROUND(MIN(MAX(0,N('Your debts'!$E$13)),I33),2)</f>
      </c>
      <c r="T33" s="33">
        <f>ROUND(MIN(MAX(0,N('Your debts'!$E$14)),J33),2)</f>
      </c>
      <c r="U33" s="33">
        <f>ROUND(MIN(MAX(0,N('Your debts'!$E$15)),K33),2)</f>
      </c>
      <c r="V33" s="33">
        <f>ROUND(B33-L33,2)</f>
      </c>
      <c r="W33" s="33">
        <f>ROUND(C33-M33,2)</f>
      </c>
      <c r="X33" s="33">
        <f>ROUND(D33-N33,2)</f>
      </c>
      <c r="Y33" s="33">
        <f>ROUND(E33-O33,2)</f>
      </c>
      <c r="Z33" s="33">
        <f>ROUND(F33-P33,2)</f>
      </c>
      <c r="AA33" s="33">
        <f>ROUND(G33-Q33,2)</f>
      </c>
      <c r="AB33" s="33">
        <f>ROUND(H33-R33,2)</f>
      </c>
      <c r="AC33" s="33">
        <f>ROUND(I33-S33,2)</f>
      </c>
      <c r="AD33" s="33">
        <f>ROUND(J33-T33,2)</f>
      </c>
      <c r="AE33" s="33">
        <f>ROUND(K33-U33,2)</f>
      </c>
      <c r="AF33" s="33">
        <f>IF(V33&lt;=0,0,MAX(0,MIN(V33,ROUND($AZ33-SUMPRODUCT($V33:$AE33*($V33:$AE33&gt;0)*(($V33:$AE33&lt;V33)+($V33:$AE33=V33)*($V$3:$AE$3&gt;V$3)+($V33:$AE33=V33)*($V$3:$AE$3=V$3)*($V$2:$AE$2&lt;V$2))),2))))</f>
      </c>
      <c r="AG33" s="33">
        <f>IF(W33&lt;=0,0,MAX(0,MIN(W33,ROUND($AZ33-SUMPRODUCT($V33:$AE33*($V33:$AE33&gt;0)*(($V33:$AE33&lt;W33)+($V33:$AE33=W33)*($V$3:$AE$3&gt;W$3)+($V33:$AE33=W33)*($V$3:$AE$3=W$3)*($V$2:$AE$2&lt;W$2))),2))))</f>
      </c>
      <c r="AH33" s="33">
        <f>IF(X33&lt;=0,0,MAX(0,MIN(X33,ROUND($AZ33-SUMPRODUCT($V33:$AE33*($V33:$AE33&gt;0)*(($V33:$AE33&lt;X33)+($V33:$AE33=X33)*($V$3:$AE$3&gt;X$3)+($V33:$AE33=X33)*($V$3:$AE$3=X$3)*($V$2:$AE$2&lt;X$2))),2))))</f>
      </c>
      <c r="AI33" s="33">
        <f>IF(Y33&lt;=0,0,MAX(0,MIN(Y33,ROUND($AZ33-SUMPRODUCT($V33:$AE33*($V33:$AE33&gt;0)*(($V33:$AE33&lt;Y33)+($V33:$AE33=Y33)*($V$3:$AE$3&gt;Y$3)+($V33:$AE33=Y33)*($V$3:$AE$3=Y$3)*($V$2:$AE$2&lt;Y$2))),2))))</f>
      </c>
      <c r="AJ33" s="33">
        <f>IF(Z33&lt;=0,0,MAX(0,MIN(Z33,ROUND($AZ33-SUMPRODUCT($V33:$AE33*($V33:$AE33&gt;0)*(($V33:$AE33&lt;Z33)+($V33:$AE33=Z33)*($V$3:$AE$3&gt;Z$3)+($V33:$AE33=Z33)*($V$3:$AE$3=Z$3)*($V$2:$AE$2&lt;Z$2))),2))))</f>
      </c>
      <c r="AK33" s="33">
        <f>IF(AA33&lt;=0,0,MAX(0,MIN(AA33,ROUND($AZ33-SUMPRODUCT($V33:$AE33*($V33:$AE33&gt;0)*(($V33:$AE33&lt;AA33)+($V33:$AE33=AA33)*($V$3:$AE$3&gt;AA$3)+($V33:$AE33=AA33)*($V$3:$AE$3=AA$3)*($V$2:$AE$2&lt;AA$2))),2))))</f>
      </c>
      <c r="AL33" s="33">
        <f>IF(AB33&lt;=0,0,MAX(0,MIN(AB33,ROUND($AZ33-SUMPRODUCT($V33:$AE33*($V33:$AE33&gt;0)*(($V33:$AE33&lt;AB33)+($V33:$AE33=AB33)*($V$3:$AE$3&gt;AB$3)+($V33:$AE33=AB33)*($V$3:$AE$3=AB$3)*($V$2:$AE$2&lt;AB$2))),2))))</f>
      </c>
      <c r="AM33" s="33">
        <f>IF(AC33&lt;=0,0,MAX(0,MIN(AC33,ROUND($AZ33-SUMPRODUCT($V33:$AE33*($V33:$AE33&gt;0)*(($V33:$AE33&lt;AC33)+($V33:$AE33=AC33)*($V$3:$AE$3&gt;AC$3)+($V33:$AE33=AC33)*($V$3:$AE$3=AC$3)*($V$2:$AE$2&lt;AC$2))),2))))</f>
      </c>
      <c r="AN33" s="33">
        <f>IF(AD33&lt;=0,0,MAX(0,MIN(AD33,ROUND($AZ33-SUMPRODUCT($V33:$AE33*($V33:$AE33&gt;0)*(($V33:$AE33&lt;AD33)+($V33:$AE33=AD33)*($V$3:$AE$3&gt;AD$3)+($V33:$AE33=AD33)*($V$3:$AE$3=AD$3)*($V$2:$AE$2&lt;AD$2))),2))))</f>
      </c>
      <c r="AO33" s="33">
        <f>IF(AE33&lt;=0,0,MAX(0,MIN(AE33,ROUND($AZ33-SUMPRODUCT($V33:$AE33*($V33:$AE33&gt;0)*(($V33:$AE33&lt;AE33)+($V33:$AE33=AE33)*($V$3:$AE$3&gt;AE$3)+($V33:$AE33=AE33)*($V$3:$AE$3=AE$3)*($V$2:$AE$2&lt;AE$2))),2))))</f>
      </c>
      <c r="AP33" s="33">
        <f>ROUND(V33-AF33,2)</f>
      </c>
      <c r="AQ33" s="33">
        <f>ROUND(W33-AG33,2)</f>
      </c>
      <c r="AR33" s="33">
        <f>ROUND(X33-AH33,2)</f>
      </c>
      <c r="AS33" s="33">
        <f>ROUND(Y33-AI33,2)</f>
      </c>
      <c r="AT33" s="33">
        <f>ROUND(Z33-AJ33,2)</f>
      </c>
      <c r="AU33" s="33">
        <f>ROUND(AA33-AK33,2)</f>
      </c>
      <c r="AV33" s="33">
        <f>ROUND(AB33-AL33,2)</f>
      </c>
      <c r="AW33" s="33">
        <f>ROUND(AC33-AM33,2)</f>
      </c>
      <c r="AX33" s="33">
        <f>ROUND(AD33-AN33,2)</f>
      </c>
      <c r="AY33" s="33">
        <f>ROUND(AE33-AO33,2)</f>
      </c>
      <c r="AZ33" s="33">
        <f>ROUND(MAX(0,'Your debts'!$D$22-SUM($L33:$U33)),2)</f>
      </c>
      <c r="BA33" s="33">
        <f>ROUND(SUM($B33:$K33)-SUM($AP32:$AY32),2)</f>
      </c>
      <c r="BB33" s="33">
        <f>SUM($AP33:$AY33)</f>
      </c>
      <c r="BC33" s="33">
        <f>ROUND(SUM($L33:$U33)+SUM($AF33:$AO33),2)</f>
      </c>
    </row>
    <row r="34" spans="1:55" x14ac:dyDescent="0.25">
      <c r="A34">
        <v>27</v>
      </c>
      <c r="B34" s="33">
        <f>IF(AP33&lt;=0,0,ROUND(AP33+ROUND(AP33*V$3/12,2),2))</f>
      </c>
      <c r="C34" s="33">
        <f>IF(AQ33&lt;=0,0,ROUND(AQ33+ROUND(AQ33*W$3/12,2),2))</f>
      </c>
      <c r="D34" s="33">
        <f>IF(AR33&lt;=0,0,ROUND(AR33+ROUND(AR33*X$3/12,2),2))</f>
      </c>
      <c r="E34" s="33">
        <f>IF(AS33&lt;=0,0,ROUND(AS33+ROUND(AS33*Y$3/12,2),2))</f>
      </c>
      <c r="F34" s="33">
        <f>IF(AT33&lt;=0,0,ROUND(AT33+ROUND(AT33*Z$3/12,2),2))</f>
      </c>
      <c r="G34" s="33">
        <f>IF(AU33&lt;=0,0,ROUND(AU33+ROUND(AU33*AA$3/12,2),2))</f>
      </c>
      <c r="H34" s="33">
        <f>IF(AV33&lt;=0,0,ROUND(AV33+ROUND(AV33*AB$3/12,2),2))</f>
      </c>
      <c r="I34" s="33">
        <f>IF(AW33&lt;=0,0,ROUND(AW33+ROUND(AW33*AC$3/12,2),2))</f>
      </c>
      <c r="J34" s="33">
        <f>IF(AX33&lt;=0,0,ROUND(AX33+ROUND(AX33*AD$3/12,2),2))</f>
      </c>
      <c r="K34" s="33">
        <f>IF(AY33&lt;=0,0,ROUND(AY33+ROUND(AY33*AE$3/12,2),2))</f>
      </c>
      <c r="L34" s="33">
        <f>ROUND(MIN(MAX(0,N('Your debts'!$E$6)),B34),2)</f>
      </c>
      <c r="M34" s="33">
        <f>ROUND(MIN(MAX(0,N('Your debts'!$E$7)),C34),2)</f>
      </c>
      <c r="N34" s="33">
        <f>ROUND(MIN(MAX(0,N('Your debts'!$E$8)),D34),2)</f>
      </c>
      <c r="O34" s="33">
        <f>ROUND(MIN(MAX(0,N('Your debts'!$E$9)),E34),2)</f>
      </c>
      <c r="P34" s="33">
        <f>ROUND(MIN(MAX(0,N('Your debts'!$E$10)),F34),2)</f>
      </c>
      <c r="Q34" s="33">
        <f>ROUND(MIN(MAX(0,N('Your debts'!$E$11)),G34),2)</f>
      </c>
      <c r="R34" s="33">
        <f>ROUND(MIN(MAX(0,N('Your debts'!$E$12)),H34),2)</f>
      </c>
      <c r="S34" s="33">
        <f>ROUND(MIN(MAX(0,N('Your debts'!$E$13)),I34),2)</f>
      </c>
      <c r="T34" s="33">
        <f>ROUND(MIN(MAX(0,N('Your debts'!$E$14)),J34),2)</f>
      </c>
      <c r="U34" s="33">
        <f>ROUND(MIN(MAX(0,N('Your debts'!$E$15)),K34),2)</f>
      </c>
      <c r="V34" s="33">
        <f>ROUND(B34-L34,2)</f>
      </c>
      <c r="W34" s="33">
        <f>ROUND(C34-M34,2)</f>
      </c>
      <c r="X34" s="33">
        <f>ROUND(D34-N34,2)</f>
      </c>
      <c r="Y34" s="33">
        <f>ROUND(E34-O34,2)</f>
      </c>
      <c r="Z34" s="33">
        <f>ROUND(F34-P34,2)</f>
      </c>
      <c r="AA34" s="33">
        <f>ROUND(G34-Q34,2)</f>
      </c>
      <c r="AB34" s="33">
        <f>ROUND(H34-R34,2)</f>
      </c>
      <c r="AC34" s="33">
        <f>ROUND(I34-S34,2)</f>
      </c>
      <c r="AD34" s="33">
        <f>ROUND(J34-T34,2)</f>
      </c>
      <c r="AE34" s="33">
        <f>ROUND(K34-U34,2)</f>
      </c>
      <c r="AF34" s="33">
        <f>IF(V34&lt;=0,0,MAX(0,MIN(V34,ROUND($AZ34-SUMPRODUCT($V34:$AE34*($V34:$AE34&gt;0)*(($V34:$AE34&lt;V34)+($V34:$AE34=V34)*($V$3:$AE$3&gt;V$3)+($V34:$AE34=V34)*($V$3:$AE$3=V$3)*($V$2:$AE$2&lt;V$2))),2))))</f>
      </c>
      <c r="AG34" s="33">
        <f>IF(W34&lt;=0,0,MAX(0,MIN(W34,ROUND($AZ34-SUMPRODUCT($V34:$AE34*($V34:$AE34&gt;0)*(($V34:$AE34&lt;W34)+($V34:$AE34=W34)*($V$3:$AE$3&gt;W$3)+($V34:$AE34=W34)*($V$3:$AE$3=W$3)*($V$2:$AE$2&lt;W$2))),2))))</f>
      </c>
      <c r="AH34" s="33">
        <f>IF(X34&lt;=0,0,MAX(0,MIN(X34,ROUND($AZ34-SUMPRODUCT($V34:$AE34*($V34:$AE34&gt;0)*(($V34:$AE34&lt;X34)+($V34:$AE34=X34)*($V$3:$AE$3&gt;X$3)+($V34:$AE34=X34)*($V$3:$AE$3=X$3)*($V$2:$AE$2&lt;X$2))),2))))</f>
      </c>
      <c r="AI34" s="33">
        <f>IF(Y34&lt;=0,0,MAX(0,MIN(Y34,ROUND($AZ34-SUMPRODUCT($V34:$AE34*($V34:$AE34&gt;0)*(($V34:$AE34&lt;Y34)+($V34:$AE34=Y34)*($V$3:$AE$3&gt;Y$3)+($V34:$AE34=Y34)*($V$3:$AE$3=Y$3)*($V$2:$AE$2&lt;Y$2))),2))))</f>
      </c>
      <c r="AJ34" s="33">
        <f>IF(Z34&lt;=0,0,MAX(0,MIN(Z34,ROUND($AZ34-SUMPRODUCT($V34:$AE34*($V34:$AE34&gt;0)*(($V34:$AE34&lt;Z34)+($V34:$AE34=Z34)*($V$3:$AE$3&gt;Z$3)+($V34:$AE34=Z34)*($V$3:$AE$3=Z$3)*($V$2:$AE$2&lt;Z$2))),2))))</f>
      </c>
      <c r="AK34" s="33">
        <f>IF(AA34&lt;=0,0,MAX(0,MIN(AA34,ROUND($AZ34-SUMPRODUCT($V34:$AE34*($V34:$AE34&gt;0)*(($V34:$AE34&lt;AA34)+($V34:$AE34=AA34)*($V$3:$AE$3&gt;AA$3)+($V34:$AE34=AA34)*($V$3:$AE$3=AA$3)*($V$2:$AE$2&lt;AA$2))),2))))</f>
      </c>
      <c r="AL34" s="33">
        <f>IF(AB34&lt;=0,0,MAX(0,MIN(AB34,ROUND($AZ34-SUMPRODUCT($V34:$AE34*($V34:$AE34&gt;0)*(($V34:$AE34&lt;AB34)+($V34:$AE34=AB34)*($V$3:$AE$3&gt;AB$3)+($V34:$AE34=AB34)*($V$3:$AE$3=AB$3)*($V$2:$AE$2&lt;AB$2))),2))))</f>
      </c>
      <c r="AM34" s="33">
        <f>IF(AC34&lt;=0,0,MAX(0,MIN(AC34,ROUND($AZ34-SUMPRODUCT($V34:$AE34*($V34:$AE34&gt;0)*(($V34:$AE34&lt;AC34)+($V34:$AE34=AC34)*($V$3:$AE$3&gt;AC$3)+($V34:$AE34=AC34)*($V$3:$AE$3=AC$3)*($V$2:$AE$2&lt;AC$2))),2))))</f>
      </c>
      <c r="AN34" s="33">
        <f>IF(AD34&lt;=0,0,MAX(0,MIN(AD34,ROUND($AZ34-SUMPRODUCT($V34:$AE34*($V34:$AE34&gt;0)*(($V34:$AE34&lt;AD34)+($V34:$AE34=AD34)*($V$3:$AE$3&gt;AD$3)+($V34:$AE34=AD34)*($V$3:$AE$3=AD$3)*($V$2:$AE$2&lt;AD$2))),2))))</f>
      </c>
      <c r="AO34" s="33">
        <f>IF(AE34&lt;=0,0,MAX(0,MIN(AE34,ROUND($AZ34-SUMPRODUCT($V34:$AE34*($V34:$AE34&gt;0)*(($V34:$AE34&lt;AE34)+($V34:$AE34=AE34)*($V$3:$AE$3&gt;AE$3)+($V34:$AE34=AE34)*($V$3:$AE$3=AE$3)*($V$2:$AE$2&lt;AE$2))),2))))</f>
      </c>
      <c r="AP34" s="33">
        <f>ROUND(V34-AF34,2)</f>
      </c>
      <c r="AQ34" s="33">
        <f>ROUND(W34-AG34,2)</f>
      </c>
      <c r="AR34" s="33">
        <f>ROUND(X34-AH34,2)</f>
      </c>
      <c r="AS34" s="33">
        <f>ROUND(Y34-AI34,2)</f>
      </c>
      <c r="AT34" s="33">
        <f>ROUND(Z34-AJ34,2)</f>
      </c>
      <c r="AU34" s="33">
        <f>ROUND(AA34-AK34,2)</f>
      </c>
      <c r="AV34" s="33">
        <f>ROUND(AB34-AL34,2)</f>
      </c>
      <c r="AW34" s="33">
        <f>ROUND(AC34-AM34,2)</f>
      </c>
      <c r="AX34" s="33">
        <f>ROUND(AD34-AN34,2)</f>
      </c>
      <c r="AY34" s="33">
        <f>ROUND(AE34-AO34,2)</f>
      </c>
      <c r="AZ34" s="33">
        <f>ROUND(MAX(0,'Your debts'!$D$22-SUM($L34:$U34)),2)</f>
      </c>
      <c r="BA34" s="33">
        <f>ROUND(SUM($B34:$K34)-SUM($AP33:$AY33),2)</f>
      </c>
      <c r="BB34" s="33">
        <f>SUM($AP34:$AY34)</f>
      </c>
      <c r="BC34" s="33">
        <f>ROUND(SUM($L34:$U34)+SUM($AF34:$AO34),2)</f>
      </c>
    </row>
    <row r="35" spans="1:55" x14ac:dyDescent="0.25">
      <c r="A35">
        <v>28</v>
      </c>
      <c r="B35" s="33">
        <f>IF(AP34&lt;=0,0,ROUND(AP34+ROUND(AP34*V$3/12,2),2))</f>
      </c>
      <c r="C35" s="33">
        <f>IF(AQ34&lt;=0,0,ROUND(AQ34+ROUND(AQ34*W$3/12,2),2))</f>
      </c>
      <c r="D35" s="33">
        <f>IF(AR34&lt;=0,0,ROUND(AR34+ROUND(AR34*X$3/12,2),2))</f>
      </c>
      <c r="E35" s="33">
        <f>IF(AS34&lt;=0,0,ROUND(AS34+ROUND(AS34*Y$3/12,2),2))</f>
      </c>
      <c r="F35" s="33">
        <f>IF(AT34&lt;=0,0,ROUND(AT34+ROUND(AT34*Z$3/12,2),2))</f>
      </c>
      <c r="G35" s="33">
        <f>IF(AU34&lt;=0,0,ROUND(AU34+ROUND(AU34*AA$3/12,2),2))</f>
      </c>
      <c r="H35" s="33">
        <f>IF(AV34&lt;=0,0,ROUND(AV34+ROUND(AV34*AB$3/12,2),2))</f>
      </c>
      <c r="I35" s="33">
        <f>IF(AW34&lt;=0,0,ROUND(AW34+ROUND(AW34*AC$3/12,2),2))</f>
      </c>
      <c r="J35" s="33">
        <f>IF(AX34&lt;=0,0,ROUND(AX34+ROUND(AX34*AD$3/12,2),2))</f>
      </c>
      <c r="K35" s="33">
        <f>IF(AY34&lt;=0,0,ROUND(AY34+ROUND(AY34*AE$3/12,2),2))</f>
      </c>
      <c r="L35" s="33">
        <f>ROUND(MIN(MAX(0,N('Your debts'!$E$6)),B35),2)</f>
      </c>
      <c r="M35" s="33">
        <f>ROUND(MIN(MAX(0,N('Your debts'!$E$7)),C35),2)</f>
      </c>
      <c r="N35" s="33">
        <f>ROUND(MIN(MAX(0,N('Your debts'!$E$8)),D35),2)</f>
      </c>
      <c r="O35" s="33">
        <f>ROUND(MIN(MAX(0,N('Your debts'!$E$9)),E35),2)</f>
      </c>
      <c r="P35" s="33">
        <f>ROUND(MIN(MAX(0,N('Your debts'!$E$10)),F35),2)</f>
      </c>
      <c r="Q35" s="33">
        <f>ROUND(MIN(MAX(0,N('Your debts'!$E$11)),G35),2)</f>
      </c>
      <c r="R35" s="33">
        <f>ROUND(MIN(MAX(0,N('Your debts'!$E$12)),H35),2)</f>
      </c>
      <c r="S35" s="33">
        <f>ROUND(MIN(MAX(0,N('Your debts'!$E$13)),I35),2)</f>
      </c>
      <c r="T35" s="33">
        <f>ROUND(MIN(MAX(0,N('Your debts'!$E$14)),J35),2)</f>
      </c>
      <c r="U35" s="33">
        <f>ROUND(MIN(MAX(0,N('Your debts'!$E$15)),K35),2)</f>
      </c>
      <c r="V35" s="33">
        <f>ROUND(B35-L35,2)</f>
      </c>
      <c r="W35" s="33">
        <f>ROUND(C35-M35,2)</f>
      </c>
      <c r="X35" s="33">
        <f>ROUND(D35-N35,2)</f>
      </c>
      <c r="Y35" s="33">
        <f>ROUND(E35-O35,2)</f>
      </c>
      <c r="Z35" s="33">
        <f>ROUND(F35-P35,2)</f>
      </c>
      <c r="AA35" s="33">
        <f>ROUND(G35-Q35,2)</f>
      </c>
      <c r="AB35" s="33">
        <f>ROUND(H35-R35,2)</f>
      </c>
      <c r="AC35" s="33">
        <f>ROUND(I35-S35,2)</f>
      </c>
      <c r="AD35" s="33">
        <f>ROUND(J35-T35,2)</f>
      </c>
      <c r="AE35" s="33">
        <f>ROUND(K35-U35,2)</f>
      </c>
      <c r="AF35" s="33">
        <f>IF(V35&lt;=0,0,MAX(0,MIN(V35,ROUND($AZ35-SUMPRODUCT($V35:$AE35*($V35:$AE35&gt;0)*(($V35:$AE35&lt;V35)+($V35:$AE35=V35)*($V$3:$AE$3&gt;V$3)+($V35:$AE35=V35)*($V$3:$AE$3=V$3)*($V$2:$AE$2&lt;V$2))),2))))</f>
      </c>
      <c r="AG35" s="33">
        <f>IF(W35&lt;=0,0,MAX(0,MIN(W35,ROUND($AZ35-SUMPRODUCT($V35:$AE35*($V35:$AE35&gt;0)*(($V35:$AE35&lt;W35)+($V35:$AE35=W35)*($V$3:$AE$3&gt;W$3)+($V35:$AE35=W35)*($V$3:$AE$3=W$3)*($V$2:$AE$2&lt;W$2))),2))))</f>
      </c>
      <c r="AH35" s="33">
        <f>IF(X35&lt;=0,0,MAX(0,MIN(X35,ROUND($AZ35-SUMPRODUCT($V35:$AE35*($V35:$AE35&gt;0)*(($V35:$AE35&lt;X35)+($V35:$AE35=X35)*($V$3:$AE$3&gt;X$3)+($V35:$AE35=X35)*($V$3:$AE$3=X$3)*($V$2:$AE$2&lt;X$2))),2))))</f>
      </c>
      <c r="AI35" s="33">
        <f>IF(Y35&lt;=0,0,MAX(0,MIN(Y35,ROUND($AZ35-SUMPRODUCT($V35:$AE35*($V35:$AE35&gt;0)*(($V35:$AE35&lt;Y35)+($V35:$AE35=Y35)*($V$3:$AE$3&gt;Y$3)+($V35:$AE35=Y35)*($V$3:$AE$3=Y$3)*($V$2:$AE$2&lt;Y$2))),2))))</f>
      </c>
      <c r="AJ35" s="33">
        <f>IF(Z35&lt;=0,0,MAX(0,MIN(Z35,ROUND($AZ35-SUMPRODUCT($V35:$AE35*($V35:$AE35&gt;0)*(($V35:$AE35&lt;Z35)+($V35:$AE35=Z35)*($V$3:$AE$3&gt;Z$3)+($V35:$AE35=Z35)*($V$3:$AE$3=Z$3)*($V$2:$AE$2&lt;Z$2))),2))))</f>
      </c>
      <c r="AK35" s="33">
        <f>IF(AA35&lt;=0,0,MAX(0,MIN(AA35,ROUND($AZ35-SUMPRODUCT($V35:$AE35*($V35:$AE35&gt;0)*(($V35:$AE35&lt;AA35)+($V35:$AE35=AA35)*($V$3:$AE$3&gt;AA$3)+($V35:$AE35=AA35)*($V$3:$AE$3=AA$3)*($V$2:$AE$2&lt;AA$2))),2))))</f>
      </c>
      <c r="AL35" s="33">
        <f>IF(AB35&lt;=0,0,MAX(0,MIN(AB35,ROUND($AZ35-SUMPRODUCT($V35:$AE35*($V35:$AE35&gt;0)*(($V35:$AE35&lt;AB35)+($V35:$AE35=AB35)*($V$3:$AE$3&gt;AB$3)+($V35:$AE35=AB35)*($V$3:$AE$3=AB$3)*($V$2:$AE$2&lt;AB$2))),2))))</f>
      </c>
      <c r="AM35" s="33">
        <f>IF(AC35&lt;=0,0,MAX(0,MIN(AC35,ROUND($AZ35-SUMPRODUCT($V35:$AE35*($V35:$AE35&gt;0)*(($V35:$AE35&lt;AC35)+($V35:$AE35=AC35)*($V$3:$AE$3&gt;AC$3)+($V35:$AE35=AC35)*($V$3:$AE$3=AC$3)*($V$2:$AE$2&lt;AC$2))),2))))</f>
      </c>
      <c r="AN35" s="33">
        <f>IF(AD35&lt;=0,0,MAX(0,MIN(AD35,ROUND($AZ35-SUMPRODUCT($V35:$AE35*($V35:$AE35&gt;0)*(($V35:$AE35&lt;AD35)+($V35:$AE35=AD35)*($V$3:$AE$3&gt;AD$3)+($V35:$AE35=AD35)*($V$3:$AE$3=AD$3)*($V$2:$AE$2&lt;AD$2))),2))))</f>
      </c>
      <c r="AO35" s="33">
        <f>IF(AE35&lt;=0,0,MAX(0,MIN(AE35,ROUND($AZ35-SUMPRODUCT($V35:$AE35*($V35:$AE35&gt;0)*(($V35:$AE35&lt;AE35)+($V35:$AE35=AE35)*($V$3:$AE$3&gt;AE$3)+($V35:$AE35=AE35)*($V$3:$AE$3=AE$3)*($V$2:$AE$2&lt;AE$2))),2))))</f>
      </c>
      <c r="AP35" s="33">
        <f>ROUND(V35-AF35,2)</f>
      </c>
      <c r="AQ35" s="33">
        <f>ROUND(W35-AG35,2)</f>
      </c>
      <c r="AR35" s="33">
        <f>ROUND(X35-AH35,2)</f>
      </c>
      <c r="AS35" s="33">
        <f>ROUND(Y35-AI35,2)</f>
      </c>
      <c r="AT35" s="33">
        <f>ROUND(Z35-AJ35,2)</f>
      </c>
      <c r="AU35" s="33">
        <f>ROUND(AA35-AK35,2)</f>
      </c>
      <c r="AV35" s="33">
        <f>ROUND(AB35-AL35,2)</f>
      </c>
      <c r="AW35" s="33">
        <f>ROUND(AC35-AM35,2)</f>
      </c>
      <c r="AX35" s="33">
        <f>ROUND(AD35-AN35,2)</f>
      </c>
      <c r="AY35" s="33">
        <f>ROUND(AE35-AO35,2)</f>
      </c>
      <c r="AZ35" s="33">
        <f>ROUND(MAX(0,'Your debts'!$D$22-SUM($L35:$U35)),2)</f>
      </c>
      <c r="BA35" s="33">
        <f>ROUND(SUM($B35:$K35)-SUM($AP34:$AY34),2)</f>
      </c>
      <c r="BB35" s="33">
        <f>SUM($AP35:$AY35)</f>
      </c>
      <c r="BC35" s="33">
        <f>ROUND(SUM($L35:$U35)+SUM($AF35:$AO35),2)</f>
      </c>
    </row>
    <row r="36" spans="1:55" x14ac:dyDescent="0.25">
      <c r="A36">
        <v>29</v>
      </c>
      <c r="B36" s="33">
        <f>IF(AP35&lt;=0,0,ROUND(AP35+ROUND(AP35*V$3/12,2),2))</f>
      </c>
      <c r="C36" s="33">
        <f>IF(AQ35&lt;=0,0,ROUND(AQ35+ROUND(AQ35*W$3/12,2),2))</f>
      </c>
      <c r="D36" s="33">
        <f>IF(AR35&lt;=0,0,ROUND(AR35+ROUND(AR35*X$3/12,2),2))</f>
      </c>
      <c r="E36" s="33">
        <f>IF(AS35&lt;=0,0,ROUND(AS35+ROUND(AS35*Y$3/12,2),2))</f>
      </c>
      <c r="F36" s="33">
        <f>IF(AT35&lt;=0,0,ROUND(AT35+ROUND(AT35*Z$3/12,2),2))</f>
      </c>
      <c r="G36" s="33">
        <f>IF(AU35&lt;=0,0,ROUND(AU35+ROUND(AU35*AA$3/12,2),2))</f>
      </c>
      <c r="H36" s="33">
        <f>IF(AV35&lt;=0,0,ROUND(AV35+ROUND(AV35*AB$3/12,2),2))</f>
      </c>
      <c r="I36" s="33">
        <f>IF(AW35&lt;=0,0,ROUND(AW35+ROUND(AW35*AC$3/12,2),2))</f>
      </c>
      <c r="J36" s="33">
        <f>IF(AX35&lt;=0,0,ROUND(AX35+ROUND(AX35*AD$3/12,2),2))</f>
      </c>
      <c r="K36" s="33">
        <f>IF(AY35&lt;=0,0,ROUND(AY35+ROUND(AY35*AE$3/12,2),2))</f>
      </c>
      <c r="L36" s="33">
        <f>ROUND(MIN(MAX(0,N('Your debts'!$E$6)),B36),2)</f>
      </c>
      <c r="M36" s="33">
        <f>ROUND(MIN(MAX(0,N('Your debts'!$E$7)),C36),2)</f>
      </c>
      <c r="N36" s="33">
        <f>ROUND(MIN(MAX(0,N('Your debts'!$E$8)),D36),2)</f>
      </c>
      <c r="O36" s="33">
        <f>ROUND(MIN(MAX(0,N('Your debts'!$E$9)),E36),2)</f>
      </c>
      <c r="P36" s="33">
        <f>ROUND(MIN(MAX(0,N('Your debts'!$E$10)),F36),2)</f>
      </c>
      <c r="Q36" s="33">
        <f>ROUND(MIN(MAX(0,N('Your debts'!$E$11)),G36),2)</f>
      </c>
      <c r="R36" s="33">
        <f>ROUND(MIN(MAX(0,N('Your debts'!$E$12)),H36),2)</f>
      </c>
      <c r="S36" s="33">
        <f>ROUND(MIN(MAX(0,N('Your debts'!$E$13)),I36),2)</f>
      </c>
      <c r="T36" s="33">
        <f>ROUND(MIN(MAX(0,N('Your debts'!$E$14)),J36),2)</f>
      </c>
      <c r="U36" s="33">
        <f>ROUND(MIN(MAX(0,N('Your debts'!$E$15)),K36),2)</f>
      </c>
      <c r="V36" s="33">
        <f>ROUND(B36-L36,2)</f>
      </c>
      <c r="W36" s="33">
        <f>ROUND(C36-M36,2)</f>
      </c>
      <c r="X36" s="33">
        <f>ROUND(D36-N36,2)</f>
      </c>
      <c r="Y36" s="33">
        <f>ROUND(E36-O36,2)</f>
      </c>
      <c r="Z36" s="33">
        <f>ROUND(F36-P36,2)</f>
      </c>
      <c r="AA36" s="33">
        <f>ROUND(G36-Q36,2)</f>
      </c>
      <c r="AB36" s="33">
        <f>ROUND(H36-R36,2)</f>
      </c>
      <c r="AC36" s="33">
        <f>ROUND(I36-S36,2)</f>
      </c>
      <c r="AD36" s="33">
        <f>ROUND(J36-T36,2)</f>
      </c>
      <c r="AE36" s="33">
        <f>ROUND(K36-U36,2)</f>
      </c>
      <c r="AF36" s="33">
        <f>IF(V36&lt;=0,0,MAX(0,MIN(V36,ROUND($AZ36-SUMPRODUCT($V36:$AE36*($V36:$AE36&gt;0)*(($V36:$AE36&lt;V36)+($V36:$AE36=V36)*($V$3:$AE$3&gt;V$3)+($V36:$AE36=V36)*($V$3:$AE$3=V$3)*($V$2:$AE$2&lt;V$2))),2))))</f>
      </c>
      <c r="AG36" s="33">
        <f>IF(W36&lt;=0,0,MAX(0,MIN(W36,ROUND($AZ36-SUMPRODUCT($V36:$AE36*($V36:$AE36&gt;0)*(($V36:$AE36&lt;W36)+($V36:$AE36=W36)*($V$3:$AE$3&gt;W$3)+($V36:$AE36=W36)*($V$3:$AE$3=W$3)*($V$2:$AE$2&lt;W$2))),2))))</f>
      </c>
      <c r="AH36" s="33">
        <f>IF(X36&lt;=0,0,MAX(0,MIN(X36,ROUND($AZ36-SUMPRODUCT($V36:$AE36*($V36:$AE36&gt;0)*(($V36:$AE36&lt;X36)+($V36:$AE36=X36)*($V$3:$AE$3&gt;X$3)+($V36:$AE36=X36)*($V$3:$AE$3=X$3)*($V$2:$AE$2&lt;X$2))),2))))</f>
      </c>
      <c r="AI36" s="33">
        <f>IF(Y36&lt;=0,0,MAX(0,MIN(Y36,ROUND($AZ36-SUMPRODUCT($V36:$AE36*($V36:$AE36&gt;0)*(($V36:$AE36&lt;Y36)+($V36:$AE36=Y36)*($V$3:$AE$3&gt;Y$3)+($V36:$AE36=Y36)*($V$3:$AE$3=Y$3)*($V$2:$AE$2&lt;Y$2))),2))))</f>
      </c>
      <c r="AJ36" s="33">
        <f>IF(Z36&lt;=0,0,MAX(0,MIN(Z36,ROUND($AZ36-SUMPRODUCT($V36:$AE36*($V36:$AE36&gt;0)*(($V36:$AE36&lt;Z36)+($V36:$AE36=Z36)*($V$3:$AE$3&gt;Z$3)+($V36:$AE36=Z36)*($V$3:$AE$3=Z$3)*($V$2:$AE$2&lt;Z$2))),2))))</f>
      </c>
      <c r="AK36" s="33">
        <f>IF(AA36&lt;=0,0,MAX(0,MIN(AA36,ROUND($AZ36-SUMPRODUCT($V36:$AE36*($V36:$AE36&gt;0)*(($V36:$AE36&lt;AA36)+($V36:$AE36=AA36)*($V$3:$AE$3&gt;AA$3)+($V36:$AE36=AA36)*($V$3:$AE$3=AA$3)*($V$2:$AE$2&lt;AA$2))),2))))</f>
      </c>
      <c r="AL36" s="33">
        <f>IF(AB36&lt;=0,0,MAX(0,MIN(AB36,ROUND($AZ36-SUMPRODUCT($V36:$AE36*($V36:$AE36&gt;0)*(($V36:$AE36&lt;AB36)+($V36:$AE36=AB36)*($V$3:$AE$3&gt;AB$3)+($V36:$AE36=AB36)*($V$3:$AE$3=AB$3)*($V$2:$AE$2&lt;AB$2))),2))))</f>
      </c>
      <c r="AM36" s="33">
        <f>IF(AC36&lt;=0,0,MAX(0,MIN(AC36,ROUND($AZ36-SUMPRODUCT($V36:$AE36*($V36:$AE36&gt;0)*(($V36:$AE36&lt;AC36)+($V36:$AE36=AC36)*($V$3:$AE$3&gt;AC$3)+($V36:$AE36=AC36)*($V$3:$AE$3=AC$3)*($V$2:$AE$2&lt;AC$2))),2))))</f>
      </c>
      <c r="AN36" s="33">
        <f>IF(AD36&lt;=0,0,MAX(0,MIN(AD36,ROUND($AZ36-SUMPRODUCT($V36:$AE36*($V36:$AE36&gt;0)*(($V36:$AE36&lt;AD36)+($V36:$AE36=AD36)*($V$3:$AE$3&gt;AD$3)+($V36:$AE36=AD36)*($V$3:$AE$3=AD$3)*($V$2:$AE$2&lt;AD$2))),2))))</f>
      </c>
      <c r="AO36" s="33">
        <f>IF(AE36&lt;=0,0,MAX(0,MIN(AE36,ROUND($AZ36-SUMPRODUCT($V36:$AE36*($V36:$AE36&gt;0)*(($V36:$AE36&lt;AE36)+($V36:$AE36=AE36)*($V$3:$AE$3&gt;AE$3)+($V36:$AE36=AE36)*($V$3:$AE$3=AE$3)*($V$2:$AE$2&lt;AE$2))),2))))</f>
      </c>
      <c r="AP36" s="33">
        <f>ROUND(V36-AF36,2)</f>
      </c>
      <c r="AQ36" s="33">
        <f>ROUND(W36-AG36,2)</f>
      </c>
      <c r="AR36" s="33">
        <f>ROUND(X36-AH36,2)</f>
      </c>
      <c r="AS36" s="33">
        <f>ROUND(Y36-AI36,2)</f>
      </c>
      <c r="AT36" s="33">
        <f>ROUND(Z36-AJ36,2)</f>
      </c>
      <c r="AU36" s="33">
        <f>ROUND(AA36-AK36,2)</f>
      </c>
      <c r="AV36" s="33">
        <f>ROUND(AB36-AL36,2)</f>
      </c>
      <c r="AW36" s="33">
        <f>ROUND(AC36-AM36,2)</f>
      </c>
      <c r="AX36" s="33">
        <f>ROUND(AD36-AN36,2)</f>
      </c>
      <c r="AY36" s="33">
        <f>ROUND(AE36-AO36,2)</f>
      </c>
      <c r="AZ36" s="33">
        <f>ROUND(MAX(0,'Your debts'!$D$22-SUM($L36:$U36)),2)</f>
      </c>
      <c r="BA36" s="33">
        <f>ROUND(SUM($B36:$K36)-SUM($AP35:$AY35),2)</f>
      </c>
      <c r="BB36" s="33">
        <f>SUM($AP36:$AY36)</f>
      </c>
      <c r="BC36" s="33">
        <f>ROUND(SUM($L36:$U36)+SUM($AF36:$AO36),2)</f>
      </c>
    </row>
    <row r="37" spans="1:55" x14ac:dyDescent="0.25">
      <c r="A37">
        <v>30</v>
      </c>
      <c r="B37" s="33">
        <f>IF(AP36&lt;=0,0,ROUND(AP36+ROUND(AP36*V$3/12,2),2))</f>
      </c>
      <c r="C37" s="33">
        <f>IF(AQ36&lt;=0,0,ROUND(AQ36+ROUND(AQ36*W$3/12,2),2))</f>
      </c>
      <c r="D37" s="33">
        <f>IF(AR36&lt;=0,0,ROUND(AR36+ROUND(AR36*X$3/12,2),2))</f>
      </c>
      <c r="E37" s="33">
        <f>IF(AS36&lt;=0,0,ROUND(AS36+ROUND(AS36*Y$3/12,2),2))</f>
      </c>
      <c r="F37" s="33">
        <f>IF(AT36&lt;=0,0,ROUND(AT36+ROUND(AT36*Z$3/12,2),2))</f>
      </c>
      <c r="G37" s="33">
        <f>IF(AU36&lt;=0,0,ROUND(AU36+ROUND(AU36*AA$3/12,2),2))</f>
      </c>
      <c r="H37" s="33">
        <f>IF(AV36&lt;=0,0,ROUND(AV36+ROUND(AV36*AB$3/12,2),2))</f>
      </c>
      <c r="I37" s="33">
        <f>IF(AW36&lt;=0,0,ROUND(AW36+ROUND(AW36*AC$3/12,2),2))</f>
      </c>
      <c r="J37" s="33">
        <f>IF(AX36&lt;=0,0,ROUND(AX36+ROUND(AX36*AD$3/12,2),2))</f>
      </c>
      <c r="K37" s="33">
        <f>IF(AY36&lt;=0,0,ROUND(AY36+ROUND(AY36*AE$3/12,2),2))</f>
      </c>
      <c r="L37" s="33">
        <f>ROUND(MIN(MAX(0,N('Your debts'!$E$6)),B37),2)</f>
      </c>
      <c r="M37" s="33">
        <f>ROUND(MIN(MAX(0,N('Your debts'!$E$7)),C37),2)</f>
      </c>
      <c r="N37" s="33">
        <f>ROUND(MIN(MAX(0,N('Your debts'!$E$8)),D37),2)</f>
      </c>
      <c r="O37" s="33">
        <f>ROUND(MIN(MAX(0,N('Your debts'!$E$9)),E37),2)</f>
      </c>
      <c r="P37" s="33">
        <f>ROUND(MIN(MAX(0,N('Your debts'!$E$10)),F37),2)</f>
      </c>
      <c r="Q37" s="33">
        <f>ROUND(MIN(MAX(0,N('Your debts'!$E$11)),G37),2)</f>
      </c>
      <c r="R37" s="33">
        <f>ROUND(MIN(MAX(0,N('Your debts'!$E$12)),H37),2)</f>
      </c>
      <c r="S37" s="33">
        <f>ROUND(MIN(MAX(0,N('Your debts'!$E$13)),I37),2)</f>
      </c>
      <c r="T37" s="33">
        <f>ROUND(MIN(MAX(0,N('Your debts'!$E$14)),J37),2)</f>
      </c>
      <c r="U37" s="33">
        <f>ROUND(MIN(MAX(0,N('Your debts'!$E$15)),K37),2)</f>
      </c>
      <c r="V37" s="33">
        <f>ROUND(B37-L37,2)</f>
      </c>
      <c r="W37" s="33">
        <f>ROUND(C37-M37,2)</f>
      </c>
      <c r="X37" s="33">
        <f>ROUND(D37-N37,2)</f>
      </c>
      <c r="Y37" s="33">
        <f>ROUND(E37-O37,2)</f>
      </c>
      <c r="Z37" s="33">
        <f>ROUND(F37-P37,2)</f>
      </c>
      <c r="AA37" s="33">
        <f>ROUND(G37-Q37,2)</f>
      </c>
      <c r="AB37" s="33">
        <f>ROUND(H37-R37,2)</f>
      </c>
      <c r="AC37" s="33">
        <f>ROUND(I37-S37,2)</f>
      </c>
      <c r="AD37" s="33">
        <f>ROUND(J37-T37,2)</f>
      </c>
      <c r="AE37" s="33">
        <f>ROUND(K37-U37,2)</f>
      </c>
      <c r="AF37" s="33">
        <f>IF(V37&lt;=0,0,MAX(0,MIN(V37,ROUND($AZ37-SUMPRODUCT($V37:$AE37*($V37:$AE37&gt;0)*(($V37:$AE37&lt;V37)+($V37:$AE37=V37)*($V$3:$AE$3&gt;V$3)+($V37:$AE37=V37)*($V$3:$AE$3=V$3)*($V$2:$AE$2&lt;V$2))),2))))</f>
      </c>
      <c r="AG37" s="33">
        <f>IF(W37&lt;=0,0,MAX(0,MIN(W37,ROUND($AZ37-SUMPRODUCT($V37:$AE37*($V37:$AE37&gt;0)*(($V37:$AE37&lt;W37)+($V37:$AE37=W37)*($V$3:$AE$3&gt;W$3)+($V37:$AE37=W37)*($V$3:$AE$3=W$3)*($V$2:$AE$2&lt;W$2))),2))))</f>
      </c>
      <c r="AH37" s="33">
        <f>IF(X37&lt;=0,0,MAX(0,MIN(X37,ROUND($AZ37-SUMPRODUCT($V37:$AE37*($V37:$AE37&gt;0)*(($V37:$AE37&lt;X37)+($V37:$AE37=X37)*($V$3:$AE$3&gt;X$3)+($V37:$AE37=X37)*($V$3:$AE$3=X$3)*($V$2:$AE$2&lt;X$2))),2))))</f>
      </c>
      <c r="AI37" s="33">
        <f>IF(Y37&lt;=0,0,MAX(0,MIN(Y37,ROUND($AZ37-SUMPRODUCT($V37:$AE37*($V37:$AE37&gt;0)*(($V37:$AE37&lt;Y37)+($V37:$AE37=Y37)*($V$3:$AE$3&gt;Y$3)+($V37:$AE37=Y37)*($V$3:$AE$3=Y$3)*($V$2:$AE$2&lt;Y$2))),2))))</f>
      </c>
      <c r="AJ37" s="33">
        <f>IF(Z37&lt;=0,0,MAX(0,MIN(Z37,ROUND($AZ37-SUMPRODUCT($V37:$AE37*($V37:$AE37&gt;0)*(($V37:$AE37&lt;Z37)+($V37:$AE37=Z37)*($V$3:$AE$3&gt;Z$3)+($V37:$AE37=Z37)*($V$3:$AE$3=Z$3)*($V$2:$AE$2&lt;Z$2))),2))))</f>
      </c>
      <c r="AK37" s="33">
        <f>IF(AA37&lt;=0,0,MAX(0,MIN(AA37,ROUND($AZ37-SUMPRODUCT($V37:$AE37*($V37:$AE37&gt;0)*(($V37:$AE37&lt;AA37)+($V37:$AE37=AA37)*($V$3:$AE$3&gt;AA$3)+($V37:$AE37=AA37)*($V$3:$AE$3=AA$3)*($V$2:$AE$2&lt;AA$2))),2))))</f>
      </c>
      <c r="AL37" s="33">
        <f>IF(AB37&lt;=0,0,MAX(0,MIN(AB37,ROUND($AZ37-SUMPRODUCT($V37:$AE37*($V37:$AE37&gt;0)*(($V37:$AE37&lt;AB37)+($V37:$AE37=AB37)*($V$3:$AE$3&gt;AB$3)+($V37:$AE37=AB37)*($V$3:$AE$3=AB$3)*($V$2:$AE$2&lt;AB$2))),2))))</f>
      </c>
      <c r="AM37" s="33">
        <f>IF(AC37&lt;=0,0,MAX(0,MIN(AC37,ROUND($AZ37-SUMPRODUCT($V37:$AE37*($V37:$AE37&gt;0)*(($V37:$AE37&lt;AC37)+($V37:$AE37=AC37)*($V$3:$AE$3&gt;AC$3)+($V37:$AE37=AC37)*($V$3:$AE$3=AC$3)*($V$2:$AE$2&lt;AC$2))),2))))</f>
      </c>
      <c r="AN37" s="33">
        <f>IF(AD37&lt;=0,0,MAX(0,MIN(AD37,ROUND($AZ37-SUMPRODUCT($V37:$AE37*($V37:$AE37&gt;0)*(($V37:$AE37&lt;AD37)+($V37:$AE37=AD37)*($V$3:$AE$3&gt;AD$3)+($V37:$AE37=AD37)*($V$3:$AE$3=AD$3)*($V$2:$AE$2&lt;AD$2))),2))))</f>
      </c>
      <c r="AO37" s="33">
        <f>IF(AE37&lt;=0,0,MAX(0,MIN(AE37,ROUND($AZ37-SUMPRODUCT($V37:$AE37*($V37:$AE37&gt;0)*(($V37:$AE37&lt;AE37)+($V37:$AE37=AE37)*($V$3:$AE$3&gt;AE$3)+($V37:$AE37=AE37)*($V$3:$AE$3=AE$3)*($V$2:$AE$2&lt;AE$2))),2))))</f>
      </c>
      <c r="AP37" s="33">
        <f>ROUND(V37-AF37,2)</f>
      </c>
      <c r="AQ37" s="33">
        <f>ROUND(W37-AG37,2)</f>
      </c>
      <c r="AR37" s="33">
        <f>ROUND(X37-AH37,2)</f>
      </c>
      <c r="AS37" s="33">
        <f>ROUND(Y37-AI37,2)</f>
      </c>
      <c r="AT37" s="33">
        <f>ROUND(Z37-AJ37,2)</f>
      </c>
      <c r="AU37" s="33">
        <f>ROUND(AA37-AK37,2)</f>
      </c>
      <c r="AV37" s="33">
        <f>ROUND(AB37-AL37,2)</f>
      </c>
      <c r="AW37" s="33">
        <f>ROUND(AC37-AM37,2)</f>
      </c>
      <c r="AX37" s="33">
        <f>ROUND(AD37-AN37,2)</f>
      </c>
      <c r="AY37" s="33">
        <f>ROUND(AE37-AO37,2)</f>
      </c>
      <c r="AZ37" s="33">
        <f>ROUND(MAX(0,'Your debts'!$D$22-SUM($L37:$U37)),2)</f>
      </c>
      <c r="BA37" s="33">
        <f>ROUND(SUM($B37:$K37)-SUM($AP36:$AY36),2)</f>
      </c>
      <c r="BB37" s="33">
        <f>SUM($AP37:$AY37)</f>
      </c>
      <c r="BC37" s="33">
        <f>ROUND(SUM($L37:$U37)+SUM($AF37:$AO37),2)</f>
      </c>
    </row>
    <row r="38" spans="1:55" x14ac:dyDescent="0.25">
      <c r="A38">
        <v>31</v>
      </c>
      <c r="B38" s="33">
        <f>IF(AP37&lt;=0,0,ROUND(AP37+ROUND(AP37*V$3/12,2),2))</f>
      </c>
      <c r="C38" s="33">
        <f>IF(AQ37&lt;=0,0,ROUND(AQ37+ROUND(AQ37*W$3/12,2),2))</f>
      </c>
      <c r="D38" s="33">
        <f>IF(AR37&lt;=0,0,ROUND(AR37+ROUND(AR37*X$3/12,2),2))</f>
      </c>
      <c r="E38" s="33">
        <f>IF(AS37&lt;=0,0,ROUND(AS37+ROUND(AS37*Y$3/12,2),2))</f>
      </c>
      <c r="F38" s="33">
        <f>IF(AT37&lt;=0,0,ROUND(AT37+ROUND(AT37*Z$3/12,2),2))</f>
      </c>
      <c r="G38" s="33">
        <f>IF(AU37&lt;=0,0,ROUND(AU37+ROUND(AU37*AA$3/12,2),2))</f>
      </c>
      <c r="H38" s="33">
        <f>IF(AV37&lt;=0,0,ROUND(AV37+ROUND(AV37*AB$3/12,2),2))</f>
      </c>
      <c r="I38" s="33">
        <f>IF(AW37&lt;=0,0,ROUND(AW37+ROUND(AW37*AC$3/12,2),2))</f>
      </c>
      <c r="J38" s="33">
        <f>IF(AX37&lt;=0,0,ROUND(AX37+ROUND(AX37*AD$3/12,2),2))</f>
      </c>
      <c r="K38" s="33">
        <f>IF(AY37&lt;=0,0,ROUND(AY37+ROUND(AY37*AE$3/12,2),2))</f>
      </c>
      <c r="L38" s="33">
        <f>ROUND(MIN(MAX(0,N('Your debts'!$E$6)),B38),2)</f>
      </c>
      <c r="M38" s="33">
        <f>ROUND(MIN(MAX(0,N('Your debts'!$E$7)),C38),2)</f>
      </c>
      <c r="N38" s="33">
        <f>ROUND(MIN(MAX(0,N('Your debts'!$E$8)),D38),2)</f>
      </c>
      <c r="O38" s="33">
        <f>ROUND(MIN(MAX(0,N('Your debts'!$E$9)),E38),2)</f>
      </c>
      <c r="P38" s="33">
        <f>ROUND(MIN(MAX(0,N('Your debts'!$E$10)),F38),2)</f>
      </c>
      <c r="Q38" s="33">
        <f>ROUND(MIN(MAX(0,N('Your debts'!$E$11)),G38),2)</f>
      </c>
      <c r="R38" s="33">
        <f>ROUND(MIN(MAX(0,N('Your debts'!$E$12)),H38),2)</f>
      </c>
      <c r="S38" s="33">
        <f>ROUND(MIN(MAX(0,N('Your debts'!$E$13)),I38),2)</f>
      </c>
      <c r="T38" s="33">
        <f>ROUND(MIN(MAX(0,N('Your debts'!$E$14)),J38),2)</f>
      </c>
      <c r="U38" s="33">
        <f>ROUND(MIN(MAX(0,N('Your debts'!$E$15)),K38),2)</f>
      </c>
      <c r="V38" s="33">
        <f>ROUND(B38-L38,2)</f>
      </c>
      <c r="W38" s="33">
        <f>ROUND(C38-M38,2)</f>
      </c>
      <c r="X38" s="33">
        <f>ROUND(D38-N38,2)</f>
      </c>
      <c r="Y38" s="33">
        <f>ROUND(E38-O38,2)</f>
      </c>
      <c r="Z38" s="33">
        <f>ROUND(F38-P38,2)</f>
      </c>
      <c r="AA38" s="33">
        <f>ROUND(G38-Q38,2)</f>
      </c>
      <c r="AB38" s="33">
        <f>ROUND(H38-R38,2)</f>
      </c>
      <c r="AC38" s="33">
        <f>ROUND(I38-S38,2)</f>
      </c>
      <c r="AD38" s="33">
        <f>ROUND(J38-T38,2)</f>
      </c>
      <c r="AE38" s="33">
        <f>ROUND(K38-U38,2)</f>
      </c>
      <c r="AF38" s="33">
        <f>IF(V38&lt;=0,0,MAX(0,MIN(V38,ROUND($AZ38-SUMPRODUCT($V38:$AE38*($V38:$AE38&gt;0)*(($V38:$AE38&lt;V38)+($V38:$AE38=V38)*($V$3:$AE$3&gt;V$3)+($V38:$AE38=V38)*($V$3:$AE$3=V$3)*($V$2:$AE$2&lt;V$2))),2))))</f>
      </c>
      <c r="AG38" s="33">
        <f>IF(W38&lt;=0,0,MAX(0,MIN(W38,ROUND($AZ38-SUMPRODUCT($V38:$AE38*($V38:$AE38&gt;0)*(($V38:$AE38&lt;W38)+($V38:$AE38=W38)*($V$3:$AE$3&gt;W$3)+($V38:$AE38=W38)*($V$3:$AE$3=W$3)*($V$2:$AE$2&lt;W$2))),2))))</f>
      </c>
      <c r="AH38" s="33">
        <f>IF(X38&lt;=0,0,MAX(0,MIN(X38,ROUND($AZ38-SUMPRODUCT($V38:$AE38*($V38:$AE38&gt;0)*(($V38:$AE38&lt;X38)+($V38:$AE38=X38)*($V$3:$AE$3&gt;X$3)+($V38:$AE38=X38)*($V$3:$AE$3=X$3)*($V$2:$AE$2&lt;X$2))),2))))</f>
      </c>
      <c r="AI38" s="33">
        <f>IF(Y38&lt;=0,0,MAX(0,MIN(Y38,ROUND($AZ38-SUMPRODUCT($V38:$AE38*($V38:$AE38&gt;0)*(($V38:$AE38&lt;Y38)+($V38:$AE38=Y38)*($V$3:$AE$3&gt;Y$3)+($V38:$AE38=Y38)*($V$3:$AE$3=Y$3)*($V$2:$AE$2&lt;Y$2))),2))))</f>
      </c>
      <c r="AJ38" s="33">
        <f>IF(Z38&lt;=0,0,MAX(0,MIN(Z38,ROUND($AZ38-SUMPRODUCT($V38:$AE38*($V38:$AE38&gt;0)*(($V38:$AE38&lt;Z38)+($V38:$AE38=Z38)*($V$3:$AE$3&gt;Z$3)+($V38:$AE38=Z38)*($V$3:$AE$3=Z$3)*($V$2:$AE$2&lt;Z$2))),2))))</f>
      </c>
      <c r="AK38" s="33">
        <f>IF(AA38&lt;=0,0,MAX(0,MIN(AA38,ROUND($AZ38-SUMPRODUCT($V38:$AE38*($V38:$AE38&gt;0)*(($V38:$AE38&lt;AA38)+($V38:$AE38=AA38)*($V$3:$AE$3&gt;AA$3)+($V38:$AE38=AA38)*($V$3:$AE$3=AA$3)*($V$2:$AE$2&lt;AA$2))),2))))</f>
      </c>
      <c r="AL38" s="33">
        <f>IF(AB38&lt;=0,0,MAX(0,MIN(AB38,ROUND($AZ38-SUMPRODUCT($V38:$AE38*($V38:$AE38&gt;0)*(($V38:$AE38&lt;AB38)+($V38:$AE38=AB38)*($V$3:$AE$3&gt;AB$3)+($V38:$AE38=AB38)*($V$3:$AE$3=AB$3)*($V$2:$AE$2&lt;AB$2))),2))))</f>
      </c>
      <c r="AM38" s="33">
        <f>IF(AC38&lt;=0,0,MAX(0,MIN(AC38,ROUND($AZ38-SUMPRODUCT($V38:$AE38*($V38:$AE38&gt;0)*(($V38:$AE38&lt;AC38)+($V38:$AE38=AC38)*($V$3:$AE$3&gt;AC$3)+($V38:$AE38=AC38)*($V$3:$AE$3=AC$3)*($V$2:$AE$2&lt;AC$2))),2))))</f>
      </c>
      <c r="AN38" s="33">
        <f>IF(AD38&lt;=0,0,MAX(0,MIN(AD38,ROUND($AZ38-SUMPRODUCT($V38:$AE38*($V38:$AE38&gt;0)*(($V38:$AE38&lt;AD38)+($V38:$AE38=AD38)*($V$3:$AE$3&gt;AD$3)+($V38:$AE38=AD38)*($V$3:$AE$3=AD$3)*($V$2:$AE$2&lt;AD$2))),2))))</f>
      </c>
      <c r="AO38" s="33">
        <f>IF(AE38&lt;=0,0,MAX(0,MIN(AE38,ROUND($AZ38-SUMPRODUCT($V38:$AE38*($V38:$AE38&gt;0)*(($V38:$AE38&lt;AE38)+($V38:$AE38=AE38)*($V$3:$AE$3&gt;AE$3)+($V38:$AE38=AE38)*($V$3:$AE$3=AE$3)*($V$2:$AE$2&lt;AE$2))),2))))</f>
      </c>
      <c r="AP38" s="33">
        <f>ROUND(V38-AF38,2)</f>
      </c>
      <c r="AQ38" s="33">
        <f>ROUND(W38-AG38,2)</f>
      </c>
      <c r="AR38" s="33">
        <f>ROUND(X38-AH38,2)</f>
      </c>
      <c r="AS38" s="33">
        <f>ROUND(Y38-AI38,2)</f>
      </c>
      <c r="AT38" s="33">
        <f>ROUND(Z38-AJ38,2)</f>
      </c>
      <c r="AU38" s="33">
        <f>ROUND(AA38-AK38,2)</f>
      </c>
      <c r="AV38" s="33">
        <f>ROUND(AB38-AL38,2)</f>
      </c>
      <c r="AW38" s="33">
        <f>ROUND(AC38-AM38,2)</f>
      </c>
      <c r="AX38" s="33">
        <f>ROUND(AD38-AN38,2)</f>
      </c>
      <c r="AY38" s="33">
        <f>ROUND(AE38-AO38,2)</f>
      </c>
      <c r="AZ38" s="33">
        <f>ROUND(MAX(0,'Your debts'!$D$22-SUM($L38:$U38)),2)</f>
      </c>
      <c r="BA38" s="33">
        <f>ROUND(SUM($B38:$K38)-SUM($AP37:$AY37),2)</f>
      </c>
      <c r="BB38" s="33">
        <f>SUM($AP38:$AY38)</f>
      </c>
      <c r="BC38" s="33">
        <f>ROUND(SUM($L38:$U38)+SUM($AF38:$AO38),2)</f>
      </c>
    </row>
    <row r="39" spans="1:55" x14ac:dyDescent="0.25">
      <c r="A39">
        <v>32</v>
      </c>
      <c r="B39" s="33">
        <f>IF(AP38&lt;=0,0,ROUND(AP38+ROUND(AP38*V$3/12,2),2))</f>
      </c>
      <c r="C39" s="33">
        <f>IF(AQ38&lt;=0,0,ROUND(AQ38+ROUND(AQ38*W$3/12,2),2))</f>
      </c>
      <c r="D39" s="33">
        <f>IF(AR38&lt;=0,0,ROUND(AR38+ROUND(AR38*X$3/12,2),2))</f>
      </c>
      <c r="E39" s="33">
        <f>IF(AS38&lt;=0,0,ROUND(AS38+ROUND(AS38*Y$3/12,2),2))</f>
      </c>
      <c r="F39" s="33">
        <f>IF(AT38&lt;=0,0,ROUND(AT38+ROUND(AT38*Z$3/12,2),2))</f>
      </c>
      <c r="G39" s="33">
        <f>IF(AU38&lt;=0,0,ROUND(AU38+ROUND(AU38*AA$3/12,2),2))</f>
      </c>
      <c r="H39" s="33">
        <f>IF(AV38&lt;=0,0,ROUND(AV38+ROUND(AV38*AB$3/12,2),2))</f>
      </c>
      <c r="I39" s="33">
        <f>IF(AW38&lt;=0,0,ROUND(AW38+ROUND(AW38*AC$3/12,2),2))</f>
      </c>
      <c r="J39" s="33">
        <f>IF(AX38&lt;=0,0,ROUND(AX38+ROUND(AX38*AD$3/12,2),2))</f>
      </c>
      <c r="K39" s="33">
        <f>IF(AY38&lt;=0,0,ROUND(AY38+ROUND(AY38*AE$3/12,2),2))</f>
      </c>
      <c r="L39" s="33">
        <f>ROUND(MIN(MAX(0,N('Your debts'!$E$6)),B39),2)</f>
      </c>
      <c r="M39" s="33">
        <f>ROUND(MIN(MAX(0,N('Your debts'!$E$7)),C39),2)</f>
      </c>
      <c r="N39" s="33">
        <f>ROUND(MIN(MAX(0,N('Your debts'!$E$8)),D39),2)</f>
      </c>
      <c r="O39" s="33">
        <f>ROUND(MIN(MAX(0,N('Your debts'!$E$9)),E39),2)</f>
      </c>
      <c r="P39" s="33">
        <f>ROUND(MIN(MAX(0,N('Your debts'!$E$10)),F39),2)</f>
      </c>
      <c r="Q39" s="33">
        <f>ROUND(MIN(MAX(0,N('Your debts'!$E$11)),G39),2)</f>
      </c>
      <c r="R39" s="33">
        <f>ROUND(MIN(MAX(0,N('Your debts'!$E$12)),H39),2)</f>
      </c>
      <c r="S39" s="33">
        <f>ROUND(MIN(MAX(0,N('Your debts'!$E$13)),I39),2)</f>
      </c>
      <c r="T39" s="33">
        <f>ROUND(MIN(MAX(0,N('Your debts'!$E$14)),J39),2)</f>
      </c>
      <c r="U39" s="33">
        <f>ROUND(MIN(MAX(0,N('Your debts'!$E$15)),K39),2)</f>
      </c>
      <c r="V39" s="33">
        <f>ROUND(B39-L39,2)</f>
      </c>
      <c r="W39" s="33">
        <f>ROUND(C39-M39,2)</f>
      </c>
      <c r="X39" s="33">
        <f>ROUND(D39-N39,2)</f>
      </c>
      <c r="Y39" s="33">
        <f>ROUND(E39-O39,2)</f>
      </c>
      <c r="Z39" s="33">
        <f>ROUND(F39-P39,2)</f>
      </c>
      <c r="AA39" s="33">
        <f>ROUND(G39-Q39,2)</f>
      </c>
      <c r="AB39" s="33">
        <f>ROUND(H39-R39,2)</f>
      </c>
      <c r="AC39" s="33">
        <f>ROUND(I39-S39,2)</f>
      </c>
      <c r="AD39" s="33">
        <f>ROUND(J39-T39,2)</f>
      </c>
      <c r="AE39" s="33">
        <f>ROUND(K39-U39,2)</f>
      </c>
      <c r="AF39" s="33">
        <f>IF(V39&lt;=0,0,MAX(0,MIN(V39,ROUND($AZ39-SUMPRODUCT($V39:$AE39*($V39:$AE39&gt;0)*(($V39:$AE39&lt;V39)+($V39:$AE39=V39)*($V$3:$AE$3&gt;V$3)+($V39:$AE39=V39)*($V$3:$AE$3=V$3)*($V$2:$AE$2&lt;V$2))),2))))</f>
      </c>
      <c r="AG39" s="33">
        <f>IF(W39&lt;=0,0,MAX(0,MIN(W39,ROUND($AZ39-SUMPRODUCT($V39:$AE39*($V39:$AE39&gt;0)*(($V39:$AE39&lt;W39)+($V39:$AE39=W39)*($V$3:$AE$3&gt;W$3)+($V39:$AE39=W39)*($V$3:$AE$3=W$3)*($V$2:$AE$2&lt;W$2))),2))))</f>
      </c>
      <c r="AH39" s="33">
        <f>IF(X39&lt;=0,0,MAX(0,MIN(X39,ROUND($AZ39-SUMPRODUCT($V39:$AE39*($V39:$AE39&gt;0)*(($V39:$AE39&lt;X39)+($V39:$AE39=X39)*($V$3:$AE$3&gt;X$3)+($V39:$AE39=X39)*($V$3:$AE$3=X$3)*($V$2:$AE$2&lt;X$2))),2))))</f>
      </c>
      <c r="AI39" s="33">
        <f>IF(Y39&lt;=0,0,MAX(0,MIN(Y39,ROUND($AZ39-SUMPRODUCT($V39:$AE39*($V39:$AE39&gt;0)*(($V39:$AE39&lt;Y39)+($V39:$AE39=Y39)*($V$3:$AE$3&gt;Y$3)+($V39:$AE39=Y39)*($V$3:$AE$3=Y$3)*($V$2:$AE$2&lt;Y$2))),2))))</f>
      </c>
      <c r="AJ39" s="33">
        <f>IF(Z39&lt;=0,0,MAX(0,MIN(Z39,ROUND($AZ39-SUMPRODUCT($V39:$AE39*($V39:$AE39&gt;0)*(($V39:$AE39&lt;Z39)+($V39:$AE39=Z39)*($V$3:$AE$3&gt;Z$3)+($V39:$AE39=Z39)*($V$3:$AE$3=Z$3)*($V$2:$AE$2&lt;Z$2))),2))))</f>
      </c>
      <c r="AK39" s="33">
        <f>IF(AA39&lt;=0,0,MAX(0,MIN(AA39,ROUND($AZ39-SUMPRODUCT($V39:$AE39*($V39:$AE39&gt;0)*(($V39:$AE39&lt;AA39)+($V39:$AE39=AA39)*($V$3:$AE$3&gt;AA$3)+($V39:$AE39=AA39)*($V$3:$AE$3=AA$3)*($V$2:$AE$2&lt;AA$2))),2))))</f>
      </c>
      <c r="AL39" s="33">
        <f>IF(AB39&lt;=0,0,MAX(0,MIN(AB39,ROUND($AZ39-SUMPRODUCT($V39:$AE39*($V39:$AE39&gt;0)*(($V39:$AE39&lt;AB39)+($V39:$AE39=AB39)*($V$3:$AE$3&gt;AB$3)+($V39:$AE39=AB39)*($V$3:$AE$3=AB$3)*($V$2:$AE$2&lt;AB$2))),2))))</f>
      </c>
      <c r="AM39" s="33">
        <f>IF(AC39&lt;=0,0,MAX(0,MIN(AC39,ROUND($AZ39-SUMPRODUCT($V39:$AE39*($V39:$AE39&gt;0)*(($V39:$AE39&lt;AC39)+($V39:$AE39=AC39)*($V$3:$AE$3&gt;AC$3)+($V39:$AE39=AC39)*($V$3:$AE$3=AC$3)*($V$2:$AE$2&lt;AC$2))),2))))</f>
      </c>
      <c r="AN39" s="33">
        <f>IF(AD39&lt;=0,0,MAX(0,MIN(AD39,ROUND($AZ39-SUMPRODUCT($V39:$AE39*($V39:$AE39&gt;0)*(($V39:$AE39&lt;AD39)+($V39:$AE39=AD39)*($V$3:$AE$3&gt;AD$3)+($V39:$AE39=AD39)*($V$3:$AE$3=AD$3)*($V$2:$AE$2&lt;AD$2))),2))))</f>
      </c>
      <c r="AO39" s="33">
        <f>IF(AE39&lt;=0,0,MAX(0,MIN(AE39,ROUND($AZ39-SUMPRODUCT($V39:$AE39*($V39:$AE39&gt;0)*(($V39:$AE39&lt;AE39)+($V39:$AE39=AE39)*($V$3:$AE$3&gt;AE$3)+($V39:$AE39=AE39)*($V$3:$AE$3=AE$3)*($V$2:$AE$2&lt;AE$2))),2))))</f>
      </c>
      <c r="AP39" s="33">
        <f>ROUND(V39-AF39,2)</f>
      </c>
      <c r="AQ39" s="33">
        <f>ROUND(W39-AG39,2)</f>
      </c>
      <c r="AR39" s="33">
        <f>ROUND(X39-AH39,2)</f>
      </c>
      <c r="AS39" s="33">
        <f>ROUND(Y39-AI39,2)</f>
      </c>
      <c r="AT39" s="33">
        <f>ROUND(Z39-AJ39,2)</f>
      </c>
      <c r="AU39" s="33">
        <f>ROUND(AA39-AK39,2)</f>
      </c>
      <c r="AV39" s="33">
        <f>ROUND(AB39-AL39,2)</f>
      </c>
      <c r="AW39" s="33">
        <f>ROUND(AC39-AM39,2)</f>
      </c>
      <c r="AX39" s="33">
        <f>ROUND(AD39-AN39,2)</f>
      </c>
      <c r="AY39" s="33">
        <f>ROUND(AE39-AO39,2)</f>
      </c>
      <c r="AZ39" s="33">
        <f>ROUND(MAX(0,'Your debts'!$D$22-SUM($L39:$U39)),2)</f>
      </c>
      <c r="BA39" s="33">
        <f>ROUND(SUM($B39:$K39)-SUM($AP38:$AY38),2)</f>
      </c>
      <c r="BB39" s="33">
        <f>SUM($AP39:$AY39)</f>
      </c>
      <c r="BC39" s="33">
        <f>ROUND(SUM($L39:$U39)+SUM($AF39:$AO39),2)</f>
      </c>
    </row>
    <row r="40" spans="1:55" x14ac:dyDescent="0.25">
      <c r="A40">
        <v>33</v>
      </c>
      <c r="B40" s="33">
        <f>IF(AP39&lt;=0,0,ROUND(AP39+ROUND(AP39*V$3/12,2),2))</f>
      </c>
      <c r="C40" s="33">
        <f>IF(AQ39&lt;=0,0,ROUND(AQ39+ROUND(AQ39*W$3/12,2),2))</f>
      </c>
      <c r="D40" s="33">
        <f>IF(AR39&lt;=0,0,ROUND(AR39+ROUND(AR39*X$3/12,2),2))</f>
      </c>
      <c r="E40" s="33">
        <f>IF(AS39&lt;=0,0,ROUND(AS39+ROUND(AS39*Y$3/12,2),2))</f>
      </c>
      <c r="F40" s="33">
        <f>IF(AT39&lt;=0,0,ROUND(AT39+ROUND(AT39*Z$3/12,2),2))</f>
      </c>
      <c r="G40" s="33">
        <f>IF(AU39&lt;=0,0,ROUND(AU39+ROUND(AU39*AA$3/12,2),2))</f>
      </c>
      <c r="H40" s="33">
        <f>IF(AV39&lt;=0,0,ROUND(AV39+ROUND(AV39*AB$3/12,2),2))</f>
      </c>
      <c r="I40" s="33">
        <f>IF(AW39&lt;=0,0,ROUND(AW39+ROUND(AW39*AC$3/12,2),2))</f>
      </c>
      <c r="J40" s="33">
        <f>IF(AX39&lt;=0,0,ROUND(AX39+ROUND(AX39*AD$3/12,2),2))</f>
      </c>
      <c r="K40" s="33">
        <f>IF(AY39&lt;=0,0,ROUND(AY39+ROUND(AY39*AE$3/12,2),2))</f>
      </c>
      <c r="L40" s="33">
        <f>ROUND(MIN(MAX(0,N('Your debts'!$E$6)),B40),2)</f>
      </c>
      <c r="M40" s="33">
        <f>ROUND(MIN(MAX(0,N('Your debts'!$E$7)),C40),2)</f>
      </c>
      <c r="N40" s="33">
        <f>ROUND(MIN(MAX(0,N('Your debts'!$E$8)),D40),2)</f>
      </c>
      <c r="O40" s="33">
        <f>ROUND(MIN(MAX(0,N('Your debts'!$E$9)),E40),2)</f>
      </c>
      <c r="P40" s="33">
        <f>ROUND(MIN(MAX(0,N('Your debts'!$E$10)),F40),2)</f>
      </c>
      <c r="Q40" s="33">
        <f>ROUND(MIN(MAX(0,N('Your debts'!$E$11)),G40),2)</f>
      </c>
      <c r="R40" s="33">
        <f>ROUND(MIN(MAX(0,N('Your debts'!$E$12)),H40),2)</f>
      </c>
      <c r="S40" s="33">
        <f>ROUND(MIN(MAX(0,N('Your debts'!$E$13)),I40),2)</f>
      </c>
      <c r="T40" s="33">
        <f>ROUND(MIN(MAX(0,N('Your debts'!$E$14)),J40),2)</f>
      </c>
      <c r="U40" s="33">
        <f>ROUND(MIN(MAX(0,N('Your debts'!$E$15)),K40),2)</f>
      </c>
      <c r="V40" s="33">
        <f>ROUND(B40-L40,2)</f>
      </c>
      <c r="W40" s="33">
        <f>ROUND(C40-M40,2)</f>
      </c>
      <c r="X40" s="33">
        <f>ROUND(D40-N40,2)</f>
      </c>
      <c r="Y40" s="33">
        <f>ROUND(E40-O40,2)</f>
      </c>
      <c r="Z40" s="33">
        <f>ROUND(F40-P40,2)</f>
      </c>
      <c r="AA40" s="33">
        <f>ROUND(G40-Q40,2)</f>
      </c>
      <c r="AB40" s="33">
        <f>ROUND(H40-R40,2)</f>
      </c>
      <c r="AC40" s="33">
        <f>ROUND(I40-S40,2)</f>
      </c>
      <c r="AD40" s="33">
        <f>ROUND(J40-T40,2)</f>
      </c>
      <c r="AE40" s="33">
        <f>ROUND(K40-U40,2)</f>
      </c>
      <c r="AF40" s="33">
        <f>IF(V40&lt;=0,0,MAX(0,MIN(V40,ROUND($AZ40-SUMPRODUCT($V40:$AE40*($V40:$AE40&gt;0)*(($V40:$AE40&lt;V40)+($V40:$AE40=V40)*($V$3:$AE$3&gt;V$3)+($V40:$AE40=V40)*($V$3:$AE$3=V$3)*($V$2:$AE$2&lt;V$2))),2))))</f>
      </c>
      <c r="AG40" s="33">
        <f>IF(W40&lt;=0,0,MAX(0,MIN(W40,ROUND($AZ40-SUMPRODUCT($V40:$AE40*($V40:$AE40&gt;0)*(($V40:$AE40&lt;W40)+($V40:$AE40=W40)*($V$3:$AE$3&gt;W$3)+($V40:$AE40=W40)*($V$3:$AE$3=W$3)*($V$2:$AE$2&lt;W$2))),2))))</f>
      </c>
      <c r="AH40" s="33">
        <f>IF(X40&lt;=0,0,MAX(0,MIN(X40,ROUND($AZ40-SUMPRODUCT($V40:$AE40*($V40:$AE40&gt;0)*(($V40:$AE40&lt;X40)+($V40:$AE40=X40)*($V$3:$AE$3&gt;X$3)+($V40:$AE40=X40)*($V$3:$AE$3=X$3)*($V$2:$AE$2&lt;X$2))),2))))</f>
      </c>
      <c r="AI40" s="33">
        <f>IF(Y40&lt;=0,0,MAX(0,MIN(Y40,ROUND($AZ40-SUMPRODUCT($V40:$AE40*($V40:$AE40&gt;0)*(($V40:$AE40&lt;Y40)+($V40:$AE40=Y40)*($V$3:$AE$3&gt;Y$3)+($V40:$AE40=Y40)*($V$3:$AE$3=Y$3)*($V$2:$AE$2&lt;Y$2))),2))))</f>
      </c>
      <c r="AJ40" s="33">
        <f>IF(Z40&lt;=0,0,MAX(0,MIN(Z40,ROUND($AZ40-SUMPRODUCT($V40:$AE40*($V40:$AE40&gt;0)*(($V40:$AE40&lt;Z40)+($V40:$AE40=Z40)*($V$3:$AE$3&gt;Z$3)+($V40:$AE40=Z40)*($V$3:$AE$3=Z$3)*($V$2:$AE$2&lt;Z$2))),2))))</f>
      </c>
      <c r="AK40" s="33">
        <f>IF(AA40&lt;=0,0,MAX(0,MIN(AA40,ROUND($AZ40-SUMPRODUCT($V40:$AE40*($V40:$AE40&gt;0)*(($V40:$AE40&lt;AA40)+($V40:$AE40=AA40)*($V$3:$AE$3&gt;AA$3)+($V40:$AE40=AA40)*($V$3:$AE$3=AA$3)*($V$2:$AE$2&lt;AA$2))),2))))</f>
      </c>
      <c r="AL40" s="33">
        <f>IF(AB40&lt;=0,0,MAX(0,MIN(AB40,ROUND($AZ40-SUMPRODUCT($V40:$AE40*($V40:$AE40&gt;0)*(($V40:$AE40&lt;AB40)+($V40:$AE40=AB40)*($V$3:$AE$3&gt;AB$3)+($V40:$AE40=AB40)*($V$3:$AE$3=AB$3)*($V$2:$AE$2&lt;AB$2))),2))))</f>
      </c>
      <c r="AM40" s="33">
        <f>IF(AC40&lt;=0,0,MAX(0,MIN(AC40,ROUND($AZ40-SUMPRODUCT($V40:$AE40*($V40:$AE40&gt;0)*(($V40:$AE40&lt;AC40)+($V40:$AE40=AC40)*($V$3:$AE$3&gt;AC$3)+($V40:$AE40=AC40)*($V$3:$AE$3=AC$3)*($V$2:$AE$2&lt;AC$2))),2))))</f>
      </c>
      <c r="AN40" s="33">
        <f>IF(AD40&lt;=0,0,MAX(0,MIN(AD40,ROUND($AZ40-SUMPRODUCT($V40:$AE40*($V40:$AE40&gt;0)*(($V40:$AE40&lt;AD40)+($V40:$AE40=AD40)*($V$3:$AE$3&gt;AD$3)+($V40:$AE40=AD40)*($V$3:$AE$3=AD$3)*($V$2:$AE$2&lt;AD$2))),2))))</f>
      </c>
      <c r="AO40" s="33">
        <f>IF(AE40&lt;=0,0,MAX(0,MIN(AE40,ROUND($AZ40-SUMPRODUCT($V40:$AE40*($V40:$AE40&gt;0)*(($V40:$AE40&lt;AE40)+($V40:$AE40=AE40)*($V$3:$AE$3&gt;AE$3)+($V40:$AE40=AE40)*($V$3:$AE$3=AE$3)*($V$2:$AE$2&lt;AE$2))),2))))</f>
      </c>
      <c r="AP40" s="33">
        <f>ROUND(V40-AF40,2)</f>
      </c>
      <c r="AQ40" s="33">
        <f>ROUND(W40-AG40,2)</f>
      </c>
      <c r="AR40" s="33">
        <f>ROUND(X40-AH40,2)</f>
      </c>
      <c r="AS40" s="33">
        <f>ROUND(Y40-AI40,2)</f>
      </c>
      <c r="AT40" s="33">
        <f>ROUND(Z40-AJ40,2)</f>
      </c>
      <c r="AU40" s="33">
        <f>ROUND(AA40-AK40,2)</f>
      </c>
      <c r="AV40" s="33">
        <f>ROUND(AB40-AL40,2)</f>
      </c>
      <c r="AW40" s="33">
        <f>ROUND(AC40-AM40,2)</f>
      </c>
      <c r="AX40" s="33">
        <f>ROUND(AD40-AN40,2)</f>
      </c>
      <c r="AY40" s="33">
        <f>ROUND(AE40-AO40,2)</f>
      </c>
      <c r="AZ40" s="33">
        <f>ROUND(MAX(0,'Your debts'!$D$22-SUM($L40:$U40)),2)</f>
      </c>
      <c r="BA40" s="33">
        <f>ROUND(SUM($B40:$K40)-SUM($AP39:$AY39),2)</f>
      </c>
      <c r="BB40" s="33">
        <f>SUM($AP40:$AY40)</f>
      </c>
      <c r="BC40" s="33">
        <f>ROUND(SUM($L40:$U40)+SUM($AF40:$AO40),2)</f>
      </c>
    </row>
    <row r="41" spans="1:55" x14ac:dyDescent="0.25">
      <c r="A41">
        <v>34</v>
      </c>
      <c r="B41" s="33">
        <f>IF(AP40&lt;=0,0,ROUND(AP40+ROUND(AP40*V$3/12,2),2))</f>
      </c>
      <c r="C41" s="33">
        <f>IF(AQ40&lt;=0,0,ROUND(AQ40+ROUND(AQ40*W$3/12,2),2))</f>
      </c>
      <c r="D41" s="33">
        <f>IF(AR40&lt;=0,0,ROUND(AR40+ROUND(AR40*X$3/12,2),2))</f>
      </c>
      <c r="E41" s="33">
        <f>IF(AS40&lt;=0,0,ROUND(AS40+ROUND(AS40*Y$3/12,2),2))</f>
      </c>
      <c r="F41" s="33">
        <f>IF(AT40&lt;=0,0,ROUND(AT40+ROUND(AT40*Z$3/12,2),2))</f>
      </c>
      <c r="G41" s="33">
        <f>IF(AU40&lt;=0,0,ROUND(AU40+ROUND(AU40*AA$3/12,2),2))</f>
      </c>
      <c r="H41" s="33">
        <f>IF(AV40&lt;=0,0,ROUND(AV40+ROUND(AV40*AB$3/12,2),2))</f>
      </c>
      <c r="I41" s="33">
        <f>IF(AW40&lt;=0,0,ROUND(AW40+ROUND(AW40*AC$3/12,2),2))</f>
      </c>
      <c r="J41" s="33">
        <f>IF(AX40&lt;=0,0,ROUND(AX40+ROUND(AX40*AD$3/12,2),2))</f>
      </c>
      <c r="K41" s="33">
        <f>IF(AY40&lt;=0,0,ROUND(AY40+ROUND(AY40*AE$3/12,2),2))</f>
      </c>
      <c r="L41" s="33">
        <f>ROUND(MIN(MAX(0,N('Your debts'!$E$6)),B41),2)</f>
      </c>
      <c r="M41" s="33">
        <f>ROUND(MIN(MAX(0,N('Your debts'!$E$7)),C41),2)</f>
      </c>
      <c r="N41" s="33">
        <f>ROUND(MIN(MAX(0,N('Your debts'!$E$8)),D41),2)</f>
      </c>
      <c r="O41" s="33">
        <f>ROUND(MIN(MAX(0,N('Your debts'!$E$9)),E41),2)</f>
      </c>
      <c r="P41" s="33">
        <f>ROUND(MIN(MAX(0,N('Your debts'!$E$10)),F41),2)</f>
      </c>
      <c r="Q41" s="33">
        <f>ROUND(MIN(MAX(0,N('Your debts'!$E$11)),G41),2)</f>
      </c>
      <c r="R41" s="33">
        <f>ROUND(MIN(MAX(0,N('Your debts'!$E$12)),H41),2)</f>
      </c>
      <c r="S41" s="33">
        <f>ROUND(MIN(MAX(0,N('Your debts'!$E$13)),I41),2)</f>
      </c>
      <c r="T41" s="33">
        <f>ROUND(MIN(MAX(0,N('Your debts'!$E$14)),J41),2)</f>
      </c>
      <c r="U41" s="33">
        <f>ROUND(MIN(MAX(0,N('Your debts'!$E$15)),K41),2)</f>
      </c>
      <c r="V41" s="33">
        <f>ROUND(B41-L41,2)</f>
      </c>
      <c r="W41" s="33">
        <f>ROUND(C41-M41,2)</f>
      </c>
      <c r="X41" s="33">
        <f>ROUND(D41-N41,2)</f>
      </c>
      <c r="Y41" s="33">
        <f>ROUND(E41-O41,2)</f>
      </c>
      <c r="Z41" s="33">
        <f>ROUND(F41-P41,2)</f>
      </c>
      <c r="AA41" s="33">
        <f>ROUND(G41-Q41,2)</f>
      </c>
      <c r="AB41" s="33">
        <f>ROUND(H41-R41,2)</f>
      </c>
      <c r="AC41" s="33">
        <f>ROUND(I41-S41,2)</f>
      </c>
      <c r="AD41" s="33">
        <f>ROUND(J41-T41,2)</f>
      </c>
      <c r="AE41" s="33">
        <f>ROUND(K41-U41,2)</f>
      </c>
      <c r="AF41" s="33">
        <f>IF(V41&lt;=0,0,MAX(0,MIN(V41,ROUND($AZ41-SUMPRODUCT($V41:$AE41*($V41:$AE41&gt;0)*(($V41:$AE41&lt;V41)+($V41:$AE41=V41)*($V$3:$AE$3&gt;V$3)+($V41:$AE41=V41)*($V$3:$AE$3=V$3)*($V$2:$AE$2&lt;V$2))),2))))</f>
      </c>
      <c r="AG41" s="33">
        <f>IF(W41&lt;=0,0,MAX(0,MIN(W41,ROUND($AZ41-SUMPRODUCT($V41:$AE41*($V41:$AE41&gt;0)*(($V41:$AE41&lt;W41)+($V41:$AE41=W41)*($V$3:$AE$3&gt;W$3)+($V41:$AE41=W41)*($V$3:$AE$3=W$3)*($V$2:$AE$2&lt;W$2))),2))))</f>
      </c>
      <c r="AH41" s="33">
        <f>IF(X41&lt;=0,0,MAX(0,MIN(X41,ROUND($AZ41-SUMPRODUCT($V41:$AE41*($V41:$AE41&gt;0)*(($V41:$AE41&lt;X41)+($V41:$AE41=X41)*($V$3:$AE$3&gt;X$3)+($V41:$AE41=X41)*($V$3:$AE$3=X$3)*($V$2:$AE$2&lt;X$2))),2))))</f>
      </c>
      <c r="AI41" s="33">
        <f>IF(Y41&lt;=0,0,MAX(0,MIN(Y41,ROUND($AZ41-SUMPRODUCT($V41:$AE41*($V41:$AE41&gt;0)*(($V41:$AE41&lt;Y41)+($V41:$AE41=Y41)*($V$3:$AE$3&gt;Y$3)+($V41:$AE41=Y41)*($V$3:$AE$3=Y$3)*($V$2:$AE$2&lt;Y$2))),2))))</f>
      </c>
      <c r="AJ41" s="33">
        <f>IF(Z41&lt;=0,0,MAX(0,MIN(Z41,ROUND($AZ41-SUMPRODUCT($V41:$AE41*($V41:$AE41&gt;0)*(($V41:$AE41&lt;Z41)+($V41:$AE41=Z41)*($V$3:$AE$3&gt;Z$3)+($V41:$AE41=Z41)*($V$3:$AE$3=Z$3)*($V$2:$AE$2&lt;Z$2))),2))))</f>
      </c>
      <c r="AK41" s="33">
        <f>IF(AA41&lt;=0,0,MAX(0,MIN(AA41,ROUND($AZ41-SUMPRODUCT($V41:$AE41*($V41:$AE41&gt;0)*(($V41:$AE41&lt;AA41)+($V41:$AE41=AA41)*($V$3:$AE$3&gt;AA$3)+($V41:$AE41=AA41)*($V$3:$AE$3=AA$3)*($V$2:$AE$2&lt;AA$2))),2))))</f>
      </c>
      <c r="AL41" s="33">
        <f>IF(AB41&lt;=0,0,MAX(0,MIN(AB41,ROUND($AZ41-SUMPRODUCT($V41:$AE41*($V41:$AE41&gt;0)*(($V41:$AE41&lt;AB41)+($V41:$AE41=AB41)*($V$3:$AE$3&gt;AB$3)+($V41:$AE41=AB41)*($V$3:$AE$3=AB$3)*($V$2:$AE$2&lt;AB$2))),2))))</f>
      </c>
      <c r="AM41" s="33">
        <f>IF(AC41&lt;=0,0,MAX(0,MIN(AC41,ROUND($AZ41-SUMPRODUCT($V41:$AE41*($V41:$AE41&gt;0)*(($V41:$AE41&lt;AC41)+($V41:$AE41=AC41)*($V$3:$AE$3&gt;AC$3)+($V41:$AE41=AC41)*($V$3:$AE$3=AC$3)*($V$2:$AE$2&lt;AC$2))),2))))</f>
      </c>
      <c r="AN41" s="33">
        <f>IF(AD41&lt;=0,0,MAX(0,MIN(AD41,ROUND($AZ41-SUMPRODUCT($V41:$AE41*($V41:$AE41&gt;0)*(($V41:$AE41&lt;AD41)+($V41:$AE41=AD41)*($V$3:$AE$3&gt;AD$3)+($V41:$AE41=AD41)*($V$3:$AE$3=AD$3)*($V$2:$AE$2&lt;AD$2))),2))))</f>
      </c>
      <c r="AO41" s="33">
        <f>IF(AE41&lt;=0,0,MAX(0,MIN(AE41,ROUND($AZ41-SUMPRODUCT($V41:$AE41*($V41:$AE41&gt;0)*(($V41:$AE41&lt;AE41)+($V41:$AE41=AE41)*($V$3:$AE$3&gt;AE$3)+($V41:$AE41=AE41)*($V$3:$AE$3=AE$3)*($V$2:$AE$2&lt;AE$2))),2))))</f>
      </c>
      <c r="AP41" s="33">
        <f>ROUND(V41-AF41,2)</f>
      </c>
      <c r="AQ41" s="33">
        <f>ROUND(W41-AG41,2)</f>
      </c>
      <c r="AR41" s="33">
        <f>ROUND(X41-AH41,2)</f>
      </c>
      <c r="AS41" s="33">
        <f>ROUND(Y41-AI41,2)</f>
      </c>
      <c r="AT41" s="33">
        <f>ROUND(Z41-AJ41,2)</f>
      </c>
      <c r="AU41" s="33">
        <f>ROUND(AA41-AK41,2)</f>
      </c>
      <c r="AV41" s="33">
        <f>ROUND(AB41-AL41,2)</f>
      </c>
      <c r="AW41" s="33">
        <f>ROUND(AC41-AM41,2)</f>
      </c>
      <c r="AX41" s="33">
        <f>ROUND(AD41-AN41,2)</f>
      </c>
      <c r="AY41" s="33">
        <f>ROUND(AE41-AO41,2)</f>
      </c>
      <c r="AZ41" s="33">
        <f>ROUND(MAX(0,'Your debts'!$D$22-SUM($L41:$U41)),2)</f>
      </c>
      <c r="BA41" s="33">
        <f>ROUND(SUM($B41:$K41)-SUM($AP40:$AY40),2)</f>
      </c>
      <c r="BB41" s="33">
        <f>SUM($AP41:$AY41)</f>
      </c>
      <c r="BC41" s="33">
        <f>ROUND(SUM($L41:$U41)+SUM($AF41:$AO41),2)</f>
      </c>
    </row>
    <row r="42" spans="1:55" x14ac:dyDescent="0.25">
      <c r="A42">
        <v>35</v>
      </c>
      <c r="B42" s="33">
        <f>IF(AP41&lt;=0,0,ROUND(AP41+ROUND(AP41*V$3/12,2),2))</f>
      </c>
      <c r="C42" s="33">
        <f>IF(AQ41&lt;=0,0,ROUND(AQ41+ROUND(AQ41*W$3/12,2),2))</f>
      </c>
      <c r="D42" s="33">
        <f>IF(AR41&lt;=0,0,ROUND(AR41+ROUND(AR41*X$3/12,2),2))</f>
      </c>
      <c r="E42" s="33">
        <f>IF(AS41&lt;=0,0,ROUND(AS41+ROUND(AS41*Y$3/12,2),2))</f>
      </c>
      <c r="F42" s="33">
        <f>IF(AT41&lt;=0,0,ROUND(AT41+ROUND(AT41*Z$3/12,2),2))</f>
      </c>
      <c r="G42" s="33">
        <f>IF(AU41&lt;=0,0,ROUND(AU41+ROUND(AU41*AA$3/12,2),2))</f>
      </c>
      <c r="H42" s="33">
        <f>IF(AV41&lt;=0,0,ROUND(AV41+ROUND(AV41*AB$3/12,2),2))</f>
      </c>
      <c r="I42" s="33">
        <f>IF(AW41&lt;=0,0,ROUND(AW41+ROUND(AW41*AC$3/12,2),2))</f>
      </c>
      <c r="J42" s="33">
        <f>IF(AX41&lt;=0,0,ROUND(AX41+ROUND(AX41*AD$3/12,2),2))</f>
      </c>
      <c r="K42" s="33">
        <f>IF(AY41&lt;=0,0,ROUND(AY41+ROUND(AY41*AE$3/12,2),2))</f>
      </c>
      <c r="L42" s="33">
        <f>ROUND(MIN(MAX(0,N('Your debts'!$E$6)),B42),2)</f>
      </c>
      <c r="M42" s="33">
        <f>ROUND(MIN(MAX(0,N('Your debts'!$E$7)),C42),2)</f>
      </c>
      <c r="N42" s="33">
        <f>ROUND(MIN(MAX(0,N('Your debts'!$E$8)),D42),2)</f>
      </c>
      <c r="O42" s="33">
        <f>ROUND(MIN(MAX(0,N('Your debts'!$E$9)),E42),2)</f>
      </c>
      <c r="P42" s="33">
        <f>ROUND(MIN(MAX(0,N('Your debts'!$E$10)),F42),2)</f>
      </c>
      <c r="Q42" s="33">
        <f>ROUND(MIN(MAX(0,N('Your debts'!$E$11)),G42),2)</f>
      </c>
      <c r="R42" s="33">
        <f>ROUND(MIN(MAX(0,N('Your debts'!$E$12)),H42),2)</f>
      </c>
      <c r="S42" s="33">
        <f>ROUND(MIN(MAX(0,N('Your debts'!$E$13)),I42),2)</f>
      </c>
      <c r="T42" s="33">
        <f>ROUND(MIN(MAX(0,N('Your debts'!$E$14)),J42),2)</f>
      </c>
      <c r="U42" s="33">
        <f>ROUND(MIN(MAX(0,N('Your debts'!$E$15)),K42),2)</f>
      </c>
      <c r="V42" s="33">
        <f>ROUND(B42-L42,2)</f>
      </c>
      <c r="W42" s="33">
        <f>ROUND(C42-M42,2)</f>
      </c>
      <c r="X42" s="33">
        <f>ROUND(D42-N42,2)</f>
      </c>
      <c r="Y42" s="33">
        <f>ROUND(E42-O42,2)</f>
      </c>
      <c r="Z42" s="33">
        <f>ROUND(F42-P42,2)</f>
      </c>
      <c r="AA42" s="33">
        <f>ROUND(G42-Q42,2)</f>
      </c>
      <c r="AB42" s="33">
        <f>ROUND(H42-R42,2)</f>
      </c>
      <c r="AC42" s="33">
        <f>ROUND(I42-S42,2)</f>
      </c>
      <c r="AD42" s="33">
        <f>ROUND(J42-T42,2)</f>
      </c>
      <c r="AE42" s="33">
        <f>ROUND(K42-U42,2)</f>
      </c>
      <c r="AF42" s="33">
        <f>IF(V42&lt;=0,0,MAX(0,MIN(V42,ROUND($AZ42-SUMPRODUCT($V42:$AE42*($V42:$AE42&gt;0)*(($V42:$AE42&lt;V42)+($V42:$AE42=V42)*($V$3:$AE$3&gt;V$3)+($V42:$AE42=V42)*($V$3:$AE$3=V$3)*($V$2:$AE$2&lt;V$2))),2))))</f>
      </c>
      <c r="AG42" s="33">
        <f>IF(W42&lt;=0,0,MAX(0,MIN(W42,ROUND($AZ42-SUMPRODUCT($V42:$AE42*($V42:$AE42&gt;0)*(($V42:$AE42&lt;W42)+($V42:$AE42=W42)*($V$3:$AE$3&gt;W$3)+($V42:$AE42=W42)*($V$3:$AE$3=W$3)*($V$2:$AE$2&lt;W$2))),2))))</f>
      </c>
      <c r="AH42" s="33">
        <f>IF(X42&lt;=0,0,MAX(0,MIN(X42,ROUND($AZ42-SUMPRODUCT($V42:$AE42*($V42:$AE42&gt;0)*(($V42:$AE42&lt;X42)+($V42:$AE42=X42)*($V$3:$AE$3&gt;X$3)+($V42:$AE42=X42)*($V$3:$AE$3=X$3)*($V$2:$AE$2&lt;X$2))),2))))</f>
      </c>
      <c r="AI42" s="33">
        <f>IF(Y42&lt;=0,0,MAX(0,MIN(Y42,ROUND($AZ42-SUMPRODUCT($V42:$AE42*($V42:$AE42&gt;0)*(($V42:$AE42&lt;Y42)+($V42:$AE42=Y42)*($V$3:$AE$3&gt;Y$3)+($V42:$AE42=Y42)*($V$3:$AE$3=Y$3)*($V$2:$AE$2&lt;Y$2))),2))))</f>
      </c>
      <c r="AJ42" s="33">
        <f>IF(Z42&lt;=0,0,MAX(0,MIN(Z42,ROUND($AZ42-SUMPRODUCT($V42:$AE42*($V42:$AE42&gt;0)*(($V42:$AE42&lt;Z42)+($V42:$AE42=Z42)*($V$3:$AE$3&gt;Z$3)+($V42:$AE42=Z42)*($V$3:$AE$3=Z$3)*($V$2:$AE$2&lt;Z$2))),2))))</f>
      </c>
      <c r="AK42" s="33">
        <f>IF(AA42&lt;=0,0,MAX(0,MIN(AA42,ROUND($AZ42-SUMPRODUCT($V42:$AE42*($V42:$AE42&gt;0)*(($V42:$AE42&lt;AA42)+($V42:$AE42=AA42)*($V$3:$AE$3&gt;AA$3)+($V42:$AE42=AA42)*($V$3:$AE$3=AA$3)*($V$2:$AE$2&lt;AA$2))),2))))</f>
      </c>
      <c r="AL42" s="33">
        <f>IF(AB42&lt;=0,0,MAX(0,MIN(AB42,ROUND($AZ42-SUMPRODUCT($V42:$AE42*($V42:$AE42&gt;0)*(($V42:$AE42&lt;AB42)+($V42:$AE42=AB42)*($V$3:$AE$3&gt;AB$3)+($V42:$AE42=AB42)*($V$3:$AE$3=AB$3)*($V$2:$AE$2&lt;AB$2))),2))))</f>
      </c>
      <c r="AM42" s="33">
        <f>IF(AC42&lt;=0,0,MAX(0,MIN(AC42,ROUND($AZ42-SUMPRODUCT($V42:$AE42*($V42:$AE42&gt;0)*(($V42:$AE42&lt;AC42)+($V42:$AE42=AC42)*($V$3:$AE$3&gt;AC$3)+($V42:$AE42=AC42)*($V$3:$AE$3=AC$3)*($V$2:$AE$2&lt;AC$2))),2))))</f>
      </c>
      <c r="AN42" s="33">
        <f>IF(AD42&lt;=0,0,MAX(0,MIN(AD42,ROUND($AZ42-SUMPRODUCT($V42:$AE42*($V42:$AE42&gt;0)*(($V42:$AE42&lt;AD42)+($V42:$AE42=AD42)*($V$3:$AE$3&gt;AD$3)+($V42:$AE42=AD42)*($V$3:$AE$3=AD$3)*($V$2:$AE$2&lt;AD$2))),2))))</f>
      </c>
      <c r="AO42" s="33">
        <f>IF(AE42&lt;=0,0,MAX(0,MIN(AE42,ROUND($AZ42-SUMPRODUCT($V42:$AE42*($V42:$AE42&gt;0)*(($V42:$AE42&lt;AE42)+($V42:$AE42=AE42)*($V$3:$AE$3&gt;AE$3)+($V42:$AE42=AE42)*($V$3:$AE$3=AE$3)*($V$2:$AE$2&lt;AE$2))),2))))</f>
      </c>
      <c r="AP42" s="33">
        <f>ROUND(V42-AF42,2)</f>
      </c>
      <c r="AQ42" s="33">
        <f>ROUND(W42-AG42,2)</f>
      </c>
      <c r="AR42" s="33">
        <f>ROUND(X42-AH42,2)</f>
      </c>
      <c r="AS42" s="33">
        <f>ROUND(Y42-AI42,2)</f>
      </c>
      <c r="AT42" s="33">
        <f>ROUND(Z42-AJ42,2)</f>
      </c>
      <c r="AU42" s="33">
        <f>ROUND(AA42-AK42,2)</f>
      </c>
      <c r="AV42" s="33">
        <f>ROUND(AB42-AL42,2)</f>
      </c>
      <c r="AW42" s="33">
        <f>ROUND(AC42-AM42,2)</f>
      </c>
      <c r="AX42" s="33">
        <f>ROUND(AD42-AN42,2)</f>
      </c>
      <c r="AY42" s="33">
        <f>ROUND(AE42-AO42,2)</f>
      </c>
      <c r="AZ42" s="33">
        <f>ROUND(MAX(0,'Your debts'!$D$22-SUM($L42:$U42)),2)</f>
      </c>
      <c r="BA42" s="33">
        <f>ROUND(SUM($B42:$K42)-SUM($AP41:$AY41),2)</f>
      </c>
      <c r="BB42" s="33">
        <f>SUM($AP42:$AY42)</f>
      </c>
      <c r="BC42" s="33">
        <f>ROUND(SUM($L42:$U42)+SUM($AF42:$AO42),2)</f>
      </c>
    </row>
    <row r="43" spans="1:55" x14ac:dyDescent="0.25">
      <c r="A43">
        <v>36</v>
      </c>
      <c r="B43" s="33">
        <f>IF(AP42&lt;=0,0,ROUND(AP42+ROUND(AP42*V$3/12,2),2))</f>
      </c>
      <c r="C43" s="33">
        <f>IF(AQ42&lt;=0,0,ROUND(AQ42+ROUND(AQ42*W$3/12,2),2))</f>
      </c>
      <c r="D43" s="33">
        <f>IF(AR42&lt;=0,0,ROUND(AR42+ROUND(AR42*X$3/12,2),2))</f>
      </c>
      <c r="E43" s="33">
        <f>IF(AS42&lt;=0,0,ROUND(AS42+ROUND(AS42*Y$3/12,2),2))</f>
      </c>
      <c r="F43" s="33">
        <f>IF(AT42&lt;=0,0,ROUND(AT42+ROUND(AT42*Z$3/12,2),2))</f>
      </c>
      <c r="G43" s="33">
        <f>IF(AU42&lt;=0,0,ROUND(AU42+ROUND(AU42*AA$3/12,2),2))</f>
      </c>
      <c r="H43" s="33">
        <f>IF(AV42&lt;=0,0,ROUND(AV42+ROUND(AV42*AB$3/12,2),2))</f>
      </c>
      <c r="I43" s="33">
        <f>IF(AW42&lt;=0,0,ROUND(AW42+ROUND(AW42*AC$3/12,2),2))</f>
      </c>
      <c r="J43" s="33">
        <f>IF(AX42&lt;=0,0,ROUND(AX42+ROUND(AX42*AD$3/12,2),2))</f>
      </c>
      <c r="K43" s="33">
        <f>IF(AY42&lt;=0,0,ROUND(AY42+ROUND(AY42*AE$3/12,2),2))</f>
      </c>
      <c r="L43" s="33">
        <f>ROUND(MIN(MAX(0,N('Your debts'!$E$6)),B43),2)</f>
      </c>
      <c r="M43" s="33">
        <f>ROUND(MIN(MAX(0,N('Your debts'!$E$7)),C43),2)</f>
      </c>
      <c r="N43" s="33">
        <f>ROUND(MIN(MAX(0,N('Your debts'!$E$8)),D43),2)</f>
      </c>
      <c r="O43" s="33">
        <f>ROUND(MIN(MAX(0,N('Your debts'!$E$9)),E43),2)</f>
      </c>
      <c r="P43" s="33">
        <f>ROUND(MIN(MAX(0,N('Your debts'!$E$10)),F43),2)</f>
      </c>
      <c r="Q43" s="33">
        <f>ROUND(MIN(MAX(0,N('Your debts'!$E$11)),G43),2)</f>
      </c>
      <c r="R43" s="33">
        <f>ROUND(MIN(MAX(0,N('Your debts'!$E$12)),H43),2)</f>
      </c>
      <c r="S43" s="33">
        <f>ROUND(MIN(MAX(0,N('Your debts'!$E$13)),I43),2)</f>
      </c>
      <c r="T43" s="33">
        <f>ROUND(MIN(MAX(0,N('Your debts'!$E$14)),J43),2)</f>
      </c>
      <c r="U43" s="33">
        <f>ROUND(MIN(MAX(0,N('Your debts'!$E$15)),K43),2)</f>
      </c>
      <c r="V43" s="33">
        <f>ROUND(B43-L43,2)</f>
      </c>
      <c r="W43" s="33">
        <f>ROUND(C43-M43,2)</f>
      </c>
      <c r="X43" s="33">
        <f>ROUND(D43-N43,2)</f>
      </c>
      <c r="Y43" s="33">
        <f>ROUND(E43-O43,2)</f>
      </c>
      <c r="Z43" s="33">
        <f>ROUND(F43-P43,2)</f>
      </c>
      <c r="AA43" s="33">
        <f>ROUND(G43-Q43,2)</f>
      </c>
      <c r="AB43" s="33">
        <f>ROUND(H43-R43,2)</f>
      </c>
      <c r="AC43" s="33">
        <f>ROUND(I43-S43,2)</f>
      </c>
      <c r="AD43" s="33">
        <f>ROUND(J43-T43,2)</f>
      </c>
      <c r="AE43" s="33">
        <f>ROUND(K43-U43,2)</f>
      </c>
      <c r="AF43" s="33">
        <f>IF(V43&lt;=0,0,MAX(0,MIN(V43,ROUND($AZ43-SUMPRODUCT($V43:$AE43*($V43:$AE43&gt;0)*(($V43:$AE43&lt;V43)+($V43:$AE43=V43)*($V$3:$AE$3&gt;V$3)+($V43:$AE43=V43)*($V$3:$AE$3=V$3)*($V$2:$AE$2&lt;V$2))),2))))</f>
      </c>
      <c r="AG43" s="33">
        <f>IF(W43&lt;=0,0,MAX(0,MIN(W43,ROUND($AZ43-SUMPRODUCT($V43:$AE43*($V43:$AE43&gt;0)*(($V43:$AE43&lt;W43)+($V43:$AE43=W43)*($V$3:$AE$3&gt;W$3)+($V43:$AE43=W43)*($V$3:$AE$3=W$3)*($V$2:$AE$2&lt;W$2))),2))))</f>
      </c>
      <c r="AH43" s="33">
        <f>IF(X43&lt;=0,0,MAX(0,MIN(X43,ROUND($AZ43-SUMPRODUCT($V43:$AE43*($V43:$AE43&gt;0)*(($V43:$AE43&lt;X43)+($V43:$AE43=X43)*($V$3:$AE$3&gt;X$3)+($V43:$AE43=X43)*($V$3:$AE$3=X$3)*($V$2:$AE$2&lt;X$2))),2))))</f>
      </c>
      <c r="AI43" s="33">
        <f>IF(Y43&lt;=0,0,MAX(0,MIN(Y43,ROUND($AZ43-SUMPRODUCT($V43:$AE43*($V43:$AE43&gt;0)*(($V43:$AE43&lt;Y43)+($V43:$AE43=Y43)*($V$3:$AE$3&gt;Y$3)+($V43:$AE43=Y43)*($V$3:$AE$3=Y$3)*($V$2:$AE$2&lt;Y$2))),2))))</f>
      </c>
      <c r="AJ43" s="33">
        <f>IF(Z43&lt;=0,0,MAX(0,MIN(Z43,ROUND($AZ43-SUMPRODUCT($V43:$AE43*($V43:$AE43&gt;0)*(($V43:$AE43&lt;Z43)+($V43:$AE43=Z43)*($V$3:$AE$3&gt;Z$3)+($V43:$AE43=Z43)*($V$3:$AE$3=Z$3)*($V$2:$AE$2&lt;Z$2))),2))))</f>
      </c>
      <c r="AK43" s="33">
        <f>IF(AA43&lt;=0,0,MAX(0,MIN(AA43,ROUND($AZ43-SUMPRODUCT($V43:$AE43*($V43:$AE43&gt;0)*(($V43:$AE43&lt;AA43)+($V43:$AE43=AA43)*($V$3:$AE$3&gt;AA$3)+($V43:$AE43=AA43)*($V$3:$AE$3=AA$3)*($V$2:$AE$2&lt;AA$2))),2))))</f>
      </c>
      <c r="AL43" s="33">
        <f>IF(AB43&lt;=0,0,MAX(0,MIN(AB43,ROUND($AZ43-SUMPRODUCT($V43:$AE43*($V43:$AE43&gt;0)*(($V43:$AE43&lt;AB43)+($V43:$AE43=AB43)*($V$3:$AE$3&gt;AB$3)+($V43:$AE43=AB43)*($V$3:$AE$3=AB$3)*($V$2:$AE$2&lt;AB$2))),2))))</f>
      </c>
      <c r="AM43" s="33">
        <f>IF(AC43&lt;=0,0,MAX(0,MIN(AC43,ROUND($AZ43-SUMPRODUCT($V43:$AE43*($V43:$AE43&gt;0)*(($V43:$AE43&lt;AC43)+($V43:$AE43=AC43)*($V$3:$AE$3&gt;AC$3)+($V43:$AE43=AC43)*($V$3:$AE$3=AC$3)*($V$2:$AE$2&lt;AC$2))),2))))</f>
      </c>
      <c r="AN43" s="33">
        <f>IF(AD43&lt;=0,0,MAX(0,MIN(AD43,ROUND($AZ43-SUMPRODUCT($V43:$AE43*($V43:$AE43&gt;0)*(($V43:$AE43&lt;AD43)+($V43:$AE43=AD43)*($V$3:$AE$3&gt;AD$3)+($V43:$AE43=AD43)*($V$3:$AE$3=AD$3)*($V$2:$AE$2&lt;AD$2))),2))))</f>
      </c>
      <c r="AO43" s="33">
        <f>IF(AE43&lt;=0,0,MAX(0,MIN(AE43,ROUND($AZ43-SUMPRODUCT($V43:$AE43*($V43:$AE43&gt;0)*(($V43:$AE43&lt;AE43)+($V43:$AE43=AE43)*($V$3:$AE$3&gt;AE$3)+($V43:$AE43=AE43)*($V$3:$AE$3=AE$3)*($V$2:$AE$2&lt;AE$2))),2))))</f>
      </c>
      <c r="AP43" s="33">
        <f>ROUND(V43-AF43,2)</f>
      </c>
      <c r="AQ43" s="33">
        <f>ROUND(W43-AG43,2)</f>
      </c>
      <c r="AR43" s="33">
        <f>ROUND(X43-AH43,2)</f>
      </c>
      <c r="AS43" s="33">
        <f>ROUND(Y43-AI43,2)</f>
      </c>
      <c r="AT43" s="33">
        <f>ROUND(Z43-AJ43,2)</f>
      </c>
      <c r="AU43" s="33">
        <f>ROUND(AA43-AK43,2)</f>
      </c>
      <c r="AV43" s="33">
        <f>ROUND(AB43-AL43,2)</f>
      </c>
      <c r="AW43" s="33">
        <f>ROUND(AC43-AM43,2)</f>
      </c>
      <c r="AX43" s="33">
        <f>ROUND(AD43-AN43,2)</f>
      </c>
      <c r="AY43" s="33">
        <f>ROUND(AE43-AO43,2)</f>
      </c>
      <c r="AZ43" s="33">
        <f>ROUND(MAX(0,'Your debts'!$D$22-SUM($L43:$U43)),2)</f>
      </c>
      <c r="BA43" s="33">
        <f>ROUND(SUM($B43:$K43)-SUM($AP42:$AY42),2)</f>
      </c>
      <c r="BB43" s="33">
        <f>SUM($AP43:$AY43)</f>
      </c>
      <c r="BC43" s="33">
        <f>ROUND(SUM($L43:$U43)+SUM($AF43:$AO43),2)</f>
      </c>
    </row>
    <row r="44" spans="1:55" x14ac:dyDescent="0.25">
      <c r="A44">
        <v>37</v>
      </c>
      <c r="B44" s="33">
        <f>IF(AP43&lt;=0,0,ROUND(AP43+ROUND(AP43*V$3/12,2),2))</f>
      </c>
      <c r="C44" s="33">
        <f>IF(AQ43&lt;=0,0,ROUND(AQ43+ROUND(AQ43*W$3/12,2),2))</f>
      </c>
      <c r="D44" s="33">
        <f>IF(AR43&lt;=0,0,ROUND(AR43+ROUND(AR43*X$3/12,2),2))</f>
      </c>
      <c r="E44" s="33">
        <f>IF(AS43&lt;=0,0,ROUND(AS43+ROUND(AS43*Y$3/12,2),2))</f>
      </c>
      <c r="F44" s="33">
        <f>IF(AT43&lt;=0,0,ROUND(AT43+ROUND(AT43*Z$3/12,2),2))</f>
      </c>
      <c r="G44" s="33">
        <f>IF(AU43&lt;=0,0,ROUND(AU43+ROUND(AU43*AA$3/12,2),2))</f>
      </c>
      <c r="H44" s="33">
        <f>IF(AV43&lt;=0,0,ROUND(AV43+ROUND(AV43*AB$3/12,2),2))</f>
      </c>
      <c r="I44" s="33">
        <f>IF(AW43&lt;=0,0,ROUND(AW43+ROUND(AW43*AC$3/12,2),2))</f>
      </c>
      <c r="J44" s="33">
        <f>IF(AX43&lt;=0,0,ROUND(AX43+ROUND(AX43*AD$3/12,2),2))</f>
      </c>
      <c r="K44" s="33">
        <f>IF(AY43&lt;=0,0,ROUND(AY43+ROUND(AY43*AE$3/12,2),2))</f>
      </c>
      <c r="L44" s="33">
        <f>ROUND(MIN(MAX(0,N('Your debts'!$E$6)),B44),2)</f>
      </c>
      <c r="M44" s="33">
        <f>ROUND(MIN(MAX(0,N('Your debts'!$E$7)),C44),2)</f>
      </c>
      <c r="N44" s="33">
        <f>ROUND(MIN(MAX(0,N('Your debts'!$E$8)),D44),2)</f>
      </c>
      <c r="O44" s="33">
        <f>ROUND(MIN(MAX(0,N('Your debts'!$E$9)),E44),2)</f>
      </c>
      <c r="P44" s="33">
        <f>ROUND(MIN(MAX(0,N('Your debts'!$E$10)),F44),2)</f>
      </c>
      <c r="Q44" s="33">
        <f>ROUND(MIN(MAX(0,N('Your debts'!$E$11)),G44),2)</f>
      </c>
      <c r="R44" s="33">
        <f>ROUND(MIN(MAX(0,N('Your debts'!$E$12)),H44),2)</f>
      </c>
      <c r="S44" s="33">
        <f>ROUND(MIN(MAX(0,N('Your debts'!$E$13)),I44),2)</f>
      </c>
      <c r="T44" s="33">
        <f>ROUND(MIN(MAX(0,N('Your debts'!$E$14)),J44),2)</f>
      </c>
      <c r="U44" s="33">
        <f>ROUND(MIN(MAX(0,N('Your debts'!$E$15)),K44),2)</f>
      </c>
      <c r="V44" s="33">
        <f>ROUND(B44-L44,2)</f>
      </c>
      <c r="W44" s="33">
        <f>ROUND(C44-M44,2)</f>
      </c>
      <c r="X44" s="33">
        <f>ROUND(D44-N44,2)</f>
      </c>
      <c r="Y44" s="33">
        <f>ROUND(E44-O44,2)</f>
      </c>
      <c r="Z44" s="33">
        <f>ROUND(F44-P44,2)</f>
      </c>
      <c r="AA44" s="33">
        <f>ROUND(G44-Q44,2)</f>
      </c>
      <c r="AB44" s="33">
        <f>ROUND(H44-R44,2)</f>
      </c>
      <c r="AC44" s="33">
        <f>ROUND(I44-S44,2)</f>
      </c>
      <c r="AD44" s="33">
        <f>ROUND(J44-T44,2)</f>
      </c>
      <c r="AE44" s="33">
        <f>ROUND(K44-U44,2)</f>
      </c>
      <c r="AF44" s="33">
        <f>IF(V44&lt;=0,0,MAX(0,MIN(V44,ROUND($AZ44-SUMPRODUCT($V44:$AE44*($V44:$AE44&gt;0)*(($V44:$AE44&lt;V44)+($V44:$AE44=V44)*($V$3:$AE$3&gt;V$3)+($V44:$AE44=V44)*($V$3:$AE$3=V$3)*($V$2:$AE$2&lt;V$2))),2))))</f>
      </c>
      <c r="AG44" s="33">
        <f>IF(W44&lt;=0,0,MAX(0,MIN(W44,ROUND($AZ44-SUMPRODUCT($V44:$AE44*($V44:$AE44&gt;0)*(($V44:$AE44&lt;W44)+($V44:$AE44=W44)*($V$3:$AE$3&gt;W$3)+($V44:$AE44=W44)*($V$3:$AE$3=W$3)*($V$2:$AE$2&lt;W$2))),2))))</f>
      </c>
      <c r="AH44" s="33">
        <f>IF(X44&lt;=0,0,MAX(0,MIN(X44,ROUND($AZ44-SUMPRODUCT($V44:$AE44*($V44:$AE44&gt;0)*(($V44:$AE44&lt;X44)+($V44:$AE44=X44)*($V$3:$AE$3&gt;X$3)+($V44:$AE44=X44)*($V$3:$AE$3=X$3)*($V$2:$AE$2&lt;X$2))),2))))</f>
      </c>
      <c r="AI44" s="33">
        <f>IF(Y44&lt;=0,0,MAX(0,MIN(Y44,ROUND($AZ44-SUMPRODUCT($V44:$AE44*($V44:$AE44&gt;0)*(($V44:$AE44&lt;Y44)+($V44:$AE44=Y44)*($V$3:$AE$3&gt;Y$3)+($V44:$AE44=Y44)*($V$3:$AE$3=Y$3)*($V$2:$AE$2&lt;Y$2))),2))))</f>
      </c>
      <c r="AJ44" s="33">
        <f>IF(Z44&lt;=0,0,MAX(0,MIN(Z44,ROUND($AZ44-SUMPRODUCT($V44:$AE44*($V44:$AE44&gt;0)*(($V44:$AE44&lt;Z44)+($V44:$AE44=Z44)*($V$3:$AE$3&gt;Z$3)+($V44:$AE44=Z44)*($V$3:$AE$3=Z$3)*($V$2:$AE$2&lt;Z$2))),2))))</f>
      </c>
      <c r="AK44" s="33">
        <f>IF(AA44&lt;=0,0,MAX(0,MIN(AA44,ROUND($AZ44-SUMPRODUCT($V44:$AE44*($V44:$AE44&gt;0)*(($V44:$AE44&lt;AA44)+($V44:$AE44=AA44)*($V$3:$AE$3&gt;AA$3)+($V44:$AE44=AA44)*($V$3:$AE$3=AA$3)*($V$2:$AE$2&lt;AA$2))),2))))</f>
      </c>
      <c r="AL44" s="33">
        <f>IF(AB44&lt;=0,0,MAX(0,MIN(AB44,ROUND($AZ44-SUMPRODUCT($V44:$AE44*($V44:$AE44&gt;0)*(($V44:$AE44&lt;AB44)+($V44:$AE44=AB44)*($V$3:$AE$3&gt;AB$3)+($V44:$AE44=AB44)*($V$3:$AE$3=AB$3)*($V$2:$AE$2&lt;AB$2))),2))))</f>
      </c>
      <c r="AM44" s="33">
        <f>IF(AC44&lt;=0,0,MAX(0,MIN(AC44,ROUND($AZ44-SUMPRODUCT($V44:$AE44*($V44:$AE44&gt;0)*(($V44:$AE44&lt;AC44)+($V44:$AE44=AC44)*($V$3:$AE$3&gt;AC$3)+($V44:$AE44=AC44)*($V$3:$AE$3=AC$3)*($V$2:$AE$2&lt;AC$2))),2))))</f>
      </c>
      <c r="AN44" s="33">
        <f>IF(AD44&lt;=0,0,MAX(0,MIN(AD44,ROUND($AZ44-SUMPRODUCT($V44:$AE44*($V44:$AE44&gt;0)*(($V44:$AE44&lt;AD44)+($V44:$AE44=AD44)*($V$3:$AE$3&gt;AD$3)+($V44:$AE44=AD44)*($V$3:$AE$3=AD$3)*($V$2:$AE$2&lt;AD$2))),2))))</f>
      </c>
      <c r="AO44" s="33">
        <f>IF(AE44&lt;=0,0,MAX(0,MIN(AE44,ROUND($AZ44-SUMPRODUCT($V44:$AE44*($V44:$AE44&gt;0)*(($V44:$AE44&lt;AE44)+($V44:$AE44=AE44)*($V$3:$AE$3&gt;AE$3)+($V44:$AE44=AE44)*($V$3:$AE$3=AE$3)*($V$2:$AE$2&lt;AE$2))),2))))</f>
      </c>
      <c r="AP44" s="33">
        <f>ROUND(V44-AF44,2)</f>
      </c>
      <c r="AQ44" s="33">
        <f>ROUND(W44-AG44,2)</f>
      </c>
      <c r="AR44" s="33">
        <f>ROUND(X44-AH44,2)</f>
      </c>
      <c r="AS44" s="33">
        <f>ROUND(Y44-AI44,2)</f>
      </c>
      <c r="AT44" s="33">
        <f>ROUND(Z44-AJ44,2)</f>
      </c>
      <c r="AU44" s="33">
        <f>ROUND(AA44-AK44,2)</f>
      </c>
      <c r="AV44" s="33">
        <f>ROUND(AB44-AL44,2)</f>
      </c>
      <c r="AW44" s="33">
        <f>ROUND(AC44-AM44,2)</f>
      </c>
      <c r="AX44" s="33">
        <f>ROUND(AD44-AN44,2)</f>
      </c>
      <c r="AY44" s="33">
        <f>ROUND(AE44-AO44,2)</f>
      </c>
      <c r="AZ44" s="33">
        <f>ROUND(MAX(0,'Your debts'!$D$22-SUM($L44:$U44)),2)</f>
      </c>
      <c r="BA44" s="33">
        <f>ROUND(SUM($B44:$K44)-SUM($AP43:$AY43),2)</f>
      </c>
      <c r="BB44" s="33">
        <f>SUM($AP44:$AY44)</f>
      </c>
      <c r="BC44" s="33">
        <f>ROUND(SUM($L44:$U44)+SUM($AF44:$AO44),2)</f>
      </c>
    </row>
    <row r="45" spans="1:55" x14ac:dyDescent="0.25">
      <c r="A45">
        <v>38</v>
      </c>
      <c r="B45" s="33">
        <f>IF(AP44&lt;=0,0,ROUND(AP44+ROUND(AP44*V$3/12,2),2))</f>
      </c>
      <c r="C45" s="33">
        <f>IF(AQ44&lt;=0,0,ROUND(AQ44+ROUND(AQ44*W$3/12,2),2))</f>
      </c>
      <c r="D45" s="33">
        <f>IF(AR44&lt;=0,0,ROUND(AR44+ROUND(AR44*X$3/12,2),2))</f>
      </c>
      <c r="E45" s="33">
        <f>IF(AS44&lt;=0,0,ROUND(AS44+ROUND(AS44*Y$3/12,2),2))</f>
      </c>
      <c r="F45" s="33">
        <f>IF(AT44&lt;=0,0,ROUND(AT44+ROUND(AT44*Z$3/12,2),2))</f>
      </c>
      <c r="G45" s="33">
        <f>IF(AU44&lt;=0,0,ROUND(AU44+ROUND(AU44*AA$3/12,2),2))</f>
      </c>
      <c r="H45" s="33">
        <f>IF(AV44&lt;=0,0,ROUND(AV44+ROUND(AV44*AB$3/12,2),2))</f>
      </c>
      <c r="I45" s="33">
        <f>IF(AW44&lt;=0,0,ROUND(AW44+ROUND(AW44*AC$3/12,2),2))</f>
      </c>
      <c r="J45" s="33">
        <f>IF(AX44&lt;=0,0,ROUND(AX44+ROUND(AX44*AD$3/12,2),2))</f>
      </c>
      <c r="K45" s="33">
        <f>IF(AY44&lt;=0,0,ROUND(AY44+ROUND(AY44*AE$3/12,2),2))</f>
      </c>
      <c r="L45" s="33">
        <f>ROUND(MIN(MAX(0,N('Your debts'!$E$6)),B45),2)</f>
      </c>
      <c r="M45" s="33">
        <f>ROUND(MIN(MAX(0,N('Your debts'!$E$7)),C45),2)</f>
      </c>
      <c r="N45" s="33">
        <f>ROUND(MIN(MAX(0,N('Your debts'!$E$8)),D45),2)</f>
      </c>
      <c r="O45" s="33">
        <f>ROUND(MIN(MAX(0,N('Your debts'!$E$9)),E45),2)</f>
      </c>
      <c r="P45" s="33">
        <f>ROUND(MIN(MAX(0,N('Your debts'!$E$10)),F45),2)</f>
      </c>
      <c r="Q45" s="33">
        <f>ROUND(MIN(MAX(0,N('Your debts'!$E$11)),G45),2)</f>
      </c>
      <c r="R45" s="33">
        <f>ROUND(MIN(MAX(0,N('Your debts'!$E$12)),H45),2)</f>
      </c>
      <c r="S45" s="33">
        <f>ROUND(MIN(MAX(0,N('Your debts'!$E$13)),I45),2)</f>
      </c>
      <c r="T45" s="33">
        <f>ROUND(MIN(MAX(0,N('Your debts'!$E$14)),J45),2)</f>
      </c>
      <c r="U45" s="33">
        <f>ROUND(MIN(MAX(0,N('Your debts'!$E$15)),K45),2)</f>
      </c>
      <c r="V45" s="33">
        <f>ROUND(B45-L45,2)</f>
      </c>
      <c r="W45" s="33">
        <f>ROUND(C45-M45,2)</f>
      </c>
      <c r="X45" s="33">
        <f>ROUND(D45-N45,2)</f>
      </c>
      <c r="Y45" s="33">
        <f>ROUND(E45-O45,2)</f>
      </c>
      <c r="Z45" s="33">
        <f>ROUND(F45-P45,2)</f>
      </c>
      <c r="AA45" s="33">
        <f>ROUND(G45-Q45,2)</f>
      </c>
      <c r="AB45" s="33">
        <f>ROUND(H45-R45,2)</f>
      </c>
      <c r="AC45" s="33">
        <f>ROUND(I45-S45,2)</f>
      </c>
      <c r="AD45" s="33">
        <f>ROUND(J45-T45,2)</f>
      </c>
      <c r="AE45" s="33">
        <f>ROUND(K45-U45,2)</f>
      </c>
      <c r="AF45" s="33">
        <f>IF(V45&lt;=0,0,MAX(0,MIN(V45,ROUND($AZ45-SUMPRODUCT($V45:$AE45*($V45:$AE45&gt;0)*(($V45:$AE45&lt;V45)+($V45:$AE45=V45)*($V$3:$AE$3&gt;V$3)+($V45:$AE45=V45)*($V$3:$AE$3=V$3)*($V$2:$AE$2&lt;V$2))),2))))</f>
      </c>
      <c r="AG45" s="33">
        <f>IF(W45&lt;=0,0,MAX(0,MIN(W45,ROUND($AZ45-SUMPRODUCT($V45:$AE45*($V45:$AE45&gt;0)*(($V45:$AE45&lt;W45)+($V45:$AE45=W45)*($V$3:$AE$3&gt;W$3)+($V45:$AE45=W45)*($V$3:$AE$3=W$3)*($V$2:$AE$2&lt;W$2))),2))))</f>
      </c>
      <c r="AH45" s="33">
        <f>IF(X45&lt;=0,0,MAX(0,MIN(X45,ROUND($AZ45-SUMPRODUCT($V45:$AE45*($V45:$AE45&gt;0)*(($V45:$AE45&lt;X45)+($V45:$AE45=X45)*($V$3:$AE$3&gt;X$3)+($V45:$AE45=X45)*($V$3:$AE$3=X$3)*($V$2:$AE$2&lt;X$2))),2))))</f>
      </c>
      <c r="AI45" s="33">
        <f>IF(Y45&lt;=0,0,MAX(0,MIN(Y45,ROUND($AZ45-SUMPRODUCT($V45:$AE45*($V45:$AE45&gt;0)*(($V45:$AE45&lt;Y45)+($V45:$AE45=Y45)*($V$3:$AE$3&gt;Y$3)+($V45:$AE45=Y45)*($V$3:$AE$3=Y$3)*($V$2:$AE$2&lt;Y$2))),2))))</f>
      </c>
      <c r="AJ45" s="33">
        <f>IF(Z45&lt;=0,0,MAX(0,MIN(Z45,ROUND($AZ45-SUMPRODUCT($V45:$AE45*($V45:$AE45&gt;0)*(($V45:$AE45&lt;Z45)+($V45:$AE45=Z45)*($V$3:$AE$3&gt;Z$3)+($V45:$AE45=Z45)*($V$3:$AE$3=Z$3)*($V$2:$AE$2&lt;Z$2))),2))))</f>
      </c>
      <c r="AK45" s="33">
        <f>IF(AA45&lt;=0,0,MAX(0,MIN(AA45,ROUND($AZ45-SUMPRODUCT($V45:$AE45*($V45:$AE45&gt;0)*(($V45:$AE45&lt;AA45)+($V45:$AE45=AA45)*($V$3:$AE$3&gt;AA$3)+($V45:$AE45=AA45)*($V$3:$AE$3=AA$3)*($V$2:$AE$2&lt;AA$2))),2))))</f>
      </c>
      <c r="AL45" s="33">
        <f>IF(AB45&lt;=0,0,MAX(0,MIN(AB45,ROUND($AZ45-SUMPRODUCT($V45:$AE45*($V45:$AE45&gt;0)*(($V45:$AE45&lt;AB45)+($V45:$AE45=AB45)*($V$3:$AE$3&gt;AB$3)+($V45:$AE45=AB45)*($V$3:$AE$3=AB$3)*($V$2:$AE$2&lt;AB$2))),2))))</f>
      </c>
      <c r="AM45" s="33">
        <f>IF(AC45&lt;=0,0,MAX(0,MIN(AC45,ROUND($AZ45-SUMPRODUCT($V45:$AE45*($V45:$AE45&gt;0)*(($V45:$AE45&lt;AC45)+($V45:$AE45=AC45)*($V$3:$AE$3&gt;AC$3)+($V45:$AE45=AC45)*($V$3:$AE$3=AC$3)*($V$2:$AE$2&lt;AC$2))),2))))</f>
      </c>
      <c r="AN45" s="33">
        <f>IF(AD45&lt;=0,0,MAX(0,MIN(AD45,ROUND($AZ45-SUMPRODUCT($V45:$AE45*($V45:$AE45&gt;0)*(($V45:$AE45&lt;AD45)+($V45:$AE45=AD45)*($V$3:$AE$3&gt;AD$3)+($V45:$AE45=AD45)*($V$3:$AE$3=AD$3)*($V$2:$AE$2&lt;AD$2))),2))))</f>
      </c>
      <c r="AO45" s="33">
        <f>IF(AE45&lt;=0,0,MAX(0,MIN(AE45,ROUND($AZ45-SUMPRODUCT($V45:$AE45*($V45:$AE45&gt;0)*(($V45:$AE45&lt;AE45)+($V45:$AE45=AE45)*($V$3:$AE$3&gt;AE$3)+($V45:$AE45=AE45)*($V$3:$AE$3=AE$3)*($V$2:$AE$2&lt;AE$2))),2))))</f>
      </c>
      <c r="AP45" s="33">
        <f>ROUND(V45-AF45,2)</f>
      </c>
      <c r="AQ45" s="33">
        <f>ROUND(W45-AG45,2)</f>
      </c>
      <c r="AR45" s="33">
        <f>ROUND(X45-AH45,2)</f>
      </c>
      <c r="AS45" s="33">
        <f>ROUND(Y45-AI45,2)</f>
      </c>
      <c r="AT45" s="33">
        <f>ROUND(Z45-AJ45,2)</f>
      </c>
      <c r="AU45" s="33">
        <f>ROUND(AA45-AK45,2)</f>
      </c>
      <c r="AV45" s="33">
        <f>ROUND(AB45-AL45,2)</f>
      </c>
      <c r="AW45" s="33">
        <f>ROUND(AC45-AM45,2)</f>
      </c>
      <c r="AX45" s="33">
        <f>ROUND(AD45-AN45,2)</f>
      </c>
      <c r="AY45" s="33">
        <f>ROUND(AE45-AO45,2)</f>
      </c>
      <c r="AZ45" s="33">
        <f>ROUND(MAX(0,'Your debts'!$D$22-SUM($L45:$U45)),2)</f>
      </c>
      <c r="BA45" s="33">
        <f>ROUND(SUM($B45:$K45)-SUM($AP44:$AY44),2)</f>
      </c>
      <c r="BB45" s="33">
        <f>SUM($AP45:$AY45)</f>
      </c>
      <c r="BC45" s="33">
        <f>ROUND(SUM($L45:$U45)+SUM($AF45:$AO45),2)</f>
      </c>
    </row>
    <row r="46" spans="1:55" x14ac:dyDescent="0.25">
      <c r="A46">
        <v>39</v>
      </c>
      <c r="B46" s="33">
        <f>IF(AP45&lt;=0,0,ROUND(AP45+ROUND(AP45*V$3/12,2),2))</f>
      </c>
      <c r="C46" s="33">
        <f>IF(AQ45&lt;=0,0,ROUND(AQ45+ROUND(AQ45*W$3/12,2),2))</f>
      </c>
      <c r="D46" s="33">
        <f>IF(AR45&lt;=0,0,ROUND(AR45+ROUND(AR45*X$3/12,2),2))</f>
      </c>
      <c r="E46" s="33">
        <f>IF(AS45&lt;=0,0,ROUND(AS45+ROUND(AS45*Y$3/12,2),2))</f>
      </c>
      <c r="F46" s="33">
        <f>IF(AT45&lt;=0,0,ROUND(AT45+ROUND(AT45*Z$3/12,2),2))</f>
      </c>
      <c r="G46" s="33">
        <f>IF(AU45&lt;=0,0,ROUND(AU45+ROUND(AU45*AA$3/12,2),2))</f>
      </c>
      <c r="H46" s="33">
        <f>IF(AV45&lt;=0,0,ROUND(AV45+ROUND(AV45*AB$3/12,2),2))</f>
      </c>
      <c r="I46" s="33">
        <f>IF(AW45&lt;=0,0,ROUND(AW45+ROUND(AW45*AC$3/12,2),2))</f>
      </c>
      <c r="J46" s="33">
        <f>IF(AX45&lt;=0,0,ROUND(AX45+ROUND(AX45*AD$3/12,2),2))</f>
      </c>
      <c r="K46" s="33">
        <f>IF(AY45&lt;=0,0,ROUND(AY45+ROUND(AY45*AE$3/12,2),2))</f>
      </c>
      <c r="L46" s="33">
        <f>ROUND(MIN(MAX(0,N('Your debts'!$E$6)),B46),2)</f>
      </c>
      <c r="M46" s="33">
        <f>ROUND(MIN(MAX(0,N('Your debts'!$E$7)),C46),2)</f>
      </c>
      <c r="N46" s="33">
        <f>ROUND(MIN(MAX(0,N('Your debts'!$E$8)),D46),2)</f>
      </c>
      <c r="O46" s="33">
        <f>ROUND(MIN(MAX(0,N('Your debts'!$E$9)),E46),2)</f>
      </c>
      <c r="P46" s="33">
        <f>ROUND(MIN(MAX(0,N('Your debts'!$E$10)),F46),2)</f>
      </c>
      <c r="Q46" s="33">
        <f>ROUND(MIN(MAX(0,N('Your debts'!$E$11)),G46),2)</f>
      </c>
      <c r="R46" s="33">
        <f>ROUND(MIN(MAX(0,N('Your debts'!$E$12)),H46),2)</f>
      </c>
      <c r="S46" s="33">
        <f>ROUND(MIN(MAX(0,N('Your debts'!$E$13)),I46),2)</f>
      </c>
      <c r="T46" s="33">
        <f>ROUND(MIN(MAX(0,N('Your debts'!$E$14)),J46),2)</f>
      </c>
      <c r="U46" s="33">
        <f>ROUND(MIN(MAX(0,N('Your debts'!$E$15)),K46),2)</f>
      </c>
      <c r="V46" s="33">
        <f>ROUND(B46-L46,2)</f>
      </c>
      <c r="W46" s="33">
        <f>ROUND(C46-M46,2)</f>
      </c>
      <c r="X46" s="33">
        <f>ROUND(D46-N46,2)</f>
      </c>
      <c r="Y46" s="33">
        <f>ROUND(E46-O46,2)</f>
      </c>
      <c r="Z46" s="33">
        <f>ROUND(F46-P46,2)</f>
      </c>
      <c r="AA46" s="33">
        <f>ROUND(G46-Q46,2)</f>
      </c>
      <c r="AB46" s="33">
        <f>ROUND(H46-R46,2)</f>
      </c>
      <c r="AC46" s="33">
        <f>ROUND(I46-S46,2)</f>
      </c>
      <c r="AD46" s="33">
        <f>ROUND(J46-T46,2)</f>
      </c>
      <c r="AE46" s="33">
        <f>ROUND(K46-U46,2)</f>
      </c>
      <c r="AF46" s="33">
        <f>IF(V46&lt;=0,0,MAX(0,MIN(V46,ROUND($AZ46-SUMPRODUCT($V46:$AE46*($V46:$AE46&gt;0)*(($V46:$AE46&lt;V46)+($V46:$AE46=V46)*($V$3:$AE$3&gt;V$3)+($V46:$AE46=V46)*($V$3:$AE$3=V$3)*($V$2:$AE$2&lt;V$2))),2))))</f>
      </c>
      <c r="AG46" s="33">
        <f>IF(W46&lt;=0,0,MAX(0,MIN(W46,ROUND($AZ46-SUMPRODUCT($V46:$AE46*($V46:$AE46&gt;0)*(($V46:$AE46&lt;W46)+($V46:$AE46=W46)*($V$3:$AE$3&gt;W$3)+($V46:$AE46=W46)*($V$3:$AE$3=W$3)*($V$2:$AE$2&lt;W$2))),2))))</f>
      </c>
      <c r="AH46" s="33">
        <f>IF(X46&lt;=0,0,MAX(0,MIN(X46,ROUND($AZ46-SUMPRODUCT($V46:$AE46*($V46:$AE46&gt;0)*(($V46:$AE46&lt;X46)+($V46:$AE46=X46)*($V$3:$AE$3&gt;X$3)+($V46:$AE46=X46)*($V$3:$AE$3=X$3)*($V$2:$AE$2&lt;X$2))),2))))</f>
      </c>
      <c r="AI46" s="33">
        <f>IF(Y46&lt;=0,0,MAX(0,MIN(Y46,ROUND($AZ46-SUMPRODUCT($V46:$AE46*($V46:$AE46&gt;0)*(($V46:$AE46&lt;Y46)+($V46:$AE46=Y46)*($V$3:$AE$3&gt;Y$3)+($V46:$AE46=Y46)*($V$3:$AE$3=Y$3)*($V$2:$AE$2&lt;Y$2))),2))))</f>
      </c>
      <c r="AJ46" s="33">
        <f>IF(Z46&lt;=0,0,MAX(0,MIN(Z46,ROUND($AZ46-SUMPRODUCT($V46:$AE46*($V46:$AE46&gt;0)*(($V46:$AE46&lt;Z46)+($V46:$AE46=Z46)*($V$3:$AE$3&gt;Z$3)+($V46:$AE46=Z46)*($V$3:$AE$3=Z$3)*($V$2:$AE$2&lt;Z$2))),2))))</f>
      </c>
      <c r="AK46" s="33">
        <f>IF(AA46&lt;=0,0,MAX(0,MIN(AA46,ROUND($AZ46-SUMPRODUCT($V46:$AE46*($V46:$AE46&gt;0)*(($V46:$AE46&lt;AA46)+($V46:$AE46=AA46)*($V$3:$AE$3&gt;AA$3)+($V46:$AE46=AA46)*($V$3:$AE$3=AA$3)*($V$2:$AE$2&lt;AA$2))),2))))</f>
      </c>
      <c r="AL46" s="33">
        <f>IF(AB46&lt;=0,0,MAX(0,MIN(AB46,ROUND($AZ46-SUMPRODUCT($V46:$AE46*($V46:$AE46&gt;0)*(($V46:$AE46&lt;AB46)+($V46:$AE46=AB46)*($V$3:$AE$3&gt;AB$3)+($V46:$AE46=AB46)*($V$3:$AE$3=AB$3)*($V$2:$AE$2&lt;AB$2))),2))))</f>
      </c>
      <c r="AM46" s="33">
        <f>IF(AC46&lt;=0,0,MAX(0,MIN(AC46,ROUND($AZ46-SUMPRODUCT($V46:$AE46*($V46:$AE46&gt;0)*(($V46:$AE46&lt;AC46)+($V46:$AE46=AC46)*($V$3:$AE$3&gt;AC$3)+($V46:$AE46=AC46)*($V$3:$AE$3=AC$3)*($V$2:$AE$2&lt;AC$2))),2))))</f>
      </c>
      <c r="AN46" s="33">
        <f>IF(AD46&lt;=0,0,MAX(0,MIN(AD46,ROUND($AZ46-SUMPRODUCT($V46:$AE46*($V46:$AE46&gt;0)*(($V46:$AE46&lt;AD46)+($V46:$AE46=AD46)*($V$3:$AE$3&gt;AD$3)+($V46:$AE46=AD46)*($V$3:$AE$3=AD$3)*($V$2:$AE$2&lt;AD$2))),2))))</f>
      </c>
      <c r="AO46" s="33">
        <f>IF(AE46&lt;=0,0,MAX(0,MIN(AE46,ROUND($AZ46-SUMPRODUCT($V46:$AE46*($V46:$AE46&gt;0)*(($V46:$AE46&lt;AE46)+($V46:$AE46=AE46)*($V$3:$AE$3&gt;AE$3)+($V46:$AE46=AE46)*($V$3:$AE$3=AE$3)*($V$2:$AE$2&lt;AE$2))),2))))</f>
      </c>
      <c r="AP46" s="33">
        <f>ROUND(V46-AF46,2)</f>
      </c>
      <c r="AQ46" s="33">
        <f>ROUND(W46-AG46,2)</f>
      </c>
      <c r="AR46" s="33">
        <f>ROUND(X46-AH46,2)</f>
      </c>
      <c r="AS46" s="33">
        <f>ROUND(Y46-AI46,2)</f>
      </c>
      <c r="AT46" s="33">
        <f>ROUND(Z46-AJ46,2)</f>
      </c>
      <c r="AU46" s="33">
        <f>ROUND(AA46-AK46,2)</f>
      </c>
      <c r="AV46" s="33">
        <f>ROUND(AB46-AL46,2)</f>
      </c>
      <c r="AW46" s="33">
        <f>ROUND(AC46-AM46,2)</f>
      </c>
      <c r="AX46" s="33">
        <f>ROUND(AD46-AN46,2)</f>
      </c>
      <c r="AY46" s="33">
        <f>ROUND(AE46-AO46,2)</f>
      </c>
      <c r="AZ46" s="33">
        <f>ROUND(MAX(0,'Your debts'!$D$22-SUM($L46:$U46)),2)</f>
      </c>
      <c r="BA46" s="33">
        <f>ROUND(SUM($B46:$K46)-SUM($AP45:$AY45),2)</f>
      </c>
      <c r="BB46" s="33">
        <f>SUM($AP46:$AY46)</f>
      </c>
      <c r="BC46" s="33">
        <f>ROUND(SUM($L46:$U46)+SUM($AF46:$AO46),2)</f>
      </c>
    </row>
    <row r="47" spans="1:55" x14ac:dyDescent="0.25">
      <c r="A47">
        <v>40</v>
      </c>
      <c r="B47" s="33">
        <f>IF(AP46&lt;=0,0,ROUND(AP46+ROUND(AP46*V$3/12,2),2))</f>
      </c>
      <c r="C47" s="33">
        <f>IF(AQ46&lt;=0,0,ROUND(AQ46+ROUND(AQ46*W$3/12,2),2))</f>
      </c>
      <c r="D47" s="33">
        <f>IF(AR46&lt;=0,0,ROUND(AR46+ROUND(AR46*X$3/12,2),2))</f>
      </c>
      <c r="E47" s="33">
        <f>IF(AS46&lt;=0,0,ROUND(AS46+ROUND(AS46*Y$3/12,2),2))</f>
      </c>
      <c r="F47" s="33">
        <f>IF(AT46&lt;=0,0,ROUND(AT46+ROUND(AT46*Z$3/12,2),2))</f>
      </c>
      <c r="G47" s="33">
        <f>IF(AU46&lt;=0,0,ROUND(AU46+ROUND(AU46*AA$3/12,2),2))</f>
      </c>
      <c r="H47" s="33">
        <f>IF(AV46&lt;=0,0,ROUND(AV46+ROUND(AV46*AB$3/12,2),2))</f>
      </c>
      <c r="I47" s="33">
        <f>IF(AW46&lt;=0,0,ROUND(AW46+ROUND(AW46*AC$3/12,2),2))</f>
      </c>
      <c r="J47" s="33">
        <f>IF(AX46&lt;=0,0,ROUND(AX46+ROUND(AX46*AD$3/12,2),2))</f>
      </c>
      <c r="K47" s="33">
        <f>IF(AY46&lt;=0,0,ROUND(AY46+ROUND(AY46*AE$3/12,2),2))</f>
      </c>
      <c r="L47" s="33">
        <f>ROUND(MIN(MAX(0,N('Your debts'!$E$6)),B47),2)</f>
      </c>
      <c r="M47" s="33">
        <f>ROUND(MIN(MAX(0,N('Your debts'!$E$7)),C47),2)</f>
      </c>
      <c r="N47" s="33">
        <f>ROUND(MIN(MAX(0,N('Your debts'!$E$8)),D47),2)</f>
      </c>
      <c r="O47" s="33">
        <f>ROUND(MIN(MAX(0,N('Your debts'!$E$9)),E47),2)</f>
      </c>
      <c r="P47" s="33">
        <f>ROUND(MIN(MAX(0,N('Your debts'!$E$10)),F47),2)</f>
      </c>
      <c r="Q47" s="33">
        <f>ROUND(MIN(MAX(0,N('Your debts'!$E$11)),G47),2)</f>
      </c>
      <c r="R47" s="33">
        <f>ROUND(MIN(MAX(0,N('Your debts'!$E$12)),H47),2)</f>
      </c>
      <c r="S47" s="33">
        <f>ROUND(MIN(MAX(0,N('Your debts'!$E$13)),I47),2)</f>
      </c>
      <c r="T47" s="33">
        <f>ROUND(MIN(MAX(0,N('Your debts'!$E$14)),J47),2)</f>
      </c>
      <c r="U47" s="33">
        <f>ROUND(MIN(MAX(0,N('Your debts'!$E$15)),K47),2)</f>
      </c>
      <c r="V47" s="33">
        <f>ROUND(B47-L47,2)</f>
      </c>
      <c r="W47" s="33">
        <f>ROUND(C47-M47,2)</f>
      </c>
      <c r="X47" s="33">
        <f>ROUND(D47-N47,2)</f>
      </c>
      <c r="Y47" s="33">
        <f>ROUND(E47-O47,2)</f>
      </c>
      <c r="Z47" s="33">
        <f>ROUND(F47-P47,2)</f>
      </c>
      <c r="AA47" s="33">
        <f>ROUND(G47-Q47,2)</f>
      </c>
      <c r="AB47" s="33">
        <f>ROUND(H47-R47,2)</f>
      </c>
      <c r="AC47" s="33">
        <f>ROUND(I47-S47,2)</f>
      </c>
      <c r="AD47" s="33">
        <f>ROUND(J47-T47,2)</f>
      </c>
      <c r="AE47" s="33">
        <f>ROUND(K47-U47,2)</f>
      </c>
      <c r="AF47" s="33">
        <f>IF(V47&lt;=0,0,MAX(0,MIN(V47,ROUND($AZ47-SUMPRODUCT($V47:$AE47*($V47:$AE47&gt;0)*(($V47:$AE47&lt;V47)+($V47:$AE47=V47)*($V$3:$AE$3&gt;V$3)+($V47:$AE47=V47)*($V$3:$AE$3=V$3)*($V$2:$AE$2&lt;V$2))),2))))</f>
      </c>
      <c r="AG47" s="33">
        <f>IF(W47&lt;=0,0,MAX(0,MIN(W47,ROUND($AZ47-SUMPRODUCT($V47:$AE47*($V47:$AE47&gt;0)*(($V47:$AE47&lt;W47)+($V47:$AE47=W47)*($V$3:$AE$3&gt;W$3)+($V47:$AE47=W47)*($V$3:$AE$3=W$3)*($V$2:$AE$2&lt;W$2))),2))))</f>
      </c>
      <c r="AH47" s="33">
        <f>IF(X47&lt;=0,0,MAX(0,MIN(X47,ROUND($AZ47-SUMPRODUCT($V47:$AE47*($V47:$AE47&gt;0)*(($V47:$AE47&lt;X47)+($V47:$AE47=X47)*($V$3:$AE$3&gt;X$3)+($V47:$AE47=X47)*($V$3:$AE$3=X$3)*($V$2:$AE$2&lt;X$2))),2))))</f>
      </c>
      <c r="AI47" s="33">
        <f>IF(Y47&lt;=0,0,MAX(0,MIN(Y47,ROUND($AZ47-SUMPRODUCT($V47:$AE47*($V47:$AE47&gt;0)*(($V47:$AE47&lt;Y47)+($V47:$AE47=Y47)*($V$3:$AE$3&gt;Y$3)+($V47:$AE47=Y47)*($V$3:$AE$3=Y$3)*($V$2:$AE$2&lt;Y$2))),2))))</f>
      </c>
      <c r="AJ47" s="33">
        <f>IF(Z47&lt;=0,0,MAX(0,MIN(Z47,ROUND($AZ47-SUMPRODUCT($V47:$AE47*($V47:$AE47&gt;0)*(($V47:$AE47&lt;Z47)+($V47:$AE47=Z47)*($V$3:$AE$3&gt;Z$3)+($V47:$AE47=Z47)*($V$3:$AE$3=Z$3)*($V$2:$AE$2&lt;Z$2))),2))))</f>
      </c>
      <c r="AK47" s="33">
        <f>IF(AA47&lt;=0,0,MAX(0,MIN(AA47,ROUND($AZ47-SUMPRODUCT($V47:$AE47*($V47:$AE47&gt;0)*(($V47:$AE47&lt;AA47)+($V47:$AE47=AA47)*($V$3:$AE$3&gt;AA$3)+($V47:$AE47=AA47)*($V$3:$AE$3=AA$3)*($V$2:$AE$2&lt;AA$2))),2))))</f>
      </c>
      <c r="AL47" s="33">
        <f>IF(AB47&lt;=0,0,MAX(0,MIN(AB47,ROUND($AZ47-SUMPRODUCT($V47:$AE47*($V47:$AE47&gt;0)*(($V47:$AE47&lt;AB47)+($V47:$AE47=AB47)*($V$3:$AE$3&gt;AB$3)+($V47:$AE47=AB47)*($V$3:$AE$3=AB$3)*($V$2:$AE$2&lt;AB$2))),2))))</f>
      </c>
      <c r="AM47" s="33">
        <f>IF(AC47&lt;=0,0,MAX(0,MIN(AC47,ROUND($AZ47-SUMPRODUCT($V47:$AE47*($V47:$AE47&gt;0)*(($V47:$AE47&lt;AC47)+($V47:$AE47=AC47)*($V$3:$AE$3&gt;AC$3)+($V47:$AE47=AC47)*($V$3:$AE$3=AC$3)*($V$2:$AE$2&lt;AC$2))),2))))</f>
      </c>
      <c r="AN47" s="33">
        <f>IF(AD47&lt;=0,0,MAX(0,MIN(AD47,ROUND($AZ47-SUMPRODUCT($V47:$AE47*($V47:$AE47&gt;0)*(($V47:$AE47&lt;AD47)+($V47:$AE47=AD47)*($V$3:$AE$3&gt;AD$3)+($V47:$AE47=AD47)*($V$3:$AE$3=AD$3)*($V$2:$AE$2&lt;AD$2))),2))))</f>
      </c>
      <c r="AO47" s="33">
        <f>IF(AE47&lt;=0,0,MAX(0,MIN(AE47,ROUND($AZ47-SUMPRODUCT($V47:$AE47*($V47:$AE47&gt;0)*(($V47:$AE47&lt;AE47)+($V47:$AE47=AE47)*($V$3:$AE$3&gt;AE$3)+($V47:$AE47=AE47)*($V$3:$AE$3=AE$3)*($V$2:$AE$2&lt;AE$2))),2))))</f>
      </c>
      <c r="AP47" s="33">
        <f>ROUND(V47-AF47,2)</f>
      </c>
      <c r="AQ47" s="33">
        <f>ROUND(W47-AG47,2)</f>
      </c>
      <c r="AR47" s="33">
        <f>ROUND(X47-AH47,2)</f>
      </c>
      <c r="AS47" s="33">
        <f>ROUND(Y47-AI47,2)</f>
      </c>
      <c r="AT47" s="33">
        <f>ROUND(Z47-AJ47,2)</f>
      </c>
      <c r="AU47" s="33">
        <f>ROUND(AA47-AK47,2)</f>
      </c>
      <c r="AV47" s="33">
        <f>ROUND(AB47-AL47,2)</f>
      </c>
      <c r="AW47" s="33">
        <f>ROUND(AC47-AM47,2)</f>
      </c>
      <c r="AX47" s="33">
        <f>ROUND(AD47-AN47,2)</f>
      </c>
      <c r="AY47" s="33">
        <f>ROUND(AE47-AO47,2)</f>
      </c>
      <c r="AZ47" s="33">
        <f>ROUND(MAX(0,'Your debts'!$D$22-SUM($L47:$U47)),2)</f>
      </c>
      <c r="BA47" s="33">
        <f>ROUND(SUM($B47:$K47)-SUM($AP46:$AY46),2)</f>
      </c>
      <c r="BB47" s="33">
        <f>SUM($AP47:$AY47)</f>
      </c>
      <c r="BC47" s="33">
        <f>ROUND(SUM($L47:$U47)+SUM($AF47:$AO47),2)</f>
      </c>
    </row>
    <row r="48" spans="1:55" x14ac:dyDescent="0.25">
      <c r="A48">
        <v>41</v>
      </c>
      <c r="B48" s="33">
        <f>IF(AP47&lt;=0,0,ROUND(AP47+ROUND(AP47*V$3/12,2),2))</f>
      </c>
      <c r="C48" s="33">
        <f>IF(AQ47&lt;=0,0,ROUND(AQ47+ROUND(AQ47*W$3/12,2),2))</f>
      </c>
      <c r="D48" s="33">
        <f>IF(AR47&lt;=0,0,ROUND(AR47+ROUND(AR47*X$3/12,2),2))</f>
      </c>
      <c r="E48" s="33">
        <f>IF(AS47&lt;=0,0,ROUND(AS47+ROUND(AS47*Y$3/12,2),2))</f>
      </c>
      <c r="F48" s="33">
        <f>IF(AT47&lt;=0,0,ROUND(AT47+ROUND(AT47*Z$3/12,2),2))</f>
      </c>
      <c r="G48" s="33">
        <f>IF(AU47&lt;=0,0,ROUND(AU47+ROUND(AU47*AA$3/12,2),2))</f>
      </c>
      <c r="H48" s="33">
        <f>IF(AV47&lt;=0,0,ROUND(AV47+ROUND(AV47*AB$3/12,2),2))</f>
      </c>
      <c r="I48" s="33">
        <f>IF(AW47&lt;=0,0,ROUND(AW47+ROUND(AW47*AC$3/12,2),2))</f>
      </c>
      <c r="J48" s="33">
        <f>IF(AX47&lt;=0,0,ROUND(AX47+ROUND(AX47*AD$3/12,2),2))</f>
      </c>
      <c r="K48" s="33">
        <f>IF(AY47&lt;=0,0,ROUND(AY47+ROUND(AY47*AE$3/12,2),2))</f>
      </c>
      <c r="L48" s="33">
        <f>ROUND(MIN(MAX(0,N('Your debts'!$E$6)),B48),2)</f>
      </c>
      <c r="M48" s="33">
        <f>ROUND(MIN(MAX(0,N('Your debts'!$E$7)),C48),2)</f>
      </c>
      <c r="N48" s="33">
        <f>ROUND(MIN(MAX(0,N('Your debts'!$E$8)),D48),2)</f>
      </c>
      <c r="O48" s="33">
        <f>ROUND(MIN(MAX(0,N('Your debts'!$E$9)),E48),2)</f>
      </c>
      <c r="P48" s="33">
        <f>ROUND(MIN(MAX(0,N('Your debts'!$E$10)),F48),2)</f>
      </c>
      <c r="Q48" s="33">
        <f>ROUND(MIN(MAX(0,N('Your debts'!$E$11)),G48),2)</f>
      </c>
      <c r="R48" s="33">
        <f>ROUND(MIN(MAX(0,N('Your debts'!$E$12)),H48),2)</f>
      </c>
      <c r="S48" s="33">
        <f>ROUND(MIN(MAX(0,N('Your debts'!$E$13)),I48),2)</f>
      </c>
      <c r="T48" s="33">
        <f>ROUND(MIN(MAX(0,N('Your debts'!$E$14)),J48),2)</f>
      </c>
      <c r="U48" s="33">
        <f>ROUND(MIN(MAX(0,N('Your debts'!$E$15)),K48),2)</f>
      </c>
      <c r="V48" s="33">
        <f>ROUND(B48-L48,2)</f>
      </c>
      <c r="W48" s="33">
        <f>ROUND(C48-M48,2)</f>
      </c>
      <c r="X48" s="33">
        <f>ROUND(D48-N48,2)</f>
      </c>
      <c r="Y48" s="33">
        <f>ROUND(E48-O48,2)</f>
      </c>
      <c r="Z48" s="33">
        <f>ROUND(F48-P48,2)</f>
      </c>
      <c r="AA48" s="33">
        <f>ROUND(G48-Q48,2)</f>
      </c>
      <c r="AB48" s="33">
        <f>ROUND(H48-R48,2)</f>
      </c>
      <c r="AC48" s="33">
        <f>ROUND(I48-S48,2)</f>
      </c>
      <c r="AD48" s="33">
        <f>ROUND(J48-T48,2)</f>
      </c>
      <c r="AE48" s="33">
        <f>ROUND(K48-U48,2)</f>
      </c>
      <c r="AF48" s="33">
        <f>IF(V48&lt;=0,0,MAX(0,MIN(V48,ROUND($AZ48-SUMPRODUCT($V48:$AE48*($V48:$AE48&gt;0)*(($V48:$AE48&lt;V48)+($V48:$AE48=V48)*($V$3:$AE$3&gt;V$3)+($V48:$AE48=V48)*($V$3:$AE$3=V$3)*($V$2:$AE$2&lt;V$2))),2))))</f>
      </c>
      <c r="AG48" s="33">
        <f>IF(W48&lt;=0,0,MAX(0,MIN(W48,ROUND($AZ48-SUMPRODUCT($V48:$AE48*($V48:$AE48&gt;0)*(($V48:$AE48&lt;W48)+($V48:$AE48=W48)*($V$3:$AE$3&gt;W$3)+($V48:$AE48=W48)*($V$3:$AE$3=W$3)*($V$2:$AE$2&lt;W$2))),2))))</f>
      </c>
      <c r="AH48" s="33">
        <f>IF(X48&lt;=0,0,MAX(0,MIN(X48,ROUND($AZ48-SUMPRODUCT($V48:$AE48*($V48:$AE48&gt;0)*(($V48:$AE48&lt;X48)+($V48:$AE48=X48)*($V$3:$AE$3&gt;X$3)+($V48:$AE48=X48)*($V$3:$AE$3=X$3)*($V$2:$AE$2&lt;X$2))),2))))</f>
      </c>
      <c r="AI48" s="33">
        <f>IF(Y48&lt;=0,0,MAX(0,MIN(Y48,ROUND($AZ48-SUMPRODUCT($V48:$AE48*($V48:$AE48&gt;0)*(($V48:$AE48&lt;Y48)+($V48:$AE48=Y48)*($V$3:$AE$3&gt;Y$3)+($V48:$AE48=Y48)*($V$3:$AE$3=Y$3)*($V$2:$AE$2&lt;Y$2))),2))))</f>
      </c>
      <c r="AJ48" s="33">
        <f>IF(Z48&lt;=0,0,MAX(0,MIN(Z48,ROUND($AZ48-SUMPRODUCT($V48:$AE48*($V48:$AE48&gt;0)*(($V48:$AE48&lt;Z48)+($V48:$AE48=Z48)*($V$3:$AE$3&gt;Z$3)+($V48:$AE48=Z48)*($V$3:$AE$3=Z$3)*($V$2:$AE$2&lt;Z$2))),2))))</f>
      </c>
      <c r="AK48" s="33">
        <f>IF(AA48&lt;=0,0,MAX(0,MIN(AA48,ROUND($AZ48-SUMPRODUCT($V48:$AE48*($V48:$AE48&gt;0)*(($V48:$AE48&lt;AA48)+($V48:$AE48=AA48)*($V$3:$AE$3&gt;AA$3)+($V48:$AE48=AA48)*($V$3:$AE$3=AA$3)*($V$2:$AE$2&lt;AA$2))),2))))</f>
      </c>
      <c r="AL48" s="33">
        <f>IF(AB48&lt;=0,0,MAX(0,MIN(AB48,ROUND($AZ48-SUMPRODUCT($V48:$AE48*($V48:$AE48&gt;0)*(($V48:$AE48&lt;AB48)+($V48:$AE48=AB48)*($V$3:$AE$3&gt;AB$3)+($V48:$AE48=AB48)*($V$3:$AE$3=AB$3)*($V$2:$AE$2&lt;AB$2))),2))))</f>
      </c>
      <c r="AM48" s="33">
        <f>IF(AC48&lt;=0,0,MAX(0,MIN(AC48,ROUND($AZ48-SUMPRODUCT($V48:$AE48*($V48:$AE48&gt;0)*(($V48:$AE48&lt;AC48)+($V48:$AE48=AC48)*($V$3:$AE$3&gt;AC$3)+($V48:$AE48=AC48)*($V$3:$AE$3=AC$3)*($V$2:$AE$2&lt;AC$2))),2))))</f>
      </c>
      <c r="AN48" s="33">
        <f>IF(AD48&lt;=0,0,MAX(0,MIN(AD48,ROUND($AZ48-SUMPRODUCT($V48:$AE48*($V48:$AE48&gt;0)*(($V48:$AE48&lt;AD48)+($V48:$AE48=AD48)*($V$3:$AE$3&gt;AD$3)+($V48:$AE48=AD48)*($V$3:$AE$3=AD$3)*($V$2:$AE$2&lt;AD$2))),2))))</f>
      </c>
      <c r="AO48" s="33">
        <f>IF(AE48&lt;=0,0,MAX(0,MIN(AE48,ROUND($AZ48-SUMPRODUCT($V48:$AE48*($V48:$AE48&gt;0)*(($V48:$AE48&lt;AE48)+($V48:$AE48=AE48)*($V$3:$AE$3&gt;AE$3)+($V48:$AE48=AE48)*($V$3:$AE$3=AE$3)*($V$2:$AE$2&lt;AE$2))),2))))</f>
      </c>
      <c r="AP48" s="33">
        <f>ROUND(V48-AF48,2)</f>
      </c>
      <c r="AQ48" s="33">
        <f>ROUND(W48-AG48,2)</f>
      </c>
      <c r="AR48" s="33">
        <f>ROUND(X48-AH48,2)</f>
      </c>
      <c r="AS48" s="33">
        <f>ROUND(Y48-AI48,2)</f>
      </c>
      <c r="AT48" s="33">
        <f>ROUND(Z48-AJ48,2)</f>
      </c>
      <c r="AU48" s="33">
        <f>ROUND(AA48-AK48,2)</f>
      </c>
      <c r="AV48" s="33">
        <f>ROUND(AB48-AL48,2)</f>
      </c>
      <c r="AW48" s="33">
        <f>ROUND(AC48-AM48,2)</f>
      </c>
      <c r="AX48" s="33">
        <f>ROUND(AD48-AN48,2)</f>
      </c>
      <c r="AY48" s="33">
        <f>ROUND(AE48-AO48,2)</f>
      </c>
      <c r="AZ48" s="33">
        <f>ROUND(MAX(0,'Your debts'!$D$22-SUM($L48:$U48)),2)</f>
      </c>
      <c r="BA48" s="33">
        <f>ROUND(SUM($B48:$K48)-SUM($AP47:$AY47),2)</f>
      </c>
      <c r="BB48" s="33">
        <f>SUM($AP48:$AY48)</f>
      </c>
      <c r="BC48" s="33">
        <f>ROUND(SUM($L48:$U48)+SUM($AF48:$AO48),2)</f>
      </c>
    </row>
    <row r="49" spans="1:55" x14ac:dyDescent="0.25">
      <c r="A49">
        <v>42</v>
      </c>
      <c r="B49" s="33">
        <f>IF(AP48&lt;=0,0,ROUND(AP48+ROUND(AP48*V$3/12,2),2))</f>
      </c>
      <c r="C49" s="33">
        <f>IF(AQ48&lt;=0,0,ROUND(AQ48+ROUND(AQ48*W$3/12,2),2))</f>
      </c>
      <c r="D49" s="33">
        <f>IF(AR48&lt;=0,0,ROUND(AR48+ROUND(AR48*X$3/12,2),2))</f>
      </c>
      <c r="E49" s="33">
        <f>IF(AS48&lt;=0,0,ROUND(AS48+ROUND(AS48*Y$3/12,2),2))</f>
      </c>
      <c r="F49" s="33">
        <f>IF(AT48&lt;=0,0,ROUND(AT48+ROUND(AT48*Z$3/12,2),2))</f>
      </c>
      <c r="G49" s="33">
        <f>IF(AU48&lt;=0,0,ROUND(AU48+ROUND(AU48*AA$3/12,2),2))</f>
      </c>
      <c r="H49" s="33">
        <f>IF(AV48&lt;=0,0,ROUND(AV48+ROUND(AV48*AB$3/12,2),2))</f>
      </c>
      <c r="I49" s="33">
        <f>IF(AW48&lt;=0,0,ROUND(AW48+ROUND(AW48*AC$3/12,2),2))</f>
      </c>
      <c r="J49" s="33">
        <f>IF(AX48&lt;=0,0,ROUND(AX48+ROUND(AX48*AD$3/12,2),2))</f>
      </c>
      <c r="K49" s="33">
        <f>IF(AY48&lt;=0,0,ROUND(AY48+ROUND(AY48*AE$3/12,2),2))</f>
      </c>
      <c r="L49" s="33">
        <f>ROUND(MIN(MAX(0,N('Your debts'!$E$6)),B49),2)</f>
      </c>
      <c r="M49" s="33">
        <f>ROUND(MIN(MAX(0,N('Your debts'!$E$7)),C49),2)</f>
      </c>
      <c r="N49" s="33">
        <f>ROUND(MIN(MAX(0,N('Your debts'!$E$8)),D49),2)</f>
      </c>
      <c r="O49" s="33">
        <f>ROUND(MIN(MAX(0,N('Your debts'!$E$9)),E49),2)</f>
      </c>
      <c r="P49" s="33">
        <f>ROUND(MIN(MAX(0,N('Your debts'!$E$10)),F49),2)</f>
      </c>
      <c r="Q49" s="33">
        <f>ROUND(MIN(MAX(0,N('Your debts'!$E$11)),G49),2)</f>
      </c>
      <c r="R49" s="33">
        <f>ROUND(MIN(MAX(0,N('Your debts'!$E$12)),H49),2)</f>
      </c>
      <c r="S49" s="33">
        <f>ROUND(MIN(MAX(0,N('Your debts'!$E$13)),I49),2)</f>
      </c>
      <c r="T49" s="33">
        <f>ROUND(MIN(MAX(0,N('Your debts'!$E$14)),J49),2)</f>
      </c>
      <c r="U49" s="33">
        <f>ROUND(MIN(MAX(0,N('Your debts'!$E$15)),K49),2)</f>
      </c>
      <c r="V49" s="33">
        <f>ROUND(B49-L49,2)</f>
      </c>
      <c r="W49" s="33">
        <f>ROUND(C49-M49,2)</f>
      </c>
      <c r="X49" s="33">
        <f>ROUND(D49-N49,2)</f>
      </c>
      <c r="Y49" s="33">
        <f>ROUND(E49-O49,2)</f>
      </c>
      <c r="Z49" s="33">
        <f>ROUND(F49-P49,2)</f>
      </c>
      <c r="AA49" s="33">
        <f>ROUND(G49-Q49,2)</f>
      </c>
      <c r="AB49" s="33">
        <f>ROUND(H49-R49,2)</f>
      </c>
      <c r="AC49" s="33">
        <f>ROUND(I49-S49,2)</f>
      </c>
      <c r="AD49" s="33">
        <f>ROUND(J49-T49,2)</f>
      </c>
      <c r="AE49" s="33">
        <f>ROUND(K49-U49,2)</f>
      </c>
      <c r="AF49" s="33">
        <f>IF(V49&lt;=0,0,MAX(0,MIN(V49,ROUND($AZ49-SUMPRODUCT($V49:$AE49*($V49:$AE49&gt;0)*(($V49:$AE49&lt;V49)+($V49:$AE49=V49)*($V$3:$AE$3&gt;V$3)+($V49:$AE49=V49)*($V$3:$AE$3=V$3)*($V$2:$AE$2&lt;V$2))),2))))</f>
      </c>
      <c r="AG49" s="33">
        <f>IF(W49&lt;=0,0,MAX(0,MIN(W49,ROUND($AZ49-SUMPRODUCT($V49:$AE49*($V49:$AE49&gt;0)*(($V49:$AE49&lt;W49)+($V49:$AE49=W49)*($V$3:$AE$3&gt;W$3)+($V49:$AE49=W49)*($V$3:$AE$3=W$3)*($V$2:$AE$2&lt;W$2))),2))))</f>
      </c>
      <c r="AH49" s="33">
        <f>IF(X49&lt;=0,0,MAX(0,MIN(X49,ROUND($AZ49-SUMPRODUCT($V49:$AE49*($V49:$AE49&gt;0)*(($V49:$AE49&lt;X49)+($V49:$AE49=X49)*($V$3:$AE$3&gt;X$3)+($V49:$AE49=X49)*($V$3:$AE$3=X$3)*($V$2:$AE$2&lt;X$2))),2))))</f>
      </c>
      <c r="AI49" s="33">
        <f>IF(Y49&lt;=0,0,MAX(0,MIN(Y49,ROUND($AZ49-SUMPRODUCT($V49:$AE49*($V49:$AE49&gt;0)*(($V49:$AE49&lt;Y49)+($V49:$AE49=Y49)*($V$3:$AE$3&gt;Y$3)+($V49:$AE49=Y49)*($V$3:$AE$3=Y$3)*($V$2:$AE$2&lt;Y$2))),2))))</f>
      </c>
      <c r="AJ49" s="33">
        <f>IF(Z49&lt;=0,0,MAX(0,MIN(Z49,ROUND($AZ49-SUMPRODUCT($V49:$AE49*($V49:$AE49&gt;0)*(($V49:$AE49&lt;Z49)+($V49:$AE49=Z49)*($V$3:$AE$3&gt;Z$3)+($V49:$AE49=Z49)*($V$3:$AE$3=Z$3)*($V$2:$AE$2&lt;Z$2))),2))))</f>
      </c>
      <c r="AK49" s="33">
        <f>IF(AA49&lt;=0,0,MAX(0,MIN(AA49,ROUND($AZ49-SUMPRODUCT($V49:$AE49*($V49:$AE49&gt;0)*(($V49:$AE49&lt;AA49)+($V49:$AE49=AA49)*($V$3:$AE$3&gt;AA$3)+($V49:$AE49=AA49)*($V$3:$AE$3=AA$3)*($V$2:$AE$2&lt;AA$2))),2))))</f>
      </c>
      <c r="AL49" s="33">
        <f>IF(AB49&lt;=0,0,MAX(0,MIN(AB49,ROUND($AZ49-SUMPRODUCT($V49:$AE49*($V49:$AE49&gt;0)*(($V49:$AE49&lt;AB49)+($V49:$AE49=AB49)*($V$3:$AE$3&gt;AB$3)+($V49:$AE49=AB49)*($V$3:$AE$3=AB$3)*($V$2:$AE$2&lt;AB$2))),2))))</f>
      </c>
      <c r="AM49" s="33">
        <f>IF(AC49&lt;=0,0,MAX(0,MIN(AC49,ROUND($AZ49-SUMPRODUCT($V49:$AE49*($V49:$AE49&gt;0)*(($V49:$AE49&lt;AC49)+($V49:$AE49=AC49)*($V$3:$AE$3&gt;AC$3)+($V49:$AE49=AC49)*($V$3:$AE$3=AC$3)*($V$2:$AE$2&lt;AC$2))),2))))</f>
      </c>
      <c r="AN49" s="33">
        <f>IF(AD49&lt;=0,0,MAX(0,MIN(AD49,ROUND($AZ49-SUMPRODUCT($V49:$AE49*($V49:$AE49&gt;0)*(($V49:$AE49&lt;AD49)+($V49:$AE49=AD49)*($V$3:$AE$3&gt;AD$3)+($V49:$AE49=AD49)*($V$3:$AE$3=AD$3)*($V$2:$AE$2&lt;AD$2))),2))))</f>
      </c>
      <c r="AO49" s="33">
        <f>IF(AE49&lt;=0,0,MAX(0,MIN(AE49,ROUND($AZ49-SUMPRODUCT($V49:$AE49*($V49:$AE49&gt;0)*(($V49:$AE49&lt;AE49)+($V49:$AE49=AE49)*($V$3:$AE$3&gt;AE$3)+($V49:$AE49=AE49)*($V$3:$AE$3=AE$3)*($V$2:$AE$2&lt;AE$2))),2))))</f>
      </c>
      <c r="AP49" s="33">
        <f>ROUND(V49-AF49,2)</f>
      </c>
      <c r="AQ49" s="33">
        <f>ROUND(W49-AG49,2)</f>
      </c>
      <c r="AR49" s="33">
        <f>ROUND(X49-AH49,2)</f>
      </c>
      <c r="AS49" s="33">
        <f>ROUND(Y49-AI49,2)</f>
      </c>
      <c r="AT49" s="33">
        <f>ROUND(Z49-AJ49,2)</f>
      </c>
      <c r="AU49" s="33">
        <f>ROUND(AA49-AK49,2)</f>
      </c>
      <c r="AV49" s="33">
        <f>ROUND(AB49-AL49,2)</f>
      </c>
      <c r="AW49" s="33">
        <f>ROUND(AC49-AM49,2)</f>
      </c>
      <c r="AX49" s="33">
        <f>ROUND(AD49-AN49,2)</f>
      </c>
      <c r="AY49" s="33">
        <f>ROUND(AE49-AO49,2)</f>
      </c>
      <c r="AZ49" s="33">
        <f>ROUND(MAX(0,'Your debts'!$D$22-SUM($L49:$U49)),2)</f>
      </c>
      <c r="BA49" s="33">
        <f>ROUND(SUM($B49:$K49)-SUM($AP48:$AY48),2)</f>
      </c>
      <c r="BB49" s="33">
        <f>SUM($AP49:$AY49)</f>
      </c>
      <c r="BC49" s="33">
        <f>ROUND(SUM($L49:$U49)+SUM($AF49:$AO49),2)</f>
      </c>
    </row>
    <row r="50" spans="1:55" x14ac:dyDescent="0.25">
      <c r="A50">
        <v>43</v>
      </c>
      <c r="B50" s="33">
        <f>IF(AP49&lt;=0,0,ROUND(AP49+ROUND(AP49*V$3/12,2),2))</f>
      </c>
      <c r="C50" s="33">
        <f>IF(AQ49&lt;=0,0,ROUND(AQ49+ROUND(AQ49*W$3/12,2),2))</f>
      </c>
      <c r="D50" s="33">
        <f>IF(AR49&lt;=0,0,ROUND(AR49+ROUND(AR49*X$3/12,2),2))</f>
      </c>
      <c r="E50" s="33">
        <f>IF(AS49&lt;=0,0,ROUND(AS49+ROUND(AS49*Y$3/12,2),2))</f>
      </c>
      <c r="F50" s="33">
        <f>IF(AT49&lt;=0,0,ROUND(AT49+ROUND(AT49*Z$3/12,2),2))</f>
      </c>
      <c r="G50" s="33">
        <f>IF(AU49&lt;=0,0,ROUND(AU49+ROUND(AU49*AA$3/12,2),2))</f>
      </c>
      <c r="H50" s="33">
        <f>IF(AV49&lt;=0,0,ROUND(AV49+ROUND(AV49*AB$3/12,2),2))</f>
      </c>
      <c r="I50" s="33">
        <f>IF(AW49&lt;=0,0,ROUND(AW49+ROUND(AW49*AC$3/12,2),2))</f>
      </c>
      <c r="J50" s="33">
        <f>IF(AX49&lt;=0,0,ROUND(AX49+ROUND(AX49*AD$3/12,2),2))</f>
      </c>
      <c r="K50" s="33">
        <f>IF(AY49&lt;=0,0,ROUND(AY49+ROUND(AY49*AE$3/12,2),2))</f>
      </c>
      <c r="L50" s="33">
        <f>ROUND(MIN(MAX(0,N('Your debts'!$E$6)),B50),2)</f>
      </c>
      <c r="M50" s="33">
        <f>ROUND(MIN(MAX(0,N('Your debts'!$E$7)),C50),2)</f>
      </c>
      <c r="N50" s="33">
        <f>ROUND(MIN(MAX(0,N('Your debts'!$E$8)),D50),2)</f>
      </c>
      <c r="O50" s="33">
        <f>ROUND(MIN(MAX(0,N('Your debts'!$E$9)),E50),2)</f>
      </c>
      <c r="P50" s="33">
        <f>ROUND(MIN(MAX(0,N('Your debts'!$E$10)),F50),2)</f>
      </c>
      <c r="Q50" s="33">
        <f>ROUND(MIN(MAX(0,N('Your debts'!$E$11)),G50),2)</f>
      </c>
      <c r="R50" s="33">
        <f>ROUND(MIN(MAX(0,N('Your debts'!$E$12)),H50),2)</f>
      </c>
      <c r="S50" s="33">
        <f>ROUND(MIN(MAX(0,N('Your debts'!$E$13)),I50),2)</f>
      </c>
      <c r="T50" s="33">
        <f>ROUND(MIN(MAX(0,N('Your debts'!$E$14)),J50),2)</f>
      </c>
      <c r="U50" s="33">
        <f>ROUND(MIN(MAX(0,N('Your debts'!$E$15)),K50),2)</f>
      </c>
      <c r="V50" s="33">
        <f>ROUND(B50-L50,2)</f>
      </c>
      <c r="W50" s="33">
        <f>ROUND(C50-M50,2)</f>
      </c>
      <c r="X50" s="33">
        <f>ROUND(D50-N50,2)</f>
      </c>
      <c r="Y50" s="33">
        <f>ROUND(E50-O50,2)</f>
      </c>
      <c r="Z50" s="33">
        <f>ROUND(F50-P50,2)</f>
      </c>
      <c r="AA50" s="33">
        <f>ROUND(G50-Q50,2)</f>
      </c>
      <c r="AB50" s="33">
        <f>ROUND(H50-R50,2)</f>
      </c>
      <c r="AC50" s="33">
        <f>ROUND(I50-S50,2)</f>
      </c>
      <c r="AD50" s="33">
        <f>ROUND(J50-T50,2)</f>
      </c>
      <c r="AE50" s="33">
        <f>ROUND(K50-U50,2)</f>
      </c>
      <c r="AF50" s="33">
        <f>IF(V50&lt;=0,0,MAX(0,MIN(V50,ROUND($AZ50-SUMPRODUCT($V50:$AE50*($V50:$AE50&gt;0)*(($V50:$AE50&lt;V50)+($V50:$AE50=V50)*($V$3:$AE$3&gt;V$3)+($V50:$AE50=V50)*($V$3:$AE$3=V$3)*($V$2:$AE$2&lt;V$2))),2))))</f>
      </c>
      <c r="AG50" s="33">
        <f>IF(W50&lt;=0,0,MAX(0,MIN(W50,ROUND($AZ50-SUMPRODUCT($V50:$AE50*($V50:$AE50&gt;0)*(($V50:$AE50&lt;W50)+($V50:$AE50=W50)*($V$3:$AE$3&gt;W$3)+($V50:$AE50=W50)*($V$3:$AE$3=W$3)*($V$2:$AE$2&lt;W$2))),2))))</f>
      </c>
      <c r="AH50" s="33">
        <f>IF(X50&lt;=0,0,MAX(0,MIN(X50,ROUND($AZ50-SUMPRODUCT($V50:$AE50*($V50:$AE50&gt;0)*(($V50:$AE50&lt;X50)+($V50:$AE50=X50)*($V$3:$AE$3&gt;X$3)+($V50:$AE50=X50)*($V$3:$AE$3=X$3)*($V$2:$AE$2&lt;X$2))),2))))</f>
      </c>
      <c r="AI50" s="33">
        <f>IF(Y50&lt;=0,0,MAX(0,MIN(Y50,ROUND($AZ50-SUMPRODUCT($V50:$AE50*($V50:$AE50&gt;0)*(($V50:$AE50&lt;Y50)+($V50:$AE50=Y50)*($V$3:$AE$3&gt;Y$3)+($V50:$AE50=Y50)*($V$3:$AE$3=Y$3)*($V$2:$AE$2&lt;Y$2))),2))))</f>
      </c>
      <c r="AJ50" s="33">
        <f>IF(Z50&lt;=0,0,MAX(0,MIN(Z50,ROUND($AZ50-SUMPRODUCT($V50:$AE50*($V50:$AE50&gt;0)*(($V50:$AE50&lt;Z50)+($V50:$AE50=Z50)*($V$3:$AE$3&gt;Z$3)+($V50:$AE50=Z50)*($V$3:$AE$3=Z$3)*($V$2:$AE$2&lt;Z$2))),2))))</f>
      </c>
      <c r="AK50" s="33">
        <f>IF(AA50&lt;=0,0,MAX(0,MIN(AA50,ROUND($AZ50-SUMPRODUCT($V50:$AE50*($V50:$AE50&gt;0)*(($V50:$AE50&lt;AA50)+($V50:$AE50=AA50)*($V$3:$AE$3&gt;AA$3)+($V50:$AE50=AA50)*($V$3:$AE$3=AA$3)*($V$2:$AE$2&lt;AA$2))),2))))</f>
      </c>
      <c r="AL50" s="33">
        <f>IF(AB50&lt;=0,0,MAX(0,MIN(AB50,ROUND($AZ50-SUMPRODUCT($V50:$AE50*($V50:$AE50&gt;0)*(($V50:$AE50&lt;AB50)+($V50:$AE50=AB50)*($V$3:$AE$3&gt;AB$3)+($V50:$AE50=AB50)*($V$3:$AE$3=AB$3)*($V$2:$AE$2&lt;AB$2))),2))))</f>
      </c>
      <c r="AM50" s="33">
        <f>IF(AC50&lt;=0,0,MAX(0,MIN(AC50,ROUND($AZ50-SUMPRODUCT($V50:$AE50*($V50:$AE50&gt;0)*(($V50:$AE50&lt;AC50)+($V50:$AE50=AC50)*($V$3:$AE$3&gt;AC$3)+($V50:$AE50=AC50)*($V$3:$AE$3=AC$3)*($V$2:$AE$2&lt;AC$2))),2))))</f>
      </c>
      <c r="AN50" s="33">
        <f>IF(AD50&lt;=0,0,MAX(0,MIN(AD50,ROUND($AZ50-SUMPRODUCT($V50:$AE50*($V50:$AE50&gt;0)*(($V50:$AE50&lt;AD50)+($V50:$AE50=AD50)*($V$3:$AE$3&gt;AD$3)+($V50:$AE50=AD50)*($V$3:$AE$3=AD$3)*($V$2:$AE$2&lt;AD$2))),2))))</f>
      </c>
      <c r="AO50" s="33">
        <f>IF(AE50&lt;=0,0,MAX(0,MIN(AE50,ROUND($AZ50-SUMPRODUCT($V50:$AE50*($V50:$AE50&gt;0)*(($V50:$AE50&lt;AE50)+($V50:$AE50=AE50)*($V$3:$AE$3&gt;AE$3)+($V50:$AE50=AE50)*($V$3:$AE$3=AE$3)*($V$2:$AE$2&lt;AE$2))),2))))</f>
      </c>
      <c r="AP50" s="33">
        <f>ROUND(V50-AF50,2)</f>
      </c>
      <c r="AQ50" s="33">
        <f>ROUND(W50-AG50,2)</f>
      </c>
      <c r="AR50" s="33">
        <f>ROUND(X50-AH50,2)</f>
      </c>
      <c r="AS50" s="33">
        <f>ROUND(Y50-AI50,2)</f>
      </c>
      <c r="AT50" s="33">
        <f>ROUND(Z50-AJ50,2)</f>
      </c>
      <c r="AU50" s="33">
        <f>ROUND(AA50-AK50,2)</f>
      </c>
      <c r="AV50" s="33">
        <f>ROUND(AB50-AL50,2)</f>
      </c>
      <c r="AW50" s="33">
        <f>ROUND(AC50-AM50,2)</f>
      </c>
      <c r="AX50" s="33">
        <f>ROUND(AD50-AN50,2)</f>
      </c>
      <c r="AY50" s="33">
        <f>ROUND(AE50-AO50,2)</f>
      </c>
      <c r="AZ50" s="33">
        <f>ROUND(MAX(0,'Your debts'!$D$22-SUM($L50:$U50)),2)</f>
      </c>
      <c r="BA50" s="33">
        <f>ROUND(SUM($B50:$K50)-SUM($AP49:$AY49),2)</f>
      </c>
      <c r="BB50" s="33">
        <f>SUM($AP50:$AY50)</f>
      </c>
      <c r="BC50" s="33">
        <f>ROUND(SUM($L50:$U50)+SUM($AF50:$AO50),2)</f>
      </c>
    </row>
    <row r="51" spans="1:55" x14ac:dyDescent="0.25">
      <c r="A51">
        <v>44</v>
      </c>
      <c r="B51" s="33">
        <f>IF(AP50&lt;=0,0,ROUND(AP50+ROUND(AP50*V$3/12,2),2))</f>
      </c>
      <c r="C51" s="33">
        <f>IF(AQ50&lt;=0,0,ROUND(AQ50+ROUND(AQ50*W$3/12,2),2))</f>
      </c>
      <c r="D51" s="33">
        <f>IF(AR50&lt;=0,0,ROUND(AR50+ROUND(AR50*X$3/12,2),2))</f>
      </c>
      <c r="E51" s="33">
        <f>IF(AS50&lt;=0,0,ROUND(AS50+ROUND(AS50*Y$3/12,2),2))</f>
      </c>
      <c r="F51" s="33">
        <f>IF(AT50&lt;=0,0,ROUND(AT50+ROUND(AT50*Z$3/12,2),2))</f>
      </c>
      <c r="G51" s="33">
        <f>IF(AU50&lt;=0,0,ROUND(AU50+ROUND(AU50*AA$3/12,2),2))</f>
      </c>
      <c r="H51" s="33">
        <f>IF(AV50&lt;=0,0,ROUND(AV50+ROUND(AV50*AB$3/12,2),2))</f>
      </c>
      <c r="I51" s="33">
        <f>IF(AW50&lt;=0,0,ROUND(AW50+ROUND(AW50*AC$3/12,2),2))</f>
      </c>
      <c r="J51" s="33">
        <f>IF(AX50&lt;=0,0,ROUND(AX50+ROUND(AX50*AD$3/12,2),2))</f>
      </c>
      <c r="K51" s="33">
        <f>IF(AY50&lt;=0,0,ROUND(AY50+ROUND(AY50*AE$3/12,2),2))</f>
      </c>
      <c r="L51" s="33">
        <f>ROUND(MIN(MAX(0,N('Your debts'!$E$6)),B51),2)</f>
      </c>
      <c r="M51" s="33">
        <f>ROUND(MIN(MAX(0,N('Your debts'!$E$7)),C51),2)</f>
      </c>
      <c r="N51" s="33">
        <f>ROUND(MIN(MAX(0,N('Your debts'!$E$8)),D51),2)</f>
      </c>
      <c r="O51" s="33">
        <f>ROUND(MIN(MAX(0,N('Your debts'!$E$9)),E51),2)</f>
      </c>
      <c r="P51" s="33">
        <f>ROUND(MIN(MAX(0,N('Your debts'!$E$10)),F51),2)</f>
      </c>
      <c r="Q51" s="33">
        <f>ROUND(MIN(MAX(0,N('Your debts'!$E$11)),G51),2)</f>
      </c>
      <c r="R51" s="33">
        <f>ROUND(MIN(MAX(0,N('Your debts'!$E$12)),H51),2)</f>
      </c>
      <c r="S51" s="33">
        <f>ROUND(MIN(MAX(0,N('Your debts'!$E$13)),I51),2)</f>
      </c>
      <c r="T51" s="33">
        <f>ROUND(MIN(MAX(0,N('Your debts'!$E$14)),J51),2)</f>
      </c>
      <c r="U51" s="33">
        <f>ROUND(MIN(MAX(0,N('Your debts'!$E$15)),K51),2)</f>
      </c>
      <c r="V51" s="33">
        <f>ROUND(B51-L51,2)</f>
      </c>
      <c r="W51" s="33">
        <f>ROUND(C51-M51,2)</f>
      </c>
      <c r="X51" s="33">
        <f>ROUND(D51-N51,2)</f>
      </c>
      <c r="Y51" s="33">
        <f>ROUND(E51-O51,2)</f>
      </c>
      <c r="Z51" s="33">
        <f>ROUND(F51-P51,2)</f>
      </c>
      <c r="AA51" s="33">
        <f>ROUND(G51-Q51,2)</f>
      </c>
      <c r="AB51" s="33">
        <f>ROUND(H51-R51,2)</f>
      </c>
      <c r="AC51" s="33">
        <f>ROUND(I51-S51,2)</f>
      </c>
      <c r="AD51" s="33">
        <f>ROUND(J51-T51,2)</f>
      </c>
      <c r="AE51" s="33">
        <f>ROUND(K51-U51,2)</f>
      </c>
      <c r="AF51" s="33">
        <f>IF(V51&lt;=0,0,MAX(0,MIN(V51,ROUND($AZ51-SUMPRODUCT($V51:$AE51*($V51:$AE51&gt;0)*(($V51:$AE51&lt;V51)+($V51:$AE51=V51)*($V$3:$AE$3&gt;V$3)+($V51:$AE51=V51)*($V$3:$AE$3=V$3)*($V$2:$AE$2&lt;V$2))),2))))</f>
      </c>
      <c r="AG51" s="33">
        <f>IF(W51&lt;=0,0,MAX(0,MIN(W51,ROUND($AZ51-SUMPRODUCT($V51:$AE51*($V51:$AE51&gt;0)*(($V51:$AE51&lt;W51)+($V51:$AE51=W51)*($V$3:$AE$3&gt;W$3)+($V51:$AE51=W51)*($V$3:$AE$3=W$3)*($V$2:$AE$2&lt;W$2))),2))))</f>
      </c>
      <c r="AH51" s="33">
        <f>IF(X51&lt;=0,0,MAX(0,MIN(X51,ROUND($AZ51-SUMPRODUCT($V51:$AE51*($V51:$AE51&gt;0)*(($V51:$AE51&lt;X51)+($V51:$AE51=X51)*($V$3:$AE$3&gt;X$3)+($V51:$AE51=X51)*($V$3:$AE$3=X$3)*($V$2:$AE$2&lt;X$2))),2))))</f>
      </c>
      <c r="AI51" s="33">
        <f>IF(Y51&lt;=0,0,MAX(0,MIN(Y51,ROUND($AZ51-SUMPRODUCT($V51:$AE51*($V51:$AE51&gt;0)*(($V51:$AE51&lt;Y51)+($V51:$AE51=Y51)*($V$3:$AE$3&gt;Y$3)+($V51:$AE51=Y51)*($V$3:$AE$3=Y$3)*($V$2:$AE$2&lt;Y$2))),2))))</f>
      </c>
      <c r="AJ51" s="33">
        <f>IF(Z51&lt;=0,0,MAX(0,MIN(Z51,ROUND($AZ51-SUMPRODUCT($V51:$AE51*($V51:$AE51&gt;0)*(($V51:$AE51&lt;Z51)+($V51:$AE51=Z51)*($V$3:$AE$3&gt;Z$3)+($V51:$AE51=Z51)*($V$3:$AE$3=Z$3)*($V$2:$AE$2&lt;Z$2))),2))))</f>
      </c>
      <c r="AK51" s="33">
        <f>IF(AA51&lt;=0,0,MAX(0,MIN(AA51,ROUND($AZ51-SUMPRODUCT($V51:$AE51*($V51:$AE51&gt;0)*(($V51:$AE51&lt;AA51)+($V51:$AE51=AA51)*($V$3:$AE$3&gt;AA$3)+($V51:$AE51=AA51)*($V$3:$AE$3=AA$3)*($V$2:$AE$2&lt;AA$2))),2))))</f>
      </c>
      <c r="AL51" s="33">
        <f>IF(AB51&lt;=0,0,MAX(0,MIN(AB51,ROUND($AZ51-SUMPRODUCT($V51:$AE51*($V51:$AE51&gt;0)*(($V51:$AE51&lt;AB51)+($V51:$AE51=AB51)*($V$3:$AE$3&gt;AB$3)+($V51:$AE51=AB51)*($V$3:$AE$3=AB$3)*($V$2:$AE$2&lt;AB$2))),2))))</f>
      </c>
      <c r="AM51" s="33">
        <f>IF(AC51&lt;=0,0,MAX(0,MIN(AC51,ROUND($AZ51-SUMPRODUCT($V51:$AE51*($V51:$AE51&gt;0)*(($V51:$AE51&lt;AC51)+($V51:$AE51=AC51)*($V$3:$AE$3&gt;AC$3)+($V51:$AE51=AC51)*($V$3:$AE$3=AC$3)*($V$2:$AE$2&lt;AC$2))),2))))</f>
      </c>
      <c r="AN51" s="33">
        <f>IF(AD51&lt;=0,0,MAX(0,MIN(AD51,ROUND($AZ51-SUMPRODUCT($V51:$AE51*($V51:$AE51&gt;0)*(($V51:$AE51&lt;AD51)+($V51:$AE51=AD51)*($V$3:$AE$3&gt;AD$3)+($V51:$AE51=AD51)*($V$3:$AE$3=AD$3)*($V$2:$AE$2&lt;AD$2))),2))))</f>
      </c>
      <c r="AO51" s="33">
        <f>IF(AE51&lt;=0,0,MAX(0,MIN(AE51,ROUND($AZ51-SUMPRODUCT($V51:$AE51*($V51:$AE51&gt;0)*(($V51:$AE51&lt;AE51)+($V51:$AE51=AE51)*($V$3:$AE$3&gt;AE$3)+($V51:$AE51=AE51)*($V$3:$AE$3=AE$3)*($V$2:$AE$2&lt;AE$2))),2))))</f>
      </c>
      <c r="AP51" s="33">
        <f>ROUND(V51-AF51,2)</f>
      </c>
      <c r="AQ51" s="33">
        <f>ROUND(W51-AG51,2)</f>
      </c>
      <c r="AR51" s="33">
        <f>ROUND(X51-AH51,2)</f>
      </c>
      <c r="AS51" s="33">
        <f>ROUND(Y51-AI51,2)</f>
      </c>
      <c r="AT51" s="33">
        <f>ROUND(Z51-AJ51,2)</f>
      </c>
      <c r="AU51" s="33">
        <f>ROUND(AA51-AK51,2)</f>
      </c>
      <c r="AV51" s="33">
        <f>ROUND(AB51-AL51,2)</f>
      </c>
      <c r="AW51" s="33">
        <f>ROUND(AC51-AM51,2)</f>
      </c>
      <c r="AX51" s="33">
        <f>ROUND(AD51-AN51,2)</f>
      </c>
      <c r="AY51" s="33">
        <f>ROUND(AE51-AO51,2)</f>
      </c>
      <c r="AZ51" s="33">
        <f>ROUND(MAX(0,'Your debts'!$D$22-SUM($L51:$U51)),2)</f>
      </c>
      <c r="BA51" s="33">
        <f>ROUND(SUM($B51:$K51)-SUM($AP50:$AY50),2)</f>
      </c>
      <c r="BB51" s="33">
        <f>SUM($AP51:$AY51)</f>
      </c>
      <c r="BC51" s="33">
        <f>ROUND(SUM($L51:$U51)+SUM($AF51:$AO51),2)</f>
      </c>
    </row>
    <row r="52" spans="1:55" x14ac:dyDescent="0.25">
      <c r="A52">
        <v>45</v>
      </c>
      <c r="B52" s="33">
        <f>IF(AP51&lt;=0,0,ROUND(AP51+ROUND(AP51*V$3/12,2),2))</f>
      </c>
      <c r="C52" s="33">
        <f>IF(AQ51&lt;=0,0,ROUND(AQ51+ROUND(AQ51*W$3/12,2),2))</f>
      </c>
      <c r="D52" s="33">
        <f>IF(AR51&lt;=0,0,ROUND(AR51+ROUND(AR51*X$3/12,2),2))</f>
      </c>
      <c r="E52" s="33">
        <f>IF(AS51&lt;=0,0,ROUND(AS51+ROUND(AS51*Y$3/12,2),2))</f>
      </c>
      <c r="F52" s="33">
        <f>IF(AT51&lt;=0,0,ROUND(AT51+ROUND(AT51*Z$3/12,2),2))</f>
      </c>
      <c r="G52" s="33">
        <f>IF(AU51&lt;=0,0,ROUND(AU51+ROUND(AU51*AA$3/12,2),2))</f>
      </c>
      <c r="H52" s="33">
        <f>IF(AV51&lt;=0,0,ROUND(AV51+ROUND(AV51*AB$3/12,2),2))</f>
      </c>
      <c r="I52" s="33">
        <f>IF(AW51&lt;=0,0,ROUND(AW51+ROUND(AW51*AC$3/12,2),2))</f>
      </c>
      <c r="J52" s="33">
        <f>IF(AX51&lt;=0,0,ROUND(AX51+ROUND(AX51*AD$3/12,2),2))</f>
      </c>
      <c r="K52" s="33">
        <f>IF(AY51&lt;=0,0,ROUND(AY51+ROUND(AY51*AE$3/12,2),2))</f>
      </c>
      <c r="L52" s="33">
        <f>ROUND(MIN(MAX(0,N('Your debts'!$E$6)),B52),2)</f>
      </c>
      <c r="M52" s="33">
        <f>ROUND(MIN(MAX(0,N('Your debts'!$E$7)),C52),2)</f>
      </c>
      <c r="N52" s="33">
        <f>ROUND(MIN(MAX(0,N('Your debts'!$E$8)),D52),2)</f>
      </c>
      <c r="O52" s="33">
        <f>ROUND(MIN(MAX(0,N('Your debts'!$E$9)),E52),2)</f>
      </c>
      <c r="P52" s="33">
        <f>ROUND(MIN(MAX(0,N('Your debts'!$E$10)),F52),2)</f>
      </c>
      <c r="Q52" s="33">
        <f>ROUND(MIN(MAX(0,N('Your debts'!$E$11)),G52),2)</f>
      </c>
      <c r="R52" s="33">
        <f>ROUND(MIN(MAX(0,N('Your debts'!$E$12)),H52),2)</f>
      </c>
      <c r="S52" s="33">
        <f>ROUND(MIN(MAX(0,N('Your debts'!$E$13)),I52),2)</f>
      </c>
      <c r="T52" s="33">
        <f>ROUND(MIN(MAX(0,N('Your debts'!$E$14)),J52),2)</f>
      </c>
      <c r="U52" s="33">
        <f>ROUND(MIN(MAX(0,N('Your debts'!$E$15)),K52),2)</f>
      </c>
      <c r="V52" s="33">
        <f>ROUND(B52-L52,2)</f>
      </c>
      <c r="W52" s="33">
        <f>ROUND(C52-M52,2)</f>
      </c>
      <c r="X52" s="33">
        <f>ROUND(D52-N52,2)</f>
      </c>
      <c r="Y52" s="33">
        <f>ROUND(E52-O52,2)</f>
      </c>
      <c r="Z52" s="33">
        <f>ROUND(F52-P52,2)</f>
      </c>
      <c r="AA52" s="33">
        <f>ROUND(G52-Q52,2)</f>
      </c>
      <c r="AB52" s="33">
        <f>ROUND(H52-R52,2)</f>
      </c>
      <c r="AC52" s="33">
        <f>ROUND(I52-S52,2)</f>
      </c>
      <c r="AD52" s="33">
        <f>ROUND(J52-T52,2)</f>
      </c>
      <c r="AE52" s="33">
        <f>ROUND(K52-U52,2)</f>
      </c>
      <c r="AF52" s="33">
        <f>IF(V52&lt;=0,0,MAX(0,MIN(V52,ROUND($AZ52-SUMPRODUCT($V52:$AE52*($V52:$AE52&gt;0)*(($V52:$AE52&lt;V52)+($V52:$AE52=V52)*($V$3:$AE$3&gt;V$3)+($V52:$AE52=V52)*($V$3:$AE$3=V$3)*($V$2:$AE$2&lt;V$2))),2))))</f>
      </c>
      <c r="AG52" s="33">
        <f>IF(W52&lt;=0,0,MAX(0,MIN(W52,ROUND($AZ52-SUMPRODUCT($V52:$AE52*($V52:$AE52&gt;0)*(($V52:$AE52&lt;W52)+($V52:$AE52=W52)*($V$3:$AE$3&gt;W$3)+($V52:$AE52=W52)*($V$3:$AE$3=W$3)*($V$2:$AE$2&lt;W$2))),2))))</f>
      </c>
      <c r="AH52" s="33">
        <f>IF(X52&lt;=0,0,MAX(0,MIN(X52,ROUND($AZ52-SUMPRODUCT($V52:$AE52*($V52:$AE52&gt;0)*(($V52:$AE52&lt;X52)+($V52:$AE52=X52)*($V$3:$AE$3&gt;X$3)+($V52:$AE52=X52)*($V$3:$AE$3=X$3)*($V$2:$AE$2&lt;X$2))),2))))</f>
      </c>
      <c r="AI52" s="33">
        <f>IF(Y52&lt;=0,0,MAX(0,MIN(Y52,ROUND($AZ52-SUMPRODUCT($V52:$AE52*($V52:$AE52&gt;0)*(($V52:$AE52&lt;Y52)+($V52:$AE52=Y52)*($V$3:$AE$3&gt;Y$3)+($V52:$AE52=Y52)*($V$3:$AE$3=Y$3)*($V$2:$AE$2&lt;Y$2))),2))))</f>
      </c>
      <c r="AJ52" s="33">
        <f>IF(Z52&lt;=0,0,MAX(0,MIN(Z52,ROUND($AZ52-SUMPRODUCT($V52:$AE52*($V52:$AE52&gt;0)*(($V52:$AE52&lt;Z52)+($V52:$AE52=Z52)*($V$3:$AE$3&gt;Z$3)+($V52:$AE52=Z52)*($V$3:$AE$3=Z$3)*($V$2:$AE$2&lt;Z$2))),2))))</f>
      </c>
      <c r="AK52" s="33">
        <f>IF(AA52&lt;=0,0,MAX(0,MIN(AA52,ROUND($AZ52-SUMPRODUCT($V52:$AE52*($V52:$AE52&gt;0)*(($V52:$AE52&lt;AA52)+($V52:$AE52=AA52)*($V$3:$AE$3&gt;AA$3)+($V52:$AE52=AA52)*($V$3:$AE$3=AA$3)*($V$2:$AE$2&lt;AA$2))),2))))</f>
      </c>
      <c r="AL52" s="33">
        <f>IF(AB52&lt;=0,0,MAX(0,MIN(AB52,ROUND($AZ52-SUMPRODUCT($V52:$AE52*($V52:$AE52&gt;0)*(($V52:$AE52&lt;AB52)+($V52:$AE52=AB52)*($V$3:$AE$3&gt;AB$3)+($V52:$AE52=AB52)*($V$3:$AE$3=AB$3)*($V$2:$AE$2&lt;AB$2))),2))))</f>
      </c>
      <c r="AM52" s="33">
        <f>IF(AC52&lt;=0,0,MAX(0,MIN(AC52,ROUND($AZ52-SUMPRODUCT($V52:$AE52*($V52:$AE52&gt;0)*(($V52:$AE52&lt;AC52)+($V52:$AE52=AC52)*($V$3:$AE$3&gt;AC$3)+($V52:$AE52=AC52)*($V$3:$AE$3=AC$3)*($V$2:$AE$2&lt;AC$2))),2))))</f>
      </c>
      <c r="AN52" s="33">
        <f>IF(AD52&lt;=0,0,MAX(0,MIN(AD52,ROUND($AZ52-SUMPRODUCT($V52:$AE52*($V52:$AE52&gt;0)*(($V52:$AE52&lt;AD52)+($V52:$AE52=AD52)*($V$3:$AE$3&gt;AD$3)+($V52:$AE52=AD52)*($V$3:$AE$3=AD$3)*($V$2:$AE$2&lt;AD$2))),2))))</f>
      </c>
      <c r="AO52" s="33">
        <f>IF(AE52&lt;=0,0,MAX(0,MIN(AE52,ROUND($AZ52-SUMPRODUCT($V52:$AE52*($V52:$AE52&gt;0)*(($V52:$AE52&lt;AE52)+($V52:$AE52=AE52)*($V$3:$AE$3&gt;AE$3)+($V52:$AE52=AE52)*($V$3:$AE$3=AE$3)*($V$2:$AE$2&lt;AE$2))),2))))</f>
      </c>
      <c r="AP52" s="33">
        <f>ROUND(V52-AF52,2)</f>
      </c>
      <c r="AQ52" s="33">
        <f>ROUND(W52-AG52,2)</f>
      </c>
      <c r="AR52" s="33">
        <f>ROUND(X52-AH52,2)</f>
      </c>
      <c r="AS52" s="33">
        <f>ROUND(Y52-AI52,2)</f>
      </c>
      <c r="AT52" s="33">
        <f>ROUND(Z52-AJ52,2)</f>
      </c>
      <c r="AU52" s="33">
        <f>ROUND(AA52-AK52,2)</f>
      </c>
      <c r="AV52" s="33">
        <f>ROUND(AB52-AL52,2)</f>
      </c>
      <c r="AW52" s="33">
        <f>ROUND(AC52-AM52,2)</f>
      </c>
      <c r="AX52" s="33">
        <f>ROUND(AD52-AN52,2)</f>
      </c>
      <c r="AY52" s="33">
        <f>ROUND(AE52-AO52,2)</f>
      </c>
      <c r="AZ52" s="33">
        <f>ROUND(MAX(0,'Your debts'!$D$22-SUM($L52:$U52)),2)</f>
      </c>
      <c r="BA52" s="33">
        <f>ROUND(SUM($B52:$K52)-SUM($AP51:$AY51),2)</f>
      </c>
      <c r="BB52" s="33">
        <f>SUM($AP52:$AY52)</f>
      </c>
      <c r="BC52" s="33">
        <f>ROUND(SUM($L52:$U52)+SUM($AF52:$AO52),2)</f>
      </c>
    </row>
    <row r="53" spans="1:55" x14ac:dyDescent="0.25">
      <c r="A53">
        <v>46</v>
      </c>
      <c r="B53" s="33">
        <f>IF(AP52&lt;=0,0,ROUND(AP52+ROUND(AP52*V$3/12,2),2))</f>
      </c>
      <c r="C53" s="33">
        <f>IF(AQ52&lt;=0,0,ROUND(AQ52+ROUND(AQ52*W$3/12,2),2))</f>
      </c>
      <c r="D53" s="33">
        <f>IF(AR52&lt;=0,0,ROUND(AR52+ROUND(AR52*X$3/12,2),2))</f>
      </c>
      <c r="E53" s="33">
        <f>IF(AS52&lt;=0,0,ROUND(AS52+ROUND(AS52*Y$3/12,2),2))</f>
      </c>
      <c r="F53" s="33">
        <f>IF(AT52&lt;=0,0,ROUND(AT52+ROUND(AT52*Z$3/12,2),2))</f>
      </c>
      <c r="G53" s="33">
        <f>IF(AU52&lt;=0,0,ROUND(AU52+ROUND(AU52*AA$3/12,2),2))</f>
      </c>
      <c r="H53" s="33">
        <f>IF(AV52&lt;=0,0,ROUND(AV52+ROUND(AV52*AB$3/12,2),2))</f>
      </c>
      <c r="I53" s="33">
        <f>IF(AW52&lt;=0,0,ROUND(AW52+ROUND(AW52*AC$3/12,2),2))</f>
      </c>
      <c r="J53" s="33">
        <f>IF(AX52&lt;=0,0,ROUND(AX52+ROUND(AX52*AD$3/12,2),2))</f>
      </c>
      <c r="K53" s="33">
        <f>IF(AY52&lt;=0,0,ROUND(AY52+ROUND(AY52*AE$3/12,2),2))</f>
      </c>
      <c r="L53" s="33">
        <f>ROUND(MIN(MAX(0,N('Your debts'!$E$6)),B53),2)</f>
      </c>
      <c r="M53" s="33">
        <f>ROUND(MIN(MAX(0,N('Your debts'!$E$7)),C53),2)</f>
      </c>
      <c r="N53" s="33">
        <f>ROUND(MIN(MAX(0,N('Your debts'!$E$8)),D53),2)</f>
      </c>
      <c r="O53" s="33">
        <f>ROUND(MIN(MAX(0,N('Your debts'!$E$9)),E53),2)</f>
      </c>
      <c r="P53" s="33">
        <f>ROUND(MIN(MAX(0,N('Your debts'!$E$10)),F53),2)</f>
      </c>
      <c r="Q53" s="33">
        <f>ROUND(MIN(MAX(0,N('Your debts'!$E$11)),G53),2)</f>
      </c>
      <c r="R53" s="33">
        <f>ROUND(MIN(MAX(0,N('Your debts'!$E$12)),H53),2)</f>
      </c>
      <c r="S53" s="33">
        <f>ROUND(MIN(MAX(0,N('Your debts'!$E$13)),I53),2)</f>
      </c>
      <c r="T53" s="33">
        <f>ROUND(MIN(MAX(0,N('Your debts'!$E$14)),J53),2)</f>
      </c>
      <c r="U53" s="33">
        <f>ROUND(MIN(MAX(0,N('Your debts'!$E$15)),K53),2)</f>
      </c>
      <c r="V53" s="33">
        <f>ROUND(B53-L53,2)</f>
      </c>
      <c r="W53" s="33">
        <f>ROUND(C53-M53,2)</f>
      </c>
      <c r="X53" s="33">
        <f>ROUND(D53-N53,2)</f>
      </c>
      <c r="Y53" s="33">
        <f>ROUND(E53-O53,2)</f>
      </c>
      <c r="Z53" s="33">
        <f>ROUND(F53-P53,2)</f>
      </c>
      <c r="AA53" s="33">
        <f>ROUND(G53-Q53,2)</f>
      </c>
      <c r="AB53" s="33">
        <f>ROUND(H53-R53,2)</f>
      </c>
      <c r="AC53" s="33">
        <f>ROUND(I53-S53,2)</f>
      </c>
      <c r="AD53" s="33">
        <f>ROUND(J53-T53,2)</f>
      </c>
      <c r="AE53" s="33">
        <f>ROUND(K53-U53,2)</f>
      </c>
      <c r="AF53" s="33">
        <f>IF(V53&lt;=0,0,MAX(0,MIN(V53,ROUND($AZ53-SUMPRODUCT($V53:$AE53*($V53:$AE53&gt;0)*(($V53:$AE53&lt;V53)+($V53:$AE53=V53)*($V$3:$AE$3&gt;V$3)+($V53:$AE53=V53)*($V$3:$AE$3=V$3)*($V$2:$AE$2&lt;V$2))),2))))</f>
      </c>
      <c r="AG53" s="33">
        <f>IF(W53&lt;=0,0,MAX(0,MIN(W53,ROUND($AZ53-SUMPRODUCT($V53:$AE53*($V53:$AE53&gt;0)*(($V53:$AE53&lt;W53)+($V53:$AE53=W53)*($V$3:$AE$3&gt;W$3)+($V53:$AE53=W53)*($V$3:$AE$3=W$3)*($V$2:$AE$2&lt;W$2))),2))))</f>
      </c>
      <c r="AH53" s="33">
        <f>IF(X53&lt;=0,0,MAX(0,MIN(X53,ROUND($AZ53-SUMPRODUCT($V53:$AE53*($V53:$AE53&gt;0)*(($V53:$AE53&lt;X53)+($V53:$AE53=X53)*($V$3:$AE$3&gt;X$3)+($V53:$AE53=X53)*($V$3:$AE$3=X$3)*($V$2:$AE$2&lt;X$2))),2))))</f>
      </c>
      <c r="AI53" s="33">
        <f>IF(Y53&lt;=0,0,MAX(0,MIN(Y53,ROUND($AZ53-SUMPRODUCT($V53:$AE53*($V53:$AE53&gt;0)*(($V53:$AE53&lt;Y53)+($V53:$AE53=Y53)*($V$3:$AE$3&gt;Y$3)+($V53:$AE53=Y53)*($V$3:$AE$3=Y$3)*($V$2:$AE$2&lt;Y$2))),2))))</f>
      </c>
      <c r="AJ53" s="33">
        <f>IF(Z53&lt;=0,0,MAX(0,MIN(Z53,ROUND($AZ53-SUMPRODUCT($V53:$AE53*($V53:$AE53&gt;0)*(($V53:$AE53&lt;Z53)+($V53:$AE53=Z53)*($V$3:$AE$3&gt;Z$3)+($V53:$AE53=Z53)*($V$3:$AE$3=Z$3)*($V$2:$AE$2&lt;Z$2))),2))))</f>
      </c>
      <c r="AK53" s="33">
        <f>IF(AA53&lt;=0,0,MAX(0,MIN(AA53,ROUND($AZ53-SUMPRODUCT($V53:$AE53*($V53:$AE53&gt;0)*(($V53:$AE53&lt;AA53)+($V53:$AE53=AA53)*($V$3:$AE$3&gt;AA$3)+($V53:$AE53=AA53)*($V$3:$AE$3=AA$3)*($V$2:$AE$2&lt;AA$2))),2))))</f>
      </c>
      <c r="AL53" s="33">
        <f>IF(AB53&lt;=0,0,MAX(0,MIN(AB53,ROUND($AZ53-SUMPRODUCT($V53:$AE53*($V53:$AE53&gt;0)*(($V53:$AE53&lt;AB53)+($V53:$AE53=AB53)*($V$3:$AE$3&gt;AB$3)+($V53:$AE53=AB53)*($V$3:$AE$3=AB$3)*($V$2:$AE$2&lt;AB$2))),2))))</f>
      </c>
      <c r="AM53" s="33">
        <f>IF(AC53&lt;=0,0,MAX(0,MIN(AC53,ROUND($AZ53-SUMPRODUCT($V53:$AE53*($V53:$AE53&gt;0)*(($V53:$AE53&lt;AC53)+($V53:$AE53=AC53)*($V$3:$AE$3&gt;AC$3)+($V53:$AE53=AC53)*($V$3:$AE$3=AC$3)*($V$2:$AE$2&lt;AC$2))),2))))</f>
      </c>
      <c r="AN53" s="33">
        <f>IF(AD53&lt;=0,0,MAX(0,MIN(AD53,ROUND($AZ53-SUMPRODUCT($V53:$AE53*($V53:$AE53&gt;0)*(($V53:$AE53&lt;AD53)+($V53:$AE53=AD53)*($V$3:$AE$3&gt;AD$3)+($V53:$AE53=AD53)*($V$3:$AE$3=AD$3)*($V$2:$AE$2&lt;AD$2))),2))))</f>
      </c>
      <c r="AO53" s="33">
        <f>IF(AE53&lt;=0,0,MAX(0,MIN(AE53,ROUND($AZ53-SUMPRODUCT($V53:$AE53*($V53:$AE53&gt;0)*(($V53:$AE53&lt;AE53)+($V53:$AE53=AE53)*($V$3:$AE$3&gt;AE$3)+($V53:$AE53=AE53)*($V$3:$AE$3=AE$3)*($V$2:$AE$2&lt;AE$2))),2))))</f>
      </c>
      <c r="AP53" s="33">
        <f>ROUND(V53-AF53,2)</f>
      </c>
      <c r="AQ53" s="33">
        <f>ROUND(W53-AG53,2)</f>
      </c>
      <c r="AR53" s="33">
        <f>ROUND(X53-AH53,2)</f>
      </c>
      <c r="AS53" s="33">
        <f>ROUND(Y53-AI53,2)</f>
      </c>
      <c r="AT53" s="33">
        <f>ROUND(Z53-AJ53,2)</f>
      </c>
      <c r="AU53" s="33">
        <f>ROUND(AA53-AK53,2)</f>
      </c>
      <c r="AV53" s="33">
        <f>ROUND(AB53-AL53,2)</f>
      </c>
      <c r="AW53" s="33">
        <f>ROUND(AC53-AM53,2)</f>
      </c>
      <c r="AX53" s="33">
        <f>ROUND(AD53-AN53,2)</f>
      </c>
      <c r="AY53" s="33">
        <f>ROUND(AE53-AO53,2)</f>
      </c>
      <c r="AZ53" s="33">
        <f>ROUND(MAX(0,'Your debts'!$D$22-SUM($L53:$U53)),2)</f>
      </c>
      <c r="BA53" s="33">
        <f>ROUND(SUM($B53:$K53)-SUM($AP52:$AY52),2)</f>
      </c>
      <c r="BB53" s="33">
        <f>SUM($AP53:$AY53)</f>
      </c>
      <c r="BC53" s="33">
        <f>ROUND(SUM($L53:$U53)+SUM($AF53:$AO53),2)</f>
      </c>
    </row>
    <row r="54" spans="1:55" x14ac:dyDescent="0.25">
      <c r="A54">
        <v>47</v>
      </c>
      <c r="B54" s="33">
        <f>IF(AP53&lt;=0,0,ROUND(AP53+ROUND(AP53*V$3/12,2),2))</f>
      </c>
      <c r="C54" s="33">
        <f>IF(AQ53&lt;=0,0,ROUND(AQ53+ROUND(AQ53*W$3/12,2),2))</f>
      </c>
      <c r="D54" s="33">
        <f>IF(AR53&lt;=0,0,ROUND(AR53+ROUND(AR53*X$3/12,2),2))</f>
      </c>
      <c r="E54" s="33">
        <f>IF(AS53&lt;=0,0,ROUND(AS53+ROUND(AS53*Y$3/12,2),2))</f>
      </c>
      <c r="F54" s="33">
        <f>IF(AT53&lt;=0,0,ROUND(AT53+ROUND(AT53*Z$3/12,2),2))</f>
      </c>
      <c r="G54" s="33">
        <f>IF(AU53&lt;=0,0,ROUND(AU53+ROUND(AU53*AA$3/12,2),2))</f>
      </c>
      <c r="H54" s="33">
        <f>IF(AV53&lt;=0,0,ROUND(AV53+ROUND(AV53*AB$3/12,2),2))</f>
      </c>
      <c r="I54" s="33">
        <f>IF(AW53&lt;=0,0,ROUND(AW53+ROUND(AW53*AC$3/12,2),2))</f>
      </c>
      <c r="J54" s="33">
        <f>IF(AX53&lt;=0,0,ROUND(AX53+ROUND(AX53*AD$3/12,2),2))</f>
      </c>
      <c r="K54" s="33">
        <f>IF(AY53&lt;=0,0,ROUND(AY53+ROUND(AY53*AE$3/12,2),2))</f>
      </c>
      <c r="L54" s="33">
        <f>ROUND(MIN(MAX(0,N('Your debts'!$E$6)),B54),2)</f>
      </c>
      <c r="M54" s="33">
        <f>ROUND(MIN(MAX(0,N('Your debts'!$E$7)),C54),2)</f>
      </c>
      <c r="N54" s="33">
        <f>ROUND(MIN(MAX(0,N('Your debts'!$E$8)),D54),2)</f>
      </c>
      <c r="O54" s="33">
        <f>ROUND(MIN(MAX(0,N('Your debts'!$E$9)),E54),2)</f>
      </c>
      <c r="P54" s="33">
        <f>ROUND(MIN(MAX(0,N('Your debts'!$E$10)),F54),2)</f>
      </c>
      <c r="Q54" s="33">
        <f>ROUND(MIN(MAX(0,N('Your debts'!$E$11)),G54),2)</f>
      </c>
      <c r="R54" s="33">
        <f>ROUND(MIN(MAX(0,N('Your debts'!$E$12)),H54),2)</f>
      </c>
      <c r="S54" s="33">
        <f>ROUND(MIN(MAX(0,N('Your debts'!$E$13)),I54),2)</f>
      </c>
      <c r="T54" s="33">
        <f>ROUND(MIN(MAX(0,N('Your debts'!$E$14)),J54),2)</f>
      </c>
      <c r="U54" s="33">
        <f>ROUND(MIN(MAX(0,N('Your debts'!$E$15)),K54),2)</f>
      </c>
      <c r="V54" s="33">
        <f>ROUND(B54-L54,2)</f>
      </c>
      <c r="W54" s="33">
        <f>ROUND(C54-M54,2)</f>
      </c>
      <c r="X54" s="33">
        <f>ROUND(D54-N54,2)</f>
      </c>
      <c r="Y54" s="33">
        <f>ROUND(E54-O54,2)</f>
      </c>
      <c r="Z54" s="33">
        <f>ROUND(F54-P54,2)</f>
      </c>
      <c r="AA54" s="33">
        <f>ROUND(G54-Q54,2)</f>
      </c>
      <c r="AB54" s="33">
        <f>ROUND(H54-R54,2)</f>
      </c>
      <c r="AC54" s="33">
        <f>ROUND(I54-S54,2)</f>
      </c>
      <c r="AD54" s="33">
        <f>ROUND(J54-T54,2)</f>
      </c>
      <c r="AE54" s="33">
        <f>ROUND(K54-U54,2)</f>
      </c>
      <c r="AF54" s="33">
        <f>IF(V54&lt;=0,0,MAX(0,MIN(V54,ROUND($AZ54-SUMPRODUCT($V54:$AE54*($V54:$AE54&gt;0)*(($V54:$AE54&lt;V54)+($V54:$AE54=V54)*($V$3:$AE$3&gt;V$3)+($V54:$AE54=V54)*($V$3:$AE$3=V$3)*($V$2:$AE$2&lt;V$2))),2))))</f>
      </c>
      <c r="AG54" s="33">
        <f>IF(W54&lt;=0,0,MAX(0,MIN(W54,ROUND($AZ54-SUMPRODUCT($V54:$AE54*($V54:$AE54&gt;0)*(($V54:$AE54&lt;W54)+($V54:$AE54=W54)*($V$3:$AE$3&gt;W$3)+($V54:$AE54=W54)*($V$3:$AE$3=W$3)*($V$2:$AE$2&lt;W$2))),2))))</f>
      </c>
      <c r="AH54" s="33">
        <f>IF(X54&lt;=0,0,MAX(0,MIN(X54,ROUND($AZ54-SUMPRODUCT($V54:$AE54*($V54:$AE54&gt;0)*(($V54:$AE54&lt;X54)+($V54:$AE54=X54)*($V$3:$AE$3&gt;X$3)+($V54:$AE54=X54)*($V$3:$AE$3=X$3)*($V$2:$AE$2&lt;X$2))),2))))</f>
      </c>
      <c r="AI54" s="33">
        <f>IF(Y54&lt;=0,0,MAX(0,MIN(Y54,ROUND($AZ54-SUMPRODUCT($V54:$AE54*($V54:$AE54&gt;0)*(($V54:$AE54&lt;Y54)+($V54:$AE54=Y54)*($V$3:$AE$3&gt;Y$3)+($V54:$AE54=Y54)*($V$3:$AE$3=Y$3)*($V$2:$AE$2&lt;Y$2))),2))))</f>
      </c>
      <c r="AJ54" s="33">
        <f>IF(Z54&lt;=0,0,MAX(0,MIN(Z54,ROUND($AZ54-SUMPRODUCT($V54:$AE54*($V54:$AE54&gt;0)*(($V54:$AE54&lt;Z54)+($V54:$AE54=Z54)*($V$3:$AE$3&gt;Z$3)+($V54:$AE54=Z54)*($V$3:$AE$3=Z$3)*($V$2:$AE$2&lt;Z$2))),2))))</f>
      </c>
      <c r="AK54" s="33">
        <f>IF(AA54&lt;=0,0,MAX(0,MIN(AA54,ROUND($AZ54-SUMPRODUCT($V54:$AE54*($V54:$AE54&gt;0)*(($V54:$AE54&lt;AA54)+($V54:$AE54=AA54)*($V$3:$AE$3&gt;AA$3)+($V54:$AE54=AA54)*($V$3:$AE$3=AA$3)*($V$2:$AE$2&lt;AA$2))),2))))</f>
      </c>
      <c r="AL54" s="33">
        <f>IF(AB54&lt;=0,0,MAX(0,MIN(AB54,ROUND($AZ54-SUMPRODUCT($V54:$AE54*($V54:$AE54&gt;0)*(($V54:$AE54&lt;AB54)+($V54:$AE54=AB54)*($V$3:$AE$3&gt;AB$3)+($V54:$AE54=AB54)*($V$3:$AE$3=AB$3)*($V$2:$AE$2&lt;AB$2))),2))))</f>
      </c>
      <c r="AM54" s="33">
        <f>IF(AC54&lt;=0,0,MAX(0,MIN(AC54,ROUND($AZ54-SUMPRODUCT($V54:$AE54*($V54:$AE54&gt;0)*(($V54:$AE54&lt;AC54)+($V54:$AE54=AC54)*($V$3:$AE$3&gt;AC$3)+($V54:$AE54=AC54)*($V$3:$AE$3=AC$3)*($V$2:$AE$2&lt;AC$2))),2))))</f>
      </c>
      <c r="AN54" s="33">
        <f>IF(AD54&lt;=0,0,MAX(0,MIN(AD54,ROUND($AZ54-SUMPRODUCT($V54:$AE54*($V54:$AE54&gt;0)*(($V54:$AE54&lt;AD54)+($V54:$AE54=AD54)*($V$3:$AE$3&gt;AD$3)+($V54:$AE54=AD54)*($V$3:$AE$3=AD$3)*($V$2:$AE$2&lt;AD$2))),2))))</f>
      </c>
      <c r="AO54" s="33">
        <f>IF(AE54&lt;=0,0,MAX(0,MIN(AE54,ROUND($AZ54-SUMPRODUCT($V54:$AE54*($V54:$AE54&gt;0)*(($V54:$AE54&lt;AE54)+($V54:$AE54=AE54)*($V$3:$AE$3&gt;AE$3)+($V54:$AE54=AE54)*($V$3:$AE$3=AE$3)*($V$2:$AE$2&lt;AE$2))),2))))</f>
      </c>
      <c r="AP54" s="33">
        <f>ROUND(V54-AF54,2)</f>
      </c>
      <c r="AQ54" s="33">
        <f>ROUND(W54-AG54,2)</f>
      </c>
      <c r="AR54" s="33">
        <f>ROUND(X54-AH54,2)</f>
      </c>
      <c r="AS54" s="33">
        <f>ROUND(Y54-AI54,2)</f>
      </c>
      <c r="AT54" s="33">
        <f>ROUND(Z54-AJ54,2)</f>
      </c>
      <c r="AU54" s="33">
        <f>ROUND(AA54-AK54,2)</f>
      </c>
      <c r="AV54" s="33">
        <f>ROUND(AB54-AL54,2)</f>
      </c>
      <c r="AW54" s="33">
        <f>ROUND(AC54-AM54,2)</f>
      </c>
      <c r="AX54" s="33">
        <f>ROUND(AD54-AN54,2)</f>
      </c>
      <c r="AY54" s="33">
        <f>ROUND(AE54-AO54,2)</f>
      </c>
      <c r="AZ54" s="33">
        <f>ROUND(MAX(0,'Your debts'!$D$22-SUM($L54:$U54)),2)</f>
      </c>
      <c r="BA54" s="33">
        <f>ROUND(SUM($B54:$K54)-SUM($AP53:$AY53),2)</f>
      </c>
      <c r="BB54" s="33">
        <f>SUM($AP54:$AY54)</f>
      </c>
      <c r="BC54" s="33">
        <f>ROUND(SUM($L54:$U54)+SUM($AF54:$AO54),2)</f>
      </c>
    </row>
    <row r="55" spans="1:55" x14ac:dyDescent="0.25">
      <c r="A55">
        <v>48</v>
      </c>
      <c r="B55" s="33">
        <f>IF(AP54&lt;=0,0,ROUND(AP54+ROUND(AP54*V$3/12,2),2))</f>
      </c>
      <c r="C55" s="33">
        <f>IF(AQ54&lt;=0,0,ROUND(AQ54+ROUND(AQ54*W$3/12,2),2))</f>
      </c>
      <c r="D55" s="33">
        <f>IF(AR54&lt;=0,0,ROUND(AR54+ROUND(AR54*X$3/12,2),2))</f>
      </c>
      <c r="E55" s="33">
        <f>IF(AS54&lt;=0,0,ROUND(AS54+ROUND(AS54*Y$3/12,2),2))</f>
      </c>
      <c r="F55" s="33">
        <f>IF(AT54&lt;=0,0,ROUND(AT54+ROUND(AT54*Z$3/12,2),2))</f>
      </c>
      <c r="G55" s="33">
        <f>IF(AU54&lt;=0,0,ROUND(AU54+ROUND(AU54*AA$3/12,2),2))</f>
      </c>
      <c r="H55" s="33">
        <f>IF(AV54&lt;=0,0,ROUND(AV54+ROUND(AV54*AB$3/12,2),2))</f>
      </c>
      <c r="I55" s="33">
        <f>IF(AW54&lt;=0,0,ROUND(AW54+ROUND(AW54*AC$3/12,2),2))</f>
      </c>
      <c r="J55" s="33">
        <f>IF(AX54&lt;=0,0,ROUND(AX54+ROUND(AX54*AD$3/12,2),2))</f>
      </c>
      <c r="K55" s="33">
        <f>IF(AY54&lt;=0,0,ROUND(AY54+ROUND(AY54*AE$3/12,2),2))</f>
      </c>
      <c r="L55" s="33">
        <f>ROUND(MIN(MAX(0,N('Your debts'!$E$6)),B55),2)</f>
      </c>
      <c r="M55" s="33">
        <f>ROUND(MIN(MAX(0,N('Your debts'!$E$7)),C55),2)</f>
      </c>
      <c r="N55" s="33">
        <f>ROUND(MIN(MAX(0,N('Your debts'!$E$8)),D55),2)</f>
      </c>
      <c r="O55" s="33">
        <f>ROUND(MIN(MAX(0,N('Your debts'!$E$9)),E55),2)</f>
      </c>
      <c r="P55" s="33">
        <f>ROUND(MIN(MAX(0,N('Your debts'!$E$10)),F55),2)</f>
      </c>
      <c r="Q55" s="33">
        <f>ROUND(MIN(MAX(0,N('Your debts'!$E$11)),G55),2)</f>
      </c>
      <c r="R55" s="33">
        <f>ROUND(MIN(MAX(0,N('Your debts'!$E$12)),H55),2)</f>
      </c>
      <c r="S55" s="33">
        <f>ROUND(MIN(MAX(0,N('Your debts'!$E$13)),I55),2)</f>
      </c>
      <c r="T55" s="33">
        <f>ROUND(MIN(MAX(0,N('Your debts'!$E$14)),J55),2)</f>
      </c>
      <c r="U55" s="33">
        <f>ROUND(MIN(MAX(0,N('Your debts'!$E$15)),K55),2)</f>
      </c>
      <c r="V55" s="33">
        <f>ROUND(B55-L55,2)</f>
      </c>
      <c r="W55" s="33">
        <f>ROUND(C55-M55,2)</f>
      </c>
      <c r="X55" s="33">
        <f>ROUND(D55-N55,2)</f>
      </c>
      <c r="Y55" s="33">
        <f>ROUND(E55-O55,2)</f>
      </c>
      <c r="Z55" s="33">
        <f>ROUND(F55-P55,2)</f>
      </c>
      <c r="AA55" s="33">
        <f>ROUND(G55-Q55,2)</f>
      </c>
      <c r="AB55" s="33">
        <f>ROUND(H55-R55,2)</f>
      </c>
      <c r="AC55" s="33">
        <f>ROUND(I55-S55,2)</f>
      </c>
      <c r="AD55" s="33">
        <f>ROUND(J55-T55,2)</f>
      </c>
      <c r="AE55" s="33">
        <f>ROUND(K55-U55,2)</f>
      </c>
      <c r="AF55" s="33">
        <f>IF(V55&lt;=0,0,MAX(0,MIN(V55,ROUND($AZ55-SUMPRODUCT($V55:$AE55*($V55:$AE55&gt;0)*(($V55:$AE55&lt;V55)+($V55:$AE55=V55)*($V$3:$AE$3&gt;V$3)+($V55:$AE55=V55)*($V$3:$AE$3=V$3)*($V$2:$AE$2&lt;V$2))),2))))</f>
      </c>
      <c r="AG55" s="33">
        <f>IF(W55&lt;=0,0,MAX(0,MIN(W55,ROUND($AZ55-SUMPRODUCT($V55:$AE55*($V55:$AE55&gt;0)*(($V55:$AE55&lt;W55)+($V55:$AE55=W55)*($V$3:$AE$3&gt;W$3)+($V55:$AE55=W55)*($V$3:$AE$3=W$3)*($V$2:$AE$2&lt;W$2))),2))))</f>
      </c>
      <c r="AH55" s="33">
        <f>IF(X55&lt;=0,0,MAX(0,MIN(X55,ROUND($AZ55-SUMPRODUCT($V55:$AE55*($V55:$AE55&gt;0)*(($V55:$AE55&lt;X55)+($V55:$AE55=X55)*($V$3:$AE$3&gt;X$3)+($V55:$AE55=X55)*($V$3:$AE$3=X$3)*($V$2:$AE$2&lt;X$2))),2))))</f>
      </c>
      <c r="AI55" s="33">
        <f>IF(Y55&lt;=0,0,MAX(0,MIN(Y55,ROUND($AZ55-SUMPRODUCT($V55:$AE55*($V55:$AE55&gt;0)*(($V55:$AE55&lt;Y55)+($V55:$AE55=Y55)*($V$3:$AE$3&gt;Y$3)+($V55:$AE55=Y55)*($V$3:$AE$3=Y$3)*($V$2:$AE$2&lt;Y$2))),2))))</f>
      </c>
      <c r="AJ55" s="33">
        <f>IF(Z55&lt;=0,0,MAX(0,MIN(Z55,ROUND($AZ55-SUMPRODUCT($V55:$AE55*($V55:$AE55&gt;0)*(($V55:$AE55&lt;Z55)+($V55:$AE55=Z55)*($V$3:$AE$3&gt;Z$3)+($V55:$AE55=Z55)*($V$3:$AE$3=Z$3)*($V$2:$AE$2&lt;Z$2))),2))))</f>
      </c>
      <c r="AK55" s="33">
        <f>IF(AA55&lt;=0,0,MAX(0,MIN(AA55,ROUND($AZ55-SUMPRODUCT($V55:$AE55*($V55:$AE55&gt;0)*(($V55:$AE55&lt;AA55)+($V55:$AE55=AA55)*($V$3:$AE$3&gt;AA$3)+($V55:$AE55=AA55)*($V$3:$AE$3=AA$3)*($V$2:$AE$2&lt;AA$2))),2))))</f>
      </c>
      <c r="AL55" s="33">
        <f>IF(AB55&lt;=0,0,MAX(0,MIN(AB55,ROUND($AZ55-SUMPRODUCT($V55:$AE55*($V55:$AE55&gt;0)*(($V55:$AE55&lt;AB55)+($V55:$AE55=AB55)*($V$3:$AE$3&gt;AB$3)+($V55:$AE55=AB55)*($V$3:$AE$3=AB$3)*($V$2:$AE$2&lt;AB$2))),2))))</f>
      </c>
      <c r="AM55" s="33">
        <f>IF(AC55&lt;=0,0,MAX(0,MIN(AC55,ROUND($AZ55-SUMPRODUCT($V55:$AE55*($V55:$AE55&gt;0)*(($V55:$AE55&lt;AC55)+($V55:$AE55=AC55)*($V$3:$AE$3&gt;AC$3)+($V55:$AE55=AC55)*($V$3:$AE$3=AC$3)*($V$2:$AE$2&lt;AC$2))),2))))</f>
      </c>
      <c r="AN55" s="33">
        <f>IF(AD55&lt;=0,0,MAX(0,MIN(AD55,ROUND($AZ55-SUMPRODUCT($V55:$AE55*($V55:$AE55&gt;0)*(($V55:$AE55&lt;AD55)+($V55:$AE55=AD55)*($V$3:$AE$3&gt;AD$3)+($V55:$AE55=AD55)*($V$3:$AE$3=AD$3)*($V$2:$AE$2&lt;AD$2))),2))))</f>
      </c>
      <c r="AO55" s="33">
        <f>IF(AE55&lt;=0,0,MAX(0,MIN(AE55,ROUND($AZ55-SUMPRODUCT($V55:$AE55*($V55:$AE55&gt;0)*(($V55:$AE55&lt;AE55)+($V55:$AE55=AE55)*($V$3:$AE$3&gt;AE$3)+($V55:$AE55=AE55)*($V$3:$AE$3=AE$3)*($V$2:$AE$2&lt;AE$2))),2))))</f>
      </c>
      <c r="AP55" s="33">
        <f>ROUND(V55-AF55,2)</f>
      </c>
      <c r="AQ55" s="33">
        <f>ROUND(W55-AG55,2)</f>
      </c>
      <c r="AR55" s="33">
        <f>ROUND(X55-AH55,2)</f>
      </c>
      <c r="AS55" s="33">
        <f>ROUND(Y55-AI55,2)</f>
      </c>
      <c r="AT55" s="33">
        <f>ROUND(Z55-AJ55,2)</f>
      </c>
      <c r="AU55" s="33">
        <f>ROUND(AA55-AK55,2)</f>
      </c>
      <c r="AV55" s="33">
        <f>ROUND(AB55-AL55,2)</f>
      </c>
      <c r="AW55" s="33">
        <f>ROUND(AC55-AM55,2)</f>
      </c>
      <c r="AX55" s="33">
        <f>ROUND(AD55-AN55,2)</f>
      </c>
      <c r="AY55" s="33">
        <f>ROUND(AE55-AO55,2)</f>
      </c>
      <c r="AZ55" s="33">
        <f>ROUND(MAX(0,'Your debts'!$D$22-SUM($L55:$U55)),2)</f>
      </c>
      <c r="BA55" s="33">
        <f>ROUND(SUM($B55:$K55)-SUM($AP54:$AY54),2)</f>
      </c>
      <c r="BB55" s="33">
        <f>SUM($AP55:$AY55)</f>
      </c>
      <c r="BC55" s="33">
        <f>ROUND(SUM($L55:$U55)+SUM($AF55:$AO55),2)</f>
      </c>
    </row>
    <row r="56" spans="1:55" x14ac:dyDescent="0.25">
      <c r="A56">
        <v>49</v>
      </c>
      <c r="B56" s="33">
        <f>IF(AP55&lt;=0,0,ROUND(AP55+ROUND(AP55*V$3/12,2),2))</f>
      </c>
      <c r="C56" s="33">
        <f>IF(AQ55&lt;=0,0,ROUND(AQ55+ROUND(AQ55*W$3/12,2),2))</f>
      </c>
      <c r="D56" s="33">
        <f>IF(AR55&lt;=0,0,ROUND(AR55+ROUND(AR55*X$3/12,2),2))</f>
      </c>
      <c r="E56" s="33">
        <f>IF(AS55&lt;=0,0,ROUND(AS55+ROUND(AS55*Y$3/12,2),2))</f>
      </c>
      <c r="F56" s="33">
        <f>IF(AT55&lt;=0,0,ROUND(AT55+ROUND(AT55*Z$3/12,2),2))</f>
      </c>
      <c r="G56" s="33">
        <f>IF(AU55&lt;=0,0,ROUND(AU55+ROUND(AU55*AA$3/12,2),2))</f>
      </c>
      <c r="H56" s="33">
        <f>IF(AV55&lt;=0,0,ROUND(AV55+ROUND(AV55*AB$3/12,2),2))</f>
      </c>
      <c r="I56" s="33">
        <f>IF(AW55&lt;=0,0,ROUND(AW55+ROUND(AW55*AC$3/12,2),2))</f>
      </c>
      <c r="J56" s="33">
        <f>IF(AX55&lt;=0,0,ROUND(AX55+ROUND(AX55*AD$3/12,2),2))</f>
      </c>
      <c r="K56" s="33">
        <f>IF(AY55&lt;=0,0,ROUND(AY55+ROUND(AY55*AE$3/12,2),2))</f>
      </c>
      <c r="L56" s="33">
        <f>ROUND(MIN(MAX(0,N('Your debts'!$E$6)),B56),2)</f>
      </c>
      <c r="M56" s="33">
        <f>ROUND(MIN(MAX(0,N('Your debts'!$E$7)),C56),2)</f>
      </c>
      <c r="N56" s="33">
        <f>ROUND(MIN(MAX(0,N('Your debts'!$E$8)),D56),2)</f>
      </c>
      <c r="O56" s="33">
        <f>ROUND(MIN(MAX(0,N('Your debts'!$E$9)),E56),2)</f>
      </c>
      <c r="P56" s="33">
        <f>ROUND(MIN(MAX(0,N('Your debts'!$E$10)),F56),2)</f>
      </c>
      <c r="Q56" s="33">
        <f>ROUND(MIN(MAX(0,N('Your debts'!$E$11)),G56),2)</f>
      </c>
      <c r="R56" s="33">
        <f>ROUND(MIN(MAX(0,N('Your debts'!$E$12)),H56),2)</f>
      </c>
      <c r="S56" s="33">
        <f>ROUND(MIN(MAX(0,N('Your debts'!$E$13)),I56),2)</f>
      </c>
      <c r="T56" s="33">
        <f>ROUND(MIN(MAX(0,N('Your debts'!$E$14)),J56),2)</f>
      </c>
      <c r="U56" s="33">
        <f>ROUND(MIN(MAX(0,N('Your debts'!$E$15)),K56),2)</f>
      </c>
      <c r="V56" s="33">
        <f>ROUND(B56-L56,2)</f>
      </c>
      <c r="W56" s="33">
        <f>ROUND(C56-M56,2)</f>
      </c>
      <c r="X56" s="33">
        <f>ROUND(D56-N56,2)</f>
      </c>
      <c r="Y56" s="33">
        <f>ROUND(E56-O56,2)</f>
      </c>
      <c r="Z56" s="33">
        <f>ROUND(F56-P56,2)</f>
      </c>
      <c r="AA56" s="33">
        <f>ROUND(G56-Q56,2)</f>
      </c>
      <c r="AB56" s="33">
        <f>ROUND(H56-R56,2)</f>
      </c>
      <c r="AC56" s="33">
        <f>ROUND(I56-S56,2)</f>
      </c>
      <c r="AD56" s="33">
        <f>ROUND(J56-T56,2)</f>
      </c>
      <c r="AE56" s="33">
        <f>ROUND(K56-U56,2)</f>
      </c>
      <c r="AF56" s="33">
        <f>IF(V56&lt;=0,0,MAX(0,MIN(V56,ROUND($AZ56-SUMPRODUCT($V56:$AE56*($V56:$AE56&gt;0)*(($V56:$AE56&lt;V56)+($V56:$AE56=V56)*($V$3:$AE$3&gt;V$3)+($V56:$AE56=V56)*($V$3:$AE$3=V$3)*($V$2:$AE$2&lt;V$2))),2))))</f>
      </c>
      <c r="AG56" s="33">
        <f>IF(W56&lt;=0,0,MAX(0,MIN(W56,ROUND($AZ56-SUMPRODUCT($V56:$AE56*($V56:$AE56&gt;0)*(($V56:$AE56&lt;W56)+($V56:$AE56=W56)*($V$3:$AE$3&gt;W$3)+($V56:$AE56=W56)*($V$3:$AE$3=W$3)*($V$2:$AE$2&lt;W$2))),2))))</f>
      </c>
      <c r="AH56" s="33">
        <f>IF(X56&lt;=0,0,MAX(0,MIN(X56,ROUND($AZ56-SUMPRODUCT($V56:$AE56*($V56:$AE56&gt;0)*(($V56:$AE56&lt;X56)+($V56:$AE56=X56)*($V$3:$AE$3&gt;X$3)+($V56:$AE56=X56)*($V$3:$AE$3=X$3)*($V$2:$AE$2&lt;X$2))),2))))</f>
      </c>
      <c r="AI56" s="33">
        <f>IF(Y56&lt;=0,0,MAX(0,MIN(Y56,ROUND($AZ56-SUMPRODUCT($V56:$AE56*($V56:$AE56&gt;0)*(($V56:$AE56&lt;Y56)+($V56:$AE56=Y56)*($V$3:$AE$3&gt;Y$3)+($V56:$AE56=Y56)*($V$3:$AE$3=Y$3)*($V$2:$AE$2&lt;Y$2))),2))))</f>
      </c>
      <c r="AJ56" s="33">
        <f>IF(Z56&lt;=0,0,MAX(0,MIN(Z56,ROUND($AZ56-SUMPRODUCT($V56:$AE56*($V56:$AE56&gt;0)*(($V56:$AE56&lt;Z56)+($V56:$AE56=Z56)*($V$3:$AE$3&gt;Z$3)+($V56:$AE56=Z56)*($V$3:$AE$3=Z$3)*($V$2:$AE$2&lt;Z$2))),2))))</f>
      </c>
      <c r="AK56" s="33">
        <f>IF(AA56&lt;=0,0,MAX(0,MIN(AA56,ROUND($AZ56-SUMPRODUCT($V56:$AE56*($V56:$AE56&gt;0)*(($V56:$AE56&lt;AA56)+($V56:$AE56=AA56)*($V$3:$AE$3&gt;AA$3)+($V56:$AE56=AA56)*($V$3:$AE$3=AA$3)*($V$2:$AE$2&lt;AA$2))),2))))</f>
      </c>
      <c r="AL56" s="33">
        <f>IF(AB56&lt;=0,0,MAX(0,MIN(AB56,ROUND($AZ56-SUMPRODUCT($V56:$AE56*($V56:$AE56&gt;0)*(($V56:$AE56&lt;AB56)+($V56:$AE56=AB56)*($V$3:$AE$3&gt;AB$3)+($V56:$AE56=AB56)*($V$3:$AE$3=AB$3)*($V$2:$AE$2&lt;AB$2))),2))))</f>
      </c>
      <c r="AM56" s="33">
        <f>IF(AC56&lt;=0,0,MAX(0,MIN(AC56,ROUND($AZ56-SUMPRODUCT($V56:$AE56*($V56:$AE56&gt;0)*(($V56:$AE56&lt;AC56)+($V56:$AE56=AC56)*($V$3:$AE$3&gt;AC$3)+($V56:$AE56=AC56)*($V$3:$AE$3=AC$3)*($V$2:$AE$2&lt;AC$2))),2))))</f>
      </c>
      <c r="AN56" s="33">
        <f>IF(AD56&lt;=0,0,MAX(0,MIN(AD56,ROUND($AZ56-SUMPRODUCT($V56:$AE56*($V56:$AE56&gt;0)*(($V56:$AE56&lt;AD56)+($V56:$AE56=AD56)*($V$3:$AE$3&gt;AD$3)+($V56:$AE56=AD56)*($V$3:$AE$3=AD$3)*($V$2:$AE$2&lt;AD$2))),2))))</f>
      </c>
      <c r="AO56" s="33">
        <f>IF(AE56&lt;=0,0,MAX(0,MIN(AE56,ROUND($AZ56-SUMPRODUCT($V56:$AE56*($V56:$AE56&gt;0)*(($V56:$AE56&lt;AE56)+($V56:$AE56=AE56)*($V$3:$AE$3&gt;AE$3)+($V56:$AE56=AE56)*($V$3:$AE$3=AE$3)*($V$2:$AE$2&lt;AE$2))),2))))</f>
      </c>
      <c r="AP56" s="33">
        <f>ROUND(V56-AF56,2)</f>
      </c>
      <c r="AQ56" s="33">
        <f>ROUND(W56-AG56,2)</f>
      </c>
      <c r="AR56" s="33">
        <f>ROUND(X56-AH56,2)</f>
      </c>
      <c r="AS56" s="33">
        <f>ROUND(Y56-AI56,2)</f>
      </c>
      <c r="AT56" s="33">
        <f>ROUND(Z56-AJ56,2)</f>
      </c>
      <c r="AU56" s="33">
        <f>ROUND(AA56-AK56,2)</f>
      </c>
      <c r="AV56" s="33">
        <f>ROUND(AB56-AL56,2)</f>
      </c>
      <c r="AW56" s="33">
        <f>ROUND(AC56-AM56,2)</f>
      </c>
      <c r="AX56" s="33">
        <f>ROUND(AD56-AN56,2)</f>
      </c>
      <c r="AY56" s="33">
        <f>ROUND(AE56-AO56,2)</f>
      </c>
      <c r="AZ56" s="33">
        <f>ROUND(MAX(0,'Your debts'!$D$22-SUM($L56:$U56)),2)</f>
      </c>
      <c r="BA56" s="33">
        <f>ROUND(SUM($B56:$K56)-SUM($AP55:$AY55),2)</f>
      </c>
      <c r="BB56" s="33">
        <f>SUM($AP56:$AY56)</f>
      </c>
      <c r="BC56" s="33">
        <f>ROUND(SUM($L56:$U56)+SUM($AF56:$AO56),2)</f>
      </c>
    </row>
    <row r="57" spans="1:55" x14ac:dyDescent="0.25">
      <c r="A57">
        <v>50</v>
      </c>
      <c r="B57" s="33">
        <f>IF(AP56&lt;=0,0,ROUND(AP56+ROUND(AP56*V$3/12,2),2))</f>
      </c>
      <c r="C57" s="33">
        <f>IF(AQ56&lt;=0,0,ROUND(AQ56+ROUND(AQ56*W$3/12,2),2))</f>
      </c>
      <c r="D57" s="33">
        <f>IF(AR56&lt;=0,0,ROUND(AR56+ROUND(AR56*X$3/12,2),2))</f>
      </c>
      <c r="E57" s="33">
        <f>IF(AS56&lt;=0,0,ROUND(AS56+ROUND(AS56*Y$3/12,2),2))</f>
      </c>
      <c r="F57" s="33">
        <f>IF(AT56&lt;=0,0,ROUND(AT56+ROUND(AT56*Z$3/12,2),2))</f>
      </c>
      <c r="G57" s="33">
        <f>IF(AU56&lt;=0,0,ROUND(AU56+ROUND(AU56*AA$3/12,2),2))</f>
      </c>
      <c r="H57" s="33">
        <f>IF(AV56&lt;=0,0,ROUND(AV56+ROUND(AV56*AB$3/12,2),2))</f>
      </c>
      <c r="I57" s="33">
        <f>IF(AW56&lt;=0,0,ROUND(AW56+ROUND(AW56*AC$3/12,2),2))</f>
      </c>
      <c r="J57" s="33">
        <f>IF(AX56&lt;=0,0,ROUND(AX56+ROUND(AX56*AD$3/12,2),2))</f>
      </c>
      <c r="K57" s="33">
        <f>IF(AY56&lt;=0,0,ROUND(AY56+ROUND(AY56*AE$3/12,2),2))</f>
      </c>
      <c r="L57" s="33">
        <f>ROUND(MIN(MAX(0,N('Your debts'!$E$6)),B57),2)</f>
      </c>
      <c r="M57" s="33">
        <f>ROUND(MIN(MAX(0,N('Your debts'!$E$7)),C57),2)</f>
      </c>
      <c r="N57" s="33">
        <f>ROUND(MIN(MAX(0,N('Your debts'!$E$8)),D57),2)</f>
      </c>
      <c r="O57" s="33">
        <f>ROUND(MIN(MAX(0,N('Your debts'!$E$9)),E57),2)</f>
      </c>
      <c r="P57" s="33">
        <f>ROUND(MIN(MAX(0,N('Your debts'!$E$10)),F57),2)</f>
      </c>
      <c r="Q57" s="33">
        <f>ROUND(MIN(MAX(0,N('Your debts'!$E$11)),G57),2)</f>
      </c>
      <c r="R57" s="33">
        <f>ROUND(MIN(MAX(0,N('Your debts'!$E$12)),H57),2)</f>
      </c>
      <c r="S57" s="33">
        <f>ROUND(MIN(MAX(0,N('Your debts'!$E$13)),I57),2)</f>
      </c>
      <c r="T57" s="33">
        <f>ROUND(MIN(MAX(0,N('Your debts'!$E$14)),J57),2)</f>
      </c>
      <c r="U57" s="33">
        <f>ROUND(MIN(MAX(0,N('Your debts'!$E$15)),K57),2)</f>
      </c>
      <c r="V57" s="33">
        <f>ROUND(B57-L57,2)</f>
      </c>
      <c r="W57" s="33">
        <f>ROUND(C57-M57,2)</f>
      </c>
      <c r="X57" s="33">
        <f>ROUND(D57-N57,2)</f>
      </c>
      <c r="Y57" s="33">
        <f>ROUND(E57-O57,2)</f>
      </c>
      <c r="Z57" s="33">
        <f>ROUND(F57-P57,2)</f>
      </c>
      <c r="AA57" s="33">
        <f>ROUND(G57-Q57,2)</f>
      </c>
      <c r="AB57" s="33">
        <f>ROUND(H57-R57,2)</f>
      </c>
      <c r="AC57" s="33">
        <f>ROUND(I57-S57,2)</f>
      </c>
      <c r="AD57" s="33">
        <f>ROUND(J57-T57,2)</f>
      </c>
      <c r="AE57" s="33">
        <f>ROUND(K57-U57,2)</f>
      </c>
      <c r="AF57" s="33">
        <f>IF(V57&lt;=0,0,MAX(0,MIN(V57,ROUND($AZ57-SUMPRODUCT($V57:$AE57*($V57:$AE57&gt;0)*(($V57:$AE57&lt;V57)+($V57:$AE57=V57)*($V$3:$AE$3&gt;V$3)+($V57:$AE57=V57)*($V$3:$AE$3=V$3)*($V$2:$AE$2&lt;V$2))),2))))</f>
      </c>
      <c r="AG57" s="33">
        <f>IF(W57&lt;=0,0,MAX(0,MIN(W57,ROUND($AZ57-SUMPRODUCT($V57:$AE57*($V57:$AE57&gt;0)*(($V57:$AE57&lt;W57)+($V57:$AE57=W57)*($V$3:$AE$3&gt;W$3)+($V57:$AE57=W57)*($V$3:$AE$3=W$3)*($V$2:$AE$2&lt;W$2))),2))))</f>
      </c>
      <c r="AH57" s="33">
        <f>IF(X57&lt;=0,0,MAX(0,MIN(X57,ROUND($AZ57-SUMPRODUCT($V57:$AE57*($V57:$AE57&gt;0)*(($V57:$AE57&lt;X57)+($V57:$AE57=X57)*($V$3:$AE$3&gt;X$3)+($V57:$AE57=X57)*($V$3:$AE$3=X$3)*($V$2:$AE$2&lt;X$2))),2))))</f>
      </c>
      <c r="AI57" s="33">
        <f>IF(Y57&lt;=0,0,MAX(0,MIN(Y57,ROUND($AZ57-SUMPRODUCT($V57:$AE57*($V57:$AE57&gt;0)*(($V57:$AE57&lt;Y57)+($V57:$AE57=Y57)*($V$3:$AE$3&gt;Y$3)+($V57:$AE57=Y57)*($V$3:$AE$3=Y$3)*($V$2:$AE$2&lt;Y$2))),2))))</f>
      </c>
      <c r="AJ57" s="33">
        <f>IF(Z57&lt;=0,0,MAX(0,MIN(Z57,ROUND($AZ57-SUMPRODUCT($V57:$AE57*($V57:$AE57&gt;0)*(($V57:$AE57&lt;Z57)+($V57:$AE57=Z57)*($V$3:$AE$3&gt;Z$3)+($V57:$AE57=Z57)*($V$3:$AE$3=Z$3)*($V$2:$AE$2&lt;Z$2))),2))))</f>
      </c>
      <c r="AK57" s="33">
        <f>IF(AA57&lt;=0,0,MAX(0,MIN(AA57,ROUND($AZ57-SUMPRODUCT($V57:$AE57*($V57:$AE57&gt;0)*(($V57:$AE57&lt;AA57)+($V57:$AE57=AA57)*($V$3:$AE$3&gt;AA$3)+($V57:$AE57=AA57)*($V$3:$AE$3=AA$3)*($V$2:$AE$2&lt;AA$2))),2))))</f>
      </c>
      <c r="AL57" s="33">
        <f>IF(AB57&lt;=0,0,MAX(0,MIN(AB57,ROUND($AZ57-SUMPRODUCT($V57:$AE57*($V57:$AE57&gt;0)*(($V57:$AE57&lt;AB57)+($V57:$AE57=AB57)*($V$3:$AE$3&gt;AB$3)+($V57:$AE57=AB57)*($V$3:$AE$3=AB$3)*($V$2:$AE$2&lt;AB$2))),2))))</f>
      </c>
      <c r="AM57" s="33">
        <f>IF(AC57&lt;=0,0,MAX(0,MIN(AC57,ROUND($AZ57-SUMPRODUCT($V57:$AE57*($V57:$AE57&gt;0)*(($V57:$AE57&lt;AC57)+($V57:$AE57=AC57)*($V$3:$AE$3&gt;AC$3)+($V57:$AE57=AC57)*($V$3:$AE$3=AC$3)*($V$2:$AE$2&lt;AC$2))),2))))</f>
      </c>
      <c r="AN57" s="33">
        <f>IF(AD57&lt;=0,0,MAX(0,MIN(AD57,ROUND($AZ57-SUMPRODUCT($V57:$AE57*($V57:$AE57&gt;0)*(($V57:$AE57&lt;AD57)+($V57:$AE57=AD57)*($V$3:$AE$3&gt;AD$3)+($V57:$AE57=AD57)*($V$3:$AE$3=AD$3)*($V$2:$AE$2&lt;AD$2))),2))))</f>
      </c>
      <c r="AO57" s="33">
        <f>IF(AE57&lt;=0,0,MAX(0,MIN(AE57,ROUND($AZ57-SUMPRODUCT($V57:$AE57*($V57:$AE57&gt;0)*(($V57:$AE57&lt;AE57)+($V57:$AE57=AE57)*($V$3:$AE$3&gt;AE$3)+($V57:$AE57=AE57)*($V$3:$AE$3=AE$3)*($V$2:$AE$2&lt;AE$2))),2))))</f>
      </c>
      <c r="AP57" s="33">
        <f>ROUND(V57-AF57,2)</f>
      </c>
      <c r="AQ57" s="33">
        <f>ROUND(W57-AG57,2)</f>
      </c>
      <c r="AR57" s="33">
        <f>ROUND(X57-AH57,2)</f>
      </c>
      <c r="AS57" s="33">
        <f>ROUND(Y57-AI57,2)</f>
      </c>
      <c r="AT57" s="33">
        <f>ROUND(Z57-AJ57,2)</f>
      </c>
      <c r="AU57" s="33">
        <f>ROUND(AA57-AK57,2)</f>
      </c>
      <c r="AV57" s="33">
        <f>ROUND(AB57-AL57,2)</f>
      </c>
      <c r="AW57" s="33">
        <f>ROUND(AC57-AM57,2)</f>
      </c>
      <c r="AX57" s="33">
        <f>ROUND(AD57-AN57,2)</f>
      </c>
      <c r="AY57" s="33">
        <f>ROUND(AE57-AO57,2)</f>
      </c>
      <c r="AZ57" s="33">
        <f>ROUND(MAX(0,'Your debts'!$D$22-SUM($L57:$U57)),2)</f>
      </c>
      <c r="BA57" s="33">
        <f>ROUND(SUM($B57:$K57)-SUM($AP56:$AY56),2)</f>
      </c>
      <c r="BB57" s="33">
        <f>SUM($AP57:$AY57)</f>
      </c>
      <c r="BC57" s="33">
        <f>ROUND(SUM($L57:$U57)+SUM($AF57:$AO57),2)</f>
      </c>
    </row>
    <row r="58" spans="1:55" x14ac:dyDescent="0.25">
      <c r="A58">
        <v>51</v>
      </c>
      <c r="B58" s="33">
        <f>IF(AP57&lt;=0,0,ROUND(AP57+ROUND(AP57*V$3/12,2),2))</f>
      </c>
      <c r="C58" s="33">
        <f>IF(AQ57&lt;=0,0,ROUND(AQ57+ROUND(AQ57*W$3/12,2),2))</f>
      </c>
      <c r="D58" s="33">
        <f>IF(AR57&lt;=0,0,ROUND(AR57+ROUND(AR57*X$3/12,2),2))</f>
      </c>
      <c r="E58" s="33">
        <f>IF(AS57&lt;=0,0,ROUND(AS57+ROUND(AS57*Y$3/12,2),2))</f>
      </c>
      <c r="F58" s="33">
        <f>IF(AT57&lt;=0,0,ROUND(AT57+ROUND(AT57*Z$3/12,2),2))</f>
      </c>
      <c r="G58" s="33">
        <f>IF(AU57&lt;=0,0,ROUND(AU57+ROUND(AU57*AA$3/12,2),2))</f>
      </c>
      <c r="H58" s="33">
        <f>IF(AV57&lt;=0,0,ROUND(AV57+ROUND(AV57*AB$3/12,2),2))</f>
      </c>
      <c r="I58" s="33">
        <f>IF(AW57&lt;=0,0,ROUND(AW57+ROUND(AW57*AC$3/12,2),2))</f>
      </c>
      <c r="J58" s="33">
        <f>IF(AX57&lt;=0,0,ROUND(AX57+ROUND(AX57*AD$3/12,2),2))</f>
      </c>
      <c r="K58" s="33">
        <f>IF(AY57&lt;=0,0,ROUND(AY57+ROUND(AY57*AE$3/12,2),2))</f>
      </c>
      <c r="L58" s="33">
        <f>ROUND(MIN(MAX(0,N('Your debts'!$E$6)),B58),2)</f>
      </c>
      <c r="M58" s="33">
        <f>ROUND(MIN(MAX(0,N('Your debts'!$E$7)),C58),2)</f>
      </c>
      <c r="N58" s="33">
        <f>ROUND(MIN(MAX(0,N('Your debts'!$E$8)),D58),2)</f>
      </c>
      <c r="O58" s="33">
        <f>ROUND(MIN(MAX(0,N('Your debts'!$E$9)),E58),2)</f>
      </c>
      <c r="P58" s="33">
        <f>ROUND(MIN(MAX(0,N('Your debts'!$E$10)),F58),2)</f>
      </c>
      <c r="Q58" s="33">
        <f>ROUND(MIN(MAX(0,N('Your debts'!$E$11)),G58),2)</f>
      </c>
      <c r="R58" s="33">
        <f>ROUND(MIN(MAX(0,N('Your debts'!$E$12)),H58),2)</f>
      </c>
      <c r="S58" s="33">
        <f>ROUND(MIN(MAX(0,N('Your debts'!$E$13)),I58),2)</f>
      </c>
      <c r="T58" s="33">
        <f>ROUND(MIN(MAX(0,N('Your debts'!$E$14)),J58),2)</f>
      </c>
      <c r="U58" s="33">
        <f>ROUND(MIN(MAX(0,N('Your debts'!$E$15)),K58),2)</f>
      </c>
      <c r="V58" s="33">
        <f>ROUND(B58-L58,2)</f>
      </c>
      <c r="W58" s="33">
        <f>ROUND(C58-M58,2)</f>
      </c>
      <c r="X58" s="33">
        <f>ROUND(D58-N58,2)</f>
      </c>
      <c r="Y58" s="33">
        <f>ROUND(E58-O58,2)</f>
      </c>
      <c r="Z58" s="33">
        <f>ROUND(F58-P58,2)</f>
      </c>
      <c r="AA58" s="33">
        <f>ROUND(G58-Q58,2)</f>
      </c>
      <c r="AB58" s="33">
        <f>ROUND(H58-R58,2)</f>
      </c>
      <c r="AC58" s="33">
        <f>ROUND(I58-S58,2)</f>
      </c>
      <c r="AD58" s="33">
        <f>ROUND(J58-T58,2)</f>
      </c>
      <c r="AE58" s="33">
        <f>ROUND(K58-U58,2)</f>
      </c>
      <c r="AF58" s="33">
        <f>IF(V58&lt;=0,0,MAX(0,MIN(V58,ROUND($AZ58-SUMPRODUCT($V58:$AE58*($V58:$AE58&gt;0)*(($V58:$AE58&lt;V58)+($V58:$AE58=V58)*($V$3:$AE$3&gt;V$3)+($V58:$AE58=V58)*($V$3:$AE$3=V$3)*($V$2:$AE$2&lt;V$2))),2))))</f>
      </c>
      <c r="AG58" s="33">
        <f>IF(W58&lt;=0,0,MAX(0,MIN(W58,ROUND($AZ58-SUMPRODUCT($V58:$AE58*($V58:$AE58&gt;0)*(($V58:$AE58&lt;W58)+($V58:$AE58=W58)*($V$3:$AE$3&gt;W$3)+($V58:$AE58=W58)*($V$3:$AE$3=W$3)*($V$2:$AE$2&lt;W$2))),2))))</f>
      </c>
      <c r="AH58" s="33">
        <f>IF(X58&lt;=0,0,MAX(0,MIN(X58,ROUND($AZ58-SUMPRODUCT($V58:$AE58*($V58:$AE58&gt;0)*(($V58:$AE58&lt;X58)+($V58:$AE58=X58)*($V$3:$AE$3&gt;X$3)+($V58:$AE58=X58)*($V$3:$AE$3=X$3)*($V$2:$AE$2&lt;X$2))),2))))</f>
      </c>
      <c r="AI58" s="33">
        <f>IF(Y58&lt;=0,0,MAX(0,MIN(Y58,ROUND($AZ58-SUMPRODUCT($V58:$AE58*($V58:$AE58&gt;0)*(($V58:$AE58&lt;Y58)+($V58:$AE58=Y58)*($V$3:$AE$3&gt;Y$3)+($V58:$AE58=Y58)*($V$3:$AE$3=Y$3)*($V$2:$AE$2&lt;Y$2))),2))))</f>
      </c>
      <c r="AJ58" s="33">
        <f>IF(Z58&lt;=0,0,MAX(0,MIN(Z58,ROUND($AZ58-SUMPRODUCT($V58:$AE58*($V58:$AE58&gt;0)*(($V58:$AE58&lt;Z58)+($V58:$AE58=Z58)*($V$3:$AE$3&gt;Z$3)+($V58:$AE58=Z58)*($V$3:$AE$3=Z$3)*($V$2:$AE$2&lt;Z$2))),2))))</f>
      </c>
      <c r="AK58" s="33">
        <f>IF(AA58&lt;=0,0,MAX(0,MIN(AA58,ROUND($AZ58-SUMPRODUCT($V58:$AE58*($V58:$AE58&gt;0)*(($V58:$AE58&lt;AA58)+($V58:$AE58=AA58)*($V$3:$AE$3&gt;AA$3)+($V58:$AE58=AA58)*($V$3:$AE$3=AA$3)*($V$2:$AE$2&lt;AA$2))),2))))</f>
      </c>
      <c r="AL58" s="33">
        <f>IF(AB58&lt;=0,0,MAX(0,MIN(AB58,ROUND($AZ58-SUMPRODUCT($V58:$AE58*($V58:$AE58&gt;0)*(($V58:$AE58&lt;AB58)+($V58:$AE58=AB58)*($V$3:$AE$3&gt;AB$3)+($V58:$AE58=AB58)*($V$3:$AE$3=AB$3)*($V$2:$AE$2&lt;AB$2))),2))))</f>
      </c>
      <c r="AM58" s="33">
        <f>IF(AC58&lt;=0,0,MAX(0,MIN(AC58,ROUND($AZ58-SUMPRODUCT($V58:$AE58*($V58:$AE58&gt;0)*(($V58:$AE58&lt;AC58)+($V58:$AE58=AC58)*($V$3:$AE$3&gt;AC$3)+($V58:$AE58=AC58)*($V$3:$AE$3=AC$3)*($V$2:$AE$2&lt;AC$2))),2))))</f>
      </c>
      <c r="AN58" s="33">
        <f>IF(AD58&lt;=0,0,MAX(0,MIN(AD58,ROUND($AZ58-SUMPRODUCT($V58:$AE58*($V58:$AE58&gt;0)*(($V58:$AE58&lt;AD58)+($V58:$AE58=AD58)*($V$3:$AE$3&gt;AD$3)+($V58:$AE58=AD58)*($V$3:$AE$3=AD$3)*($V$2:$AE$2&lt;AD$2))),2))))</f>
      </c>
      <c r="AO58" s="33">
        <f>IF(AE58&lt;=0,0,MAX(0,MIN(AE58,ROUND($AZ58-SUMPRODUCT($V58:$AE58*($V58:$AE58&gt;0)*(($V58:$AE58&lt;AE58)+($V58:$AE58=AE58)*($V$3:$AE$3&gt;AE$3)+($V58:$AE58=AE58)*($V$3:$AE$3=AE$3)*($V$2:$AE$2&lt;AE$2))),2))))</f>
      </c>
      <c r="AP58" s="33">
        <f>ROUND(V58-AF58,2)</f>
      </c>
      <c r="AQ58" s="33">
        <f>ROUND(W58-AG58,2)</f>
      </c>
      <c r="AR58" s="33">
        <f>ROUND(X58-AH58,2)</f>
      </c>
      <c r="AS58" s="33">
        <f>ROUND(Y58-AI58,2)</f>
      </c>
      <c r="AT58" s="33">
        <f>ROUND(Z58-AJ58,2)</f>
      </c>
      <c r="AU58" s="33">
        <f>ROUND(AA58-AK58,2)</f>
      </c>
      <c r="AV58" s="33">
        <f>ROUND(AB58-AL58,2)</f>
      </c>
      <c r="AW58" s="33">
        <f>ROUND(AC58-AM58,2)</f>
      </c>
      <c r="AX58" s="33">
        <f>ROUND(AD58-AN58,2)</f>
      </c>
      <c r="AY58" s="33">
        <f>ROUND(AE58-AO58,2)</f>
      </c>
      <c r="AZ58" s="33">
        <f>ROUND(MAX(0,'Your debts'!$D$22-SUM($L58:$U58)),2)</f>
      </c>
      <c r="BA58" s="33">
        <f>ROUND(SUM($B58:$K58)-SUM($AP57:$AY57),2)</f>
      </c>
      <c r="BB58" s="33">
        <f>SUM($AP58:$AY58)</f>
      </c>
      <c r="BC58" s="33">
        <f>ROUND(SUM($L58:$U58)+SUM($AF58:$AO58),2)</f>
      </c>
    </row>
    <row r="59" spans="1:55" x14ac:dyDescent="0.25">
      <c r="A59">
        <v>52</v>
      </c>
      <c r="B59" s="33">
        <f>IF(AP58&lt;=0,0,ROUND(AP58+ROUND(AP58*V$3/12,2),2))</f>
      </c>
      <c r="C59" s="33">
        <f>IF(AQ58&lt;=0,0,ROUND(AQ58+ROUND(AQ58*W$3/12,2),2))</f>
      </c>
      <c r="D59" s="33">
        <f>IF(AR58&lt;=0,0,ROUND(AR58+ROUND(AR58*X$3/12,2),2))</f>
      </c>
      <c r="E59" s="33">
        <f>IF(AS58&lt;=0,0,ROUND(AS58+ROUND(AS58*Y$3/12,2),2))</f>
      </c>
      <c r="F59" s="33">
        <f>IF(AT58&lt;=0,0,ROUND(AT58+ROUND(AT58*Z$3/12,2),2))</f>
      </c>
      <c r="G59" s="33">
        <f>IF(AU58&lt;=0,0,ROUND(AU58+ROUND(AU58*AA$3/12,2),2))</f>
      </c>
      <c r="H59" s="33">
        <f>IF(AV58&lt;=0,0,ROUND(AV58+ROUND(AV58*AB$3/12,2),2))</f>
      </c>
      <c r="I59" s="33">
        <f>IF(AW58&lt;=0,0,ROUND(AW58+ROUND(AW58*AC$3/12,2),2))</f>
      </c>
      <c r="J59" s="33">
        <f>IF(AX58&lt;=0,0,ROUND(AX58+ROUND(AX58*AD$3/12,2),2))</f>
      </c>
      <c r="K59" s="33">
        <f>IF(AY58&lt;=0,0,ROUND(AY58+ROUND(AY58*AE$3/12,2),2))</f>
      </c>
      <c r="L59" s="33">
        <f>ROUND(MIN(MAX(0,N('Your debts'!$E$6)),B59),2)</f>
      </c>
      <c r="M59" s="33">
        <f>ROUND(MIN(MAX(0,N('Your debts'!$E$7)),C59),2)</f>
      </c>
      <c r="N59" s="33">
        <f>ROUND(MIN(MAX(0,N('Your debts'!$E$8)),D59),2)</f>
      </c>
      <c r="O59" s="33">
        <f>ROUND(MIN(MAX(0,N('Your debts'!$E$9)),E59),2)</f>
      </c>
      <c r="P59" s="33">
        <f>ROUND(MIN(MAX(0,N('Your debts'!$E$10)),F59),2)</f>
      </c>
      <c r="Q59" s="33">
        <f>ROUND(MIN(MAX(0,N('Your debts'!$E$11)),G59),2)</f>
      </c>
      <c r="R59" s="33">
        <f>ROUND(MIN(MAX(0,N('Your debts'!$E$12)),H59),2)</f>
      </c>
      <c r="S59" s="33">
        <f>ROUND(MIN(MAX(0,N('Your debts'!$E$13)),I59),2)</f>
      </c>
      <c r="T59" s="33">
        <f>ROUND(MIN(MAX(0,N('Your debts'!$E$14)),J59),2)</f>
      </c>
      <c r="U59" s="33">
        <f>ROUND(MIN(MAX(0,N('Your debts'!$E$15)),K59),2)</f>
      </c>
      <c r="V59" s="33">
        <f>ROUND(B59-L59,2)</f>
      </c>
      <c r="W59" s="33">
        <f>ROUND(C59-M59,2)</f>
      </c>
      <c r="X59" s="33">
        <f>ROUND(D59-N59,2)</f>
      </c>
      <c r="Y59" s="33">
        <f>ROUND(E59-O59,2)</f>
      </c>
      <c r="Z59" s="33">
        <f>ROUND(F59-P59,2)</f>
      </c>
      <c r="AA59" s="33">
        <f>ROUND(G59-Q59,2)</f>
      </c>
      <c r="AB59" s="33">
        <f>ROUND(H59-R59,2)</f>
      </c>
      <c r="AC59" s="33">
        <f>ROUND(I59-S59,2)</f>
      </c>
      <c r="AD59" s="33">
        <f>ROUND(J59-T59,2)</f>
      </c>
      <c r="AE59" s="33">
        <f>ROUND(K59-U59,2)</f>
      </c>
      <c r="AF59" s="33">
        <f>IF(V59&lt;=0,0,MAX(0,MIN(V59,ROUND($AZ59-SUMPRODUCT($V59:$AE59*($V59:$AE59&gt;0)*(($V59:$AE59&lt;V59)+($V59:$AE59=V59)*($V$3:$AE$3&gt;V$3)+($V59:$AE59=V59)*($V$3:$AE$3=V$3)*($V$2:$AE$2&lt;V$2))),2))))</f>
      </c>
      <c r="AG59" s="33">
        <f>IF(W59&lt;=0,0,MAX(0,MIN(W59,ROUND($AZ59-SUMPRODUCT($V59:$AE59*($V59:$AE59&gt;0)*(($V59:$AE59&lt;W59)+($V59:$AE59=W59)*($V$3:$AE$3&gt;W$3)+($V59:$AE59=W59)*($V$3:$AE$3=W$3)*($V$2:$AE$2&lt;W$2))),2))))</f>
      </c>
      <c r="AH59" s="33">
        <f>IF(X59&lt;=0,0,MAX(0,MIN(X59,ROUND($AZ59-SUMPRODUCT($V59:$AE59*($V59:$AE59&gt;0)*(($V59:$AE59&lt;X59)+($V59:$AE59=X59)*($V$3:$AE$3&gt;X$3)+($V59:$AE59=X59)*($V$3:$AE$3=X$3)*($V$2:$AE$2&lt;X$2))),2))))</f>
      </c>
      <c r="AI59" s="33">
        <f>IF(Y59&lt;=0,0,MAX(0,MIN(Y59,ROUND($AZ59-SUMPRODUCT($V59:$AE59*($V59:$AE59&gt;0)*(($V59:$AE59&lt;Y59)+($V59:$AE59=Y59)*($V$3:$AE$3&gt;Y$3)+($V59:$AE59=Y59)*($V$3:$AE$3=Y$3)*($V$2:$AE$2&lt;Y$2))),2))))</f>
      </c>
      <c r="AJ59" s="33">
        <f>IF(Z59&lt;=0,0,MAX(0,MIN(Z59,ROUND($AZ59-SUMPRODUCT($V59:$AE59*($V59:$AE59&gt;0)*(($V59:$AE59&lt;Z59)+($V59:$AE59=Z59)*($V$3:$AE$3&gt;Z$3)+($V59:$AE59=Z59)*($V$3:$AE$3=Z$3)*($V$2:$AE$2&lt;Z$2))),2))))</f>
      </c>
      <c r="AK59" s="33">
        <f>IF(AA59&lt;=0,0,MAX(0,MIN(AA59,ROUND($AZ59-SUMPRODUCT($V59:$AE59*($V59:$AE59&gt;0)*(($V59:$AE59&lt;AA59)+($V59:$AE59=AA59)*($V$3:$AE$3&gt;AA$3)+($V59:$AE59=AA59)*($V$3:$AE$3=AA$3)*($V$2:$AE$2&lt;AA$2))),2))))</f>
      </c>
      <c r="AL59" s="33">
        <f>IF(AB59&lt;=0,0,MAX(0,MIN(AB59,ROUND($AZ59-SUMPRODUCT($V59:$AE59*($V59:$AE59&gt;0)*(($V59:$AE59&lt;AB59)+($V59:$AE59=AB59)*($V$3:$AE$3&gt;AB$3)+($V59:$AE59=AB59)*($V$3:$AE$3=AB$3)*($V$2:$AE$2&lt;AB$2))),2))))</f>
      </c>
      <c r="AM59" s="33">
        <f>IF(AC59&lt;=0,0,MAX(0,MIN(AC59,ROUND($AZ59-SUMPRODUCT($V59:$AE59*($V59:$AE59&gt;0)*(($V59:$AE59&lt;AC59)+($V59:$AE59=AC59)*($V$3:$AE$3&gt;AC$3)+($V59:$AE59=AC59)*($V$3:$AE$3=AC$3)*($V$2:$AE$2&lt;AC$2))),2))))</f>
      </c>
      <c r="AN59" s="33">
        <f>IF(AD59&lt;=0,0,MAX(0,MIN(AD59,ROUND($AZ59-SUMPRODUCT($V59:$AE59*($V59:$AE59&gt;0)*(($V59:$AE59&lt;AD59)+($V59:$AE59=AD59)*($V$3:$AE$3&gt;AD$3)+($V59:$AE59=AD59)*($V$3:$AE$3=AD$3)*($V$2:$AE$2&lt;AD$2))),2))))</f>
      </c>
      <c r="AO59" s="33">
        <f>IF(AE59&lt;=0,0,MAX(0,MIN(AE59,ROUND($AZ59-SUMPRODUCT($V59:$AE59*($V59:$AE59&gt;0)*(($V59:$AE59&lt;AE59)+($V59:$AE59=AE59)*($V$3:$AE$3&gt;AE$3)+($V59:$AE59=AE59)*($V$3:$AE$3=AE$3)*($V$2:$AE$2&lt;AE$2))),2))))</f>
      </c>
      <c r="AP59" s="33">
        <f>ROUND(V59-AF59,2)</f>
      </c>
      <c r="AQ59" s="33">
        <f>ROUND(W59-AG59,2)</f>
      </c>
      <c r="AR59" s="33">
        <f>ROUND(X59-AH59,2)</f>
      </c>
      <c r="AS59" s="33">
        <f>ROUND(Y59-AI59,2)</f>
      </c>
      <c r="AT59" s="33">
        <f>ROUND(Z59-AJ59,2)</f>
      </c>
      <c r="AU59" s="33">
        <f>ROUND(AA59-AK59,2)</f>
      </c>
      <c r="AV59" s="33">
        <f>ROUND(AB59-AL59,2)</f>
      </c>
      <c r="AW59" s="33">
        <f>ROUND(AC59-AM59,2)</f>
      </c>
      <c r="AX59" s="33">
        <f>ROUND(AD59-AN59,2)</f>
      </c>
      <c r="AY59" s="33">
        <f>ROUND(AE59-AO59,2)</f>
      </c>
      <c r="AZ59" s="33">
        <f>ROUND(MAX(0,'Your debts'!$D$22-SUM($L59:$U59)),2)</f>
      </c>
      <c r="BA59" s="33">
        <f>ROUND(SUM($B59:$K59)-SUM($AP58:$AY58),2)</f>
      </c>
      <c r="BB59" s="33">
        <f>SUM($AP59:$AY59)</f>
      </c>
      <c r="BC59" s="33">
        <f>ROUND(SUM($L59:$U59)+SUM($AF59:$AO59),2)</f>
      </c>
    </row>
    <row r="60" spans="1:55" x14ac:dyDescent="0.25">
      <c r="A60">
        <v>53</v>
      </c>
      <c r="B60" s="33">
        <f>IF(AP59&lt;=0,0,ROUND(AP59+ROUND(AP59*V$3/12,2),2))</f>
      </c>
      <c r="C60" s="33">
        <f>IF(AQ59&lt;=0,0,ROUND(AQ59+ROUND(AQ59*W$3/12,2),2))</f>
      </c>
      <c r="D60" s="33">
        <f>IF(AR59&lt;=0,0,ROUND(AR59+ROUND(AR59*X$3/12,2),2))</f>
      </c>
      <c r="E60" s="33">
        <f>IF(AS59&lt;=0,0,ROUND(AS59+ROUND(AS59*Y$3/12,2),2))</f>
      </c>
      <c r="F60" s="33">
        <f>IF(AT59&lt;=0,0,ROUND(AT59+ROUND(AT59*Z$3/12,2),2))</f>
      </c>
      <c r="G60" s="33">
        <f>IF(AU59&lt;=0,0,ROUND(AU59+ROUND(AU59*AA$3/12,2),2))</f>
      </c>
      <c r="H60" s="33">
        <f>IF(AV59&lt;=0,0,ROUND(AV59+ROUND(AV59*AB$3/12,2),2))</f>
      </c>
      <c r="I60" s="33">
        <f>IF(AW59&lt;=0,0,ROUND(AW59+ROUND(AW59*AC$3/12,2),2))</f>
      </c>
      <c r="J60" s="33">
        <f>IF(AX59&lt;=0,0,ROUND(AX59+ROUND(AX59*AD$3/12,2),2))</f>
      </c>
      <c r="K60" s="33">
        <f>IF(AY59&lt;=0,0,ROUND(AY59+ROUND(AY59*AE$3/12,2),2))</f>
      </c>
      <c r="L60" s="33">
        <f>ROUND(MIN(MAX(0,N('Your debts'!$E$6)),B60),2)</f>
      </c>
      <c r="M60" s="33">
        <f>ROUND(MIN(MAX(0,N('Your debts'!$E$7)),C60),2)</f>
      </c>
      <c r="N60" s="33">
        <f>ROUND(MIN(MAX(0,N('Your debts'!$E$8)),D60),2)</f>
      </c>
      <c r="O60" s="33">
        <f>ROUND(MIN(MAX(0,N('Your debts'!$E$9)),E60),2)</f>
      </c>
      <c r="P60" s="33">
        <f>ROUND(MIN(MAX(0,N('Your debts'!$E$10)),F60),2)</f>
      </c>
      <c r="Q60" s="33">
        <f>ROUND(MIN(MAX(0,N('Your debts'!$E$11)),G60),2)</f>
      </c>
      <c r="R60" s="33">
        <f>ROUND(MIN(MAX(0,N('Your debts'!$E$12)),H60),2)</f>
      </c>
      <c r="S60" s="33">
        <f>ROUND(MIN(MAX(0,N('Your debts'!$E$13)),I60),2)</f>
      </c>
      <c r="T60" s="33">
        <f>ROUND(MIN(MAX(0,N('Your debts'!$E$14)),J60),2)</f>
      </c>
      <c r="U60" s="33">
        <f>ROUND(MIN(MAX(0,N('Your debts'!$E$15)),K60),2)</f>
      </c>
      <c r="V60" s="33">
        <f>ROUND(B60-L60,2)</f>
      </c>
      <c r="W60" s="33">
        <f>ROUND(C60-M60,2)</f>
      </c>
      <c r="X60" s="33">
        <f>ROUND(D60-N60,2)</f>
      </c>
      <c r="Y60" s="33">
        <f>ROUND(E60-O60,2)</f>
      </c>
      <c r="Z60" s="33">
        <f>ROUND(F60-P60,2)</f>
      </c>
      <c r="AA60" s="33">
        <f>ROUND(G60-Q60,2)</f>
      </c>
      <c r="AB60" s="33">
        <f>ROUND(H60-R60,2)</f>
      </c>
      <c r="AC60" s="33">
        <f>ROUND(I60-S60,2)</f>
      </c>
      <c r="AD60" s="33">
        <f>ROUND(J60-T60,2)</f>
      </c>
      <c r="AE60" s="33">
        <f>ROUND(K60-U60,2)</f>
      </c>
      <c r="AF60" s="33">
        <f>IF(V60&lt;=0,0,MAX(0,MIN(V60,ROUND($AZ60-SUMPRODUCT($V60:$AE60*($V60:$AE60&gt;0)*(($V60:$AE60&lt;V60)+($V60:$AE60=V60)*($V$3:$AE$3&gt;V$3)+($V60:$AE60=V60)*($V$3:$AE$3=V$3)*($V$2:$AE$2&lt;V$2))),2))))</f>
      </c>
      <c r="AG60" s="33">
        <f>IF(W60&lt;=0,0,MAX(0,MIN(W60,ROUND($AZ60-SUMPRODUCT($V60:$AE60*($V60:$AE60&gt;0)*(($V60:$AE60&lt;W60)+($V60:$AE60=W60)*($V$3:$AE$3&gt;W$3)+($V60:$AE60=W60)*($V$3:$AE$3=W$3)*($V$2:$AE$2&lt;W$2))),2))))</f>
      </c>
      <c r="AH60" s="33">
        <f>IF(X60&lt;=0,0,MAX(0,MIN(X60,ROUND($AZ60-SUMPRODUCT($V60:$AE60*($V60:$AE60&gt;0)*(($V60:$AE60&lt;X60)+($V60:$AE60=X60)*($V$3:$AE$3&gt;X$3)+($V60:$AE60=X60)*($V$3:$AE$3=X$3)*($V$2:$AE$2&lt;X$2))),2))))</f>
      </c>
      <c r="AI60" s="33">
        <f>IF(Y60&lt;=0,0,MAX(0,MIN(Y60,ROUND($AZ60-SUMPRODUCT($V60:$AE60*($V60:$AE60&gt;0)*(($V60:$AE60&lt;Y60)+($V60:$AE60=Y60)*($V$3:$AE$3&gt;Y$3)+($V60:$AE60=Y60)*($V$3:$AE$3=Y$3)*($V$2:$AE$2&lt;Y$2))),2))))</f>
      </c>
      <c r="AJ60" s="33">
        <f>IF(Z60&lt;=0,0,MAX(0,MIN(Z60,ROUND($AZ60-SUMPRODUCT($V60:$AE60*($V60:$AE60&gt;0)*(($V60:$AE60&lt;Z60)+($V60:$AE60=Z60)*($V$3:$AE$3&gt;Z$3)+($V60:$AE60=Z60)*($V$3:$AE$3=Z$3)*($V$2:$AE$2&lt;Z$2))),2))))</f>
      </c>
      <c r="AK60" s="33">
        <f>IF(AA60&lt;=0,0,MAX(0,MIN(AA60,ROUND($AZ60-SUMPRODUCT($V60:$AE60*($V60:$AE60&gt;0)*(($V60:$AE60&lt;AA60)+($V60:$AE60=AA60)*($V$3:$AE$3&gt;AA$3)+($V60:$AE60=AA60)*($V$3:$AE$3=AA$3)*($V$2:$AE$2&lt;AA$2))),2))))</f>
      </c>
      <c r="AL60" s="33">
        <f>IF(AB60&lt;=0,0,MAX(0,MIN(AB60,ROUND($AZ60-SUMPRODUCT($V60:$AE60*($V60:$AE60&gt;0)*(($V60:$AE60&lt;AB60)+($V60:$AE60=AB60)*($V$3:$AE$3&gt;AB$3)+($V60:$AE60=AB60)*($V$3:$AE$3=AB$3)*($V$2:$AE$2&lt;AB$2))),2))))</f>
      </c>
      <c r="AM60" s="33">
        <f>IF(AC60&lt;=0,0,MAX(0,MIN(AC60,ROUND($AZ60-SUMPRODUCT($V60:$AE60*($V60:$AE60&gt;0)*(($V60:$AE60&lt;AC60)+($V60:$AE60=AC60)*($V$3:$AE$3&gt;AC$3)+($V60:$AE60=AC60)*($V$3:$AE$3=AC$3)*($V$2:$AE$2&lt;AC$2))),2))))</f>
      </c>
      <c r="AN60" s="33">
        <f>IF(AD60&lt;=0,0,MAX(0,MIN(AD60,ROUND($AZ60-SUMPRODUCT($V60:$AE60*($V60:$AE60&gt;0)*(($V60:$AE60&lt;AD60)+($V60:$AE60=AD60)*($V$3:$AE$3&gt;AD$3)+($V60:$AE60=AD60)*($V$3:$AE$3=AD$3)*($V$2:$AE$2&lt;AD$2))),2))))</f>
      </c>
      <c r="AO60" s="33">
        <f>IF(AE60&lt;=0,0,MAX(0,MIN(AE60,ROUND($AZ60-SUMPRODUCT($V60:$AE60*($V60:$AE60&gt;0)*(($V60:$AE60&lt;AE60)+($V60:$AE60=AE60)*($V$3:$AE$3&gt;AE$3)+($V60:$AE60=AE60)*($V$3:$AE$3=AE$3)*($V$2:$AE$2&lt;AE$2))),2))))</f>
      </c>
      <c r="AP60" s="33">
        <f>ROUND(V60-AF60,2)</f>
      </c>
      <c r="AQ60" s="33">
        <f>ROUND(W60-AG60,2)</f>
      </c>
      <c r="AR60" s="33">
        <f>ROUND(X60-AH60,2)</f>
      </c>
      <c r="AS60" s="33">
        <f>ROUND(Y60-AI60,2)</f>
      </c>
      <c r="AT60" s="33">
        <f>ROUND(Z60-AJ60,2)</f>
      </c>
      <c r="AU60" s="33">
        <f>ROUND(AA60-AK60,2)</f>
      </c>
      <c r="AV60" s="33">
        <f>ROUND(AB60-AL60,2)</f>
      </c>
      <c r="AW60" s="33">
        <f>ROUND(AC60-AM60,2)</f>
      </c>
      <c r="AX60" s="33">
        <f>ROUND(AD60-AN60,2)</f>
      </c>
      <c r="AY60" s="33">
        <f>ROUND(AE60-AO60,2)</f>
      </c>
      <c r="AZ60" s="33">
        <f>ROUND(MAX(0,'Your debts'!$D$22-SUM($L60:$U60)),2)</f>
      </c>
      <c r="BA60" s="33">
        <f>ROUND(SUM($B60:$K60)-SUM($AP59:$AY59),2)</f>
      </c>
      <c r="BB60" s="33">
        <f>SUM($AP60:$AY60)</f>
      </c>
      <c r="BC60" s="33">
        <f>ROUND(SUM($L60:$U60)+SUM($AF60:$AO60),2)</f>
      </c>
    </row>
    <row r="61" spans="1:55" x14ac:dyDescent="0.25">
      <c r="A61">
        <v>54</v>
      </c>
      <c r="B61" s="33">
        <f>IF(AP60&lt;=0,0,ROUND(AP60+ROUND(AP60*V$3/12,2),2))</f>
      </c>
      <c r="C61" s="33">
        <f>IF(AQ60&lt;=0,0,ROUND(AQ60+ROUND(AQ60*W$3/12,2),2))</f>
      </c>
      <c r="D61" s="33">
        <f>IF(AR60&lt;=0,0,ROUND(AR60+ROUND(AR60*X$3/12,2),2))</f>
      </c>
      <c r="E61" s="33">
        <f>IF(AS60&lt;=0,0,ROUND(AS60+ROUND(AS60*Y$3/12,2),2))</f>
      </c>
      <c r="F61" s="33">
        <f>IF(AT60&lt;=0,0,ROUND(AT60+ROUND(AT60*Z$3/12,2),2))</f>
      </c>
      <c r="G61" s="33">
        <f>IF(AU60&lt;=0,0,ROUND(AU60+ROUND(AU60*AA$3/12,2),2))</f>
      </c>
      <c r="H61" s="33">
        <f>IF(AV60&lt;=0,0,ROUND(AV60+ROUND(AV60*AB$3/12,2),2))</f>
      </c>
      <c r="I61" s="33">
        <f>IF(AW60&lt;=0,0,ROUND(AW60+ROUND(AW60*AC$3/12,2),2))</f>
      </c>
      <c r="J61" s="33">
        <f>IF(AX60&lt;=0,0,ROUND(AX60+ROUND(AX60*AD$3/12,2),2))</f>
      </c>
      <c r="K61" s="33">
        <f>IF(AY60&lt;=0,0,ROUND(AY60+ROUND(AY60*AE$3/12,2),2))</f>
      </c>
      <c r="L61" s="33">
        <f>ROUND(MIN(MAX(0,N('Your debts'!$E$6)),B61),2)</f>
      </c>
      <c r="M61" s="33">
        <f>ROUND(MIN(MAX(0,N('Your debts'!$E$7)),C61),2)</f>
      </c>
      <c r="N61" s="33">
        <f>ROUND(MIN(MAX(0,N('Your debts'!$E$8)),D61),2)</f>
      </c>
      <c r="O61" s="33">
        <f>ROUND(MIN(MAX(0,N('Your debts'!$E$9)),E61),2)</f>
      </c>
      <c r="P61" s="33">
        <f>ROUND(MIN(MAX(0,N('Your debts'!$E$10)),F61),2)</f>
      </c>
      <c r="Q61" s="33">
        <f>ROUND(MIN(MAX(0,N('Your debts'!$E$11)),G61),2)</f>
      </c>
      <c r="R61" s="33">
        <f>ROUND(MIN(MAX(0,N('Your debts'!$E$12)),H61),2)</f>
      </c>
      <c r="S61" s="33">
        <f>ROUND(MIN(MAX(0,N('Your debts'!$E$13)),I61),2)</f>
      </c>
      <c r="T61" s="33">
        <f>ROUND(MIN(MAX(0,N('Your debts'!$E$14)),J61),2)</f>
      </c>
      <c r="U61" s="33">
        <f>ROUND(MIN(MAX(0,N('Your debts'!$E$15)),K61),2)</f>
      </c>
      <c r="V61" s="33">
        <f>ROUND(B61-L61,2)</f>
      </c>
      <c r="W61" s="33">
        <f>ROUND(C61-M61,2)</f>
      </c>
      <c r="X61" s="33">
        <f>ROUND(D61-N61,2)</f>
      </c>
      <c r="Y61" s="33">
        <f>ROUND(E61-O61,2)</f>
      </c>
      <c r="Z61" s="33">
        <f>ROUND(F61-P61,2)</f>
      </c>
      <c r="AA61" s="33">
        <f>ROUND(G61-Q61,2)</f>
      </c>
      <c r="AB61" s="33">
        <f>ROUND(H61-R61,2)</f>
      </c>
      <c r="AC61" s="33">
        <f>ROUND(I61-S61,2)</f>
      </c>
      <c r="AD61" s="33">
        <f>ROUND(J61-T61,2)</f>
      </c>
      <c r="AE61" s="33">
        <f>ROUND(K61-U61,2)</f>
      </c>
      <c r="AF61" s="33">
        <f>IF(V61&lt;=0,0,MAX(0,MIN(V61,ROUND($AZ61-SUMPRODUCT($V61:$AE61*($V61:$AE61&gt;0)*(($V61:$AE61&lt;V61)+($V61:$AE61=V61)*($V$3:$AE$3&gt;V$3)+($V61:$AE61=V61)*($V$3:$AE$3=V$3)*($V$2:$AE$2&lt;V$2))),2))))</f>
      </c>
      <c r="AG61" s="33">
        <f>IF(W61&lt;=0,0,MAX(0,MIN(W61,ROUND($AZ61-SUMPRODUCT($V61:$AE61*($V61:$AE61&gt;0)*(($V61:$AE61&lt;W61)+($V61:$AE61=W61)*($V$3:$AE$3&gt;W$3)+($V61:$AE61=W61)*($V$3:$AE$3=W$3)*($V$2:$AE$2&lt;W$2))),2))))</f>
      </c>
      <c r="AH61" s="33">
        <f>IF(X61&lt;=0,0,MAX(0,MIN(X61,ROUND($AZ61-SUMPRODUCT($V61:$AE61*($V61:$AE61&gt;0)*(($V61:$AE61&lt;X61)+($V61:$AE61=X61)*($V$3:$AE$3&gt;X$3)+($V61:$AE61=X61)*($V$3:$AE$3=X$3)*($V$2:$AE$2&lt;X$2))),2))))</f>
      </c>
      <c r="AI61" s="33">
        <f>IF(Y61&lt;=0,0,MAX(0,MIN(Y61,ROUND($AZ61-SUMPRODUCT($V61:$AE61*($V61:$AE61&gt;0)*(($V61:$AE61&lt;Y61)+($V61:$AE61=Y61)*($V$3:$AE$3&gt;Y$3)+($V61:$AE61=Y61)*($V$3:$AE$3=Y$3)*($V$2:$AE$2&lt;Y$2))),2))))</f>
      </c>
      <c r="AJ61" s="33">
        <f>IF(Z61&lt;=0,0,MAX(0,MIN(Z61,ROUND($AZ61-SUMPRODUCT($V61:$AE61*($V61:$AE61&gt;0)*(($V61:$AE61&lt;Z61)+($V61:$AE61=Z61)*($V$3:$AE$3&gt;Z$3)+($V61:$AE61=Z61)*($V$3:$AE$3=Z$3)*($V$2:$AE$2&lt;Z$2))),2))))</f>
      </c>
      <c r="AK61" s="33">
        <f>IF(AA61&lt;=0,0,MAX(0,MIN(AA61,ROUND($AZ61-SUMPRODUCT($V61:$AE61*($V61:$AE61&gt;0)*(($V61:$AE61&lt;AA61)+($V61:$AE61=AA61)*($V$3:$AE$3&gt;AA$3)+($V61:$AE61=AA61)*($V$3:$AE$3=AA$3)*($V$2:$AE$2&lt;AA$2))),2))))</f>
      </c>
      <c r="AL61" s="33">
        <f>IF(AB61&lt;=0,0,MAX(0,MIN(AB61,ROUND($AZ61-SUMPRODUCT($V61:$AE61*($V61:$AE61&gt;0)*(($V61:$AE61&lt;AB61)+($V61:$AE61=AB61)*($V$3:$AE$3&gt;AB$3)+($V61:$AE61=AB61)*($V$3:$AE$3=AB$3)*($V$2:$AE$2&lt;AB$2))),2))))</f>
      </c>
      <c r="AM61" s="33">
        <f>IF(AC61&lt;=0,0,MAX(0,MIN(AC61,ROUND($AZ61-SUMPRODUCT($V61:$AE61*($V61:$AE61&gt;0)*(($V61:$AE61&lt;AC61)+($V61:$AE61=AC61)*($V$3:$AE$3&gt;AC$3)+($V61:$AE61=AC61)*($V$3:$AE$3=AC$3)*($V$2:$AE$2&lt;AC$2))),2))))</f>
      </c>
      <c r="AN61" s="33">
        <f>IF(AD61&lt;=0,0,MAX(0,MIN(AD61,ROUND($AZ61-SUMPRODUCT($V61:$AE61*($V61:$AE61&gt;0)*(($V61:$AE61&lt;AD61)+($V61:$AE61=AD61)*($V$3:$AE$3&gt;AD$3)+($V61:$AE61=AD61)*($V$3:$AE$3=AD$3)*($V$2:$AE$2&lt;AD$2))),2))))</f>
      </c>
      <c r="AO61" s="33">
        <f>IF(AE61&lt;=0,0,MAX(0,MIN(AE61,ROUND($AZ61-SUMPRODUCT($V61:$AE61*($V61:$AE61&gt;0)*(($V61:$AE61&lt;AE61)+($V61:$AE61=AE61)*($V$3:$AE$3&gt;AE$3)+($V61:$AE61=AE61)*($V$3:$AE$3=AE$3)*($V$2:$AE$2&lt;AE$2))),2))))</f>
      </c>
      <c r="AP61" s="33">
        <f>ROUND(V61-AF61,2)</f>
      </c>
      <c r="AQ61" s="33">
        <f>ROUND(W61-AG61,2)</f>
      </c>
      <c r="AR61" s="33">
        <f>ROUND(X61-AH61,2)</f>
      </c>
      <c r="AS61" s="33">
        <f>ROUND(Y61-AI61,2)</f>
      </c>
      <c r="AT61" s="33">
        <f>ROUND(Z61-AJ61,2)</f>
      </c>
      <c r="AU61" s="33">
        <f>ROUND(AA61-AK61,2)</f>
      </c>
      <c r="AV61" s="33">
        <f>ROUND(AB61-AL61,2)</f>
      </c>
      <c r="AW61" s="33">
        <f>ROUND(AC61-AM61,2)</f>
      </c>
      <c r="AX61" s="33">
        <f>ROUND(AD61-AN61,2)</f>
      </c>
      <c r="AY61" s="33">
        <f>ROUND(AE61-AO61,2)</f>
      </c>
      <c r="AZ61" s="33">
        <f>ROUND(MAX(0,'Your debts'!$D$22-SUM($L61:$U61)),2)</f>
      </c>
      <c r="BA61" s="33">
        <f>ROUND(SUM($B61:$K61)-SUM($AP60:$AY60),2)</f>
      </c>
      <c r="BB61" s="33">
        <f>SUM($AP61:$AY61)</f>
      </c>
      <c r="BC61" s="33">
        <f>ROUND(SUM($L61:$U61)+SUM($AF61:$AO61),2)</f>
      </c>
    </row>
    <row r="62" spans="1:55" x14ac:dyDescent="0.25">
      <c r="A62">
        <v>55</v>
      </c>
      <c r="B62" s="33">
        <f>IF(AP61&lt;=0,0,ROUND(AP61+ROUND(AP61*V$3/12,2),2))</f>
      </c>
      <c r="C62" s="33">
        <f>IF(AQ61&lt;=0,0,ROUND(AQ61+ROUND(AQ61*W$3/12,2),2))</f>
      </c>
      <c r="D62" s="33">
        <f>IF(AR61&lt;=0,0,ROUND(AR61+ROUND(AR61*X$3/12,2),2))</f>
      </c>
      <c r="E62" s="33">
        <f>IF(AS61&lt;=0,0,ROUND(AS61+ROUND(AS61*Y$3/12,2),2))</f>
      </c>
      <c r="F62" s="33">
        <f>IF(AT61&lt;=0,0,ROUND(AT61+ROUND(AT61*Z$3/12,2),2))</f>
      </c>
      <c r="G62" s="33">
        <f>IF(AU61&lt;=0,0,ROUND(AU61+ROUND(AU61*AA$3/12,2),2))</f>
      </c>
      <c r="H62" s="33">
        <f>IF(AV61&lt;=0,0,ROUND(AV61+ROUND(AV61*AB$3/12,2),2))</f>
      </c>
      <c r="I62" s="33">
        <f>IF(AW61&lt;=0,0,ROUND(AW61+ROUND(AW61*AC$3/12,2),2))</f>
      </c>
      <c r="J62" s="33">
        <f>IF(AX61&lt;=0,0,ROUND(AX61+ROUND(AX61*AD$3/12,2),2))</f>
      </c>
      <c r="K62" s="33">
        <f>IF(AY61&lt;=0,0,ROUND(AY61+ROUND(AY61*AE$3/12,2),2))</f>
      </c>
      <c r="L62" s="33">
        <f>ROUND(MIN(MAX(0,N('Your debts'!$E$6)),B62),2)</f>
      </c>
      <c r="M62" s="33">
        <f>ROUND(MIN(MAX(0,N('Your debts'!$E$7)),C62),2)</f>
      </c>
      <c r="N62" s="33">
        <f>ROUND(MIN(MAX(0,N('Your debts'!$E$8)),D62),2)</f>
      </c>
      <c r="O62" s="33">
        <f>ROUND(MIN(MAX(0,N('Your debts'!$E$9)),E62),2)</f>
      </c>
      <c r="P62" s="33">
        <f>ROUND(MIN(MAX(0,N('Your debts'!$E$10)),F62),2)</f>
      </c>
      <c r="Q62" s="33">
        <f>ROUND(MIN(MAX(0,N('Your debts'!$E$11)),G62),2)</f>
      </c>
      <c r="R62" s="33">
        <f>ROUND(MIN(MAX(0,N('Your debts'!$E$12)),H62),2)</f>
      </c>
      <c r="S62" s="33">
        <f>ROUND(MIN(MAX(0,N('Your debts'!$E$13)),I62),2)</f>
      </c>
      <c r="T62" s="33">
        <f>ROUND(MIN(MAX(0,N('Your debts'!$E$14)),J62),2)</f>
      </c>
      <c r="U62" s="33">
        <f>ROUND(MIN(MAX(0,N('Your debts'!$E$15)),K62),2)</f>
      </c>
      <c r="V62" s="33">
        <f>ROUND(B62-L62,2)</f>
      </c>
      <c r="W62" s="33">
        <f>ROUND(C62-M62,2)</f>
      </c>
      <c r="X62" s="33">
        <f>ROUND(D62-N62,2)</f>
      </c>
      <c r="Y62" s="33">
        <f>ROUND(E62-O62,2)</f>
      </c>
      <c r="Z62" s="33">
        <f>ROUND(F62-P62,2)</f>
      </c>
      <c r="AA62" s="33">
        <f>ROUND(G62-Q62,2)</f>
      </c>
      <c r="AB62" s="33">
        <f>ROUND(H62-R62,2)</f>
      </c>
      <c r="AC62" s="33">
        <f>ROUND(I62-S62,2)</f>
      </c>
      <c r="AD62" s="33">
        <f>ROUND(J62-T62,2)</f>
      </c>
      <c r="AE62" s="33">
        <f>ROUND(K62-U62,2)</f>
      </c>
      <c r="AF62" s="33">
        <f>IF(V62&lt;=0,0,MAX(0,MIN(V62,ROUND($AZ62-SUMPRODUCT($V62:$AE62*($V62:$AE62&gt;0)*(($V62:$AE62&lt;V62)+($V62:$AE62=V62)*($V$3:$AE$3&gt;V$3)+($V62:$AE62=V62)*($V$3:$AE$3=V$3)*($V$2:$AE$2&lt;V$2))),2))))</f>
      </c>
      <c r="AG62" s="33">
        <f>IF(W62&lt;=0,0,MAX(0,MIN(W62,ROUND($AZ62-SUMPRODUCT($V62:$AE62*($V62:$AE62&gt;0)*(($V62:$AE62&lt;W62)+($V62:$AE62=W62)*($V$3:$AE$3&gt;W$3)+($V62:$AE62=W62)*($V$3:$AE$3=W$3)*($V$2:$AE$2&lt;W$2))),2))))</f>
      </c>
      <c r="AH62" s="33">
        <f>IF(X62&lt;=0,0,MAX(0,MIN(X62,ROUND($AZ62-SUMPRODUCT($V62:$AE62*($V62:$AE62&gt;0)*(($V62:$AE62&lt;X62)+($V62:$AE62=X62)*($V$3:$AE$3&gt;X$3)+($V62:$AE62=X62)*($V$3:$AE$3=X$3)*($V$2:$AE$2&lt;X$2))),2))))</f>
      </c>
      <c r="AI62" s="33">
        <f>IF(Y62&lt;=0,0,MAX(0,MIN(Y62,ROUND($AZ62-SUMPRODUCT($V62:$AE62*($V62:$AE62&gt;0)*(($V62:$AE62&lt;Y62)+($V62:$AE62=Y62)*($V$3:$AE$3&gt;Y$3)+($V62:$AE62=Y62)*($V$3:$AE$3=Y$3)*($V$2:$AE$2&lt;Y$2))),2))))</f>
      </c>
      <c r="AJ62" s="33">
        <f>IF(Z62&lt;=0,0,MAX(0,MIN(Z62,ROUND($AZ62-SUMPRODUCT($V62:$AE62*($V62:$AE62&gt;0)*(($V62:$AE62&lt;Z62)+($V62:$AE62=Z62)*($V$3:$AE$3&gt;Z$3)+($V62:$AE62=Z62)*($V$3:$AE$3=Z$3)*($V$2:$AE$2&lt;Z$2))),2))))</f>
      </c>
      <c r="AK62" s="33">
        <f>IF(AA62&lt;=0,0,MAX(0,MIN(AA62,ROUND($AZ62-SUMPRODUCT($V62:$AE62*($V62:$AE62&gt;0)*(($V62:$AE62&lt;AA62)+($V62:$AE62=AA62)*($V$3:$AE$3&gt;AA$3)+($V62:$AE62=AA62)*($V$3:$AE$3=AA$3)*($V$2:$AE$2&lt;AA$2))),2))))</f>
      </c>
      <c r="AL62" s="33">
        <f>IF(AB62&lt;=0,0,MAX(0,MIN(AB62,ROUND($AZ62-SUMPRODUCT($V62:$AE62*($V62:$AE62&gt;0)*(($V62:$AE62&lt;AB62)+($V62:$AE62=AB62)*($V$3:$AE$3&gt;AB$3)+($V62:$AE62=AB62)*($V$3:$AE$3=AB$3)*($V$2:$AE$2&lt;AB$2))),2))))</f>
      </c>
      <c r="AM62" s="33">
        <f>IF(AC62&lt;=0,0,MAX(0,MIN(AC62,ROUND($AZ62-SUMPRODUCT($V62:$AE62*($V62:$AE62&gt;0)*(($V62:$AE62&lt;AC62)+($V62:$AE62=AC62)*($V$3:$AE$3&gt;AC$3)+($V62:$AE62=AC62)*($V$3:$AE$3=AC$3)*($V$2:$AE$2&lt;AC$2))),2))))</f>
      </c>
      <c r="AN62" s="33">
        <f>IF(AD62&lt;=0,0,MAX(0,MIN(AD62,ROUND($AZ62-SUMPRODUCT($V62:$AE62*($V62:$AE62&gt;0)*(($V62:$AE62&lt;AD62)+($V62:$AE62=AD62)*($V$3:$AE$3&gt;AD$3)+($V62:$AE62=AD62)*($V$3:$AE$3=AD$3)*($V$2:$AE$2&lt;AD$2))),2))))</f>
      </c>
      <c r="AO62" s="33">
        <f>IF(AE62&lt;=0,0,MAX(0,MIN(AE62,ROUND($AZ62-SUMPRODUCT($V62:$AE62*($V62:$AE62&gt;0)*(($V62:$AE62&lt;AE62)+($V62:$AE62=AE62)*($V$3:$AE$3&gt;AE$3)+($V62:$AE62=AE62)*($V$3:$AE$3=AE$3)*($V$2:$AE$2&lt;AE$2))),2))))</f>
      </c>
      <c r="AP62" s="33">
        <f>ROUND(V62-AF62,2)</f>
      </c>
      <c r="AQ62" s="33">
        <f>ROUND(W62-AG62,2)</f>
      </c>
      <c r="AR62" s="33">
        <f>ROUND(X62-AH62,2)</f>
      </c>
      <c r="AS62" s="33">
        <f>ROUND(Y62-AI62,2)</f>
      </c>
      <c r="AT62" s="33">
        <f>ROUND(Z62-AJ62,2)</f>
      </c>
      <c r="AU62" s="33">
        <f>ROUND(AA62-AK62,2)</f>
      </c>
      <c r="AV62" s="33">
        <f>ROUND(AB62-AL62,2)</f>
      </c>
      <c r="AW62" s="33">
        <f>ROUND(AC62-AM62,2)</f>
      </c>
      <c r="AX62" s="33">
        <f>ROUND(AD62-AN62,2)</f>
      </c>
      <c r="AY62" s="33">
        <f>ROUND(AE62-AO62,2)</f>
      </c>
      <c r="AZ62" s="33">
        <f>ROUND(MAX(0,'Your debts'!$D$22-SUM($L62:$U62)),2)</f>
      </c>
      <c r="BA62" s="33">
        <f>ROUND(SUM($B62:$K62)-SUM($AP61:$AY61),2)</f>
      </c>
      <c r="BB62" s="33">
        <f>SUM($AP62:$AY62)</f>
      </c>
      <c r="BC62" s="33">
        <f>ROUND(SUM($L62:$U62)+SUM($AF62:$AO62),2)</f>
      </c>
    </row>
    <row r="63" spans="1:55" x14ac:dyDescent="0.25">
      <c r="A63">
        <v>56</v>
      </c>
      <c r="B63" s="33">
        <f>IF(AP62&lt;=0,0,ROUND(AP62+ROUND(AP62*V$3/12,2),2))</f>
      </c>
      <c r="C63" s="33">
        <f>IF(AQ62&lt;=0,0,ROUND(AQ62+ROUND(AQ62*W$3/12,2),2))</f>
      </c>
      <c r="D63" s="33">
        <f>IF(AR62&lt;=0,0,ROUND(AR62+ROUND(AR62*X$3/12,2),2))</f>
      </c>
      <c r="E63" s="33">
        <f>IF(AS62&lt;=0,0,ROUND(AS62+ROUND(AS62*Y$3/12,2),2))</f>
      </c>
      <c r="F63" s="33">
        <f>IF(AT62&lt;=0,0,ROUND(AT62+ROUND(AT62*Z$3/12,2),2))</f>
      </c>
      <c r="G63" s="33">
        <f>IF(AU62&lt;=0,0,ROUND(AU62+ROUND(AU62*AA$3/12,2),2))</f>
      </c>
      <c r="H63" s="33">
        <f>IF(AV62&lt;=0,0,ROUND(AV62+ROUND(AV62*AB$3/12,2),2))</f>
      </c>
      <c r="I63" s="33">
        <f>IF(AW62&lt;=0,0,ROUND(AW62+ROUND(AW62*AC$3/12,2),2))</f>
      </c>
      <c r="J63" s="33">
        <f>IF(AX62&lt;=0,0,ROUND(AX62+ROUND(AX62*AD$3/12,2),2))</f>
      </c>
      <c r="K63" s="33">
        <f>IF(AY62&lt;=0,0,ROUND(AY62+ROUND(AY62*AE$3/12,2),2))</f>
      </c>
      <c r="L63" s="33">
        <f>ROUND(MIN(MAX(0,N('Your debts'!$E$6)),B63),2)</f>
      </c>
      <c r="M63" s="33">
        <f>ROUND(MIN(MAX(0,N('Your debts'!$E$7)),C63),2)</f>
      </c>
      <c r="N63" s="33">
        <f>ROUND(MIN(MAX(0,N('Your debts'!$E$8)),D63),2)</f>
      </c>
      <c r="O63" s="33">
        <f>ROUND(MIN(MAX(0,N('Your debts'!$E$9)),E63),2)</f>
      </c>
      <c r="P63" s="33">
        <f>ROUND(MIN(MAX(0,N('Your debts'!$E$10)),F63),2)</f>
      </c>
      <c r="Q63" s="33">
        <f>ROUND(MIN(MAX(0,N('Your debts'!$E$11)),G63),2)</f>
      </c>
      <c r="R63" s="33">
        <f>ROUND(MIN(MAX(0,N('Your debts'!$E$12)),H63),2)</f>
      </c>
      <c r="S63" s="33">
        <f>ROUND(MIN(MAX(0,N('Your debts'!$E$13)),I63),2)</f>
      </c>
      <c r="T63" s="33">
        <f>ROUND(MIN(MAX(0,N('Your debts'!$E$14)),J63),2)</f>
      </c>
      <c r="U63" s="33">
        <f>ROUND(MIN(MAX(0,N('Your debts'!$E$15)),K63),2)</f>
      </c>
      <c r="V63" s="33">
        <f>ROUND(B63-L63,2)</f>
      </c>
      <c r="W63" s="33">
        <f>ROUND(C63-M63,2)</f>
      </c>
      <c r="X63" s="33">
        <f>ROUND(D63-N63,2)</f>
      </c>
      <c r="Y63" s="33">
        <f>ROUND(E63-O63,2)</f>
      </c>
      <c r="Z63" s="33">
        <f>ROUND(F63-P63,2)</f>
      </c>
      <c r="AA63" s="33">
        <f>ROUND(G63-Q63,2)</f>
      </c>
      <c r="AB63" s="33">
        <f>ROUND(H63-R63,2)</f>
      </c>
      <c r="AC63" s="33">
        <f>ROUND(I63-S63,2)</f>
      </c>
      <c r="AD63" s="33">
        <f>ROUND(J63-T63,2)</f>
      </c>
      <c r="AE63" s="33">
        <f>ROUND(K63-U63,2)</f>
      </c>
      <c r="AF63" s="33">
        <f>IF(V63&lt;=0,0,MAX(0,MIN(V63,ROUND($AZ63-SUMPRODUCT($V63:$AE63*($V63:$AE63&gt;0)*(($V63:$AE63&lt;V63)+($V63:$AE63=V63)*($V$3:$AE$3&gt;V$3)+($V63:$AE63=V63)*($V$3:$AE$3=V$3)*($V$2:$AE$2&lt;V$2))),2))))</f>
      </c>
      <c r="AG63" s="33">
        <f>IF(W63&lt;=0,0,MAX(0,MIN(W63,ROUND($AZ63-SUMPRODUCT($V63:$AE63*($V63:$AE63&gt;0)*(($V63:$AE63&lt;W63)+($V63:$AE63=W63)*($V$3:$AE$3&gt;W$3)+($V63:$AE63=W63)*($V$3:$AE$3=W$3)*($V$2:$AE$2&lt;W$2))),2))))</f>
      </c>
      <c r="AH63" s="33">
        <f>IF(X63&lt;=0,0,MAX(0,MIN(X63,ROUND($AZ63-SUMPRODUCT($V63:$AE63*($V63:$AE63&gt;0)*(($V63:$AE63&lt;X63)+($V63:$AE63=X63)*($V$3:$AE$3&gt;X$3)+($V63:$AE63=X63)*($V$3:$AE$3=X$3)*($V$2:$AE$2&lt;X$2))),2))))</f>
      </c>
      <c r="AI63" s="33">
        <f>IF(Y63&lt;=0,0,MAX(0,MIN(Y63,ROUND($AZ63-SUMPRODUCT($V63:$AE63*($V63:$AE63&gt;0)*(($V63:$AE63&lt;Y63)+($V63:$AE63=Y63)*($V$3:$AE$3&gt;Y$3)+($V63:$AE63=Y63)*($V$3:$AE$3=Y$3)*($V$2:$AE$2&lt;Y$2))),2))))</f>
      </c>
      <c r="AJ63" s="33">
        <f>IF(Z63&lt;=0,0,MAX(0,MIN(Z63,ROUND($AZ63-SUMPRODUCT($V63:$AE63*($V63:$AE63&gt;0)*(($V63:$AE63&lt;Z63)+($V63:$AE63=Z63)*($V$3:$AE$3&gt;Z$3)+($V63:$AE63=Z63)*($V$3:$AE$3=Z$3)*($V$2:$AE$2&lt;Z$2))),2))))</f>
      </c>
      <c r="AK63" s="33">
        <f>IF(AA63&lt;=0,0,MAX(0,MIN(AA63,ROUND($AZ63-SUMPRODUCT($V63:$AE63*($V63:$AE63&gt;0)*(($V63:$AE63&lt;AA63)+($V63:$AE63=AA63)*($V$3:$AE$3&gt;AA$3)+($V63:$AE63=AA63)*($V$3:$AE$3=AA$3)*($V$2:$AE$2&lt;AA$2))),2))))</f>
      </c>
      <c r="AL63" s="33">
        <f>IF(AB63&lt;=0,0,MAX(0,MIN(AB63,ROUND($AZ63-SUMPRODUCT($V63:$AE63*($V63:$AE63&gt;0)*(($V63:$AE63&lt;AB63)+($V63:$AE63=AB63)*($V$3:$AE$3&gt;AB$3)+($V63:$AE63=AB63)*($V$3:$AE$3=AB$3)*($V$2:$AE$2&lt;AB$2))),2))))</f>
      </c>
      <c r="AM63" s="33">
        <f>IF(AC63&lt;=0,0,MAX(0,MIN(AC63,ROUND($AZ63-SUMPRODUCT($V63:$AE63*($V63:$AE63&gt;0)*(($V63:$AE63&lt;AC63)+($V63:$AE63=AC63)*($V$3:$AE$3&gt;AC$3)+($V63:$AE63=AC63)*($V$3:$AE$3=AC$3)*($V$2:$AE$2&lt;AC$2))),2))))</f>
      </c>
      <c r="AN63" s="33">
        <f>IF(AD63&lt;=0,0,MAX(0,MIN(AD63,ROUND($AZ63-SUMPRODUCT($V63:$AE63*($V63:$AE63&gt;0)*(($V63:$AE63&lt;AD63)+($V63:$AE63=AD63)*($V$3:$AE$3&gt;AD$3)+($V63:$AE63=AD63)*($V$3:$AE$3=AD$3)*($V$2:$AE$2&lt;AD$2))),2))))</f>
      </c>
      <c r="AO63" s="33">
        <f>IF(AE63&lt;=0,0,MAX(0,MIN(AE63,ROUND($AZ63-SUMPRODUCT($V63:$AE63*($V63:$AE63&gt;0)*(($V63:$AE63&lt;AE63)+($V63:$AE63=AE63)*($V$3:$AE$3&gt;AE$3)+($V63:$AE63=AE63)*($V$3:$AE$3=AE$3)*($V$2:$AE$2&lt;AE$2))),2))))</f>
      </c>
      <c r="AP63" s="33">
        <f>ROUND(V63-AF63,2)</f>
      </c>
      <c r="AQ63" s="33">
        <f>ROUND(W63-AG63,2)</f>
      </c>
      <c r="AR63" s="33">
        <f>ROUND(X63-AH63,2)</f>
      </c>
      <c r="AS63" s="33">
        <f>ROUND(Y63-AI63,2)</f>
      </c>
      <c r="AT63" s="33">
        <f>ROUND(Z63-AJ63,2)</f>
      </c>
      <c r="AU63" s="33">
        <f>ROUND(AA63-AK63,2)</f>
      </c>
      <c r="AV63" s="33">
        <f>ROUND(AB63-AL63,2)</f>
      </c>
      <c r="AW63" s="33">
        <f>ROUND(AC63-AM63,2)</f>
      </c>
      <c r="AX63" s="33">
        <f>ROUND(AD63-AN63,2)</f>
      </c>
      <c r="AY63" s="33">
        <f>ROUND(AE63-AO63,2)</f>
      </c>
      <c r="AZ63" s="33">
        <f>ROUND(MAX(0,'Your debts'!$D$22-SUM($L63:$U63)),2)</f>
      </c>
      <c r="BA63" s="33">
        <f>ROUND(SUM($B63:$K63)-SUM($AP62:$AY62),2)</f>
      </c>
      <c r="BB63" s="33">
        <f>SUM($AP63:$AY63)</f>
      </c>
      <c r="BC63" s="33">
        <f>ROUND(SUM($L63:$U63)+SUM($AF63:$AO63),2)</f>
      </c>
    </row>
    <row r="64" spans="1:55" x14ac:dyDescent="0.25">
      <c r="A64">
        <v>57</v>
      </c>
      <c r="B64" s="33">
        <f>IF(AP63&lt;=0,0,ROUND(AP63+ROUND(AP63*V$3/12,2),2))</f>
      </c>
      <c r="C64" s="33">
        <f>IF(AQ63&lt;=0,0,ROUND(AQ63+ROUND(AQ63*W$3/12,2),2))</f>
      </c>
      <c r="D64" s="33">
        <f>IF(AR63&lt;=0,0,ROUND(AR63+ROUND(AR63*X$3/12,2),2))</f>
      </c>
      <c r="E64" s="33">
        <f>IF(AS63&lt;=0,0,ROUND(AS63+ROUND(AS63*Y$3/12,2),2))</f>
      </c>
      <c r="F64" s="33">
        <f>IF(AT63&lt;=0,0,ROUND(AT63+ROUND(AT63*Z$3/12,2),2))</f>
      </c>
      <c r="G64" s="33">
        <f>IF(AU63&lt;=0,0,ROUND(AU63+ROUND(AU63*AA$3/12,2),2))</f>
      </c>
      <c r="H64" s="33">
        <f>IF(AV63&lt;=0,0,ROUND(AV63+ROUND(AV63*AB$3/12,2),2))</f>
      </c>
      <c r="I64" s="33">
        <f>IF(AW63&lt;=0,0,ROUND(AW63+ROUND(AW63*AC$3/12,2),2))</f>
      </c>
      <c r="J64" s="33">
        <f>IF(AX63&lt;=0,0,ROUND(AX63+ROUND(AX63*AD$3/12,2),2))</f>
      </c>
      <c r="K64" s="33">
        <f>IF(AY63&lt;=0,0,ROUND(AY63+ROUND(AY63*AE$3/12,2),2))</f>
      </c>
      <c r="L64" s="33">
        <f>ROUND(MIN(MAX(0,N('Your debts'!$E$6)),B64),2)</f>
      </c>
      <c r="M64" s="33">
        <f>ROUND(MIN(MAX(0,N('Your debts'!$E$7)),C64),2)</f>
      </c>
      <c r="N64" s="33">
        <f>ROUND(MIN(MAX(0,N('Your debts'!$E$8)),D64),2)</f>
      </c>
      <c r="O64" s="33">
        <f>ROUND(MIN(MAX(0,N('Your debts'!$E$9)),E64),2)</f>
      </c>
      <c r="P64" s="33">
        <f>ROUND(MIN(MAX(0,N('Your debts'!$E$10)),F64),2)</f>
      </c>
      <c r="Q64" s="33">
        <f>ROUND(MIN(MAX(0,N('Your debts'!$E$11)),G64),2)</f>
      </c>
      <c r="R64" s="33">
        <f>ROUND(MIN(MAX(0,N('Your debts'!$E$12)),H64),2)</f>
      </c>
      <c r="S64" s="33">
        <f>ROUND(MIN(MAX(0,N('Your debts'!$E$13)),I64),2)</f>
      </c>
      <c r="T64" s="33">
        <f>ROUND(MIN(MAX(0,N('Your debts'!$E$14)),J64),2)</f>
      </c>
      <c r="U64" s="33">
        <f>ROUND(MIN(MAX(0,N('Your debts'!$E$15)),K64),2)</f>
      </c>
      <c r="V64" s="33">
        <f>ROUND(B64-L64,2)</f>
      </c>
      <c r="W64" s="33">
        <f>ROUND(C64-M64,2)</f>
      </c>
      <c r="X64" s="33">
        <f>ROUND(D64-N64,2)</f>
      </c>
      <c r="Y64" s="33">
        <f>ROUND(E64-O64,2)</f>
      </c>
      <c r="Z64" s="33">
        <f>ROUND(F64-P64,2)</f>
      </c>
      <c r="AA64" s="33">
        <f>ROUND(G64-Q64,2)</f>
      </c>
      <c r="AB64" s="33">
        <f>ROUND(H64-R64,2)</f>
      </c>
      <c r="AC64" s="33">
        <f>ROUND(I64-S64,2)</f>
      </c>
      <c r="AD64" s="33">
        <f>ROUND(J64-T64,2)</f>
      </c>
      <c r="AE64" s="33">
        <f>ROUND(K64-U64,2)</f>
      </c>
      <c r="AF64" s="33">
        <f>IF(V64&lt;=0,0,MAX(0,MIN(V64,ROUND($AZ64-SUMPRODUCT($V64:$AE64*($V64:$AE64&gt;0)*(($V64:$AE64&lt;V64)+($V64:$AE64=V64)*($V$3:$AE$3&gt;V$3)+($V64:$AE64=V64)*($V$3:$AE$3=V$3)*($V$2:$AE$2&lt;V$2))),2))))</f>
      </c>
      <c r="AG64" s="33">
        <f>IF(W64&lt;=0,0,MAX(0,MIN(W64,ROUND($AZ64-SUMPRODUCT($V64:$AE64*($V64:$AE64&gt;0)*(($V64:$AE64&lt;W64)+($V64:$AE64=W64)*($V$3:$AE$3&gt;W$3)+($V64:$AE64=W64)*($V$3:$AE$3=W$3)*($V$2:$AE$2&lt;W$2))),2))))</f>
      </c>
      <c r="AH64" s="33">
        <f>IF(X64&lt;=0,0,MAX(0,MIN(X64,ROUND($AZ64-SUMPRODUCT($V64:$AE64*($V64:$AE64&gt;0)*(($V64:$AE64&lt;X64)+($V64:$AE64=X64)*($V$3:$AE$3&gt;X$3)+($V64:$AE64=X64)*($V$3:$AE$3=X$3)*($V$2:$AE$2&lt;X$2))),2))))</f>
      </c>
      <c r="AI64" s="33">
        <f>IF(Y64&lt;=0,0,MAX(0,MIN(Y64,ROUND($AZ64-SUMPRODUCT($V64:$AE64*($V64:$AE64&gt;0)*(($V64:$AE64&lt;Y64)+($V64:$AE64=Y64)*($V$3:$AE$3&gt;Y$3)+($V64:$AE64=Y64)*($V$3:$AE$3=Y$3)*($V$2:$AE$2&lt;Y$2))),2))))</f>
      </c>
      <c r="AJ64" s="33">
        <f>IF(Z64&lt;=0,0,MAX(0,MIN(Z64,ROUND($AZ64-SUMPRODUCT($V64:$AE64*($V64:$AE64&gt;0)*(($V64:$AE64&lt;Z64)+($V64:$AE64=Z64)*($V$3:$AE$3&gt;Z$3)+($V64:$AE64=Z64)*($V$3:$AE$3=Z$3)*($V$2:$AE$2&lt;Z$2))),2))))</f>
      </c>
      <c r="AK64" s="33">
        <f>IF(AA64&lt;=0,0,MAX(0,MIN(AA64,ROUND($AZ64-SUMPRODUCT($V64:$AE64*($V64:$AE64&gt;0)*(($V64:$AE64&lt;AA64)+($V64:$AE64=AA64)*($V$3:$AE$3&gt;AA$3)+($V64:$AE64=AA64)*($V$3:$AE$3=AA$3)*($V$2:$AE$2&lt;AA$2))),2))))</f>
      </c>
      <c r="AL64" s="33">
        <f>IF(AB64&lt;=0,0,MAX(0,MIN(AB64,ROUND($AZ64-SUMPRODUCT($V64:$AE64*($V64:$AE64&gt;0)*(($V64:$AE64&lt;AB64)+($V64:$AE64=AB64)*($V$3:$AE$3&gt;AB$3)+($V64:$AE64=AB64)*($V$3:$AE$3=AB$3)*($V$2:$AE$2&lt;AB$2))),2))))</f>
      </c>
      <c r="AM64" s="33">
        <f>IF(AC64&lt;=0,0,MAX(0,MIN(AC64,ROUND($AZ64-SUMPRODUCT($V64:$AE64*($V64:$AE64&gt;0)*(($V64:$AE64&lt;AC64)+($V64:$AE64=AC64)*($V$3:$AE$3&gt;AC$3)+($V64:$AE64=AC64)*($V$3:$AE$3=AC$3)*($V$2:$AE$2&lt;AC$2))),2))))</f>
      </c>
      <c r="AN64" s="33">
        <f>IF(AD64&lt;=0,0,MAX(0,MIN(AD64,ROUND($AZ64-SUMPRODUCT($V64:$AE64*($V64:$AE64&gt;0)*(($V64:$AE64&lt;AD64)+($V64:$AE64=AD64)*($V$3:$AE$3&gt;AD$3)+($V64:$AE64=AD64)*($V$3:$AE$3=AD$3)*($V$2:$AE$2&lt;AD$2))),2))))</f>
      </c>
      <c r="AO64" s="33">
        <f>IF(AE64&lt;=0,0,MAX(0,MIN(AE64,ROUND($AZ64-SUMPRODUCT($V64:$AE64*($V64:$AE64&gt;0)*(($V64:$AE64&lt;AE64)+($V64:$AE64=AE64)*($V$3:$AE$3&gt;AE$3)+($V64:$AE64=AE64)*($V$3:$AE$3=AE$3)*($V$2:$AE$2&lt;AE$2))),2))))</f>
      </c>
      <c r="AP64" s="33">
        <f>ROUND(V64-AF64,2)</f>
      </c>
      <c r="AQ64" s="33">
        <f>ROUND(W64-AG64,2)</f>
      </c>
      <c r="AR64" s="33">
        <f>ROUND(X64-AH64,2)</f>
      </c>
      <c r="AS64" s="33">
        <f>ROUND(Y64-AI64,2)</f>
      </c>
      <c r="AT64" s="33">
        <f>ROUND(Z64-AJ64,2)</f>
      </c>
      <c r="AU64" s="33">
        <f>ROUND(AA64-AK64,2)</f>
      </c>
      <c r="AV64" s="33">
        <f>ROUND(AB64-AL64,2)</f>
      </c>
      <c r="AW64" s="33">
        <f>ROUND(AC64-AM64,2)</f>
      </c>
      <c r="AX64" s="33">
        <f>ROUND(AD64-AN64,2)</f>
      </c>
      <c r="AY64" s="33">
        <f>ROUND(AE64-AO64,2)</f>
      </c>
      <c r="AZ64" s="33">
        <f>ROUND(MAX(0,'Your debts'!$D$22-SUM($L64:$U64)),2)</f>
      </c>
      <c r="BA64" s="33">
        <f>ROUND(SUM($B64:$K64)-SUM($AP63:$AY63),2)</f>
      </c>
      <c r="BB64" s="33">
        <f>SUM($AP64:$AY64)</f>
      </c>
      <c r="BC64" s="33">
        <f>ROUND(SUM($L64:$U64)+SUM($AF64:$AO64),2)</f>
      </c>
    </row>
    <row r="65" spans="1:55" x14ac:dyDescent="0.25">
      <c r="A65">
        <v>58</v>
      </c>
      <c r="B65" s="33">
        <f>IF(AP64&lt;=0,0,ROUND(AP64+ROUND(AP64*V$3/12,2),2))</f>
      </c>
      <c r="C65" s="33">
        <f>IF(AQ64&lt;=0,0,ROUND(AQ64+ROUND(AQ64*W$3/12,2),2))</f>
      </c>
      <c r="D65" s="33">
        <f>IF(AR64&lt;=0,0,ROUND(AR64+ROUND(AR64*X$3/12,2),2))</f>
      </c>
      <c r="E65" s="33">
        <f>IF(AS64&lt;=0,0,ROUND(AS64+ROUND(AS64*Y$3/12,2),2))</f>
      </c>
      <c r="F65" s="33">
        <f>IF(AT64&lt;=0,0,ROUND(AT64+ROUND(AT64*Z$3/12,2),2))</f>
      </c>
      <c r="G65" s="33">
        <f>IF(AU64&lt;=0,0,ROUND(AU64+ROUND(AU64*AA$3/12,2),2))</f>
      </c>
      <c r="H65" s="33">
        <f>IF(AV64&lt;=0,0,ROUND(AV64+ROUND(AV64*AB$3/12,2),2))</f>
      </c>
      <c r="I65" s="33">
        <f>IF(AW64&lt;=0,0,ROUND(AW64+ROUND(AW64*AC$3/12,2),2))</f>
      </c>
      <c r="J65" s="33">
        <f>IF(AX64&lt;=0,0,ROUND(AX64+ROUND(AX64*AD$3/12,2),2))</f>
      </c>
      <c r="K65" s="33">
        <f>IF(AY64&lt;=0,0,ROUND(AY64+ROUND(AY64*AE$3/12,2),2))</f>
      </c>
      <c r="L65" s="33">
        <f>ROUND(MIN(MAX(0,N('Your debts'!$E$6)),B65),2)</f>
      </c>
      <c r="M65" s="33">
        <f>ROUND(MIN(MAX(0,N('Your debts'!$E$7)),C65),2)</f>
      </c>
      <c r="N65" s="33">
        <f>ROUND(MIN(MAX(0,N('Your debts'!$E$8)),D65),2)</f>
      </c>
      <c r="O65" s="33">
        <f>ROUND(MIN(MAX(0,N('Your debts'!$E$9)),E65),2)</f>
      </c>
      <c r="P65" s="33">
        <f>ROUND(MIN(MAX(0,N('Your debts'!$E$10)),F65),2)</f>
      </c>
      <c r="Q65" s="33">
        <f>ROUND(MIN(MAX(0,N('Your debts'!$E$11)),G65),2)</f>
      </c>
      <c r="R65" s="33">
        <f>ROUND(MIN(MAX(0,N('Your debts'!$E$12)),H65),2)</f>
      </c>
      <c r="S65" s="33">
        <f>ROUND(MIN(MAX(0,N('Your debts'!$E$13)),I65),2)</f>
      </c>
      <c r="T65" s="33">
        <f>ROUND(MIN(MAX(0,N('Your debts'!$E$14)),J65),2)</f>
      </c>
      <c r="U65" s="33">
        <f>ROUND(MIN(MAX(0,N('Your debts'!$E$15)),K65),2)</f>
      </c>
      <c r="V65" s="33">
        <f>ROUND(B65-L65,2)</f>
      </c>
      <c r="W65" s="33">
        <f>ROUND(C65-M65,2)</f>
      </c>
      <c r="X65" s="33">
        <f>ROUND(D65-N65,2)</f>
      </c>
      <c r="Y65" s="33">
        <f>ROUND(E65-O65,2)</f>
      </c>
      <c r="Z65" s="33">
        <f>ROUND(F65-P65,2)</f>
      </c>
      <c r="AA65" s="33">
        <f>ROUND(G65-Q65,2)</f>
      </c>
      <c r="AB65" s="33">
        <f>ROUND(H65-R65,2)</f>
      </c>
      <c r="AC65" s="33">
        <f>ROUND(I65-S65,2)</f>
      </c>
      <c r="AD65" s="33">
        <f>ROUND(J65-T65,2)</f>
      </c>
      <c r="AE65" s="33">
        <f>ROUND(K65-U65,2)</f>
      </c>
      <c r="AF65" s="33">
        <f>IF(V65&lt;=0,0,MAX(0,MIN(V65,ROUND($AZ65-SUMPRODUCT($V65:$AE65*($V65:$AE65&gt;0)*(($V65:$AE65&lt;V65)+($V65:$AE65=V65)*($V$3:$AE$3&gt;V$3)+($V65:$AE65=V65)*($V$3:$AE$3=V$3)*($V$2:$AE$2&lt;V$2))),2))))</f>
      </c>
      <c r="AG65" s="33">
        <f>IF(W65&lt;=0,0,MAX(0,MIN(W65,ROUND($AZ65-SUMPRODUCT($V65:$AE65*($V65:$AE65&gt;0)*(($V65:$AE65&lt;W65)+($V65:$AE65=W65)*($V$3:$AE$3&gt;W$3)+($V65:$AE65=W65)*($V$3:$AE$3=W$3)*($V$2:$AE$2&lt;W$2))),2))))</f>
      </c>
      <c r="AH65" s="33">
        <f>IF(X65&lt;=0,0,MAX(0,MIN(X65,ROUND($AZ65-SUMPRODUCT($V65:$AE65*($V65:$AE65&gt;0)*(($V65:$AE65&lt;X65)+($V65:$AE65=X65)*($V$3:$AE$3&gt;X$3)+($V65:$AE65=X65)*($V$3:$AE$3=X$3)*($V$2:$AE$2&lt;X$2))),2))))</f>
      </c>
      <c r="AI65" s="33">
        <f>IF(Y65&lt;=0,0,MAX(0,MIN(Y65,ROUND($AZ65-SUMPRODUCT($V65:$AE65*($V65:$AE65&gt;0)*(($V65:$AE65&lt;Y65)+($V65:$AE65=Y65)*($V$3:$AE$3&gt;Y$3)+($V65:$AE65=Y65)*($V$3:$AE$3=Y$3)*($V$2:$AE$2&lt;Y$2))),2))))</f>
      </c>
      <c r="AJ65" s="33">
        <f>IF(Z65&lt;=0,0,MAX(0,MIN(Z65,ROUND($AZ65-SUMPRODUCT($V65:$AE65*($V65:$AE65&gt;0)*(($V65:$AE65&lt;Z65)+($V65:$AE65=Z65)*($V$3:$AE$3&gt;Z$3)+($V65:$AE65=Z65)*($V$3:$AE$3=Z$3)*($V$2:$AE$2&lt;Z$2))),2))))</f>
      </c>
      <c r="AK65" s="33">
        <f>IF(AA65&lt;=0,0,MAX(0,MIN(AA65,ROUND($AZ65-SUMPRODUCT($V65:$AE65*($V65:$AE65&gt;0)*(($V65:$AE65&lt;AA65)+($V65:$AE65=AA65)*($V$3:$AE$3&gt;AA$3)+($V65:$AE65=AA65)*($V$3:$AE$3=AA$3)*($V$2:$AE$2&lt;AA$2))),2))))</f>
      </c>
      <c r="AL65" s="33">
        <f>IF(AB65&lt;=0,0,MAX(0,MIN(AB65,ROUND($AZ65-SUMPRODUCT($V65:$AE65*($V65:$AE65&gt;0)*(($V65:$AE65&lt;AB65)+($V65:$AE65=AB65)*($V$3:$AE$3&gt;AB$3)+($V65:$AE65=AB65)*($V$3:$AE$3=AB$3)*($V$2:$AE$2&lt;AB$2))),2))))</f>
      </c>
      <c r="AM65" s="33">
        <f>IF(AC65&lt;=0,0,MAX(0,MIN(AC65,ROUND($AZ65-SUMPRODUCT($V65:$AE65*($V65:$AE65&gt;0)*(($V65:$AE65&lt;AC65)+($V65:$AE65=AC65)*($V$3:$AE$3&gt;AC$3)+($V65:$AE65=AC65)*($V$3:$AE$3=AC$3)*($V$2:$AE$2&lt;AC$2))),2))))</f>
      </c>
      <c r="AN65" s="33">
        <f>IF(AD65&lt;=0,0,MAX(0,MIN(AD65,ROUND($AZ65-SUMPRODUCT($V65:$AE65*($V65:$AE65&gt;0)*(($V65:$AE65&lt;AD65)+($V65:$AE65=AD65)*($V$3:$AE$3&gt;AD$3)+($V65:$AE65=AD65)*($V$3:$AE$3=AD$3)*($V$2:$AE$2&lt;AD$2))),2))))</f>
      </c>
      <c r="AO65" s="33">
        <f>IF(AE65&lt;=0,0,MAX(0,MIN(AE65,ROUND($AZ65-SUMPRODUCT($V65:$AE65*($V65:$AE65&gt;0)*(($V65:$AE65&lt;AE65)+($V65:$AE65=AE65)*($V$3:$AE$3&gt;AE$3)+($V65:$AE65=AE65)*($V$3:$AE$3=AE$3)*($V$2:$AE$2&lt;AE$2))),2))))</f>
      </c>
      <c r="AP65" s="33">
        <f>ROUND(V65-AF65,2)</f>
      </c>
      <c r="AQ65" s="33">
        <f>ROUND(W65-AG65,2)</f>
      </c>
      <c r="AR65" s="33">
        <f>ROUND(X65-AH65,2)</f>
      </c>
      <c r="AS65" s="33">
        <f>ROUND(Y65-AI65,2)</f>
      </c>
      <c r="AT65" s="33">
        <f>ROUND(Z65-AJ65,2)</f>
      </c>
      <c r="AU65" s="33">
        <f>ROUND(AA65-AK65,2)</f>
      </c>
      <c r="AV65" s="33">
        <f>ROUND(AB65-AL65,2)</f>
      </c>
      <c r="AW65" s="33">
        <f>ROUND(AC65-AM65,2)</f>
      </c>
      <c r="AX65" s="33">
        <f>ROUND(AD65-AN65,2)</f>
      </c>
      <c r="AY65" s="33">
        <f>ROUND(AE65-AO65,2)</f>
      </c>
      <c r="AZ65" s="33">
        <f>ROUND(MAX(0,'Your debts'!$D$22-SUM($L65:$U65)),2)</f>
      </c>
      <c r="BA65" s="33">
        <f>ROUND(SUM($B65:$K65)-SUM($AP64:$AY64),2)</f>
      </c>
      <c r="BB65" s="33">
        <f>SUM($AP65:$AY65)</f>
      </c>
      <c r="BC65" s="33">
        <f>ROUND(SUM($L65:$U65)+SUM($AF65:$AO65),2)</f>
      </c>
    </row>
    <row r="66" spans="1:55" x14ac:dyDescent="0.25">
      <c r="A66">
        <v>59</v>
      </c>
      <c r="B66" s="33">
        <f>IF(AP65&lt;=0,0,ROUND(AP65+ROUND(AP65*V$3/12,2),2))</f>
      </c>
      <c r="C66" s="33">
        <f>IF(AQ65&lt;=0,0,ROUND(AQ65+ROUND(AQ65*W$3/12,2),2))</f>
      </c>
      <c r="D66" s="33">
        <f>IF(AR65&lt;=0,0,ROUND(AR65+ROUND(AR65*X$3/12,2),2))</f>
      </c>
      <c r="E66" s="33">
        <f>IF(AS65&lt;=0,0,ROUND(AS65+ROUND(AS65*Y$3/12,2),2))</f>
      </c>
      <c r="F66" s="33">
        <f>IF(AT65&lt;=0,0,ROUND(AT65+ROUND(AT65*Z$3/12,2),2))</f>
      </c>
      <c r="G66" s="33">
        <f>IF(AU65&lt;=0,0,ROUND(AU65+ROUND(AU65*AA$3/12,2),2))</f>
      </c>
      <c r="H66" s="33">
        <f>IF(AV65&lt;=0,0,ROUND(AV65+ROUND(AV65*AB$3/12,2),2))</f>
      </c>
      <c r="I66" s="33">
        <f>IF(AW65&lt;=0,0,ROUND(AW65+ROUND(AW65*AC$3/12,2),2))</f>
      </c>
      <c r="J66" s="33">
        <f>IF(AX65&lt;=0,0,ROUND(AX65+ROUND(AX65*AD$3/12,2),2))</f>
      </c>
      <c r="K66" s="33">
        <f>IF(AY65&lt;=0,0,ROUND(AY65+ROUND(AY65*AE$3/12,2),2))</f>
      </c>
      <c r="L66" s="33">
        <f>ROUND(MIN(MAX(0,N('Your debts'!$E$6)),B66),2)</f>
      </c>
      <c r="M66" s="33">
        <f>ROUND(MIN(MAX(0,N('Your debts'!$E$7)),C66),2)</f>
      </c>
      <c r="N66" s="33">
        <f>ROUND(MIN(MAX(0,N('Your debts'!$E$8)),D66),2)</f>
      </c>
      <c r="O66" s="33">
        <f>ROUND(MIN(MAX(0,N('Your debts'!$E$9)),E66),2)</f>
      </c>
      <c r="P66" s="33">
        <f>ROUND(MIN(MAX(0,N('Your debts'!$E$10)),F66),2)</f>
      </c>
      <c r="Q66" s="33">
        <f>ROUND(MIN(MAX(0,N('Your debts'!$E$11)),G66),2)</f>
      </c>
      <c r="R66" s="33">
        <f>ROUND(MIN(MAX(0,N('Your debts'!$E$12)),H66),2)</f>
      </c>
      <c r="S66" s="33">
        <f>ROUND(MIN(MAX(0,N('Your debts'!$E$13)),I66),2)</f>
      </c>
      <c r="T66" s="33">
        <f>ROUND(MIN(MAX(0,N('Your debts'!$E$14)),J66),2)</f>
      </c>
      <c r="U66" s="33">
        <f>ROUND(MIN(MAX(0,N('Your debts'!$E$15)),K66),2)</f>
      </c>
      <c r="V66" s="33">
        <f>ROUND(B66-L66,2)</f>
      </c>
      <c r="W66" s="33">
        <f>ROUND(C66-M66,2)</f>
      </c>
      <c r="X66" s="33">
        <f>ROUND(D66-N66,2)</f>
      </c>
      <c r="Y66" s="33">
        <f>ROUND(E66-O66,2)</f>
      </c>
      <c r="Z66" s="33">
        <f>ROUND(F66-P66,2)</f>
      </c>
      <c r="AA66" s="33">
        <f>ROUND(G66-Q66,2)</f>
      </c>
      <c r="AB66" s="33">
        <f>ROUND(H66-R66,2)</f>
      </c>
      <c r="AC66" s="33">
        <f>ROUND(I66-S66,2)</f>
      </c>
      <c r="AD66" s="33">
        <f>ROUND(J66-T66,2)</f>
      </c>
      <c r="AE66" s="33">
        <f>ROUND(K66-U66,2)</f>
      </c>
      <c r="AF66" s="33">
        <f>IF(V66&lt;=0,0,MAX(0,MIN(V66,ROUND($AZ66-SUMPRODUCT($V66:$AE66*($V66:$AE66&gt;0)*(($V66:$AE66&lt;V66)+($V66:$AE66=V66)*($V$3:$AE$3&gt;V$3)+($V66:$AE66=V66)*($V$3:$AE$3=V$3)*($V$2:$AE$2&lt;V$2))),2))))</f>
      </c>
      <c r="AG66" s="33">
        <f>IF(W66&lt;=0,0,MAX(0,MIN(W66,ROUND($AZ66-SUMPRODUCT($V66:$AE66*($V66:$AE66&gt;0)*(($V66:$AE66&lt;W66)+($V66:$AE66=W66)*($V$3:$AE$3&gt;W$3)+($V66:$AE66=W66)*($V$3:$AE$3=W$3)*($V$2:$AE$2&lt;W$2))),2))))</f>
      </c>
      <c r="AH66" s="33">
        <f>IF(X66&lt;=0,0,MAX(0,MIN(X66,ROUND($AZ66-SUMPRODUCT($V66:$AE66*($V66:$AE66&gt;0)*(($V66:$AE66&lt;X66)+($V66:$AE66=X66)*($V$3:$AE$3&gt;X$3)+($V66:$AE66=X66)*($V$3:$AE$3=X$3)*($V$2:$AE$2&lt;X$2))),2))))</f>
      </c>
      <c r="AI66" s="33">
        <f>IF(Y66&lt;=0,0,MAX(0,MIN(Y66,ROUND($AZ66-SUMPRODUCT($V66:$AE66*($V66:$AE66&gt;0)*(($V66:$AE66&lt;Y66)+($V66:$AE66=Y66)*($V$3:$AE$3&gt;Y$3)+($V66:$AE66=Y66)*($V$3:$AE$3=Y$3)*($V$2:$AE$2&lt;Y$2))),2))))</f>
      </c>
      <c r="AJ66" s="33">
        <f>IF(Z66&lt;=0,0,MAX(0,MIN(Z66,ROUND($AZ66-SUMPRODUCT($V66:$AE66*($V66:$AE66&gt;0)*(($V66:$AE66&lt;Z66)+($V66:$AE66=Z66)*($V$3:$AE$3&gt;Z$3)+($V66:$AE66=Z66)*($V$3:$AE$3=Z$3)*($V$2:$AE$2&lt;Z$2))),2))))</f>
      </c>
      <c r="AK66" s="33">
        <f>IF(AA66&lt;=0,0,MAX(0,MIN(AA66,ROUND($AZ66-SUMPRODUCT($V66:$AE66*($V66:$AE66&gt;0)*(($V66:$AE66&lt;AA66)+($V66:$AE66=AA66)*($V$3:$AE$3&gt;AA$3)+($V66:$AE66=AA66)*($V$3:$AE$3=AA$3)*($V$2:$AE$2&lt;AA$2))),2))))</f>
      </c>
      <c r="AL66" s="33">
        <f>IF(AB66&lt;=0,0,MAX(0,MIN(AB66,ROUND($AZ66-SUMPRODUCT($V66:$AE66*($V66:$AE66&gt;0)*(($V66:$AE66&lt;AB66)+($V66:$AE66=AB66)*($V$3:$AE$3&gt;AB$3)+($V66:$AE66=AB66)*($V$3:$AE$3=AB$3)*($V$2:$AE$2&lt;AB$2))),2))))</f>
      </c>
      <c r="AM66" s="33">
        <f>IF(AC66&lt;=0,0,MAX(0,MIN(AC66,ROUND($AZ66-SUMPRODUCT($V66:$AE66*($V66:$AE66&gt;0)*(($V66:$AE66&lt;AC66)+($V66:$AE66=AC66)*($V$3:$AE$3&gt;AC$3)+($V66:$AE66=AC66)*($V$3:$AE$3=AC$3)*($V$2:$AE$2&lt;AC$2))),2))))</f>
      </c>
      <c r="AN66" s="33">
        <f>IF(AD66&lt;=0,0,MAX(0,MIN(AD66,ROUND($AZ66-SUMPRODUCT($V66:$AE66*($V66:$AE66&gt;0)*(($V66:$AE66&lt;AD66)+($V66:$AE66=AD66)*($V$3:$AE$3&gt;AD$3)+($V66:$AE66=AD66)*($V$3:$AE$3=AD$3)*($V$2:$AE$2&lt;AD$2))),2))))</f>
      </c>
      <c r="AO66" s="33">
        <f>IF(AE66&lt;=0,0,MAX(0,MIN(AE66,ROUND($AZ66-SUMPRODUCT($V66:$AE66*($V66:$AE66&gt;0)*(($V66:$AE66&lt;AE66)+($V66:$AE66=AE66)*($V$3:$AE$3&gt;AE$3)+($V66:$AE66=AE66)*($V$3:$AE$3=AE$3)*($V$2:$AE$2&lt;AE$2))),2))))</f>
      </c>
      <c r="AP66" s="33">
        <f>ROUND(V66-AF66,2)</f>
      </c>
      <c r="AQ66" s="33">
        <f>ROUND(W66-AG66,2)</f>
      </c>
      <c r="AR66" s="33">
        <f>ROUND(X66-AH66,2)</f>
      </c>
      <c r="AS66" s="33">
        <f>ROUND(Y66-AI66,2)</f>
      </c>
      <c r="AT66" s="33">
        <f>ROUND(Z66-AJ66,2)</f>
      </c>
      <c r="AU66" s="33">
        <f>ROUND(AA66-AK66,2)</f>
      </c>
      <c r="AV66" s="33">
        <f>ROUND(AB66-AL66,2)</f>
      </c>
      <c r="AW66" s="33">
        <f>ROUND(AC66-AM66,2)</f>
      </c>
      <c r="AX66" s="33">
        <f>ROUND(AD66-AN66,2)</f>
      </c>
      <c r="AY66" s="33">
        <f>ROUND(AE66-AO66,2)</f>
      </c>
      <c r="AZ66" s="33">
        <f>ROUND(MAX(0,'Your debts'!$D$22-SUM($L66:$U66)),2)</f>
      </c>
      <c r="BA66" s="33">
        <f>ROUND(SUM($B66:$K66)-SUM($AP65:$AY65),2)</f>
      </c>
      <c r="BB66" s="33">
        <f>SUM($AP66:$AY66)</f>
      </c>
      <c r="BC66" s="33">
        <f>ROUND(SUM($L66:$U66)+SUM($AF66:$AO66),2)</f>
      </c>
    </row>
    <row r="67" spans="1:55" x14ac:dyDescent="0.25">
      <c r="A67">
        <v>60</v>
      </c>
      <c r="B67" s="33">
        <f>IF(AP66&lt;=0,0,ROUND(AP66+ROUND(AP66*V$3/12,2),2))</f>
      </c>
      <c r="C67" s="33">
        <f>IF(AQ66&lt;=0,0,ROUND(AQ66+ROUND(AQ66*W$3/12,2),2))</f>
      </c>
      <c r="D67" s="33">
        <f>IF(AR66&lt;=0,0,ROUND(AR66+ROUND(AR66*X$3/12,2),2))</f>
      </c>
      <c r="E67" s="33">
        <f>IF(AS66&lt;=0,0,ROUND(AS66+ROUND(AS66*Y$3/12,2),2))</f>
      </c>
      <c r="F67" s="33">
        <f>IF(AT66&lt;=0,0,ROUND(AT66+ROUND(AT66*Z$3/12,2),2))</f>
      </c>
      <c r="G67" s="33">
        <f>IF(AU66&lt;=0,0,ROUND(AU66+ROUND(AU66*AA$3/12,2),2))</f>
      </c>
      <c r="H67" s="33">
        <f>IF(AV66&lt;=0,0,ROUND(AV66+ROUND(AV66*AB$3/12,2),2))</f>
      </c>
      <c r="I67" s="33">
        <f>IF(AW66&lt;=0,0,ROUND(AW66+ROUND(AW66*AC$3/12,2),2))</f>
      </c>
      <c r="J67" s="33">
        <f>IF(AX66&lt;=0,0,ROUND(AX66+ROUND(AX66*AD$3/12,2),2))</f>
      </c>
      <c r="K67" s="33">
        <f>IF(AY66&lt;=0,0,ROUND(AY66+ROUND(AY66*AE$3/12,2),2))</f>
      </c>
      <c r="L67" s="33">
        <f>ROUND(MIN(MAX(0,N('Your debts'!$E$6)),B67),2)</f>
      </c>
      <c r="M67" s="33">
        <f>ROUND(MIN(MAX(0,N('Your debts'!$E$7)),C67),2)</f>
      </c>
      <c r="N67" s="33">
        <f>ROUND(MIN(MAX(0,N('Your debts'!$E$8)),D67),2)</f>
      </c>
      <c r="O67" s="33">
        <f>ROUND(MIN(MAX(0,N('Your debts'!$E$9)),E67),2)</f>
      </c>
      <c r="P67" s="33">
        <f>ROUND(MIN(MAX(0,N('Your debts'!$E$10)),F67),2)</f>
      </c>
      <c r="Q67" s="33">
        <f>ROUND(MIN(MAX(0,N('Your debts'!$E$11)),G67),2)</f>
      </c>
      <c r="R67" s="33">
        <f>ROUND(MIN(MAX(0,N('Your debts'!$E$12)),H67),2)</f>
      </c>
      <c r="S67" s="33">
        <f>ROUND(MIN(MAX(0,N('Your debts'!$E$13)),I67),2)</f>
      </c>
      <c r="T67" s="33">
        <f>ROUND(MIN(MAX(0,N('Your debts'!$E$14)),J67),2)</f>
      </c>
      <c r="U67" s="33">
        <f>ROUND(MIN(MAX(0,N('Your debts'!$E$15)),K67),2)</f>
      </c>
      <c r="V67" s="33">
        <f>ROUND(B67-L67,2)</f>
      </c>
      <c r="W67" s="33">
        <f>ROUND(C67-M67,2)</f>
      </c>
      <c r="X67" s="33">
        <f>ROUND(D67-N67,2)</f>
      </c>
      <c r="Y67" s="33">
        <f>ROUND(E67-O67,2)</f>
      </c>
      <c r="Z67" s="33">
        <f>ROUND(F67-P67,2)</f>
      </c>
      <c r="AA67" s="33">
        <f>ROUND(G67-Q67,2)</f>
      </c>
      <c r="AB67" s="33">
        <f>ROUND(H67-R67,2)</f>
      </c>
      <c r="AC67" s="33">
        <f>ROUND(I67-S67,2)</f>
      </c>
      <c r="AD67" s="33">
        <f>ROUND(J67-T67,2)</f>
      </c>
      <c r="AE67" s="33">
        <f>ROUND(K67-U67,2)</f>
      </c>
      <c r="AF67" s="33">
        <f>IF(V67&lt;=0,0,MAX(0,MIN(V67,ROUND($AZ67-SUMPRODUCT($V67:$AE67*($V67:$AE67&gt;0)*(($V67:$AE67&lt;V67)+($V67:$AE67=V67)*($V$3:$AE$3&gt;V$3)+($V67:$AE67=V67)*($V$3:$AE$3=V$3)*($V$2:$AE$2&lt;V$2))),2))))</f>
      </c>
      <c r="AG67" s="33">
        <f>IF(W67&lt;=0,0,MAX(0,MIN(W67,ROUND($AZ67-SUMPRODUCT($V67:$AE67*($V67:$AE67&gt;0)*(($V67:$AE67&lt;W67)+($V67:$AE67=W67)*($V$3:$AE$3&gt;W$3)+($V67:$AE67=W67)*($V$3:$AE$3=W$3)*($V$2:$AE$2&lt;W$2))),2))))</f>
      </c>
      <c r="AH67" s="33">
        <f>IF(X67&lt;=0,0,MAX(0,MIN(X67,ROUND($AZ67-SUMPRODUCT($V67:$AE67*($V67:$AE67&gt;0)*(($V67:$AE67&lt;X67)+($V67:$AE67=X67)*($V$3:$AE$3&gt;X$3)+($V67:$AE67=X67)*($V$3:$AE$3=X$3)*($V$2:$AE$2&lt;X$2))),2))))</f>
      </c>
      <c r="AI67" s="33">
        <f>IF(Y67&lt;=0,0,MAX(0,MIN(Y67,ROUND($AZ67-SUMPRODUCT($V67:$AE67*($V67:$AE67&gt;0)*(($V67:$AE67&lt;Y67)+($V67:$AE67=Y67)*($V$3:$AE$3&gt;Y$3)+($V67:$AE67=Y67)*($V$3:$AE$3=Y$3)*($V$2:$AE$2&lt;Y$2))),2))))</f>
      </c>
      <c r="AJ67" s="33">
        <f>IF(Z67&lt;=0,0,MAX(0,MIN(Z67,ROUND($AZ67-SUMPRODUCT($V67:$AE67*($V67:$AE67&gt;0)*(($V67:$AE67&lt;Z67)+($V67:$AE67=Z67)*($V$3:$AE$3&gt;Z$3)+($V67:$AE67=Z67)*($V$3:$AE$3=Z$3)*($V$2:$AE$2&lt;Z$2))),2))))</f>
      </c>
      <c r="AK67" s="33">
        <f>IF(AA67&lt;=0,0,MAX(0,MIN(AA67,ROUND($AZ67-SUMPRODUCT($V67:$AE67*($V67:$AE67&gt;0)*(($V67:$AE67&lt;AA67)+($V67:$AE67=AA67)*($V$3:$AE$3&gt;AA$3)+($V67:$AE67=AA67)*($V$3:$AE$3=AA$3)*($V$2:$AE$2&lt;AA$2))),2))))</f>
      </c>
      <c r="AL67" s="33">
        <f>IF(AB67&lt;=0,0,MAX(0,MIN(AB67,ROUND($AZ67-SUMPRODUCT($V67:$AE67*($V67:$AE67&gt;0)*(($V67:$AE67&lt;AB67)+($V67:$AE67=AB67)*($V$3:$AE$3&gt;AB$3)+($V67:$AE67=AB67)*($V$3:$AE$3=AB$3)*($V$2:$AE$2&lt;AB$2))),2))))</f>
      </c>
      <c r="AM67" s="33">
        <f>IF(AC67&lt;=0,0,MAX(0,MIN(AC67,ROUND($AZ67-SUMPRODUCT($V67:$AE67*($V67:$AE67&gt;0)*(($V67:$AE67&lt;AC67)+($V67:$AE67=AC67)*($V$3:$AE$3&gt;AC$3)+($V67:$AE67=AC67)*($V$3:$AE$3=AC$3)*($V$2:$AE$2&lt;AC$2))),2))))</f>
      </c>
      <c r="AN67" s="33">
        <f>IF(AD67&lt;=0,0,MAX(0,MIN(AD67,ROUND($AZ67-SUMPRODUCT($V67:$AE67*($V67:$AE67&gt;0)*(($V67:$AE67&lt;AD67)+($V67:$AE67=AD67)*($V$3:$AE$3&gt;AD$3)+($V67:$AE67=AD67)*($V$3:$AE$3=AD$3)*($V$2:$AE$2&lt;AD$2))),2))))</f>
      </c>
      <c r="AO67" s="33">
        <f>IF(AE67&lt;=0,0,MAX(0,MIN(AE67,ROUND($AZ67-SUMPRODUCT($V67:$AE67*($V67:$AE67&gt;0)*(($V67:$AE67&lt;AE67)+($V67:$AE67=AE67)*($V$3:$AE$3&gt;AE$3)+($V67:$AE67=AE67)*($V$3:$AE$3=AE$3)*($V$2:$AE$2&lt;AE$2))),2))))</f>
      </c>
      <c r="AP67" s="33">
        <f>ROUND(V67-AF67,2)</f>
      </c>
      <c r="AQ67" s="33">
        <f>ROUND(W67-AG67,2)</f>
      </c>
      <c r="AR67" s="33">
        <f>ROUND(X67-AH67,2)</f>
      </c>
      <c r="AS67" s="33">
        <f>ROUND(Y67-AI67,2)</f>
      </c>
      <c r="AT67" s="33">
        <f>ROUND(Z67-AJ67,2)</f>
      </c>
      <c r="AU67" s="33">
        <f>ROUND(AA67-AK67,2)</f>
      </c>
      <c r="AV67" s="33">
        <f>ROUND(AB67-AL67,2)</f>
      </c>
      <c r="AW67" s="33">
        <f>ROUND(AC67-AM67,2)</f>
      </c>
      <c r="AX67" s="33">
        <f>ROUND(AD67-AN67,2)</f>
      </c>
      <c r="AY67" s="33">
        <f>ROUND(AE67-AO67,2)</f>
      </c>
      <c r="AZ67" s="33">
        <f>ROUND(MAX(0,'Your debts'!$D$22-SUM($L67:$U67)),2)</f>
      </c>
      <c r="BA67" s="33">
        <f>ROUND(SUM($B67:$K67)-SUM($AP66:$AY66),2)</f>
      </c>
      <c r="BB67" s="33">
        <f>SUM($AP67:$AY67)</f>
      </c>
      <c r="BC67" s="33">
        <f>ROUND(SUM($L67:$U67)+SUM($AF67:$AO67),2)</f>
      </c>
    </row>
    <row r="68" spans="1:55" x14ac:dyDescent="0.25">
      <c r="A68">
        <v>61</v>
      </c>
      <c r="B68" s="33">
        <f>IF(AP67&lt;=0,0,ROUND(AP67+ROUND(AP67*V$3/12,2),2))</f>
      </c>
      <c r="C68" s="33">
        <f>IF(AQ67&lt;=0,0,ROUND(AQ67+ROUND(AQ67*W$3/12,2),2))</f>
      </c>
      <c r="D68" s="33">
        <f>IF(AR67&lt;=0,0,ROUND(AR67+ROUND(AR67*X$3/12,2),2))</f>
      </c>
      <c r="E68" s="33">
        <f>IF(AS67&lt;=0,0,ROUND(AS67+ROUND(AS67*Y$3/12,2),2))</f>
      </c>
      <c r="F68" s="33">
        <f>IF(AT67&lt;=0,0,ROUND(AT67+ROUND(AT67*Z$3/12,2),2))</f>
      </c>
      <c r="G68" s="33">
        <f>IF(AU67&lt;=0,0,ROUND(AU67+ROUND(AU67*AA$3/12,2),2))</f>
      </c>
      <c r="H68" s="33">
        <f>IF(AV67&lt;=0,0,ROUND(AV67+ROUND(AV67*AB$3/12,2),2))</f>
      </c>
      <c r="I68" s="33">
        <f>IF(AW67&lt;=0,0,ROUND(AW67+ROUND(AW67*AC$3/12,2),2))</f>
      </c>
      <c r="J68" s="33">
        <f>IF(AX67&lt;=0,0,ROUND(AX67+ROUND(AX67*AD$3/12,2),2))</f>
      </c>
      <c r="K68" s="33">
        <f>IF(AY67&lt;=0,0,ROUND(AY67+ROUND(AY67*AE$3/12,2),2))</f>
      </c>
      <c r="L68" s="33">
        <f>ROUND(MIN(MAX(0,N('Your debts'!$E$6)),B68),2)</f>
      </c>
      <c r="M68" s="33">
        <f>ROUND(MIN(MAX(0,N('Your debts'!$E$7)),C68),2)</f>
      </c>
      <c r="N68" s="33">
        <f>ROUND(MIN(MAX(0,N('Your debts'!$E$8)),D68),2)</f>
      </c>
      <c r="O68" s="33">
        <f>ROUND(MIN(MAX(0,N('Your debts'!$E$9)),E68),2)</f>
      </c>
      <c r="P68" s="33">
        <f>ROUND(MIN(MAX(0,N('Your debts'!$E$10)),F68),2)</f>
      </c>
      <c r="Q68" s="33">
        <f>ROUND(MIN(MAX(0,N('Your debts'!$E$11)),G68),2)</f>
      </c>
      <c r="R68" s="33">
        <f>ROUND(MIN(MAX(0,N('Your debts'!$E$12)),H68),2)</f>
      </c>
      <c r="S68" s="33">
        <f>ROUND(MIN(MAX(0,N('Your debts'!$E$13)),I68),2)</f>
      </c>
      <c r="T68" s="33">
        <f>ROUND(MIN(MAX(0,N('Your debts'!$E$14)),J68),2)</f>
      </c>
      <c r="U68" s="33">
        <f>ROUND(MIN(MAX(0,N('Your debts'!$E$15)),K68),2)</f>
      </c>
      <c r="V68" s="33">
        <f>ROUND(B68-L68,2)</f>
      </c>
      <c r="W68" s="33">
        <f>ROUND(C68-M68,2)</f>
      </c>
      <c r="X68" s="33">
        <f>ROUND(D68-N68,2)</f>
      </c>
      <c r="Y68" s="33">
        <f>ROUND(E68-O68,2)</f>
      </c>
      <c r="Z68" s="33">
        <f>ROUND(F68-P68,2)</f>
      </c>
      <c r="AA68" s="33">
        <f>ROUND(G68-Q68,2)</f>
      </c>
      <c r="AB68" s="33">
        <f>ROUND(H68-R68,2)</f>
      </c>
      <c r="AC68" s="33">
        <f>ROUND(I68-S68,2)</f>
      </c>
      <c r="AD68" s="33">
        <f>ROUND(J68-T68,2)</f>
      </c>
      <c r="AE68" s="33">
        <f>ROUND(K68-U68,2)</f>
      </c>
      <c r="AF68" s="33">
        <f>IF(V68&lt;=0,0,MAX(0,MIN(V68,ROUND($AZ68-SUMPRODUCT($V68:$AE68*($V68:$AE68&gt;0)*(($V68:$AE68&lt;V68)+($V68:$AE68=V68)*($V$3:$AE$3&gt;V$3)+($V68:$AE68=V68)*($V$3:$AE$3=V$3)*($V$2:$AE$2&lt;V$2))),2))))</f>
      </c>
      <c r="AG68" s="33">
        <f>IF(W68&lt;=0,0,MAX(0,MIN(W68,ROUND($AZ68-SUMPRODUCT($V68:$AE68*($V68:$AE68&gt;0)*(($V68:$AE68&lt;W68)+($V68:$AE68=W68)*($V$3:$AE$3&gt;W$3)+($V68:$AE68=W68)*($V$3:$AE$3=W$3)*($V$2:$AE$2&lt;W$2))),2))))</f>
      </c>
      <c r="AH68" s="33">
        <f>IF(X68&lt;=0,0,MAX(0,MIN(X68,ROUND($AZ68-SUMPRODUCT($V68:$AE68*($V68:$AE68&gt;0)*(($V68:$AE68&lt;X68)+($V68:$AE68=X68)*($V$3:$AE$3&gt;X$3)+($V68:$AE68=X68)*($V$3:$AE$3=X$3)*($V$2:$AE$2&lt;X$2))),2))))</f>
      </c>
      <c r="AI68" s="33">
        <f>IF(Y68&lt;=0,0,MAX(0,MIN(Y68,ROUND($AZ68-SUMPRODUCT($V68:$AE68*($V68:$AE68&gt;0)*(($V68:$AE68&lt;Y68)+($V68:$AE68=Y68)*($V$3:$AE$3&gt;Y$3)+($V68:$AE68=Y68)*($V$3:$AE$3=Y$3)*($V$2:$AE$2&lt;Y$2))),2))))</f>
      </c>
      <c r="AJ68" s="33">
        <f>IF(Z68&lt;=0,0,MAX(0,MIN(Z68,ROUND($AZ68-SUMPRODUCT($V68:$AE68*($V68:$AE68&gt;0)*(($V68:$AE68&lt;Z68)+($V68:$AE68=Z68)*($V$3:$AE$3&gt;Z$3)+($V68:$AE68=Z68)*($V$3:$AE$3=Z$3)*($V$2:$AE$2&lt;Z$2))),2))))</f>
      </c>
      <c r="AK68" s="33">
        <f>IF(AA68&lt;=0,0,MAX(0,MIN(AA68,ROUND($AZ68-SUMPRODUCT($V68:$AE68*($V68:$AE68&gt;0)*(($V68:$AE68&lt;AA68)+($V68:$AE68=AA68)*($V$3:$AE$3&gt;AA$3)+($V68:$AE68=AA68)*($V$3:$AE$3=AA$3)*($V$2:$AE$2&lt;AA$2))),2))))</f>
      </c>
      <c r="AL68" s="33">
        <f>IF(AB68&lt;=0,0,MAX(0,MIN(AB68,ROUND($AZ68-SUMPRODUCT($V68:$AE68*($V68:$AE68&gt;0)*(($V68:$AE68&lt;AB68)+($V68:$AE68=AB68)*($V$3:$AE$3&gt;AB$3)+($V68:$AE68=AB68)*($V$3:$AE$3=AB$3)*($V$2:$AE$2&lt;AB$2))),2))))</f>
      </c>
      <c r="AM68" s="33">
        <f>IF(AC68&lt;=0,0,MAX(0,MIN(AC68,ROUND($AZ68-SUMPRODUCT($V68:$AE68*($V68:$AE68&gt;0)*(($V68:$AE68&lt;AC68)+($V68:$AE68=AC68)*($V$3:$AE$3&gt;AC$3)+($V68:$AE68=AC68)*($V$3:$AE$3=AC$3)*($V$2:$AE$2&lt;AC$2))),2))))</f>
      </c>
      <c r="AN68" s="33">
        <f>IF(AD68&lt;=0,0,MAX(0,MIN(AD68,ROUND($AZ68-SUMPRODUCT($V68:$AE68*($V68:$AE68&gt;0)*(($V68:$AE68&lt;AD68)+($V68:$AE68=AD68)*($V$3:$AE$3&gt;AD$3)+($V68:$AE68=AD68)*($V$3:$AE$3=AD$3)*($V$2:$AE$2&lt;AD$2))),2))))</f>
      </c>
      <c r="AO68" s="33">
        <f>IF(AE68&lt;=0,0,MAX(0,MIN(AE68,ROUND($AZ68-SUMPRODUCT($V68:$AE68*($V68:$AE68&gt;0)*(($V68:$AE68&lt;AE68)+($V68:$AE68=AE68)*($V$3:$AE$3&gt;AE$3)+($V68:$AE68=AE68)*($V$3:$AE$3=AE$3)*($V$2:$AE$2&lt;AE$2))),2))))</f>
      </c>
      <c r="AP68" s="33">
        <f>ROUND(V68-AF68,2)</f>
      </c>
      <c r="AQ68" s="33">
        <f>ROUND(W68-AG68,2)</f>
      </c>
      <c r="AR68" s="33">
        <f>ROUND(X68-AH68,2)</f>
      </c>
      <c r="AS68" s="33">
        <f>ROUND(Y68-AI68,2)</f>
      </c>
      <c r="AT68" s="33">
        <f>ROUND(Z68-AJ68,2)</f>
      </c>
      <c r="AU68" s="33">
        <f>ROUND(AA68-AK68,2)</f>
      </c>
      <c r="AV68" s="33">
        <f>ROUND(AB68-AL68,2)</f>
      </c>
      <c r="AW68" s="33">
        <f>ROUND(AC68-AM68,2)</f>
      </c>
      <c r="AX68" s="33">
        <f>ROUND(AD68-AN68,2)</f>
      </c>
      <c r="AY68" s="33">
        <f>ROUND(AE68-AO68,2)</f>
      </c>
      <c r="AZ68" s="33">
        <f>ROUND(MAX(0,'Your debts'!$D$22-SUM($L68:$U68)),2)</f>
      </c>
      <c r="BA68" s="33">
        <f>ROUND(SUM($B68:$K68)-SUM($AP67:$AY67),2)</f>
      </c>
      <c r="BB68" s="33">
        <f>SUM($AP68:$AY68)</f>
      </c>
      <c r="BC68" s="33">
        <f>ROUND(SUM($L68:$U68)+SUM($AF68:$AO68),2)</f>
      </c>
    </row>
    <row r="69" spans="1:55" x14ac:dyDescent="0.25">
      <c r="A69">
        <v>62</v>
      </c>
      <c r="B69" s="33">
        <f>IF(AP68&lt;=0,0,ROUND(AP68+ROUND(AP68*V$3/12,2),2))</f>
      </c>
      <c r="C69" s="33">
        <f>IF(AQ68&lt;=0,0,ROUND(AQ68+ROUND(AQ68*W$3/12,2),2))</f>
      </c>
      <c r="D69" s="33">
        <f>IF(AR68&lt;=0,0,ROUND(AR68+ROUND(AR68*X$3/12,2),2))</f>
      </c>
      <c r="E69" s="33">
        <f>IF(AS68&lt;=0,0,ROUND(AS68+ROUND(AS68*Y$3/12,2),2))</f>
      </c>
      <c r="F69" s="33">
        <f>IF(AT68&lt;=0,0,ROUND(AT68+ROUND(AT68*Z$3/12,2),2))</f>
      </c>
      <c r="G69" s="33">
        <f>IF(AU68&lt;=0,0,ROUND(AU68+ROUND(AU68*AA$3/12,2),2))</f>
      </c>
      <c r="H69" s="33">
        <f>IF(AV68&lt;=0,0,ROUND(AV68+ROUND(AV68*AB$3/12,2),2))</f>
      </c>
      <c r="I69" s="33">
        <f>IF(AW68&lt;=0,0,ROUND(AW68+ROUND(AW68*AC$3/12,2),2))</f>
      </c>
      <c r="J69" s="33">
        <f>IF(AX68&lt;=0,0,ROUND(AX68+ROUND(AX68*AD$3/12,2),2))</f>
      </c>
      <c r="K69" s="33">
        <f>IF(AY68&lt;=0,0,ROUND(AY68+ROUND(AY68*AE$3/12,2),2))</f>
      </c>
      <c r="L69" s="33">
        <f>ROUND(MIN(MAX(0,N('Your debts'!$E$6)),B69),2)</f>
      </c>
      <c r="M69" s="33">
        <f>ROUND(MIN(MAX(0,N('Your debts'!$E$7)),C69),2)</f>
      </c>
      <c r="N69" s="33">
        <f>ROUND(MIN(MAX(0,N('Your debts'!$E$8)),D69),2)</f>
      </c>
      <c r="O69" s="33">
        <f>ROUND(MIN(MAX(0,N('Your debts'!$E$9)),E69),2)</f>
      </c>
      <c r="P69" s="33">
        <f>ROUND(MIN(MAX(0,N('Your debts'!$E$10)),F69),2)</f>
      </c>
      <c r="Q69" s="33">
        <f>ROUND(MIN(MAX(0,N('Your debts'!$E$11)),G69),2)</f>
      </c>
      <c r="R69" s="33">
        <f>ROUND(MIN(MAX(0,N('Your debts'!$E$12)),H69),2)</f>
      </c>
      <c r="S69" s="33">
        <f>ROUND(MIN(MAX(0,N('Your debts'!$E$13)),I69),2)</f>
      </c>
      <c r="T69" s="33">
        <f>ROUND(MIN(MAX(0,N('Your debts'!$E$14)),J69),2)</f>
      </c>
      <c r="U69" s="33">
        <f>ROUND(MIN(MAX(0,N('Your debts'!$E$15)),K69),2)</f>
      </c>
      <c r="V69" s="33">
        <f>ROUND(B69-L69,2)</f>
      </c>
      <c r="W69" s="33">
        <f>ROUND(C69-M69,2)</f>
      </c>
      <c r="X69" s="33">
        <f>ROUND(D69-N69,2)</f>
      </c>
      <c r="Y69" s="33">
        <f>ROUND(E69-O69,2)</f>
      </c>
      <c r="Z69" s="33">
        <f>ROUND(F69-P69,2)</f>
      </c>
      <c r="AA69" s="33">
        <f>ROUND(G69-Q69,2)</f>
      </c>
      <c r="AB69" s="33">
        <f>ROUND(H69-R69,2)</f>
      </c>
      <c r="AC69" s="33">
        <f>ROUND(I69-S69,2)</f>
      </c>
      <c r="AD69" s="33">
        <f>ROUND(J69-T69,2)</f>
      </c>
      <c r="AE69" s="33">
        <f>ROUND(K69-U69,2)</f>
      </c>
      <c r="AF69" s="33">
        <f>IF(V69&lt;=0,0,MAX(0,MIN(V69,ROUND($AZ69-SUMPRODUCT($V69:$AE69*($V69:$AE69&gt;0)*(($V69:$AE69&lt;V69)+($V69:$AE69=V69)*($V$3:$AE$3&gt;V$3)+($V69:$AE69=V69)*($V$3:$AE$3=V$3)*($V$2:$AE$2&lt;V$2))),2))))</f>
      </c>
      <c r="AG69" s="33">
        <f>IF(W69&lt;=0,0,MAX(0,MIN(W69,ROUND($AZ69-SUMPRODUCT($V69:$AE69*($V69:$AE69&gt;0)*(($V69:$AE69&lt;W69)+($V69:$AE69=W69)*($V$3:$AE$3&gt;W$3)+($V69:$AE69=W69)*($V$3:$AE$3=W$3)*($V$2:$AE$2&lt;W$2))),2))))</f>
      </c>
      <c r="AH69" s="33">
        <f>IF(X69&lt;=0,0,MAX(0,MIN(X69,ROUND($AZ69-SUMPRODUCT($V69:$AE69*($V69:$AE69&gt;0)*(($V69:$AE69&lt;X69)+($V69:$AE69=X69)*($V$3:$AE$3&gt;X$3)+($V69:$AE69=X69)*($V$3:$AE$3=X$3)*($V$2:$AE$2&lt;X$2))),2))))</f>
      </c>
      <c r="AI69" s="33">
        <f>IF(Y69&lt;=0,0,MAX(0,MIN(Y69,ROUND($AZ69-SUMPRODUCT($V69:$AE69*($V69:$AE69&gt;0)*(($V69:$AE69&lt;Y69)+($V69:$AE69=Y69)*($V$3:$AE$3&gt;Y$3)+($V69:$AE69=Y69)*($V$3:$AE$3=Y$3)*($V$2:$AE$2&lt;Y$2))),2))))</f>
      </c>
      <c r="AJ69" s="33">
        <f>IF(Z69&lt;=0,0,MAX(0,MIN(Z69,ROUND($AZ69-SUMPRODUCT($V69:$AE69*($V69:$AE69&gt;0)*(($V69:$AE69&lt;Z69)+($V69:$AE69=Z69)*($V$3:$AE$3&gt;Z$3)+($V69:$AE69=Z69)*($V$3:$AE$3=Z$3)*($V$2:$AE$2&lt;Z$2))),2))))</f>
      </c>
      <c r="AK69" s="33">
        <f>IF(AA69&lt;=0,0,MAX(0,MIN(AA69,ROUND($AZ69-SUMPRODUCT($V69:$AE69*($V69:$AE69&gt;0)*(($V69:$AE69&lt;AA69)+($V69:$AE69=AA69)*($V$3:$AE$3&gt;AA$3)+($V69:$AE69=AA69)*($V$3:$AE$3=AA$3)*($V$2:$AE$2&lt;AA$2))),2))))</f>
      </c>
      <c r="AL69" s="33">
        <f>IF(AB69&lt;=0,0,MAX(0,MIN(AB69,ROUND($AZ69-SUMPRODUCT($V69:$AE69*($V69:$AE69&gt;0)*(($V69:$AE69&lt;AB69)+($V69:$AE69=AB69)*($V$3:$AE$3&gt;AB$3)+($V69:$AE69=AB69)*($V$3:$AE$3=AB$3)*($V$2:$AE$2&lt;AB$2))),2))))</f>
      </c>
      <c r="AM69" s="33">
        <f>IF(AC69&lt;=0,0,MAX(0,MIN(AC69,ROUND($AZ69-SUMPRODUCT($V69:$AE69*($V69:$AE69&gt;0)*(($V69:$AE69&lt;AC69)+($V69:$AE69=AC69)*($V$3:$AE$3&gt;AC$3)+($V69:$AE69=AC69)*($V$3:$AE$3=AC$3)*($V$2:$AE$2&lt;AC$2))),2))))</f>
      </c>
      <c r="AN69" s="33">
        <f>IF(AD69&lt;=0,0,MAX(0,MIN(AD69,ROUND($AZ69-SUMPRODUCT($V69:$AE69*($V69:$AE69&gt;0)*(($V69:$AE69&lt;AD69)+($V69:$AE69=AD69)*($V$3:$AE$3&gt;AD$3)+($V69:$AE69=AD69)*($V$3:$AE$3=AD$3)*($V$2:$AE$2&lt;AD$2))),2))))</f>
      </c>
      <c r="AO69" s="33">
        <f>IF(AE69&lt;=0,0,MAX(0,MIN(AE69,ROUND($AZ69-SUMPRODUCT($V69:$AE69*($V69:$AE69&gt;0)*(($V69:$AE69&lt;AE69)+($V69:$AE69=AE69)*($V$3:$AE$3&gt;AE$3)+($V69:$AE69=AE69)*($V$3:$AE$3=AE$3)*($V$2:$AE$2&lt;AE$2))),2))))</f>
      </c>
      <c r="AP69" s="33">
        <f>ROUND(V69-AF69,2)</f>
      </c>
      <c r="AQ69" s="33">
        <f>ROUND(W69-AG69,2)</f>
      </c>
      <c r="AR69" s="33">
        <f>ROUND(X69-AH69,2)</f>
      </c>
      <c r="AS69" s="33">
        <f>ROUND(Y69-AI69,2)</f>
      </c>
      <c r="AT69" s="33">
        <f>ROUND(Z69-AJ69,2)</f>
      </c>
      <c r="AU69" s="33">
        <f>ROUND(AA69-AK69,2)</f>
      </c>
      <c r="AV69" s="33">
        <f>ROUND(AB69-AL69,2)</f>
      </c>
      <c r="AW69" s="33">
        <f>ROUND(AC69-AM69,2)</f>
      </c>
      <c r="AX69" s="33">
        <f>ROUND(AD69-AN69,2)</f>
      </c>
      <c r="AY69" s="33">
        <f>ROUND(AE69-AO69,2)</f>
      </c>
      <c r="AZ69" s="33">
        <f>ROUND(MAX(0,'Your debts'!$D$22-SUM($L69:$U69)),2)</f>
      </c>
      <c r="BA69" s="33">
        <f>ROUND(SUM($B69:$K69)-SUM($AP68:$AY68),2)</f>
      </c>
      <c r="BB69" s="33">
        <f>SUM($AP69:$AY69)</f>
      </c>
      <c r="BC69" s="33">
        <f>ROUND(SUM($L69:$U69)+SUM($AF69:$AO69),2)</f>
      </c>
    </row>
    <row r="70" spans="1:55" x14ac:dyDescent="0.25">
      <c r="A70">
        <v>63</v>
      </c>
      <c r="B70" s="33">
        <f>IF(AP69&lt;=0,0,ROUND(AP69+ROUND(AP69*V$3/12,2),2))</f>
      </c>
      <c r="C70" s="33">
        <f>IF(AQ69&lt;=0,0,ROUND(AQ69+ROUND(AQ69*W$3/12,2),2))</f>
      </c>
      <c r="D70" s="33">
        <f>IF(AR69&lt;=0,0,ROUND(AR69+ROUND(AR69*X$3/12,2),2))</f>
      </c>
      <c r="E70" s="33">
        <f>IF(AS69&lt;=0,0,ROUND(AS69+ROUND(AS69*Y$3/12,2),2))</f>
      </c>
      <c r="F70" s="33">
        <f>IF(AT69&lt;=0,0,ROUND(AT69+ROUND(AT69*Z$3/12,2),2))</f>
      </c>
      <c r="G70" s="33">
        <f>IF(AU69&lt;=0,0,ROUND(AU69+ROUND(AU69*AA$3/12,2),2))</f>
      </c>
      <c r="H70" s="33">
        <f>IF(AV69&lt;=0,0,ROUND(AV69+ROUND(AV69*AB$3/12,2),2))</f>
      </c>
      <c r="I70" s="33">
        <f>IF(AW69&lt;=0,0,ROUND(AW69+ROUND(AW69*AC$3/12,2),2))</f>
      </c>
      <c r="J70" s="33">
        <f>IF(AX69&lt;=0,0,ROUND(AX69+ROUND(AX69*AD$3/12,2),2))</f>
      </c>
      <c r="K70" s="33">
        <f>IF(AY69&lt;=0,0,ROUND(AY69+ROUND(AY69*AE$3/12,2),2))</f>
      </c>
      <c r="L70" s="33">
        <f>ROUND(MIN(MAX(0,N('Your debts'!$E$6)),B70),2)</f>
      </c>
      <c r="M70" s="33">
        <f>ROUND(MIN(MAX(0,N('Your debts'!$E$7)),C70),2)</f>
      </c>
      <c r="N70" s="33">
        <f>ROUND(MIN(MAX(0,N('Your debts'!$E$8)),D70),2)</f>
      </c>
      <c r="O70" s="33">
        <f>ROUND(MIN(MAX(0,N('Your debts'!$E$9)),E70),2)</f>
      </c>
      <c r="P70" s="33">
        <f>ROUND(MIN(MAX(0,N('Your debts'!$E$10)),F70),2)</f>
      </c>
      <c r="Q70" s="33">
        <f>ROUND(MIN(MAX(0,N('Your debts'!$E$11)),G70),2)</f>
      </c>
      <c r="R70" s="33">
        <f>ROUND(MIN(MAX(0,N('Your debts'!$E$12)),H70),2)</f>
      </c>
      <c r="S70" s="33">
        <f>ROUND(MIN(MAX(0,N('Your debts'!$E$13)),I70),2)</f>
      </c>
      <c r="T70" s="33">
        <f>ROUND(MIN(MAX(0,N('Your debts'!$E$14)),J70),2)</f>
      </c>
      <c r="U70" s="33">
        <f>ROUND(MIN(MAX(0,N('Your debts'!$E$15)),K70),2)</f>
      </c>
      <c r="V70" s="33">
        <f>ROUND(B70-L70,2)</f>
      </c>
      <c r="W70" s="33">
        <f>ROUND(C70-M70,2)</f>
      </c>
      <c r="X70" s="33">
        <f>ROUND(D70-N70,2)</f>
      </c>
      <c r="Y70" s="33">
        <f>ROUND(E70-O70,2)</f>
      </c>
      <c r="Z70" s="33">
        <f>ROUND(F70-P70,2)</f>
      </c>
      <c r="AA70" s="33">
        <f>ROUND(G70-Q70,2)</f>
      </c>
      <c r="AB70" s="33">
        <f>ROUND(H70-R70,2)</f>
      </c>
      <c r="AC70" s="33">
        <f>ROUND(I70-S70,2)</f>
      </c>
      <c r="AD70" s="33">
        <f>ROUND(J70-T70,2)</f>
      </c>
      <c r="AE70" s="33">
        <f>ROUND(K70-U70,2)</f>
      </c>
      <c r="AF70" s="33">
        <f>IF(V70&lt;=0,0,MAX(0,MIN(V70,ROUND($AZ70-SUMPRODUCT($V70:$AE70*($V70:$AE70&gt;0)*(($V70:$AE70&lt;V70)+($V70:$AE70=V70)*($V$3:$AE$3&gt;V$3)+($V70:$AE70=V70)*($V$3:$AE$3=V$3)*($V$2:$AE$2&lt;V$2))),2))))</f>
      </c>
      <c r="AG70" s="33">
        <f>IF(W70&lt;=0,0,MAX(0,MIN(W70,ROUND($AZ70-SUMPRODUCT($V70:$AE70*($V70:$AE70&gt;0)*(($V70:$AE70&lt;W70)+($V70:$AE70=W70)*($V$3:$AE$3&gt;W$3)+($V70:$AE70=W70)*($V$3:$AE$3=W$3)*($V$2:$AE$2&lt;W$2))),2))))</f>
      </c>
      <c r="AH70" s="33">
        <f>IF(X70&lt;=0,0,MAX(0,MIN(X70,ROUND($AZ70-SUMPRODUCT($V70:$AE70*($V70:$AE70&gt;0)*(($V70:$AE70&lt;X70)+($V70:$AE70=X70)*($V$3:$AE$3&gt;X$3)+($V70:$AE70=X70)*($V$3:$AE$3=X$3)*($V$2:$AE$2&lt;X$2))),2))))</f>
      </c>
      <c r="AI70" s="33">
        <f>IF(Y70&lt;=0,0,MAX(0,MIN(Y70,ROUND($AZ70-SUMPRODUCT($V70:$AE70*($V70:$AE70&gt;0)*(($V70:$AE70&lt;Y70)+($V70:$AE70=Y70)*($V$3:$AE$3&gt;Y$3)+($V70:$AE70=Y70)*($V$3:$AE$3=Y$3)*($V$2:$AE$2&lt;Y$2))),2))))</f>
      </c>
      <c r="AJ70" s="33">
        <f>IF(Z70&lt;=0,0,MAX(0,MIN(Z70,ROUND($AZ70-SUMPRODUCT($V70:$AE70*($V70:$AE70&gt;0)*(($V70:$AE70&lt;Z70)+($V70:$AE70=Z70)*($V$3:$AE$3&gt;Z$3)+($V70:$AE70=Z70)*($V$3:$AE$3=Z$3)*($V$2:$AE$2&lt;Z$2))),2))))</f>
      </c>
      <c r="AK70" s="33">
        <f>IF(AA70&lt;=0,0,MAX(0,MIN(AA70,ROUND($AZ70-SUMPRODUCT($V70:$AE70*($V70:$AE70&gt;0)*(($V70:$AE70&lt;AA70)+($V70:$AE70=AA70)*($V$3:$AE$3&gt;AA$3)+($V70:$AE70=AA70)*($V$3:$AE$3=AA$3)*($V$2:$AE$2&lt;AA$2))),2))))</f>
      </c>
      <c r="AL70" s="33">
        <f>IF(AB70&lt;=0,0,MAX(0,MIN(AB70,ROUND($AZ70-SUMPRODUCT($V70:$AE70*($V70:$AE70&gt;0)*(($V70:$AE70&lt;AB70)+($V70:$AE70=AB70)*($V$3:$AE$3&gt;AB$3)+($V70:$AE70=AB70)*($V$3:$AE$3=AB$3)*($V$2:$AE$2&lt;AB$2))),2))))</f>
      </c>
      <c r="AM70" s="33">
        <f>IF(AC70&lt;=0,0,MAX(0,MIN(AC70,ROUND($AZ70-SUMPRODUCT($V70:$AE70*($V70:$AE70&gt;0)*(($V70:$AE70&lt;AC70)+($V70:$AE70=AC70)*($V$3:$AE$3&gt;AC$3)+($V70:$AE70=AC70)*($V$3:$AE$3=AC$3)*($V$2:$AE$2&lt;AC$2))),2))))</f>
      </c>
      <c r="AN70" s="33">
        <f>IF(AD70&lt;=0,0,MAX(0,MIN(AD70,ROUND($AZ70-SUMPRODUCT($V70:$AE70*($V70:$AE70&gt;0)*(($V70:$AE70&lt;AD70)+($V70:$AE70=AD70)*($V$3:$AE$3&gt;AD$3)+($V70:$AE70=AD70)*($V$3:$AE$3=AD$3)*($V$2:$AE$2&lt;AD$2))),2))))</f>
      </c>
      <c r="AO70" s="33">
        <f>IF(AE70&lt;=0,0,MAX(0,MIN(AE70,ROUND($AZ70-SUMPRODUCT($V70:$AE70*($V70:$AE70&gt;0)*(($V70:$AE70&lt;AE70)+($V70:$AE70=AE70)*($V$3:$AE$3&gt;AE$3)+($V70:$AE70=AE70)*($V$3:$AE$3=AE$3)*($V$2:$AE$2&lt;AE$2))),2))))</f>
      </c>
      <c r="AP70" s="33">
        <f>ROUND(V70-AF70,2)</f>
      </c>
      <c r="AQ70" s="33">
        <f>ROUND(W70-AG70,2)</f>
      </c>
      <c r="AR70" s="33">
        <f>ROUND(X70-AH70,2)</f>
      </c>
      <c r="AS70" s="33">
        <f>ROUND(Y70-AI70,2)</f>
      </c>
      <c r="AT70" s="33">
        <f>ROUND(Z70-AJ70,2)</f>
      </c>
      <c r="AU70" s="33">
        <f>ROUND(AA70-AK70,2)</f>
      </c>
      <c r="AV70" s="33">
        <f>ROUND(AB70-AL70,2)</f>
      </c>
      <c r="AW70" s="33">
        <f>ROUND(AC70-AM70,2)</f>
      </c>
      <c r="AX70" s="33">
        <f>ROUND(AD70-AN70,2)</f>
      </c>
      <c r="AY70" s="33">
        <f>ROUND(AE70-AO70,2)</f>
      </c>
      <c r="AZ70" s="33">
        <f>ROUND(MAX(0,'Your debts'!$D$22-SUM($L70:$U70)),2)</f>
      </c>
      <c r="BA70" s="33">
        <f>ROUND(SUM($B70:$K70)-SUM($AP69:$AY69),2)</f>
      </c>
      <c r="BB70" s="33">
        <f>SUM($AP70:$AY70)</f>
      </c>
      <c r="BC70" s="33">
        <f>ROUND(SUM($L70:$U70)+SUM($AF70:$AO70),2)</f>
      </c>
    </row>
    <row r="71" spans="1:55" x14ac:dyDescent="0.25">
      <c r="A71">
        <v>64</v>
      </c>
      <c r="B71" s="33">
        <f>IF(AP70&lt;=0,0,ROUND(AP70+ROUND(AP70*V$3/12,2),2))</f>
      </c>
      <c r="C71" s="33">
        <f>IF(AQ70&lt;=0,0,ROUND(AQ70+ROUND(AQ70*W$3/12,2),2))</f>
      </c>
      <c r="D71" s="33">
        <f>IF(AR70&lt;=0,0,ROUND(AR70+ROUND(AR70*X$3/12,2),2))</f>
      </c>
      <c r="E71" s="33">
        <f>IF(AS70&lt;=0,0,ROUND(AS70+ROUND(AS70*Y$3/12,2),2))</f>
      </c>
      <c r="F71" s="33">
        <f>IF(AT70&lt;=0,0,ROUND(AT70+ROUND(AT70*Z$3/12,2),2))</f>
      </c>
      <c r="G71" s="33">
        <f>IF(AU70&lt;=0,0,ROUND(AU70+ROUND(AU70*AA$3/12,2),2))</f>
      </c>
      <c r="H71" s="33">
        <f>IF(AV70&lt;=0,0,ROUND(AV70+ROUND(AV70*AB$3/12,2),2))</f>
      </c>
      <c r="I71" s="33">
        <f>IF(AW70&lt;=0,0,ROUND(AW70+ROUND(AW70*AC$3/12,2),2))</f>
      </c>
      <c r="J71" s="33">
        <f>IF(AX70&lt;=0,0,ROUND(AX70+ROUND(AX70*AD$3/12,2),2))</f>
      </c>
      <c r="K71" s="33">
        <f>IF(AY70&lt;=0,0,ROUND(AY70+ROUND(AY70*AE$3/12,2),2))</f>
      </c>
      <c r="L71" s="33">
        <f>ROUND(MIN(MAX(0,N('Your debts'!$E$6)),B71),2)</f>
      </c>
      <c r="M71" s="33">
        <f>ROUND(MIN(MAX(0,N('Your debts'!$E$7)),C71),2)</f>
      </c>
      <c r="N71" s="33">
        <f>ROUND(MIN(MAX(0,N('Your debts'!$E$8)),D71),2)</f>
      </c>
      <c r="O71" s="33">
        <f>ROUND(MIN(MAX(0,N('Your debts'!$E$9)),E71),2)</f>
      </c>
      <c r="P71" s="33">
        <f>ROUND(MIN(MAX(0,N('Your debts'!$E$10)),F71),2)</f>
      </c>
      <c r="Q71" s="33">
        <f>ROUND(MIN(MAX(0,N('Your debts'!$E$11)),G71),2)</f>
      </c>
      <c r="R71" s="33">
        <f>ROUND(MIN(MAX(0,N('Your debts'!$E$12)),H71),2)</f>
      </c>
      <c r="S71" s="33">
        <f>ROUND(MIN(MAX(0,N('Your debts'!$E$13)),I71),2)</f>
      </c>
      <c r="T71" s="33">
        <f>ROUND(MIN(MAX(0,N('Your debts'!$E$14)),J71),2)</f>
      </c>
      <c r="U71" s="33">
        <f>ROUND(MIN(MAX(0,N('Your debts'!$E$15)),K71),2)</f>
      </c>
      <c r="V71" s="33">
        <f>ROUND(B71-L71,2)</f>
      </c>
      <c r="W71" s="33">
        <f>ROUND(C71-M71,2)</f>
      </c>
      <c r="X71" s="33">
        <f>ROUND(D71-N71,2)</f>
      </c>
      <c r="Y71" s="33">
        <f>ROUND(E71-O71,2)</f>
      </c>
      <c r="Z71" s="33">
        <f>ROUND(F71-P71,2)</f>
      </c>
      <c r="AA71" s="33">
        <f>ROUND(G71-Q71,2)</f>
      </c>
      <c r="AB71" s="33">
        <f>ROUND(H71-R71,2)</f>
      </c>
      <c r="AC71" s="33">
        <f>ROUND(I71-S71,2)</f>
      </c>
      <c r="AD71" s="33">
        <f>ROUND(J71-T71,2)</f>
      </c>
      <c r="AE71" s="33">
        <f>ROUND(K71-U71,2)</f>
      </c>
      <c r="AF71" s="33">
        <f>IF(V71&lt;=0,0,MAX(0,MIN(V71,ROUND($AZ71-SUMPRODUCT($V71:$AE71*($V71:$AE71&gt;0)*(($V71:$AE71&lt;V71)+($V71:$AE71=V71)*($V$3:$AE$3&gt;V$3)+($V71:$AE71=V71)*($V$3:$AE$3=V$3)*($V$2:$AE$2&lt;V$2))),2))))</f>
      </c>
      <c r="AG71" s="33">
        <f>IF(W71&lt;=0,0,MAX(0,MIN(W71,ROUND($AZ71-SUMPRODUCT($V71:$AE71*($V71:$AE71&gt;0)*(($V71:$AE71&lt;W71)+($V71:$AE71=W71)*($V$3:$AE$3&gt;W$3)+($V71:$AE71=W71)*($V$3:$AE$3=W$3)*($V$2:$AE$2&lt;W$2))),2))))</f>
      </c>
      <c r="AH71" s="33">
        <f>IF(X71&lt;=0,0,MAX(0,MIN(X71,ROUND($AZ71-SUMPRODUCT($V71:$AE71*($V71:$AE71&gt;0)*(($V71:$AE71&lt;X71)+($V71:$AE71=X71)*($V$3:$AE$3&gt;X$3)+($V71:$AE71=X71)*($V$3:$AE$3=X$3)*($V$2:$AE$2&lt;X$2))),2))))</f>
      </c>
      <c r="AI71" s="33">
        <f>IF(Y71&lt;=0,0,MAX(0,MIN(Y71,ROUND($AZ71-SUMPRODUCT($V71:$AE71*($V71:$AE71&gt;0)*(($V71:$AE71&lt;Y71)+($V71:$AE71=Y71)*($V$3:$AE$3&gt;Y$3)+($V71:$AE71=Y71)*($V$3:$AE$3=Y$3)*($V$2:$AE$2&lt;Y$2))),2))))</f>
      </c>
      <c r="AJ71" s="33">
        <f>IF(Z71&lt;=0,0,MAX(0,MIN(Z71,ROUND($AZ71-SUMPRODUCT($V71:$AE71*($V71:$AE71&gt;0)*(($V71:$AE71&lt;Z71)+($V71:$AE71=Z71)*($V$3:$AE$3&gt;Z$3)+($V71:$AE71=Z71)*($V$3:$AE$3=Z$3)*($V$2:$AE$2&lt;Z$2))),2))))</f>
      </c>
      <c r="AK71" s="33">
        <f>IF(AA71&lt;=0,0,MAX(0,MIN(AA71,ROUND($AZ71-SUMPRODUCT($V71:$AE71*($V71:$AE71&gt;0)*(($V71:$AE71&lt;AA71)+($V71:$AE71=AA71)*($V$3:$AE$3&gt;AA$3)+($V71:$AE71=AA71)*($V$3:$AE$3=AA$3)*($V$2:$AE$2&lt;AA$2))),2))))</f>
      </c>
      <c r="AL71" s="33">
        <f>IF(AB71&lt;=0,0,MAX(0,MIN(AB71,ROUND($AZ71-SUMPRODUCT($V71:$AE71*($V71:$AE71&gt;0)*(($V71:$AE71&lt;AB71)+($V71:$AE71=AB71)*($V$3:$AE$3&gt;AB$3)+($V71:$AE71=AB71)*($V$3:$AE$3=AB$3)*($V$2:$AE$2&lt;AB$2))),2))))</f>
      </c>
      <c r="AM71" s="33">
        <f>IF(AC71&lt;=0,0,MAX(0,MIN(AC71,ROUND($AZ71-SUMPRODUCT($V71:$AE71*($V71:$AE71&gt;0)*(($V71:$AE71&lt;AC71)+($V71:$AE71=AC71)*($V$3:$AE$3&gt;AC$3)+($V71:$AE71=AC71)*($V$3:$AE$3=AC$3)*($V$2:$AE$2&lt;AC$2))),2))))</f>
      </c>
      <c r="AN71" s="33">
        <f>IF(AD71&lt;=0,0,MAX(0,MIN(AD71,ROUND($AZ71-SUMPRODUCT($V71:$AE71*($V71:$AE71&gt;0)*(($V71:$AE71&lt;AD71)+($V71:$AE71=AD71)*($V$3:$AE$3&gt;AD$3)+($V71:$AE71=AD71)*($V$3:$AE$3=AD$3)*($V$2:$AE$2&lt;AD$2))),2))))</f>
      </c>
      <c r="AO71" s="33">
        <f>IF(AE71&lt;=0,0,MAX(0,MIN(AE71,ROUND($AZ71-SUMPRODUCT($V71:$AE71*($V71:$AE71&gt;0)*(($V71:$AE71&lt;AE71)+($V71:$AE71=AE71)*($V$3:$AE$3&gt;AE$3)+($V71:$AE71=AE71)*($V$3:$AE$3=AE$3)*($V$2:$AE$2&lt;AE$2))),2))))</f>
      </c>
      <c r="AP71" s="33">
        <f>ROUND(V71-AF71,2)</f>
      </c>
      <c r="AQ71" s="33">
        <f>ROUND(W71-AG71,2)</f>
      </c>
      <c r="AR71" s="33">
        <f>ROUND(X71-AH71,2)</f>
      </c>
      <c r="AS71" s="33">
        <f>ROUND(Y71-AI71,2)</f>
      </c>
      <c r="AT71" s="33">
        <f>ROUND(Z71-AJ71,2)</f>
      </c>
      <c r="AU71" s="33">
        <f>ROUND(AA71-AK71,2)</f>
      </c>
      <c r="AV71" s="33">
        <f>ROUND(AB71-AL71,2)</f>
      </c>
      <c r="AW71" s="33">
        <f>ROUND(AC71-AM71,2)</f>
      </c>
      <c r="AX71" s="33">
        <f>ROUND(AD71-AN71,2)</f>
      </c>
      <c r="AY71" s="33">
        <f>ROUND(AE71-AO71,2)</f>
      </c>
      <c r="AZ71" s="33">
        <f>ROUND(MAX(0,'Your debts'!$D$22-SUM($L71:$U71)),2)</f>
      </c>
      <c r="BA71" s="33">
        <f>ROUND(SUM($B71:$K71)-SUM($AP70:$AY70),2)</f>
      </c>
      <c r="BB71" s="33">
        <f>SUM($AP71:$AY71)</f>
      </c>
      <c r="BC71" s="33">
        <f>ROUND(SUM($L71:$U71)+SUM($AF71:$AO71),2)</f>
      </c>
    </row>
    <row r="72" spans="1:55" x14ac:dyDescent="0.25">
      <c r="A72">
        <v>65</v>
      </c>
      <c r="B72" s="33">
        <f>IF(AP71&lt;=0,0,ROUND(AP71+ROUND(AP71*V$3/12,2),2))</f>
      </c>
      <c r="C72" s="33">
        <f>IF(AQ71&lt;=0,0,ROUND(AQ71+ROUND(AQ71*W$3/12,2),2))</f>
      </c>
      <c r="D72" s="33">
        <f>IF(AR71&lt;=0,0,ROUND(AR71+ROUND(AR71*X$3/12,2),2))</f>
      </c>
      <c r="E72" s="33">
        <f>IF(AS71&lt;=0,0,ROUND(AS71+ROUND(AS71*Y$3/12,2),2))</f>
      </c>
      <c r="F72" s="33">
        <f>IF(AT71&lt;=0,0,ROUND(AT71+ROUND(AT71*Z$3/12,2),2))</f>
      </c>
      <c r="G72" s="33">
        <f>IF(AU71&lt;=0,0,ROUND(AU71+ROUND(AU71*AA$3/12,2),2))</f>
      </c>
      <c r="H72" s="33">
        <f>IF(AV71&lt;=0,0,ROUND(AV71+ROUND(AV71*AB$3/12,2),2))</f>
      </c>
      <c r="I72" s="33">
        <f>IF(AW71&lt;=0,0,ROUND(AW71+ROUND(AW71*AC$3/12,2),2))</f>
      </c>
      <c r="J72" s="33">
        <f>IF(AX71&lt;=0,0,ROUND(AX71+ROUND(AX71*AD$3/12,2),2))</f>
      </c>
      <c r="K72" s="33">
        <f>IF(AY71&lt;=0,0,ROUND(AY71+ROUND(AY71*AE$3/12,2),2))</f>
      </c>
      <c r="L72" s="33">
        <f>ROUND(MIN(MAX(0,N('Your debts'!$E$6)),B72),2)</f>
      </c>
      <c r="M72" s="33">
        <f>ROUND(MIN(MAX(0,N('Your debts'!$E$7)),C72),2)</f>
      </c>
      <c r="N72" s="33">
        <f>ROUND(MIN(MAX(0,N('Your debts'!$E$8)),D72),2)</f>
      </c>
      <c r="O72" s="33">
        <f>ROUND(MIN(MAX(0,N('Your debts'!$E$9)),E72),2)</f>
      </c>
      <c r="P72" s="33">
        <f>ROUND(MIN(MAX(0,N('Your debts'!$E$10)),F72),2)</f>
      </c>
      <c r="Q72" s="33">
        <f>ROUND(MIN(MAX(0,N('Your debts'!$E$11)),G72),2)</f>
      </c>
      <c r="R72" s="33">
        <f>ROUND(MIN(MAX(0,N('Your debts'!$E$12)),H72),2)</f>
      </c>
      <c r="S72" s="33">
        <f>ROUND(MIN(MAX(0,N('Your debts'!$E$13)),I72),2)</f>
      </c>
      <c r="T72" s="33">
        <f>ROUND(MIN(MAX(0,N('Your debts'!$E$14)),J72),2)</f>
      </c>
      <c r="U72" s="33">
        <f>ROUND(MIN(MAX(0,N('Your debts'!$E$15)),K72),2)</f>
      </c>
      <c r="V72" s="33">
        <f>ROUND(B72-L72,2)</f>
      </c>
      <c r="W72" s="33">
        <f>ROUND(C72-M72,2)</f>
      </c>
      <c r="X72" s="33">
        <f>ROUND(D72-N72,2)</f>
      </c>
      <c r="Y72" s="33">
        <f>ROUND(E72-O72,2)</f>
      </c>
      <c r="Z72" s="33">
        <f>ROUND(F72-P72,2)</f>
      </c>
      <c r="AA72" s="33">
        <f>ROUND(G72-Q72,2)</f>
      </c>
      <c r="AB72" s="33">
        <f>ROUND(H72-R72,2)</f>
      </c>
      <c r="AC72" s="33">
        <f>ROUND(I72-S72,2)</f>
      </c>
      <c r="AD72" s="33">
        <f>ROUND(J72-T72,2)</f>
      </c>
      <c r="AE72" s="33">
        <f>ROUND(K72-U72,2)</f>
      </c>
      <c r="AF72" s="33">
        <f>IF(V72&lt;=0,0,MAX(0,MIN(V72,ROUND($AZ72-SUMPRODUCT($V72:$AE72*($V72:$AE72&gt;0)*(($V72:$AE72&lt;V72)+($V72:$AE72=V72)*($V$3:$AE$3&gt;V$3)+($V72:$AE72=V72)*($V$3:$AE$3=V$3)*($V$2:$AE$2&lt;V$2))),2))))</f>
      </c>
      <c r="AG72" s="33">
        <f>IF(W72&lt;=0,0,MAX(0,MIN(W72,ROUND($AZ72-SUMPRODUCT($V72:$AE72*($V72:$AE72&gt;0)*(($V72:$AE72&lt;W72)+($V72:$AE72=W72)*($V$3:$AE$3&gt;W$3)+($V72:$AE72=W72)*($V$3:$AE$3=W$3)*($V$2:$AE$2&lt;W$2))),2))))</f>
      </c>
      <c r="AH72" s="33">
        <f>IF(X72&lt;=0,0,MAX(0,MIN(X72,ROUND($AZ72-SUMPRODUCT($V72:$AE72*($V72:$AE72&gt;0)*(($V72:$AE72&lt;X72)+($V72:$AE72=X72)*($V$3:$AE$3&gt;X$3)+($V72:$AE72=X72)*($V$3:$AE$3=X$3)*($V$2:$AE$2&lt;X$2))),2))))</f>
      </c>
      <c r="AI72" s="33">
        <f>IF(Y72&lt;=0,0,MAX(0,MIN(Y72,ROUND($AZ72-SUMPRODUCT($V72:$AE72*($V72:$AE72&gt;0)*(($V72:$AE72&lt;Y72)+($V72:$AE72=Y72)*($V$3:$AE$3&gt;Y$3)+($V72:$AE72=Y72)*($V$3:$AE$3=Y$3)*($V$2:$AE$2&lt;Y$2))),2))))</f>
      </c>
      <c r="AJ72" s="33">
        <f>IF(Z72&lt;=0,0,MAX(0,MIN(Z72,ROUND($AZ72-SUMPRODUCT($V72:$AE72*($V72:$AE72&gt;0)*(($V72:$AE72&lt;Z72)+($V72:$AE72=Z72)*($V$3:$AE$3&gt;Z$3)+($V72:$AE72=Z72)*($V$3:$AE$3=Z$3)*($V$2:$AE$2&lt;Z$2))),2))))</f>
      </c>
      <c r="AK72" s="33">
        <f>IF(AA72&lt;=0,0,MAX(0,MIN(AA72,ROUND($AZ72-SUMPRODUCT($V72:$AE72*($V72:$AE72&gt;0)*(($V72:$AE72&lt;AA72)+($V72:$AE72=AA72)*($V$3:$AE$3&gt;AA$3)+($V72:$AE72=AA72)*($V$3:$AE$3=AA$3)*($V$2:$AE$2&lt;AA$2))),2))))</f>
      </c>
      <c r="AL72" s="33">
        <f>IF(AB72&lt;=0,0,MAX(0,MIN(AB72,ROUND($AZ72-SUMPRODUCT($V72:$AE72*($V72:$AE72&gt;0)*(($V72:$AE72&lt;AB72)+($V72:$AE72=AB72)*($V$3:$AE$3&gt;AB$3)+($V72:$AE72=AB72)*($V$3:$AE$3=AB$3)*($V$2:$AE$2&lt;AB$2))),2))))</f>
      </c>
      <c r="AM72" s="33">
        <f>IF(AC72&lt;=0,0,MAX(0,MIN(AC72,ROUND($AZ72-SUMPRODUCT($V72:$AE72*($V72:$AE72&gt;0)*(($V72:$AE72&lt;AC72)+($V72:$AE72=AC72)*($V$3:$AE$3&gt;AC$3)+($V72:$AE72=AC72)*($V$3:$AE$3=AC$3)*($V$2:$AE$2&lt;AC$2))),2))))</f>
      </c>
      <c r="AN72" s="33">
        <f>IF(AD72&lt;=0,0,MAX(0,MIN(AD72,ROUND($AZ72-SUMPRODUCT($V72:$AE72*($V72:$AE72&gt;0)*(($V72:$AE72&lt;AD72)+($V72:$AE72=AD72)*($V$3:$AE$3&gt;AD$3)+($V72:$AE72=AD72)*($V$3:$AE$3=AD$3)*($V$2:$AE$2&lt;AD$2))),2))))</f>
      </c>
      <c r="AO72" s="33">
        <f>IF(AE72&lt;=0,0,MAX(0,MIN(AE72,ROUND($AZ72-SUMPRODUCT($V72:$AE72*($V72:$AE72&gt;0)*(($V72:$AE72&lt;AE72)+($V72:$AE72=AE72)*($V$3:$AE$3&gt;AE$3)+($V72:$AE72=AE72)*($V$3:$AE$3=AE$3)*($V$2:$AE$2&lt;AE$2))),2))))</f>
      </c>
      <c r="AP72" s="33">
        <f>ROUND(V72-AF72,2)</f>
      </c>
      <c r="AQ72" s="33">
        <f>ROUND(W72-AG72,2)</f>
      </c>
      <c r="AR72" s="33">
        <f>ROUND(X72-AH72,2)</f>
      </c>
      <c r="AS72" s="33">
        <f>ROUND(Y72-AI72,2)</f>
      </c>
      <c r="AT72" s="33">
        <f>ROUND(Z72-AJ72,2)</f>
      </c>
      <c r="AU72" s="33">
        <f>ROUND(AA72-AK72,2)</f>
      </c>
      <c r="AV72" s="33">
        <f>ROUND(AB72-AL72,2)</f>
      </c>
      <c r="AW72" s="33">
        <f>ROUND(AC72-AM72,2)</f>
      </c>
      <c r="AX72" s="33">
        <f>ROUND(AD72-AN72,2)</f>
      </c>
      <c r="AY72" s="33">
        <f>ROUND(AE72-AO72,2)</f>
      </c>
      <c r="AZ72" s="33">
        <f>ROUND(MAX(0,'Your debts'!$D$22-SUM($L72:$U72)),2)</f>
      </c>
      <c r="BA72" s="33">
        <f>ROUND(SUM($B72:$K72)-SUM($AP71:$AY71),2)</f>
      </c>
      <c r="BB72" s="33">
        <f>SUM($AP72:$AY72)</f>
      </c>
      <c r="BC72" s="33">
        <f>ROUND(SUM($L72:$U72)+SUM($AF72:$AO72),2)</f>
      </c>
    </row>
    <row r="73" spans="1:55" x14ac:dyDescent="0.25">
      <c r="A73">
        <v>66</v>
      </c>
      <c r="B73" s="33">
        <f>IF(AP72&lt;=0,0,ROUND(AP72+ROUND(AP72*V$3/12,2),2))</f>
      </c>
      <c r="C73" s="33">
        <f>IF(AQ72&lt;=0,0,ROUND(AQ72+ROUND(AQ72*W$3/12,2),2))</f>
      </c>
      <c r="D73" s="33">
        <f>IF(AR72&lt;=0,0,ROUND(AR72+ROUND(AR72*X$3/12,2),2))</f>
      </c>
      <c r="E73" s="33">
        <f>IF(AS72&lt;=0,0,ROUND(AS72+ROUND(AS72*Y$3/12,2),2))</f>
      </c>
      <c r="F73" s="33">
        <f>IF(AT72&lt;=0,0,ROUND(AT72+ROUND(AT72*Z$3/12,2),2))</f>
      </c>
      <c r="G73" s="33">
        <f>IF(AU72&lt;=0,0,ROUND(AU72+ROUND(AU72*AA$3/12,2),2))</f>
      </c>
      <c r="H73" s="33">
        <f>IF(AV72&lt;=0,0,ROUND(AV72+ROUND(AV72*AB$3/12,2),2))</f>
      </c>
      <c r="I73" s="33">
        <f>IF(AW72&lt;=0,0,ROUND(AW72+ROUND(AW72*AC$3/12,2),2))</f>
      </c>
      <c r="J73" s="33">
        <f>IF(AX72&lt;=0,0,ROUND(AX72+ROUND(AX72*AD$3/12,2),2))</f>
      </c>
      <c r="K73" s="33">
        <f>IF(AY72&lt;=0,0,ROUND(AY72+ROUND(AY72*AE$3/12,2),2))</f>
      </c>
      <c r="L73" s="33">
        <f>ROUND(MIN(MAX(0,N('Your debts'!$E$6)),B73),2)</f>
      </c>
      <c r="M73" s="33">
        <f>ROUND(MIN(MAX(0,N('Your debts'!$E$7)),C73),2)</f>
      </c>
      <c r="N73" s="33">
        <f>ROUND(MIN(MAX(0,N('Your debts'!$E$8)),D73),2)</f>
      </c>
      <c r="O73" s="33">
        <f>ROUND(MIN(MAX(0,N('Your debts'!$E$9)),E73),2)</f>
      </c>
      <c r="P73" s="33">
        <f>ROUND(MIN(MAX(0,N('Your debts'!$E$10)),F73),2)</f>
      </c>
      <c r="Q73" s="33">
        <f>ROUND(MIN(MAX(0,N('Your debts'!$E$11)),G73),2)</f>
      </c>
      <c r="R73" s="33">
        <f>ROUND(MIN(MAX(0,N('Your debts'!$E$12)),H73),2)</f>
      </c>
      <c r="S73" s="33">
        <f>ROUND(MIN(MAX(0,N('Your debts'!$E$13)),I73),2)</f>
      </c>
      <c r="T73" s="33">
        <f>ROUND(MIN(MAX(0,N('Your debts'!$E$14)),J73),2)</f>
      </c>
      <c r="U73" s="33">
        <f>ROUND(MIN(MAX(0,N('Your debts'!$E$15)),K73),2)</f>
      </c>
      <c r="V73" s="33">
        <f>ROUND(B73-L73,2)</f>
      </c>
      <c r="W73" s="33">
        <f>ROUND(C73-M73,2)</f>
      </c>
      <c r="X73" s="33">
        <f>ROUND(D73-N73,2)</f>
      </c>
      <c r="Y73" s="33">
        <f>ROUND(E73-O73,2)</f>
      </c>
      <c r="Z73" s="33">
        <f>ROUND(F73-P73,2)</f>
      </c>
      <c r="AA73" s="33">
        <f>ROUND(G73-Q73,2)</f>
      </c>
      <c r="AB73" s="33">
        <f>ROUND(H73-R73,2)</f>
      </c>
      <c r="AC73" s="33">
        <f>ROUND(I73-S73,2)</f>
      </c>
      <c r="AD73" s="33">
        <f>ROUND(J73-T73,2)</f>
      </c>
      <c r="AE73" s="33">
        <f>ROUND(K73-U73,2)</f>
      </c>
      <c r="AF73" s="33">
        <f>IF(V73&lt;=0,0,MAX(0,MIN(V73,ROUND($AZ73-SUMPRODUCT($V73:$AE73*($V73:$AE73&gt;0)*(($V73:$AE73&lt;V73)+($V73:$AE73=V73)*($V$3:$AE$3&gt;V$3)+($V73:$AE73=V73)*($V$3:$AE$3=V$3)*($V$2:$AE$2&lt;V$2))),2))))</f>
      </c>
      <c r="AG73" s="33">
        <f>IF(W73&lt;=0,0,MAX(0,MIN(W73,ROUND($AZ73-SUMPRODUCT($V73:$AE73*($V73:$AE73&gt;0)*(($V73:$AE73&lt;W73)+($V73:$AE73=W73)*($V$3:$AE$3&gt;W$3)+($V73:$AE73=W73)*($V$3:$AE$3=W$3)*($V$2:$AE$2&lt;W$2))),2))))</f>
      </c>
      <c r="AH73" s="33">
        <f>IF(X73&lt;=0,0,MAX(0,MIN(X73,ROUND($AZ73-SUMPRODUCT($V73:$AE73*($V73:$AE73&gt;0)*(($V73:$AE73&lt;X73)+($V73:$AE73=X73)*($V$3:$AE$3&gt;X$3)+($V73:$AE73=X73)*($V$3:$AE$3=X$3)*($V$2:$AE$2&lt;X$2))),2))))</f>
      </c>
      <c r="AI73" s="33">
        <f>IF(Y73&lt;=0,0,MAX(0,MIN(Y73,ROUND($AZ73-SUMPRODUCT($V73:$AE73*($V73:$AE73&gt;0)*(($V73:$AE73&lt;Y73)+($V73:$AE73=Y73)*($V$3:$AE$3&gt;Y$3)+($V73:$AE73=Y73)*($V$3:$AE$3=Y$3)*($V$2:$AE$2&lt;Y$2))),2))))</f>
      </c>
      <c r="AJ73" s="33">
        <f>IF(Z73&lt;=0,0,MAX(0,MIN(Z73,ROUND($AZ73-SUMPRODUCT($V73:$AE73*($V73:$AE73&gt;0)*(($V73:$AE73&lt;Z73)+($V73:$AE73=Z73)*($V$3:$AE$3&gt;Z$3)+($V73:$AE73=Z73)*($V$3:$AE$3=Z$3)*($V$2:$AE$2&lt;Z$2))),2))))</f>
      </c>
      <c r="AK73" s="33">
        <f>IF(AA73&lt;=0,0,MAX(0,MIN(AA73,ROUND($AZ73-SUMPRODUCT($V73:$AE73*($V73:$AE73&gt;0)*(($V73:$AE73&lt;AA73)+($V73:$AE73=AA73)*($V$3:$AE$3&gt;AA$3)+($V73:$AE73=AA73)*($V$3:$AE$3=AA$3)*($V$2:$AE$2&lt;AA$2))),2))))</f>
      </c>
      <c r="AL73" s="33">
        <f>IF(AB73&lt;=0,0,MAX(0,MIN(AB73,ROUND($AZ73-SUMPRODUCT($V73:$AE73*($V73:$AE73&gt;0)*(($V73:$AE73&lt;AB73)+($V73:$AE73=AB73)*($V$3:$AE$3&gt;AB$3)+($V73:$AE73=AB73)*($V$3:$AE$3=AB$3)*($V$2:$AE$2&lt;AB$2))),2))))</f>
      </c>
      <c r="AM73" s="33">
        <f>IF(AC73&lt;=0,0,MAX(0,MIN(AC73,ROUND($AZ73-SUMPRODUCT($V73:$AE73*($V73:$AE73&gt;0)*(($V73:$AE73&lt;AC73)+($V73:$AE73=AC73)*($V$3:$AE$3&gt;AC$3)+($V73:$AE73=AC73)*($V$3:$AE$3=AC$3)*($V$2:$AE$2&lt;AC$2))),2))))</f>
      </c>
      <c r="AN73" s="33">
        <f>IF(AD73&lt;=0,0,MAX(0,MIN(AD73,ROUND($AZ73-SUMPRODUCT($V73:$AE73*($V73:$AE73&gt;0)*(($V73:$AE73&lt;AD73)+($V73:$AE73=AD73)*($V$3:$AE$3&gt;AD$3)+($V73:$AE73=AD73)*($V$3:$AE$3=AD$3)*($V$2:$AE$2&lt;AD$2))),2))))</f>
      </c>
      <c r="AO73" s="33">
        <f>IF(AE73&lt;=0,0,MAX(0,MIN(AE73,ROUND($AZ73-SUMPRODUCT($V73:$AE73*($V73:$AE73&gt;0)*(($V73:$AE73&lt;AE73)+($V73:$AE73=AE73)*($V$3:$AE$3&gt;AE$3)+($V73:$AE73=AE73)*($V$3:$AE$3=AE$3)*($V$2:$AE$2&lt;AE$2))),2))))</f>
      </c>
      <c r="AP73" s="33">
        <f>ROUND(V73-AF73,2)</f>
      </c>
      <c r="AQ73" s="33">
        <f>ROUND(W73-AG73,2)</f>
      </c>
      <c r="AR73" s="33">
        <f>ROUND(X73-AH73,2)</f>
      </c>
      <c r="AS73" s="33">
        <f>ROUND(Y73-AI73,2)</f>
      </c>
      <c r="AT73" s="33">
        <f>ROUND(Z73-AJ73,2)</f>
      </c>
      <c r="AU73" s="33">
        <f>ROUND(AA73-AK73,2)</f>
      </c>
      <c r="AV73" s="33">
        <f>ROUND(AB73-AL73,2)</f>
      </c>
      <c r="AW73" s="33">
        <f>ROUND(AC73-AM73,2)</f>
      </c>
      <c r="AX73" s="33">
        <f>ROUND(AD73-AN73,2)</f>
      </c>
      <c r="AY73" s="33">
        <f>ROUND(AE73-AO73,2)</f>
      </c>
      <c r="AZ73" s="33">
        <f>ROUND(MAX(0,'Your debts'!$D$22-SUM($L73:$U73)),2)</f>
      </c>
      <c r="BA73" s="33">
        <f>ROUND(SUM($B73:$K73)-SUM($AP72:$AY72),2)</f>
      </c>
      <c r="BB73" s="33">
        <f>SUM($AP73:$AY73)</f>
      </c>
      <c r="BC73" s="33">
        <f>ROUND(SUM($L73:$U73)+SUM($AF73:$AO73),2)</f>
      </c>
    </row>
    <row r="74" spans="1:55" x14ac:dyDescent="0.25">
      <c r="A74">
        <v>67</v>
      </c>
      <c r="B74" s="33">
        <f>IF(AP73&lt;=0,0,ROUND(AP73+ROUND(AP73*V$3/12,2),2))</f>
      </c>
      <c r="C74" s="33">
        <f>IF(AQ73&lt;=0,0,ROUND(AQ73+ROUND(AQ73*W$3/12,2),2))</f>
      </c>
      <c r="D74" s="33">
        <f>IF(AR73&lt;=0,0,ROUND(AR73+ROUND(AR73*X$3/12,2),2))</f>
      </c>
      <c r="E74" s="33">
        <f>IF(AS73&lt;=0,0,ROUND(AS73+ROUND(AS73*Y$3/12,2),2))</f>
      </c>
      <c r="F74" s="33">
        <f>IF(AT73&lt;=0,0,ROUND(AT73+ROUND(AT73*Z$3/12,2),2))</f>
      </c>
      <c r="G74" s="33">
        <f>IF(AU73&lt;=0,0,ROUND(AU73+ROUND(AU73*AA$3/12,2),2))</f>
      </c>
      <c r="H74" s="33">
        <f>IF(AV73&lt;=0,0,ROUND(AV73+ROUND(AV73*AB$3/12,2),2))</f>
      </c>
      <c r="I74" s="33">
        <f>IF(AW73&lt;=0,0,ROUND(AW73+ROUND(AW73*AC$3/12,2),2))</f>
      </c>
      <c r="J74" s="33">
        <f>IF(AX73&lt;=0,0,ROUND(AX73+ROUND(AX73*AD$3/12,2),2))</f>
      </c>
      <c r="K74" s="33">
        <f>IF(AY73&lt;=0,0,ROUND(AY73+ROUND(AY73*AE$3/12,2),2))</f>
      </c>
      <c r="L74" s="33">
        <f>ROUND(MIN(MAX(0,N('Your debts'!$E$6)),B74),2)</f>
      </c>
      <c r="M74" s="33">
        <f>ROUND(MIN(MAX(0,N('Your debts'!$E$7)),C74),2)</f>
      </c>
      <c r="N74" s="33">
        <f>ROUND(MIN(MAX(0,N('Your debts'!$E$8)),D74),2)</f>
      </c>
      <c r="O74" s="33">
        <f>ROUND(MIN(MAX(0,N('Your debts'!$E$9)),E74),2)</f>
      </c>
      <c r="P74" s="33">
        <f>ROUND(MIN(MAX(0,N('Your debts'!$E$10)),F74),2)</f>
      </c>
      <c r="Q74" s="33">
        <f>ROUND(MIN(MAX(0,N('Your debts'!$E$11)),G74),2)</f>
      </c>
      <c r="R74" s="33">
        <f>ROUND(MIN(MAX(0,N('Your debts'!$E$12)),H74),2)</f>
      </c>
      <c r="S74" s="33">
        <f>ROUND(MIN(MAX(0,N('Your debts'!$E$13)),I74),2)</f>
      </c>
      <c r="T74" s="33">
        <f>ROUND(MIN(MAX(0,N('Your debts'!$E$14)),J74),2)</f>
      </c>
      <c r="U74" s="33">
        <f>ROUND(MIN(MAX(0,N('Your debts'!$E$15)),K74),2)</f>
      </c>
      <c r="V74" s="33">
        <f>ROUND(B74-L74,2)</f>
      </c>
      <c r="W74" s="33">
        <f>ROUND(C74-M74,2)</f>
      </c>
      <c r="X74" s="33">
        <f>ROUND(D74-N74,2)</f>
      </c>
      <c r="Y74" s="33">
        <f>ROUND(E74-O74,2)</f>
      </c>
      <c r="Z74" s="33">
        <f>ROUND(F74-P74,2)</f>
      </c>
      <c r="AA74" s="33">
        <f>ROUND(G74-Q74,2)</f>
      </c>
      <c r="AB74" s="33">
        <f>ROUND(H74-R74,2)</f>
      </c>
      <c r="AC74" s="33">
        <f>ROUND(I74-S74,2)</f>
      </c>
      <c r="AD74" s="33">
        <f>ROUND(J74-T74,2)</f>
      </c>
      <c r="AE74" s="33">
        <f>ROUND(K74-U74,2)</f>
      </c>
      <c r="AF74" s="33">
        <f>IF(V74&lt;=0,0,MAX(0,MIN(V74,ROUND($AZ74-SUMPRODUCT($V74:$AE74*($V74:$AE74&gt;0)*(($V74:$AE74&lt;V74)+($V74:$AE74=V74)*($V$3:$AE$3&gt;V$3)+($V74:$AE74=V74)*($V$3:$AE$3=V$3)*($V$2:$AE$2&lt;V$2))),2))))</f>
      </c>
      <c r="AG74" s="33">
        <f>IF(W74&lt;=0,0,MAX(0,MIN(W74,ROUND($AZ74-SUMPRODUCT($V74:$AE74*($V74:$AE74&gt;0)*(($V74:$AE74&lt;W74)+($V74:$AE74=W74)*($V$3:$AE$3&gt;W$3)+($V74:$AE74=W74)*($V$3:$AE$3=W$3)*($V$2:$AE$2&lt;W$2))),2))))</f>
      </c>
      <c r="AH74" s="33">
        <f>IF(X74&lt;=0,0,MAX(0,MIN(X74,ROUND($AZ74-SUMPRODUCT($V74:$AE74*($V74:$AE74&gt;0)*(($V74:$AE74&lt;X74)+($V74:$AE74=X74)*($V$3:$AE$3&gt;X$3)+($V74:$AE74=X74)*($V$3:$AE$3=X$3)*($V$2:$AE$2&lt;X$2))),2))))</f>
      </c>
      <c r="AI74" s="33">
        <f>IF(Y74&lt;=0,0,MAX(0,MIN(Y74,ROUND($AZ74-SUMPRODUCT($V74:$AE74*($V74:$AE74&gt;0)*(($V74:$AE74&lt;Y74)+($V74:$AE74=Y74)*($V$3:$AE$3&gt;Y$3)+($V74:$AE74=Y74)*($V$3:$AE$3=Y$3)*($V$2:$AE$2&lt;Y$2))),2))))</f>
      </c>
      <c r="AJ74" s="33">
        <f>IF(Z74&lt;=0,0,MAX(0,MIN(Z74,ROUND($AZ74-SUMPRODUCT($V74:$AE74*($V74:$AE74&gt;0)*(($V74:$AE74&lt;Z74)+($V74:$AE74=Z74)*($V$3:$AE$3&gt;Z$3)+($V74:$AE74=Z74)*($V$3:$AE$3=Z$3)*($V$2:$AE$2&lt;Z$2))),2))))</f>
      </c>
      <c r="AK74" s="33">
        <f>IF(AA74&lt;=0,0,MAX(0,MIN(AA74,ROUND($AZ74-SUMPRODUCT($V74:$AE74*($V74:$AE74&gt;0)*(($V74:$AE74&lt;AA74)+($V74:$AE74=AA74)*($V$3:$AE$3&gt;AA$3)+($V74:$AE74=AA74)*($V$3:$AE$3=AA$3)*($V$2:$AE$2&lt;AA$2))),2))))</f>
      </c>
      <c r="AL74" s="33">
        <f>IF(AB74&lt;=0,0,MAX(0,MIN(AB74,ROUND($AZ74-SUMPRODUCT($V74:$AE74*($V74:$AE74&gt;0)*(($V74:$AE74&lt;AB74)+($V74:$AE74=AB74)*($V$3:$AE$3&gt;AB$3)+($V74:$AE74=AB74)*($V$3:$AE$3=AB$3)*($V$2:$AE$2&lt;AB$2))),2))))</f>
      </c>
      <c r="AM74" s="33">
        <f>IF(AC74&lt;=0,0,MAX(0,MIN(AC74,ROUND($AZ74-SUMPRODUCT($V74:$AE74*($V74:$AE74&gt;0)*(($V74:$AE74&lt;AC74)+($V74:$AE74=AC74)*($V$3:$AE$3&gt;AC$3)+($V74:$AE74=AC74)*($V$3:$AE$3=AC$3)*($V$2:$AE$2&lt;AC$2))),2))))</f>
      </c>
      <c r="AN74" s="33">
        <f>IF(AD74&lt;=0,0,MAX(0,MIN(AD74,ROUND($AZ74-SUMPRODUCT($V74:$AE74*($V74:$AE74&gt;0)*(($V74:$AE74&lt;AD74)+($V74:$AE74=AD74)*($V$3:$AE$3&gt;AD$3)+($V74:$AE74=AD74)*($V$3:$AE$3=AD$3)*($V$2:$AE$2&lt;AD$2))),2))))</f>
      </c>
      <c r="AO74" s="33">
        <f>IF(AE74&lt;=0,0,MAX(0,MIN(AE74,ROUND($AZ74-SUMPRODUCT($V74:$AE74*($V74:$AE74&gt;0)*(($V74:$AE74&lt;AE74)+($V74:$AE74=AE74)*($V$3:$AE$3&gt;AE$3)+($V74:$AE74=AE74)*($V$3:$AE$3=AE$3)*($V$2:$AE$2&lt;AE$2))),2))))</f>
      </c>
      <c r="AP74" s="33">
        <f>ROUND(V74-AF74,2)</f>
      </c>
      <c r="AQ74" s="33">
        <f>ROUND(W74-AG74,2)</f>
      </c>
      <c r="AR74" s="33">
        <f>ROUND(X74-AH74,2)</f>
      </c>
      <c r="AS74" s="33">
        <f>ROUND(Y74-AI74,2)</f>
      </c>
      <c r="AT74" s="33">
        <f>ROUND(Z74-AJ74,2)</f>
      </c>
      <c r="AU74" s="33">
        <f>ROUND(AA74-AK74,2)</f>
      </c>
      <c r="AV74" s="33">
        <f>ROUND(AB74-AL74,2)</f>
      </c>
      <c r="AW74" s="33">
        <f>ROUND(AC74-AM74,2)</f>
      </c>
      <c r="AX74" s="33">
        <f>ROUND(AD74-AN74,2)</f>
      </c>
      <c r="AY74" s="33">
        <f>ROUND(AE74-AO74,2)</f>
      </c>
      <c r="AZ74" s="33">
        <f>ROUND(MAX(0,'Your debts'!$D$22-SUM($L74:$U74)),2)</f>
      </c>
      <c r="BA74" s="33">
        <f>ROUND(SUM($B74:$K74)-SUM($AP73:$AY73),2)</f>
      </c>
      <c r="BB74" s="33">
        <f>SUM($AP74:$AY74)</f>
      </c>
      <c r="BC74" s="33">
        <f>ROUND(SUM($L74:$U74)+SUM($AF74:$AO74),2)</f>
      </c>
    </row>
    <row r="75" spans="1:55" x14ac:dyDescent="0.25">
      <c r="A75">
        <v>68</v>
      </c>
      <c r="B75" s="33">
        <f>IF(AP74&lt;=0,0,ROUND(AP74+ROUND(AP74*V$3/12,2),2))</f>
      </c>
      <c r="C75" s="33">
        <f>IF(AQ74&lt;=0,0,ROUND(AQ74+ROUND(AQ74*W$3/12,2),2))</f>
      </c>
      <c r="D75" s="33">
        <f>IF(AR74&lt;=0,0,ROUND(AR74+ROUND(AR74*X$3/12,2),2))</f>
      </c>
      <c r="E75" s="33">
        <f>IF(AS74&lt;=0,0,ROUND(AS74+ROUND(AS74*Y$3/12,2),2))</f>
      </c>
      <c r="F75" s="33">
        <f>IF(AT74&lt;=0,0,ROUND(AT74+ROUND(AT74*Z$3/12,2),2))</f>
      </c>
      <c r="G75" s="33">
        <f>IF(AU74&lt;=0,0,ROUND(AU74+ROUND(AU74*AA$3/12,2),2))</f>
      </c>
      <c r="H75" s="33">
        <f>IF(AV74&lt;=0,0,ROUND(AV74+ROUND(AV74*AB$3/12,2),2))</f>
      </c>
      <c r="I75" s="33">
        <f>IF(AW74&lt;=0,0,ROUND(AW74+ROUND(AW74*AC$3/12,2),2))</f>
      </c>
      <c r="J75" s="33">
        <f>IF(AX74&lt;=0,0,ROUND(AX74+ROUND(AX74*AD$3/12,2),2))</f>
      </c>
      <c r="K75" s="33">
        <f>IF(AY74&lt;=0,0,ROUND(AY74+ROUND(AY74*AE$3/12,2),2))</f>
      </c>
      <c r="L75" s="33">
        <f>ROUND(MIN(MAX(0,N('Your debts'!$E$6)),B75),2)</f>
      </c>
      <c r="M75" s="33">
        <f>ROUND(MIN(MAX(0,N('Your debts'!$E$7)),C75),2)</f>
      </c>
      <c r="N75" s="33">
        <f>ROUND(MIN(MAX(0,N('Your debts'!$E$8)),D75),2)</f>
      </c>
      <c r="O75" s="33">
        <f>ROUND(MIN(MAX(0,N('Your debts'!$E$9)),E75),2)</f>
      </c>
      <c r="P75" s="33">
        <f>ROUND(MIN(MAX(0,N('Your debts'!$E$10)),F75),2)</f>
      </c>
      <c r="Q75" s="33">
        <f>ROUND(MIN(MAX(0,N('Your debts'!$E$11)),G75),2)</f>
      </c>
      <c r="R75" s="33">
        <f>ROUND(MIN(MAX(0,N('Your debts'!$E$12)),H75),2)</f>
      </c>
      <c r="S75" s="33">
        <f>ROUND(MIN(MAX(0,N('Your debts'!$E$13)),I75),2)</f>
      </c>
      <c r="T75" s="33">
        <f>ROUND(MIN(MAX(0,N('Your debts'!$E$14)),J75),2)</f>
      </c>
      <c r="U75" s="33">
        <f>ROUND(MIN(MAX(0,N('Your debts'!$E$15)),K75),2)</f>
      </c>
      <c r="V75" s="33">
        <f>ROUND(B75-L75,2)</f>
      </c>
      <c r="W75" s="33">
        <f>ROUND(C75-M75,2)</f>
      </c>
      <c r="X75" s="33">
        <f>ROUND(D75-N75,2)</f>
      </c>
      <c r="Y75" s="33">
        <f>ROUND(E75-O75,2)</f>
      </c>
      <c r="Z75" s="33">
        <f>ROUND(F75-P75,2)</f>
      </c>
      <c r="AA75" s="33">
        <f>ROUND(G75-Q75,2)</f>
      </c>
      <c r="AB75" s="33">
        <f>ROUND(H75-R75,2)</f>
      </c>
      <c r="AC75" s="33">
        <f>ROUND(I75-S75,2)</f>
      </c>
      <c r="AD75" s="33">
        <f>ROUND(J75-T75,2)</f>
      </c>
      <c r="AE75" s="33">
        <f>ROUND(K75-U75,2)</f>
      </c>
      <c r="AF75" s="33">
        <f>IF(V75&lt;=0,0,MAX(0,MIN(V75,ROUND($AZ75-SUMPRODUCT($V75:$AE75*($V75:$AE75&gt;0)*(($V75:$AE75&lt;V75)+($V75:$AE75=V75)*($V$3:$AE$3&gt;V$3)+($V75:$AE75=V75)*($V$3:$AE$3=V$3)*($V$2:$AE$2&lt;V$2))),2))))</f>
      </c>
      <c r="AG75" s="33">
        <f>IF(W75&lt;=0,0,MAX(0,MIN(W75,ROUND($AZ75-SUMPRODUCT($V75:$AE75*($V75:$AE75&gt;0)*(($V75:$AE75&lt;W75)+($V75:$AE75=W75)*($V$3:$AE$3&gt;W$3)+($V75:$AE75=W75)*($V$3:$AE$3=W$3)*($V$2:$AE$2&lt;W$2))),2))))</f>
      </c>
      <c r="AH75" s="33">
        <f>IF(X75&lt;=0,0,MAX(0,MIN(X75,ROUND($AZ75-SUMPRODUCT($V75:$AE75*($V75:$AE75&gt;0)*(($V75:$AE75&lt;X75)+($V75:$AE75=X75)*($V$3:$AE$3&gt;X$3)+($V75:$AE75=X75)*($V$3:$AE$3=X$3)*($V$2:$AE$2&lt;X$2))),2))))</f>
      </c>
      <c r="AI75" s="33">
        <f>IF(Y75&lt;=0,0,MAX(0,MIN(Y75,ROUND($AZ75-SUMPRODUCT($V75:$AE75*($V75:$AE75&gt;0)*(($V75:$AE75&lt;Y75)+($V75:$AE75=Y75)*($V$3:$AE$3&gt;Y$3)+($V75:$AE75=Y75)*($V$3:$AE$3=Y$3)*($V$2:$AE$2&lt;Y$2))),2))))</f>
      </c>
      <c r="AJ75" s="33">
        <f>IF(Z75&lt;=0,0,MAX(0,MIN(Z75,ROUND($AZ75-SUMPRODUCT($V75:$AE75*($V75:$AE75&gt;0)*(($V75:$AE75&lt;Z75)+($V75:$AE75=Z75)*($V$3:$AE$3&gt;Z$3)+($V75:$AE75=Z75)*($V$3:$AE$3=Z$3)*($V$2:$AE$2&lt;Z$2))),2))))</f>
      </c>
      <c r="AK75" s="33">
        <f>IF(AA75&lt;=0,0,MAX(0,MIN(AA75,ROUND($AZ75-SUMPRODUCT($V75:$AE75*($V75:$AE75&gt;0)*(($V75:$AE75&lt;AA75)+($V75:$AE75=AA75)*($V$3:$AE$3&gt;AA$3)+($V75:$AE75=AA75)*($V$3:$AE$3=AA$3)*($V$2:$AE$2&lt;AA$2))),2))))</f>
      </c>
      <c r="AL75" s="33">
        <f>IF(AB75&lt;=0,0,MAX(0,MIN(AB75,ROUND($AZ75-SUMPRODUCT($V75:$AE75*($V75:$AE75&gt;0)*(($V75:$AE75&lt;AB75)+($V75:$AE75=AB75)*($V$3:$AE$3&gt;AB$3)+($V75:$AE75=AB75)*($V$3:$AE$3=AB$3)*($V$2:$AE$2&lt;AB$2))),2))))</f>
      </c>
      <c r="AM75" s="33">
        <f>IF(AC75&lt;=0,0,MAX(0,MIN(AC75,ROUND($AZ75-SUMPRODUCT($V75:$AE75*($V75:$AE75&gt;0)*(($V75:$AE75&lt;AC75)+($V75:$AE75=AC75)*($V$3:$AE$3&gt;AC$3)+($V75:$AE75=AC75)*($V$3:$AE$3=AC$3)*($V$2:$AE$2&lt;AC$2))),2))))</f>
      </c>
      <c r="AN75" s="33">
        <f>IF(AD75&lt;=0,0,MAX(0,MIN(AD75,ROUND($AZ75-SUMPRODUCT($V75:$AE75*($V75:$AE75&gt;0)*(($V75:$AE75&lt;AD75)+($V75:$AE75=AD75)*($V$3:$AE$3&gt;AD$3)+($V75:$AE75=AD75)*($V$3:$AE$3=AD$3)*($V$2:$AE$2&lt;AD$2))),2))))</f>
      </c>
      <c r="AO75" s="33">
        <f>IF(AE75&lt;=0,0,MAX(0,MIN(AE75,ROUND($AZ75-SUMPRODUCT($V75:$AE75*($V75:$AE75&gt;0)*(($V75:$AE75&lt;AE75)+($V75:$AE75=AE75)*($V$3:$AE$3&gt;AE$3)+($V75:$AE75=AE75)*($V$3:$AE$3=AE$3)*($V$2:$AE$2&lt;AE$2))),2))))</f>
      </c>
      <c r="AP75" s="33">
        <f>ROUND(V75-AF75,2)</f>
      </c>
      <c r="AQ75" s="33">
        <f>ROUND(W75-AG75,2)</f>
      </c>
      <c r="AR75" s="33">
        <f>ROUND(X75-AH75,2)</f>
      </c>
      <c r="AS75" s="33">
        <f>ROUND(Y75-AI75,2)</f>
      </c>
      <c r="AT75" s="33">
        <f>ROUND(Z75-AJ75,2)</f>
      </c>
      <c r="AU75" s="33">
        <f>ROUND(AA75-AK75,2)</f>
      </c>
      <c r="AV75" s="33">
        <f>ROUND(AB75-AL75,2)</f>
      </c>
      <c r="AW75" s="33">
        <f>ROUND(AC75-AM75,2)</f>
      </c>
      <c r="AX75" s="33">
        <f>ROUND(AD75-AN75,2)</f>
      </c>
      <c r="AY75" s="33">
        <f>ROUND(AE75-AO75,2)</f>
      </c>
      <c r="AZ75" s="33">
        <f>ROUND(MAX(0,'Your debts'!$D$22-SUM($L75:$U75)),2)</f>
      </c>
      <c r="BA75" s="33">
        <f>ROUND(SUM($B75:$K75)-SUM($AP74:$AY74),2)</f>
      </c>
      <c r="BB75" s="33">
        <f>SUM($AP75:$AY75)</f>
      </c>
      <c r="BC75" s="33">
        <f>ROUND(SUM($L75:$U75)+SUM($AF75:$AO75),2)</f>
      </c>
    </row>
    <row r="76" spans="1:55" x14ac:dyDescent="0.25">
      <c r="A76">
        <v>69</v>
      </c>
      <c r="B76" s="33">
        <f>IF(AP75&lt;=0,0,ROUND(AP75+ROUND(AP75*V$3/12,2),2))</f>
      </c>
      <c r="C76" s="33">
        <f>IF(AQ75&lt;=0,0,ROUND(AQ75+ROUND(AQ75*W$3/12,2),2))</f>
      </c>
      <c r="D76" s="33">
        <f>IF(AR75&lt;=0,0,ROUND(AR75+ROUND(AR75*X$3/12,2),2))</f>
      </c>
      <c r="E76" s="33">
        <f>IF(AS75&lt;=0,0,ROUND(AS75+ROUND(AS75*Y$3/12,2),2))</f>
      </c>
      <c r="F76" s="33">
        <f>IF(AT75&lt;=0,0,ROUND(AT75+ROUND(AT75*Z$3/12,2),2))</f>
      </c>
      <c r="G76" s="33">
        <f>IF(AU75&lt;=0,0,ROUND(AU75+ROUND(AU75*AA$3/12,2),2))</f>
      </c>
      <c r="H76" s="33">
        <f>IF(AV75&lt;=0,0,ROUND(AV75+ROUND(AV75*AB$3/12,2),2))</f>
      </c>
      <c r="I76" s="33">
        <f>IF(AW75&lt;=0,0,ROUND(AW75+ROUND(AW75*AC$3/12,2),2))</f>
      </c>
      <c r="J76" s="33">
        <f>IF(AX75&lt;=0,0,ROUND(AX75+ROUND(AX75*AD$3/12,2),2))</f>
      </c>
      <c r="K76" s="33">
        <f>IF(AY75&lt;=0,0,ROUND(AY75+ROUND(AY75*AE$3/12,2),2))</f>
      </c>
      <c r="L76" s="33">
        <f>ROUND(MIN(MAX(0,N('Your debts'!$E$6)),B76),2)</f>
      </c>
      <c r="M76" s="33">
        <f>ROUND(MIN(MAX(0,N('Your debts'!$E$7)),C76),2)</f>
      </c>
      <c r="N76" s="33">
        <f>ROUND(MIN(MAX(0,N('Your debts'!$E$8)),D76),2)</f>
      </c>
      <c r="O76" s="33">
        <f>ROUND(MIN(MAX(0,N('Your debts'!$E$9)),E76),2)</f>
      </c>
      <c r="P76" s="33">
        <f>ROUND(MIN(MAX(0,N('Your debts'!$E$10)),F76),2)</f>
      </c>
      <c r="Q76" s="33">
        <f>ROUND(MIN(MAX(0,N('Your debts'!$E$11)),G76),2)</f>
      </c>
      <c r="R76" s="33">
        <f>ROUND(MIN(MAX(0,N('Your debts'!$E$12)),H76),2)</f>
      </c>
      <c r="S76" s="33">
        <f>ROUND(MIN(MAX(0,N('Your debts'!$E$13)),I76),2)</f>
      </c>
      <c r="T76" s="33">
        <f>ROUND(MIN(MAX(0,N('Your debts'!$E$14)),J76),2)</f>
      </c>
      <c r="U76" s="33">
        <f>ROUND(MIN(MAX(0,N('Your debts'!$E$15)),K76),2)</f>
      </c>
      <c r="V76" s="33">
        <f>ROUND(B76-L76,2)</f>
      </c>
      <c r="W76" s="33">
        <f>ROUND(C76-M76,2)</f>
      </c>
      <c r="X76" s="33">
        <f>ROUND(D76-N76,2)</f>
      </c>
      <c r="Y76" s="33">
        <f>ROUND(E76-O76,2)</f>
      </c>
      <c r="Z76" s="33">
        <f>ROUND(F76-P76,2)</f>
      </c>
      <c r="AA76" s="33">
        <f>ROUND(G76-Q76,2)</f>
      </c>
      <c r="AB76" s="33">
        <f>ROUND(H76-R76,2)</f>
      </c>
      <c r="AC76" s="33">
        <f>ROUND(I76-S76,2)</f>
      </c>
      <c r="AD76" s="33">
        <f>ROUND(J76-T76,2)</f>
      </c>
      <c r="AE76" s="33">
        <f>ROUND(K76-U76,2)</f>
      </c>
      <c r="AF76" s="33">
        <f>IF(V76&lt;=0,0,MAX(0,MIN(V76,ROUND($AZ76-SUMPRODUCT($V76:$AE76*($V76:$AE76&gt;0)*(($V76:$AE76&lt;V76)+($V76:$AE76=V76)*($V$3:$AE$3&gt;V$3)+($V76:$AE76=V76)*($V$3:$AE$3=V$3)*($V$2:$AE$2&lt;V$2))),2))))</f>
      </c>
      <c r="AG76" s="33">
        <f>IF(W76&lt;=0,0,MAX(0,MIN(W76,ROUND($AZ76-SUMPRODUCT($V76:$AE76*($V76:$AE76&gt;0)*(($V76:$AE76&lt;W76)+($V76:$AE76=W76)*($V$3:$AE$3&gt;W$3)+($V76:$AE76=W76)*($V$3:$AE$3=W$3)*($V$2:$AE$2&lt;W$2))),2))))</f>
      </c>
      <c r="AH76" s="33">
        <f>IF(X76&lt;=0,0,MAX(0,MIN(X76,ROUND($AZ76-SUMPRODUCT($V76:$AE76*($V76:$AE76&gt;0)*(($V76:$AE76&lt;X76)+($V76:$AE76=X76)*($V$3:$AE$3&gt;X$3)+($V76:$AE76=X76)*($V$3:$AE$3=X$3)*($V$2:$AE$2&lt;X$2))),2))))</f>
      </c>
      <c r="AI76" s="33">
        <f>IF(Y76&lt;=0,0,MAX(0,MIN(Y76,ROUND($AZ76-SUMPRODUCT($V76:$AE76*($V76:$AE76&gt;0)*(($V76:$AE76&lt;Y76)+($V76:$AE76=Y76)*($V$3:$AE$3&gt;Y$3)+($V76:$AE76=Y76)*($V$3:$AE$3=Y$3)*($V$2:$AE$2&lt;Y$2))),2))))</f>
      </c>
      <c r="AJ76" s="33">
        <f>IF(Z76&lt;=0,0,MAX(0,MIN(Z76,ROUND($AZ76-SUMPRODUCT($V76:$AE76*($V76:$AE76&gt;0)*(($V76:$AE76&lt;Z76)+($V76:$AE76=Z76)*($V$3:$AE$3&gt;Z$3)+($V76:$AE76=Z76)*($V$3:$AE$3=Z$3)*($V$2:$AE$2&lt;Z$2))),2))))</f>
      </c>
      <c r="AK76" s="33">
        <f>IF(AA76&lt;=0,0,MAX(0,MIN(AA76,ROUND($AZ76-SUMPRODUCT($V76:$AE76*($V76:$AE76&gt;0)*(($V76:$AE76&lt;AA76)+($V76:$AE76=AA76)*($V$3:$AE$3&gt;AA$3)+($V76:$AE76=AA76)*($V$3:$AE$3=AA$3)*($V$2:$AE$2&lt;AA$2))),2))))</f>
      </c>
      <c r="AL76" s="33">
        <f>IF(AB76&lt;=0,0,MAX(0,MIN(AB76,ROUND($AZ76-SUMPRODUCT($V76:$AE76*($V76:$AE76&gt;0)*(($V76:$AE76&lt;AB76)+($V76:$AE76=AB76)*($V$3:$AE$3&gt;AB$3)+($V76:$AE76=AB76)*($V$3:$AE$3=AB$3)*($V$2:$AE$2&lt;AB$2))),2))))</f>
      </c>
      <c r="AM76" s="33">
        <f>IF(AC76&lt;=0,0,MAX(0,MIN(AC76,ROUND($AZ76-SUMPRODUCT($V76:$AE76*($V76:$AE76&gt;0)*(($V76:$AE76&lt;AC76)+($V76:$AE76=AC76)*($V$3:$AE$3&gt;AC$3)+($V76:$AE76=AC76)*($V$3:$AE$3=AC$3)*($V$2:$AE$2&lt;AC$2))),2))))</f>
      </c>
      <c r="AN76" s="33">
        <f>IF(AD76&lt;=0,0,MAX(0,MIN(AD76,ROUND($AZ76-SUMPRODUCT($V76:$AE76*($V76:$AE76&gt;0)*(($V76:$AE76&lt;AD76)+($V76:$AE76=AD76)*($V$3:$AE$3&gt;AD$3)+($V76:$AE76=AD76)*($V$3:$AE$3=AD$3)*($V$2:$AE$2&lt;AD$2))),2))))</f>
      </c>
      <c r="AO76" s="33">
        <f>IF(AE76&lt;=0,0,MAX(0,MIN(AE76,ROUND($AZ76-SUMPRODUCT($V76:$AE76*($V76:$AE76&gt;0)*(($V76:$AE76&lt;AE76)+($V76:$AE76=AE76)*($V$3:$AE$3&gt;AE$3)+($V76:$AE76=AE76)*($V$3:$AE$3=AE$3)*($V$2:$AE$2&lt;AE$2))),2))))</f>
      </c>
      <c r="AP76" s="33">
        <f>ROUND(V76-AF76,2)</f>
      </c>
      <c r="AQ76" s="33">
        <f>ROUND(W76-AG76,2)</f>
      </c>
      <c r="AR76" s="33">
        <f>ROUND(X76-AH76,2)</f>
      </c>
      <c r="AS76" s="33">
        <f>ROUND(Y76-AI76,2)</f>
      </c>
      <c r="AT76" s="33">
        <f>ROUND(Z76-AJ76,2)</f>
      </c>
      <c r="AU76" s="33">
        <f>ROUND(AA76-AK76,2)</f>
      </c>
      <c r="AV76" s="33">
        <f>ROUND(AB76-AL76,2)</f>
      </c>
      <c r="AW76" s="33">
        <f>ROUND(AC76-AM76,2)</f>
      </c>
      <c r="AX76" s="33">
        <f>ROUND(AD76-AN76,2)</f>
      </c>
      <c r="AY76" s="33">
        <f>ROUND(AE76-AO76,2)</f>
      </c>
      <c r="AZ76" s="33">
        <f>ROUND(MAX(0,'Your debts'!$D$22-SUM($L76:$U76)),2)</f>
      </c>
      <c r="BA76" s="33">
        <f>ROUND(SUM($B76:$K76)-SUM($AP75:$AY75),2)</f>
      </c>
      <c r="BB76" s="33">
        <f>SUM($AP76:$AY76)</f>
      </c>
      <c r="BC76" s="33">
        <f>ROUND(SUM($L76:$U76)+SUM($AF76:$AO76),2)</f>
      </c>
    </row>
    <row r="77" spans="1:55" x14ac:dyDescent="0.25">
      <c r="A77">
        <v>70</v>
      </c>
      <c r="B77" s="33">
        <f>IF(AP76&lt;=0,0,ROUND(AP76+ROUND(AP76*V$3/12,2),2))</f>
      </c>
      <c r="C77" s="33">
        <f>IF(AQ76&lt;=0,0,ROUND(AQ76+ROUND(AQ76*W$3/12,2),2))</f>
      </c>
      <c r="D77" s="33">
        <f>IF(AR76&lt;=0,0,ROUND(AR76+ROUND(AR76*X$3/12,2),2))</f>
      </c>
      <c r="E77" s="33">
        <f>IF(AS76&lt;=0,0,ROUND(AS76+ROUND(AS76*Y$3/12,2),2))</f>
      </c>
      <c r="F77" s="33">
        <f>IF(AT76&lt;=0,0,ROUND(AT76+ROUND(AT76*Z$3/12,2),2))</f>
      </c>
      <c r="G77" s="33">
        <f>IF(AU76&lt;=0,0,ROUND(AU76+ROUND(AU76*AA$3/12,2),2))</f>
      </c>
      <c r="H77" s="33">
        <f>IF(AV76&lt;=0,0,ROUND(AV76+ROUND(AV76*AB$3/12,2),2))</f>
      </c>
      <c r="I77" s="33">
        <f>IF(AW76&lt;=0,0,ROUND(AW76+ROUND(AW76*AC$3/12,2),2))</f>
      </c>
      <c r="J77" s="33">
        <f>IF(AX76&lt;=0,0,ROUND(AX76+ROUND(AX76*AD$3/12,2),2))</f>
      </c>
      <c r="K77" s="33">
        <f>IF(AY76&lt;=0,0,ROUND(AY76+ROUND(AY76*AE$3/12,2),2))</f>
      </c>
      <c r="L77" s="33">
        <f>ROUND(MIN(MAX(0,N('Your debts'!$E$6)),B77),2)</f>
      </c>
      <c r="M77" s="33">
        <f>ROUND(MIN(MAX(0,N('Your debts'!$E$7)),C77),2)</f>
      </c>
      <c r="N77" s="33">
        <f>ROUND(MIN(MAX(0,N('Your debts'!$E$8)),D77),2)</f>
      </c>
      <c r="O77" s="33">
        <f>ROUND(MIN(MAX(0,N('Your debts'!$E$9)),E77),2)</f>
      </c>
      <c r="P77" s="33">
        <f>ROUND(MIN(MAX(0,N('Your debts'!$E$10)),F77),2)</f>
      </c>
      <c r="Q77" s="33">
        <f>ROUND(MIN(MAX(0,N('Your debts'!$E$11)),G77),2)</f>
      </c>
      <c r="R77" s="33">
        <f>ROUND(MIN(MAX(0,N('Your debts'!$E$12)),H77),2)</f>
      </c>
      <c r="S77" s="33">
        <f>ROUND(MIN(MAX(0,N('Your debts'!$E$13)),I77),2)</f>
      </c>
      <c r="T77" s="33">
        <f>ROUND(MIN(MAX(0,N('Your debts'!$E$14)),J77),2)</f>
      </c>
      <c r="U77" s="33">
        <f>ROUND(MIN(MAX(0,N('Your debts'!$E$15)),K77),2)</f>
      </c>
      <c r="V77" s="33">
        <f>ROUND(B77-L77,2)</f>
      </c>
      <c r="W77" s="33">
        <f>ROUND(C77-M77,2)</f>
      </c>
      <c r="X77" s="33">
        <f>ROUND(D77-N77,2)</f>
      </c>
      <c r="Y77" s="33">
        <f>ROUND(E77-O77,2)</f>
      </c>
      <c r="Z77" s="33">
        <f>ROUND(F77-P77,2)</f>
      </c>
      <c r="AA77" s="33">
        <f>ROUND(G77-Q77,2)</f>
      </c>
      <c r="AB77" s="33">
        <f>ROUND(H77-R77,2)</f>
      </c>
      <c r="AC77" s="33">
        <f>ROUND(I77-S77,2)</f>
      </c>
      <c r="AD77" s="33">
        <f>ROUND(J77-T77,2)</f>
      </c>
      <c r="AE77" s="33">
        <f>ROUND(K77-U77,2)</f>
      </c>
      <c r="AF77" s="33">
        <f>IF(V77&lt;=0,0,MAX(0,MIN(V77,ROUND($AZ77-SUMPRODUCT($V77:$AE77*($V77:$AE77&gt;0)*(($V77:$AE77&lt;V77)+($V77:$AE77=V77)*($V$3:$AE$3&gt;V$3)+($V77:$AE77=V77)*($V$3:$AE$3=V$3)*($V$2:$AE$2&lt;V$2))),2))))</f>
      </c>
      <c r="AG77" s="33">
        <f>IF(W77&lt;=0,0,MAX(0,MIN(W77,ROUND($AZ77-SUMPRODUCT($V77:$AE77*($V77:$AE77&gt;0)*(($V77:$AE77&lt;W77)+($V77:$AE77=W77)*($V$3:$AE$3&gt;W$3)+($V77:$AE77=W77)*($V$3:$AE$3=W$3)*($V$2:$AE$2&lt;W$2))),2))))</f>
      </c>
      <c r="AH77" s="33">
        <f>IF(X77&lt;=0,0,MAX(0,MIN(X77,ROUND($AZ77-SUMPRODUCT($V77:$AE77*($V77:$AE77&gt;0)*(($V77:$AE77&lt;X77)+($V77:$AE77=X77)*($V$3:$AE$3&gt;X$3)+($V77:$AE77=X77)*($V$3:$AE$3=X$3)*($V$2:$AE$2&lt;X$2))),2))))</f>
      </c>
      <c r="AI77" s="33">
        <f>IF(Y77&lt;=0,0,MAX(0,MIN(Y77,ROUND($AZ77-SUMPRODUCT($V77:$AE77*($V77:$AE77&gt;0)*(($V77:$AE77&lt;Y77)+($V77:$AE77=Y77)*($V$3:$AE$3&gt;Y$3)+($V77:$AE77=Y77)*($V$3:$AE$3=Y$3)*($V$2:$AE$2&lt;Y$2))),2))))</f>
      </c>
      <c r="AJ77" s="33">
        <f>IF(Z77&lt;=0,0,MAX(0,MIN(Z77,ROUND($AZ77-SUMPRODUCT($V77:$AE77*($V77:$AE77&gt;0)*(($V77:$AE77&lt;Z77)+($V77:$AE77=Z77)*($V$3:$AE$3&gt;Z$3)+($V77:$AE77=Z77)*($V$3:$AE$3=Z$3)*($V$2:$AE$2&lt;Z$2))),2))))</f>
      </c>
      <c r="AK77" s="33">
        <f>IF(AA77&lt;=0,0,MAX(0,MIN(AA77,ROUND($AZ77-SUMPRODUCT($V77:$AE77*($V77:$AE77&gt;0)*(($V77:$AE77&lt;AA77)+($V77:$AE77=AA77)*($V$3:$AE$3&gt;AA$3)+($V77:$AE77=AA77)*($V$3:$AE$3=AA$3)*($V$2:$AE$2&lt;AA$2))),2))))</f>
      </c>
      <c r="AL77" s="33">
        <f>IF(AB77&lt;=0,0,MAX(0,MIN(AB77,ROUND($AZ77-SUMPRODUCT($V77:$AE77*($V77:$AE77&gt;0)*(($V77:$AE77&lt;AB77)+($V77:$AE77=AB77)*($V$3:$AE$3&gt;AB$3)+($V77:$AE77=AB77)*($V$3:$AE$3=AB$3)*($V$2:$AE$2&lt;AB$2))),2))))</f>
      </c>
      <c r="AM77" s="33">
        <f>IF(AC77&lt;=0,0,MAX(0,MIN(AC77,ROUND($AZ77-SUMPRODUCT($V77:$AE77*($V77:$AE77&gt;0)*(($V77:$AE77&lt;AC77)+($V77:$AE77=AC77)*($V$3:$AE$3&gt;AC$3)+($V77:$AE77=AC77)*($V$3:$AE$3=AC$3)*($V$2:$AE$2&lt;AC$2))),2))))</f>
      </c>
      <c r="AN77" s="33">
        <f>IF(AD77&lt;=0,0,MAX(0,MIN(AD77,ROUND($AZ77-SUMPRODUCT($V77:$AE77*($V77:$AE77&gt;0)*(($V77:$AE77&lt;AD77)+($V77:$AE77=AD77)*($V$3:$AE$3&gt;AD$3)+($V77:$AE77=AD77)*($V$3:$AE$3=AD$3)*($V$2:$AE$2&lt;AD$2))),2))))</f>
      </c>
      <c r="AO77" s="33">
        <f>IF(AE77&lt;=0,0,MAX(0,MIN(AE77,ROUND($AZ77-SUMPRODUCT($V77:$AE77*($V77:$AE77&gt;0)*(($V77:$AE77&lt;AE77)+($V77:$AE77=AE77)*($V$3:$AE$3&gt;AE$3)+($V77:$AE77=AE77)*($V$3:$AE$3=AE$3)*($V$2:$AE$2&lt;AE$2))),2))))</f>
      </c>
      <c r="AP77" s="33">
        <f>ROUND(V77-AF77,2)</f>
      </c>
      <c r="AQ77" s="33">
        <f>ROUND(W77-AG77,2)</f>
      </c>
      <c r="AR77" s="33">
        <f>ROUND(X77-AH77,2)</f>
      </c>
      <c r="AS77" s="33">
        <f>ROUND(Y77-AI77,2)</f>
      </c>
      <c r="AT77" s="33">
        <f>ROUND(Z77-AJ77,2)</f>
      </c>
      <c r="AU77" s="33">
        <f>ROUND(AA77-AK77,2)</f>
      </c>
      <c r="AV77" s="33">
        <f>ROUND(AB77-AL77,2)</f>
      </c>
      <c r="AW77" s="33">
        <f>ROUND(AC77-AM77,2)</f>
      </c>
      <c r="AX77" s="33">
        <f>ROUND(AD77-AN77,2)</f>
      </c>
      <c r="AY77" s="33">
        <f>ROUND(AE77-AO77,2)</f>
      </c>
      <c r="AZ77" s="33">
        <f>ROUND(MAX(0,'Your debts'!$D$22-SUM($L77:$U77)),2)</f>
      </c>
      <c r="BA77" s="33">
        <f>ROUND(SUM($B77:$K77)-SUM($AP76:$AY76),2)</f>
      </c>
      <c r="BB77" s="33">
        <f>SUM($AP77:$AY77)</f>
      </c>
      <c r="BC77" s="33">
        <f>ROUND(SUM($L77:$U77)+SUM($AF77:$AO77),2)</f>
      </c>
    </row>
    <row r="78" spans="1:55" x14ac:dyDescent="0.25">
      <c r="A78">
        <v>71</v>
      </c>
      <c r="B78" s="33">
        <f>IF(AP77&lt;=0,0,ROUND(AP77+ROUND(AP77*V$3/12,2),2))</f>
      </c>
      <c r="C78" s="33">
        <f>IF(AQ77&lt;=0,0,ROUND(AQ77+ROUND(AQ77*W$3/12,2),2))</f>
      </c>
      <c r="D78" s="33">
        <f>IF(AR77&lt;=0,0,ROUND(AR77+ROUND(AR77*X$3/12,2),2))</f>
      </c>
      <c r="E78" s="33">
        <f>IF(AS77&lt;=0,0,ROUND(AS77+ROUND(AS77*Y$3/12,2),2))</f>
      </c>
      <c r="F78" s="33">
        <f>IF(AT77&lt;=0,0,ROUND(AT77+ROUND(AT77*Z$3/12,2),2))</f>
      </c>
      <c r="G78" s="33">
        <f>IF(AU77&lt;=0,0,ROUND(AU77+ROUND(AU77*AA$3/12,2),2))</f>
      </c>
      <c r="H78" s="33">
        <f>IF(AV77&lt;=0,0,ROUND(AV77+ROUND(AV77*AB$3/12,2),2))</f>
      </c>
      <c r="I78" s="33">
        <f>IF(AW77&lt;=0,0,ROUND(AW77+ROUND(AW77*AC$3/12,2),2))</f>
      </c>
      <c r="J78" s="33">
        <f>IF(AX77&lt;=0,0,ROUND(AX77+ROUND(AX77*AD$3/12,2),2))</f>
      </c>
      <c r="K78" s="33">
        <f>IF(AY77&lt;=0,0,ROUND(AY77+ROUND(AY77*AE$3/12,2),2))</f>
      </c>
      <c r="L78" s="33">
        <f>ROUND(MIN(MAX(0,N('Your debts'!$E$6)),B78),2)</f>
      </c>
      <c r="M78" s="33">
        <f>ROUND(MIN(MAX(0,N('Your debts'!$E$7)),C78),2)</f>
      </c>
      <c r="N78" s="33">
        <f>ROUND(MIN(MAX(0,N('Your debts'!$E$8)),D78),2)</f>
      </c>
      <c r="O78" s="33">
        <f>ROUND(MIN(MAX(0,N('Your debts'!$E$9)),E78),2)</f>
      </c>
      <c r="P78" s="33">
        <f>ROUND(MIN(MAX(0,N('Your debts'!$E$10)),F78),2)</f>
      </c>
      <c r="Q78" s="33">
        <f>ROUND(MIN(MAX(0,N('Your debts'!$E$11)),G78),2)</f>
      </c>
      <c r="R78" s="33">
        <f>ROUND(MIN(MAX(0,N('Your debts'!$E$12)),H78),2)</f>
      </c>
      <c r="S78" s="33">
        <f>ROUND(MIN(MAX(0,N('Your debts'!$E$13)),I78),2)</f>
      </c>
      <c r="T78" s="33">
        <f>ROUND(MIN(MAX(0,N('Your debts'!$E$14)),J78),2)</f>
      </c>
      <c r="U78" s="33">
        <f>ROUND(MIN(MAX(0,N('Your debts'!$E$15)),K78),2)</f>
      </c>
      <c r="V78" s="33">
        <f>ROUND(B78-L78,2)</f>
      </c>
      <c r="W78" s="33">
        <f>ROUND(C78-M78,2)</f>
      </c>
      <c r="X78" s="33">
        <f>ROUND(D78-N78,2)</f>
      </c>
      <c r="Y78" s="33">
        <f>ROUND(E78-O78,2)</f>
      </c>
      <c r="Z78" s="33">
        <f>ROUND(F78-P78,2)</f>
      </c>
      <c r="AA78" s="33">
        <f>ROUND(G78-Q78,2)</f>
      </c>
      <c r="AB78" s="33">
        <f>ROUND(H78-R78,2)</f>
      </c>
      <c r="AC78" s="33">
        <f>ROUND(I78-S78,2)</f>
      </c>
      <c r="AD78" s="33">
        <f>ROUND(J78-T78,2)</f>
      </c>
      <c r="AE78" s="33">
        <f>ROUND(K78-U78,2)</f>
      </c>
      <c r="AF78" s="33">
        <f>IF(V78&lt;=0,0,MAX(0,MIN(V78,ROUND($AZ78-SUMPRODUCT($V78:$AE78*($V78:$AE78&gt;0)*(($V78:$AE78&lt;V78)+($V78:$AE78=V78)*($V$3:$AE$3&gt;V$3)+($V78:$AE78=V78)*($V$3:$AE$3=V$3)*($V$2:$AE$2&lt;V$2))),2))))</f>
      </c>
      <c r="AG78" s="33">
        <f>IF(W78&lt;=0,0,MAX(0,MIN(W78,ROUND($AZ78-SUMPRODUCT($V78:$AE78*($V78:$AE78&gt;0)*(($V78:$AE78&lt;W78)+($V78:$AE78=W78)*($V$3:$AE$3&gt;W$3)+($V78:$AE78=W78)*($V$3:$AE$3=W$3)*($V$2:$AE$2&lt;W$2))),2))))</f>
      </c>
      <c r="AH78" s="33">
        <f>IF(X78&lt;=0,0,MAX(0,MIN(X78,ROUND($AZ78-SUMPRODUCT($V78:$AE78*($V78:$AE78&gt;0)*(($V78:$AE78&lt;X78)+($V78:$AE78=X78)*($V$3:$AE$3&gt;X$3)+($V78:$AE78=X78)*($V$3:$AE$3=X$3)*($V$2:$AE$2&lt;X$2))),2))))</f>
      </c>
      <c r="AI78" s="33">
        <f>IF(Y78&lt;=0,0,MAX(0,MIN(Y78,ROUND($AZ78-SUMPRODUCT($V78:$AE78*($V78:$AE78&gt;0)*(($V78:$AE78&lt;Y78)+($V78:$AE78=Y78)*($V$3:$AE$3&gt;Y$3)+($V78:$AE78=Y78)*($V$3:$AE$3=Y$3)*($V$2:$AE$2&lt;Y$2))),2))))</f>
      </c>
      <c r="AJ78" s="33">
        <f>IF(Z78&lt;=0,0,MAX(0,MIN(Z78,ROUND($AZ78-SUMPRODUCT($V78:$AE78*($V78:$AE78&gt;0)*(($V78:$AE78&lt;Z78)+($V78:$AE78=Z78)*($V$3:$AE$3&gt;Z$3)+($V78:$AE78=Z78)*($V$3:$AE$3=Z$3)*($V$2:$AE$2&lt;Z$2))),2))))</f>
      </c>
      <c r="AK78" s="33">
        <f>IF(AA78&lt;=0,0,MAX(0,MIN(AA78,ROUND($AZ78-SUMPRODUCT($V78:$AE78*($V78:$AE78&gt;0)*(($V78:$AE78&lt;AA78)+($V78:$AE78=AA78)*($V$3:$AE$3&gt;AA$3)+($V78:$AE78=AA78)*($V$3:$AE$3=AA$3)*($V$2:$AE$2&lt;AA$2))),2))))</f>
      </c>
      <c r="AL78" s="33">
        <f>IF(AB78&lt;=0,0,MAX(0,MIN(AB78,ROUND($AZ78-SUMPRODUCT($V78:$AE78*($V78:$AE78&gt;0)*(($V78:$AE78&lt;AB78)+($V78:$AE78=AB78)*($V$3:$AE$3&gt;AB$3)+($V78:$AE78=AB78)*($V$3:$AE$3=AB$3)*($V$2:$AE$2&lt;AB$2))),2))))</f>
      </c>
      <c r="AM78" s="33">
        <f>IF(AC78&lt;=0,0,MAX(0,MIN(AC78,ROUND($AZ78-SUMPRODUCT($V78:$AE78*($V78:$AE78&gt;0)*(($V78:$AE78&lt;AC78)+($V78:$AE78=AC78)*($V$3:$AE$3&gt;AC$3)+($V78:$AE78=AC78)*($V$3:$AE$3=AC$3)*($V$2:$AE$2&lt;AC$2))),2))))</f>
      </c>
      <c r="AN78" s="33">
        <f>IF(AD78&lt;=0,0,MAX(0,MIN(AD78,ROUND($AZ78-SUMPRODUCT($V78:$AE78*($V78:$AE78&gt;0)*(($V78:$AE78&lt;AD78)+($V78:$AE78=AD78)*($V$3:$AE$3&gt;AD$3)+($V78:$AE78=AD78)*($V$3:$AE$3=AD$3)*($V$2:$AE$2&lt;AD$2))),2))))</f>
      </c>
      <c r="AO78" s="33">
        <f>IF(AE78&lt;=0,0,MAX(0,MIN(AE78,ROUND($AZ78-SUMPRODUCT($V78:$AE78*($V78:$AE78&gt;0)*(($V78:$AE78&lt;AE78)+($V78:$AE78=AE78)*($V$3:$AE$3&gt;AE$3)+($V78:$AE78=AE78)*($V$3:$AE$3=AE$3)*($V$2:$AE$2&lt;AE$2))),2))))</f>
      </c>
      <c r="AP78" s="33">
        <f>ROUND(V78-AF78,2)</f>
      </c>
      <c r="AQ78" s="33">
        <f>ROUND(W78-AG78,2)</f>
      </c>
      <c r="AR78" s="33">
        <f>ROUND(X78-AH78,2)</f>
      </c>
      <c r="AS78" s="33">
        <f>ROUND(Y78-AI78,2)</f>
      </c>
      <c r="AT78" s="33">
        <f>ROUND(Z78-AJ78,2)</f>
      </c>
      <c r="AU78" s="33">
        <f>ROUND(AA78-AK78,2)</f>
      </c>
      <c r="AV78" s="33">
        <f>ROUND(AB78-AL78,2)</f>
      </c>
      <c r="AW78" s="33">
        <f>ROUND(AC78-AM78,2)</f>
      </c>
      <c r="AX78" s="33">
        <f>ROUND(AD78-AN78,2)</f>
      </c>
      <c r="AY78" s="33">
        <f>ROUND(AE78-AO78,2)</f>
      </c>
      <c r="AZ78" s="33">
        <f>ROUND(MAX(0,'Your debts'!$D$22-SUM($L78:$U78)),2)</f>
      </c>
      <c r="BA78" s="33">
        <f>ROUND(SUM($B78:$K78)-SUM($AP77:$AY77),2)</f>
      </c>
      <c r="BB78" s="33">
        <f>SUM($AP78:$AY78)</f>
      </c>
      <c r="BC78" s="33">
        <f>ROUND(SUM($L78:$U78)+SUM($AF78:$AO78),2)</f>
      </c>
    </row>
    <row r="79" spans="1:55" x14ac:dyDescent="0.25">
      <c r="A79">
        <v>72</v>
      </c>
      <c r="B79" s="33">
        <f>IF(AP78&lt;=0,0,ROUND(AP78+ROUND(AP78*V$3/12,2),2))</f>
      </c>
      <c r="C79" s="33">
        <f>IF(AQ78&lt;=0,0,ROUND(AQ78+ROUND(AQ78*W$3/12,2),2))</f>
      </c>
      <c r="D79" s="33">
        <f>IF(AR78&lt;=0,0,ROUND(AR78+ROUND(AR78*X$3/12,2),2))</f>
      </c>
      <c r="E79" s="33">
        <f>IF(AS78&lt;=0,0,ROUND(AS78+ROUND(AS78*Y$3/12,2),2))</f>
      </c>
      <c r="F79" s="33">
        <f>IF(AT78&lt;=0,0,ROUND(AT78+ROUND(AT78*Z$3/12,2),2))</f>
      </c>
      <c r="G79" s="33">
        <f>IF(AU78&lt;=0,0,ROUND(AU78+ROUND(AU78*AA$3/12,2),2))</f>
      </c>
      <c r="H79" s="33">
        <f>IF(AV78&lt;=0,0,ROUND(AV78+ROUND(AV78*AB$3/12,2),2))</f>
      </c>
      <c r="I79" s="33">
        <f>IF(AW78&lt;=0,0,ROUND(AW78+ROUND(AW78*AC$3/12,2),2))</f>
      </c>
      <c r="J79" s="33">
        <f>IF(AX78&lt;=0,0,ROUND(AX78+ROUND(AX78*AD$3/12,2),2))</f>
      </c>
      <c r="K79" s="33">
        <f>IF(AY78&lt;=0,0,ROUND(AY78+ROUND(AY78*AE$3/12,2),2))</f>
      </c>
      <c r="L79" s="33">
        <f>ROUND(MIN(MAX(0,N('Your debts'!$E$6)),B79),2)</f>
      </c>
      <c r="M79" s="33">
        <f>ROUND(MIN(MAX(0,N('Your debts'!$E$7)),C79),2)</f>
      </c>
      <c r="N79" s="33">
        <f>ROUND(MIN(MAX(0,N('Your debts'!$E$8)),D79),2)</f>
      </c>
      <c r="O79" s="33">
        <f>ROUND(MIN(MAX(0,N('Your debts'!$E$9)),E79),2)</f>
      </c>
      <c r="P79" s="33">
        <f>ROUND(MIN(MAX(0,N('Your debts'!$E$10)),F79),2)</f>
      </c>
      <c r="Q79" s="33">
        <f>ROUND(MIN(MAX(0,N('Your debts'!$E$11)),G79),2)</f>
      </c>
      <c r="R79" s="33">
        <f>ROUND(MIN(MAX(0,N('Your debts'!$E$12)),H79),2)</f>
      </c>
      <c r="S79" s="33">
        <f>ROUND(MIN(MAX(0,N('Your debts'!$E$13)),I79),2)</f>
      </c>
      <c r="T79" s="33">
        <f>ROUND(MIN(MAX(0,N('Your debts'!$E$14)),J79),2)</f>
      </c>
      <c r="U79" s="33">
        <f>ROUND(MIN(MAX(0,N('Your debts'!$E$15)),K79),2)</f>
      </c>
      <c r="V79" s="33">
        <f>ROUND(B79-L79,2)</f>
      </c>
      <c r="W79" s="33">
        <f>ROUND(C79-M79,2)</f>
      </c>
      <c r="X79" s="33">
        <f>ROUND(D79-N79,2)</f>
      </c>
      <c r="Y79" s="33">
        <f>ROUND(E79-O79,2)</f>
      </c>
      <c r="Z79" s="33">
        <f>ROUND(F79-P79,2)</f>
      </c>
      <c r="AA79" s="33">
        <f>ROUND(G79-Q79,2)</f>
      </c>
      <c r="AB79" s="33">
        <f>ROUND(H79-R79,2)</f>
      </c>
      <c r="AC79" s="33">
        <f>ROUND(I79-S79,2)</f>
      </c>
      <c r="AD79" s="33">
        <f>ROUND(J79-T79,2)</f>
      </c>
      <c r="AE79" s="33">
        <f>ROUND(K79-U79,2)</f>
      </c>
      <c r="AF79" s="33">
        <f>IF(V79&lt;=0,0,MAX(0,MIN(V79,ROUND($AZ79-SUMPRODUCT($V79:$AE79*($V79:$AE79&gt;0)*(($V79:$AE79&lt;V79)+($V79:$AE79=V79)*($V$3:$AE$3&gt;V$3)+($V79:$AE79=V79)*($V$3:$AE$3=V$3)*($V$2:$AE$2&lt;V$2))),2))))</f>
      </c>
      <c r="AG79" s="33">
        <f>IF(W79&lt;=0,0,MAX(0,MIN(W79,ROUND($AZ79-SUMPRODUCT($V79:$AE79*($V79:$AE79&gt;0)*(($V79:$AE79&lt;W79)+($V79:$AE79=W79)*($V$3:$AE$3&gt;W$3)+($V79:$AE79=W79)*($V$3:$AE$3=W$3)*($V$2:$AE$2&lt;W$2))),2))))</f>
      </c>
      <c r="AH79" s="33">
        <f>IF(X79&lt;=0,0,MAX(0,MIN(X79,ROUND($AZ79-SUMPRODUCT($V79:$AE79*($V79:$AE79&gt;0)*(($V79:$AE79&lt;X79)+($V79:$AE79=X79)*($V$3:$AE$3&gt;X$3)+($V79:$AE79=X79)*($V$3:$AE$3=X$3)*($V$2:$AE$2&lt;X$2))),2))))</f>
      </c>
      <c r="AI79" s="33">
        <f>IF(Y79&lt;=0,0,MAX(0,MIN(Y79,ROUND($AZ79-SUMPRODUCT($V79:$AE79*($V79:$AE79&gt;0)*(($V79:$AE79&lt;Y79)+($V79:$AE79=Y79)*($V$3:$AE$3&gt;Y$3)+($V79:$AE79=Y79)*($V$3:$AE$3=Y$3)*($V$2:$AE$2&lt;Y$2))),2))))</f>
      </c>
      <c r="AJ79" s="33">
        <f>IF(Z79&lt;=0,0,MAX(0,MIN(Z79,ROUND($AZ79-SUMPRODUCT($V79:$AE79*($V79:$AE79&gt;0)*(($V79:$AE79&lt;Z79)+($V79:$AE79=Z79)*($V$3:$AE$3&gt;Z$3)+($V79:$AE79=Z79)*($V$3:$AE$3=Z$3)*($V$2:$AE$2&lt;Z$2))),2))))</f>
      </c>
      <c r="AK79" s="33">
        <f>IF(AA79&lt;=0,0,MAX(0,MIN(AA79,ROUND($AZ79-SUMPRODUCT($V79:$AE79*($V79:$AE79&gt;0)*(($V79:$AE79&lt;AA79)+($V79:$AE79=AA79)*($V$3:$AE$3&gt;AA$3)+($V79:$AE79=AA79)*($V$3:$AE$3=AA$3)*($V$2:$AE$2&lt;AA$2))),2))))</f>
      </c>
      <c r="AL79" s="33">
        <f>IF(AB79&lt;=0,0,MAX(0,MIN(AB79,ROUND($AZ79-SUMPRODUCT($V79:$AE79*($V79:$AE79&gt;0)*(($V79:$AE79&lt;AB79)+($V79:$AE79=AB79)*($V$3:$AE$3&gt;AB$3)+($V79:$AE79=AB79)*($V$3:$AE$3=AB$3)*($V$2:$AE$2&lt;AB$2))),2))))</f>
      </c>
      <c r="AM79" s="33">
        <f>IF(AC79&lt;=0,0,MAX(0,MIN(AC79,ROUND($AZ79-SUMPRODUCT($V79:$AE79*($V79:$AE79&gt;0)*(($V79:$AE79&lt;AC79)+($V79:$AE79=AC79)*($V$3:$AE$3&gt;AC$3)+($V79:$AE79=AC79)*($V$3:$AE$3=AC$3)*($V$2:$AE$2&lt;AC$2))),2))))</f>
      </c>
      <c r="AN79" s="33">
        <f>IF(AD79&lt;=0,0,MAX(0,MIN(AD79,ROUND($AZ79-SUMPRODUCT($V79:$AE79*($V79:$AE79&gt;0)*(($V79:$AE79&lt;AD79)+($V79:$AE79=AD79)*($V$3:$AE$3&gt;AD$3)+($V79:$AE79=AD79)*($V$3:$AE$3=AD$3)*($V$2:$AE$2&lt;AD$2))),2))))</f>
      </c>
      <c r="AO79" s="33">
        <f>IF(AE79&lt;=0,0,MAX(0,MIN(AE79,ROUND($AZ79-SUMPRODUCT($V79:$AE79*($V79:$AE79&gt;0)*(($V79:$AE79&lt;AE79)+($V79:$AE79=AE79)*($V$3:$AE$3&gt;AE$3)+($V79:$AE79=AE79)*($V$3:$AE$3=AE$3)*($V$2:$AE$2&lt;AE$2))),2))))</f>
      </c>
      <c r="AP79" s="33">
        <f>ROUND(V79-AF79,2)</f>
      </c>
      <c r="AQ79" s="33">
        <f>ROUND(W79-AG79,2)</f>
      </c>
      <c r="AR79" s="33">
        <f>ROUND(X79-AH79,2)</f>
      </c>
      <c r="AS79" s="33">
        <f>ROUND(Y79-AI79,2)</f>
      </c>
      <c r="AT79" s="33">
        <f>ROUND(Z79-AJ79,2)</f>
      </c>
      <c r="AU79" s="33">
        <f>ROUND(AA79-AK79,2)</f>
      </c>
      <c r="AV79" s="33">
        <f>ROUND(AB79-AL79,2)</f>
      </c>
      <c r="AW79" s="33">
        <f>ROUND(AC79-AM79,2)</f>
      </c>
      <c r="AX79" s="33">
        <f>ROUND(AD79-AN79,2)</f>
      </c>
      <c r="AY79" s="33">
        <f>ROUND(AE79-AO79,2)</f>
      </c>
      <c r="AZ79" s="33">
        <f>ROUND(MAX(0,'Your debts'!$D$22-SUM($L79:$U79)),2)</f>
      </c>
      <c r="BA79" s="33">
        <f>ROUND(SUM($B79:$K79)-SUM($AP78:$AY78),2)</f>
      </c>
      <c r="BB79" s="33">
        <f>SUM($AP79:$AY79)</f>
      </c>
      <c r="BC79" s="33">
        <f>ROUND(SUM($L79:$U79)+SUM($AF79:$AO79),2)</f>
      </c>
    </row>
    <row r="80" spans="1:55" x14ac:dyDescent="0.25">
      <c r="A80">
        <v>73</v>
      </c>
      <c r="B80" s="33">
        <f>IF(AP79&lt;=0,0,ROUND(AP79+ROUND(AP79*V$3/12,2),2))</f>
      </c>
      <c r="C80" s="33">
        <f>IF(AQ79&lt;=0,0,ROUND(AQ79+ROUND(AQ79*W$3/12,2),2))</f>
      </c>
      <c r="D80" s="33">
        <f>IF(AR79&lt;=0,0,ROUND(AR79+ROUND(AR79*X$3/12,2),2))</f>
      </c>
      <c r="E80" s="33">
        <f>IF(AS79&lt;=0,0,ROUND(AS79+ROUND(AS79*Y$3/12,2),2))</f>
      </c>
      <c r="F80" s="33">
        <f>IF(AT79&lt;=0,0,ROUND(AT79+ROUND(AT79*Z$3/12,2),2))</f>
      </c>
      <c r="G80" s="33">
        <f>IF(AU79&lt;=0,0,ROUND(AU79+ROUND(AU79*AA$3/12,2),2))</f>
      </c>
      <c r="H80" s="33">
        <f>IF(AV79&lt;=0,0,ROUND(AV79+ROUND(AV79*AB$3/12,2),2))</f>
      </c>
      <c r="I80" s="33">
        <f>IF(AW79&lt;=0,0,ROUND(AW79+ROUND(AW79*AC$3/12,2),2))</f>
      </c>
      <c r="J80" s="33">
        <f>IF(AX79&lt;=0,0,ROUND(AX79+ROUND(AX79*AD$3/12,2),2))</f>
      </c>
      <c r="K80" s="33">
        <f>IF(AY79&lt;=0,0,ROUND(AY79+ROUND(AY79*AE$3/12,2),2))</f>
      </c>
      <c r="L80" s="33">
        <f>ROUND(MIN(MAX(0,N('Your debts'!$E$6)),B80),2)</f>
      </c>
      <c r="M80" s="33">
        <f>ROUND(MIN(MAX(0,N('Your debts'!$E$7)),C80),2)</f>
      </c>
      <c r="N80" s="33">
        <f>ROUND(MIN(MAX(0,N('Your debts'!$E$8)),D80),2)</f>
      </c>
      <c r="O80" s="33">
        <f>ROUND(MIN(MAX(0,N('Your debts'!$E$9)),E80),2)</f>
      </c>
      <c r="P80" s="33">
        <f>ROUND(MIN(MAX(0,N('Your debts'!$E$10)),F80),2)</f>
      </c>
      <c r="Q80" s="33">
        <f>ROUND(MIN(MAX(0,N('Your debts'!$E$11)),G80),2)</f>
      </c>
      <c r="R80" s="33">
        <f>ROUND(MIN(MAX(0,N('Your debts'!$E$12)),H80),2)</f>
      </c>
      <c r="S80" s="33">
        <f>ROUND(MIN(MAX(0,N('Your debts'!$E$13)),I80),2)</f>
      </c>
      <c r="T80" s="33">
        <f>ROUND(MIN(MAX(0,N('Your debts'!$E$14)),J80),2)</f>
      </c>
      <c r="U80" s="33">
        <f>ROUND(MIN(MAX(0,N('Your debts'!$E$15)),K80),2)</f>
      </c>
      <c r="V80" s="33">
        <f>ROUND(B80-L80,2)</f>
      </c>
      <c r="W80" s="33">
        <f>ROUND(C80-M80,2)</f>
      </c>
      <c r="X80" s="33">
        <f>ROUND(D80-N80,2)</f>
      </c>
      <c r="Y80" s="33">
        <f>ROUND(E80-O80,2)</f>
      </c>
      <c r="Z80" s="33">
        <f>ROUND(F80-P80,2)</f>
      </c>
      <c r="AA80" s="33">
        <f>ROUND(G80-Q80,2)</f>
      </c>
      <c r="AB80" s="33">
        <f>ROUND(H80-R80,2)</f>
      </c>
      <c r="AC80" s="33">
        <f>ROUND(I80-S80,2)</f>
      </c>
      <c r="AD80" s="33">
        <f>ROUND(J80-T80,2)</f>
      </c>
      <c r="AE80" s="33">
        <f>ROUND(K80-U80,2)</f>
      </c>
      <c r="AF80" s="33">
        <f>IF(V80&lt;=0,0,MAX(0,MIN(V80,ROUND($AZ80-SUMPRODUCT($V80:$AE80*($V80:$AE80&gt;0)*(($V80:$AE80&lt;V80)+($V80:$AE80=V80)*($V$3:$AE$3&gt;V$3)+($V80:$AE80=V80)*($V$3:$AE$3=V$3)*($V$2:$AE$2&lt;V$2))),2))))</f>
      </c>
      <c r="AG80" s="33">
        <f>IF(W80&lt;=0,0,MAX(0,MIN(W80,ROUND($AZ80-SUMPRODUCT($V80:$AE80*($V80:$AE80&gt;0)*(($V80:$AE80&lt;W80)+($V80:$AE80=W80)*($V$3:$AE$3&gt;W$3)+($V80:$AE80=W80)*($V$3:$AE$3=W$3)*($V$2:$AE$2&lt;W$2))),2))))</f>
      </c>
      <c r="AH80" s="33">
        <f>IF(X80&lt;=0,0,MAX(0,MIN(X80,ROUND($AZ80-SUMPRODUCT($V80:$AE80*($V80:$AE80&gt;0)*(($V80:$AE80&lt;X80)+($V80:$AE80=X80)*($V$3:$AE$3&gt;X$3)+($V80:$AE80=X80)*($V$3:$AE$3=X$3)*($V$2:$AE$2&lt;X$2))),2))))</f>
      </c>
      <c r="AI80" s="33">
        <f>IF(Y80&lt;=0,0,MAX(0,MIN(Y80,ROUND($AZ80-SUMPRODUCT($V80:$AE80*($V80:$AE80&gt;0)*(($V80:$AE80&lt;Y80)+($V80:$AE80=Y80)*($V$3:$AE$3&gt;Y$3)+($V80:$AE80=Y80)*($V$3:$AE$3=Y$3)*($V$2:$AE$2&lt;Y$2))),2))))</f>
      </c>
      <c r="AJ80" s="33">
        <f>IF(Z80&lt;=0,0,MAX(0,MIN(Z80,ROUND($AZ80-SUMPRODUCT($V80:$AE80*($V80:$AE80&gt;0)*(($V80:$AE80&lt;Z80)+($V80:$AE80=Z80)*($V$3:$AE$3&gt;Z$3)+($V80:$AE80=Z80)*($V$3:$AE$3=Z$3)*($V$2:$AE$2&lt;Z$2))),2))))</f>
      </c>
      <c r="AK80" s="33">
        <f>IF(AA80&lt;=0,0,MAX(0,MIN(AA80,ROUND($AZ80-SUMPRODUCT($V80:$AE80*($V80:$AE80&gt;0)*(($V80:$AE80&lt;AA80)+($V80:$AE80=AA80)*($V$3:$AE$3&gt;AA$3)+($V80:$AE80=AA80)*($V$3:$AE$3=AA$3)*($V$2:$AE$2&lt;AA$2))),2))))</f>
      </c>
      <c r="AL80" s="33">
        <f>IF(AB80&lt;=0,0,MAX(0,MIN(AB80,ROUND($AZ80-SUMPRODUCT($V80:$AE80*($V80:$AE80&gt;0)*(($V80:$AE80&lt;AB80)+($V80:$AE80=AB80)*($V$3:$AE$3&gt;AB$3)+($V80:$AE80=AB80)*($V$3:$AE$3=AB$3)*($V$2:$AE$2&lt;AB$2))),2))))</f>
      </c>
      <c r="AM80" s="33">
        <f>IF(AC80&lt;=0,0,MAX(0,MIN(AC80,ROUND($AZ80-SUMPRODUCT($V80:$AE80*($V80:$AE80&gt;0)*(($V80:$AE80&lt;AC80)+($V80:$AE80=AC80)*($V$3:$AE$3&gt;AC$3)+($V80:$AE80=AC80)*($V$3:$AE$3=AC$3)*($V$2:$AE$2&lt;AC$2))),2))))</f>
      </c>
      <c r="AN80" s="33">
        <f>IF(AD80&lt;=0,0,MAX(0,MIN(AD80,ROUND($AZ80-SUMPRODUCT($V80:$AE80*($V80:$AE80&gt;0)*(($V80:$AE80&lt;AD80)+($V80:$AE80=AD80)*($V$3:$AE$3&gt;AD$3)+($V80:$AE80=AD80)*($V$3:$AE$3=AD$3)*($V$2:$AE$2&lt;AD$2))),2))))</f>
      </c>
      <c r="AO80" s="33">
        <f>IF(AE80&lt;=0,0,MAX(0,MIN(AE80,ROUND($AZ80-SUMPRODUCT($V80:$AE80*($V80:$AE80&gt;0)*(($V80:$AE80&lt;AE80)+($V80:$AE80=AE80)*($V$3:$AE$3&gt;AE$3)+($V80:$AE80=AE80)*($V$3:$AE$3=AE$3)*($V$2:$AE$2&lt;AE$2))),2))))</f>
      </c>
      <c r="AP80" s="33">
        <f>ROUND(V80-AF80,2)</f>
      </c>
      <c r="AQ80" s="33">
        <f>ROUND(W80-AG80,2)</f>
      </c>
      <c r="AR80" s="33">
        <f>ROUND(X80-AH80,2)</f>
      </c>
      <c r="AS80" s="33">
        <f>ROUND(Y80-AI80,2)</f>
      </c>
      <c r="AT80" s="33">
        <f>ROUND(Z80-AJ80,2)</f>
      </c>
      <c r="AU80" s="33">
        <f>ROUND(AA80-AK80,2)</f>
      </c>
      <c r="AV80" s="33">
        <f>ROUND(AB80-AL80,2)</f>
      </c>
      <c r="AW80" s="33">
        <f>ROUND(AC80-AM80,2)</f>
      </c>
      <c r="AX80" s="33">
        <f>ROUND(AD80-AN80,2)</f>
      </c>
      <c r="AY80" s="33">
        <f>ROUND(AE80-AO80,2)</f>
      </c>
      <c r="AZ80" s="33">
        <f>ROUND(MAX(0,'Your debts'!$D$22-SUM($L80:$U80)),2)</f>
      </c>
      <c r="BA80" s="33">
        <f>ROUND(SUM($B80:$K80)-SUM($AP79:$AY79),2)</f>
      </c>
      <c r="BB80" s="33">
        <f>SUM($AP80:$AY80)</f>
      </c>
      <c r="BC80" s="33">
        <f>ROUND(SUM($L80:$U80)+SUM($AF80:$AO80),2)</f>
      </c>
    </row>
    <row r="81" spans="1:55" x14ac:dyDescent="0.25">
      <c r="A81">
        <v>74</v>
      </c>
      <c r="B81" s="33">
        <f>IF(AP80&lt;=0,0,ROUND(AP80+ROUND(AP80*V$3/12,2),2))</f>
      </c>
      <c r="C81" s="33">
        <f>IF(AQ80&lt;=0,0,ROUND(AQ80+ROUND(AQ80*W$3/12,2),2))</f>
      </c>
      <c r="D81" s="33">
        <f>IF(AR80&lt;=0,0,ROUND(AR80+ROUND(AR80*X$3/12,2),2))</f>
      </c>
      <c r="E81" s="33">
        <f>IF(AS80&lt;=0,0,ROUND(AS80+ROUND(AS80*Y$3/12,2),2))</f>
      </c>
      <c r="F81" s="33">
        <f>IF(AT80&lt;=0,0,ROUND(AT80+ROUND(AT80*Z$3/12,2),2))</f>
      </c>
      <c r="G81" s="33">
        <f>IF(AU80&lt;=0,0,ROUND(AU80+ROUND(AU80*AA$3/12,2),2))</f>
      </c>
      <c r="H81" s="33">
        <f>IF(AV80&lt;=0,0,ROUND(AV80+ROUND(AV80*AB$3/12,2),2))</f>
      </c>
      <c r="I81" s="33">
        <f>IF(AW80&lt;=0,0,ROUND(AW80+ROUND(AW80*AC$3/12,2),2))</f>
      </c>
      <c r="J81" s="33">
        <f>IF(AX80&lt;=0,0,ROUND(AX80+ROUND(AX80*AD$3/12,2),2))</f>
      </c>
      <c r="K81" s="33">
        <f>IF(AY80&lt;=0,0,ROUND(AY80+ROUND(AY80*AE$3/12,2),2))</f>
      </c>
      <c r="L81" s="33">
        <f>ROUND(MIN(MAX(0,N('Your debts'!$E$6)),B81),2)</f>
      </c>
      <c r="M81" s="33">
        <f>ROUND(MIN(MAX(0,N('Your debts'!$E$7)),C81),2)</f>
      </c>
      <c r="N81" s="33">
        <f>ROUND(MIN(MAX(0,N('Your debts'!$E$8)),D81),2)</f>
      </c>
      <c r="O81" s="33">
        <f>ROUND(MIN(MAX(0,N('Your debts'!$E$9)),E81),2)</f>
      </c>
      <c r="P81" s="33">
        <f>ROUND(MIN(MAX(0,N('Your debts'!$E$10)),F81),2)</f>
      </c>
      <c r="Q81" s="33">
        <f>ROUND(MIN(MAX(0,N('Your debts'!$E$11)),G81),2)</f>
      </c>
      <c r="R81" s="33">
        <f>ROUND(MIN(MAX(0,N('Your debts'!$E$12)),H81),2)</f>
      </c>
      <c r="S81" s="33">
        <f>ROUND(MIN(MAX(0,N('Your debts'!$E$13)),I81),2)</f>
      </c>
      <c r="T81" s="33">
        <f>ROUND(MIN(MAX(0,N('Your debts'!$E$14)),J81),2)</f>
      </c>
      <c r="U81" s="33">
        <f>ROUND(MIN(MAX(0,N('Your debts'!$E$15)),K81),2)</f>
      </c>
      <c r="V81" s="33">
        <f>ROUND(B81-L81,2)</f>
      </c>
      <c r="W81" s="33">
        <f>ROUND(C81-M81,2)</f>
      </c>
      <c r="X81" s="33">
        <f>ROUND(D81-N81,2)</f>
      </c>
      <c r="Y81" s="33">
        <f>ROUND(E81-O81,2)</f>
      </c>
      <c r="Z81" s="33">
        <f>ROUND(F81-P81,2)</f>
      </c>
      <c r="AA81" s="33">
        <f>ROUND(G81-Q81,2)</f>
      </c>
      <c r="AB81" s="33">
        <f>ROUND(H81-R81,2)</f>
      </c>
      <c r="AC81" s="33">
        <f>ROUND(I81-S81,2)</f>
      </c>
      <c r="AD81" s="33">
        <f>ROUND(J81-T81,2)</f>
      </c>
      <c r="AE81" s="33">
        <f>ROUND(K81-U81,2)</f>
      </c>
      <c r="AF81" s="33">
        <f>IF(V81&lt;=0,0,MAX(0,MIN(V81,ROUND($AZ81-SUMPRODUCT($V81:$AE81*($V81:$AE81&gt;0)*(($V81:$AE81&lt;V81)+($V81:$AE81=V81)*($V$3:$AE$3&gt;V$3)+($V81:$AE81=V81)*($V$3:$AE$3=V$3)*($V$2:$AE$2&lt;V$2))),2))))</f>
      </c>
      <c r="AG81" s="33">
        <f>IF(W81&lt;=0,0,MAX(0,MIN(W81,ROUND($AZ81-SUMPRODUCT($V81:$AE81*($V81:$AE81&gt;0)*(($V81:$AE81&lt;W81)+($V81:$AE81=W81)*($V$3:$AE$3&gt;W$3)+($V81:$AE81=W81)*($V$3:$AE$3=W$3)*($V$2:$AE$2&lt;W$2))),2))))</f>
      </c>
      <c r="AH81" s="33">
        <f>IF(X81&lt;=0,0,MAX(0,MIN(X81,ROUND($AZ81-SUMPRODUCT($V81:$AE81*($V81:$AE81&gt;0)*(($V81:$AE81&lt;X81)+($V81:$AE81=X81)*($V$3:$AE$3&gt;X$3)+($V81:$AE81=X81)*($V$3:$AE$3=X$3)*($V$2:$AE$2&lt;X$2))),2))))</f>
      </c>
      <c r="AI81" s="33">
        <f>IF(Y81&lt;=0,0,MAX(0,MIN(Y81,ROUND($AZ81-SUMPRODUCT($V81:$AE81*($V81:$AE81&gt;0)*(($V81:$AE81&lt;Y81)+($V81:$AE81=Y81)*($V$3:$AE$3&gt;Y$3)+($V81:$AE81=Y81)*($V$3:$AE$3=Y$3)*($V$2:$AE$2&lt;Y$2))),2))))</f>
      </c>
      <c r="AJ81" s="33">
        <f>IF(Z81&lt;=0,0,MAX(0,MIN(Z81,ROUND($AZ81-SUMPRODUCT($V81:$AE81*($V81:$AE81&gt;0)*(($V81:$AE81&lt;Z81)+($V81:$AE81=Z81)*($V$3:$AE$3&gt;Z$3)+($V81:$AE81=Z81)*($V$3:$AE$3=Z$3)*($V$2:$AE$2&lt;Z$2))),2))))</f>
      </c>
      <c r="AK81" s="33">
        <f>IF(AA81&lt;=0,0,MAX(0,MIN(AA81,ROUND($AZ81-SUMPRODUCT($V81:$AE81*($V81:$AE81&gt;0)*(($V81:$AE81&lt;AA81)+($V81:$AE81=AA81)*($V$3:$AE$3&gt;AA$3)+($V81:$AE81=AA81)*($V$3:$AE$3=AA$3)*($V$2:$AE$2&lt;AA$2))),2))))</f>
      </c>
      <c r="AL81" s="33">
        <f>IF(AB81&lt;=0,0,MAX(0,MIN(AB81,ROUND($AZ81-SUMPRODUCT($V81:$AE81*($V81:$AE81&gt;0)*(($V81:$AE81&lt;AB81)+($V81:$AE81=AB81)*($V$3:$AE$3&gt;AB$3)+($V81:$AE81=AB81)*($V$3:$AE$3=AB$3)*($V$2:$AE$2&lt;AB$2))),2))))</f>
      </c>
      <c r="AM81" s="33">
        <f>IF(AC81&lt;=0,0,MAX(0,MIN(AC81,ROUND($AZ81-SUMPRODUCT($V81:$AE81*($V81:$AE81&gt;0)*(($V81:$AE81&lt;AC81)+($V81:$AE81=AC81)*($V$3:$AE$3&gt;AC$3)+($V81:$AE81=AC81)*($V$3:$AE$3=AC$3)*($V$2:$AE$2&lt;AC$2))),2))))</f>
      </c>
      <c r="AN81" s="33">
        <f>IF(AD81&lt;=0,0,MAX(0,MIN(AD81,ROUND($AZ81-SUMPRODUCT($V81:$AE81*($V81:$AE81&gt;0)*(($V81:$AE81&lt;AD81)+($V81:$AE81=AD81)*($V$3:$AE$3&gt;AD$3)+($V81:$AE81=AD81)*($V$3:$AE$3=AD$3)*($V$2:$AE$2&lt;AD$2))),2))))</f>
      </c>
      <c r="AO81" s="33">
        <f>IF(AE81&lt;=0,0,MAX(0,MIN(AE81,ROUND($AZ81-SUMPRODUCT($V81:$AE81*($V81:$AE81&gt;0)*(($V81:$AE81&lt;AE81)+($V81:$AE81=AE81)*($V$3:$AE$3&gt;AE$3)+($V81:$AE81=AE81)*($V$3:$AE$3=AE$3)*($V$2:$AE$2&lt;AE$2))),2))))</f>
      </c>
      <c r="AP81" s="33">
        <f>ROUND(V81-AF81,2)</f>
      </c>
      <c r="AQ81" s="33">
        <f>ROUND(W81-AG81,2)</f>
      </c>
      <c r="AR81" s="33">
        <f>ROUND(X81-AH81,2)</f>
      </c>
      <c r="AS81" s="33">
        <f>ROUND(Y81-AI81,2)</f>
      </c>
      <c r="AT81" s="33">
        <f>ROUND(Z81-AJ81,2)</f>
      </c>
      <c r="AU81" s="33">
        <f>ROUND(AA81-AK81,2)</f>
      </c>
      <c r="AV81" s="33">
        <f>ROUND(AB81-AL81,2)</f>
      </c>
      <c r="AW81" s="33">
        <f>ROUND(AC81-AM81,2)</f>
      </c>
      <c r="AX81" s="33">
        <f>ROUND(AD81-AN81,2)</f>
      </c>
      <c r="AY81" s="33">
        <f>ROUND(AE81-AO81,2)</f>
      </c>
      <c r="AZ81" s="33">
        <f>ROUND(MAX(0,'Your debts'!$D$22-SUM($L81:$U81)),2)</f>
      </c>
      <c r="BA81" s="33">
        <f>ROUND(SUM($B81:$K81)-SUM($AP80:$AY80),2)</f>
      </c>
      <c r="BB81" s="33">
        <f>SUM($AP81:$AY81)</f>
      </c>
      <c r="BC81" s="33">
        <f>ROUND(SUM($L81:$U81)+SUM($AF81:$AO81),2)</f>
      </c>
    </row>
    <row r="82" spans="1:55" x14ac:dyDescent="0.25">
      <c r="A82">
        <v>75</v>
      </c>
      <c r="B82" s="33">
        <f>IF(AP81&lt;=0,0,ROUND(AP81+ROUND(AP81*V$3/12,2),2))</f>
      </c>
      <c r="C82" s="33">
        <f>IF(AQ81&lt;=0,0,ROUND(AQ81+ROUND(AQ81*W$3/12,2),2))</f>
      </c>
      <c r="D82" s="33">
        <f>IF(AR81&lt;=0,0,ROUND(AR81+ROUND(AR81*X$3/12,2),2))</f>
      </c>
      <c r="E82" s="33">
        <f>IF(AS81&lt;=0,0,ROUND(AS81+ROUND(AS81*Y$3/12,2),2))</f>
      </c>
      <c r="F82" s="33">
        <f>IF(AT81&lt;=0,0,ROUND(AT81+ROUND(AT81*Z$3/12,2),2))</f>
      </c>
      <c r="G82" s="33">
        <f>IF(AU81&lt;=0,0,ROUND(AU81+ROUND(AU81*AA$3/12,2),2))</f>
      </c>
      <c r="H82" s="33">
        <f>IF(AV81&lt;=0,0,ROUND(AV81+ROUND(AV81*AB$3/12,2),2))</f>
      </c>
      <c r="I82" s="33">
        <f>IF(AW81&lt;=0,0,ROUND(AW81+ROUND(AW81*AC$3/12,2),2))</f>
      </c>
      <c r="J82" s="33">
        <f>IF(AX81&lt;=0,0,ROUND(AX81+ROUND(AX81*AD$3/12,2),2))</f>
      </c>
      <c r="K82" s="33">
        <f>IF(AY81&lt;=0,0,ROUND(AY81+ROUND(AY81*AE$3/12,2),2))</f>
      </c>
      <c r="L82" s="33">
        <f>ROUND(MIN(MAX(0,N('Your debts'!$E$6)),B82),2)</f>
      </c>
      <c r="M82" s="33">
        <f>ROUND(MIN(MAX(0,N('Your debts'!$E$7)),C82),2)</f>
      </c>
      <c r="N82" s="33">
        <f>ROUND(MIN(MAX(0,N('Your debts'!$E$8)),D82),2)</f>
      </c>
      <c r="O82" s="33">
        <f>ROUND(MIN(MAX(0,N('Your debts'!$E$9)),E82),2)</f>
      </c>
      <c r="P82" s="33">
        <f>ROUND(MIN(MAX(0,N('Your debts'!$E$10)),F82),2)</f>
      </c>
      <c r="Q82" s="33">
        <f>ROUND(MIN(MAX(0,N('Your debts'!$E$11)),G82),2)</f>
      </c>
      <c r="R82" s="33">
        <f>ROUND(MIN(MAX(0,N('Your debts'!$E$12)),H82),2)</f>
      </c>
      <c r="S82" s="33">
        <f>ROUND(MIN(MAX(0,N('Your debts'!$E$13)),I82),2)</f>
      </c>
      <c r="T82" s="33">
        <f>ROUND(MIN(MAX(0,N('Your debts'!$E$14)),J82),2)</f>
      </c>
      <c r="U82" s="33">
        <f>ROUND(MIN(MAX(0,N('Your debts'!$E$15)),K82),2)</f>
      </c>
      <c r="V82" s="33">
        <f>ROUND(B82-L82,2)</f>
      </c>
      <c r="W82" s="33">
        <f>ROUND(C82-M82,2)</f>
      </c>
      <c r="X82" s="33">
        <f>ROUND(D82-N82,2)</f>
      </c>
      <c r="Y82" s="33">
        <f>ROUND(E82-O82,2)</f>
      </c>
      <c r="Z82" s="33">
        <f>ROUND(F82-P82,2)</f>
      </c>
      <c r="AA82" s="33">
        <f>ROUND(G82-Q82,2)</f>
      </c>
      <c r="AB82" s="33">
        <f>ROUND(H82-R82,2)</f>
      </c>
      <c r="AC82" s="33">
        <f>ROUND(I82-S82,2)</f>
      </c>
      <c r="AD82" s="33">
        <f>ROUND(J82-T82,2)</f>
      </c>
      <c r="AE82" s="33">
        <f>ROUND(K82-U82,2)</f>
      </c>
      <c r="AF82" s="33">
        <f>IF(V82&lt;=0,0,MAX(0,MIN(V82,ROUND($AZ82-SUMPRODUCT($V82:$AE82*($V82:$AE82&gt;0)*(($V82:$AE82&lt;V82)+($V82:$AE82=V82)*($V$3:$AE$3&gt;V$3)+($V82:$AE82=V82)*($V$3:$AE$3=V$3)*($V$2:$AE$2&lt;V$2))),2))))</f>
      </c>
      <c r="AG82" s="33">
        <f>IF(W82&lt;=0,0,MAX(0,MIN(W82,ROUND($AZ82-SUMPRODUCT($V82:$AE82*($V82:$AE82&gt;0)*(($V82:$AE82&lt;W82)+($V82:$AE82=W82)*($V$3:$AE$3&gt;W$3)+($V82:$AE82=W82)*($V$3:$AE$3=W$3)*($V$2:$AE$2&lt;W$2))),2))))</f>
      </c>
      <c r="AH82" s="33">
        <f>IF(X82&lt;=0,0,MAX(0,MIN(X82,ROUND($AZ82-SUMPRODUCT($V82:$AE82*($V82:$AE82&gt;0)*(($V82:$AE82&lt;X82)+($V82:$AE82=X82)*($V$3:$AE$3&gt;X$3)+($V82:$AE82=X82)*($V$3:$AE$3=X$3)*($V$2:$AE$2&lt;X$2))),2))))</f>
      </c>
      <c r="AI82" s="33">
        <f>IF(Y82&lt;=0,0,MAX(0,MIN(Y82,ROUND($AZ82-SUMPRODUCT($V82:$AE82*($V82:$AE82&gt;0)*(($V82:$AE82&lt;Y82)+($V82:$AE82=Y82)*($V$3:$AE$3&gt;Y$3)+($V82:$AE82=Y82)*($V$3:$AE$3=Y$3)*($V$2:$AE$2&lt;Y$2))),2))))</f>
      </c>
      <c r="AJ82" s="33">
        <f>IF(Z82&lt;=0,0,MAX(0,MIN(Z82,ROUND($AZ82-SUMPRODUCT($V82:$AE82*($V82:$AE82&gt;0)*(($V82:$AE82&lt;Z82)+($V82:$AE82=Z82)*($V$3:$AE$3&gt;Z$3)+($V82:$AE82=Z82)*($V$3:$AE$3=Z$3)*($V$2:$AE$2&lt;Z$2))),2))))</f>
      </c>
      <c r="AK82" s="33">
        <f>IF(AA82&lt;=0,0,MAX(0,MIN(AA82,ROUND($AZ82-SUMPRODUCT($V82:$AE82*($V82:$AE82&gt;0)*(($V82:$AE82&lt;AA82)+($V82:$AE82=AA82)*($V$3:$AE$3&gt;AA$3)+($V82:$AE82=AA82)*($V$3:$AE$3=AA$3)*($V$2:$AE$2&lt;AA$2))),2))))</f>
      </c>
      <c r="AL82" s="33">
        <f>IF(AB82&lt;=0,0,MAX(0,MIN(AB82,ROUND($AZ82-SUMPRODUCT($V82:$AE82*($V82:$AE82&gt;0)*(($V82:$AE82&lt;AB82)+($V82:$AE82=AB82)*($V$3:$AE$3&gt;AB$3)+($V82:$AE82=AB82)*($V$3:$AE$3=AB$3)*($V$2:$AE$2&lt;AB$2))),2))))</f>
      </c>
      <c r="AM82" s="33">
        <f>IF(AC82&lt;=0,0,MAX(0,MIN(AC82,ROUND($AZ82-SUMPRODUCT($V82:$AE82*($V82:$AE82&gt;0)*(($V82:$AE82&lt;AC82)+($V82:$AE82=AC82)*($V$3:$AE$3&gt;AC$3)+($V82:$AE82=AC82)*($V$3:$AE$3=AC$3)*($V$2:$AE$2&lt;AC$2))),2))))</f>
      </c>
      <c r="AN82" s="33">
        <f>IF(AD82&lt;=0,0,MAX(0,MIN(AD82,ROUND($AZ82-SUMPRODUCT($V82:$AE82*($V82:$AE82&gt;0)*(($V82:$AE82&lt;AD82)+($V82:$AE82=AD82)*($V$3:$AE$3&gt;AD$3)+($V82:$AE82=AD82)*($V$3:$AE$3=AD$3)*($V$2:$AE$2&lt;AD$2))),2))))</f>
      </c>
      <c r="AO82" s="33">
        <f>IF(AE82&lt;=0,0,MAX(0,MIN(AE82,ROUND($AZ82-SUMPRODUCT($V82:$AE82*($V82:$AE82&gt;0)*(($V82:$AE82&lt;AE82)+($V82:$AE82=AE82)*($V$3:$AE$3&gt;AE$3)+($V82:$AE82=AE82)*($V$3:$AE$3=AE$3)*($V$2:$AE$2&lt;AE$2))),2))))</f>
      </c>
      <c r="AP82" s="33">
        <f>ROUND(V82-AF82,2)</f>
      </c>
      <c r="AQ82" s="33">
        <f>ROUND(W82-AG82,2)</f>
      </c>
      <c r="AR82" s="33">
        <f>ROUND(X82-AH82,2)</f>
      </c>
      <c r="AS82" s="33">
        <f>ROUND(Y82-AI82,2)</f>
      </c>
      <c r="AT82" s="33">
        <f>ROUND(Z82-AJ82,2)</f>
      </c>
      <c r="AU82" s="33">
        <f>ROUND(AA82-AK82,2)</f>
      </c>
      <c r="AV82" s="33">
        <f>ROUND(AB82-AL82,2)</f>
      </c>
      <c r="AW82" s="33">
        <f>ROUND(AC82-AM82,2)</f>
      </c>
      <c r="AX82" s="33">
        <f>ROUND(AD82-AN82,2)</f>
      </c>
      <c r="AY82" s="33">
        <f>ROUND(AE82-AO82,2)</f>
      </c>
      <c r="AZ82" s="33">
        <f>ROUND(MAX(0,'Your debts'!$D$22-SUM($L82:$U82)),2)</f>
      </c>
      <c r="BA82" s="33">
        <f>ROUND(SUM($B82:$K82)-SUM($AP81:$AY81),2)</f>
      </c>
      <c r="BB82" s="33">
        <f>SUM($AP82:$AY82)</f>
      </c>
      <c r="BC82" s="33">
        <f>ROUND(SUM($L82:$U82)+SUM($AF82:$AO82),2)</f>
      </c>
    </row>
    <row r="83" spans="1:55" x14ac:dyDescent="0.25">
      <c r="A83">
        <v>76</v>
      </c>
      <c r="B83" s="33">
        <f>IF(AP82&lt;=0,0,ROUND(AP82+ROUND(AP82*V$3/12,2),2))</f>
      </c>
      <c r="C83" s="33">
        <f>IF(AQ82&lt;=0,0,ROUND(AQ82+ROUND(AQ82*W$3/12,2),2))</f>
      </c>
      <c r="D83" s="33">
        <f>IF(AR82&lt;=0,0,ROUND(AR82+ROUND(AR82*X$3/12,2),2))</f>
      </c>
      <c r="E83" s="33">
        <f>IF(AS82&lt;=0,0,ROUND(AS82+ROUND(AS82*Y$3/12,2),2))</f>
      </c>
      <c r="F83" s="33">
        <f>IF(AT82&lt;=0,0,ROUND(AT82+ROUND(AT82*Z$3/12,2),2))</f>
      </c>
      <c r="G83" s="33">
        <f>IF(AU82&lt;=0,0,ROUND(AU82+ROUND(AU82*AA$3/12,2),2))</f>
      </c>
      <c r="H83" s="33">
        <f>IF(AV82&lt;=0,0,ROUND(AV82+ROUND(AV82*AB$3/12,2),2))</f>
      </c>
      <c r="I83" s="33">
        <f>IF(AW82&lt;=0,0,ROUND(AW82+ROUND(AW82*AC$3/12,2),2))</f>
      </c>
      <c r="J83" s="33">
        <f>IF(AX82&lt;=0,0,ROUND(AX82+ROUND(AX82*AD$3/12,2),2))</f>
      </c>
      <c r="K83" s="33">
        <f>IF(AY82&lt;=0,0,ROUND(AY82+ROUND(AY82*AE$3/12,2),2))</f>
      </c>
      <c r="L83" s="33">
        <f>ROUND(MIN(MAX(0,N('Your debts'!$E$6)),B83),2)</f>
      </c>
      <c r="M83" s="33">
        <f>ROUND(MIN(MAX(0,N('Your debts'!$E$7)),C83),2)</f>
      </c>
      <c r="N83" s="33">
        <f>ROUND(MIN(MAX(0,N('Your debts'!$E$8)),D83),2)</f>
      </c>
      <c r="O83" s="33">
        <f>ROUND(MIN(MAX(0,N('Your debts'!$E$9)),E83),2)</f>
      </c>
      <c r="P83" s="33">
        <f>ROUND(MIN(MAX(0,N('Your debts'!$E$10)),F83),2)</f>
      </c>
      <c r="Q83" s="33">
        <f>ROUND(MIN(MAX(0,N('Your debts'!$E$11)),G83),2)</f>
      </c>
      <c r="R83" s="33">
        <f>ROUND(MIN(MAX(0,N('Your debts'!$E$12)),H83),2)</f>
      </c>
      <c r="S83" s="33">
        <f>ROUND(MIN(MAX(0,N('Your debts'!$E$13)),I83),2)</f>
      </c>
      <c r="T83" s="33">
        <f>ROUND(MIN(MAX(0,N('Your debts'!$E$14)),J83),2)</f>
      </c>
      <c r="U83" s="33">
        <f>ROUND(MIN(MAX(0,N('Your debts'!$E$15)),K83),2)</f>
      </c>
      <c r="V83" s="33">
        <f>ROUND(B83-L83,2)</f>
      </c>
      <c r="W83" s="33">
        <f>ROUND(C83-M83,2)</f>
      </c>
      <c r="X83" s="33">
        <f>ROUND(D83-N83,2)</f>
      </c>
      <c r="Y83" s="33">
        <f>ROUND(E83-O83,2)</f>
      </c>
      <c r="Z83" s="33">
        <f>ROUND(F83-P83,2)</f>
      </c>
      <c r="AA83" s="33">
        <f>ROUND(G83-Q83,2)</f>
      </c>
      <c r="AB83" s="33">
        <f>ROUND(H83-R83,2)</f>
      </c>
      <c r="AC83" s="33">
        <f>ROUND(I83-S83,2)</f>
      </c>
      <c r="AD83" s="33">
        <f>ROUND(J83-T83,2)</f>
      </c>
      <c r="AE83" s="33">
        <f>ROUND(K83-U83,2)</f>
      </c>
      <c r="AF83" s="33">
        <f>IF(V83&lt;=0,0,MAX(0,MIN(V83,ROUND($AZ83-SUMPRODUCT($V83:$AE83*($V83:$AE83&gt;0)*(($V83:$AE83&lt;V83)+($V83:$AE83=V83)*($V$3:$AE$3&gt;V$3)+($V83:$AE83=V83)*($V$3:$AE$3=V$3)*($V$2:$AE$2&lt;V$2))),2))))</f>
      </c>
      <c r="AG83" s="33">
        <f>IF(W83&lt;=0,0,MAX(0,MIN(W83,ROUND($AZ83-SUMPRODUCT($V83:$AE83*($V83:$AE83&gt;0)*(($V83:$AE83&lt;W83)+($V83:$AE83=W83)*($V$3:$AE$3&gt;W$3)+($V83:$AE83=W83)*($V$3:$AE$3=W$3)*($V$2:$AE$2&lt;W$2))),2))))</f>
      </c>
      <c r="AH83" s="33">
        <f>IF(X83&lt;=0,0,MAX(0,MIN(X83,ROUND($AZ83-SUMPRODUCT($V83:$AE83*($V83:$AE83&gt;0)*(($V83:$AE83&lt;X83)+($V83:$AE83=X83)*($V$3:$AE$3&gt;X$3)+($V83:$AE83=X83)*($V$3:$AE$3=X$3)*($V$2:$AE$2&lt;X$2))),2))))</f>
      </c>
      <c r="AI83" s="33">
        <f>IF(Y83&lt;=0,0,MAX(0,MIN(Y83,ROUND($AZ83-SUMPRODUCT($V83:$AE83*($V83:$AE83&gt;0)*(($V83:$AE83&lt;Y83)+($V83:$AE83=Y83)*($V$3:$AE$3&gt;Y$3)+($V83:$AE83=Y83)*($V$3:$AE$3=Y$3)*($V$2:$AE$2&lt;Y$2))),2))))</f>
      </c>
      <c r="AJ83" s="33">
        <f>IF(Z83&lt;=0,0,MAX(0,MIN(Z83,ROUND($AZ83-SUMPRODUCT($V83:$AE83*($V83:$AE83&gt;0)*(($V83:$AE83&lt;Z83)+($V83:$AE83=Z83)*($V$3:$AE$3&gt;Z$3)+($V83:$AE83=Z83)*($V$3:$AE$3=Z$3)*($V$2:$AE$2&lt;Z$2))),2))))</f>
      </c>
      <c r="AK83" s="33">
        <f>IF(AA83&lt;=0,0,MAX(0,MIN(AA83,ROUND($AZ83-SUMPRODUCT($V83:$AE83*($V83:$AE83&gt;0)*(($V83:$AE83&lt;AA83)+($V83:$AE83=AA83)*($V$3:$AE$3&gt;AA$3)+($V83:$AE83=AA83)*($V$3:$AE$3=AA$3)*($V$2:$AE$2&lt;AA$2))),2))))</f>
      </c>
      <c r="AL83" s="33">
        <f>IF(AB83&lt;=0,0,MAX(0,MIN(AB83,ROUND($AZ83-SUMPRODUCT($V83:$AE83*($V83:$AE83&gt;0)*(($V83:$AE83&lt;AB83)+($V83:$AE83=AB83)*($V$3:$AE$3&gt;AB$3)+($V83:$AE83=AB83)*($V$3:$AE$3=AB$3)*($V$2:$AE$2&lt;AB$2))),2))))</f>
      </c>
      <c r="AM83" s="33">
        <f>IF(AC83&lt;=0,0,MAX(0,MIN(AC83,ROUND($AZ83-SUMPRODUCT($V83:$AE83*($V83:$AE83&gt;0)*(($V83:$AE83&lt;AC83)+($V83:$AE83=AC83)*($V$3:$AE$3&gt;AC$3)+($V83:$AE83=AC83)*($V$3:$AE$3=AC$3)*($V$2:$AE$2&lt;AC$2))),2))))</f>
      </c>
      <c r="AN83" s="33">
        <f>IF(AD83&lt;=0,0,MAX(0,MIN(AD83,ROUND($AZ83-SUMPRODUCT($V83:$AE83*($V83:$AE83&gt;0)*(($V83:$AE83&lt;AD83)+($V83:$AE83=AD83)*($V$3:$AE$3&gt;AD$3)+($V83:$AE83=AD83)*($V$3:$AE$3=AD$3)*($V$2:$AE$2&lt;AD$2))),2))))</f>
      </c>
      <c r="AO83" s="33">
        <f>IF(AE83&lt;=0,0,MAX(0,MIN(AE83,ROUND($AZ83-SUMPRODUCT($V83:$AE83*($V83:$AE83&gt;0)*(($V83:$AE83&lt;AE83)+($V83:$AE83=AE83)*($V$3:$AE$3&gt;AE$3)+($V83:$AE83=AE83)*($V$3:$AE$3=AE$3)*($V$2:$AE$2&lt;AE$2))),2))))</f>
      </c>
      <c r="AP83" s="33">
        <f>ROUND(V83-AF83,2)</f>
      </c>
      <c r="AQ83" s="33">
        <f>ROUND(W83-AG83,2)</f>
      </c>
      <c r="AR83" s="33">
        <f>ROUND(X83-AH83,2)</f>
      </c>
      <c r="AS83" s="33">
        <f>ROUND(Y83-AI83,2)</f>
      </c>
      <c r="AT83" s="33">
        <f>ROUND(Z83-AJ83,2)</f>
      </c>
      <c r="AU83" s="33">
        <f>ROUND(AA83-AK83,2)</f>
      </c>
      <c r="AV83" s="33">
        <f>ROUND(AB83-AL83,2)</f>
      </c>
      <c r="AW83" s="33">
        <f>ROUND(AC83-AM83,2)</f>
      </c>
      <c r="AX83" s="33">
        <f>ROUND(AD83-AN83,2)</f>
      </c>
      <c r="AY83" s="33">
        <f>ROUND(AE83-AO83,2)</f>
      </c>
      <c r="AZ83" s="33">
        <f>ROUND(MAX(0,'Your debts'!$D$22-SUM($L83:$U83)),2)</f>
      </c>
      <c r="BA83" s="33">
        <f>ROUND(SUM($B83:$K83)-SUM($AP82:$AY82),2)</f>
      </c>
      <c r="BB83" s="33">
        <f>SUM($AP83:$AY83)</f>
      </c>
      <c r="BC83" s="33">
        <f>ROUND(SUM($L83:$U83)+SUM($AF83:$AO83),2)</f>
      </c>
    </row>
    <row r="84" spans="1:55" x14ac:dyDescent="0.25">
      <c r="A84">
        <v>77</v>
      </c>
      <c r="B84" s="33">
        <f>IF(AP83&lt;=0,0,ROUND(AP83+ROUND(AP83*V$3/12,2),2))</f>
      </c>
      <c r="C84" s="33">
        <f>IF(AQ83&lt;=0,0,ROUND(AQ83+ROUND(AQ83*W$3/12,2),2))</f>
      </c>
      <c r="D84" s="33">
        <f>IF(AR83&lt;=0,0,ROUND(AR83+ROUND(AR83*X$3/12,2),2))</f>
      </c>
      <c r="E84" s="33">
        <f>IF(AS83&lt;=0,0,ROUND(AS83+ROUND(AS83*Y$3/12,2),2))</f>
      </c>
      <c r="F84" s="33">
        <f>IF(AT83&lt;=0,0,ROUND(AT83+ROUND(AT83*Z$3/12,2),2))</f>
      </c>
      <c r="G84" s="33">
        <f>IF(AU83&lt;=0,0,ROUND(AU83+ROUND(AU83*AA$3/12,2),2))</f>
      </c>
      <c r="H84" s="33">
        <f>IF(AV83&lt;=0,0,ROUND(AV83+ROUND(AV83*AB$3/12,2),2))</f>
      </c>
      <c r="I84" s="33">
        <f>IF(AW83&lt;=0,0,ROUND(AW83+ROUND(AW83*AC$3/12,2),2))</f>
      </c>
      <c r="J84" s="33">
        <f>IF(AX83&lt;=0,0,ROUND(AX83+ROUND(AX83*AD$3/12,2),2))</f>
      </c>
      <c r="K84" s="33">
        <f>IF(AY83&lt;=0,0,ROUND(AY83+ROUND(AY83*AE$3/12,2),2))</f>
      </c>
      <c r="L84" s="33">
        <f>ROUND(MIN(MAX(0,N('Your debts'!$E$6)),B84),2)</f>
      </c>
      <c r="M84" s="33">
        <f>ROUND(MIN(MAX(0,N('Your debts'!$E$7)),C84),2)</f>
      </c>
      <c r="N84" s="33">
        <f>ROUND(MIN(MAX(0,N('Your debts'!$E$8)),D84),2)</f>
      </c>
      <c r="O84" s="33">
        <f>ROUND(MIN(MAX(0,N('Your debts'!$E$9)),E84),2)</f>
      </c>
      <c r="P84" s="33">
        <f>ROUND(MIN(MAX(0,N('Your debts'!$E$10)),F84),2)</f>
      </c>
      <c r="Q84" s="33">
        <f>ROUND(MIN(MAX(0,N('Your debts'!$E$11)),G84),2)</f>
      </c>
      <c r="R84" s="33">
        <f>ROUND(MIN(MAX(0,N('Your debts'!$E$12)),H84),2)</f>
      </c>
      <c r="S84" s="33">
        <f>ROUND(MIN(MAX(0,N('Your debts'!$E$13)),I84),2)</f>
      </c>
      <c r="T84" s="33">
        <f>ROUND(MIN(MAX(0,N('Your debts'!$E$14)),J84),2)</f>
      </c>
      <c r="U84" s="33">
        <f>ROUND(MIN(MAX(0,N('Your debts'!$E$15)),K84),2)</f>
      </c>
      <c r="V84" s="33">
        <f>ROUND(B84-L84,2)</f>
      </c>
      <c r="W84" s="33">
        <f>ROUND(C84-M84,2)</f>
      </c>
      <c r="X84" s="33">
        <f>ROUND(D84-N84,2)</f>
      </c>
      <c r="Y84" s="33">
        <f>ROUND(E84-O84,2)</f>
      </c>
      <c r="Z84" s="33">
        <f>ROUND(F84-P84,2)</f>
      </c>
      <c r="AA84" s="33">
        <f>ROUND(G84-Q84,2)</f>
      </c>
      <c r="AB84" s="33">
        <f>ROUND(H84-R84,2)</f>
      </c>
      <c r="AC84" s="33">
        <f>ROUND(I84-S84,2)</f>
      </c>
      <c r="AD84" s="33">
        <f>ROUND(J84-T84,2)</f>
      </c>
      <c r="AE84" s="33">
        <f>ROUND(K84-U84,2)</f>
      </c>
      <c r="AF84" s="33">
        <f>IF(V84&lt;=0,0,MAX(0,MIN(V84,ROUND($AZ84-SUMPRODUCT($V84:$AE84*($V84:$AE84&gt;0)*(($V84:$AE84&lt;V84)+($V84:$AE84=V84)*($V$3:$AE$3&gt;V$3)+($V84:$AE84=V84)*($V$3:$AE$3=V$3)*($V$2:$AE$2&lt;V$2))),2))))</f>
      </c>
      <c r="AG84" s="33">
        <f>IF(W84&lt;=0,0,MAX(0,MIN(W84,ROUND($AZ84-SUMPRODUCT($V84:$AE84*($V84:$AE84&gt;0)*(($V84:$AE84&lt;W84)+($V84:$AE84=W84)*($V$3:$AE$3&gt;W$3)+($V84:$AE84=W84)*($V$3:$AE$3=W$3)*($V$2:$AE$2&lt;W$2))),2))))</f>
      </c>
      <c r="AH84" s="33">
        <f>IF(X84&lt;=0,0,MAX(0,MIN(X84,ROUND($AZ84-SUMPRODUCT($V84:$AE84*($V84:$AE84&gt;0)*(($V84:$AE84&lt;X84)+($V84:$AE84=X84)*($V$3:$AE$3&gt;X$3)+($V84:$AE84=X84)*($V$3:$AE$3=X$3)*($V$2:$AE$2&lt;X$2))),2))))</f>
      </c>
      <c r="AI84" s="33">
        <f>IF(Y84&lt;=0,0,MAX(0,MIN(Y84,ROUND($AZ84-SUMPRODUCT($V84:$AE84*($V84:$AE84&gt;0)*(($V84:$AE84&lt;Y84)+($V84:$AE84=Y84)*($V$3:$AE$3&gt;Y$3)+($V84:$AE84=Y84)*($V$3:$AE$3=Y$3)*($V$2:$AE$2&lt;Y$2))),2))))</f>
      </c>
      <c r="AJ84" s="33">
        <f>IF(Z84&lt;=0,0,MAX(0,MIN(Z84,ROUND($AZ84-SUMPRODUCT($V84:$AE84*($V84:$AE84&gt;0)*(($V84:$AE84&lt;Z84)+($V84:$AE84=Z84)*($V$3:$AE$3&gt;Z$3)+($V84:$AE84=Z84)*($V$3:$AE$3=Z$3)*($V$2:$AE$2&lt;Z$2))),2))))</f>
      </c>
      <c r="AK84" s="33">
        <f>IF(AA84&lt;=0,0,MAX(0,MIN(AA84,ROUND($AZ84-SUMPRODUCT($V84:$AE84*($V84:$AE84&gt;0)*(($V84:$AE84&lt;AA84)+($V84:$AE84=AA84)*($V$3:$AE$3&gt;AA$3)+($V84:$AE84=AA84)*($V$3:$AE$3=AA$3)*($V$2:$AE$2&lt;AA$2))),2))))</f>
      </c>
      <c r="AL84" s="33">
        <f>IF(AB84&lt;=0,0,MAX(0,MIN(AB84,ROUND($AZ84-SUMPRODUCT($V84:$AE84*($V84:$AE84&gt;0)*(($V84:$AE84&lt;AB84)+($V84:$AE84=AB84)*($V$3:$AE$3&gt;AB$3)+($V84:$AE84=AB84)*($V$3:$AE$3=AB$3)*($V$2:$AE$2&lt;AB$2))),2))))</f>
      </c>
      <c r="AM84" s="33">
        <f>IF(AC84&lt;=0,0,MAX(0,MIN(AC84,ROUND($AZ84-SUMPRODUCT($V84:$AE84*($V84:$AE84&gt;0)*(($V84:$AE84&lt;AC84)+($V84:$AE84=AC84)*($V$3:$AE$3&gt;AC$3)+($V84:$AE84=AC84)*($V$3:$AE$3=AC$3)*($V$2:$AE$2&lt;AC$2))),2))))</f>
      </c>
      <c r="AN84" s="33">
        <f>IF(AD84&lt;=0,0,MAX(0,MIN(AD84,ROUND($AZ84-SUMPRODUCT($V84:$AE84*($V84:$AE84&gt;0)*(($V84:$AE84&lt;AD84)+($V84:$AE84=AD84)*($V$3:$AE$3&gt;AD$3)+($V84:$AE84=AD84)*($V$3:$AE$3=AD$3)*($V$2:$AE$2&lt;AD$2))),2))))</f>
      </c>
      <c r="AO84" s="33">
        <f>IF(AE84&lt;=0,0,MAX(0,MIN(AE84,ROUND($AZ84-SUMPRODUCT($V84:$AE84*($V84:$AE84&gt;0)*(($V84:$AE84&lt;AE84)+($V84:$AE84=AE84)*($V$3:$AE$3&gt;AE$3)+($V84:$AE84=AE84)*($V$3:$AE$3=AE$3)*($V$2:$AE$2&lt;AE$2))),2))))</f>
      </c>
      <c r="AP84" s="33">
        <f>ROUND(V84-AF84,2)</f>
      </c>
      <c r="AQ84" s="33">
        <f>ROUND(W84-AG84,2)</f>
      </c>
      <c r="AR84" s="33">
        <f>ROUND(X84-AH84,2)</f>
      </c>
      <c r="AS84" s="33">
        <f>ROUND(Y84-AI84,2)</f>
      </c>
      <c r="AT84" s="33">
        <f>ROUND(Z84-AJ84,2)</f>
      </c>
      <c r="AU84" s="33">
        <f>ROUND(AA84-AK84,2)</f>
      </c>
      <c r="AV84" s="33">
        <f>ROUND(AB84-AL84,2)</f>
      </c>
      <c r="AW84" s="33">
        <f>ROUND(AC84-AM84,2)</f>
      </c>
      <c r="AX84" s="33">
        <f>ROUND(AD84-AN84,2)</f>
      </c>
      <c r="AY84" s="33">
        <f>ROUND(AE84-AO84,2)</f>
      </c>
      <c r="AZ84" s="33">
        <f>ROUND(MAX(0,'Your debts'!$D$22-SUM($L84:$U84)),2)</f>
      </c>
      <c r="BA84" s="33">
        <f>ROUND(SUM($B84:$K84)-SUM($AP83:$AY83),2)</f>
      </c>
      <c r="BB84" s="33">
        <f>SUM($AP84:$AY84)</f>
      </c>
      <c r="BC84" s="33">
        <f>ROUND(SUM($L84:$U84)+SUM($AF84:$AO84),2)</f>
      </c>
    </row>
    <row r="85" spans="1:55" x14ac:dyDescent="0.25">
      <c r="A85">
        <v>78</v>
      </c>
      <c r="B85" s="33">
        <f>IF(AP84&lt;=0,0,ROUND(AP84+ROUND(AP84*V$3/12,2),2))</f>
      </c>
      <c r="C85" s="33">
        <f>IF(AQ84&lt;=0,0,ROUND(AQ84+ROUND(AQ84*W$3/12,2),2))</f>
      </c>
      <c r="D85" s="33">
        <f>IF(AR84&lt;=0,0,ROUND(AR84+ROUND(AR84*X$3/12,2),2))</f>
      </c>
      <c r="E85" s="33">
        <f>IF(AS84&lt;=0,0,ROUND(AS84+ROUND(AS84*Y$3/12,2),2))</f>
      </c>
      <c r="F85" s="33">
        <f>IF(AT84&lt;=0,0,ROUND(AT84+ROUND(AT84*Z$3/12,2),2))</f>
      </c>
      <c r="G85" s="33">
        <f>IF(AU84&lt;=0,0,ROUND(AU84+ROUND(AU84*AA$3/12,2),2))</f>
      </c>
      <c r="H85" s="33">
        <f>IF(AV84&lt;=0,0,ROUND(AV84+ROUND(AV84*AB$3/12,2),2))</f>
      </c>
      <c r="I85" s="33">
        <f>IF(AW84&lt;=0,0,ROUND(AW84+ROUND(AW84*AC$3/12,2),2))</f>
      </c>
      <c r="J85" s="33">
        <f>IF(AX84&lt;=0,0,ROUND(AX84+ROUND(AX84*AD$3/12,2),2))</f>
      </c>
      <c r="K85" s="33">
        <f>IF(AY84&lt;=0,0,ROUND(AY84+ROUND(AY84*AE$3/12,2),2))</f>
      </c>
      <c r="L85" s="33">
        <f>ROUND(MIN(MAX(0,N('Your debts'!$E$6)),B85),2)</f>
      </c>
      <c r="M85" s="33">
        <f>ROUND(MIN(MAX(0,N('Your debts'!$E$7)),C85),2)</f>
      </c>
      <c r="N85" s="33">
        <f>ROUND(MIN(MAX(0,N('Your debts'!$E$8)),D85),2)</f>
      </c>
      <c r="O85" s="33">
        <f>ROUND(MIN(MAX(0,N('Your debts'!$E$9)),E85),2)</f>
      </c>
      <c r="P85" s="33">
        <f>ROUND(MIN(MAX(0,N('Your debts'!$E$10)),F85),2)</f>
      </c>
      <c r="Q85" s="33">
        <f>ROUND(MIN(MAX(0,N('Your debts'!$E$11)),G85),2)</f>
      </c>
      <c r="R85" s="33">
        <f>ROUND(MIN(MAX(0,N('Your debts'!$E$12)),H85),2)</f>
      </c>
      <c r="S85" s="33">
        <f>ROUND(MIN(MAX(0,N('Your debts'!$E$13)),I85),2)</f>
      </c>
      <c r="T85" s="33">
        <f>ROUND(MIN(MAX(0,N('Your debts'!$E$14)),J85),2)</f>
      </c>
      <c r="U85" s="33">
        <f>ROUND(MIN(MAX(0,N('Your debts'!$E$15)),K85),2)</f>
      </c>
      <c r="V85" s="33">
        <f>ROUND(B85-L85,2)</f>
      </c>
      <c r="W85" s="33">
        <f>ROUND(C85-M85,2)</f>
      </c>
      <c r="X85" s="33">
        <f>ROUND(D85-N85,2)</f>
      </c>
      <c r="Y85" s="33">
        <f>ROUND(E85-O85,2)</f>
      </c>
      <c r="Z85" s="33">
        <f>ROUND(F85-P85,2)</f>
      </c>
      <c r="AA85" s="33">
        <f>ROUND(G85-Q85,2)</f>
      </c>
      <c r="AB85" s="33">
        <f>ROUND(H85-R85,2)</f>
      </c>
      <c r="AC85" s="33">
        <f>ROUND(I85-S85,2)</f>
      </c>
      <c r="AD85" s="33">
        <f>ROUND(J85-T85,2)</f>
      </c>
      <c r="AE85" s="33">
        <f>ROUND(K85-U85,2)</f>
      </c>
      <c r="AF85" s="33">
        <f>IF(V85&lt;=0,0,MAX(0,MIN(V85,ROUND($AZ85-SUMPRODUCT($V85:$AE85*($V85:$AE85&gt;0)*(($V85:$AE85&lt;V85)+($V85:$AE85=V85)*($V$3:$AE$3&gt;V$3)+($V85:$AE85=V85)*($V$3:$AE$3=V$3)*($V$2:$AE$2&lt;V$2))),2))))</f>
      </c>
      <c r="AG85" s="33">
        <f>IF(W85&lt;=0,0,MAX(0,MIN(W85,ROUND($AZ85-SUMPRODUCT($V85:$AE85*($V85:$AE85&gt;0)*(($V85:$AE85&lt;W85)+($V85:$AE85=W85)*($V$3:$AE$3&gt;W$3)+($V85:$AE85=W85)*($V$3:$AE$3=W$3)*($V$2:$AE$2&lt;W$2))),2))))</f>
      </c>
      <c r="AH85" s="33">
        <f>IF(X85&lt;=0,0,MAX(0,MIN(X85,ROUND($AZ85-SUMPRODUCT($V85:$AE85*($V85:$AE85&gt;0)*(($V85:$AE85&lt;X85)+($V85:$AE85=X85)*($V$3:$AE$3&gt;X$3)+($V85:$AE85=X85)*($V$3:$AE$3=X$3)*($V$2:$AE$2&lt;X$2))),2))))</f>
      </c>
      <c r="AI85" s="33">
        <f>IF(Y85&lt;=0,0,MAX(0,MIN(Y85,ROUND($AZ85-SUMPRODUCT($V85:$AE85*($V85:$AE85&gt;0)*(($V85:$AE85&lt;Y85)+($V85:$AE85=Y85)*($V$3:$AE$3&gt;Y$3)+($V85:$AE85=Y85)*($V$3:$AE$3=Y$3)*($V$2:$AE$2&lt;Y$2))),2))))</f>
      </c>
      <c r="AJ85" s="33">
        <f>IF(Z85&lt;=0,0,MAX(0,MIN(Z85,ROUND($AZ85-SUMPRODUCT($V85:$AE85*($V85:$AE85&gt;0)*(($V85:$AE85&lt;Z85)+($V85:$AE85=Z85)*($V$3:$AE$3&gt;Z$3)+($V85:$AE85=Z85)*($V$3:$AE$3=Z$3)*($V$2:$AE$2&lt;Z$2))),2))))</f>
      </c>
      <c r="AK85" s="33">
        <f>IF(AA85&lt;=0,0,MAX(0,MIN(AA85,ROUND($AZ85-SUMPRODUCT($V85:$AE85*($V85:$AE85&gt;0)*(($V85:$AE85&lt;AA85)+($V85:$AE85=AA85)*($V$3:$AE$3&gt;AA$3)+($V85:$AE85=AA85)*($V$3:$AE$3=AA$3)*($V$2:$AE$2&lt;AA$2))),2))))</f>
      </c>
      <c r="AL85" s="33">
        <f>IF(AB85&lt;=0,0,MAX(0,MIN(AB85,ROUND($AZ85-SUMPRODUCT($V85:$AE85*($V85:$AE85&gt;0)*(($V85:$AE85&lt;AB85)+($V85:$AE85=AB85)*($V$3:$AE$3&gt;AB$3)+($V85:$AE85=AB85)*($V$3:$AE$3=AB$3)*($V$2:$AE$2&lt;AB$2))),2))))</f>
      </c>
      <c r="AM85" s="33">
        <f>IF(AC85&lt;=0,0,MAX(0,MIN(AC85,ROUND($AZ85-SUMPRODUCT($V85:$AE85*($V85:$AE85&gt;0)*(($V85:$AE85&lt;AC85)+($V85:$AE85=AC85)*($V$3:$AE$3&gt;AC$3)+($V85:$AE85=AC85)*($V$3:$AE$3=AC$3)*($V$2:$AE$2&lt;AC$2))),2))))</f>
      </c>
      <c r="AN85" s="33">
        <f>IF(AD85&lt;=0,0,MAX(0,MIN(AD85,ROUND($AZ85-SUMPRODUCT($V85:$AE85*($V85:$AE85&gt;0)*(($V85:$AE85&lt;AD85)+($V85:$AE85=AD85)*($V$3:$AE$3&gt;AD$3)+($V85:$AE85=AD85)*($V$3:$AE$3=AD$3)*($V$2:$AE$2&lt;AD$2))),2))))</f>
      </c>
      <c r="AO85" s="33">
        <f>IF(AE85&lt;=0,0,MAX(0,MIN(AE85,ROUND($AZ85-SUMPRODUCT($V85:$AE85*($V85:$AE85&gt;0)*(($V85:$AE85&lt;AE85)+($V85:$AE85=AE85)*($V$3:$AE$3&gt;AE$3)+($V85:$AE85=AE85)*($V$3:$AE$3=AE$3)*($V$2:$AE$2&lt;AE$2))),2))))</f>
      </c>
      <c r="AP85" s="33">
        <f>ROUND(V85-AF85,2)</f>
      </c>
      <c r="AQ85" s="33">
        <f>ROUND(W85-AG85,2)</f>
      </c>
      <c r="AR85" s="33">
        <f>ROUND(X85-AH85,2)</f>
      </c>
      <c r="AS85" s="33">
        <f>ROUND(Y85-AI85,2)</f>
      </c>
      <c r="AT85" s="33">
        <f>ROUND(Z85-AJ85,2)</f>
      </c>
      <c r="AU85" s="33">
        <f>ROUND(AA85-AK85,2)</f>
      </c>
      <c r="AV85" s="33">
        <f>ROUND(AB85-AL85,2)</f>
      </c>
      <c r="AW85" s="33">
        <f>ROUND(AC85-AM85,2)</f>
      </c>
      <c r="AX85" s="33">
        <f>ROUND(AD85-AN85,2)</f>
      </c>
      <c r="AY85" s="33">
        <f>ROUND(AE85-AO85,2)</f>
      </c>
      <c r="AZ85" s="33">
        <f>ROUND(MAX(0,'Your debts'!$D$22-SUM($L85:$U85)),2)</f>
      </c>
      <c r="BA85" s="33">
        <f>ROUND(SUM($B85:$K85)-SUM($AP84:$AY84),2)</f>
      </c>
      <c r="BB85" s="33">
        <f>SUM($AP85:$AY85)</f>
      </c>
      <c r="BC85" s="33">
        <f>ROUND(SUM($L85:$U85)+SUM($AF85:$AO85),2)</f>
      </c>
    </row>
    <row r="86" spans="1:55" x14ac:dyDescent="0.25">
      <c r="A86">
        <v>79</v>
      </c>
      <c r="B86" s="33">
        <f>IF(AP85&lt;=0,0,ROUND(AP85+ROUND(AP85*V$3/12,2),2))</f>
      </c>
      <c r="C86" s="33">
        <f>IF(AQ85&lt;=0,0,ROUND(AQ85+ROUND(AQ85*W$3/12,2),2))</f>
      </c>
      <c r="D86" s="33">
        <f>IF(AR85&lt;=0,0,ROUND(AR85+ROUND(AR85*X$3/12,2),2))</f>
      </c>
      <c r="E86" s="33">
        <f>IF(AS85&lt;=0,0,ROUND(AS85+ROUND(AS85*Y$3/12,2),2))</f>
      </c>
      <c r="F86" s="33">
        <f>IF(AT85&lt;=0,0,ROUND(AT85+ROUND(AT85*Z$3/12,2),2))</f>
      </c>
      <c r="G86" s="33">
        <f>IF(AU85&lt;=0,0,ROUND(AU85+ROUND(AU85*AA$3/12,2),2))</f>
      </c>
      <c r="H86" s="33">
        <f>IF(AV85&lt;=0,0,ROUND(AV85+ROUND(AV85*AB$3/12,2),2))</f>
      </c>
      <c r="I86" s="33">
        <f>IF(AW85&lt;=0,0,ROUND(AW85+ROUND(AW85*AC$3/12,2),2))</f>
      </c>
      <c r="J86" s="33">
        <f>IF(AX85&lt;=0,0,ROUND(AX85+ROUND(AX85*AD$3/12,2),2))</f>
      </c>
      <c r="K86" s="33">
        <f>IF(AY85&lt;=0,0,ROUND(AY85+ROUND(AY85*AE$3/12,2),2))</f>
      </c>
      <c r="L86" s="33">
        <f>ROUND(MIN(MAX(0,N('Your debts'!$E$6)),B86),2)</f>
      </c>
      <c r="M86" s="33">
        <f>ROUND(MIN(MAX(0,N('Your debts'!$E$7)),C86),2)</f>
      </c>
      <c r="N86" s="33">
        <f>ROUND(MIN(MAX(0,N('Your debts'!$E$8)),D86),2)</f>
      </c>
      <c r="O86" s="33">
        <f>ROUND(MIN(MAX(0,N('Your debts'!$E$9)),E86),2)</f>
      </c>
      <c r="P86" s="33">
        <f>ROUND(MIN(MAX(0,N('Your debts'!$E$10)),F86),2)</f>
      </c>
      <c r="Q86" s="33">
        <f>ROUND(MIN(MAX(0,N('Your debts'!$E$11)),G86),2)</f>
      </c>
      <c r="R86" s="33">
        <f>ROUND(MIN(MAX(0,N('Your debts'!$E$12)),H86),2)</f>
      </c>
      <c r="S86" s="33">
        <f>ROUND(MIN(MAX(0,N('Your debts'!$E$13)),I86),2)</f>
      </c>
      <c r="T86" s="33">
        <f>ROUND(MIN(MAX(0,N('Your debts'!$E$14)),J86),2)</f>
      </c>
      <c r="U86" s="33">
        <f>ROUND(MIN(MAX(0,N('Your debts'!$E$15)),K86),2)</f>
      </c>
      <c r="V86" s="33">
        <f>ROUND(B86-L86,2)</f>
      </c>
      <c r="W86" s="33">
        <f>ROUND(C86-M86,2)</f>
      </c>
      <c r="X86" s="33">
        <f>ROUND(D86-N86,2)</f>
      </c>
      <c r="Y86" s="33">
        <f>ROUND(E86-O86,2)</f>
      </c>
      <c r="Z86" s="33">
        <f>ROUND(F86-P86,2)</f>
      </c>
      <c r="AA86" s="33">
        <f>ROUND(G86-Q86,2)</f>
      </c>
      <c r="AB86" s="33">
        <f>ROUND(H86-R86,2)</f>
      </c>
      <c r="AC86" s="33">
        <f>ROUND(I86-S86,2)</f>
      </c>
      <c r="AD86" s="33">
        <f>ROUND(J86-T86,2)</f>
      </c>
      <c r="AE86" s="33">
        <f>ROUND(K86-U86,2)</f>
      </c>
      <c r="AF86" s="33">
        <f>IF(V86&lt;=0,0,MAX(0,MIN(V86,ROUND($AZ86-SUMPRODUCT($V86:$AE86*($V86:$AE86&gt;0)*(($V86:$AE86&lt;V86)+($V86:$AE86=V86)*($V$3:$AE$3&gt;V$3)+($V86:$AE86=V86)*($V$3:$AE$3=V$3)*($V$2:$AE$2&lt;V$2))),2))))</f>
      </c>
      <c r="AG86" s="33">
        <f>IF(W86&lt;=0,0,MAX(0,MIN(W86,ROUND($AZ86-SUMPRODUCT($V86:$AE86*($V86:$AE86&gt;0)*(($V86:$AE86&lt;W86)+($V86:$AE86=W86)*($V$3:$AE$3&gt;W$3)+($V86:$AE86=W86)*($V$3:$AE$3=W$3)*($V$2:$AE$2&lt;W$2))),2))))</f>
      </c>
      <c r="AH86" s="33">
        <f>IF(X86&lt;=0,0,MAX(0,MIN(X86,ROUND($AZ86-SUMPRODUCT($V86:$AE86*($V86:$AE86&gt;0)*(($V86:$AE86&lt;X86)+($V86:$AE86=X86)*($V$3:$AE$3&gt;X$3)+($V86:$AE86=X86)*($V$3:$AE$3=X$3)*($V$2:$AE$2&lt;X$2))),2))))</f>
      </c>
      <c r="AI86" s="33">
        <f>IF(Y86&lt;=0,0,MAX(0,MIN(Y86,ROUND($AZ86-SUMPRODUCT($V86:$AE86*($V86:$AE86&gt;0)*(($V86:$AE86&lt;Y86)+($V86:$AE86=Y86)*($V$3:$AE$3&gt;Y$3)+($V86:$AE86=Y86)*($V$3:$AE$3=Y$3)*($V$2:$AE$2&lt;Y$2))),2))))</f>
      </c>
      <c r="AJ86" s="33">
        <f>IF(Z86&lt;=0,0,MAX(0,MIN(Z86,ROUND($AZ86-SUMPRODUCT($V86:$AE86*($V86:$AE86&gt;0)*(($V86:$AE86&lt;Z86)+($V86:$AE86=Z86)*($V$3:$AE$3&gt;Z$3)+($V86:$AE86=Z86)*($V$3:$AE$3=Z$3)*($V$2:$AE$2&lt;Z$2))),2))))</f>
      </c>
      <c r="AK86" s="33">
        <f>IF(AA86&lt;=0,0,MAX(0,MIN(AA86,ROUND($AZ86-SUMPRODUCT($V86:$AE86*($V86:$AE86&gt;0)*(($V86:$AE86&lt;AA86)+($V86:$AE86=AA86)*($V$3:$AE$3&gt;AA$3)+($V86:$AE86=AA86)*($V$3:$AE$3=AA$3)*($V$2:$AE$2&lt;AA$2))),2))))</f>
      </c>
      <c r="AL86" s="33">
        <f>IF(AB86&lt;=0,0,MAX(0,MIN(AB86,ROUND($AZ86-SUMPRODUCT($V86:$AE86*($V86:$AE86&gt;0)*(($V86:$AE86&lt;AB86)+($V86:$AE86=AB86)*($V$3:$AE$3&gt;AB$3)+($V86:$AE86=AB86)*($V$3:$AE$3=AB$3)*($V$2:$AE$2&lt;AB$2))),2))))</f>
      </c>
      <c r="AM86" s="33">
        <f>IF(AC86&lt;=0,0,MAX(0,MIN(AC86,ROUND($AZ86-SUMPRODUCT($V86:$AE86*($V86:$AE86&gt;0)*(($V86:$AE86&lt;AC86)+($V86:$AE86=AC86)*($V$3:$AE$3&gt;AC$3)+($V86:$AE86=AC86)*($V$3:$AE$3=AC$3)*($V$2:$AE$2&lt;AC$2))),2))))</f>
      </c>
      <c r="AN86" s="33">
        <f>IF(AD86&lt;=0,0,MAX(0,MIN(AD86,ROUND($AZ86-SUMPRODUCT($V86:$AE86*($V86:$AE86&gt;0)*(($V86:$AE86&lt;AD86)+($V86:$AE86=AD86)*($V$3:$AE$3&gt;AD$3)+($V86:$AE86=AD86)*($V$3:$AE$3=AD$3)*($V$2:$AE$2&lt;AD$2))),2))))</f>
      </c>
      <c r="AO86" s="33">
        <f>IF(AE86&lt;=0,0,MAX(0,MIN(AE86,ROUND($AZ86-SUMPRODUCT($V86:$AE86*($V86:$AE86&gt;0)*(($V86:$AE86&lt;AE86)+($V86:$AE86=AE86)*($V$3:$AE$3&gt;AE$3)+($V86:$AE86=AE86)*($V$3:$AE$3=AE$3)*($V$2:$AE$2&lt;AE$2))),2))))</f>
      </c>
      <c r="AP86" s="33">
        <f>ROUND(V86-AF86,2)</f>
      </c>
      <c r="AQ86" s="33">
        <f>ROUND(W86-AG86,2)</f>
      </c>
      <c r="AR86" s="33">
        <f>ROUND(X86-AH86,2)</f>
      </c>
      <c r="AS86" s="33">
        <f>ROUND(Y86-AI86,2)</f>
      </c>
      <c r="AT86" s="33">
        <f>ROUND(Z86-AJ86,2)</f>
      </c>
      <c r="AU86" s="33">
        <f>ROUND(AA86-AK86,2)</f>
      </c>
      <c r="AV86" s="33">
        <f>ROUND(AB86-AL86,2)</f>
      </c>
      <c r="AW86" s="33">
        <f>ROUND(AC86-AM86,2)</f>
      </c>
      <c r="AX86" s="33">
        <f>ROUND(AD86-AN86,2)</f>
      </c>
      <c r="AY86" s="33">
        <f>ROUND(AE86-AO86,2)</f>
      </c>
      <c r="AZ86" s="33">
        <f>ROUND(MAX(0,'Your debts'!$D$22-SUM($L86:$U86)),2)</f>
      </c>
      <c r="BA86" s="33">
        <f>ROUND(SUM($B86:$K86)-SUM($AP85:$AY85),2)</f>
      </c>
      <c r="BB86" s="33">
        <f>SUM($AP86:$AY86)</f>
      </c>
      <c r="BC86" s="33">
        <f>ROUND(SUM($L86:$U86)+SUM($AF86:$AO86),2)</f>
      </c>
    </row>
    <row r="87" spans="1:55" x14ac:dyDescent="0.25">
      <c r="A87">
        <v>80</v>
      </c>
      <c r="B87" s="33">
        <f>IF(AP86&lt;=0,0,ROUND(AP86+ROUND(AP86*V$3/12,2),2))</f>
      </c>
      <c r="C87" s="33">
        <f>IF(AQ86&lt;=0,0,ROUND(AQ86+ROUND(AQ86*W$3/12,2),2))</f>
      </c>
      <c r="D87" s="33">
        <f>IF(AR86&lt;=0,0,ROUND(AR86+ROUND(AR86*X$3/12,2),2))</f>
      </c>
      <c r="E87" s="33">
        <f>IF(AS86&lt;=0,0,ROUND(AS86+ROUND(AS86*Y$3/12,2),2))</f>
      </c>
      <c r="F87" s="33">
        <f>IF(AT86&lt;=0,0,ROUND(AT86+ROUND(AT86*Z$3/12,2),2))</f>
      </c>
      <c r="G87" s="33">
        <f>IF(AU86&lt;=0,0,ROUND(AU86+ROUND(AU86*AA$3/12,2),2))</f>
      </c>
      <c r="H87" s="33">
        <f>IF(AV86&lt;=0,0,ROUND(AV86+ROUND(AV86*AB$3/12,2),2))</f>
      </c>
      <c r="I87" s="33">
        <f>IF(AW86&lt;=0,0,ROUND(AW86+ROUND(AW86*AC$3/12,2),2))</f>
      </c>
      <c r="J87" s="33">
        <f>IF(AX86&lt;=0,0,ROUND(AX86+ROUND(AX86*AD$3/12,2),2))</f>
      </c>
      <c r="K87" s="33">
        <f>IF(AY86&lt;=0,0,ROUND(AY86+ROUND(AY86*AE$3/12,2),2))</f>
      </c>
      <c r="L87" s="33">
        <f>ROUND(MIN(MAX(0,N('Your debts'!$E$6)),B87),2)</f>
      </c>
      <c r="M87" s="33">
        <f>ROUND(MIN(MAX(0,N('Your debts'!$E$7)),C87),2)</f>
      </c>
      <c r="N87" s="33">
        <f>ROUND(MIN(MAX(0,N('Your debts'!$E$8)),D87),2)</f>
      </c>
      <c r="O87" s="33">
        <f>ROUND(MIN(MAX(0,N('Your debts'!$E$9)),E87),2)</f>
      </c>
      <c r="P87" s="33">
        <f>ROUND(MIN(MAX(0,N('Your debts'!$E$10)),F87),2)</f>
      </c>
      <c r="Q87" s="33">
        <f>ROUND(MIN(MAX(0,N('Your debts'!$E$11)),G87),2)</f>
      </c>
      <c r="R87" s="33">
        <f>ROUND(MIN(MAX(0,N('Your debts'!$E$12)),H87),2)</f>
      </c>
      <c r="S87" s="33">
        <f>ROUND(MIN(MAX(0,N('Your debts'!$E$13)),I87),2)</f>
      </c>
      <c r="T87" s="33">
        <f>ROUND(MIN(MAX(0,N('Your debts'!$E$14)),J87),2)</f>
      </c>
      <c r="U87" s="33">
        <f>ROUND(MIN(MAX(0,N('Your debts'!$E$15)),K87),2)</f>
      </c>
      <c r="V87" s="33">
        <f>ROUND(B87-L87,2)</f>
      </c>
      <c r="W87" s="33">
        <f>ROUND(C87-M87,2)</f>
      </c>
      <c r="X87" s="33">
        <f>ROUND(D87-N87,2)</f>
      </c>
      <c r="Y87" s="33">
        <f>ROUND(E87-O87,2)</f>
      </c>
      <c r="Z87" s="33">
        <f>ROUND(F87-P87,2)</f>
      </c>
      <c r="AA87" s="33">
        <f>ROUND(G87-Q87,2)</f>
      </c>
      <c r="AB87" s="33">
        <f>ROUND(H87-R87,2)</f>
      </c>
      <c r="AC87" s="33">
        <f>ROUND(I87-S87,2)</f>
      </c>
      <c r="AD87" s="33">
        <f>ROUND(J87-T87,2)</f>
      </c>
      <c r="AE87" s="33">
        <f>ROUND(K87-U87,2)</f>
      </c>
      <c r="AF87" s="33">
        <f>IF(V87&lt;=0,0,MAX(0,MIN(V87,ROUND($AZ87-SUMPRODUCT($V87:$AE87*($V87:$AE87&gt;0)*(($V87:$AE87&lt;V87)+($V87:$AE87=V87)*($V$3:$AE$3&gt;V$3)+($V87:$AE87=V87)*($V$3:$AE$3=V$3)*($V$2:$AE$2&lt;V$2))),2))))</f>
      </c>
      <c r="AG87" s="33">
        <f>IF(W87&lt;=0,0,MAX(0,MIN(W87,ROUND($AZ87-SUMPRODUCT($V87:$AE87*($V87:$AE87&gt;0)*(($V87:$AE87&lt;W87)+($V87:$AE87=W87)*($V$3:$AE$3&gt;W$3)+($V87:$AE87=W87)*($V$3:$AE$3=W$3)*($V$2:$AE$2&lt;W$2))),2))))</f>
      </c>
      <c r="AH87" s="33">
        <f>IF(X87&lt;=0,0,MAX(0,MIN(X87,ROUND($AZ87-SUMPRODUCT($V87:$AE87*($V87:$AE87&gt;0)*(($V87:$AE87&lt;X87)+($V87:$AE87=X87)*($V$3:$AE$3&gt;X$3)+($V87:$AE87=X87)*($V$3:$AE$3=X$3)*($V$2:$AE$2&lt;X$2))),2))))</f>
      </c>
      <c r="AI87" s="33">
        <f>IF(Y87&lt;=0,0,MAX(0,MIN(Y87,ROUND($AZ87-SUMPRODUCT($V87:$AE87*($V87:$AE87&gt;0)*(($V87:$AE87&lt;Y87)+($V87:$AE87=Y87)*($V$3:$AE$3&gt;Y$3)+($V87:$AE87=Y87)*($V$3:$AE$3=Y$3)*($V$2:$AE$2&lt;Y$2))),2))))</f>
      </c>
      <c r="AJ87" s="33">
        <f>IF(Z87&lt;=0,0,MAX(0,MIN(Z87,ROUND($AZ87-SUMPRODUCT($V87:$AE87*($V87:$AE87&gt;0)*(($V87:$AE87&lt;Z87)+($V87:$AE87=Z87)*($V$3:$AE$3&gt;Z$3)+($V87:$AE87=Z87)*($V$3:$AE$3=Z$3)*($V$2:$AE$2&lt;Z$2))),2))))</f>
      </c>
      <c r="AK87" s="33">
        <f>IF(AA87&lt;=0,0,MAX(0,MIN(AA87,ROUND($AZ87-SUMPRODUCT($V87:$AE87*($V87:$AE87&gt;0)*(($V87:$AE87&lt;AA87)+($V87:$AE87=AA87)*($V$3:$AE$3&gt;AA$3)+($V87:$AE87=AA87)*($V$3:$AE$3=AA$3)*($V$2:$AE$2&lt;AA$2))),2))))</f>
      </c>
      <c r="AL87" s="33">
        <f>IF(AB87&lt;=0,0,MAX(0,MIN(AB87,ROUND($AZ87-SUMPRODUCT($V87:$AE87*($V87:$AE87&gt;0)*(($V87:$AE87&lt;AB87)+($V87:$AE87=AB87)*($V$3:$AE$3&gt;AB$3)+($V87:$AE87=AB87)*($V$3:$AE$3=AB$3)*($V$2:$AE$2&lt;AB$2))),2))))</f>
      </c>
      <c r="AM87" s="33">
        <f>IF(AC87&lt;=0,0,MAX(0,MIN(AC87,ROUND($AZ87-SUMPRODUCT($V87:$AE87*($V87:$AE87&gt;0)*(($V87:$AE87&lt;AC87)+($V87:$AE87=AC87)*($V$3:$AE$3&gt;AC$3)+($V87:$AE87=AC87)*($V$3:$AE$3=AC$3)*($V$2:$AE$2&lt;AC$2))),2))))</f>
      </c>
      <c r="AN87" s="33">
        <f>IF(AD87&lt;=0,0,MAX(0,MIN(AD87,ROUND($AZ87-SUMPRODUCT($V87:$AE87*($V87:$AE87&gt;0)*(($V87:$AE87&lt;AD87)+($V87:$AE87=AD87)*($V$3:$AE$3&gt;AD$3)+($V87:$AE87=AD87)*($V$3:$AE$3=AD$3)*($V$2:$AE$2&lt;AD$2))),2))))</f>
      </c>
      <c r="AO87" s="33">
        <f>IF(AE87&lt;=0,0,MAX(0,MIN(AE87,ROUND($AZ87-SUMPRODUCT($V87:$AE87*($V87:$AE87&gt;0)*(($V87:$AE87&lt;AE87)+($V87:$AE87=AE87)*($V$3:$AE$3&gt;AE$3)+($V87:$AE87=AE87)*($V$3:$AE$3=AE$3)*($V$2:$AE$2&lt;AE$2))),2))))</f>
      </c>
      <c r="AP87" s="33">
        <f>ROUND(V87-AF87,2)</f>
      </c>
      <c r="AQ87" s="33">
        <f>ROUND(W87-AG87,2)</f>
      </c>
      <c r="AR87" s="33">
        <f>ROUND(X87-AH87,2)</f>
      </c>
      <c r="AS87" s="33">
        <f>ROUND(Y87-AI87,2)</f>
      </c>
      <c r="AT87" s="33">
        <f>ROUND(Z87-AJ87,2)</f>
      </c>
      <c r="AU87" s="33">
        <f>ROUND(AA87-AK87,2)</f>
      </c>
      <c r="AV87" s="33">
        <f>ROUND(AB87-AL87,2)</f>
      </c>
      <c r="AW87" s="33">
        <f>ROUND(AC87-AM87,2)</f>
      </c>
      <c r="AX87" s="33">
        <f>ROUND(AD87-AN87,2)</f>
      </c>
      <c r="AY87" s="33">
        <f>ROUND(AE87-AO87,2)</f>
      </c>
      <c r="AZ87" s="33">
        <f>ROUND(MAX(0,'Your debts'!$D$22-SUM($L87:$U87)),2)</f>
      </c>
      <c r="BA87" s="33">
        <f>ROUND(SUM($B87:$K87)-SUM($AP86:$AY86),2)</f>
      </c>
      <c r="BB87" s="33">
        <f>SUM($AP87:$AY87)</f>
      </c>
      <c r="BC87" s="33">
        <f>ROUND(SUM($L87:$U87)+SUM($AF87:$AO87),2)</f>
      </c>
    </row>
    <row r="88" spans="1:55" x14ac:dyDescent="0.25">
      <c r="A88">
        <v>81</v>
      </c>
      <c r="B88" s="33">
        <f>IF(AP87&lt;=0,0,ROUND(AP87+ROUND(AP87*V$3/12,2),2))</f>
      </c>
      <c r="C88" s="33">
        <f>IF(AQ87&lt;=0,0,ROUND(AQ87+ROUND(AQ87*W$3/12,2),2))</f>
      </c>
      <c r="D88" s="33">
        <f>IF(AR87&lt;=0,0,ROUND(AR87+ROUND(AR87*X$3/12,2),2))</f>
      </c>
      <c r="E88" s="33">
        <f>IF(AS87&lt;=0,0,ROUND(AS87+ROUND(AS87*Y$3/12,2),2))</f>
      </c>
      <c r="F88" s="33">
        <f>IF(AT87&lt;=0,0,ROUND(AT87+ROUND(AT87*Z$3/12,2),2))</f>
      </c>
      <c r="G88" s="33">
        <f>IF(AU87&lt;=0,0,ROUND(AU87+ROUND(AU87*AA$3/12,2),2))</f>
      </c>
      <c r="H88" s="33">
        <f>IF(AV87&lt;=0,0,ROUND(AV87+ROUND(AV87*AB$3/12,2),2))</f>
      </c>
      <c r="I88" s="33">
        <f>IF(AW87&lt;=0,0,ROUND(AW87+ROUND(AW87*AC$3/12,2),2))</f>
      </c>
      <c r="J88" s="33">
        <f>IF(AX87&lt;=0,0,ROUND(AX87+ROUND(AX87*AD$3/12,2),2))</f>
      </c>
      <c r="K88" s="33">
        <f>IF(AY87&lt;=0,0,ROUND(AY87+ROUND(AY87*AE$3/12,2),2))</f>
      </c>
      <c r="L88" s="33">
        <f>ROUND(MIN(MAX(0,N('Your debts'!$E$6)),B88),2)</f>
      </c>
      <c r="M88" s="33">
        <f>ROUND(MIN(MAX(0,N('Your debts'!$E$7)),C88),2)</f>
      </c>
      <c r="N88" s="33">
        <f>ROUND(MIN(MAX(0,N('Your debts'!$E$8)),D88),2)</f>
      </c>
      <c r="O88" s="33">
        <f>ROUND(MIN(MAX(0,N('Your debts'!$E$9)),E88),2)</f>
      </c>
      <c r="P88" s="33">
        <f>ROUND(MIN(MAX(0,N('Your debts'!$E$10)),F88),2)</f>
      </c>
      <c r="Q88" s="33">
        <f>ROUND(MIN(MAX(0,N('Your debts'!$E$11)),G88),2)</f>
      </c>
      <c r="R88" s="33">
        <f>ROUND(MIN(MAX(0,N('Your debts'!$E$12)),H88),2)</f>
      </c>
      <c r="S88" s="33">
        <f>ROUND(MIN(MAX(0,N('Your debts'!$E$13)),I88),2)</f>
      </c>
      <c r="T88" s="33">
        <f>ROUND(MIN(MAX(0,N('Your debts'!$E$14)),J88),2)</f>
      </c>
      <c r="U88" s="33">
        <f>ROUND(MIN(MAX(0,N('Your debts'!$E$15)),K88),2)</f>
      </c>
      <c r="V88" s="33">
        <f>ROUND(B88-L88,2)</f>
      </c>
      <c r="W88" s="33">
        <f>ROUND(C88-M88,2)</f>
      </c>
      <c r="X88" s="33">
        <f>ROUND(D88-N88,2)</f>
      </c>
      <c r="Y88" s="33">
        <f>ROUND(E88-O88,2)</f>
      </c>
      <c r="Z88" s="33">
        <f>ROUND(F88-P88,2)</f>
      </c>
      <c r="AA88" s="33">
        <f>ROUND(G88-Q88,2)</f>
      </c>
      <c r="AB88" s="33">
        <f>ROUND(H88-R88,2)</f>
      </c>
      <c r="AC88" s="33">
        <f>ROUND(I88-S88,2)</f>
      </c>
      <c r="AD88" s="33">
        <f>ROUND(J88-T88,2)</f>
      </c>
      <c r="AE88" s="33">
        <f>ROUND(K88-U88,2)</f>
      </c>
      <c r="AF88" s="33">
        <f>IF(V88&lt;=0,0,MAX(0,MIN(V88,ROUND($AZ88-SUMPRODUCT($V88:$AE88*($V88:$AE88&gt;0)*(($V88:$AE88&lt;V88)+($V88:$AE88=V88)*($V$3:$AE$3&gt;V$3)+($V88:$AE88=V88)*($V$3:$AE$3=V$3)*($V$2:$AE$2&lt;V$2))),2))))</f>
      </c>
      <c r="AG88" s="33">
        <f>IF(W88&lt;=0,0,MAX(0,MIN(W88,ROUND($AZ88-SUMPRODUCT($V88:$AE88*($V88:$AE88&gt;0)*(($V88:$AE88&lt;W88)+($V88:$AE88=W88)*($V$3:$AE$3&gt;W$3)+($V88:$AE88=W88)*($V$3:$AE$3=W$3)*($V$2:$AE$2&lt;W$2))),2))))</f>
      </c>
      <c r="AH88" s="33">
        <f>IF(X88&lt;=0,0,MAX(0,MIN(X88,ROUND($AZ88-SUMPRODUCT($V88:$AE88*($V88:$AE88&gt;0)*(($V88:$AE88&lt;X88)+($V88:$AE88=X88)*($V$3:$AE$3&gt;X$3)+($V88:$AE88=X88)*($V$3:$AE$3=X$3)*($V$2:$AE$2&lt;X$2))),2))))</f>
      </c>
      <c r="AI88" s="33">
        <f>IF(Y88&lt;=0,0,MAX(0,MIN(Y88,ROUND($AZ88-SUMPRODUCT($V88:$AE88*($V88:$AE88&gt;0)*(($V88:$AE88&lt;Y88)+($V88:$AE88=Y88)*($V$3:$AE$3&gt;Y$3)+($V88:$AE88=Y88)*($V$3:$AE$3=Y$3)*($V$2:$AE$2&lt;Y$2))),2))))</f>
      </c>
      <c r="AJ88" s="33">
        <f>IF(Z88&lt;=0,0,MAX(0,MIN(Z88,ROUND($AZ88-SUMPRODUCT($V88:$AE88*($V88:$AE88&gt;0)*(($V88:$AE88&lt;Z88)+($V88:$AE88=Z88)*($V$3:$AE$3&gt;Z$3)+($V88:$AE88=Z88)*($V$3:$AE$3=Z$3)*($V$2:$AE$2&lt;Z$2))),2))))</f>
      </c>
      <c r="AK88" s="33">
        <f>IF(AA88&lt;=0,0,MAX(0,MIN(AA88,ROUND($AZ88-SUMPRODUCT($V88:$AE88*($V88:$AE88&gt;0)*(($V88:$AE88&lt;AA88)+($V88:$AE88=AA88)*($V$3:$AE$3&gt;AA$3)+($V88:$AE88=AA88)*($V$3:$AE$3=AA$3)*($V$2:$AE$2&lt;AA$2))),2))))</f>
      </c>
      <c r="AL88" s="33">
        <f>IF(AB88&lt;=0,0,MAX(0,MIN(AB88,ROUND($AZ88-SUMPRODUCT($V88:$AE88*($V88:$AE88&gt;0)*(($V88:$AE88&lt;AB88)+($V88:$AE88=AB88)*($V$3:$AE$3&gt;AB$3)+($V88:$AE88=AB88)*($V$3:$AE$3=AB$3)*($V$2:$AE$2&lt;AB$2))),2))))</f>
      </c>
      <c r="AM88" s="33">
        <f>IF(AC88&lt;=0,0,MAX(0,MIN(AC88,ROUND($AZ88-SUMPRODUCT($V88:$AE88*($V88:$AE88&gt;0)*(($V88:$AE88&lt;AC88)+($V88:$AE88=AC88)*($V$3:$AE$3&gt;AC$3)+($V88:$AE88=AC88)*($V$3:$AE$3=AC$3)*($V$2:$AE$2&lt;AC$2))),2))))</f>
      </c>
      <c r="AN88" s="33">
        <f>IF(AD88&lt;=0,0,MAX(0,MIN(AD88,ROUND($AZ88-SUMPRODUCT($V88:$AE88*($V88:$AE88&gt;0)*(($V88:$AE88&lt;AD88)+($V88:$AE88=AD88)*($V$3:$AE$3&gt;AD$3)+($V88:$AE88=AD88)*($V$3:$AE$3=AD$3)*($V$2:$AE$2&lt;AD$2))),2))))</f>
      </c>
      <c r="AO88" s="33">
        <f>IF(AE88&lt;=0,0,MAX(0,MIN(AE88,ROUND($AZ88-SUMPRODUCT($V88:$AE88*($V88:$AE88&gt;0)*(($V88:$AE88&lt;AE88)+($V88:$AE88=AE88)*($V$3:$AE$3&gt;AE$3)+($V88:$AE88=AE88)*($V$3:$AE$3=AE$3)*($V$2:$AE$2&lt;AE$2))),2))))</f>
      </c>
      <c r="AP88" s="33">
        <f>ROUND(V88-AF88,2)</f>
      </c>
      <c r="AQ88" s="33">
        <f>ROUND(W88-AG88,2)</f>
      </c>
      <c r="AR88" s="33">
        <f>ROUND(X88-AH88,2)</f>
      </c>
      <c r="AS88" s="33">
        <f>ROUND(Y88-AI88,2)</f>
      </c>
      <c r="AT88" s="33">
        <f>ROUND(Z88-AJ88,2)</f>
      </c>
      <c r="AU88" s="33">
        <f>ROUND(AA88-AK88,2)</f>
      </c>
      <c r="AV88" s="33">
        <f>ROUND(AB88-AL88,2)</f>
      </c>
      <c r="AW88" s="33">
        <f>ROUND(AC88-AM88,2)</f>
      </c>
      <c r="AX88" s="33">
        <f>ROUND(AD88-AN88,2)</f>
      </c>
      <c r="AY88" s="33">
        <f>ROUND(AE88-AO88,2)</f>
      </c>
      <c r="AZ88" s="33">
        <f>ROUND(MAX(0,'Your debts'!$D$22-SUM($L88:$U88)),2)</f>
      </c>
      <c r="BA88" s="33">
        <f>ROUND(SUM($B88:$K88)-SUM($AP87:$AY87),2)</f>
      </c>
      <c r="BB88" s="33">
        <f>SUM($AP88:$AY88)</f>
      </c>
      <c r="BC88" s="33">
        <f>ROUND(SUM($L88:$U88)+SUM($AF88:$AO88),2)</f>
      </c>
    </row>
    <row r="89" spans="1:55" x14ac:dyDescent="0.25">
      <c r="A89">
        <v>82</v>
      </c>
      <c r="B89" s="33">
        <f>IF(AP88&lt;=0,0,ROUND(AP88+ROUND(AP88*V$3/12,2),2))</f>
      </c>
      <c r="C89" s="33">
        <f>IF(AQ88&lt;=0,0,ROUND(AQ88+ROUND(AQ88*W$3/12,2),2))</f>
      </c>
      <c r="D89" s="33">
        <f>IF(AR88&lt;=0,0,ROUND(AR88+ROUND(AR88*X$3/12,2),2))</f>
      </c>
      <c r="E89" s="33">
        <f>IF(AS88&lt;=0,0,ROUND(AS88+ROUND(AS88*Y$3/12,2),2))</f>
      </c>
      <c r="F89" s="33">
        <f>IF(AT88&lt;=0,0,ROUND(AT88+ROUND(AT88*Z$3/12,2),2))</f>
      </c>
      <c r="G89" s="33">
        <f>IF(AU88&lt;=0,0,ROUND(AU88+ROUND(AU88*AA$3/12,2),2))</f>
      </c>
      <c r="H89" s="33">
        <f>IF(AV88&lt;=0,0,ROUND(AV88+ROUND(AV88*AB$3/12,2),2))</f>
      </c>
      <c r="I89" s="33">
        <f>IF(AW88&lt;=0,0,ROUND(AW88+ROUND(AW88*AC$3/12,2),2))</f>
      </c>
      <c r="J89" s="33">
        <f>IF(AX88&lt;=0,0,ROUND(AX88+ROUND(AX88*AD$3/12,2),2))</f>
      </c>
      <c r="K89" s="33">
        <f>IF(AY88&lt;=0,0,ROUND(AY88+ROUND(AY88*AE$3/12,2),2))</f>
      </c>
      <c r="L89" s="33">
        <f>ROUND(MIN(MAX(0,N('Your debts'!$E$6)),B89),2)</f>
      </c>
      <c r="M89" s="33">
        <f>ROUND(MIN(MAX(0,N('Your debts'!$E$7)),C89),2)</f>
      </c>
      <c r="N89" s="33">
        <f>ROUND(MIN(MAX(0,N('Your debts'!$E$8)),D89),2)</f>
      </c>
      <c r="O89" s="33">
        <f>ROUND(MIN(MAX(0,N('Your debts'!$E$9)),E89),2)</f>
      </c>
      <c r="P89" s="33">
        <f>ROUND(MIN(MAX(0,N('Your debts'!$E$10)),F89),2)</f>
      </c>
      <c r="Q89" s="33">
        <f>ROUND(MIN(MAX(0,N('Your debts'!$E$11)),G89),2)</f>
      </c>
      <c r="R89" s="33">
        <f>ROUND(MIN(MAX(0,N('Your debts'!$E$12)),H89),2)</f>
      </c>
      <c r="S89" s="33">
        <f>ROUND(MIN(MAX(0,N('Your debts'!$E$13)),I89),2)</f>
      </c>
      <c r="T89" s="33">
        <f>ROUND(MIN(MAX(0,N('Your debts'!$E$14)),J89),2)</f>
      </c>
      <c r="U89" s="33">
        <f>ROUND(MIN(MAX(0,N('Your debts'!$E$15)),K89),2)</f>
      </c>
      <c r="V89" s="33">
        <f>ROUND(B89-L89,2)</f>
      </c>
      <c r="W89" s="33">
        <f>ROUND(C89-M89,2)</f>
      </c>
      <c r="X89" s="33">
        <f>ROUND(D89-N89,2)</f>
      </c>
      <c r="Y89" s="33">
        <f>ROUND(E89-O89,2)</f>
      </c>
      <c r="Z89" s="33">
        <f>ROUND(F89-P89,2)</f>
      </c>
      <c r="AA89" s="33">
        <f>ROUND(G89-Q89,2)</f>
      </c>
      <c r="AB89" s="33">
        <f>ROUND(H89-R89,2)</f>
      </c>
      <c r="AC89" s="33">
        <f>ROUND(I89-S89,2)</f>
      </c>
      <c r="AD89" s="33">
        <f>ROUND(J89-T89,2)</f>
      </c>
      <c r="AE89" s="33">
        <f>ROUND(K89-U89,2)</f>
      </c>
      <c r="AF89" s="33">
        <f>IF(V89&lt;=0,0,MAX(0,MIN(V89,ROUND($AZ89-SUMPRODUCT($V89:$AE89*($V89:$AE89&gt;0)*(($V89:$AE89&lt;V89)+($V89:$AE89=V89)*($V$3:$AE$3&gt;V$3)+($V89:$AE89=V89)*($V$3:$AE$3=V$3)*($V$2:$AE$2&lt;V$2))),2))))</f>
      </c>
      <c r="AG89" s="33">
        <f>IF(W89&lt;=0,0,MAX(0,MIN(W89,ROUND($AZ89-SUMPRODUCT($V89:$AE89*($V89:$AE89&gt;0)*(($V89:$AE89&lt;W89)+($V89:$AE89=W89)*($V$3:$AE$3&gt;W$3)+($V89:$AE89=W89)*($V$3:$AE$3=W$3)*($V$2:$AE$2&lt;W$2))),2))))</f>
      </c>
      <c r="AH89" s="33">
        <f>IF(X89&lt;=0,0,MAX(0,MIN(X89,ROUND($AZ89-SUMPRODUCT($V89:$AE89*($V89:$AE89&gt;0)*(($V89:$AE89&lt;X89)+($V89:$AE89=X89)*($V$3:$AE$3&gt;X$3)+($V89:$AE89=X89)*($V$3:$AE$3=X$3)*($V$2:$AE$2&lt;X$2))),2))))</f>
      </c>
      <c r="AI89" s="33">
        <f>IF(Y89&lt;=0,0,MAX(0,MIN(Y89,ROUND($AZ89-SUMPRODUCT($V89:$AE89*($V89:$AE89&gt;0)*(($V89:$AE89&lt;Y89)+($V89:$AE89=Y89)*($V$3:$AE$3&gt;Y$3)+($V89:$AE89=Y89)*($V$3:$AE$3=Y$3)*($V$2:$AE$2&lt;Y$2))),2))))</f>
      </c>
      <c r="AJ89" s="33">
        <f>IF(Z89&lt;=0,0,MAX(0,MIN(Z89,ROUND($AZ89-SUMPRODUCT($V89:$AE89*($V89:$AE89&gt;0)*(($V89:$AE89&lt;Z89)+($V89:$AE89=Z89)*($V$3:$AE$3&gt;Z$3)+($V89:$AE89=Z89)*($V$3:$AE$3=Z$3)*($V$2:$AE$2&lt;Z$2))),2))))</f>
      </c>
      <c r="AK89" s="33">
        <f>IF(AA89&lt;=0,0,MAX(0,MIN(AA89,ROUND($AZ89-SUMPRODUCT($V89:$AE89*($V89:$AE89&gt;0)*(($V89:$AE89&lt;AA89)+($V89:$AE89=AA89)*($V$3:$AE$3&gt;AA$3)+($V89:$AE89=AA89)*($V$3:$AE$3=AA$3)*($V$2:$AE$2&lt;AA$2))),2))))</f>
      </c>
      <c r="AL89" s="33">
        <f>IF(AB89&lt;=0,0,MAX(0,MIN(AB89,ROUND($AZ89-SUMPRODUCT($V89:$AE89*($V89:$AE89&gt;0)*(($V89:$AE89&lt;AB89)+($V89:$AE89=AB89)*($V$3:$AE$3&gt;AB$3)+($V89:$AE89=AB89)*($V$3:$AE$3=AB$3)*($V$2:$AE$2&lt;AB$2))),2))))</f>
      </c>
      <c r="AM89" s="33">
        <f>IF(AC89&lt;=0,0,MAX(0,MIN(AC89,ROUND($AZ89-SUMPRODUCT($V89:$AE89*($V89:$AE89&gt;0)*(($V89:$AE89&lt;AC89)+($V89:$AE89=AC89)*($V$3:$AE$3&gt;AC$3)+($V89:$AE89=AC89)*($V$3:$AE$3=AC$3)*($V$2:$AE$2&lt;AC$2))),2))))</f>
      </c>
      <c r="AN89" s="33">
        <f>IF(AD89&lt;=0,0,MAX(0,MIN(AD89,ROUND($AZ89-SUMPRODUCT($V89:$AE89*($V89:$AE89&gt;0)*(($V89:$AE89&lt;AD89)+($V89:$AE89=AD89)*($V$3:$AE$3&gt;AD$3)+($V89:$AE89=AD89)*($V$3:$AE$3=AD$3)*($V$2:$AE$2&lt;AD$2))),2))))</f>
      </c>
      <c r="AO89" s="33">
        <f>IF(AE89&lt;=0,0,MAX(0,MIN(AE89,ROUND($AZ89-SUMPRODUCT($V89:$AE89*($V89:$AE89&gt;0)*(($V89:$AE89&lt;AE89)+($V89:$AE89=AE89)*($V$3:$AE$3&gt;AE$3)+($V89:$AE89=AE89)*($V$3:$AE$3=AE$3)*($V$2:$AE$2&lt;AE$2))),2))))</f>
      </c>
      <c r="AP89" s="33">
        <f>ROUND(V89-AF89,2)</f>
      </c>
      <c r="AQ89" s="33">
        <f>ROUND(W89-AG89,2)</f>
      </c>
      <c r="AR89" s="33">
        <f>ROUND(X89-AH89,2)</f>
      </c>
      <c r="AS89" s="33">
        <f>ROUND(Y89-AI89,2)</f>
      </c>
      <c r="AT89" s="33">
        <f>ROUND(Z89-AJ89,2)</f>
      </c>
      <c r="AU89" s="33">
        <f>ROUND(AA89-AK89,2)</f>
      </c>
      <c r="AV89" s="33">
        <f>ROUND(AB89-AL89,2)</f>
      </c>
      <c r="AW89" s="33">
        <f>ROUND(AC89-AM89,2)</f>
      </c>
      <c r="AX89" s="33">
        <f>ROUND(AD89-AN89,2)</f>
      </c>
      <c r="AY89" s="33">
        <f>ROUND(AE89-AO89,2)</f>
      </c>
      <c r="AZ89" s="33">
        <f>ROUND(MAX(0,'Your debts'!$D$22-SUM($L89:$U89)),2)</f>
      </c>
      <c r="BA89" s="33">
        <f>ROUND(SUM($B89:$K89)-SUM($AP88:$AY88),2)</f>
      </c>
      <c r="BB89" s="33">
        <f>SUM($AP89:$AY89)</f>
      </c>
      <c r="BC89" s="33">
        <f>ROUND(SUM($L89:$U89)+SUM($AF89:$AO89),2)</f>
      </c>
    </row>
    <row r="90" spans="1:55" x14ac:dyDescent="0.25">
      <c r="A90">
        <v>83</v>
      </c>
      <c r="B90" s="33">
        <f>IF(AP89&lt;=0,0,ROUND(AP89+ROUND(AP89*V$3/12,2),2))</f>
      </c>
      <c r="C90" s="33">
        <f>IF(AQ89&lt;=0,0,ROUND(AQ89+ROUND(AQ89*W$3/12,2),2))</f>
      </c>
      <c r="D90" s="33">
        <f>IF(AR89&lt;=0,0,ROUND(AR89+ROUND(AR89*X$3/12,2),2))</f>
      </c>
      <c r="E90" s="33">
        <f>IF(AS89&lt;=0,0,ROUND(AS89+ROUND(AS89*Y$3/12,2),2))</f>
      </c>
      <c r="F90" s="33">
        <f>IF(AT89&lt;=0,0,ROUND(AT89+ROUND(AT89*Z$3/12,2),2))</f>
      </c>
      <c r="G90" s="33">
        <f>IF(AU89&lt;=0,0,ROUND(AU89+ROUND(AU89*AA$3/12,2),2))</f>
      </c>
      <c r="H90" s="33">
        <f>IF(AV89&lt;=0,0,ROUND(AV89+ROUND(AV89*AB$3/12,2),2))</f>
      </c>
      <c r="I90" s="33">
        <f>IF(AW89&lt;=0,0,ROUND(AW89+ROUND(AW89*AC$3/12,2),2))</f>
      </c>
      <c r="J90" s="33">
        <f>IF(AX89&lt;=0,0,ROUND(AX89+ROUND(AX89*AD$3/12,2),2))</f>
      </c>
      <c r="K90" s="33">
        <f>IF(AY89&lt;=0,0,ROUND(AY89+ROUND(AY89*AE$3/12,2),2))</f>
      </c>
      <c r="L90" s="33">
        <f>ROUND(MIN(MAX(0,N('Your debts'!$E$6)),B90),2)</f>
      </c>
      <c r="M90" s="33">
        <f>ROUND(MIN(MAX(0,N('Your debts'!$E$7)),C90),2)</f>
      </c>
      <c r="N90" s="33">
        <f>ROUND(MIN(MAX(0,N('Your debts'!$E$8)),D90),2)</f>
      </c>
      <c r="O90" s="33">
        <f>ROUND(MIN(MAX(0,N('Your debts'!$E$9)),E90),2)</f>
      </c>
      <c r="P90" s="33">
        <f>ROUND(MIN(MAX(0,N('Your debts'!$E$10)),F90),2)</f>
      </c>
      <c r="Q90" s="33">
        <f>ROUND(MIN(MAX(0,N('Your debts'!$E$11)),G90),2)</f>
      </c>
      <c r="R90" s="33">
        <f>ROUND(MIN(MAX(0,N('Your debts'!$E$12)),H90),2)</f>
      </c>
      <c r="S90" s="33">
        <f>ROUND(MIN(MAX(0,N('Your debts'!$E$13)),I90),2)</f>
      </c>
      <c r="T90" s="33">
        <f>ROUND(MIN(MAX(0,N('Your debts'!$E$14)),J90),2)</f>
      </c>
      <c r="U90" s="33">
        <f>ROUND(MIN(MAX(0,N('Your debts'!$E$15)),K90),2)</f>
      </c>
      <c r="V90" s="33">
        <f>ROUND(B90-L90,2)</f>
      </c>
      <c r="W90" s="33">
        <f>ROUND(C90-M90,2)</f>
      </c>
      <c r="X90" s="33">
        <f>ROUND(D90-N90,2)</f>
      </c>
      <c r="Y90" s="33">
        <f>ROUND(E90-O90,2)</f>
      </c>
      <c r="Z90" s="33">
        <f>ROUND(F90-P90,2)</f>
      </c>
      <c r="AA90" s="33">
        <f>ROUND(G90-Q90,2)</f>
      </c>
      <c r="AB90" s="33">
        <f>ROUND(H90-R90,2)</f>
      </c>
      <c r="AC90" s="33">
        <f>ROUND(I90-S90,2)</f>
      </c>
      <c r="AD90" s="33">
        <f>ROUND(J90-T90,2)</f>
      </c>
      <c r="AE90" s="33">
        <f>ROUND(K90-U90,2)</f>
      </c>
      <c r="AF90" s="33">
        <f>IF(V90&lt;=0,0,MAX(0,MIN(V90,ROUND($AZ90-SUMPRODUCT($V90:$AE90*($V90:$AE90&gt;0)*(($V90:$AE90&lt;V90)+($V90:$AE90=V90)*($V$3:$AE$3&gt;V$3)+($V90:$AE90=V90)*($V$3:$AE$3=V$3)*($V$2:$AE$2&lt;V$2))),2))))</f>
      </c>
      <c r="AG90" s="33">
        <f>IF(W90&lt;=0,0,MAX(0,MIN(W90,ROUND($AZ90-SUMPRODUCT($V90:$AE90*($V90:$AE90&gt;0)*(($V90:$AE90&lt;W90)+($V90:$AE90=W90)*($V$3:$AE$3&gt;W$3)+($V90:$AE90=W90)*($V$3:$AE$3=W$3)*($V$2:$AE$2&lt;W$2))),2))))</f>
      </c>
      <c r="AH90" s="33">
        <f>IF(X90&lt;=0,0,MAX(0,MIN(X90,ROUND($AZ90-SUMPRODUCT($V90:$AE90*($V90:$AE90&gt;0)*(($V90:$AE90&lt;X90)+($V90:$AE90=X90)*($V$3:$AE$3&gt;X$3)+($V90:$AE90=X90)*($V$3:$AE$3=X$3)*($V$2:$AE$2&lt;X$2))),2))))</f>
      </c>
      <c r="AI90" s="33">
        <f>IF(Y90&lt;=0,0,MAX(0,MIN(Y90,ROUND($AZ90-SUMPRODUCT($V90:$AE90*($V90:$AE90&gt;0)*(($V90:$AE90&lt;Y90)+($V90:$AE90=Y90)*($V$3:$AE$3&gt;Y$3)+($V90:$AE90=Y90)*($V$3:$AE$3=Y$3)*($V$2:$AE$2&lt;Y$2))),2))))</f>
      </c>
      <c r="AJ90" s="33">
        <f>IF(Z90&lt;=0,0,MAX(0,MIN(Z90,ROUND($AZ90-SUMPRODUCT($V90:$AE90*($V90:$AE90&gt;0)*(($V90:$AE90&lt;Z90)+($V90:$AE90=Z90)*($V$3:$AE$3&gt;Z$3)+($V90:$AE90=Z90)*($V$3:$AE$3=Z$3)*($V$2:$AE$2&lt;Z$2))),2))))</f>
      </c>
      <c r="AK90" s="33">
        <f>IF(AA90&lt;=0,0,MAX(0,MIN(AA90,ROUND($AZ90-SUMPRODUCT($V90:$AE90*($V90:$AE90&gt;0)*(($V90:$AE90&lt;AA90)+($V90:$AE90=AA90)*($V$3:$AE$3&gt;AA$3)+($V90:$AE90=AA90)*($V$3:$AE$3=AA$3)*($V$2:$AE$2&lt;AA$2))),2))))</f>
      </c>
      <c r="AL90" s="33">
        <f>IF(AB90&lt;=0,0,MAX(0,MIN(AB90,ROUND($AZ90-SUMPRODUCT($V90:$AE90*($V90:$AE90&gt;0)*(($V90:$AE90&lt;AB90)+($V90:$AE90=AB90)*($V$3:$AE$3&gt;AB$3)+($V90:$AE90=AB90)*($V$3:$AE$3=AB$3)*($V$2:$AE$2&lt;AB$2))),2))))</f>
      </c>
      <c r="AM90" s="33">
        <f>IF(AC90&lt;=0,0,MAX(0,MIN(AC90,ROUND($AZ90-SUMPRODUCT($V90:$AE90*($V90:$AE90&gt;0)*(($V90:$AE90&lt;AC90)+($V90:$AE90=AC90)*($V$3:$AE$3&gt;AC$3)+($V90:$AE90=AC90)*($V$3:$AE$3=AC$3)*($V$2:$AE$2&lt;AC$2))),2))))</f>
      </c>
      <c r="AN90" s="33">
        <f>IF(AD90&lt;=0,0,MAX(0,MIN(AD90,ROUND($AZ90-SUMPRODUCT($V90:$AE90*($V90:$AE90&gt;0)*(($V90:$AE90&lt;AD90)+($V90:$AE90=AD90)*($V$3:$AE$3&gt;AD$3)+($V90:$AE90=AD90)*($V$3:$AE$3=AD$3)*($V$2:$AE$2&lt;AD$2))),2))))</f>
      </c>
      <c r="AO90" s="33">
        <f>IF(AE90&lt;=0,0,MAX(0,MIN(AE90,ROUND($AZ90-SUMPRODUCT($V90:$AE90*($V90:$AE90&gt;0)*(($V90:$AE90&lt;AE90)+($V90:$AE90=AE90)*($V$3:$AE$3&gt;AE$3)+($V90:$AE90=AE90)*($V$3:$AE$3=AE$3)*($V$2:$AE$2&lt;AE$2))),2))))</f>
      </c>
      <c r="AP90" s="33">
        <f>ROUND(V90-AF90,2)</f>
      </c>
      <c r="AQ90" s="33">
        <f>ROUND(W90-AG90,2)</f>
      </c>
      <c r="AR90" s="33">
        <f>ROUND(X90-AH90,2)</f>
      </c>
      <c r="AS90" s="33">
        <f>ROUND(Y90-AI90,2)</f>
      </c>
      <c r="AT90" s="33">
        <f>ROUND(Z90-AJ90,2)</f>
      </c>
      <c r="AU90" s="33">
        <f>ROUND(AA90-AK90,2)</f>
      </c>
      <c r="AV90" s="33">
        <f>ROUND(AB90-AL90,2)</f>
      </c>
      <c r="AW90" s="33">
        <f>ROUND(AC90-AM90,2)</f>
      </c>
      <c r="AX90" s="33">
        <f>ROUND(AD90-AN90,2)</f>
      </c>
      <c r="AY90" s="33">
        <f>ROUND(AE90-AO90,2)</f>
      </c>
      <c r="AZ90" s="33">
        <f>ROUND(MAX(0,'Your debts'!$D$22-SUM($L90:$U90)),2)</f>
      </c>
      <c r="BA90" s="33">
        <f>ROUND(SUM($B90:$K90)-SUM($AP89:$AY89),2)</f>
      </c>
      <c r="BB90" s="33">
        <f>SUM($AP90:$AY90)</f>
      </c>
      <c r="BC90" s="33">
        <f>ROUND(SUM($L90:$U90)+SUM($AF90:$AO90),2)</f>
      </c>
    </row>
    <row r="91" spans="1:55" x14ac:dyDescent="0.25">
      <c r="A91">
        <v>84</v>
      </c>
      <c r="B91" s="33">
        <f>IF(AP90&lt;=0,0,ROUND(AP90+ROUND(AP90*V$3/12,2),2))</f>
      </c>
      <c r="C91" s="33">
        <f>IF(AQ90&lt;=0,0,ROUND(AQ90+ROUND(AQ90*W$3/12,2),2))</f>
      </c>
      <c r="D91" s="33">
        <f>IF(AR90&lt;=0,0,ROUND(AR90+ROUND(AR90*X$3/12,2),2))</f>
      </c>
      <c r="E91" s="33">
        <f>IF(AS90&lt;=0,0,ROUND(AS90+ROUND(AS90*Y$3/12,2),2))</f>
      </c>
      <c r="F91" s="33">
        <f>IF(AT90&lt;=0,0,ROUND(AT90+ROUND(AT90*Z$3/12,2),2))</f>
      </c>
      <c r="G91" s="33">
        <f>IF(AU90&lt;=0,0,ROUND(AU90+ROUND(AU90*AA$3/12,2),2))</f>
      </c>
      <c r="H91" s="33">
        <f>IF(AV90&lt;=0,0,ROUND(AV90+ROUND(AV90*AB$3/12,2),2))</f>
      </c>
      <c r="I91" s="33">
        <f>IF(AW90&lt;=0,0,ROUND(AW90+ROUND(AW90*AC$3/12,2),2))</f>
      </c>
      <c r="J91" s="33">
        <f>IF(AX90&lt;=0,0,ROUND(AX90+ROUND(AX90*AD$3/12,2),2))</f>
      </c>
      <c r="K91" s="33">
        <f>IF(AY90&lt;=0,0,ROUND(AY90+ROUND(AY90*AE$3/12,2),2))</f>
      </c>
      <c r="L91" s="33">
        <f>ROUND(MIN(MAX(0,N('Your debts'!$E$6)),B91),2)</f>
      </c>
      <c r="M91" s="33">
        <f>ROUND(MIN(MAX(0,N('Your debts'!$E$7)),C91),2)</f>
      </c>
      <c r="N91" s="33">
        <f>ROUND(MIN(MAX(0,N('Your debts'!$E$8)),D91),2)</f>
      </c>
      <c r="O91" s="33">
        <f>ROUND(MIN(MAX(0,N('Your debts'!$E$9)),E91),2)</f>
      </c>
      <c r="P91" s="33">
        <f>ROUND(MIN(MAX(0,N('Your debts'!$E$10)),F91),2)</f>
      </c>
      <c r="Q91" s="33">
        <f>ROUND(MIN(MAX(0,N('Your debts'!$E$11)),G91),2)</f>
      </c>
      <c r="R91" s="33">
        <f>ROUND(MIN(MAX(0,N('Your debts'!$E$12)),H91),2)</f>
      </c>
      <c r="S91" s="33">
        <f>ROUND(MIN(MAX(0,N('Your debts'!$E$13)),I91),2)</f>
      </c>
      <c r="T91" s="33">
        <f>ROUND(MIN(MAX(0,N('Your debts'!$E$14)),J91),2)</f>
      </c>
      <c r="U91" s="33">
        <f>ROUND(MIN(MAX(0,N('Your debts'!$E$15)),K91),2)</f>
      </c>
      <c r="V91" s="33">
        <f>ROUND(B91-L91,2)</f>
      </c>
      <c r="W91" s="33">
        <f>ROUND(C91-M91,2)</f>
      </c>
      <c r="X91" s="33">
        <f>ROUND(D91-N91,2)</f>
      </c>
      <c r="Y91" s="33">
        <f>ROUND(E91-O91,2)</f>
      </c>
      <c r="Z91" s="33">
        <f>ROUND(F91-P91,2)</f>
      </c>
      <c r="AA91" s="33">
        <f>ROUND(G91-Q91,2)</f>
      </c>
      <c r="AB91" s="33">
        <f>ROUND(H91-R91,2)</f>
      </c>
      <c r="AC91" s="33">
        <f>ROUND(I91-S91,2)</f>
      </c>
      <c r="AD91" s="33">
        <f>ROUND(J91-T91,2)</f>
      </c>
      <c r="AE91" s="33">
        <f>ROUND(K91-U91,2)</f>
      </c>
      <c r="AF91" s="33">
        <f>IF(V91&lt;=0,0,MAX(0,MIN(V91,ROUND($AZ91-SUMPRODUCT($V91:$AE91*($V91:$AE91&gt;0)*(($V91:$AE91&lt;V91)+($V91:$AE91=V91)*($V$3:$AE$3&gt;V$3)+($V91:$AE91=V91)*($V$3:$AE$3=V$3)*($V$2:$AE$2&lt;V$2))),2))))</f>
      </c>
      <c r="AG91" s="33">
        <f>IF(W91&lt;=0,0,MAX(0,MIN(W91,ROUND($AZ91-SUMPRODUCT($V91:$AE91*($V91:$AE91&gt;0)*(($V91:$AE91&lt;W91)+($V91:$AE91=W91)*($V$3:$AE$3&gt;W$3)+($V91:$AE91=W91)*($V$3:$AE$3=W$3)*($V$2:$AE$2&lt;W$2))),2))))</f>
      </c>
      <c r="AH91" s="33">
        <f>IF(X91&lt;=0,0,MAX(0,MIN(X91,ROUND($AZ91-SUMPRODUCT($V91:$AE91*($V91:$AE91&gt;0)*(($V91:$AE91&lt;X91)+($V91:$AE91=X91)*($V$3:$AE$3&gt;X$3)+($V91:$AE91=X91)*($V$3:$AE$3=X$3)*($V$2:$AE$2&lt;X$2))),2))))</f>
      </c>
      <c r="AI91" s="33">
        <f>IF(Y91&lt;=0,0,MAX(0,MIN(Y91,ROUND($AZ91-SUMPRODUCT($V91:$AE91*($V91:$AE91&gt;0)*(($V91:$AE91&lt;Y91)+($V91:$AE91=Y91)*($V$3:$AE$3&gt;Y$3)+($V91:$AE91=Y91)*($V$3:$AE$3=Y$3)*($V$2:$AE$2&lt;Y$2))),2))))</f>
      </c>
      <c r="AJ91" s="33">
        <f>IF(Z91&lt;=0,0,MAX(0,MIN(Z91,ROUND($AZ91-SUMPRODUCT($V91:$AE91*($V91:$AE91&gt;0)*(($V91:$AE91&lt;Z91)+($V91:$AE91=Z91)*($V$3:$AE$3&gt;Z$3)+($V91:$AE91=Z91)*($V$3:$AE$3=Z$3)*($V$2:$AE$2&lt;Z$2))),2))))</f>
      </c>
      <c r="AK91" s="33">
        <f>IF(AA91&lt;=0,0,MAX(0,MIN(AA91,ROUND($AZ91-SUMPRODUCT($V91:$AE91*($V91:$AE91&gt;0)*(($V91:$AE91&lt;AA91)+($V91:$AE91=AA91)*($V$3:$AE$3&gt;AA$3)+($V91:$AE91=AA91)*($V$3:$AE$3=AA$3)*($V$2:$AE$2&lt;AA$2))),2))))</f>
      </c>
      <c r="AL91" s="33">
        <f>IF(AB91&lt;=0,0,MAX(0,MIN(AB91,ROUND($AZ91-SUMPRODUCT($V91:$AE91*($V91:$AE91&gt;0)*(($V91:$AE91&lt;AB91)+($V91:$AE91=AB91)*($V$3:$AE$3&gt;AB$3)+($V91:$AE91=AB91)*($V$3:$AE$3=AB$3)*($V$2:$AE$2&lt;AB$2))),2))))</f>
      </c>
      <c r="AM91" s="33">
        <f>IF(AC91&lt;=0,0,MAX(0,MIN(AC91,ROUND($AZ91-SUMPRODUCT($V91:$AE91*($V91:$AE91&gt;0)*(($V91:$AE91&lt;AC91)+($V91:$AE91=AC91)*($V$3:$AE$3&gt;AC$3)+($V91:$AE91=AC91)*($V$3:$AE$3=AC$3)*($V$2:$AE$2&lt;AC$2))),2))))</f>
      </c>
      <c r="AN91" s="33">
        <f>IF(AD91&lt;=0,0,MAX(0,MIN(AD91,ROUND($AZ91-SUMPRODUCT($V91:$AE91*($V91:$AE91&gt;0)*(($V91:$AE91&lt;AD91)+($V91:$AE91=AD91)*($V$3:$AE$3&gt;AD$3)+($V91:$AE91=AD91)*($V$3:$AE$3=AD$3)*($V$2:$AE$2&lt;AD$2))),2))))</f>
      </c>
      <c r="AO91" s="33">
        <f>IF(AE91&lt;=0,0,MAX(0,MIN(AE91,ROUND($AZ91-SUMPRODUCT($V91:$AE91*($V91:$AE91&gt;0)*(($V91:$AE91&lt;AE91)+($V91:$AE91=AE91)*($V$3:$AE$3&gt;AE$3)+($V91:$AE91=AE91)*($V$3:$AE$3=AE$3)*($V$2:$AE$2&lt;AE$2))),2))))</f>
      </c>
      <c r="AP91" s="33">
        <f>ROUND(V91-AF91,2)</f>
      </c>
      <c r="AQ91" s="33">
        <f>ROUND(W91-AG91,2)</f>
      </c>
      <c r="AR91" s="33">
        <f>ROUND(X91-AH91,2)</f>
      </c>
      <c r="AS91" s="33">
        <f>ROUND(Y91-AI91,2)</f>
      </c>
      <c r="AT91" s="33">
        <f>ROUND(Z91-AJ91,2)</f>
      </c>
      <c r="AU91" s="33">
        <f>ROUND(AA91-AK91,2)</f>
      </c>
      <c r="AV91" s="33">
        <f>ROUND(AB91-AL91,2)</f>
      </c>
      <c r="AW91" s="33">
        <f>ROUND(AC91-AM91,2)</f>
      </c>
      <c r="AX91" s="33">
        <f>ROUND(AD91-AN91,2)</f>
      </c>
      <c r="AY91" s="33">
        <f>ROUND(AE91-AO91,2)</f>
      </c>
      <c r="AZ91" s="33">
        <f>ROUND(MAX(0,'Your debts'!$D$22-SUM($L91:$U91)),2)</f>
      </c>
      <c r="BA91" s="33">
        <f>ROUND(SUM($B91:$K91)-SUM($AP90:$AY90),2)</f>
      </c>
      <c r="BB91" s="33">
        <f>SUM($AP91:$AY91)</f>
      </c>
      <c r="BC91" s="33">
        <f>ROUND(SUM($L91:$U91)+SUM($AF91:$AO91),2)</f>
      </c>
    </row>
    <row r="92" spans="1:55" x14ac:dyDescent="0.25">
      <c r="A92">
        <v>85</v>
      </c>
      <c r="B92" s="33">
        <f>IF(AP91&lt;=0,0,ROUND(AP91+ROUND(AP91*V$3/12,2),2))</f>
      </c>
      <c r="C92" s="33">
        <f>IF(AQ91&lt;=0,0,ROUND(AQ91+ROUND(AQ91*W$3/12,2),2))</f>
      </c>
      <c r="D92" s="33">
        <f>IF(AR91&lt;=0,0,ROUND(AR91+ROUND(AR91*X$3/12,2),2))</f>
      </c>
      <c r="E92" s="33">
        <f>IF(AS91&lt;=0,0,ROUND(AS91+ROUND(AS91*Y$3/12,2),2))</f>
      </c>
      <c r="F92" s="33">
        <f>IF(AT91&lt;=0,0,ROUND(AT91+ROUND(AT91*Z$3/12,2),2))</f>
      </c>
      <c r="G92" s="33">
        <f>IF(AU91&lt;=0,0,ROUND(AU91+ROUND(AU91*AA$3/12,2),2))</f>
      </c>
      <c r="H92" s="33">
        <f>IF(AV91&lt;=0,0,ROUND(AV91+ROUND(AV91*AB$3/12,2),2))</f>
      </c>
      <c r="I92" s="33">
        <f>IF(AW91&lt;=0,0,ROUND(AW91+ROUND(AW91*AC$3/12,2),2))</f>
      </c>
      <c r="J92" s="33">
        <f>IF(AX91&lt;=0,0,ROUND(AX91+ROUND(AX91*AD$3/12,2),2))</f>
      </c>
      <c r="K92" s="33">
        <f>IF(AY91&lt;=0,0,ROUND(AY91+ROUND(AY91*AE$3/12,2),2))</f>
      </c>
      <c r="L92" s="33">
        <f>ROUND(MIN(MAX(0,N('Your debts'!$E$6)),B92),2)</f>
      </c>
      <c r="M92" s="33">
        <f>ROUND(MIN(MAX(0,N('Your debts'!$E$7)),C92),2)</f>
      </c>
      <c r="N92" s="33">
        <f>ROUND(MIN(MAX(0,N('Your debts'!$E$8)),D92),2)</f>
      </c>
      <c r="O92" s="33">
        <f>ROUND(MIN(MAX(0,N('Your debts'!$E$9)),E92),2)</f>
      </c>
      <c r="P92" s="33">
        <f>ROUND(MIN(MAX(0,N('Your debts'!$E$10)),F92),2)</f>
      </c>
      <c r="Q92" s="33">
        <f>ROUND(MIN(MAX(0,N('Your debts'!$E$11)),G92),2)</f>
      </c>
      <c r="R92" s="33">
        <f>ROUND(MIN(MAX(0,N('Your debts'!$E$12)),H92),2)</f>
      </c>
      <c r="S92" s="33">
        <f>ROUND(MIN(MAX(0,N('Your debts'!$E$13)),I92),2)</f>
      </c>
      <c r="T92" s="33">
        <f>ROUND(MIN(MAX(0,N('Your debts'!$E$14)),J92),2)</f>
      </c>
      <c r="U92" s="33">
        <f>ROUND(MIN(MAX(0,N('Your debts'!$E$15)),K92),2)</f>
      </c>
      <c r="V92" s="33">
        <f>ROUND(B92-L92,2)</f>
      </c>
      <c r="W92" s="33">
        <f>ROUND(C92-M92,2)</f>
      </c>
      <c r="X92" s="33">
        <f>ROUND(D92-N92,2)</f>
      </c>
      <c r="Y92" s="33">
        <f>ROUND(E92-O92,2)</f>
      </c>
      <c r="Z92" s="33">
        <f>ROUND(F92-P92,2)</f>
      </c>
      <c r="AA92" s="33">
        <f>ROUND(G92-Q92,2)</f>
      </c>
      <c r="AB92" s="33">
        <f>ROUND(H92-R92,2)</f>
      </c>
      <c r="AC92" s="33">
        <f>ROUND(I92-S92,2)</f>
      </c>
      <c r="AD92" s="33">
        <f>ROUND(J92-T92,2)</f>
      </c>
      <c r="AE92" s="33">
        <f>ROUND(K92-U92,2)</f>
      </c>
      <c r="AF92" s="33">
        <f>IF(V92&lt;=0,0,MAX(0,MIN(V92,ROUND($AZ92-SUMPRODUCT($V92:$AE92*($V92:$AE92&gt;0)*(($V92:$AE92&lt;V92)+($V92:$AE92=V92)*($V$3:$AE$3&gt;V$3)+($V92:$AE92=V92)*($V$3:$AE$3=V$3)*($V$2:$AE$2&lt;V$2))),2))))</f>
      </c>
      <c r="AG92" s="33">
        <f>IF(W92&lt;=0,0,MAX(0,MIN(W92,ROUND($AZ92-SUMPRODUCT($V92:$AE92*($V92:$AE92&gt;0)*(($V92:$AE92&lt;W92)+($V92:$AE92=W92)*($V$3:$AE$3&gt;W$3)+($V92:$AE92=W92)*($V$3:$AE$3=W$3)*($V$2:$AE$2&lt;W$2))),2))))</f>
      </c>
      <c r="AH92" s="33">
        <f>IF(X92&lt;=0,0,MAX(0,MIN(X92,ROUND($AZ92-SUMPRODUCT($V92:$AE92*($V92:$AE92&gt;0)*(($V92:$AE92&lt;X92)+($V92:$AE92=X92)*($V$3:$AE$3&gt;X$3)+($V92:$AE92=X92)*($V$3:$AE$3=X$3)*($V$2:$AE$2&lt;X$2))),2))))</f>
      </c>
      <c r="AI92" s="33">
        <f>IF(Y92&lt;=0,0,MAX(0,MIN(Y92,ROUND($AZ92-SUMPRODUCT($V92:$AE92*($V92:$AE92&gt;0)*(($V92:$AE92&lt;Y92)+($V92:$AE92=Y92)*($V$3:$AE$3&gt;Y$3)+($V92:$AE92=Y92)*($V$3:$AE$3=Y$3)*($V$2:$AE$2&lt;Y$2))),2))))</f>
      </c>
      <c r="AJ92" s="33">
        <f>IF(Z92&lt;=0,0,MAX(0,MIN(Z92,ROUND($AZ92-SUMPRODUCT($V92:$AE92*($V92:$AE92&gt;0)*(($V92:$AE92&lt;Z92)+($V92:$AE92=Z92)*($V$3:$AE$3&gt;Z$3)+($V92:$AE92=Z92)*($V$3:$AE$3=Z$3)*($V$2:$AE$2&lt;Z$2))),2))))</f>
      </c>
      <c r="AK92" s="33">
        <f>IF(AA92&lt;=0,0,MAX(0,MIN(AA92,ROUND($AZ92-SUMPRODUCT($V92:$AE92*($V92:$AE92&gt;0)*(($V92:$AE92&lt;AA92)+($V92:$AE92=AA92)*($V$3:$AE$3&gt;AA$3)+($V92:$AE92=AA92)*($V$3:$AE$3=AA$3)*($V$2:$AE$2&lt;AA$2))),2))))</f>
      </c>
      <c r="AL92" s="33">
        <f>IF(AB92&lt;=0,0,MAX(0,MIN(AB92,ROUND($AZ92-SUMPRODUCT($V92:$AE92*($V92:$AE92&gt;0)*(($V92:$AE92&lt;AB92)+($V92:$AE92=AB92)*($V$3:$AE$3&gt;AB$3)+($V92:$AE92=AB92)*($V$3:$AE$3=AB$3)*($V$2:$AE$2&lt;AB$2))),2))))</f>
      </c>
      <c r="AM92" s="33">
        <f>IF(AC92&lt;=0,0,MAX(0,MIN(AC92,ROUND($AZ92-SUMPRODUCT($V92:$AE92*($V92:$AE92&gt;0)*(($V92:$AE92&lt;AC92)+($V92:$AE92=AC92)*($V$3:$AE$3&gt;AC$3)+($V92:$AE92=AC92)*($V$3:$AE$3=AC$3)*($V$2:$AE$2&lt;AC$2))),2))))</f>
      </c>
      <c r="AN92" s="33">
        <f>IF(AD92&lt;=0,0,MAX(0,MIN(AD92,ROUND($AZ92-SUMPRODUCT($V92:$AE92*($V92:$AE92&gt;0)*(($V92:$AE92&lt;AD92)+($V92:$AE92=AD92)*($V$3:$AE$3&gt;AD$3)+($V92:$AE92=AD92)*($V$3:$AE$3=AD$3)*($V$2:$AE$2&lt;AD$2))),2))))</f>
      </c>
      <c r="AO92" s="33">
        <f>IF(AE92&lt;=0,0,MAX(0,MIN(AE92,ROUND($AZ92-SUMPRODUCT($V92:$AE92*($V92:$AE92&gt;0)*(($V92:$AE92&lt;AE92)+($V92:$AE92=AE92)*($V$3:$AE$3&gt;AE$3)+($V92:$AE92=AE92)*($V$3:$AE$3=AE$3)*($V$2:$AE$2&lt;AE$2))),2))))</f>
      </c>
      <c r="AP92" s="33">
        <f>ROUND(V92-AF92,2)</f>
      </c>
      <c r="AQ92" s="33">
        <f>ROUND(W92-AG92,2)</f>
      </c>
      <c r="AR92" s="33">
        <f>ROUND(X92-AH92,2)</f>
      </c>
      <c r="AS92" s="33">
        <f>ROUND(Y92-AI92,2)</f>
      </c>
      <c r="AT92" s="33">
        <f>ROUND(Z92-AJ92,2)</f>
      </c>
      <c r="AU92" s="33">
        <f>ROUND(AA92-AK92,2)</f>
      </c>
      <c r="AV92" s="33">
        <f>ROUND(AB92-AL92,2)</f>
      </c>
      <c r="AW92" s="33">
        <f>ROUND(AC92-AM92,2)</f>
      </c>
      <c r="AX92" s="33">
        <f>ROUND(AD92-AN92,2)</f>
      </c>
      <c r="AY92" s="33">
        <f>ROUND(AE92-AO92,2)</f>
      </c>
      <c r="AZ92" s="33">
        <f>ROUND(MAX(0,'Your debts'!$D$22-SUM($L92:$U92)),2)</f>
      </c>
      <c r="BA92" s="33">
        <f>ROUND(SUM($B92:$K92)-SUM($AP91:$AY91),2)</f>
      </c>
      <c r="BB92" s="33">
        <f>SUM($AP92:$AY92)</f>
      </c>
      <c r="BC92" s="33">
        <f>ROUND(SUM($L92:$U92)+SUM($AF92:$AO92),2)</f>
      </c>
    </row>
    <row r="93" spans="1:55" x14ac:dyDescent="0.25">
      <c r="A93">
        <v>86</v>
      </c>
      <c r="B93" s="33">
        <f>IF(AP92&lt;=0,0,ROUND(AP92+ROUND(AP92*V$3/12,2),2))</f>
      </c>
      <c r="C93" s="33">
        <f>IF(AQ92&lt;=0,0,ROUND(AQ92+ROUND(AQ92*W$3/12,2),2))</f>
      </c>
      <c r="D93" s="33">
        <f>IF(AR92&lt;=0,0,ROUND(AR92+ROUND(AR92*X$3/12,2),2))</f>
      </c>
      <c r="E93" s="33">
        <f>IF(AS92&lt;=0,0,ROUND(AS92+ROUND(AS92*Y$3/12,2),2))</f>
      </c>
      <c r="F93" s="33">
        <f>IF(AT92&lt;=0,0,ROUND(AT92+ROUND(AT92*Z$3/12,2),2))</f>
      </c>
      <c r="G93" s="33">
        <f>IF(AU92&lt;=0,0,ROUND(AU92+ROUND(AU92*AA$3/12,2),2))</f>
      </c>
      <c r="H93" s="33">
        <f>IF(AV92&lt;=0,0,ROUND(AV92+ROUND(AV92*AB$3/12,2),2))</f>
      </c>
      <c r="I93" s="33">
        <f>IF(AW92&lt;=0,0,ROUND(AW92+ROUND(AW92*AC$3/12,2),2))</f>
      </c>
      <c r="J93" s="33">
        <f>IF(AX92&lt;=0,0,ROUND(AX92+ROUND(AX92*AD$3/12,2),2))</f>
      </c>
      <c r="K93" s="33">
        <f>IF(AY92&lt;=0,0,ROUND(AY92+ROUND(AY92*AE$3/12,2),2))</f>
      </c>
      <c r="L93" s="33">
        <f>ROUND(MIN(MAX(0,N('Your debts'!$E$6)),B93),2)</f>
      </c>
      <c r="M93" s="33">
        <f>ROUND(MIN(MAX(0,N('Your debts'!$E$7)),C93),2)</f>
      </c>
      <c r="N93" s="33">
        <f>ROUND(MIN(MAX(0,N('Your debts'!$E$8)),D93),2)</f>
      </c>
      <c r="O93" s="33">
        <f>ROUND(MIN(MAX(0,N('Your debts'!$E$9)),E93),2)</f>
      </c>
      <c r="P93" s="33">
        <f>ROUND(MIN(MAX(0,N('Your debts'!$E$10)),F93),2)</f>
      </c>
      <c r="Q93" s="33">
        <f>ROUND(MIN(MAX(0,N('Your debts'!$E$11)),G93),2)</f>
      </c>
      <c r="R93" s="33">
        <f>ROUND(MIN(MAX(0,N('Your debts'!$E$12)),H93),2)</f>
      </c>
      <c r="S93" s="33">
        <f>ROUND(MIN(MAX(0,N('Your debts'!$E$13)),I93),2)</f>
      </c>
      <c r="T93" s="33">
        <f>ROUND(MIN(MAX(0,N('Your debts'!$E$14)),J93),2)</f>
      </c>
      <c r="U93" s="33">
        <f>ROUND(MIN(MAX(0,N('Your debts'!$E$15)),K93),2)</f>
      </c>
      <c r="V93" s="33">
        <f>ROUND(B93-L93,2)</f>
      </c>
      <c r="W93" s="33">
        <f>ROUND(C93-M93,2)</f>
      </c>
      <c r="X93" s="33">
        <f>ROUND(D93-N93,2)</f>
      </c>
      <c r="Y93" s="33">
        <f>ROUND(E93-O93,2)</f>
      </c>
      <c r="Z93" s="33">
        <f>ROUND(F93-P93,2)</f>
      </c>
      <c r="AA93" s="33">
        <f>ROUND(G93-Q93,2)</f>
      </c>
      <c r="AB93" s="33">
        <f>ROUND(H93-R93,2)</f>
      </c>
      <c r="AC93" s="33">
        <f>ROUND(I93-S93,2)</f>
      </c>
      <c r="AD93" s="33">
        <f>ROUND(J93-T93,2)</f>
      </c>
      <c r="AE93" s="33">
        <f>ROUND(K93-U93,2)</f>
      </c>
      <c r="AF93" s="33">
        <f>IF(V93&lt;=0,0,MAX(0,MIN(V93,ROUND($AZ93-SUMPRODUCT($V93:$AE93*($V93:$AE93&gt;0)*(($V93:$AE93&lt;V93)+($V93:$AE93=V93)*($V$3:$AE$3&gt;V$3)+($V93:$AE93=V93)*($V$3:$AE$3=V$3)*($V$2:$AE$2&lt;V$2))),2))))</f>
      </c>
      <c r="AG93" s="33">
        <f>IF(W93&lt;=0,0,MAX(0,MIN(W93,ROUND($AZ93-SUMPRODUCT($V93:$AE93*($V93:$AE93&gt;0)*(($V93:$AE93&lt;W93)+($V93:$AE93=W93)*($V$3:$AE$3&gt;W$3)+($V93:$AE93=W93)*($V$3:$AE$3=W$3)*($V$2:$AE$2&lt;W$2))),2))))</f>
      </c>
      <c r="AH93" s="33">
        <f>IF(X93&lt;=0,0,MAX(0,MIN(X93,ROUND($AZ93-SUMPRODUCT($V93:$AE93*($V93:$AE93&gt;0)*(($V93:$AE93&lt;X93)+($V93:$AE93=X93)*($V$3:$AE$3&gt;X$3)+($V93:$AE93=X93)*($V$3:$AE$3=X$3)*($V$2:$AE$2&lt;X$2))),2))))</f>
      </c>
      <c r="AI93" s="33">
        <f>IF(Y93&lt;=0,0,MAX(0,MIN(Y93,ROUND($AZ93-SUMPRODUCT($V93:$AE93*($V93:$AE93&gt;0)*(($V93:$AE93&lt;Y93)+($V93:$AE93=Y93)*($V$3:$AE$3&gt;Y$3)+($V93:$AE93=Y93)*($V$3:$AE$3=Y$3)*($V$2:$AE$2&lt;Y$2))),2))))</f>
      </c>
      <c r="AJ93" s="33">
        <f>IF(Z93&lt;=0,0,MAX(0,MIN(Z93,ROUND($AZ93-SUMPRODUCT($V93:$AE93*($V93:$AE93&gt;0)*(($V93:$AE93&lt;Z93)+($V93:$AE93=Z93)*($V$3:$AE$3&gt;Z$3)+($V93:$AE93=Z93)*($V$3:$AE$3=Z$3)*($V$2:$AE$2&lt;Z$2))),2))))</f>
      </c>
      <c r="AK93" s="33">
        <f>IF(AA93&lt;=0,0,MAX(0,MIN(AA93,ROUND($AZ93-SUMPRODUCT($V93:$AE93*($V93:$AE93&gt;0)*(($V93:$AE93&lt;AA93)+($V93:$AE93=AA93)*($V$3:$AE$3&gt;AA$3)+($V93:$AE93=AA93)*($V$3:$AE$3=AA$3)*($V$2:$AE$2&lt;AA$2))),2))))</f>
      </c>
      <c r="AL93" s="33">
        <f>IF(AB93&lt;=0,0,MAX(0,MIN(AB93,ROUND($AZ93-SUMPRODUCT($V93:$AE93*($V93:$AE93&gt;0)*(($V93:$AE93&lt;AB93)+($V93:$AE93=AB93)*($V$3:$AE$3&gt;AB$3)+($V93:$AE93=AB93)*($V$3:$AE$3=AB$3)*($V$2:$AE$2&lt;AB$2))),2))))</f>
      </c>
      <c r="AM93" s="33">
        <f>IF(AC93&lt;=0,0,MAX(0,MIN(AC93,ROUND($AZ93-SUMPRODUCT($V93:$AE93*($V93:$AE93&gt;0)*(($V93:$AE93&lt;AC93)+($V93:$AE93=AC93)*($V$3:$AE$3&gt;AC$3)+($V93:$AE93=AC93)*($V$3:$AE$3=AC$3)*($V$2:$AE$2&lt;AC$2))),2))))</f>
      </c>
      <c r="AN93" s="33">
        <f>IF(AD93&lt;=0,0,MAX(0,MIN(AD93,ROUND($AZ93-SUMPRODUCT($V93:$AE93*($V93:$AE93&gt;0)*(($V93:$AE93&lt;AD93)+($V93:$AE93=AD93)*($V$3:$AE$3&gt;AD$3)+($V93:$AE93=AD93)*($V$3:$AE$3=AD$3)*($V$2:$AE$2&lt;AD$2))),2))))</f>
      </c>
      <c r="AO93" s="33">
        <f>IF(AE93&lt;=0,0,MAX(0,MIN(AE93,ROUND($AZ93-SUMPRODUCT($V93:$AE93*($V93:$AE93&gt;0)*(($V93:$AE93&lt;AE93)+($V93:$AE93=AE93)*($V$3:$AE$3&gt;AE$3)+($V93:$AE93=AE93)*($V$3:$AE$3=AE$3)*($V$2:$AE$2&lt;AE$2))),2))))</f>
      </c>
      <c r="AP93" s="33">
        <f>ROUND(V93-AF93,2)</f>
      </c>
      <c r="AQ93" s="33">
        <f>ROUND(W93-AG93,2)</f>
      </c>
      <c r="AR93" s="33">
        <f>ROUND(X93-AH93,2)</f>
      </c>
      <c r="AS93" s="33">
        <f>ROUND(Y93-AI93,2)</f>
      </c>
      <c r="AT93" s="33">
        <f>ROUND(Z93-AJ93,2)</f>
      </c>
      <c r="AU93" s="33">
        <f>ROUND(AA93-AK93,2)</f>
      </c>
      <c r="AV93" s="33">
        <f>ROUND(AB93-AL93,2)</f>
      </c>
      <c r="AW93" s="33">
        <f>ROUND(AC93-AM93,2)</f>
      </c>
      <c r="AX93" s="33">
        <f>ROUND(AD93-AN93,2)</f>
      </c>
      <c r="AY93" s="33">
        <f>ROUND(AE93-AO93,2)</f>
      </c>
      <c r="AZ93" s="33">
        <f>ROUND(MAX(0,'Your debts'!$D$22-SUM($L93:$U93)),2)</f>
      </c>
      <c r="BA93" s="33">
        <f>ROUND(SUM($B93:$K93)-SUM($AP92:$AY92),2)</f>
      </c>
      <c r="BB93" s="33">
        <f>SUM($AP93:$AY93)</f>
      </c>
      <c r="BC93" s="33">
        <f>ROUND(SUM($L93:$U93)+SUM($AF93:$AO93),2)</f>
      </c>
    </row>
    <row r="94" spans="1:55" x14ac:dyDescent="0.25">
      <c r="A94">
        <v>87</v>
      </c>
      <c r="B94" s="33">
        <f>IF(AP93&lt;=0,0,ROUND(AP93+ROUND(AP93*V$3/12,2),2))</f>
      </c>
      <c r="C94" s="33">
        <f>IF(AQ93&lt;=0,0,ROUND(AQ93+ROUND(AQ93*W$3/12,2),2))</f>
      </c>
      <c r="D94" s="33">
        <f>IF(AR93&lt;=0,0,ROUND(AR93+ROUND(AR93*X$3/12,2),2))</f>
      </c>
      <c r="E94" s="33">
        <f>IF(AS93&lt;=0,0,ROUND(AS93+ROUND(AS93*Y$3/12,2),2))</f>
      </c>
      <c r="F94" s="33">
        <f>IF(AT93&lt;=0,0,ROUND(AT93+ROUND(AT93*Z$3/12,2),2))</f>
      </c>
      <c r="G94" s="33">
        <f>IF(AU93&lt;=0,0,ROUND(AU93+ROUND(AU93*AA$3/12,2),2))</f>
      </c>
      <c r="H94" s="33">
        <f>IF(AV93&lt;=0,0,ROUND(AV93+ROUND(AV93*AB$3/12,2),2))</f>
      </c>
      <c r="I94" s="33">
        <f>IF(AW93&lt;=0,0,ROUND(AW93+ROUND(AW93*AC$3/12,2),2))</f>
      </c>
      <c r="J94" s="33">
        <f>IF(AX93&lt;=0,0,ROUND(AX93+ROUND(AX93*AD$3/12,2),2))</f>
      </c>
      <c r="K94" s="33">
        <f>IF(AY93&lt;=0,0,ROUND(AY93+ROUND(AY93*AE$3/12,2),2))</f>
      </c>
      <c r="L94" s="33">
        <f>ROUND(MIN(MAX(0,N('Your debts'!$E$6)),B94),2)</f>
      </c>
      <c r="M94" s="33">
        <f>ROUND(MIN(MAX(0,N('Your debts'!$E$7)),C94),2)</f>
      </c>
      <c r="N94" s="33">
        <f>ROUND(MIN(MAX(0,N('Your debts'!$E$8)),D94),2)</f>
      </c>
      <c r="O94" s="33">
        <f>ROUND(MIN(MAX(0,N('Your debts'!$E$9)),E94),2)</f>
      </c>
      <c r="P94" s="33">
        <f>ROUND(MIN(MAX(0,N('Your debts'!$E$10)),F94),2)</f>
      </c>
      <c r="Q94" s="33">
        <f>ROUND(MIN(MAX(0,N('Your debts'!$E$11)),G94),2)</f>
      </c>
      <c r="R94" s="33">
        <f>ROUND(MIN(MAX(0,N('Your debts'!$E$12)),H94),2)</f>
      </c>
      <c r="S94" s="33">
        <f>ROUND(MIN(MAX(0,N('Your debts'!$E$13)),I94),2)</f>
      </c>
      <c r="T94" s="33">
        <f>ROUND(MIN(MAX(0,N('Your debts'!$E$14)),J94),2)</f>
      </c>
      <c r="U94" s="33">
        <f>ROUND(MIN(MAX(0,N('Your debts'!$E$15)),K94),2)</f>
      </c>
      <c r="V94" s="33">
        <f>ROUND(B94-L94,2)</f>
      </c>
      <c r="W94" s="33">
        <f>ROUND(C94-M94,2)</f>
      </c>
      <c r="X94" s="33">
        <f>ROUND(D94-N94,2)</f>
      </c>
      <c r="Y94" s="33">
        <f>ROUND(E94-O94,2)</f>
      </c>
      <c r="Z94" s="33">
        <f>ROUND(F94-P94,2)</f>
      </c>
      <c r="AA94" s="33">
        <f>ROUND(G94-Q94,2)</f>
      </c>
      <c r="AB94" s="33">
        <f>ROUND(H94-R94,2)</f>
      </c>
      <c r="AC94" s="33">
        <f>ROUND(I94-S94,2)</f>
      </c>
      <c r="AD94" s="33">
        <f>ROUND(J94-T94,2)</f>
      </c>
      <c r="AE94" s="33">
        <f>ROUND(K94-U94,2)</f>
      </c>
      <c r="AF94" s="33">
        <f>IF(V94&lt;=0,0,MAX(0,MIN(V94,ROUND($AZ94-SUMPRODUCT($V94:$AE94*($V94:$AE94&gt;0)*(($V94:$AE94&lt;V94)+($V94:$AE94=V94)*($V$3:$AE$3&gt;V$3)+($V94:$AE94=V94)*($V$3:$AE$3=V$3)*($V$2:$AE$2&lt;V$2))),2))))</f>
      </c>
      <c r="AG94" s="33">
        <f>IF(W94&lt;=0,0,MAX(0,MIN(W94,ROUND($AZ94-SUMPRODUCT($V94:$AE94*($V94:$AE94&gt;0)*(($V94:$AE94&lt;W94)+($V94:$AE94=W94)*($V$3:$AE$3&gt;W$3)+($V94:$AE94=W94)*($V$3:$AE$3=W$3)*($V$2:$AE$2&lt;W$2))),2))))</f>
      </c>
      <c r="AH94" s="33">
        <f>IF(X94&lt;=0,0,MAX(0,MIN(X94,ROUND($AZ94-SUMPRODUCT($V94:$AE94*($V94:$AE94&gt;0)*(($V94:$AE94&lt;X94)+($V94:$AE94=X94)*($V$3:$AE$3&gt;X$3)+($V94:$AE94=X94)*($V$3:$AE$3=X$3)*($V$2:$AE$2&lt;X$2))),2))))</f>
      </c>
      <c r="AI94" s="33">
        <f>IF(Y94&lt;=0,0,MAX(0,MIN(Y94,ROUND($AZ94-SUMPRODUCT($V94:$AE94*($V94:$AE94&gt;0)*(($V94:$AE94&lt;Y94)+($V94:$AE94=Y94)*($V$3:$AE$3&gt;Y$3)+($V94:$AE94=Y94)*($V$3:$AE$3=Y$3)*($V$2:$AE$2&lt;Y$2))),2))))</f>
      </c>
      <c r="AJ94" s="33">
        <f>IF(Z94&lt;=0,0,MAX(0,MIN(Z94,ROUND($AZ94-SUMPRODUCT($V94:$AE94*($V94:$AE94&gt;0)*(($V94:$AE94&lt;Z94)+($V94:$AE94=Z94)*($V$3:$AE$3&gt;Z$3)+($V94:$AE94=Z94)*($V$3:$AE$3=Z$3)*($V$2:$AE$2&lt;Z$2))),2))))</f>
      </c>
      <c r="AK94" s="33">
        <f>IF(AA94&lt;=0,0,MAX(0,MIN(AA94,ROUND($AZ94-SUMPRODUCT($V94:$AE94*($V94:$AE94&gt;0)*(($V94:$AE94&lt;AA94)+($V94:$AE94=AA94)*($V$3:$AE$3&gt;AA$3)+($V94:$AE94=AA94)*($V$3:$AE$3=AA$3)*($V$2:$AE$2&lt;AA$2))),2))))</f>
      </c>
      <c r="AL94" s="33">
        <f>IF(AB94&lt;=0,0,MAX(0,MIN(AB94,ROUND($AZ94-SUMPRODUCT($V94:$AE94*($V94:$AE94&gt;0)*(($V94:$AE94&lt;AB94)+($V94:$AE94=AB94)*($V$3:$AE$3&gt;AB$3)+($V94:$AE94=AB94)*($V$3:$AE$3=AB$3)*($V$2:$AE$2&lt;AB$2))),2))))</f>
      </c>
      <c r="AM94" s="33">
        <f>IF(AC94&lt;=0,0,MAX(0,MIN(AC94,ROUND($AZ94-SUMPRODUCT($V94:$AE94*($V94:$AE94&gt;0)*(($V94:$AE94&lt;AC94)+($V94:$AE94=AC94)*($V$3:$AE$3&gt;AC$3)+($V94:$AE94=AC94)*($V$3:$AE$3=AC$3)*($V$2:$AE$2&lt;AC$2))),2))))</f>
      </c>
      <c r="AN94" s="33">
        <f>IF(AD94&lt;=0,0,MAX(0,MIN(AD94,ROUND($AZ94-SUMPRODUCT($V94:$AE94*($V94:$AE94&gt;0)*(($V94:$AE94&lt;AD94)+($V94:$AE94=AD94)*($V$3:$AE$3&gt;AD$3)+($V94:$AE94=AD94)*($V$3:$AE$3=AD$3)*($V$2:$AE$2&lt;AD$2))),2))))</f>
      </c>
      <c r="AO94" s="33">
        <f>IF(AE94&lt;=0,0,MAX(0,MIN(AE94,ROUND($AZ94-SUMPRODUCT($V94:$AE94*($V94:$AE94&gt;0)*(($V94:$AE94&lt;AE94)+($V94:$AE94=AE94)*($V$3:$AE$3&gt;AE$3)+($V94:$AE94=AE94)*($V$3:$AE$3=AE$3)*($V$2:$AE$2&lt;AE$2))),2))))</f>
      </c>
      <c r="AP94" s="33">
        <f>ROUND(V94-AF94,2)</f>
      </c>
      <c r="AQ94" s="33">
        <f>ROUND(W94-AG94,2)</f>
      </c>
      <c r="AR94" s="33">
        <f>ROUND(X94-AH94,2)</f>
      </c>
      <c r="AS94" s="33">
        <f>ROUND(Y94-AI94,2)</f>
      </c>
      <c r="AT94" s="33">
        <f>ROUND(Z94-AJ94,2)</f>
      </c>
      <c r="AU94" s="33">
        <f>ROUND(AA94-AK94,2)</f>
      </c>
      <c r="AV94" s="33">
        <f>ROUND(AB94-AL94,2)</f>
      </c>
      <c r="AW94" s="33">
        <f>ROUND(AC94-AM94,2)</f>
      </c>
      <c r="AX94" s="33">
        <f>ROUND(AD94-AN94,2)</f>
      </c>
      <c r="AY94" s="33">
        <f>ROUND(AE94-AO94,2)</f>
      </c>
      <c r="AZ94" s="33">
        <f>ROUND(MAX(0,'Your debts'!$D$22-SUM($L94:$U94)),2)</f>
      </c>
      <c r="BA94" s="33">
        <f>ROUND(SUM($B94:$K94)-SUM($AP93:$AY93),2)</f>
      </c>
      <c r="BB94" s="33">
        <f>SUM($AP94:$AY94)</f>
      </c>
      <c r="BC94" s="33">
        <f>ROUND(SUM($L94:$U94)+SUM($AF94:$AO94),2)</f>
      </c>
    </row>
    <row r="95" spans="1:55" x14ac:dyDescent="0.25">
      <c r="A95">
        <v>88</v>
      </c>
      <c r="B95" s="33">
        <f>IF(AP94&lt;=0,0,ROUND(AP94+ROUND(AP94*V$3/12,2),2))</f>
      </c>
      <c r="C95" s="33">
        <f>IF(AQ94&lt;=0,0,ROUND(AQ94+ROUND(AQ94*W$3/12,2),2))</f>
      </c>
      <c r="D95" s="33">
        <f>IF(AR94&lt;=0,0,ROUND(AR94+ROUND(AR94*X$3/12,2),2))</f>
      </c>
      <c r="E95" s="33">
        <f>IF(AS94&lt;=0,0,ROUND(AS94+ROUND(AS94*Y$3/12,2),2))</f>
      </c>
      <c r="F95" s="33">
        <f>IF(AT94&lt;=0,0,ROUND(AT94+ROUND(AT94*Z$3/12,2),2))</f>
      </c>
      <c r="G95" s="33">
        <f>IF(AU94&lt;=0,0,ROUND(AU94+ROUND(AU94*AA$3/12,2),2))</f>
      </c>
      <c r="H95" s="33">
        <f>IF(AV94&lt;=0,0,ROUND(AV94+ROUND(AV94*AB$3/12,2),2))</f>
      </c>
      <c r="I95" s="33">
        <f>IF(AW94&lt;=0,0,ROUND(AW94+ROUND(AW94*AC$3/12,2),2))</f>
      </c>
      <c r="J95" s="33">
        <f>IF(AX94&lt;=0,0,ROUND(AX94+ROUND(AX94*AD$3/12,2),2))</f>
      </c>
      <c r="K95" s="33">
        <f>IF(AY94&lt;=0,0,ROUND(AY94+ROUND(AY94*AE$3/12,2),2))</f>
      </c>
      <c r="L95" s="33">
        <f>ROUND(MIN(MAX(0,N('Your debts'!$E$6)),B95),2)</f>
      </c>
      <c r="M95" s="33">
        <f>ROUND(MIN(MAX(0,N('Your debts'!$E$7)),C95),2)</f>
      </c>
      <c r="N95" s="33">
        <f>ROUND(MIN(MAX(0,N('Your debts'!$E$8)),D95),2)</f>
      </c>
      <c r="O95" s="33">
        <f>ROUND(MIN(MAX(0,N('Your debts'!$E$9)),E95),2)</f>
      </c>
      <c r="P95" s="33">
        <f>ROUND(MIN(MAX(0,N('Your debts'!$E$10)),F95),2)</f>
      </c>
      <c r="Q95" s="33">
        <f>ROUND(MIN(MAX(0,N('Your debts'!$E$11)),G95),2)</f>
      </c>
      <c r="R95" s="33">
        <f>ROUND(MIN(MAX(0,N('Your debts'!$E$12)),H95),2)</f>
      </c>
      <c r="S95" s="33">
        <f>ROUND(MIN(MAX(0,N('Your debts'!$E$13)),I95),2)</f>
      </c>
      <c r="T95" s="33">
        <f>ROUND(MIN(MAX(0,N('Your debts'!$E$14)),J95),2)</f>
      </c>
      <c r="U95" s="33">
        <f>ROUND(MIN(MAX(0,N('Your debts'!$E$15)),K95),2)</f>
      </c>
      <c r="V95" s="33">
        <f>ROUND(B95-L95,2)</f>
      </c>
      <c r="W95" s="33">
        <f>ROUND(C95-M95,2)</f>
      </c>
      <c r="X95" s="33">
        <f>ROUND(D95-N95,2)</f>
      </c>
      <c r="Y95" s="33">
        <f>ROUND(E95-O95,2)</f>
      </c>
      <c r="Z95" s="33">
        <f>ROUND(F95-P95,2)</f>
      </c>
      <c r="AA95" s="33">
        <f>ROUND(G95-Q95,2)</f>
      </c>
      <c r="AB95" s="33">
        <f>ROUND(H95-R95,2)</f>
      </c>
      <c r="AC95" s="33">
        <f>ROUND(I95-S95,2)</f>
      </c>
      <c r="AD95" s="33">
        <f>ROUND(J95-T95,2)</f>
      </c>
      <c r="AE95" s="33">
        <f>ROUND(K95-U95,2)</f>
      </c>
      <c r="AF95" s="33">
        <f>IF(V95&lt;=0,0,MAX(0,MIN(V95,ROUND($AZ95-SUMPRODUCT($V95:$AE95*($V95:$AE95&gt;0)*(($V95:$AE95&lt;V95)+($V95:$AE95=V95)*($V$3:$AE$3&gt;V$3)+($V95:$AE95=V95)*($V$3:$AE$3=V$3)*($V$2:$AE$2&lt;V$2))),2))))</f>
      </c>
      <c r="AG95" s="33">
        <f>IF(W95&lt;=0,0,MAX(0,MIN(W95,ROUND($AZ95-SUMPRODUCT($V95:$AE95*($V95:$AE95&gt;0)*(($V95:$AE95&lt;W95)+($V95:$AE95=W95)*($V$3:$AE$3&gt;W$3)+($V95:$AE95=W95)*($V$3:$AE$3=W$3)*($V$2:$AE$2&lt;W$2))),2))))</f>
      </c>
      <c r="AH95" s="33">
        <f>IF(X95&lt;=0,0,MAX(0,MIN(X95,ROUND($AZ95-SUMPRODUCT($V95:$AE95*($V95:$AE95&gt;0)*(($V95:$AE95&lt;X95)+($V95:$AE95=X95)*($V$3:$AE$3&gt;X$3)+($V95:$AE95=X95)*($V$3:$AE$3=X$3)*($V$2:$AE$2&lt;X$2))),2))))</f>
      </c>
      <c r="AI95" s="33">
        <f>IF(Y95&lt;=0,0,MAX(0,MIN(Y95,ROUND($AZ95-SUMPRODUCT($V95:$AE95*($V95:$AE95&gt;0)*(($V95:$AE95&lt;Y95)+($V95:$AE95=Y95)*($V$3:$AE$3&gt;Y$3)+($V95:$AE95=Y95)*($V$3:$AE$3=Y$3)*($V$2:$AE$2&lt;Y$2))),2))))</f>
      </c>
      <c r="AJ95" s="33">
        <f>IF(Z95&lt;=0,0,MAX(0,MIN(Z95,ROUND($AZ95-SUMPRODUCT($V95:$AE95*($V95:$AE95&gt;0)*(($V95:$AE95&lt;Z95)+($V95:$AE95=Z95)*($V$3:$AE$3&gt;Z$3)+($V95:$AE95=Z95)*($V$3:$AE$3=Z$3)*($V$2:$AE$2&lt;Z$2))),2))))</f>
      </c>
      <c r="AK95" s="33">
        <f>IF(AA95&lt;=0,0,MAX(0,MIN(AA95,ROUND($AZ95-SUMPRODUCT($V95:$AE95*($V95:$AE95&gt;0)*(($V95:$AE95&lt;AA95)+($V95:$AE95=AA95)*($V$3:$AE$3&gt;AA$3)+($V95:$AE95=AA95)*($V$3:$AE$3=AA$3)*($V$2:$AE$2&lt;AA$2))),2))))</f>
      </c>
      <c r="AL95" s="33">
        <f>IF(AB95&lt;=0,0,MAX(0,MIN(AB95,ROUND($AZ95-SUMPRODUCT($V95:$AE95*($V95:$AE95&gt;0)*(($V95:$AE95&lt;AB95)+($V95:$AE95=AB95)*($V$3:$AE$3&gt;AB$3)+($V95:$AE95=AB95)*($V$3:$AE$3=AB$3)*($V$2:$AE$2&lt;AB$2))),2))))</f>
      </c>
      <c r="AM95" s="33">
        <f>IF(AC95&lt;=0,0,MAX(0,MIN(AC95,ROUND($AZ95-SUMPRODUCT($V95:$AE95*($V95:$AE95&gt;0)*(($V95:$AE95&lt;AC95)+($V95:$AE95=AC95)*($V$3:$AE$3&gt;AC$3)+($V95:$AE95=AC95)*($V$3:$AE$3=AC$3)*($V$2:$AE$2&lt;AC$2))),2))))</f>
      </c>
      <c r="AN95" s="33">
        <f>IF(AD95&lt;=0,0,MAX(0,MIN(AD95,ROUND($AZ95-SUMPRODUCT($V95:$AE95*($V95:$AE95&gt;0)*(($V95:$AE95&lt;AD95)+($V95:$AE95=AD95)*($V$3:$AE$3&gt;AD$3)+($V95:$AE95=AD95)*($V$3:$AE$3=AD$3)*($V$2:$AE$2&lt;AD$2))),2))))</f>
      </c>
      <c r="AO95" s="33">
        <f>IF(AE95&lt;=0,0,MAX(0,MIN(AE95,ROUND($AZ95-SUMPRODUCT($V95:$AE95*($V95:$AE95&gt;0)*(($V95:$AE95&lt;AE95)+($V95:$AE95=AE95)*($V$3:$AE$3&gt;AE$3)+($V95:$AE95=AE95)*($V$3:$AE$3=AE$3)*($V$2:$AE$2&lt;AE$2))),2))))</f>
      </c>
      <c r="AP95" s="33">
        <f>ROUND(V95-AF95,2)</f>
      </c>
      <c r="AQ95" s="33">
        <f>ROUND(W95-AG95,2)</f>
      </c>
      <c r="AR95" s="33">
        <f>ROUND(X95-AH95,2)</f>
      </c>
      <c r="AS95" s="33">
        <f>ROUND(Y95-AI95,2)</f>
      </c>
      <c r="AT95" s="33">
        <f>ROUND(Z95-AJ95,2)</f>
      </c>
      <c r="AU95" s="33">
        <f>ROUND(AA95-AK95,2)</f>
      </c>
      <c r="AV95" s="33">
        <f>ROUND(AB95-AL95,2)</f>
      </c>
      <c r="AW95" s="33">
        <f>ROUND(AC95-AM95,2)</f>
      </c>
      <c r="AX95" s="33">
        <f>ROUND(AD95-AN95,2)</f>
      </c>
      <c r="AY95" s="33">
        <f>ROUND(AE95-AO95,2)</f>
      </c>
      <c r="AZ95" s="33">
        <f>ROUND(MAX(0,'Your debts'!$D$22-SUM($L95:$U95)),2)</f>
      </c>
      <c r="BA95" s="33">
        <f>ROUND(SUM($B95:$K95)-SUM($AP94:$AY94),2)</f>
      </c>
      <c r="BB95" s="33">
        <f>SUM($AP95:$AY95)</f>
      </c>
      <c r="BC95" s="33">
        <f>ROUND(SUM($L95:$U95)+SUM($AF95:$AO95),2)</f>
      </c>
    </row>
    <row r="96" spans="1:55" x14ac:dyDescent="0.25">
      <c r="A96">
        <v>89</v>
      </c>
      <c r="B96" s="33">
        <f>IF(AP95&lt;=0,0,ROUND(AP95+ROUND(AP95*V$3/12,2),2))</f>
      </c>
      <c r="C96" s="33">
        <f>IF(AQ95&lt;=0,0,ROUND(AQ95+ROUND(AQ95*W$3/12,2),2))</f>
      </c>
      <c r="D96" s="33">
        <f>IF(AR95&lt;=0,0,ROUND(AR95+ROUND(AR95*X$3/12,2),2))</f>
      </c>
      <c r="E96" s="33">
        <f>IF(AS95&lt;=0,0,ROUND(AS95+ROUND(AS95*Y$3/12,2),2))</f>
      </c>
      <c r="F96" s="33">
        <f>IF(AT95&lt;=0,0,ROUND(AT95+ROUND(AT95*Z$3/12,2),2))</f>
      </c>
      <c r="G96" s="33">
        <f>IF(AU95&lt;=0,0,ROUND(AU95+ROUND(AU95*AA$3/12,2),2))</f>
      </c>
      <c r="H96" s="33">
        <f>IF(AV95&lt;=0,0,ROUND(AV95+ROUND(AV95*AB$3/12,2),2))</f>
      </c>
      <c r="I96" s="33">
        <f>IF(AW95&lt;=0,0,ROUND(AW95+ROUND(AW95*AC$3/12,2),2))</f>
      </c>
      <c r="J96" s="33">
        <f>IF(AX95&lt;=0,0,ROUND(AX95+ROUND(AX95*AD$3/12,2),2))</f>
      </c>
      <c r="K96" s="33">
        <f>IF(AY95&lt;=0,0,ROUND(AY95+ROUND(AY95*AE$3/12,2),2))</f>
      </c>
      <c r="L96" s="33">
        <f>ROUND(MIN(MAX(0,N('Your debts'!$E$6)),B96),2)</f>
      </c>
      <c r="M96" s="33">
        <f>ROUND(MIN(MAX(0,N('Your debts'!$E$7)),C96),2)</f>
      </c>
      <c r="N96" s="33">
        <f>ROUND(MIN(MAX(0,N('Your debts'!$E$8)),D96),2)</f>
      </c>
      <c r="O96" s="33">
        <f>ROUND(MIN(MAX(0,N('Your debts'!$E$9)),E96),2)</f>
      </c>
      <c r="P96" s="33">
        <f>ROUND(MIN(MAX(0,N('Your debts'!$E$10)),F96),2)</f>
      </c>
      <c r="Q96" s="33">
        <f>ROUND(MIN(MAX(0,N('Your debts'!$E$11)),G96),2)</f>
      </c>
      <c r="R96" s="33">
        <f>ROUND(MIN(MAX(0,N('Your debts'!$E$12)),H96),2)</f>
      </c>
      <c r="S96" s="33">
        <f>ROUND(MIN(MAX(0,N('Your debts'!$E$13)),I96),2)</f>
      </c>
      <c r="T96" s="33">
        <f>ROUND(MIN(MAX(0,N('Your debts'!$E$14)),J96),2)</f>
      </c>
      <c r="U96" s="33">
        <f>ROUND(MIN(MAX(0,N('Your debts'!$E$15)),K96),2)</f>
      </c>
      <c r="V96" s="33">
        <f>ROUND(B96-L96,2)</f>
      </c>
      <c r="W96" s="33">
        <f>ROUND(C96-M96,2)</f>
      </c>
      <c r="X96" s="33">
        <f>ROUND(D96-N96,2)</f>
      </c>
      <c r="Y96" s="33">
        <f>ROUND(E96-O96,2)</f>
      </c>
      <c r="Z96" s="33">
        <f>ROUND(F96-P96,2)</f>
      </c>
      <c r="AA96" s="33">
        <f>ROUND(G96-Q96,2)</f>
      </c>
      <c r="AB96" s="33">
        <f>ROUND(H96-R96,2)</f>
      </c>
      <c r="AC96" s="33">
        <f>ROUND(I96-S96,2)</f>
      </c>
      <c r="AD96" s="33">
        <f>ROUND(J96-T96,2)</f>
      </c>
      <c r="AE96" s="33">
        <f>ROUND(K96-U96,2)</f>
      </c>
      <c r="AF96" s="33">
        <f>IF(V96&lt;=0,0,MAX(0,MIN(V96,ROUND($AZ96-SUMPRODUCT($V96:$AE96*($V96:$AE96&gt;0)*(($V96:$AE96&lt;V96)+($V96:$AE96=V96)*($V$3:$AE$3&gt;V$3)+($V96:$AE96=V96)*($V$3:$AE$3=V$3)*($V$2:$AE$2&lt;V$2))),2))))</f>
      </c>
      <c r="AG96" s="33">
        <f>IF(W96&lt;=0,0,MAX(0,MIN(W96,ROUND($AZ96-SUMPRODUCT($V96:$AE96*($V96:$AE96&gt;0)*(($V96:$AE96&lt;W96)+($V96:$AE96=W96)*($V$3:$AE$3&gt;W$3)+($V96:$AE96=W96)*($V$3:$AE$3=W$3)*($V$2:$AE$2&lt;W$2))),2))))</f>
      </c>
      <c r="AH96" s="33">
        <f>IF(X96&lt;=0,0,MAX(0,MIN(X96,ROUND($AZ96-SUMPRODUCT($V96:$AE96*($V96:$AE96&gt;0)*(($V96:$AE96&lt;X96)+($V96:$AE96=X96)*($V$3:$AE$3&gt;X$3)+($V96:$AE96=X96)*($V$3:$AE$3=X$3)*($V$2:$AE$2&lt;X$2))),2))))</f>
      </c>
      <c r="AI96" s="33">
        <f>IF(Y96&lt;=0,0,MAX(0,MIN(Y96,ROUND($AZ96-SUMPRODUCT($V96:$AE96*($V96:$AE96&gt;0)*(($V96:$AE96&lt;Y96)+($V96:$AE96=Y96)*($V$3:$AE$3&gt;Y$3)+($V96:$AE96=Y96)*($V$3:$AE$3=Y$3)*($V$2:$AE$2&lt;Y$2))),2))))</f>
      </c>
      <c r="AJ96" s="33">
        <f>IF(Z96&lt;=0,0,MAX(0,MIN(Z96,ROUND($AZ96-SUMPRODUCT($V96:$AE96*($V96:$AE96&gt;0)*(($V96:$AE96&lt;Z96)+($V96:$AE96=Z96)*($V$3:$AE$3&gt;Z$3)+($V96:$AE96=Z96)*($V$3:$AE$3=Z$3)*($V$2:$AE$2&lt;Z$2))),2))))</f>
      </c>
      <c r="AK96" s="33">
        <f>IF(AA96&lt;=0,0,MAX(0,MIN(AA96,ROUND($AZ96-SUMPRODUCT($V96:$AE96*($V96:$AE96&gt;0)*(($V96:$AE96&lt;AA96)+($V96:$AE96=AA96)*($V$3:$AE$3&gt;AA$3)+($V96:$AE96=AA96)*($V$3:$AE$3=AA$3)*($V$2:$AE$2&lt;AA$2))),2))))</f>
      </c>
      <c r="AL96" s="33">
        <f>IF(AB96&lt;=0,0,MAX(0,MIN(AB96,ROUND($AZ96-SUMPRODUCT($V96:$AE96*($V96:$AE96&gt;0)*(($V96:$AE96&lt;AB96)+($V96:$AE96=AB96)*($V$3:$AE$3&gt;AB$3)+($V96:$AE96=AB96)*($V$3:$AE$3=AB$3)*($V$2:$AE$2&lt;AB$2))),2))))</f>
      </c>
      <c r="AM96" s="33">
        <f>IF(AC96&lt;=0,0,MAX(0,MIN(AC96,ROUND($AZ96-SUMPRODUCT($V96:$AE96*($V96:$AE96&gt;0)*(($V96:$AE96&lt;AC96)+($V96:$AE96=AC96)*($V$3:$AE$3&gt;AC$3)+($V96:$AE96=AC96)*($V$3:$AE$3=AC$3)*($V$2:$AE$2&lt;AC$2))),2))))</f>
      </c>
      <c r="AN96" s="33">
        <f>IF(AD96&lt;=0,0,MAX(0,MIN(AD96,ROUND($AZ96-SUMPRODUCT($V96:$AE96*($V96:$AE96&gt;0)*(($V96:$AE96&lt;AD96)+($V96:$AE96=AD96)*($V$3:$AE$3&gt;AD$3)+($V96:$AE96=AD96)*($V$3:$AE$3=AD$3)*($V$2:$AE$2&lt;AD$2))),2))))</f>
      </c>
      <c r="AO96" s="33">
        <f>IF(AE96&lt;=0,0,MAX(0,MIN(AE96,ROUND($AZ96-SUMPRODUCT($V96:$AE96*($V96:$AE96&gt;0)*(($V96:$AE96&lt;AE96)+($V96:$AE96=AE96)*($V$3:$AE$3&gt;AE$3)+($V96:$AE96=AE96)*($V$3:$AE$3=AE$3)*($V$2:$AE$2&lt;AE$2))),2))))</f>
      </c>
      <c r="AP96" s="33">
        <f>ROUND(V96-AF96,2)</f>
      </c>
      <c r="AQ96" s="33">
        <f>ROUND(W96-AG96,2)</f>
      </c>
      <c r="AR96" s="33">
        <f>ROUND(X96-AH96,2)</f>
      </c>
      <c r="AS96" s="33">
        <f>ROUND(Y96-AI96,2)</f>
      </c>
      <c r="AT96" s="33">
        <f>ROUND(Z96-AJ96,2)</f>
      </c>
      <c r="AU96" s="33">
        <f>ROUND(AA96-AK96,2)</f>
      </c>
      <c r="AV96" s="33">
        <f>ROUND(AB96-AL96,2)</f>
      </c>
      <c r="AW96" s="33">
        <f>ROUND(AC96-AM96,2)</f>
      </c>
      <c r="AX96" s="33">
        <f>ROUND(AD96-AN96,2)</f>
      </c>
      <c r="AY96" s="33">
        <f>ROUND(AE96-AO96,2)</f>
      </c>
      <c r="AZ96" s="33">
        <f>ROUND(MAX(0,'Your debts'!$D$22-SUM($L96:$U96)),2)</f>
      </c>
      <c r="BA96" s="33">
        <f>ROUND(SUM($B96:$K96)-SUM($AP95:$AY95),2)</f>
      </c>
      <c r="BB96" s="33">
        <f>SUM($AP96:$AY96)</f>
      </c>
      <c r="BC96" s="33">
        <f>ROUND(SUM($L96:$U96)+SUM($AF96:$AO96),2)</f>
      </c>
    </row>
    <row r="97" spans="1:55" x14ac:dyDescent="0.25">
      <c r="A97">
        <v>90</v>
      </c>
      <c r="B97" s="33">
        <f>IF(AP96&lt;=0,0,ROUND(AP96+ROUND(AP96*V$3/12,2),2))</f>
      </c>
      <c r="C97" s="33">
        <f>IF(AQ96&lt;=0,0,ROUND(AQ96+ROUND(AQ96*W$3/12,2),2))</f>
      </c>
      <c r="D97" s="33">
        <f>IF(AR96&lt;=0,0,ROUND(AR96+ROUND(AR96*X$3/12,2),2))</f>
      </c>
      <c r="E97" s="33">
        <f>IF(AS96&lt;=0,0,ROUND(AS96+ROUND(AS96*Y$3/12,2),2))</f>
      </c>
      <c r="F97" s="33">
        <f>IF(AT96&lt;=0,0,ROUND(AT96+ROUND(AT96*Z$3/12,2),2))</f>
      </c>
      <c r="G97" s="33">
        <f>IF(AU96&lt;=0,0,ROUND(AU96+ROUND(AU96*AA$3/12,2),2))</f>
      </c>
      <c r="H97" s="33">
        <f>IF(AV96&lt;=0,0,ROUND(AV96+ROUND(AV96*AB$3/12,2),2))</f>
      </c>
      <c r="I97" s="33">
        <f>IF(AW96&lt;=0,0,ROUND(AW96+ROUND(AW96*AC$3/12,2),2))</f>
      </c>
      <c r="J97" s="33">
        <f>IF(AX96&lt;=0,0,ROUND(AX96+ROUND(AX96*AD$3/12,2),2))</f>
      </c>
      <c r="K97" s="33">
        <f>IF(AY96&lt;=0,0,ROUND(AY96+ROUND(AY96*AE$3/12,2),2))</f>
      </c>
      <c r="L97" s="33">
        <f>ROUND(MIN(MAX(0,N('Your debts'!$E$6)),B97),2)</f>
      </c>
      <c r="M97" s="33">
        <f>ROUND(MIN(MAX(0,N('Your debts'!$E$7)),C97),2)</f>
      </c>
      <c r="N97" s="33">
        <f>ROUND(MIN(MAX(0,N('Your debts'!$E$8)),D97),2)</f>
      </c>
      <c r="O97" s="33">
        <f>ROUND(MIN(MAX(0,N('Your debts'!$E$9)),E97),2)</f>
      </c>
      <c r="P97" s="33">
        <f>ROUND(MIN(MAX(0,N('Your debts'!$E$10)),F97),2)</f>
      </c>
      <c r="Q97" s="33">
        <f>ROUND(MIN(MAX(0,N('Your debts'!$E$11)),G97),2)</f>
      </c>
      <c r="R97" s="33">
        <f>ROUND(MIN(MAX(0,N('Your debts'!$E$12)),H97),2)</f>
      </c>
      <c r="S97" s="33">
        <f>ROUND(MIN(MAX(0,N('Your debts'!$E$13)),I97),2)</f>
      </c>
      <c r="T97" s="33">
        <f>ROUND(MIN(MAX(0,N('Your debts'!$E$14)),J97),2)</f>
      </c>
      <c r="U97" s="33">
        <f>ROUND(MIN(MAX(0,N('Your debts'!$E$15)),K97),2)</f>
      </c>
      <c r="V97" s="33">
        <f>ROUND(B97-L97,2)</f>
      </c>
      <c r="W97" s="33">
        <f>ROUND(C97-M97,2)</f>
      </c>
      <c r="X97" s="33">
        <f>ROUND(D97-N97,2)</f>
      </c>
      <c r="Y97" s="33">
        <f>ROUND(E97-O97,2)</f>
      </c>
      <c r="Z97" s="33">
        <f>ROUND(F97-P97,2)</f>
      </c>
      <c r="AA97" s="33">
        <f>ROUND(G97-Q97,2)</f>
      </c>
      <c r="AB97" s="33">
        <f>ROUND(H97-R97,2)</f>
      </c>
      <c r="AC97" s="33">
        <f>ROUND(I97-S97,2)</f>
      </c>
      <c r="AD97" s="33">
        <f>ROUND(J97-T97,2)</f>
      </c>
      <c r="AE97" s="33">
        <f>ROUND(K97-U97,2)</f>
      </c>
      <c r="AF97" s="33">
        <f>IF(V97&lt;=0,0,MAX(0,MIN(V97,ROUND($AZ97-SUMPRODUCT($V97:$AE97*($V97:$AE97&gt;0)*(($V97:$AE97&lt;V97)+($V97:$AE97=V97)*($V$3:$AE$3&gt;V$3)+($V97:$AE97=V97)*($V$3:$AE$3=V$3)*($V$2:$AE$2&lt;V$2))),2))))</f>
      </c>
      <c r="AG97" s="33">
        <f>IF(W97&lt;=0,0,MAX(0,MIN(W97,ROUND($AZ97-SUMPRODUCT($V97:$AE97*($V97:$AE97&gt;0)*(($V97:$AE97&lt;W97)+($V97:$AE97=W97)*($V$3:$AE$3&gt;W$3)+($V97:$AE97=W97)*($V$3:$AE$3=W$3)*($V$2:$AE$2&lt;W$2))),2))))</f>
      </c>
      <c r="AH97" s="33">
        <f>IF(X97&lt;=0,0,MAX(0,MIN(X97,ROUND($AZ97-SUMPRODUCT($V97:$AE97*($V97:$AE97&gt;0)*(($V97:$AE97&lt;X97)+($V97:$AE97=X97)*($V$3:$AE$3&gt;X$3)+($V97:$AE97=X97)*($V$3:$AE$3=X$3)*($V$2:$AE$2&lt;X$2))),2))))</f>
      </c>
      <c r="AI97" s="33">
        <f>IF(Y97&lt;=0,0,MAX(0,MIN(Y97,ROUND($AZ97-SUMPRODUCT($V97:$AE97*($V97:$AE97&gt;0)*(($V97:$AE97&lt;Y97)+($V97:$AE97=Y97)*($V$3:$AE$3&gt;Y$3)+($V97:$AE97=Y97)*($V$3:$AE$3=Y$3)*($V$2:$AE$2&lt;Y$2))),2))))</f>
      </c>
      <c r="AJ97" s="33">
        <f>IF(Z97&lt;=0,0,MAX(0,MIN(Z97,ROUND($AZ97-SUMPRODUCT($V97:$AE97*($V97:$AE97&gt;0)*(($V97:$AE97&lt;Z97)+($V97:$AE97=Z97)*($V$3:$AE$3&gt;Z$3)+($V97:$AE97=Z97)*($V$3:$AE$3=Z$3)*($V$2:$AE$2&lt;Z$2))),2))))</f>
      </c>
      <c r="AK97" s="33">
        <f>IF(AA97&lt;=0,0,MAX(0,MIN(AA97,ROUND($AZ97-SUMPRODUCT($V97:$AE97*($V97:$AE97&gt;0)*(($V97:$AE97&lt;AA97)+($V97:$AE97=AA97)*($V$3:$AE$3&gt;AA$3)+($V97:$AE97=AA97)*($V$3:$AE$3=AA$3)*($V$2:$AE$2&lt;AA$2))),2))))</f>
      </c>
      <c r="AL97" s="33">
        <f>IF(AB97&lt;=0,0,MAX(0,MIN(AB97,ROUND($AZ97-SUMPRODUCT($V97:$AE97*($V97:$AE97&gt;0)*(($V97:$AE97&lt;AB97)+($V97:$AE97=AB97)*($V$3:$AE$3&gt;AB$3)+($V97:$AE97=AB97)*($V$3:$AE$3=AB$3)*($V$2:$AE$2&lt;AB$2))),2))))</f>
      </c>
      <c r="AM97" s="33">
        <f>IF(AC97&lt;=0,0,MAX(0,MIN(AC97,ROUND($AZ97-SUMPRODUCT($V97:$AE97*($V97:$AE97&gt;0)*(($V97:$AE97&lt;AC97)+($V97:$AE97=AC97)*($V$3:$AE$3&gt;AC$3)+($V97:$AE97=AC97)*($V$3:$AE$3=AC$3)*($V$2:$AE$2&lt;AC$2))),2))))</f>
      </c>
      <c r="AN97" s="33">
        <f>IF(AD97&lt;=0,0,MAX(0,MIN(AD97,ROUND($AZ97-SUMPRODUCT($V97:$AE97*($V97:$AE97&gt;0)*(($V97:$AE97&lt;AD97)+($V97:$AE97=AD97)*($V$3:$AE$3&gt;AD$3)+($V97:$AE97=AD97)*($V$3:$AE$3=AD$3)*($V$2:$AE$2&lt;AD$2))),2))))</f>
      </c>
      <c r="AO97" s="33">
        <f>IF(AE97&lt;=0,0,MAX(0,MIN(AE97,ROUND($AZ97-SUMPRODUCT($V97:$AE97*($V97:$AE97&gt;0)*(($V97:$AE97&lt;AE97)+($V97:$AE97=AE97)*($V$3:$AE$3&gt;AE$3)+($V97:$AE97=AE97)*($V$3:$AE$3=AE$3)*($V$2:$AE$2&lt;AE$2))),2))))</f>
      </c>
      <c r="AP97" s="33">
        <f>ROUND(V97-AF97,2)</f>
      </c>
      <c r="AQ97" s="33">
        <f>ROUND(W97-AG97,2)</f>
      </c>
      <c r="AR97" s="33">
        <f>ROUND(X97-AH97,2)</f>
      </c>
      <c r="AS97" s="33">
        <f>ROUND(Y97-AI97,2)</f>
      </c>
      <c r="AT97" s="33">
        <f>ROUND(Z97-AJ97,2)</f>
      </c>
      <c r="AU97" s="33">
        <f>ROUND(AA97-AK97,2)</f>
      </c>
      <c r="AV97" s="33">
        <f>ROUND(AB97-AL97,2)</f>
      </c>
      <c r="AW97" s="33">
        <f>ROUND(AC97-AM97,2)</f>
      </c>
      <c r="AX97" s="33">
        <f>ROUND(AD97-AN97,2)</f>
      </c>
      <c r="AY97" s="33">
        <f>ROUND(AE97-AO97,2)</f>
      </c>
      <c r="AZ97" s="33">
        <f>ROUND(MAX(0,'Your debts'!$D$22-SUM($L97:$U97)),2)</f>
      </c>
      <c r="BA97" s="33">
        <f>ROUND(SUM($B97:$K97)-SUM($AP96:$AY96),2)</f>
      </c>
      <c r="BB97" s="33">
        <f>SUM($AP97:$AY97)</f>
      </c>
      <c r="BC97" s="33">
        <f>ROUND(SUM($L97:$U97)+SUM($AF97:$AO97),2)</f>
      </c>
    </row>
    <row r="98" spans="1:55" x14ac:dyDescent="0.25">
      <c r="A98">
        <v>91</v>
      </c>
      <c r="B98" s="33">
        <f>IF(AP97&lt;=0,0,ROUND(AP97+ROUND(AP97*V$3/12,2),2))</f>
      </c>
      <c r="C98" s="33">
        <f>IF(AQ97&lt;=0,0,ROUND(AQ97+ROUND(AQ97*W$3/12,2),2))</f>
      </c>
      <c r="D98" s="33">
        <f>IF(AR97&lt;=0,0,ROUND(AR97+ROUND(AR97*X$3/12,2),2))</f>
      </c>
      <c r="E98" s="33">
        <f>IF(AS97&lt;=0,0,ROUND(AS97+ROUND(AS97*Y$3/12,2),2))</f>
      </c>
      <c r="F98" s="33">
        <f>IF(AT97&lt;=0,0,ROUND(AT97+ROUND(AT97*Z$3/12,2),2))</f>
      </c>
      <c r="G98" s="33">
        <f>IF(AU97&lt;=0,0,ROUND(AU97+ROUND(AU97*AA$3/12,2),2))</f>
      </c>
      <c r="H98" s="33">
        <f>IF(AV97&lt;=0,0,ROUND(AV97+ROUND(AV97*AB$3/12,2),2))</f>
      </c>
      <c r="I98" s="33">
        <f>IF(AW97&lt;=0,0,ROUND(AW97+ROUND(AW97*AC$3/12,2),2))</f>
      </c>
      <c r="J98" s="33">
        <f>IF(AX97&lt;=0,0,ROUND(AX97+ROUND(AX97*AD$3/12,2),2))</f>
      </c>
      <c r="K98" s="33">
        <f>IF(AY97&lt;=0,0,ROUND(AY97+ROUND(AY97*AE$3/12,2),2))</f>
      </c>
      <c r="L98" s="33">
        <f>ROUND(MIN(MAX(0,N('Your debts'!$E$6)),B98),2)</f>
      </c>
      <c r="M98" s="33">
        <f>ROUND(MIN(MAX(0,N('Your debts'!$E$7)),C98),2)</f>
      </c>
      <c r="N98" s="33">
        <f>ROUND(MIN(MAX(0,N('Your debts'!$E$8)),D98),2)</f>
      </c>
      <c r="O98" s="33">
        <f>ROUND(MIN(MAX(0,N('Your debts'!$E$9)),E98),2)</f>
      </c>
      <c r="P98" s="33">
        <f>ROUND(MIN(MAX(0,N('Your debts'!$E$10)),F98),2)</f>
      </c>
      <c r="Q98" s="33">
        <f>ROUND(MIN(MAX(0,N('Your debts'!$E$11)),G98),2)</f>
      </c>
      <c r="R98" s="33">
        <f>ROUND(MIN(MAX(0,N('Your debts'!$E$12)),H98),2)</f>
      </c>
      <c r="S98" s="33">
        <f>ROUND(MIN(MAX(0,N('Your debts'!$E$13)),I98),2)</f>
      </c>
      <c r="T98" s="33">
        <f>ROUND(MIN(MAX(0,N('Your debts'!$E$14)),J98),2)</f>
      </c>
      <c r="U98" s="33">
        <f>ROUND(MIN(MAX(0,N('Your debts'!$E$15)),K98),2)</f>
      </c>
      <c r="V98" s="33">
        <f>ROUND(B98-L98,2)</f>
      </c>
      <c r="W98" s="33">
        <f>ROUND(C98-M98,2)</f>
      </c>
      <c r="X98" s="33">
        <f>ROUND(D98-N98,2)</f>
      </c>
      <c r="Y98" s="33">
        <f>ROUND(E98-O98,2)</f>
      </c>
      <c r="Z98" s="33">
        <f>ROUND(F98-P98,2)</f>
      </c>
      <c r="AA98" s="33">
        <f>ROUND(G98-Q98,2)</f>
      </c>
      <c r="AB98" s="33">
        <f>ROUND(H98-R98,2)</f>
      </c>
      <c r="AC98" s="33">
        <f>ROUND(I98-S98,2)</f>
      </c>
      <c r="AD98" s="33">
        <f>ROUND(J98-T98,2)</f>
      </c>
      <c r="AE98" s="33">
        <f>ROUND(K98-U98,2)</f>
      </c>
      <c r="AF98" s="33">
        <f>IF(V98&lt;=0,0,MAX(0,MIN(V98,ROUND($AZ98-SUMPRODUCT($V98:$AE98*($V98:$AE98&gt;0)*(($V98:$AE98&lt;V98)+($V98:$AE98=V98)*($V$3:$AE$3&gt;V$3)+($V98:$AE98=V98)*($V$3:$AE$3=V$3)*($V$2:$AE$2&lt;V$2))),2))))</f>
      </c>
      <c r="AG98" s="33">
        <f>IF(W98&lt;=0,0,MAX(0,MIN(W98,ROUND($AZ98-SUMPRODUCT($V98:$AE98*($V98:$AE98&gt;0)*(($V98:$AE98&lt;W98)+($V98:$AE98=W98)*($V$3:$AE$3&gt;W$3)+($V98:$AE98=W98)*($V$3:$AE$3=W$3)*($V$2:$AE$2&lt;W$2))),2))))</f>
      </c>
      <c r="AH98" s="33">
        <f>IF(X98&lt;=0,0,MAX(0,MIN(X98,ROUND($AZ98-SUMPRODUCT($V98:$AE98*($V98:$AE98&gt;0)*(($V98:$AE98&lt;X98)+($V98:$AE98=X98)*($V$3:$AE$3&gt;X$3)+($V98:$AE98=X98)*($V$3:$AE$3=X$3)*($V$2:$AE$2&lt;X$2))),2))))</f>
      </c>
      <c r="AI98" s="33">
        <f>IF(Y98&lt;=0,0,MAX(0,MIN(Y98,ROUND($AZ98-SUMPRODUCT($V98:$AE98*($V98:$AE98&gt;0)*(($V98:$AE98&lt;Y98)+($V98:$AE98=Y98)*($V$3:$AE$3&gt;Y$3)+($V98:$AE98=Y98)*($V$3:$AE$3=Y$3)*($V$2:$AE$2&lt;Y$2))),2))))</f>
      </c>
      <c r="AJ98" s="33">
        <f>IF(Z98&lt;=0,0,MAX(0,MIN(Z98,ROUND($AZ98-SUMPRODUCT($V98:$AE98*($V98:$AE98&gt;0)*(($V98:$AE98&lt;Z98)+($V98:$AE98=Z98)*($V$3:$AE$3&gt;Z$3)+($V98:$AE98=Z98)*($V$3:$AE$3=Z$3)*($V$2:$AE$2&lt;Z$2))),2))))</f>
      </c>
      <c r="AK98" s="33">
        <f>IF(AA98&lt;=0,0,MAX(0,MIN(AA98,ROUND($AZ98-SUMPRODUCT($V98:$AE98*($V98:$AE98&gt;0)*(($V98:$AE98&lt;AA98)+($V98:$AE98=AA98)*($V$3:$AE$3&gt;AA$3)+($V98:$AE98=AA98)*($V$3:$AE$3=AA$3)*($V$2:$AE$2&lt;AA$2))),2))))</f>
      </c>
      <c r="AL98" s="33">
        <f>IF(AB98&lt;=0,0,MAX(0,MIN(AB98,ROUND($AZ98-SUMPRODUCT($V98:$AE98*($V98:$AE98&gt;0)*(($V98:$AE98&lt;AB98)+($V98:$AE98=AB98)*($V$3:$AE$3&gt;AB$3)+($V98:$AE98=AB98)*($V$3:$AE$3=AB$3)*($V$2:$AE$2&lt;AB$2))),2))))</f>
      </c>
      <c r="AM98" s="33">
        <f>IF(AC98&lt;=0,0,MAX(0,MIN(AC98,ROUND($AZ98-SUMPRODUCT($V98:$AE98*($V98:$AE98&gt;0)*(($V98:$AE98&lt;AC98)+($V98:$AE98=AC98)*($V$3:$AE$3&gt;AC$3)+($V98:$AE98=AC98)*($V$3:$AE$3=AC$3)*($V$2:$AE$2&lt;AC$2))),2))))</f>
      </c>
      <c r="AN98" s="33">
        <f>IF(AD98&lt;=0,0,MAX(0,MIN(AD98,ROUND($AZ98-SUMPRODUCT($V98:$AE98*($V98:$AE98&gt;0)*(($V98:$AE98&lt;AD98)+($V98:$AE98=AD98)*($V$3:$AE$3&gt;AD$3)+($V98:$AE98=AD98)*($V$3:$AE$3=AD$3)*($V$2:$AE$2&lt;AD$2))),2))))</f>
      </c>
      <c r="AO98" s="33">
        <f>IF(AE98&lt;=0,0,MAX(0,MIN(AE98,ROUND($AZ98-SUMPRODUCT($V98:$AE98*($V98:$AE98&gt;0)*(($V98:$AE98&lt;AE98)+($V98:$AE98=AE98)*($V$3:$AE$3&gt;AE$3)+($V98:$AE98=AE98)*($V$3:$AE$3=AE$3)*($V$2:$AE$2&lt;AE$2))),2))))</f>
      </c>
      <c r="AP98" s="33">
        <f>ROUND(V98-AF98,2)</f>
      </c>
      <c r="AQ98" s="33">
        <f>ROUND(W98-AG98,2)</f>
      </c>
      <c r="AR98" s="33">
        <f>ROUND(X98-AH98,2)</f>
      </c>
      <c r="AS98" s="33">
        <f>ROUND(Y98-AI98,2)</f>
      </c>
      <c r="AT98" s="33">
        <f>ROUND(Z98-AJ98,2)</f>
      </c>
      <c r="AU98" s="33">
        <f>ROUND(AA98-AK98,2)</f>
      </c>
      <c r="AV98" s="33">
        <f>ROUND(AB98-AL98,2)</f>
      </c>
      <c r="AW98" s="33">
        <f>ROUND(AC98-AM98,2)</f>
      </c>
      <c r="AX98" s="33">
        <f>ROUND(AD98-AN98,2)</f>
      </c>
      <c r="AY98" s="33">
        <f>ROUND(AE98-AO98,2)</f>
      </c>
      <c r="AZ98" s="33">
        <f>ROUND(MAX(0,'Your debts'!$D$22-SUM($L98:$U98)),2)</f>
      </c>
      <c r="BA98" s="33">
        <f>ROUND(SUM($B98:$K98)-SUM($AP97:$AY97),2)</f>
      </c>
      <c r="BB98" s="33">
        <f>SUM($AP98:$AY98)</f>
      </c>
      <c r="BC98" s="33">
        <f>ROUND(SUM($L98:$U98)+SUM($AF98:$AO98),2)</f>
      </c>
    </row>
    <row r="99" spans="1:55" x14ac:dyDescent="0.25">
      <c r="A99">
        <v>92</v>
      </c>
      <c r="B99" s="33">
        <f>IF(AP98&lt;=0,0,ROUND(AP98+ROUND(AP98*V$3/12,2),2))</f>
      </c>
      <c r="C99" s="33">
        <f>IF(AQ98&lt;=0,0,ROUND(AQ98+ROUND(AQ98*W$3/12,2),2))</f>
      </c>
      <c r="D99" s="33">
        <f>IF(AR98&lt;=0,0,ROUND(AR98+ROUND(AR98*X$3/12,2),2))</f>
      </c>
      <c r="E99" s="33">
        <f>IF(AS98&lt;=0,0,ROUND(AS98+ROUND(AS98*Y$3/12,2),2))</f>
      </c>
      <c r="F99" s="33">
        <f>IF(AT98&lt;=0,0,ROUND(AT98+ROUND(AT98*Z$3/12,2),2))</f>
      </c>
      <c r="G99" s="33">
        <f>IF(AU98&lt;=0,0,ROUND(AU98+ROUND(AU98*AA$3/12,2),2))</f>
      </c>
      <c r="H99" s="33">
        <f>IF(AV98&lt;=0,0,ROUND(AV98+ROUND(AV98*AB$3/12,2),2))</f>
      </c>
      <c r="I99" s="33">
        <f>IF(AW98&lt;=0,0,ROUND(AW98+ROUND(AW98*AC$3/12,2),2))</f>
      </c>
      <c r="J99" s="33">
        <f>IF(AX98&lt;=0,0,ROUND(AX98+ROUND(AX98*AD$3/12,2),2))</f>
      </c>
      <c r="K99" s="33">
        <f>IF(AY98&lt;=0,0,ROUND(AY98+ROUND(AY98*AE$3/12,2),2))</f>
      </c>
      <c r="L99" s="33">
        <f>ROUND(MIN(MAX(0,N('Your debts'!$E$6)),B99),2)</f>
      </c>
      <c r="M99" s="33">
        <f>ROUND(MIN(MAX(0,N('Your debts'!$E$7)),C99),2)</f>
      </c>
      <c r="N99" s="33">
        <f>ROUND(MIN(MAX(0,N('Your debts'!$E$8)),D99),2)</f>
      </c>
      <c r="O99" s="33">
        <f>ROUND(MIN(MAX(0,N('Your debts'!$E$9)),E99),2)</f>
      </c>
      <c r="P99" s="33">
        <f>ROUND(MIN(MAX(0,N('Your debts'!$E$10)),F99),2)</f>
      </c>
      <c r="Q99" s="33">
        <f>ROUND(MIN(MAX(0,N('Your debts'!$E$11)),G99),2)</f>
      </c>
      <c r="R99" s="33">
        <f>ROUND(MIN(MAX(0,N('Your debts'!$E$12)),H99),2)</f>
      </c>
      <c r="S99" s="33">
        <f>ROUND(MIN(MAX(0,N('Your debts'!$E$13)),I99),2)</f>
      </c>
      <c r="T99" s="33">
        <f>ROUND(MIN(MAX(0,N('Your debts'!$E$14)),J99),2)</f>
      </c>
      <c r="U99" s="33">
        <f>ROUND(MIN(MAX(0,N('Your debts'!$E$15)),K99),2)</f>
      </c>
      <c r="V99" s="33">
        <f>ROUND(B99-L99,2)</f>
      </c>
      <c r="W99" s="33">
        <f>ROUND(C99-M99,2)</f>
      </c>
      <c r="X99" s="33">
        <f>ROUND(D99-N99,2)</f>
      </c>
      <c r="Y99" s="33">
        <f>ROUND(E99-O99,2)</f>
      </c>
      <c r="Z99" s="33">
        <f>ROUND(F99-P99,2)</f>
      </c>
      <c r="AA99" s="33">
        <f>ROUND(G99-Q99,2)</f>
      </c>
      <c r="AB99" s="33">
        <f>ROUND(H99-R99,2)</f>
      </c>
      <c r="AC99" s="33">
        <f>ROUND(I99-S99,2)</f>
      </c>
      <c r="AD99" s="33">
        <f>ROUND(J99-T99,2)</f>
      </c>
      <c r="AE99" s="33">
        <f>ROUND(K99-U99,2)</f>
      </c>
      <c r="AF99" s="33">
        <f>IF(V99&lt;=0,0,MAX(0,MIN(V99,ROUND($AZ99-SUMPRODUCT($V99:$AE99*($V99:$AE99&gt;0)*(($V99:$AE99&lt;V99)+($V99:$AE99=V99)*($V$3:$AE$3&gt;V$3)+($V99:$AE99=V99)*($V$3:$AE$3=V$3)*($V$2:$AE$2&lt;V$2))),2))))</f>
      </c>
      <c r="AG99" s="33">
        <f>IF(W99&lt;=0,0,MAX(0,MIN(W99,ROUND($AZ99-SUMPRODUCT($V99:$AE99*($V99:$AE99&gt;0)*(($V99:$AE99&lt;W99)+($V99:$AE99=W99)*($V$3:$AE$3&gt;W$3)+($V99:$AE99=W99)*($V$3:$AE$3=W$3)*($V$2:$AE$2&lt;W$2))),2))))</f>
      </c>
      <c r="AH99" s="33">
        <f>IF(X99&lt;=0,0,MAX(0,MIN(X99,ROUND($AZ99-SUMPRODUCT($V99:$AE99*($V99:$AE99&gt;0)*(($V99:$AE99&lt;X99)+($V99:$AE99=X99)*($V$3:$AE$3&gt;X$3)+($V99:$AE99=X99)*($V$3:$AE$3=X$3)*($V$2:$AE$2&lt;X$2))),2))))</f>
      </c>
      <c r="AI99" s="33">
        <f>IF(Y99&lt;=0,0,MAX(0,MIN(Y99,ROUND($AZ99-SUMPRODUCT($V99:$AE99*($V99:$AE99&gt;0)*(($V99:$AE99&lt;Y99)+($V99:$AE99=Y99)*($V$3:$AE$3&gt;Y$3)+($V99:$AE99=Y99)*($V$3:$AE$3=Y$3)*($V$2:$AE$2&lt;Y$2))),2))))</f>
      </c>
      <c r="AJ99" s="33">
        <f>IF(Z99&lt;=0,0,MAX(0,MIN(Z99,ROUND($AZ99-SUMPRODUCT($V99:$AE99*($V99:$AE99&gt;0)*(($V99:$AE99&lt;Z99)+($V99:$AE99=Z99)*($V$3:$AE$3&gt;Z$3)+($V99:$AE99=Z99)*($V$3:$AE$3=Z$3)*($V$2:$AE$2&lt;Z$2))),2))))</f>
      </c>
      <c r="AK99" s="33">
        <f>IF(AA99&lt;=0,0,MAX(0,MIN(AA99,ROUND($AZ99-SUMPRODUCT($V99:$AE99*($V99:$AE99&gt;0)*(($V99:$AE99&lt;AA99)+($V99:$AE99=AA99)*($V$3:$AE$3&gt;AA$3)+($V99:$AE99=AA99)*($V$3:$AE$3=AA$3)*($V$2:$AE$2&lt;AA$2))),2))))</f>
      </c>
      <c r="AL99" s="33">
        <f>IF(AB99&lt;=0,0,MAX(0,MIN(AB99,ROUND($AZ99-SUMPRODUCT($V99:$AE99*($V99:$AE99&gt;0)*(($V99:$AE99&lt;AB99)+($V99:$AE99=AB99)*($V$3:$AE$3&gt;AB$3)+($V99:$AE99=AB99)*($V$3:$AE$3=AB$3)*($V$2:$AE$2&lt;AB$2))),2))))</f>
      </c>
      <c r="AM99" s="33">
        <f>IF(AC99&lt;=0,0,MAX(0,MIN(AC99,ROUND($AZ99-SUMPRODUCT($V99:$AE99*($V99:$AE99&gt;0)*(($V99:$AE99&lt;AC99)+($V99:$AE99=AC99)*($V$3:$AE$3&gt;AC$3)+($V99:$AE99=AC99)*($V$3:$AE$3=AC$3)*($V$2:$AE$2&lt;AC$2))),2))))</f>
      </c>
      <c r="AN99" s="33">
        <f>IF(AD99&lt;=0,0,MAX(0,MIN(AD99,ROUND($AZ99-SUMPRODUCT($V99:$AE99*($V99:$AE99&gt;0)*(($V99:$AE99&lt;AD99)+($V99:$AE99=AD99)*($V$3:$AE$3&gt;AD$3)+($V99:$AE99=AD99)*($V$3:$AE$3=AD$3)*($V$2:$AE$2&lt;AD$2))),2))))</f>
      </c>
      <c r="AO99" s="33">
        <f>IF(AE99&lt;=0,0,MAX(0,MIN(AE99,ROUND($AZ99-SUMPRODUCT($V99:$AE99*($V99:$AE99&gt;0)*(($V99:$AE99&lt;AE99)+($V99:$AE99=AE99)*($V$3:$AE$3&gt;AE$3)+($V99:$AE99=AE99)*($V$3:$AE$3=AE$3)*($V$2:$AE$2&lt;AE$2))),2))))</f>
      </c>
      <c r="AP99" s="33">
        <f>ROUND(V99-AF99,2)</f>
      </c>
      <c r="AQ99" s="33">
        <f>ROUND(W99-AG99,2)</f>
      </c>
      <c r="AR99" s="33">
        <f>ROUND(X99-AH99,2)</f>
      </c>
      <c r="AS99" s="33">
        <f>ROUND(Y99-AI99,2)</f>
      </c>
      <c r="AT99" s="33">
        <f>ROUND(Z99-AJ99,2)</f>
      </c>
      <c r="AU99" s="33">
        <f>ROUND(AA99-AK99,2)</f>
      </c>
      <c r="AV99" s="33">
        <f>ROUND(AB99-AL99,2)</f>
      </c>
      <c r="AW99" s="33">
        <f>ROUND(AC99-AM99,2)</f>
      </c>
      <c r="AX99" s="33">
        <f>ROUND(AD99-AN99,2)</f>
      </c>
      <c r="AY99" s="33">
        <f>ROUND(AE99-AO99,2)</f>
      </c>
      <c r="AZ99" s="33">
        <f>ROUND(MAX(0,'Your debts'!$D$22-SUM($L99:$U99)),2)</f>
      </c>
      <c r="BA99" s="33">
        <f>ROUND(SUM($B99:$K99)-SUM($AP98:$AY98),2)</f>
      </c>
      <c r="BB99" s="33">
        <f>SUM($AP99:$AY99)</f>
      </c>
      <c r="BC99" s="33">
        <f>ROUND(SUM($L99:$U99)+SUM($AF99:$AO99),2)</f>
      </c>
    </row>
    <row r="100" spans="1:55" x14ac:dyDescent="0.25">
      <c r="A100">
        <v>93</v>
      </c>
      <c r="B100" s="33">
        <f>IF(AP99&lt;=0,0,ROUND(AP99+ROUND(AP99*V$3/12,2),2))</f>
      </c>
      <c r="C100" s="33">
        <f>IF(AQ99&lt;=0,0,ROUND(AQ99+ROUND(AQ99*W$3/12,2),2))</f>
      </c>
      <c r="D100" s="33">
        <f>IF(AR99&lt;=0,0,ROUND(AR99+ROUND(AR99*X$3/12,2),2))</f>
      </c>
      <c r="E100" s="33">
        <f>IF(AS99&lt;=0,0,ROUND(AS99+ROUND(AS99*Y$3/12,2),2))</f>
      </c>
      <c r="F100" s="33">
        <f>IF(AT99&lt;=0,0,ROUND(AT99+ROUND(AT99*Z$3/12,2),2))</f>
      </c>
      <c r="G100" s="33">
        <f>IF(AU99&lt;=0,0,ROUND(AU99+ROUND(AU99*AA$3/12,2),2))</f>
      </c>
      <c r="H100" s="33">
        <f>IF(AV99&lt;=0,0,ROUND(AV99+ROUND(AV99*AB$3/12,2),2))</f>
      </c>
      <c r="I100" s="33">
        <f>IF(AW99&lt;=0,0,ROUND(AW99+ROUND(AW99*AC$3/12,2),2))</f>
      </c>
      <c r="J100" s="33">
        <f>IF(AX99&lt;=0,0,ROUND(AX99+ROUND(AX99*AD$3/12,2),2))</f>
      </c>
      <c r="K100" s="33">
        <f>IF(AY99&lt;=0,0,ROUND(AY99+ROUND(AY99*AE$3/12,2),2))</f>
      </c>
      <c r="L100" s="33">
        <f>ROUND(MIN(MAX(0,N('Your debts'!$E$6)),B100),2)</f>
      </c>
      <c r="M100" s="33">
        <f>ROUND(MIN(MAX(0,N('Your debts'!$E$7)),C100),2)</f>
      </c>
      <c r="N100" s="33">
        <f>ROUND(MIN(MAX(0,N('Your debts'!$E$8)),D100),2)</f>
      </c>
      <c r="O100" s="33">
        <f>ROUND(MIN(MAX(0,N('Your debts'!$E$9)),E100),2)</f>
      </c>
      <c r="P100" s="33">
        <f>ROUND(MIN(MAX(0,N('Your debts'!$E$10)),F100),2)</f>
      </c>
      <c r="Q100" s="33">
        <f>ROUND(MIN(MAX(0,N('Your debts'!$E$11)),G100),2)</f>
      </c>
      <c r="R100" s="33">
        <f>ROUND(MIN(MAX(0,N('Your debts'!$E$12)),H100),2)</f>
      </c>
      <c r="S100" s="33">
        <f>ROUND(MIN(MAX(0,N('Your debts'!$E$13)),I100),2)</f>
      </c>
      <c r="T100" s="33">
        <f>ROUND(MIN(MAX(0,N('Your debts'!$E$14)),J100),2)</f>
      </c>
      <c r="U100" s="33">
        <f>ROUND(MIN(MAX(0,N('Your debts'!$E$15)),K100),2)</f>
      </c>
      <c r="V100" s="33">
        <f>ROUND(B100-L100,2)</f>
      </c>
      <c r="W100" s="33">
        <f>ROUND(C100-M100,2)</f>
      </c>
      <c r="X100" s="33">
        <f>ROUND(D100-N100,2)</f>
      </c>
      <c r="Y100" s="33">
        <f>ROUND(E100-O100,2)</f>
      </c>
      <c r="Z100" s="33">
        <f>ROUND(F100-P100,2)</f>
      </c>
      <c r="AA100" s="33">
        <f>ROUND(G100-Q100,2)</f>
      </c>
      <c r="AB100" s="33">
        <f>ROUND(H100-R100,2)</f>
      </c>
      <c r="AC100" s="33">
        <f>ROUND(I100-S100,2)</f>
      </c>
      <c r="AD100" s="33">
        <f>ROUND(J100-T100,2)</f>
      </c>
      <c r="AE100" s="33">
        <f>ROUND(K100-U100,2)</f>
      </c>
      <c r="AF100" s="33">
        <f>IF(V100&lt;=0,0,MAX(0,MIN(V100,ROUND($AZ100-SUMPRODUCT($V100:$AE100*($V100:$AE100&gt;0)*(($V100:$AE100&lt;V100)+($V100:$AE100=V100)*($V$3:$AE$3&gt;V$3)+($V100:$AE100=V100)*($V$3:$AE$3=V$3)*($V$2:$AE$2&lt;V$2))),2))))</f>
      </c>
      <c r="AG100" s="33">
        <f>IF(W100&lt;=0,0,MAX(0,MIN(W100,ROUND($AZ100-SUMPRODUCT($V100:$AE100*($V100:$AE100&gt;0)*(($V100:$AE100&lt;W100)+($V100:$AE100=W100)*($V$3:$AE$3&gt;W$3)+($V100:$AE100=W100)*($V$3:$AE$3=W$3)*($V$2:$AE$2&lt;W$2))),2))))</f>
      </c>
      <c r="AH100" s="33">
        <f>IF(X100&lt;=0,0,MAX(0,MIN(X100,ROUND($AZ100-SUMPRODUCT($V100:$AE100*($V100:$AE100&gt;0)*(($V100:$AE100&lt;X100)+($V100:$AE100=X100)*($V$3:$AE$3&gt;X$3)+($V100:$AE100=X100)*($V$3:$AE$3=X$3)*($V$2:$AE$2&lt;X$2))),2))))</f>
      </c>
      <c r="AI100" s="33">
        <f>IF(Y100&lt;=0,0,MAX(0,MIN(Y100,ROUND($AZ100-SUMPRODUCT($V100:$AE100*($V100:$AE100&gt;0)*(($V100:$AE100&lt;Y100)+($V100:$AE100=Y100)*($V$3:$AE$3&gt;Y$3)+($V100:$AE100=Y100)*($V$3:$AE$3=Y$3)*($V$2:$AE$2&lt;Y$2))),2))))</f>
      </c>
      <c r="AJ100" s="33">
        <f>IF(Z100&lt;=0,0,MAX(0,MIN(Z100,ROUND($AZ100-SUMPRODUCT($V100:$AE100*($V100:$AE100&gt;0)*(($V100:$AE100&lt;Z100)+($V100:$AE100=Z100)*($V$3:$AE$3&gt;Z$3)+($V100:$AE100=Z100)*($V$3:$AE$3=Z$3)*($V$2:$AE$2&lt;Z$2))),2))))</f>
      </c>
      <c r="AK100" s="33">
        <f>IF(AA100&lt;=0,0,MAX(0,MIN(AA100,ROUND($AZ100-SUMPRODUCT($V100:$AE100*($V100:$AE100&gt;0)*(($V100:$AE100&lt;AA100)+($V100:$AE100=AA100)*($V$3:$AE$3&gt;AA$3)+($V100:$AE100=AA100)*($V$3:$AE$3=AA$3)*($V$2:$AE$2&lt;AA$2))),2))))</f>
      </c>
      <c r="AL100" s="33">
        <f>IF(AB100&lt;=0,0,MAX(0,MIN(AB100,ROUND($AZ100-SUMPRODUCT($V100:$AE100*($V100:$AE100&gt;0)*(($V100:$AE100&lt;AB100)+($V100:$AE100=AB100)*($V$3:$AE$3&gt;AB$3)+($V100:$AE100=AB100)*($V$3:$AE$3=AB$3)*($V$2:$AE$2&lt;AB$2))),2))))</f>
      </c>
      <c r="AM100" s="33">
        <f>IF(AC100&lt;=0,0,MAX(0,MIN(AC100,ROUND($AZ100-SUMPRODUCT($V100:$AE100*($V100:$AE100&gt;0)*(($V100:$AE100&lt;AC100)+($V100:$AE100=AC100)*($V$3:$AE$3&gt;AC$3)+($V100:$AE100=AC100)*($V$3:$AE$3=AC$3)*($V$2:$AE$2&lt;AC$2))),2))))</f>
      </c>
      <c r="AN100" s="33">
        <f>IF(AD100&lt;=0,0,MAX(0,MIN(AD100,ROUND($AZ100-SUMPRODUCT($V100:$AE100*($V100:$AE100&gt;0)*(($V100:$AE100&lt;AD100)+($V100:$AE100=AD100)*($V$3:$AE$3&gt;AD$3)+($V100:$AE100=AD100)*($V$3:$AE$3=AD$3)*($V$2:$AE$2&lt;AD$2))),2))))</f>
      </c>
      <c r="AO100" s="33">
        <f>IF(AE100&lt;=0,0,MAX(0,MIN(AE100,ROUND($AZ100-SUMPRODUCT($V100:$AE100*($V100:$AE100&gt;0)*(($V100:$AE100&lt;AE100)+($V100:$AE100=AE100)*($V$3:$AE$3&gt;AE$3)+($V100:$AE100=AE100)*($V$3:$AE$3=AE$3)*($V$2:$AE$2&lt;AE$2))),2))))</f>
      </c>
      <c r="AP100" s="33">
        <f>ROUND(V100-AF100,2)</f>
      </c>
      <c r="AQ100" s="33">
        <f>ROUND(W100-AG100,2)</f>
      </c>
      <c r="AR100" s="33">
        <f>ROUND(X100-AH100,2)</f>
      </c>
      <c r="AS100" s="33">
        <f>ROUND(Y100-AI100,2)</f>
      </c>
      <c r="AT100" s="33">
        <f>ROUND(Z100-AJ100,2)</f>
      </c>
      <c r="AU100" s="33">
        <f>ROUND(AA100-AK100,2)</f>
      </c>
      <c r="AV100" s="33">
        <f>ROUND(AB100-AL100,2)</f>
      </c>
      <c r="AW100" s="33">
        <f>ROUND(AC100-AM100,2)</f>
      </c>
      <c r="AX100" s="33">
        <f>ROUND(AD100-AN100,2)</f>
      </c>
      <c r="AY100" s="33">
        <f>ROUND(AE100-AO100,2)</f>
      </c>
      <c r="AZ100" s="33">
        <f>ROUND(MAX(0,'Your debts'!$D$22-SUM($L100:$U100)),2)</f>
      </c>
      <c r="BA100" s="33">
        <f>ROUND(SUM($B100:$K100)-SUM($AP99:$AY99),2)</f>
      </c>
      <c r="BB100" s="33">
        <f>SUM($AP100:$AY100)</f>
      </c>
      <c r="BC100" s="33">
        <f>ROUND(SUM($L100:$U100)+SUM($AF100:$AO100),2)</f>
      </c>
    </row>
    <row r="101" spans="1:55" x14ac:dyDescent="0.25">
      <c r="A101">
        <v>94</v>
      </c>
      <c r="B101" s="33">
        <f>IF(AP100&lt;=0,0,ROUND(AP100+ROUND(AP100*V$3/12,2),2))</f>
      </c>
      <c r="C101" s="33">
        <f>IF(AQ100&lt;=0,0,ROUND(AQ100+ROUND(AQ100*W$3/12,2),2))</f>
      </c>
      <c r="D101" s="33">
        <f>IF(AR100&lt;=0,0,ROUND(AR100+ROUND(AR100*X$3/12,2),2))</f>
      </c>
      <c r="E101" s="33">
        <f>IF(AS100&lt;=0,0,ROUND(AS100+ROUND(AS100*Y$3/12,2),2))</f>
      </c>
      <c r="F101" s="33">
        <f>IF(AT100&lt;=0,0,ROUND(AT100+ROUND(AT100*Z$3/12,2),2))</f>
      </c>
      <c r="G101" s="33">
        <f>IF(AU100&lt;=0,0,ROUND(AU100+ROUND(AU100*AA$3/12,2),2))</f>
      </c>
      <c r="H101" s="33">
        <f>IF(AV100&lt;=0,0,ROUND(AV100+ROUND(AV100*AB$3/12,2),2))</f>
      </c>
      <c r="I101" s="33">
        <f>IF(AW100&lt;=0,0,ROUND(AW100+ROUND(AW100*AC$3/12,2),2))</f>
      </c>
      <c r="J101" s="33">
        <f>IF(AX100&lt;=0,0,ROUND(AX100+ROUND(AX100*AD$3/12,2),2))</f>
      </c>
      <c r="K101" s="33">
        <f>IF(AY100&lt;=0,0,ROUND(AY100+ROUND(AY100*AE$3/12,2),2))</f>
      </c>
      <c r="L101" s="33">
        <f>ROUND(MIN(MAX(0,N('Your debts'!$E$6)),B101),2)</f>
      </c>
      <c r="M101" s="33">
        <f>ROUND(MIN(MAX(0,N('Your debts'!$E$7)),C101),2)</f>
      </c>
      <c r="N101" s="33">
        <f>ROUND(MIN(MAX(0,N('Your debts'!$E$8)),D101),2)</f>
      </c>
      <c r="O101" s="33">
        <f>ROUND(MIN(MAX(0,N('Your debts'!$E$9)),E101),2)</f>
      </c>
      <c r="P101" s="33">
        <f>ROUND(MIN(MAX(0,N('Your debts'!$E$10)),F101),2)</f>
      </c>
      <c r="Q101" s="33">
        <f>ROUND(MIN(MAX(0,N('Your debts'!$E$11)),G101),2)</f>
      </c>
      <c r="R101" s="33">
        <f>ROUND(MIN(MAX(0,N('Your debts'!$E$12)),H101),2)</f>
      </c>
      <c r="S101" s="33">
        <f>ROUND(MIN(MAX(0,N('Your debts'!$E$13)),I101),2)</f>
      </c>
      <c r="T101" s="33">
        <f>ROUND(MIN(MAX(0,N('Your debts'!$E$14)),J101),2)</f>
      </c>
      <c r="U101" s="33">
        <f>ROUND(MIN(MAX(0,N('Your debts'!$E$15)),K101),2)</f>
      </c>
      <c r="V101" s="33">
        <f>ROUND(B101-L101,2)</f>
      </c>
      <c r="W101" s="33">
        <f>ROUND(C101-M101,2)</f>
      </c>
      <c r="X101" s="33">
        <f>ROUND(D101-N101,2)</f>
      </c>
      <c r="Y101" s="33">
        <f>ROUND(E101-O101,2)</f>
      </c>
      <c r="Z101" s="33">
        <f>ROUND(F101-P101,2)</f>
      </c>
      <c r="AA101" s="33">
        <f>ROUND(G101-Q101,2)</f>
      </c>
      <c r="AB101" s="33">
        <f>ROUND(H101-R101,2)</f>
      </c>
      <c r="AC101" s="33">
        <f>ROUND(I101-S101,2)</f>
      </c>
      <c r="AD101" s="33">
        <f>ROUND(J101-T101,2)</f>
      </c>
      <c r="AE101" s="33">
        <f>ROUND(K101-U101,2)</f>
      </c>
      <c r="AF101" s="33">
        <f>IF(V101&lt;=0,0,MAX(0,MIN(V101,ROUND($AZ101-SUMPRODUCT($V101:$AE101*($V101:$AE101&gt;0)*(($V101:$AE101&lt;V101)+($V101:$AE101=V101)*($V$3:$AE$3&gt;V$3)+($V101:$AE101=V101)*($V$3:$AE$3=V$3)*($V$2:$AE$2&lt;V$2))),2))))</f>
      </c>
      <c r="AG101" s="33">
        <f>IF(W101&lt;=0,0,MAX(0,MIN(W101,ROUND($AZ101-SUMPRODUCT($V101:$AE101*($V101:$AE101&gt;0)*(($V101:$AE101&lt;W101)+($V101:$AE101=W101)*($V$3:$AE$3&gt;W$3)+($V101:$AE101=W101)*($V$3:$AE$3=W$3)*($V$2:$AE$2&lt;W$2))),2))))</f>
      </c>
      <c r="AH101" s="33">
        <f>IF(X101&lt;=0,0,MAX(0,MIN(X101,ROUND($AZ101-SUMPRODUCT($V101:$AE101*($V101:$AE101&gt;0)*(($V101:$AE101&lt;X101)+($V101:$AE101=X101)*($V$3:$AE$3&gt;X$3)+($V101:$AE101=X101)*($V$3:$AE$3=X$3)*($V$2:$AE$2&lt;X$2))),2))))</f>
      </c>
      <c r="AI101" s="33">
        <f>IF(Y101&lt;=0,0,MAX(0,MIN(Y101,ROUND($AZ101-SUMPRODUCT($V101:$AE101*($V101:$AE101&gt;0)*(($V101:$AE101&lt;Y101)+($V101:$AE101=Y101)*($V$3:$AE$3&gt;Y$3)+($V101:$AE101=Y101)*($V$3:$AE$3=Y$3)*($V$2:$AE$2&lt;Y$2))),2))))</f>
      </c>
      <c r="AJ101" s="33">
        <f>IF(Z101&lt;=0,0,MAX(0,MIN(Z101,ROUND($AZ101-SUMPRODUCT($V101:$AE101*($V101:$AE101&gt;0)*(($V101:$AE101&lt;Z101)+($V101:$AE101=Z101)*($V$3:$AE$3&gt;Z$3)+($V101:$AE101=Z101)*($V$3:$AE$3=Z$3)*($V$2:$AE$2&lt;Z$2))),2))))</f>
      </c>
      <c r="AK101" s="33">
        <f>IF(AA101&lt;=0,0,MAX(0,MIN(AA101,ROUND($AZ101-SUMPRODUCT($V101:$AE101*($V101:$AE101&gt;0)*(($V101:$AE101&lt;AA101)+($V101:$AE101=AA101)*($V$3:$AE$3&gt;AA$3)+($V101:$AE101=AA101)*($V$3:$AE$3=AA$3)*($V$2:$AE$2&lt;AA$2))),2))))</f>
      </c>
      <c r="AL101" s="33">
        <f>IF(AB101&lt;=0,0,MAX(0,MIN(AB101,ROUND($AZ101-SUMPRODUCT($V101:$AE101*($V101:$AE101&gt;0)*(($V101:$AE101&lt;AB101)+($V101:$AE101=AB101)*($V$3:$AE$3&gt;AB$3)+($V101:$AE101=AB101)*($V$3:$AE$3=AB$3)*($V$2:$AE$2&lt;AB$2))),2))))</f>
      </c>
      <c r="AM101" s="33">
        <f>IF(AC101&lt;=0,0,MAX(0,MIN(AC101,ROUND($AZ101-SUMPRODUCT($V101:$AE101*($V101:$AE101&gt;0)*(($V101:$AE101&lt;AC101)+($V101:$AE101=AC101)*($V$3:$AE$3&gt;AC$3)+($V101:$AE101=AC101)*($V$3:$AE$3=AC$3)*($V$2:$AE$2&lt;AC$2))),2))))</f>
      </c>
      <c r="AN101" s="33">
        <f>IF(AD101&lt;=0,0,MAX(0,MIN(AD101,ROUND($AZ101-SUMPRODUCT($V101:$AE101*($V101:$AE101&gt;0)*(($V101:$AE101&lt;AD101)+($V101:$AE101=AD101)*($V$3:$AE$3&gt;AD$3)+($V101:$AE101=AD101)*($V$3:$AE$3=AD$3)*($V$2:$AE$2&lt;AD$2))),2))))</f>
      </c>
      <c r="AO101" s="33">
        <f>IF(AE101&lt;=0,0,MAX(0,MIN(AE101,ROUND($AZ101-SUMPRODUCT($V101:$AE101*($V101:$AE101&gt;0)*(($V101:$AE101&lt;AE101)+($V101:$AE101=AE101)*($V$3:$AE$3&gt;AE$3)+($V101:$AE101=AE101)*($V$3:$AE$3=AE$3)*($V$2:$AE$2&lt;AE$2))),2))))</f>
      </c>
      <c r="AP101" s="33">
        <f>ROUND(V101-AF101,2)</f>
      </c>
      <c r="AQ101" s="33">
        <f>ROUND(W101-AG101,2)</f>
      </c>
      <c r="AR101" s="33">
        <f>ROUND(X101-AH101,2)</f>
      </c>
      <c r="AS101" s="33">
        <f>ROUND(Y101-AI101,2)</f>
      </c>
      <c r="AT101" s="33">
        <f>ROUND(Z101-AJ101,2)</f>
      </c>
      <c r="AU101" s="33">
        <f>ROUND(AA101-AK101,2)</f>
      </c>
      <c r="AV101" s="33">
        <f>ROUND(AB101-AL101,2)</f>
      </c>
      <c r="AW101" s="33">
        <f>ROUND(AC101-AM101,2)</f>
      </c>
      <c r="AX101" s="33">
        <f>ROUND(AD101-AN101,2)</f>
      </c>
      <c r="AY101" s="33">
        <f>ROUND(AE101-AO101,2)</f>
      </c>
      <c r="AZ101" s="33">
        <f>ROUND(MAX(0,'Your debts'!$D$22-SUM($L101:$U101)),2)</f>
      </c>
      <c r="BA101" s="33">
        <f>ROUND(SUM($B101:$K101)-SUM($AP100:$AY100),2)</f>
      </c>
      <c r="BB101" s="33">
        <f>SUM($AP101:$AY101)</f>
      </c>
      <c r="BC101" s="33">
        <f>ROUND(SUM($L101:$U101)+SUM($AF101:$AO101),2)</f>
      </c>
    </row>
    <row r="102" spans="1:55" x14ac:dyDescent="0.25">
      <c r="A102">
        <v>95</v>
      </c>
      <c r="B102" s="33">
        <f>IF(AP101&lt;=0,0,ROUND(AP101+ROUND(AP101*V$3/12,2),2))</f>
      </c>
      <c r="C102" s="33">
        <f>IF(AQ101&lt;=0,0,ROUND(AQ101+ROUND(AQ101*W$3/12,2),2))</f>
      </c>
      <c r="D102" s="33">
        <f>IF(AR101&lt;=0,0,ROUND(AR101+ROUND(AR101*X$3/12,2),2))</f>
      </c>
      <c r="E102" s="33">
        <f>IF(AS101&lt;=0,0,ROUND(AS101+ROUND(AS101*Y$3/12,2),2))</f>
      </c>
      <c r="F102" s="33">
        <f>IF(AT101&lt;=0,0,ROUND(AT101+ROUND(AT101*Z$3/12,2),2))</f>
      </c>
      <c r="G102" s="33">
        <f>IF(AU101&lt;=0,0,ROUND(AU101+ROUND(AU101*AA$3/12,2),2))</f>
      </c>
      <c r="H102" s="33">
        <f>IF(AV101&lt;=0,0,ROUND(AV101+ROUND(AV101*AB$3/12,2),2))</f>
      </c>
      <c r="I102" s="33">
        <f>IF(AW101&lt;=0,0,ROUND(AW101+ROUND(AW101*AC$3/12,2),2))</f>
      </c>
      <c r="J102" s="33">
        <f>IF(AX101&lt;=0,0,ROUND(AX101+ROUND(AX101*AD$3/12,2),2))</f>
      </c>
      <c r="K102" s="33">
        <f>IF(AY101&lt;=0,0,ROUND(AY101+ROUND(AY101*AE$3/12,2),2))</f>
      </c>
      <c r="L102" s="33">
        <f>ROUND(MIN(MAX(0,N('Your debts'!$E$6)),B102),2)</f>
      </c>
      <c r="M102" s="33">
        <f>ROUND(MIN(MAX(0,N('Your debts'!$E$7)),C102),2)</f>
      </c>
      <c r="N102" s="33">
        <f>ROUND(MIN(MAX(0,N('Your debts'!$E$8)),D102),2)</f>
      </c>
      <c r="O102" s="33">
        <f>ROUND(MIN(MAX(0,N('Your debts'!$E$9)),E102),2)</f>
      </c>
      <c r="P102" s="33">
        <f>ROUND(MIN(MAX(0,N('Your debts'!$E$10)),F102),2)</f>
      </c>
      <c r="Q102" s="33">
        <f>ROUND(MIN(MAX(0,N('Your debts'!$E$11)),G102),2)</f>
      </c>
      <c r="R102" s="33">
        <f>ROUND(MIN(MAX(0,N('Your debts'!$E$12)),H102),2)</f>
      </c>
      <c r="S102" s="33">
        <f>ROUND(MIN(MAX(0,N('Your debts'!$E$13)),I102),2)</f>
      </c>
      <c r="T102" s="33">
        <f>ROUND(MIN(MAX(0,N('Your debts'!$E$14)),J102),2)</f>
      </c>
      <c r="U102" s="33">
        <f>ROUND(MIN(MAX(0,N('Your debts'!$E$15)),K102),2)</f>
      </c>
      <c r="V102" s="33">
        <f>ROUND(B102-L102,2)</f>
      </c>
      <c r="W102" s="33">
        <f>ROUND(C102-M102,2)</f>
      </c>
      <c r="X102" s="33">
        <f>ROUND(D102-N102,2)</f>
      </c>
      <c r="Y102" s="33">
        <f>ROUND(E102-O102,2)</f>
      </c>
      <c r="Z102" s="33">
        <f>ROUND(F102-P102,2)</f>
      </c>
      <c r="AA102" s="33">
        <f>ROUND(G102-Q102,2)</f>
      </c>
      <c r="AB102" s="33">
        <f>ROUND(H102-R102,2)</f>
      </c>
      <c r="AC102" s="33">
        <f>ROUND(I102-S102,2)</f>
      </c>
      <c r="AD102" s="33">
        <f>ROUND(J102-T102,2)</f>
      </c>
      <c r="AE102" s="33">
        <f>ROUND(K102-U102,2)</f>
      </c>
      <c r="AF102" s="33">
        <f>IF(V102&lt;=0,0,MAX(0,MIN(V102,ROUND($AZ102-SUMPRODUCT($V102:$AE102*($V102:$AE102&gt;0)*(($V102:$AE102&lt;V102)+($V102:$AE102=V102)*($V$3:$AE$3&gt;V$3)+($V102:$AE102=V102)*($V$3:$AE$3=V$3)*($V$2:$AE$2&lt;V$2))),2))))</f>
      </c>
      <c r="AG102" s="33">
        <f>IF(W102&lt;=0,0,MAX(0,MIN(W102,ROUND($AZ102-SUMPRODUCT($V102:$AE102*($V102:$AE102&gt;0)*(($V102:$AE102&lt;W102)+($V102:$AE102=W102)*($V$3:$AE$3&gt;W$3)+($V102:$AE102=W102)*($V$3:$AE$3=W$3)*($V$2:$AE$2&lt;W$2))),2))))</f>
      </c>
      <c r="AH102" s="33">
        <f>IF(X102&lt;=0,0,MAX(0,MIN(X102,ROUND($AZ102-SUMPRODUCT($V102:$AE102*($V102:$AE102&gt;0)*(($V102:$AE102&lt;X102)+($V102:$AE102=X102)*($V$3:$AE$3&gt;X$3)+($V102:$AE102=X102)*($V$3:$AE$3=X$3)*($V$2:$AE$2&lt;X$2))),2))))</f>
      </c>
      <c r="AI102" s="33">
        <f>IF(Y102&lt;=0,0,MAX(0,MIN(Y102,ROUND($AZ102-SUMPRODUCT($V102:$AE102*($V102:$AE102&gt;0)*(($V102:$AE102&lt;Y102)+($V102:$AE102=Y102)*($V$3:$AE$3&gt;Y$3)+($V102:$AE102=Y102)*($V$3:$AE$3=Y$3)*($V$2:$AE$2&lt;Y$2))),2))))</f>
      </c>
      <c r="AJ102" s="33">
        <f>IF(Z102&lt;=0,0,MAX(0,MIN(Z102,ROUND($AZ102-SUMPRODUCT($V102:$AE102*($V102:$AE102&gt;0)*(($V102:$AE102&lt;Z102)+($V102:$AE102=Z102)*($V$3:$AE$3&gt;Z$3)+($V102:$AE102=Z102)*($V$3:$AE$3=Z$3)*($V$2:$AE$2&lt;Z$2))),2))))</f>
      </c>
      <c r="AK102" s="33">
        <f>IF(AA102&lt;=0,0,MAX(0,MIN(AA102,ROUND($AZ102-SUMPRODUCT($V102:$AE102*($V102:$AE102&gt;0)*(($V102:$AE102&lt;AA102)+($V102:$AE102=AA102)*($V$3:$AE$3&gt;AA$3)+($V102:$AE102=AA102)*($V$3:$AE$3=AA$3)*($V$2:$AE$2&lt;AA$2))),2))))</f>
      </c>
      <c r="AL102" s="33">
        <f>IF(AB102&lt;=0,0,MAX(0,MIN(AB102,ROUND($AZ102-SUMPRODUCT($V102:$AE102*($V102:$AE102&gt;0)*(($V102:$AE102&lt;AB102)+($V102:$AE102=AB102)*($V$3:$AE$3&gt;AB$3)+($V102:$AE102=AB102)*($V$3:$AE$3=AB$3)*($V$2:$AE$2&lt;AB$2))),2))))</f>
      </c>
      <c r="AM102" s="33">
        <f>IF(AC102&lt;=0,0,MAX(0,MIN(AC102,ROUND($AZ102-SUMPRODUCT($V102:$AE102*($V102:$AE102&gt;0)*(($V102:$AE102&lt;AC102)+($V102:$AE102=AC102)*($V$3:$AE$3&gt;AC$3)+($V102:$AE102=AC102)*($V$3:$AE$3=AC$3)*($V$2:$AE$2&lt;AC$2))),2))))</f>
      </c>
      <c r="AN102" s="33">
        <f>IF(AD102&lt;=0,0,MAX(0,MIN(AD102,ROUND($AZ102-SUMPRODUCT($V102:$AE102*($V102:$AE102&gt;0)*(($V102:$AE102&lt;AD102)+($V102:$AE102=AD102)*($V$3:$AE$3&gt;AD$3)+($V102:$AE102=AD102)*($V$3:$AE$3=AD$3)*($V$2:$AE$2&lt;AD$2))),2))))</f>
      </c>
      <c r="AO102" s="33">
        <f>IF(AE102&lt;=0,0,MAX(0,MIN(AE102,ROUND($AZ102-SUMPRODUCT($V102:$AE102*($V102:$AE102&gt;0)*(($V102:$AE102&lt;AE102)+($V102:$AE102=AE102)*($V$3:$AE$3&gt;AE$3)+($V102:$AE102=AE102)*($V$3:$AE$3=AE$3)*($V$2:$AE$2&lt;AE$2))),2))))</f>
      </c>
      <c r="AP102" s="33">
        <f>ROUND(V102-AF102,2)</f>
      </c>
      <c r="AQ102" s="33">
        <f>ROUND(W102-AG102,2)</f>
      </c>
      <c r="AR102" s="33">
        <f>ROUND(X102-AH102,2)</f>
      </c>
      <c r="AS102" s="33">
        <f>ROUND(Y102-AI102,2)</f>
      </c>
      <c r="AT102" s="33">
        <f>ROUND(Z102-AJ102,2)</f>
      </c>
      <c r="AU102" s="33">
        <f>ROUND(AA102-AK102,2)</f>
      </c>
      <c r="AV102" s="33">
        <f>ROUND(AB102-AL102,2)</f>
      </c>
      <c r="AW102" s="33">
        <f>ROUND(AC102-AM102,2)</f>
      </c>
      <c r="AX102" s="33">
        <f>ROUND(AD102-AN102,2)</f>
      </c>
      <c r="AY102" s="33">
        <f>ROUND(AE102-AO102,2)</f>
      </c>
      <c r="AZ102" s="33">
        <f>ROUND(MAX(0,'Your debts'!$D$22-SUM($L102:$U102)),2)</f>
      </c>
      <c r="BA102" s="33">
        <f>ROUND(SUM($B102:$K102)-SUM($AP101:$AY101),2)</f>
      </c>
      <c r="BB102" s="33">
        <f>SUM($AP102:$AY102)</f>
      </c>
      <c r="BC102" s="33">
        <f>ROUND(SUM($L102:$U102)+SUM($AF102:$AO102),2)</f>
      </c>
    </row>
    <row r="103" spans="1:55" x14ac:dyDescent="0.25">
      <c r="A103">
        <v>96</v>
      </c>
      <c r="B103" s="33">
        <f>IF(AP102&lt;=0,0,ROUND(AP102+ROUND(AP102*V$3/12,2),2))</f>
      </c>
      <c r="C103" s="33">
        <f>IF(AQ102&lt;=0,0,ROUND(AQ102+ROUND(AQ102*W$3/12,2),2))</f>
      </c>
      <c r="D103" s="33">
        <f>IF(AR102&lt;=0,0,ROUND(AR102+ROUND(AR102*X$3/12,2),2))</f>
      </c>
      <c r="E103" s="33">
        <f>IF(AS102&lt;=0,0,ROUND(AS102+ROUND(AS102*Y$3/12,2),2))</f>
      </c>
      <c r="F103" s="33">
        <f>IF(AT102&lt;=0,0,ROUND(AT102+ROUND(AT102*Z$3/12,2),2))</f>
      </c>
      <c r="G103" s="33">
        <f>IF(AU102&lt;=0,0,ROUND(AU102+ROUND(AU102*AA$3/12,2),2))</f>
      </c>
      <c r="H103" s="33">
        <f>IF(AV102&lt;=0,0,ROUND(AV102+ROUND(AV102*AB$3/12,2),2))</f>
      </c>
      <c r="I103" s="33">
        <f>IF(AW102&lt;=0,0,ROUND(AW102+ROUND(AW102*AC$3/12,2),2))</f>
      </c>
      <c r="J103" s="33">
        <f>IF(AX102&lt;=0,0,ROUND(AX102+ROUND(AX102*AD$3/12,2),2))</f>
      </c>
      <c r="K103" s="33">
        <f>IF(AY102&lt;=0,0,ROUND(AY102+ROUND(AY102*AE$3/12,2),2))</f>
      </c>
      <c r="L103" s="33">
        <f>ROUND(MIN(MAX(0,N('Your debts'!$E$6)),B103),2)</f>
      </c>
      <c r="M103" s="33">
        <f>ROUND(MIN(MAX(0,N('Your debts'!$E$7)),C103),2)</f>
      </c>
      <c r="N103" s="33">
        <f>ROUND(MIN(MAX(0,N('Your debts'!$E$8)),D103),2)</f>
      </c>
      <c r="O103" s="33">
        <f>ROUND(MIN(MAX(0,N('Your debts'!$E$9)),E103),2)</f>
      </c>
      <c r="P103" s="33">
        <f>ROUND(MIN(MAX(0,N('Your debts'!$E$10)),F103),2)</f>
      </c>
      <c r="Q103" s="33">
        <f>ROUND(MIN(MAX(0,N('Your debts'!$E$11)),G103),2)</f>
      </c>
      <c r="R103" s="33">
        <f>ROUND(MIN(MAX(0,N('Your debts'!$E$12)),H103),2)</f>
      </c>
      <c r="S103" s="33">
        <f>ROUND(MIN(MAX(0,N('Your debts'!$E$13)),I103),2)</f>
      </c>
      <c r="T103" s="33">
        <f>ROUND(MIN(MAX(0,N('Your debts'!$E$14)),J103),2)</f>
      </c>
      <c r="U103" s="33">
        <f>ROUND(MIN(MAX(0,N('Your debts'!$E$15)),K103),2)</f>
      </c>
      <c r="V103" s="33">
        <f>ROUND(B103-L103,2)</f>
      </c>
      <c r="W103" s="33">
        <f>ROUND(C103-M103,2)</f>
      </c>
      <c r="X103" s="33">
        <f>ROUND(D103-N103,2)</f>
      </c>
      <c r="Y103" s="33">
        <f>ROUND(E103-O103,2)</f>
      </c>
      <c r="Z103" s="33">
        <f>ROUND(F103-P103,2)</f>
      </c>
      <c r="AA103" s="33">
        <f>ROUND(G103-Q103,2)</f>
      </c>
      <c r="AB103" s="33">
        <f>ROUND(H103-R103,2)</f>
      </c>
      <c r="AC103" s="33">
        <f>ROUND(I103-S103,2)</f>
      </c>
      <c r="AD103" s="33">
        <f>ROUND(J103-T103,2)</f>
      </c>
      <c r="AE103" s="33">
        <f>ROUND(K103-U103,2)</f>
      </c>
      <c r="AF103" s="33">
        <f>IF(V103&lt;=0,0,MAX(0,MIN(V103,ROUND($AZ103-SUMPRODUCT($V103:$AE103*($V103:$AE103&gt;0)*(($V103:$AE103&lt;V103)+($V103:$AE103=V103)*($V$3:$AE$3&gt;V$3)+($V103:$AE103=V103)*($V$3:$AE$3=V$3)*($V$2:$AE$2&lt;V$2))),2))))</f>
      </c>
      <c r="AG103" s="33">
        <f>IF(W103&lt;=0,0,MAX(0,MIN(W103,ROUND($AZ103-SUMPRODUCT($V103:$AE103*($V103:$AE103&gt;0)*(($V103:$AE103&lt;W103)+($V103:$AE103=W103)*($V$3:$AE$3&gt;W$3)+($V103:$AE103=W103)*($V$3:$AE$3=W$3)*($V$2:$AE$2&lt;W$2))),2))))</f>
      </c>
      <c r="AH103" s="33">
        <f>IF(X103&lt;=0,0,MAX(0,MIN(X103,ROUND($AZ103-SUMPRODUCT($V103:$AE103*($V103:$AE103&gt;0)*(($V103:$AE103&lt;X103)+($V103:$AE103=X103)*($V$3:$AE$3&gt;X$3)+($V103:$AE103=X103)*($V$3:$AE$3=X$3)*($V$2:$AE$2&lt;X$2))),2))))</f>
      </c>
      <c r="AI103" s="33">
        <f>IF(Y103&lt;=0,0,MAX(0,MIN(Y103,ROUND($AZ103-SUMPRODUCT($V103:$AE103*($V103:$AE103&gt;0)*(($V103:$AE103&lt;Y103)+($V103:$AE103=Y103)*($V$3:$AE$3&gt;Y$3)+($V103:$AE103=Y103)*($V$3:$AE$3=Y$3)*($V$2:$AE$2&lt;Y$2))),2))))</f>
      </c>
      <c r="AJ103" s="33">
        <f>IF(Z103&lt;=0,0,MAX(0,MIN(Z103,ROUND($AZ103-SUMPRODUCT($V103:$AE103*($V103:$AE103&gt;0)*(($V103:$AE103&lt;Z103)+($V103:$AE103=Z103)*($V$3:$AE$3&gt;Z$3)+($V103:$AE103=Z103)*($V$3:$AE$3=Z$3)*($V$2:$AE$2&lt;Z$2))),2))))</f>
      </c>
      <c r="AK103" s="33">
        <f>IF(AA103&lt;=0,0,MAX(0,MIN(AA103,ROUND($AZ103-SUMPRODUCT($V103:$AE103*($V103:$AE103&gt;0)*(($V103:$AE103&lt;AA103)+($V103:$AE103=AA103)*($V$3:$AE$3&gt;AA$3)+($V103:$AE103=AA103)*($V$3:$AE$3=AA$3)*($V$2:$AE$2&lt;AA$2))),2))))</f>
      </c>
      <c r="AL103" s="33">
        <f>IF(AB103&lt;=0,0,MAX(0,MIN(AB103,ROUND($AZ103-SUMPRODUCT($V103:$AE103*($V103:$AE103&gt;0)*(($V103:$AE103&lt;AB103)+($V103:$AE103=AB103)*($V$3:$AE$3&gt;AB$3)+($V103:$AE103=AB103)*($V$3:$AE$3=AB$3)*($V$2:$AE$2&lt;AB$2))),2))))</f>
      </c>
      <c r="AM103" s="33">
        <f>IF(AC103&lt;=0,0,MAX(0,MIN(AC103,ROUND($AZ103-SUMPRODUCT($V103:$AE103*($V103:$AE103&gt;0)*(($V103:$AE103&lt;AC103)+($V103:$AE103=AC103)*($V$3:$AE$3&gt;AC$3)+($V103:$AE103=AC103)*($V$3:$AE$3=AC$3)*($V$2:$AE$2&lt;AC$2))),2))))</f>
      </c>
      <c r="AN103" s="33">
        <f>IF(AD103&lt;=0,0,MAX(0,MIN(AD103,ROUND($AZ103-SUMPRODUCT($V103:$AE103*($V103:$AE103&gt;0)*(($V103:$AE103&lt;AD103)+($V103:$AE103=AD103)*($V$3:$AE$3&gt;AD$3)+($V103:$AE103=AD103)*($V$3:$AE$3=AD$3)*($V$2:$AE$2&lt;AD$2))),2))))</f>
      </c>
      <c r="AO103" s="33">
        <f>IF(AE103&lt;=0,0,MAX(0,MIN(AE103,ROUND($AZ103-SUMPRODUCT($V103:$AE103*($V103:$AE103&gt;0)*(($V103:$AE103&lt;AE103)+($V103:$AE103=AE103)*($V$3:$AE$3&gt;AE$3)+($V103:$AE103=AE103)*($V$3:$AE$3=AE$3)*($V$2:$AE$2&lt;AE$2))),2))))</f>
      </c>
      <c r="AP103" s="33">
        <f>ROUND(V103-AF103,2)</f>
      </c>
      <c r="AQ103" s="33">
        <f>ROUND(W103-AG103,2)</f>
      </c>
      <c r="AR103" s="33">
        <f>ROUND(X103-AH103,2)</f>
      </c>
      <c r="AS103" s="33">
        <f>ROUND(Y103-AI103,2)</f>
      </c>
      <c r="AT103" s="33">
        <f>ROUND(Z103-AJ103,2)</f>
      </c>
      <c r="AU103" s="33">
        <f>ROUND(AA103-AK103,2)</f>
      </c>
      <c r="AV103" s="33">
        <f>ROUND(AB103-AL103,2)</f>
      </c>
      <c r="AW103" s="33">
        <f>ROUND(AC103-AM103,2)</f>
      </c>
      <c r="AX103" s="33">
        <f>ROUND(AD103-AN103,2)</f>
      </c>
      <c r="AY103" s="33">
        <f>ROUND(AE103-AO103,2)</f>
      </c>
      <c r="AZ103" s="33">
        <f>ROUND(MAX(0,'Your debts'!$D$22-SUM($L103:$U103)),2)</f>
      </c>
      <c r="BA103" s="33">
        <f>ROUND(SUM($B103:$K103)-SUM($AP102:$AY102),2)</f>
      </c>
      <c r="BB103" s="33">
        <f>SUM($AP103:$AY103)</f>
      </c>
      <c r="BC103" s="33">
        <f>ROUND(SUM($L103:$U103)+SUM($AF103:$AO103),2)</f>
      </c>
    </row>
    <row r="104" spans="1:55" x14ac:dyDescent="0.25">
      <c r="A104">
        <v>97</v>
      </c>
      <c r="B104" s="33">
        <f>IF(AP103&lt;=0,0,ROUND(AP103+ROUND(AP103*V$3/12,2),2))</f>
      </c>
      <c r="C104" s="33">
        <f>IF(AQ103&lt;=0,0,ROUND(AQ103+ROUND(AQ103*W$3/12,2),2))</f>
      </c>
      <c r="D104" s="33">
        <f>IF(AR103&lt;=0,0,ROUND(AR103+ROUND(AR103*X$3/12,2),2))</f>
      </c>
      <c r="E104" s="33">
        <f>IF(AS103&lt;=0,0,ROUND(AS103+ROUND(AS103*Y$3/12,2),2))</f>
      </c>
      <c r="F104" s="33">
        <f>IF(AT103&lt;=0,0,ROUND(AT103+ROUND(AT103*Z$3/12,2),2))</f>
      </c>
      <c r="G104" s="33">
        <f>IF(AU103&lt;=0,0,ROUND(AU103+ROUND(AU103*AA$3/12,2),2))</f>
      </c>
      <c r="H104" s="33">
        <f>IF(AV103&lt;=0,0,ROUND(AV103+ROUND(AV103*AB$3/12,2),2))</f>
      </c>
      <c r="I104" s="33">
        <f>IF(AW103&lt;=0,0,ROUND(AW103+ROUND(AW103*AC$3/12,2),2))</f>
      </c>
      <c r="J104" s="33">
        <f>IF(AX103&lt;=0,0,ROUND(AX103+ROUND(AX103*AD$3/12,2),2))</f>
      </c>
      <c r="K104" s="33">
        <f>IF(AY103&lt;=0,0,ROUND(AY103+ROUND(AY103*AE$3/12,2),2))</f>
      </c>
      <c r="L104" s="33">
        <f>ROUND(MIN(MAX(0,N('Your debts'!$E$6)),B104),2)</f>
      </c>
      <c r="M104" s="33">
        <f>ROUND(MIN(MAX(0,N('Your debts'!$E$7)),C104),2)</f>
      </c>
      <c r="N104" s="33">
        <f>ROUND(MIN(MAX(0,N('Your debts'!$E$8)),D104),2)</f>
      </c>
      <c r="O104" s="33">
        <f>ROUND(MIN(MAX(0,N('Your debts'!$E$9)),E104),2)</f>
      </c>
      <c r="P104" s="33">
        <f>ROUND(MIN(MAX(0,N('Your debts'!$E$10)),F104),2)</f>
      </c>
      <c r="Q104" s="33">
        <f>ROUND(MIN(MAX(0,N('Your debts'!$E$11)),G104),2)</f>
      </c>
      <c r="R104" s="33">
        <f>ROUND(MIN(MAX(0,N('Your debts'!$E$12)),H104),2)</f>
      </c>
      <c r="S104" s="33">
        <f>ROUND(MIN(MAX(0,N('Your debts'!$E$13)),I104),2)</f>
      </c>
      <c r="T104" s="33">
        <f>ROUND(MIN(MAX(0,N('Your debts'!$E$14)),J104),2)</f>
      </c>
      <c r="U104" s="33">
        <f>ROUND(MIN(MAX(0,N('Your debts'!$E$15)),K104),2)</f>
      </c>
      <c r="V104" s="33">
        <f>ROUND(B104-L104,2)</f>
      </c>
      <c r="W104" s="33">
        <f>ROUND(C104-M104,2)</f>
      </c>
      <c r="X104" s="33">
        <f>ROUND(D104-N104,2)</f>
      </c>
      <c r="Y104" s="33">
        <f>ROUND(E104-O104,2)</f>
      </c>
      <c r="Z104" s="33">
        <f>ROUND(F104-P104,2)</f>
      </c>
      <c r="AA104" s="33">
        <f>ROUND(G104-Q104,2)</f>
      </c>
      <c r="AB104" s="33">
        <f>ROUND(H104-R104,2)</f>
      </c>
      <c r="AC104" s="33">
        <f>ROUND(I104-S104,2)</f>
      </c>
      <c r="AD104" s="33">
        <f>ROUND(J104-T104,2)</f>
      </c>
      <c r="AE104" s="33">
        <f>ROUND(K104-U104,2)</f>
      </c>
      <c r="AF104" s="33">
        <f>IF(V104&lt;=0,0,MAX(0,MIN(V104,ROUND($AZ104-SUMPRODUCT($V104:$AE104*($V104:$AE104&gt;0)*(($V104:$AE104&lt;V104)+($V104:$AE104=V104)*($V$3:$AE$3&gt;V$3)+($V104:$AE104=V104)*($V$3:$AE$3=V$3)*($V$2:$AE$2&lt;V$2))),2))))</f>
      </c>
      <c r="AG104" s="33">
        <f>IF(W104&lt;=0,0,MAX(0,MIN(W104,ROUND($AZ104-SUMPRODUCT($V104:$AE104*($V104:$AE104&gt;0)*(($V104:$AE104&lt;W104)+($V104:$AE104=W104)*($V$3:$AE$3&gt;W$3)+($V104:$AE104=W104)*($V$3:$AE$3=W$3)*($V$2:$AE$2&lt;W$2))),2))))</f>
      </c>
      <c r="AH104" s="33">
        <f>IF(X104&lt;=0,0,MAX(0,MIN(X104,ROUND($AZ104-SUMPRODUCT($V104:$AE104*($V104:$AE104&gt;0)*(($V104:$AE104&lt;X104)+($V104:$AE104=X104)*($V$3:$AE$3&gt;X$3)+($V104:$AE104=X104)*($V$3:$AE$3=X$3)*($V$2:$AE$2&lt;X$2))),2))))</f>
      </c>
      <c r="AI104" s="33">
        <f>IF(Y104&lt;=0,0,MAX(0,MIN(Y104,ROUND($AZ104-SUMPRODUCT($V104:$AE104*($V104:$AE104&gt;0)*(($V104:$AE104&lt;Y104)+($V104:$AE104=Y104)*($V$3:$AE$3&gt;Y$3)+($V104:$AE104=Y104)*($V$3:$AE$3=Y$3)*($V$2:$AE$2&lt;Y$2))),2))))</f>
      </c>
      <c r="AJ104" s="33">
        <f>IF(Z104&lt;=0,0,MAX(0,MIN(Z104,ROUND($AZ104-SUMPRODUCT($V104:$AE104*($V104:$AE104&gt;0)*(($V104:$AE104&lt;Z104)+($V104:$AE104=Z104)*($V$3:$AE$3&gt;Z$3)+($V104:$AE104=Z104)*($V$3:$AE$3=Z$3)*($V$2:$AE$2&lt;Z$2))),2))))</f>
      </c>
      <c r="AK104" s="33">
        <f>IF(AA104&lt;=0,0,MAX(0,MIN(AA104,ROUND($AZ104-SUMPRODUCT($V104:$AE104*($V104:$AE104&gt;0)*(($V104:$AE104&lt;AA104)+($V104:$AE104=AA104)*($V$3:$AE$3&gt;AA$3)+($V104:$AE104=AA104)*($V$3:$AE$3=AA$3)*($V$2:$AE$2&lt;AA$2))),2))))</f>
      </c>
      <c r="AL104" s="33">
        <f>IF(AB104&lt;=0,0,MAX(0,MIN(AB104,ROUND($AZ104-SUMPRODUCT($V104:$AE104*($V104:$AE104&gt;0)*(($V104:$AE104&lt;AB104)+($V104:$AE104=AB104)*($V$3:$AE$3&gt;AB$3)+($V104:$AE104=AB104)*($V$3:$AE$3=AB$3)*($V$2:$AE$2&lt;AB$2))),2))))</f>
      </c>
      <c r="AM104" s="33">
        <f>IF(AC104&lt;=0,0,MAX(0,MIN(AC104,ROUND($AZ104-SUMPRODUCT($V104:$AE104*($V104:$AE104&gt;0)*(($V104:$AE104&lt;AC104)+($V104:$AE104=AC104)*($V$3:$AE$3&gt;AC$3)+($V104:$AE104=AC104)*($V$3:$AE$3=AC$3)*($V$2:$AE$2&lt;AC$2))),2))))</f>
      </c>
      <c r="AN104" s="33">
        <f>IF(AD104&lt;=0,0,MAX(0,MIN(AD104,ROUND($AZ104-SUMPRODUCT($V104:$AE104*($V104:$AE104&gt;0)*(($V104:$AE104&lt;AD104)+($V104:$AE104=AD104)*($V$3:$AE$3&gt;AD$3)+($V104:$AE104=AD104)*($V$3:$AE$3=AD$3)*($V$2:$AE$2&lt;AD$2))),2))))</f>
      </c>
      <c r="AO104" s="33">
        <f>IF(AE104&lt;=0,0,MAX(0,MIN(AE104,ROUND($AZ104-SUMPRODUCT($V104:$AE104*($V104:$AE104&gt;0)*(($V104:$AE104&lt;AE104)+($V104:$AE104=AE104)*($V$3:$AE$3&gt;AE$3)+($V104:$AE104=AE104)*($V$3:$AE$3=AE$3)*($V$2:$AE$2&lt;AE$2))),2))))</f>
      </c>
      <c r="AP104" s="33">
        <f>ROUND(V104-AF104,2)</f>
      </c>
      <c r="AQ104" s="33">
        <f>ROUND(W104-AG104,2)</f>
      </c>
      <c r="AR104" s="33">
        <f>ROUND(X104-AH104,2)</f>
      </c>
      <c r="AS104" s="33">
        <f>ROUND(Y104-AI104,2)</f>
      </c>
      <c r="AT104" s="33">
        <f>ROUND(Z104-AJ104,2)</f>
      </c>
      <c r="AU104" s="33">
        <f>ROUND(AA104-AK104,2)</f>
      </c>
      <c r="AV104" s="33">
        <f>ROUND(AB104-AL104,2)</f>
      </c>
      <c r="AW104" s="33">
        <f>ROUND(AC104-AM104,2)</f>
      </c>
      <c r="AX104" s="33">
        <f>ROUND(AD104-AN104,2)</f>
      </c>
      <c r="AY104" s="33">
        <f>ROUND(AE104-AO104,2)</f>
      </c>
      <c r="AZ104" s="33">
        <f>ROUND(MAX(0,'Your debts'!$D$22-SUM($L104:$U104)),2)</f>
      </c>
      <c r="BA104" s="33">
        <f>ROUND(SUM($B104:$K104)-SUM($AP103:$AY103),2)</f>
      </c>
      <c r="BB104" s="33">
        <f>SUM($AP104:$AY104)</f>
      </c>
      <c r="BC104" s="33">
        <f>ROUND(SUM($L104:$U104)+SUM($AF104:$AO104),2)</f>
      </c>
    </row>
    <row r="105" spans="1:55" x14ac:dyDescent="0.25">
      <c r="A105">
        <v>98</v>
      </c>
      <c r="B105" s="33">
        <f>IF(AP104&lt;=0,0,ROUND(AP104+ROUND(AP104*V$3/12,2),2))</f>
      </c>
      <c r="C105" s="33">
        <f>IF(AQ104&lt;=0,0,ROUND(AQ104+ROUND(AQ104*W$3/12,2),2))</f>
      </c>
      <c r="D105" s="33">
        <f>IF(AR104&lt;=0,0,ROUND(AR104+ROUND(AR104*X$3/12,2),2))</f>
      </c>
      <c r="E105" s="33">
        <f>IF(AS104&lt;=0,0,ROUND(AS104+ROUND(AS104*Y$3/12,2),2))</f>
      </c>
      <c r="F105" s="33">
        <f>IF(AT104&lt;=0,0,ROUND(AT104+ROUND(AT104*Z$3/12,2),2))</f>
      </c>
      <c r="G105" s="33">
        <f>IF(AU104&lt;=0,0,ROUND(AU104+ROUND(AU104*AA$3/12,2),2))</f>
      </c>
      <c r="H105" s="33">
        <f>IF(AV104&lt;=0,0,ROUND(AV104+ROUND(AV104*AB$3/12,2),2))</f>
      </c>
      <c r="I105" s="33">
        <f>IF(AW104&lt;=0,0,ROUND(AW104+ROUND(AW104*AC$3/12,2),2))</f>
      </c>
      <c r="J105" s="33">
        <f>IF(AX104&lt;=0,0,ROUND(AX104+ROUND(AX104*AD$3/12,2),2))</f>
      </c>
      <c r="K105" s="33">
        <f>IF(AY104&lt;=0,0,ROUND(AY104+ROUND(AY104*AE$3/12,2),2))</f>
      </c>
      <c r="L105" s="33">
        <f>ROUND(MIN(MAX(0,N('Your debts'!$E$6)),B105),2)</f>
      </c>
      <c r="M105" s="33">
        <f>ROUND(MIN(MAX(0,N('Your debts'!$E$7)),C105),2)</f>
      </c>
      <c r="N105" s="33">
        <f>ROUND(MIN(MAX(0,N('Your debts'!$E$8)),D105),2)</f>
      </c>
      <c r="O105" s="33">
        <f>ROUND(MIN(MAX(0,N('Your debts'!$E$9)),E105),2)</f>
      </c>
      <c r="P105" s="33">
        <f>ROUND(MIN(MAX(0,N('Your debts'!$E$10)),F105),2)</f>
      </c>
      <c r="Q105" s="33">
        <f>ROUND(MIN(MAX(0,N('Your debts'!$E$11)),G105),2)</f>
      </c>
      <c r="R105" s="33">
        <f>ROUND(MIN(MAX(0,N('Your debts'!$E$12)),H105),2)</f>
      </c>
      <c r="S105" s="33">
        <f>ROUND(MIN(MAX(0,N('Your debts'!$E$13)),I105),2)</f>
      </c>
      <c r="T105" s="33">
        <f>ROUND(MIN(MAX(0,N('Your debts'!$E$14)),J105),2)</f>
      </c>
      <c r="U105" s="33">
        <f>ROUND(MIN(MAX(0,N('Your debts'!$E$15)),K105),2)</f>
      </c>
      <c r="V105" s="33">
        <f>ROUND(B105-L105,2)</f>
      </c>
      <c r="W105" s="33">
        <f>ROUND(C105-M105,2)</f>
      </c>
      <c r="X105" s="33">
        <f>ROUND(D105-N105,2)</f>
      </c>
      <c r="Y105" s="33">
        <f>ROUND(E105-O105,2)</f>
      </c>
      <c r="Z105" s="33">
        <f>ROUND(F105-P105,2)</f>
      </c>
      <c r="AA105" s="33">
        <f>ROUND(G105-Q105,2)</f>
      </c>
      <c r="AB105" s="33">
        <f>ROUND(H105-R105,2)</f>
      </c>
      <c r="AC105" s="33">
        <f>ROUND(I105-S105,2)</f>
      </c>
      <c r="AD105" s="33">
        <f>ROUND(J105-T105,2)</f>
      </c>
      <c r="AE105" s="33">
        <f>ROUND(K105-U105,2)</f>
      </c>
      <c r="AF105" s="33">
        <f>IF(V105&lt;=0,0,MAX(0,MIN(V105,ROUND($AZ105-SUMPRODUCT($V105:$AE105*($V105:$AE105&gt;0)*(($V105:$AE105&lt;V105)+($V105:$AE105=V105)*($V$3:$AE$3&gt;V$3)+($V105:$AE105=V105)*($V$3:$AE$3=V$3)*($V$2:$AE$2&lt;V$2))),2))))</f>
      </c>
      <c r="AG105" s="33">
        <f>IF(W105&lt;=0,0,MAX(0,MIN(W105,ROUND($AZ105-SUMPRODUCT($V105:$AE105*($V105:$AE105&gt;0)*(($V105:$AE105&lt;W105)+($V105:$AE105=W105)*($V$3:$AE$3&gt;W$3)+($V105:$AE105=W105)*($V$3:$AE$3=W$3)*($V$2:$AE$2&lt;W$2))),2))))</f>
      </c>
      <c r="AH105" s="33">
        <f>IF(X105&lt;=0,0,MAX(0,MIN(X105,ROUND($AZ105-SUMPRODUCT($V105:$AE105*($V105:$AE105&gt;0)*(($V105:$AE105&lt;X105)+($V105:$AE105=X105)*($V$3:$AE$3&gt;X$3)+($V105:$AE105=X105)*($V$3:$AE$3=X$3)*($V$2:$AE$2&lt;X$2))),2))))</f>
      </c>
      <c r="AI105" s="33">
        <f>IF(Y105&lt;=0,0,MAX(0,MIN(Y105,ROUND($AZ105-SUMPRODUCT($V105:$AE105*($V105:$AE105&gt;0)*(($V105:$AE105&lt;Y105)+($V105:$AE105=Y105)*($V$3:$AE$3&gt;Y$3)+($V105:$AE105=Y105)*($V$3:$AE$3=Y$3)*($V$2:$AE$2&lt;Y$2))),2))))</f>
      </c>
      <c r="AJ105" s="33">
        <f>IF(Z105&lt;=0,0,MAX(0,MIN(Z105,ROUND($AZ105-SUMPRODUCT($V105:$AE105*($V105:$AE105&gt;0)*(($V105:$AE105&lt;Z105)+($V105:$AE105=Z105)*($V$3:$AE$3&gt;Z$3)+($V105:$AE105=Z105)*($V$3:$AE$3=Z$3)*($V$2:$AE$2&lt;Z$2))),2))))</f>
      </c>
      <c r="AK105" s="33">
        <f>IF(AA105&lt;=0,0,MAX(0,MIN(AA105,ROUND($AZ105-SUMPRODUCT($V105:$AE105*($V105:$AE105&gt;0)*(($V105:$AE105&lt;AA105)+($V105:$AE105=AA105)*($V$3:$AE$3&gt;AA$3)+($V105:$AE105=AA105)*($V$3:$AE$3=AA$3)*($V$2:$AE$2&lt;AA$2))),2))))</f>
      </c>
      <c r="AL105" s="33">
        <f>IF(AB105&lt;=0,0,MAX(0,MIN(AB105,ROUND($AZ105-SUMPRODUCT($V105:$AE105*($V105:$AE105&gt;0)*(($V105:$AE105&lt;AB105)+($V105:$AE105=AB105)*($V$3:$AE$3&gt;AB$3)+($V105:$AE105=AB105)*($V$3:$AE$3=AB$3)*($V$2:$AE$2&lt;AB$2))),2))))</f>
      </c>
      <c r="AM105" s="33">
        <f>IF(AC105&lt;=0,0,MAX(0,MIN(AC105,ROUND($AZ105-SUMPRODUCT($V105:$AE105*($V105:$AE105&gt;0)*(($V105:$AE105&lt;AC105)+($V105:$AE105=AC105)*($V$3:$AE$3&gt;AC$3)+($V105:$AE105=AC105)*($V$3:$AE$3=AC$3)*($V$2:$AE$2&lt;AC$2))),2))))</f>
      </c>
      <c r="AN105" s="33">
        <f>IF(AD105&lt;=0,0,MAX(0,MIN(AD105,ROUND($AZ105-SUMPRODUCT($V105:$AE105*($V105:$AE105&gt;0)*(($V105:$AE105&lt;AD105)+($V105:$AE105=AD105)*($V$3:$AE$3&gt;AD$3)+($V105:$AE105=AD105)*($V$3:$AE$3=AD$3)*($V$2:$AE$2&lt;AD$2))),2))))</f>
      </c>
      <c r="AO105" s="33">
        <f>IF(AE105&lt;=0,0,MAX(0,MIN(AE105,ROUND($AZ105-SUMPRODUCT($V105:$AE105*($V105:$AE105&gt;0)*(($V105:$AE105&lt;AE105)+($V105:$AE105=AE105)*($V$3:$AE$3&gt;AE$3)+($V105:$AE105=AE105)*($V$3:$AE$3=AE$3)*($V$2:$AE$2&lt;AE$2))),2))))</f>
      </c>
      <c r="AP105" s="33">
        <f>ROUND(V105-AF105,2)</f>
      </c>
      <c r="AQ105" s="33">
        <f>ROUND(W105-AG105,2)</f>
      </c>
      <c r="AR105" s="33">
        <f>ROUND(X105-AH105,2)</f>
      </c>
      <c r="AS105" s="33">
        <f>ROUND(Y105-AI105,2)</f>
      </c>
      <c r="AT105" s="33">
        <f>ROUND(Z105-AJ105,2)</f>
      </c>
      <c r="AU105" s="33">
        <f>ROUND(AA105-AK105,2)</f>
      </c>
      <c r="AV105" s="33">
        <f>ROUND(AB105-AL105,2)</f>
      </c>
      <c r="AW105" s="33">
        <f>ROUND(AC105-AM105,2)</f>
      </c>
      <c r="AX105" s="33">
        <f>ROUND(AD105-AN105,2)</f>
      </c>
      <c r="AY105" s="33">
        <f>ROUND(AE105-AO105,2)</f>
      </c>
      <c r="AZ105" s="33">
        <f>ROUND(MAX(0,'Your debts'!$D$22-SUM($L105:$U105)),2)</f>
      </c>
      <c r="BA105" s="33">
        <f>ROUND(SUM($B105:$K105)-SUM($AP104:$AY104),2)</f>
      </c>
      <c r="BB105" s="33">
        <f>SUM($AP105:$AY105)</f>
      </c>
      <c r="BC105" s="33">
        <f>ROUND(SUM($L105:$U105)+SUM($AF105:$AO105),2)</f>
      </c>
    </row>
    <row r="106" spans="1:55" x14ac:dyDescent="0.25">
      <c r="A106">
        <v>99</v>
      </c>
      <c r="B106" s="33">
        <f>IF(AP105&lt;=0,0,ROUND(AP105+ROUND(AP105*V$3/12,2),2))</f>
      </c>
      <c r="C106" s="33">
        <f>IF(AQ105&lt;=0,0,ROUND(AQ105+ROUND(AQ105*W$3/12,2),2))</f>
      </c>
      <c r="D106" s="33">
        <f>IF(AR105&lt;=0,0,ROUND(AR105+ROUND(AR105*X$3/12,2),2))</f>
      </c>
      <c r="E106" s="33">
        <f>IF(AS105&lt;=0,0,ROUND(AS105+ROUND(AS105*Y$3/12,2),2))</f>
      </c>
      <c r="F106" s="33">
        <f>IF(AT105&lt;=0,0,ROUND(AT105+ROUND(AT105*Z$3/12,2),2))</f>
      </c>
      <c r="G106" s="33">
        <f>IF(AU105&lt;=0,0,ROUND(AU105+ROUND(AU105*AA$3/12,2),2))</f>
      </c>
      <c r="H106" s="33">
        <f>IF(AV105&lt;=0,0,ROUND(AV105+ROUND(AV105*AB$3/12,2),2))</f>
      </c>
      <c r="I106" s="33">
        <f>IF(AW105&lt;=0,0,ROUND(AW105+ROUND(AW105*AC$3/12,2),2))</f>
      </c>
      <c r="J106" s="33">
        <f>IF(AX105&lt;=0,0,ROUND(AX105+ROUND(AX105*AD$3/12,2),2))</f>
      </c>
      <c r="K106" s="33">
        <f>IF(AY105&lt;=0,0,ROUND(AY105+ROUND(AY105*AE$3/12,2),2))</f>
      </c>
      <c r="L106" s="33">
        <f>ROUND(MIN(MAX(0,N('Your debts'!$E$6)),B106),2)</f>
      </c>
      <c r="M106" s="33">
        <f>ROUND(MIN(MAX(0,N('Your debts'!$E$7)),C106),2)</f>
      </c>
      <c r="N106" s="33">
        <f>ROUND(MIN(MAX(0,N('Your debts'!$E$8)),D106),2)</f>
      </c>
      <c r="O106" s="33">
        <f>ROUND(MIN(MAX(0,N('Your debts'!$E$9)),E106),2)</f>
      </c>
      <c r="P106" s="33">
        <f>ROUND(MIN(MAX(0,N('Your debts'!$E$10)),F106),2)</f>
      </c>
      <c r="Q106" s="33">
        <f>ROUND(MIN(MAX(0,N('Your debts'!$E$11)),G106),2)</f>
      </c>
      <c r="R106" s="33">
        <f>ROUND(MIN(MAX(0,N('Your debts'!$E$12)),H106),2)</f>
      </c>
      <c r="S106" s="33">
        <f>ROUND(MIN(MAX(0,N('Your debts'!$E$13)),I106),2)</f>
      </c>
      <c r="T106" s="33">
        <f>ROUND(MIN(MAX(0,N('Your debts'!$E$14)),J106),2)</f>
      </c>
      <c r="U106" s="33">
        <f>ROUND(MIN(MAX(0,N('Your debts'!$E$15)),K106),2)</f>
      </c>
      <c r="V106" s="33">
        <f>ROUND(B106-L106,2)</f>
      </c>
      <c r="W106" s="33">
        <f>ROUND(C106-M106,2)</f>
      </c>
      <c r="X106" s="33">
        <f>ROUND(D106-N106,2)</f>
      </c>
      <c r="Y106" s="33">
        <f>ROUND(E106-O106,2)</f>
      </c>
      <c r="Z106" s="33">
        <f>ROUND(F106-P106,2)</f>
      </c>
      <c r="AA106" s="33">
        <f>ROUND(G106-Q106,2)</f>
      </c>
      <c r="AB106" s="33">
        <f>ROUND(H106-R106,2)</f>
      </c>
      <c r="AC106" s="33">
        <f>ROUND(I106-S106,2)</f>
      </c>
      <c r="AD106" s="33">
        <f>ROUND(J106-T106,2)</f>
      </c>
      <c r="AE106" s="33">
        <f>ROUND(K106-U106,2)</f>
      </c>
      <c r="AF106" s="33">
        <f>IF(V106&lt;=0,0,MAX(0,MIN(V106,ROUND($AZ106-SUMPRODUCT($V106:$AE106*($V106:$AE106&gt;0)*(($V106:$AE106&lt;V106)+($V106:$AE106=V106)*($V$3:$AE$3&gt;V$3)+($V106:$AE106=V106)*($V$3:$AE$3=V$3)*($V$2:$AE$2&lt;V$2))),2))))</f>
      </c>
      <c r="AG106" s="33">
        <f>IF(W106&lt;=0,0,MAX(0,MIN(W106,ROUND($AZ106-SUMPRODUCT($V106:$AE106*($V106:$AE106&gt;0)*(($V106:$AE106&lt;W106)+($V106:$AE106=W106)*($V$3:$AE$3&gt;W$3)+($V106:$AE106=W106)*($V$3:$AE$3=W$3)*($V$2:$AE$2&lt;W$2))),2))))</f>
      </c>
      <c r="AH106" s="33">
        <f>IF(X106&lt;=0,0,MAX(0,MIN(X106,ROUND($AZ106-SUMPRODUCT($V106:$AE106*($V106:$AE106&gt;0)*(($V106:$AE106&lt;X106)+($V106:$AE106=X106)*($V$3:$AE$3&gt;X$3)+($V106:$AE106=X106)*($V$3:$AE$3=X$3)*($V$2:$AE$2&lt;X$2))),2))))</f>
      </c>
      <c r="AI106" s="33">
        <f>IF(Y106&lt;=0,0,MAX(0,MIN(Y106,ROUND($AZ106-SUMPRODUCT($V106:$AE106*($V106:$AE106&gt;0)*(($V106:$AE106&lt;Y106)+($V106:$AE106=Y106)*($V$3:$AE$3&gt;Y$3)+($V106:$AE106=Y106)*($V$3:$AE$3=Y$3)*($V$2:$AE$2&lt;Y$2))),2))))</f>
      </c>
      <c r="AJ106" s="33">
        <f>IF(Z106&lt;=0,0,MAX(0,MIN(Z106,ROUND($AZ106-SUMPRODUCT($V106:$AE106*($V106:$AE106&gt;0)*(($V106:$AE106&lt;Z106)+($V106:$AE106=Z106)*($V$3:$AE$3&gt;Z$3)+($V106:$AE106=Z106)*($V$3:$AE$3=Z$3)*($V$2:$AE$2&lt;Z$2))),2))))</f>
      </c>
      <c r="AK106" s="33">
        <f>IF(AA106&lt;=0,0,MAX(0,MIN(AA106,ROUND($AZ106-SUMPRODUCT($V106:$AE106*($V106:$AE106&gt;0)*(($V106:$AE106&lt;AA106)+($V106:$AE106=AA106)*($V$3:$AE$3&gt;AA$3)+($V106:$AE106=AA106)*($V$3:$AE$3=AA$3)*($V$2:$AE$2&lt;AA$2))),2))))</f>
      </c>
      <c r="AL106" s="33">
        <f>IF(AB106&lt;=0,0,MAX(0,MIN(AB106,ROUND($AZ106-SUMPRODUCT($V106:$AE106*($V106:$AE106&gt;0)*(($V106:$AE106&lt;AB106)+($V106:$AE106=AB106)*($V$3:$AE$3&gt;AB$3)+($V106:$AE106=AB106)*($V$3:$AE$3=AB$3)*($V$2:$AE$2&lt;AB$2))),2))))</f>
      </c>
      <c r="AM106" s="33">
        <f>IF(AC106&lt;=0,0,MAX(0,MIN(AC106,ROUND($AZ106-SUMPRODUCT($V106:$AE106*($V106:$AE106&gt;0)*(($V106:$AE106&lt;AC106)+($V106:$AE106=AC106)*($V$3:$AE$3&gt;AC$3)+($V106:$AE106=AC106)*($V$3:$AE$3=AC$3)*($V$2:$AE$2&lt;AC$2))),2))))</f>
      </c>
      <c r="AN106" s="33">
        <f>IF(AD106&lt;=0,0,MAX(0,MIN(AD106,ROUND($AZ106-SUMPRODUCT($V106:$AE106*($V106:$AE106&gt;0)*(($V106:$AE106&lt;AD106)+($V106:$AE106=AD106)*($V$3:$AE$3&gt;AD$3)+($V106:$AE106=AD106)*($V$3:$AE$3=AD$3)*($V$2:$AE$2&lt;AD$2))),2))))</f>
      </c>
      <c r="AO106" s="33">
        <f>IF(AE106&lt;=0,0,MAX(0,MIN(AE106,ROUND($AZ106-SUMPRODUCT($V106:$AE106*($V106:$AE106&gt;0)*(($V106:$AE106&lt;AE106)+($V106:$AE106=AE106)*($V$3:$AE$3&gt;AE$3)+($V106:$AE106=AE106)*($V$3:$AE$3=AE$3)*($V$2:$AE$2&lt;AE$2))),2))))</f>
      </c>
      <c r="AP106" s="33">
        <f>ROUND(V106-AF106,2)</f>
      </c>
      <c r="AQ106" s="33">
        <f>ROUND(W106-AG106,2)</f>
      </c>
      <c r="AR106" s="33">
        <f>ROUND(X106-AH106,2)</f>
      </c>
      <c r="AS106" s="33">
        <f>ROUND(Y106-AI106,2)</f>
      </c>
      <c r="AT106" s="33">
        <f>ROUND(Z106-AJ106,2)</f>
      </c>
      <c r="AU106" s="33">
        <f>ROUND(AA106-AK106,2)</f>
      </c>
      <c r="AV106" s="33">
        <f>ROUND(AB106-AL106,2)</f>
      </c>
      <c r="AW106" s="33">
        <f>ROUND(AC106-AM106,2)</f>
      </c>
      <c r="AX106" s="33">
        <f>ROUND(AD106-AN106,2)</f>
      </c>
      <c r="AY106" s="33">
        <f>ROUND(AE106-AO106,2)</f>
      </c>
      <c r="AZ106" s="33">
        <f>ROUND(MAX(0,'Your debts'!$D$22-SUM($L106:$U106)),2)</f>
      </c>
      <c r="BA106" s="33">
        <f>ROUND(SUM($B106:$K106)-SUM($AP105:$AY105),2)</f>
      </c>
      <c r="BB106" s="33">
        <f>SUM($AP106:$AY106)</f>
      </c>
      <c r="BC106" s="33">
        <f>ROUND(SUM($L106:$U106)+SUM($AF106:$AO106),2)</f>
      </c>
    </row>
    <row r="107" spans="1:55" x14ac:dyDescent="0.25">
      <c r="A107">
        <v>100</v>
      </c>
      <c r="B107" s="33">
        <f>IF(AP106&lt;=0,0,ROUND(AP106+ROUND(AP106*V$3/12,2),2))</f>
      </c>
      <c r="C107" s="33">
        <f>IF(AQ106&lt;=0,0,ROUND(AQ106+ROUND(AQ106*W$3/12,2),2))</f>
      </c>
      <c r="D107" s="33">
        <f>IF(AR106&lt;=0,0,ROUND(AR106+ROUND(AR106*X$3/12,2),2))</f>
      </c>
      <c r="E107" s="33">
        <f>IF(AS106&lt;=0,0,ROUND(AS106+ROUND(AS106*Y$3/12,2),2))</f>
      </c>
      <c r="F107" s="33">
        <f>IF(AT106&lt;=0,0,ROUND(AT106+ROUND(AT106*Z$3/12,2),2))</f>
      </c>
      <c r="G107" s="33">
        <f>IF(AU106&lt;=0,0,ROUND(AU106+ROUND(AU106*AA$3/12,2),2))</f>
      </c>
      <c r="H107" s="33">
        <f>IF(AV106&lt;=0,0,ROUND(AV106+ROUND(AV106*AB$3/12,2),2))</f>
      </c>
      <c r="I107" s="33">
        <f>IF(AW106&lt;=0,0,ROUND(AW106+ROUND(AW106*AC$3/12,2),2))</f>
      </c>
      <c r="J107" s="33">
        <f>IF(AX106&lt;=0,0,ROUND(AX106+ROUND(AX106*AD$3/12,2),2))</f>
      </c>
      <c r="K107" s="33">
        <f>IF(AY106&lt;=0,0,ROUND(AY106+ROUND(AY106*AE$3/12,2),2))</f>
      </c>
      <c r="L107" s="33">
        <f>ROUND(MIN(MAX(0,N('Your debts'!$E$6)),B107),2)</f>
      </c>
      <c r="M107" s="33">
        <f>ROUND(MIN(MAX(0,N('Your debts'!$E$7)),C107),2)</f>
      </c>
      <c r="N107" s="33">
        <f>ROUND(MIN(MAX(0,N('Your debts'!$E$8)),D107),2)</f>
      </c>
      <c r="O107" s="33">
        <f>ROUND(MIN(MAX(0,N('Your debts'!$E$9)),E107),2)</f>
      </c>
      <c r="P107" s="33">
        <f>ROUND(MIN(MAX(0,N('Your debts'!$E$10)),F107),2)</f>
      </c>
      <c r="Q107" s="33">
        <f>ROUND(MIN(MAX(0,N('Your debts'!$E$11)),G107),2)</f>
      </c>
      <c r="R107" s="33">
        <f>ROUND(MIN(MAX(0,N('Your debts'!$E$12)),H107),2)</f>
      </c>
      <c r="S107" s="33">
        <f>ROUND(MIN(MAX(0,N('Your debts'!$E$13)),I107),2)</f>
      </c>
      <c r="T107" s="33">
        <f>ROUND(MIN(MAX(0,N('Your debts'!$E$14)),J107),2)</f>
      </c>
      <c r="U107" s="33">
        <f>ROUND(MIN(MAX(0,N('Your debts'!$E$15)),K107),2)</f>
      </c>
      <c r="V107" s="33">
        <f>ROUND(B107-L107,2)</f>
      </c>
      <c r="W107" s="33">
        <f>ROUND(C107-M107,2)</f>
      </c>
      <c r="X107" s="33">
        <f>ROUND(D107-N107,2)</f>
      </c>
      <c r="Y107" s="33">
        <f>ROUND(E107-O107,2)</f>
      </c>
      <c r="Z107" s="33">
        <f>ROUND(F107-P107,2)</f>
      </c>
      <c r="AA107" s="33">
        <f>ROUND(G107-Q107,2)</f>
      </c>
      <c r="AB107" s="33">
        <f>ROUND(H107-R107,2)</f>
      </c>
      <c r="AC107" s="33">
        <f>ROUND(I107-S107,2)</f>
      </c>
      <c r="AD107" s="33">
        <f>ROUND(J107-T107,2)</f>
      </c>
      <c r="AE107" s="33">
        <f>ROUND(K107-U107,2)</f>
      </c>
      <c r="AF107" s="33">
        <f>IF(V107&lt;=0,0,MAX(0,MIN(V107,ROUND($AZ107-SUMPRODUCT($V107:$AE107*($V107:$AE107&gt;0)*(($V107:$AE107&lt;V107)+($V107:$AE107=V107)*($V$3:$AE$3&gt;V$3)+($V107:$AE107=V107)*($V$3:$AE$3=V$3)*($V$2:$AE$2&lt;V$2))),2))))</f>
      </c>
      <c r="AG107" s="33">
        <f>IF(W107&lt;=0,0,MAX(0,MIN(W107,ROUND($AZ107-SUMPRODUCT($V107:$AE107*($V107:$AE107&gt;0)*(($V107:$AE107&lt;W107)+($V107:$AE107=W107)*($V$3:$AE$3&gt;W$3)+($V107:$AE107=W107)*($V$3:$AE$3=W$3)*($V$2:$AE$2&lt;W$2))),2))))</f>
      </c>
      <c r="AH107" s="33">
        <f>IF(X107&lt;=0,0,MAX(0,MIN(X107,ROUND($AZ107-SUMPRODUCT($V107:$AE107*($V107:$AE107&gt;0)*(($V107:$AE107&lt;X107)+($V107:$AE107=X107)*($V$3:$AE$3&gt;X$3)+($V107:$AE107=X107)*($V$3:$AE$3=X$3)*($V$2:$AE$2&lt;X$2))),2))))</f>
      </c>
      <c r="AI107" s="33">
        <f>IF(Y107&lt;=0,0,MAX(0,MIN(Y107,ROUND($AZ107-SUMPRODUCT($V107:$AE107*($V107:$AE107&gt;0)*(($V107:$AE107&lt;Y107)+($V107:$AE107=Y107)*($V$3:$AE$3&gt;Y$3)+($V107:$AE107=Y107)*($V$3:$AE$3=Y$3)*($V$2:$AE$2&lt;Y$2))),2))))</f>
      </c>
      <c r="AJ107" s="33">
        <f>IF(Z107&lt;=0,0,MAX(0,MIN(Z107,ROUND($AZ107-SUMPRODUCT($V107:$AE107*($V107:$AE107&gt;0)*(($V107:$AE107&lt;Z107)+($V107:$AE107=Z107)*($V$3:$AE$3&gt;Z$3)+($V107:$AE107=Z107)*($V$3:$AE$3=Z$3)*($V$2:$AE$2&lt;Z$2))),2))))</f>
      </c>
      <c r="AK107" s="33">
        <f>IF(AA107&lt;=0,0,MAX(0,MIN(AA107,ROUND($AZ107-SUMPRODUCT($V107:$AE107*($V107:$AE107&gt;0)*(($V107:$AE107&lt;AA107)+($V107:$AE107=AA107)*($V$3:$AE$3&gt;AA$3)+($V107:$AE107=AA107)*($V$3:$AE$3=AA$3)*($V$2:$AE$2&lt;AA$2))),2))))</f>
      </c>
      <c r="AL107" s="33">
        <f>IF(AB107&lt;=0,0,MAX(0,MIN(AB107,ROUND($AZ107-SUMPRODUCT($V107:$AE107*($V107:$AE107&gt;0)*(($V107:$AE107&lt;AB107)+($V107:$AE107=AB107)*($V$3:$AE$3&gt;AB$3)+($V107:$AE107=AB107)*($V$3:$AE$3=AB$3)*($V$2:$AE$2&lt;AB$2))),2))))</f>
      </c>
      <c r="AM107" s="33">
        <f>IF(AC107&lt;=0,0,MAX(0,MIN(AC107,ROUND($AZ107-SUMPRODUCT($V107:$AE107*($V107:$AE107&gt;0)*(($V107:$AE107&lt;AC107)+($V107:$AE107=AC107)*($V$3:$AE$3&gt;AC$3)+($V107:$AE107=AC107)*($V$3:$AE$3=AC$3)*($V$2:$AE$2&lt;AC$2))),2))))</f>
      </c>
      <c r="AN107" s="33">
        <f>IF(AD107&lt;=0,0,MAX(0,MIN(AD107,ROUND($AZ107-SUMPRODUCT($V107:$AE107*($V107:$AE107&gt;0)*(($V107:$AE107&lt;AD107)+($V107:$AE107=AD107)*($V$3:$AE$3&gt;AD$3)+($V107:$AE107=AD107)*($V$3:$AE$3=AD$3)*($V$2:$AE$2&lt;AD$2))),2))))</f>
      </c>
      <c r="AO107" s="33">
        <f>IF(AE107&lt;=0,0,MAX(0,MIN(AE107,ROUND($AZ107-SUMPRODUCT($V107:$AE107*($V107:$AE107&gt;0)*(($V107:$AE107&lt;AE107)+($V107:$AE107=AE107)*($V$3:$AE$3&gt;AE$3)+($V107:$AE107=AE107)*($V$3:$AE$3=AE$3)*($V$2:$AE$2&lt;AE$2))),2))))</f>
      </c>
      <c r="AP107" s="33">
        <f>ROUND(V107-AF107,2)</f>
      </c>
      <c r="AQ107" s="33">
        <f>ROUND(W107-AG107,2)</f>
      </c>
      <c r="AR107" s="33">
        <f>ROUND(X107-AH107,2)</f>
      </c>
      <c r="AS107" s="33">
        <f>ROUND(Y107-AI107,2)</f>
      </c>
      <c r="AT107" s="33">
        <f>ROUND(Z107-AJ107,2)</f>
      </c>
      <c r="AU107" s="33">
        <f>ROUND(AA107-AK107,2)</f>
      </c>
      <c r="AV107" s="33">
        <f>ROUND(AB107-AL107,2)</f>
      </c>
      <c r="AW107" s="33">
        <f>ROUND(AC107-AM107,2)</f>
      </c>
      <c r="AX107" s="33">
        <f>ROUND(AD107-AN107,2)</f>
      </c>
      <c r="AY107" s="33">
        <f>ROUND(AE107-AO107,2)</f>
      </c>
      <c r="AZ107" s="33">
        <f>ROUND(MAX(0,'Your debts'!$D$22-SUM($L107:$U107)),2)</f>
      </c>
      <c r="BA107" s="33">
        <f>ROUND(SUM($B107:$K107)-SUM($AP106:$AY106),2)</f>
      </c>
      <c r="BB107" s="33">
        <f>SUM($AP107:$AY107)</f>
      </c>
      <c r="BC107" s="33">
        <f>ROUND(SUM($L107:$U107)+SUM($AF107:$AO107),2)</f>
      </c>
    </row>
    <row r="108" spans="1:55" x14ac:dyDescent="0.25">
      <c r="A108">
        <v>101</v>
      </c>
      <c r="B108" s="33">
        <f>IF(AP107&lt;=0,0,ROUND(AP107+ROUND(AP107*V$3/12,2),2))</f>
      </c>
      <c r="C108" s="33">
        <f>IF(AQ107&lt;=0,0,ROUND(AQ107+ROUND(AQ107*W$3/12,2),2))</f>
      </c>
      <c r="D108" s="33">
        <f>IF(AR107&lt;=0,0,ROUND(AR107+ROUND(AR107*X$3/12,2),2))</f>
      </c>
      <c r="E108" s="33">
        <f>IF(AS107&lt;=0,0,ROUND(AS107+ROUND(AS107*Y$3/12,2),2))</f>
      </c>
      <c r="F108" s="33">
        <f>IF(AT107&lt;=0,0,ROUND(AT107+ROUND(AT107*Z$3/12,2),2))</f>
      </c>
      <c r="G108" s="33">
        <f>IF(AU107&lt;=0,0,ROUND(AU107+ROUND(AU107*AA$3/12,2),2))</f>
      </c>
      <c r="H108" s="33">
        <f>IF(AV107&lt;=0,0,ROUND(AV107+ROUND(AV107*AB$3/12,2),2))</f>
      </c>
      <c r="I108" s="33">
        <f>IF(AW107&lt;=0,0,ROUND(AW107+ROUND(AW107*AC$3/12,2),2))</f>
      </c>
      <c r="J108" s="33">
        <f>IF(AX107&lt;=0,0,ROUND(AX107+ROUND(AX107*AD$3/12,2),2))</f>
      </c>
      <c r="K108" s="33">
        <f>IF(AY107&lt;=0,0,ROUND(AY107+ROUND(AY107*AE$3/12,2),2))</f>
      </c>
      <c r="L108" s="33">
        <f>ROUND(MIN(MAX(0,N('Your debts'!$E$6)),B108),2)</f>
      </c>
      <c r="M108" s="33">
        <f>ROUND(MIN(MAX(0,N('Your debts'!$E$7)),C108),2)</f>
      </c>
      <c r="N108" s="33">
        <f>ROUND(MIN(MAX(0,N('Your debts'!$E$8)),D108),2)</f>
      </c>
      <c r="O108" s="33">
        <f>ROUND(MIN(MAX(0,N('Your debts'!$E$9)),E108),2)</f>
      </c>
      <c r="P108" s="33">
        <f>ROUND(MIN(MAX(0,N('Your debts'!$E$10)),F108),2)</f>
      </c>
      <c r="Q108" s="33">
        <f>ROUND(MIN(MAX(0,N('Your debts'!$E$11)),G108),2)</f>
      </c>
      <c r="R108" s="33">
        <f>ROUND(MIN(MAX(0,N('Your debts'!$E$12)),H108),2)</f>
      </c>
      <c r="S108" s="33">
        <f>ROUND(MIN(MAX(0,N('Your debts'!$E$13)),I108),2)</f>
      </c>
      <c r="T108" s="33">
        <f>ROUND(MIN(MAX(0,N('Your debts'!$E$14)),J108),2)</f>
      </c>
      <c r="U108" s="33">
        <f>ROUND(MIN(MAX(0,N('Your debts'!$E$15)),K108),2)</f>
      </c>
      <c r="V108" s="33">
        <f>ROUND(B108-L108,2)</f>
      </c>
      <c r="W108" s="33">
        <f>ROUND(C108-M108,2)</f>
      </c>
      <c r="X108" s="33">
        <f>ROUND(D108-N108,2)</f>
      </c>
      <c r="Y108" s="33">
        <f>ROUND(E108-O108,2)</f>
      </c>
      <c r="Z108" s="33">
        <f>ROUND(F108-P108,2)</f>
      </c>
      <c r="AA108" s="33">
        <f>ROUND(G108-Q108,2)</f>
      </c>
      <c r="AB108" s="33">
        <f>ROUND(H108-R108,2)</f>
      </c>
      <c r="AC108" s="33">
        <f>ROUND(I108-S108,2)</f>
      </c>
      <c r="AD108" s="33">
        <f>ROUND(J108-T108,2)</f>
      </c>
      <c r="AE108" s="33">
        <f>ROUND(K108-U108,2)</f>
      </c>
      <c r="AF108" s="33">
        <f>IF(V108&lt;=0,0,MAX(0,MIN(V108,ROUND($AZ108-SUMPRODUCT($V108:$AE108*($V108:$AE108&gt;0)*(($V108:$AE108&lt;V108)+($V108:$AE108=V108)*($V$3:$AE$3&gt;V$3)+($V108:$AE108=V108)*($V$3:$AE$3=V$3)*($V$2:$AE$2&lt;V$2))),2))))</f>
      </c>
      <c r="AG108" s="33">
        <f>IF(W108&lt;=0,0,MAX(0,MIN(W108,ROUND($AZ108-SUMPRODUCT($V108:$AE108*($V108:$AE108&gt;0)*(($V108:$AE108&lt;W108)+($V108:$AE108=W108)*($V$3:$AE$3&gt;W$3)+($V108:$AE108=W108)*($V$3:$AE$3=W$3)*($V$2:$AE$2&lt;W$2))),2))))</f>
      </c>
      <c r="AH108" s="33">
        <f>IF(X108&lt;=0,0,MAX(0,MIN(X108,ROUND($AZ108-SUMPRODUCT($V108:$AE108*($V108:$AE108&gt;0)*(($V108:$AE108&lt;X108)+($V108:$AE108=X108)*($V$3:$AE$3&gt;X$3)+($V108:$AE108=X108)*($V$3:$AE$3=X$3)*($V$2:$AE$2&lt;X$2))),2))))</f>
      </c>
      <c r="AI108" s="33">
        <f>IF(Y108&lt;=0,0,MAX(0,MIN(Y108,ROUND($AZ108-SUMPRODUCT($V108:$AE108*($V108:$AE108&gt;0)*(($V108:$AE108&lt;Y108)+($V108:$AE108=Y108)*($V$3:$AE$3&gt;Y$3)+($V108:$AE108=Y108)*($V$3:$AE$3=Y$3)*($V$2:$AE$2&lt;Y$2))),2))))</f>
      </c>
      <c r="AJ108" s="33">
        <f>IF(Z108&lt;=0,0,MAX(0,MIN(Z108,ROUND($AZ108-SUMPRODUCT($V108:$AE108*($V108:$AE108&gt;0)*(($V108:$AE108&lt;Z108)+($V108:$AE108=Z108)*($V$3:$AE$3&gt;Z$3)+($V108:$AE108=Z108)*($V$3:$AE$3=Z$3)*($V$2:$AE$2&lt;Z$2))),2))))</f>
      </c>
      <c r="AK108" s="33">
        <f>IF(AA108&lt;=0,0,MAX(0,MIN(AA108,ROUND($AZ108-SUMPRODUCT($V108:$AE108*($V108:$AE108&gt;0)*(($V108:$AE108&lt;AA108)+($V108:$AE108=AA108)*($V$3:$AE$3&gt;AA$3)+($V108:$AE108=AA108)*($V$3:$AE$3=AA$3)*($V$2:$AE$2&lt;AA$2))),2))))</f>
      </c>
      <c r="AL108" s="33">
        <f>IF(AB108&lt;=0,0,MAX(0,MIN(AB108,ROUND($AZ108-SUMPRODUCT($V108:$AE108*($V108:$AE108&gt;0)*(($V108:$AE108&lt;AB108)+($V108:$AE108=AB108)*($V$3:$AE$3&gt;AB$3)+($V108:$AE108=AB108)*($V$3:$AE$3=AB$3)*($V$2:$AE$2&lt;AB$2))),2))))</f>
      </c>
      <c r="AM108" s="33">
        <f>IF(AC108&lt;=0,0,MAX(0,MIN(AC108,ROUND($AZ108-SUMPRODUCT($V108:$AE108*($V108:$AE108&gt;0)*(($V108:$AE108&lt;AC108)+($V108:$AE108=AC108)*($V$3:$AE$3&gt;AC$3)+($V108:$AE108=AC108)*($V$3:$AE$3=AC$3)*($V$2:$AE$2&lt;AC$2))),2))))</f>
      </c>
      <c r="AN108" s="33">
        <f>IF(AD108&lt;=0,0,MAX(0,MIN(AD108,ROUND($AZ108-SUMPRODUCT($V108:$AE108*($V108:$AE108&gt;0)*(($V108:$AE108&lt;AD108)+($V108:$AE108=AD108)*($V$3:$AE$3&gt;AD$3)+($V108:$AE108=AD108)*($V$3:$AE$3=AD$3)*($V$2:$AE$2&lt;AD$2))),2))))</f>
      </c>
      <c r="AO108" s="33">
        <f>IF(AE108&lt;=0,0,MAX(0,MIN(AE108,ROUND($AZ108-SUMPRODUCT($V108:$AE108*($V108:$AE108&gt;0)*(($V108:$AE108&lt;AE108)+($V108:$AE108=AE108)*($V$3:$AE$3&gt;AE$3)+($V108:$AE108=AE108)*($V$3:$AE$3=AE$3)*($V$2:$AE$2&lt;AE$2))),2))))</f>
      </c>
      <c r="AP108" s="33">
        <f>ROUND(V108-AF108,2)</f>
      </c>
      <c r="AQ108" s="33">
        <f>ROUND(W108-AG108,2)</f>
      </c>
      <c r="AR108" s="33">
        <f>ROUND(X108-AH108,2)</f>
      </c>
      <c r="AS108" s="33">
        <f>ROUND(Y108-AI108,2)</f>
      </c>
      <c r="AT108" s="33">
        <f>ROUND(Z108-AJ108,2)</f>
      </c>
      <c r="AU108" s="33">
        <f>ROUND(AA108-AK108,2)</f>
      </c>
      <c r="AV108" s="33">
        <f>ROUND(AB108-AL108,2)</f>
      </c>
      <c r="AW108" s="33">
        <f>ROUND(AC108-AM108,2)</f>
      </c>
      <c r="AX108" s="33">
        <f>ROUND(AD108-AN108,2)</f>
      </c>
      <c r="AY108" s="33">
        <f>ROUND(AE108-AO108,2)</f>
      </c>
      <c r="AZ108" s="33">
        <f>ROUND(MAX(0,'Your debts'!$D$22-SUM($L108:$U108)),2)</f>
      </c>
      <c r="BA108" s="33">
        <f>ROUND(SUM($B108:$K108)-SUM($AP107:$AY107),2)</f>
      </c>
      <c r="BB108" s="33">
        <f>SUM($AP108:$AY108)</f>
      </c>
      <c r="BC108" s="33">
        <f>ROUND(SUM($L108:$U108)+SUM($AF108:$AO108),2)</f>
      </c>
    </row>
    <row r="109" spans="1:55" x14ac:dyDescent="0.25">
      <c r="A109">
        <v>102</v>
      </c>
      <c r="B109" s="33">
        <f>IF(AP108&lt;=0,0,ROUND(AP108+ROUND(AP108*V$3/12,2),2))</f>
      </c>
      <c r="C109" s="33">
        <f>IF(AQ108&lt;=0,0,ROUND(AQ108+ROUND(AQ108*W$3/12,2),2))</f>
      </c>
      <c r="D109" s="33">
        <f>IF(AR108&lt;=0,0,ROUND(AR108+ROUND(AR108*X$3/12,2),2))</f>
      </c>
      <c r="E109" s="33">
        <f>IF(AS108&lt;=0,0,ROUND(AS108+ROUND(AS108*Y$3/12,2),2))</f>
      </c>
      <c r="F109" s="33">
        <f>IF(AT108&lt;=0,0,ROUND(AT108+ROUND(AT108*Z$3/12,2),2))</f>
      </c>
      <c r="G109" s="33">
        <f>IF(AU108&lt;=0,0,ROUND(AU108+ROUND(AU108*AA$3/12,2),2))</f>
      </c>
      <c r="H109" s="33">
        <f>IF(AV108&lt;=0,0,ROUND(AV108+ROUND(AV108*AB$3/12,2),2))</f>
      </c>
      <c r="I109" s="33">
        <f>IF(AW108&lt;=0,0,ROUND(AW108+ROUND(AW108*AC$3/12,2),2))</f>
      </c>
      <c r="J109" s="33">
        <f>IF(AX108&lt;=0,0,ROUND(AX108+ROUND(AX108*AD$3/12,2),2))</f>
      </c>
      <c r="K109" s="33">
        <f>IF(AY108&lt;=0,0,ROUND(AY108+ROUND(AY108*AE$3/12,2),2))</f>
      </c>
      <c r="L109" s="33">
        <f>ROUND(MIN(MAX(0,N('Your debts'!$E$6)),B109),2)</f>
      </c>
      <c r="M109" s="33">
        <f>ROUND(MIN(MAX(0,N('Your debts'!$E$7)),C109),2)</f>
      </c>
      <c r="N109" s="33">
        <f>ROUND(MIN(MAX(0,N('Your debts'!$E$8)),D109),2)</f>
      </c>
      <c r="O109" s="33">
        <f>ROUND(MIN(MAX(0,N('Your debts'!$E$9)),E109),2)</f>
      </c>
      <c r="P109" s="33">
        <f>ROUND(MIN(MAX(0,N('Your debts'!$E$10)),F109),2)</f>
      </c>
      <c r="Q109" s="33">
        <f>ROUND(MIN(MAX(0,N('Your debts'!$E$11)),G109),2)</f>
      </c>
      <c r="R109" s="33">
        <f>ROUND(MIN(MAX(0,N('Your debts'!$E$12)),H109),2)</f>
      </c>
      <c r="S109" s="33">
        <f>ROUND(MIN(MAX(0,N('Your debts'!$E$13)),I109),2)</f>
      </c>
      <c r="T109" s="33">
        <f>ROUND(MIN(MAX(0,N('Your debts'!$E$14)),J109),2)</f>
      </c>
      <c r="U109" s="33">
        <f>ROUND(MIN(MAX(0,N('Your debts'!$E$15)),K109),2)</f>
      </c>
      <c r="V109" s="33">
        <f>ROUND(B109-L109,2)</f>
      </c>
      <c r="W109" s="33">
        <f>ROUND(C109-M109,2)</f>
      </c>
      <c r="X109" s="33">
        <f>ROUND(D109-N109,2)</f>
      </c>
      <c r="Y109" s="33">
        <f>ROUND(E109-O109,2)</f>
      </c>
      <c r="Z109" s="33">
        <f>ROUND(F109-P109,2)</f>
      </c>
      <c r="AA109" s="33">
        <f>ROUND(G109-Q109,2)</f>
      </c>
      <c r="AB109" s="33">
        <f>ROUND(H109-R109,2)</f>
      </c>
      <c r="AC109" s="33">
        <f>ROUND(I109-S109,2)</f>
      </c>
      <c r="AD109" s="33">
        <f>ROUND(J109-T109,2)</f>
      </c>
      <c r="AE109" s="33">
        <f>ROUND(K109-U109,2)</f>
      </c>
      <c r="AF109" s="33">
        <f>IF(V109&lt;=0,0,MAX(0,MIN(V109,ROUND($AZ109-SUMPRODUCT($V109:$AE109*($V109:$AE109&gt;0)*(($V109:$AE109&lt;V109)+($V109:$AE109=V109)*($V$3:$AE$3&gt;V$3)+($V109:$AE109=V109)*($V$3:$AE$3=V$3)*($V$2:$AE$2&lt;V$2))),2))))</f>
      </c>
      <c r="AG109" s="33">
        <f>IF(W109&lt;=0,0,MAX(0,MIN(W109,ROUND($AZ109-SUMPRODUCT($V109:$AE109*($V109:$AE109&gt;0)*(($V109:$AE109&lt;W109)+($V109:$AE109=W109)*($V$3:$AE$3&gt;W$3)+($V109:$AE109=W109)*($V$3:$AE$3=W$3)*($V$2:$AE$2&lt;W$2))),2))))</f>
      </c>
      <c r="AH109" s="33">
        <f>IF(X109&lt;=0,0,MAX(0,MIN(X109,ROUND($AZ109-SUMPRODUCT($V109:$AE109*($V109:$AE109&gt;0)*(($V109:$AE109&lt;X109)+($V109:$AE109=X109)*($V$3:$AE$3&gt;X$3)+($V109:$AE109=X109)*($V$3:$AE$3=X$3)*($V$2:$AE$2&lt;X$2))),2))))</f>
      </c>
      <c r="AI109" s="33">
        <f>IF(Y109&lt;=0,0,MAX(0,MIN(Y109,ROUND($AZ109-SUMPRODUCT($V109:$AE109*($V109:$AE109&gt;0)*(($V109:$AE109&lt;Y109)+($V109:$AE109=Y109)*($V$3:$AE$3&gt;Y$3)+($V109:$AE109=Y109)*($V$3:$AE$3=Y$3)*($V$2:$AE$2&lt;Y$2))),2))))</f>
      </c>
      <c r="AJ109" s="33">
        <f>IF(Z109&lt;=0,0,MAX(0,MIN(Z109,ROUND($AZ109-SUMPRODUCT($V109:$AE109*($V109:$AE109&gt;0)*(($V109:$AE109&lt;Z109)+($V109:$AE109=Z109)*($V$3:$AE$3&gt;Z$3)+($V109:$AE109=Z109)*($V$3:$AE$3=Z$3)*($V$2:$AE$2&lt;Z$2))),2))))</f>
      </c>
      <c r="AK109" s="33">
        <f>IF(AA109&lt;=0,0,MAX(0,MIN(AA109,ROUND($AZ109-SUMPRODUCT($V109:$AE109*($V109:$AE109&gt;0)*(($V109:$AE109&lt;AA109)+($V109:$AE109=AA109)*($V$3:$AE$3&gt;AA$3)+($V109:$AE109=AA109)*($V$3:$AE$3=AA$3)*($V$2:$AE$2&lt;AA$2))),2))))</f>
      </c>
      <c r="AL109" s="33">
        <f>IF(AB109&lt;=0,0,MAX(0,MIN(AB109,ROUND($AZ109-SUMPRODUCT($V109:$AE109*($V109:$AE109&gt;0)*(($V109:$AE109&lt;AB109)+($V109:$AE109=AB109)*($V$3:$AE$3&gt;AB$3)+($V109:$AE109=AB109)*($V$3:$AE$3=AB$3)*($V$2:$AE$2&lt;AB$2))),2))))</f>
      </c>
      <c r="AM109" s="33">
        <f>IF(AC109&lt;=0,0,MAX(0,MIN(AC109,ROUND($AZ109-SUMPRODUCT($V109:$AE109*($V109:$AE109&gt;0)*(($V109:$AE109&lt;AC109)+($V109:$AE109=AC109)*($V$3:$AE$3&gt;AC$3)+($V109:$AE109=AC109)*($V$3:$AE$3=AC$3)*($V$2:$AE$2&lt;AC$2))),2))))</f>
      </c>
      <c r="AN109" s="33">
        <f>IF(AD109&lt;=0,0,MAX(0,MIN(AD109,ROUND($AZ109-SUMPRODUCT($V109:$AE109*($V109:$AE109&gt;0)*(($V109:$AE109&lt;AD109)+($V109:$AE109=AD109)*($V$3:$AE$3&gt;AD$3)+($V109:$AE109=AD109)*($V$3:$AE$3=AD$3)*($V$2:$AE$2&lt;AD$2))),2))))</f>
      </c>
      <c r="AO109" s="33">
        <f>IF(AE109&lt;=0,0,MAX(0,MIN(AE109,ROUND($AZ109-SUMPRODUCT($V109:$AE109*($V109:$AE109&gt;0)*(($V109:$AE109&lt;AE109)+($V109:$AE109=AE109)*($V$3:$AE$3&gt;AE$3)+($V109:$AE109=AE109)*($V$3:$AE$3=AE$3)*($V$2:$AE$2&lt;AE$2))),2))))</f>
      </c>
      <c r="AP109" s="33">
        <f>ROUND(V109-AF109,2)</f>
      </c>
      <c r="AQ109" s="33">
        <f>ROUND(W109-AG109,2)</f>
      </c>
      <c r="AR109" s="33">
        <f>ROUND(X109-AH109,2)</f>
      </c>
      <c r="AS109" s="33">
        <f>ROUND(Y109-AI109,2)</f>
      </c>
      <c r="AT109" s="33">
        <f>ROUND(Z109-AJ109,2)</f>
      </c>
      <c r="AU109" s="33">
        <f>ROUND(AA109-AK109,2)</f>
      </c>
      <c r="AV109" s="33">
        <f>ROUND(AB109-AL109,2)</f>
      </c>
      <c r="AW109" s="33">
        <f>ROUND(AC109-AM109,2)</f>
      </c>
      <c r="AX109" s="33">
        <f>ROUND(AD109-AN109,2)</f>
      </c>
      <c r="AY109" s="33">
        <f>ROUND(AE109-AO109,2)</f>
      </c>
      <c r="AZ109" s="33">
        <f>ROUND(MAX(0,'Your debts'!$D$22-SUM($L109:$U109)),2)</f>
      </c>
      <c r="BA109" s="33">
        <f>ROUND(SUM($B109:$K109)-SUM($AP108:$AY108),2)</f>
      </c>
      <c r="BB109" s="33">
        <f>SUM($AP109:$AY109)</f>
      </c>
      <c r="BC109" s="33">
        <f>ROUND(SUM($L109:$U109)+SUM($AF109:$AO109),2)</f>
      </c>
    </row>
    <row r="110" spans="1:55" x14ac:dyDescent="0.25">
      <c r="A110">
        <v>103</v>
      </c>
      <c r="B110" s="33">
        <f>IF(AP109&lt;=0,0,ROUND(AP109+ROUND(AP109*V$3/12,2),2))</f>
      </c>
      <c r="C110" s="33">
        <f>IF(AQ109&lt;=0,0,ROUND(AQ109+ROUND(AQ109*W$3/12,2),2))</f>
      </c>
      <c r="D110" s="33">
        <f>IF(AR109&lt;=0,0,ROUND(AR109+ROUND(AR109*X$3/12,2),2))</f>
      </c>
      <c r="E110" s="33">
        <f>IF(AS109&lt;=0,0,ROUND(AS109+ROUND(AS109*Y$3/12,2),2))</f>
      </c>
      <c r="F110" s="33">
        <f>IF(AT109&lt;=0,0,ROUND(AT109+ROUND(AT109*Z$3/12,2),2))</f>
      </c>
      <c r="G110" s="33">
        <f>IF(AU109&lt;=0,0,ROUND(AU109+ROUND(AU109*AA$3/12,2),2))</f>
      </c>
      <c r="H110" s="33">
        <f>IF(AV109&lt;=0,0,ROUND(AV109+ROUND(AV109*AB$3/12,2),2))</f>
      </c>
      <c r="I110" s="33">
        <f>IF(AW109&lt;=0,0,ROUND(AW109+ROUND(AW109*AC$3/12,2),2))</f>
      </c>
      <c r="J110" s="33">
        <f>IF(AX109&lt;=0,0,ROUND(AX109+ROUND(AX109*AD$3/12,2),2))</f>
      </c>
      <c r="K110" s="33">
        <f>IF(AY109&lt;=0,0,ROUND(AY109+ROUND(AY109*AE$3/12,2),2))</f>
      </c>
      <c r="L110" s="33">
        <f>ROUND(MIN(MAX(0,N('Your debts'!$E$6)),B110),2)</f>
      </c>
      <c r="M110" s="33">
        <f>ROUND(MIN(MAX(0,N('Your debts'!$E$7)),C110),2)</f>
      </c>
      <c r="N110" s="33">
        <f>ROUND(MIN(MAX(0,N('Your debts'!$E$8)),D110),2)</f>
      </c>
      <c r="O110" s="33">
        <f>ROUND(MIN(MAX(0,N('Your debts'!$E$9)),E110),2)</f>
      </c>
      <c r="P110" s="33">
        <f>ROUND(MIN(MAX(0,N('Your debts'!$E$10)),F110),2)</f>
      </c>
      <c r="Q110" s="33">
        <f>ROUND(MIN(MAX(0,N('Your debts'!$E$11)),G110),2)</f>
      </c>
      <c r="R110" s="33">
        <f>ROUND(MIN(MAX(0,N('Your debts'!$E$12)),H110),2)</f>
      </c>
      <c r="S110" s="33">
        <f>ROUND(MIN(MAX(0,N('Your debts'!$E$13)),I110),2)</f>
      </c>
      <c r="T110" s="33">
        <f>ROUND(MIN(MAX(0,N('Your debts'!$E$14)),J110),2)</f>
      </c>
      <c r="U110" s="33">
        <f>ROUND(MIN(MAX(0,N('Your debts'!$E$15)),K110),2)</f>
      </c>
      <c r="V110" s="33">
        <f>ROUND(B110-L110,2)</f>
      </c>
      <c r="W110" s="33">
        <f>ROUND(C110-M110,2)</f>
      </c>
      <c r="X110" s="33">
        <f>ROUND(D110-N110,2)</f>
      </c>
      <c r="Y110" s="33">
        <f>ROUND(E110-O110,2)</f>
      </c>
      <c r="Z110" s="33">
        <f>ROUND(F110-P110,2)</f>
      </c>
      <c r="AA110" s="33">
        <f>ROUND(G110-Q110,2)</f>
      </c>
      <c r="AB110" s="33">
        <f>ROUND(H110-R110,2)</f>
      </c>
      <c r="AC110" s="33">
        <f>ROUND(I110-S110,2)</f>
      </c>
      <c r="AD110" s="33">
        <f>ROUND(J110-T110,2)</f>
      </c>
      <c r="AE110" s="33">
        <f>ROUND(K110-U110,2)</f>
      </c>
      <c r="AF110" s="33">
        <f>IF(V110&lt;=0,0,MAX(0,MIN(V110,ROUND($AZ110-SUMPRODUCT($V110:$AE110*($V110:$AE110&gt;0)*(($V110:$AE110&lt;V110)+($V110:$AE110=V110)*($V$3:$AE$3&gt;V$3)+($V110:$AE110=V110)*($V$3:$AE$3=V$3)*($V$2:$AE$2&lt;V$2))),2))))</f>
      </c>
      <c r="AG110" s="33">
        <f>IF(W110&lt;=0,0,MAX(0,MIN(W110,ROUND($AZ110-SUMPRODUCT($V110:$AE110*($V110:$AE110&gt;0)*(($V110:$AE110&lt;W110)+($V110:$AE110=W110)*($V$3:$AE$3&gt;W$3)+($V110:$AE110=W110)*($V$3:$AE$3=W$3)*($V$2:$AE$2&lt;W$2))),2))))</f>
      </c>
      <c r="AH110" s="33">
        <f>IF(X110&lt;=0,0,MAX(0,MIN(X110,ROUND($AZ110-SUMPRODUCT($V110:$AE110*($V110:$AE110&gt;0)*(($V110:$AE110&lt;X110)+($V110:$AE110=X110)*($V$3:$AE$3&gt;X$3)+($V110:$AE110=X110)*($V$3:$AE$3=X$3)*($V$2:$AE$2&lt;X$2))),2))))</f>
      </c>
      <c r="AI110" s="33">
        <f>IF(Y110&lt;=0,0,MAX(0,MIN(Y110,ROUND($AZ110-SUMPRODUCT($V110:$AE110*($V110:$AE110&gt;0)*(($V110:$AE110&lt;Y110)+($V110:$AE110=Y110)*($V$3:$AE$3&gt;Y$3)+($V110:$AE110=Y110)*($V$3:$AE$3=Y$3)*($V$2:$AE$2&lt;Y$2))),2))))</f>
      </c>
      <c r="AJ110" s="33">
        <f>IF(Z110&lt;=0,0,MAX(0,MIN(Z110,ROUND($AZ110-SUMPRODUCT($V110:$AE110*($V110:$AE110&gt;0)*(($V110:$AE110&lt;Z110)+($V110:$AE110=Z110)*($V$3:$AE$3&gt;Z$3)+($V110:$AE110=Z110)*($V$3:$AE$3=Z$3)*($V$2:$AE$2&lt;Z$2))),2))))</f>
      </c>
      <c r="AK110" s="33">
        <f>IF(AA110&lt;=0,0,MAX(0,MIN(AA110,ROUND($AZ110-SUMPRODUCT($V110:$AE110*($V110:$AE110&gt;0)*(($V110:$AE110&lt;AA110)+($V110:$AE110=AA110)*($V$3:$AE$3&gt;AA$3)+($V110:$AE110=AA110)*($V$3:$AE$3=AA$3)*($V$2:$AE$2&lt;AA$2))),2))))</f>
      </c>
      <c r="AL110" s="33">
        <f>IF(AB110&lt;=0,0,MAX(0,MIN(AB110,ROUND($AZ110-SUMPRODUCT($V110:$AE110*($V110:$AE110&gt;0)*(($V110:$AE110&lt;AB110)+($V110:$AE110=AB110)*($V$3:$AE$3&gt;AB$3)+($V110:$AE110=AB110)*($V$3:$AE$3=AB$3)*($V$2:$AE$2&lt;AB$2))),2))))</f>
      </c>
      <c r="AM110" s="33">
        <f>IF(AC110&lt;=0,0,MAX(0,MIN(AC110,ROUND($AZ110-SUMPRODUCT($V110:$AE110*($V110:$AE110&gt;0)*(($V110:$AE110&lt;AC110)+($V110:$AE110=AC110)*($V$3:$AE$3&gt;AC$3)+($V110:$AE110=AC110)*($V$3:$AE$3=AC$3)*($V$2:$AE$2&lt;AC$2))),2))))</f>
      </c>
      <c r="AN110" s="33">
        <f>IF(AD110&lt;=0,0,MAX(0,MIN(AD110,ROUND($AZ110-SUMPRODUCT($V110:$AE110*($V110:$AE110&gt;0)*(($V110:$AE110&lt;AD110)+($V110:$AE110=AD110)*($V$3:$AE$3&gt;AD$3)+($V110:$AE110=AD110)*($V$3:$AE$3=AD$3)*($V$2:$AE$2&lt;AD$2))),2))))</f>
      </c>
      <c r="AO110" s="33">
        <f>IF(AE110&lt;=0,0,MAX(0,MIN(AE110,ROUND($AZ110-SUMPRODUCT($V110:$AE110*($V110:$AE110&gt;0)*(($V110:$AE110&lt;AE110)+($V110:$AE110=AE110)*($V$3:$AE$3&gt;AE$3)+($V110:$AE110=AE110)*($V$3:$AE$3=AE$3)*($V$2:$AE$2&lt;AE$2))),2))))</f>
      </c>
      <c r="AP110" s="33">
        <f>ROUND(V110-AF110,2)</f>
      </c>
      <c r="AQ110" s="33">
        <f>ROUND(W110-AG110,2)</f>
      </c>
      <c r="AR110" s="33">
        <f>ROUND(X110-AH110,2)</f>
      </c>
      <c r="AS110" s="33">
        <f>ROUND(Y110-AI110,2)</f>
      </c>
      <c r="AT110" s="33">
        <f>ROUND(Z110-AJ110,2)</f>
      </c>
      <c r="AU110" s="33">
        <f>ROUND(AA110-AK110,2)</f>
      </c>
      <c r="AV110" s="33">
        <f>ROUND(AB110-AL110,2)</f>
      </c>
      <c r="AW110" s="33">
        <f>ROUND(AC110-AM110,2)</f>
      </c>
      <c r="AX110" s="33">
        <f>ROUND(AD110-AN110,2)</f>
      </c>
      <c r="AY110" s="33">
        <f>ROUND(AE110-AO110,2)</f>
      </c>
      <c r="AZ110" s="33">
        <f>ROUND(MAX(0,'Your debts'!$D$22-SUM($L110:$U110)),2)</f>
      </c>
      <c r="BA110" s="33">
        <f>ROUND(SUM($B110:$K110)-SUM($AP109:$AY109),2)</f>
      </c>
      <c r="BB110" s="33">
        <f>SUM($AP110:$AY110)</f>
      </c>
      <c r="BC110" s="33">
        <f>ROUND(SUM($L110:$U110)+SUM($AF110:$AO110),2)</f>
      </c>
    </row>
    <row r="111" spans="1:55" x14ac:dyDescent="0.25">
      <c r="A111">
        <v>104</v>
      </c>
      <c r="B111" s="33">
        <f>IF(AP110&lt;=0,0,ROUND(AP110+ROUND(AP110*V$3/12,2),2))</f>
      </c>
      <c r="C111" s="33">
        <f>IF(AQ110&lt;=0,0,ROUND(AQ110+ROUND(AQ110*W$3/12,2),2))</f>
      </c>
      <c r="D111" s="33">
        <f>IF(AR110&lt;=0,0,ROUND(AR110+ROUND(AR110*X$3/12,2),2))</f>
      </c>
      <c r="E111" s="33">
        <f>IF(AS110&lt;=0,0,ROUND(AS110+ROUND(AS110*Y$3/12,2),2))</f>
      </c>
      <c r="F111" s="33">
        <f>IF(AT110&lt;=0,0,ROUND(AT110+ROUND(AT110*Z$3/12,2),2))</f>
      </c>
      <c r="G111" s="33">
        <f>IF(AU110&lt;=0,0,ROUND(AU110+ROUND(AU110*AA$3/12,2),2))</f>
      </c>
      <c r="H111" s="33">
        <f>IF(AV110&lt;=0,0,ROUND(AV110+ROUND(AV110*AB$3/12,2),2))</f>
      </c>
      <c r="I111" s="33">
        <f>IF(AW110&lt;=0,0,ROUND(AW110+ROUND(AW110*AC$3/12,2),2))</f>
      </c>
      <c r="J111" s="33">
        <f>IF(AX110&lt;=0,0,ROUND(AX110+ROUND(AX110*AD$3/12,2),2))</f>
      </c>
      <c r="K111" s="33">
        <f>IF(AY110&lt;=0,0,ROUND(AY110+ROUND(AY110*AE$3/12,2),2))</f>
      </c>
      <c r="L111" s="33">
        <f>ROUND(MIN(MAX(0,N('Your debts'!$E$6)),B111),2)</f>
      </c>
      <c r="M111" s="33">
        <f>ROUND(MIN(MAX(0,N('Your debts'!$E$7)),C111),2)</f>
      </c>
      <c r="N111" s="33">
        <f>ROUND(MIN(MAX(0,N('Your debts'!$E$8)),D111),2)</f>
      </c>
      <c r="O111" s="33">
        <f>ROUND(MIN(MAX(0,N('Your debts'!$E$9)),E111),2)</f>
      </c>
      <c r="P111" s="33">
        <f>ROUND(MIN(MAX(0,N('Your debts'!$E$10)),F111),2)</f>
      </c>
      <c r="Q111" s="33">
        <f>ROUND(MIN(MAX(0,N('Your debts'!$E$11)),G111),2)</f>
      </c>
      <c r="R111" s="33">
        <f>ROUND(MIN(MAX(0,N('Your debts'!$E$12)),H111),2)</f>
      </c>
      <c r="S111" s="33">
        <f>ROUND(MIN(MAX(0,N('Your debts'!$E$13)),I111),2)</f>
      </c>
      <c r="T111" s="33">
        <f>ROUND(MIN(MAX(0,N('Your debts'!$E$14)),J111),2)</f>
      </c>
      <c r="U111" s="33">
        <f>ROUND(MIN(MAX(0,N('Your debts'!$E$15)),K111),2)</f>
      </c>
      <c r="V111" s="33">
        <f>ROUND(B111-L111,2)</f>
      </c>
      <c r="W111" s="33">
        <f>ROUND(C111-M111,2)</f>
      </c>
      <c r="X111" s="33">
        <f>ROUND(D111-N111,2)</f>
      </c>
      <c r="Y111" s="33">
        <f>ROUND(E111-O111,2)</f>
      </c>
      <c r="Z111" s="33">
        <f>ROUND(F111-P111,2)</f>
      </c>
      <c r="AA111" s="33">
        <f>ROUND(G111-Q111,2)</f>
      </c>
      <c r="AB111" s="33">
        <f>ROUND(H111-R111,2)</f>
      </c>
      <c r="AC111" s="33">
        <f>ROUND(I111-S111,2)</f>
      </c>
      <c r="AD111" s="33">
        <f>ROUND(J111-T111,2)</f>
      </c>
      <c r="AE111" s="33">
        <f>ROUND(K111-U111,2)</f>
      </c>
      <c r="AF111" s="33">
        <f>IF(V111&lt;=0,0,MAX(0,MIN(V111,ROUND($AZ111-SUMPRODUCT($V111:$AE111*($V111:$AE111&gt;0)*(($V111:$AE111&lt;V111)+($V111:$AE111=V111)*($V$3:$AE$3&gt;V$3)+($V111:$AE111=V111)*($V$3:$AE$3=V$3)*($V$2:$AE$2&lt;V$2))),2))))</f>
      </c>
      <c r="AG111" s="33">
        <f>IF(W111&lt;=0,0,MAX(0,MIN(W111,ROUND($AZ111-SUMPRODUCT($V111:$AE111*($V111:$AE111&gt;0)*(($V111:$AE111&lt;W111)+($V111:$AE111=W111)*($V$3:$AE$3&gt;W$3)+($V111:$AE111=W111)*($V$3:$AE$3=W$3)*($V$2:$AE$2&lt;W$2))),2))))</f>
      </c>
      <c r="AH111" s="33">
        <f>IF(X111&lt;=0,0,MAX(0,MIN(X111,ROUND($AZ111-SUMPRODUCT($V111:$AE111*($V111:$AE111&gt;0)*(($V111:$AE111&lt;X111)+($V111:$AE111=X111)*($V$3:$AE$3&gt;X$3)+($V111:$AE111=X111)*($V$3:$AE$3=X$3)*($V$2:$AE$2&lt;X$2))),2))))</f>
      </c>
      <c r="AI111" s="33">
        <f>IF(Y111&lt;=0,0,MAX(0,MIN(Y111,ROUND($AZ111-SUMPRODUCT($V111:$AE111*($V111:$AE111&gt;0)*(($V111:$AE111&lt;Y111)+($V111:$AE111=Y111)*($V$3:$AE$3&gt;Y$3)+($V111:$AE111=Y111)*($V$3:$AE$3=Y$3)*($V$2:$AE$2&lt;Y$2))),2))))</f>
      </c>
      <c r="AJ111" s="33">
        <f>IF(Z111&lt;=0,0,MAX(0,MIN(Z111,ROUND($AZ111-SUMPRODUCT($V111:$AE111*($V111:$AE111&gt;0)*(($V111:$AE111&lt;Z111)+($V111:$AE111=Z111)*($V$3:$AE$3&gt;Z$3)+($V111:$AE111=Z111)*($V$3:$AE$3=Z$3)*($V$2:$AE$2&lt;Z$2))),2))))</f>
      </c>
      <c r="AK111" s="33">
        <f>IF(AA111&lt;=0,0,MAX(0,MIN(AA111,ROUND($AZ111-SUMPRODUCT($V111:$AE111*($V111:$AE111&gt;0)*(($V111:$AE111&lt;AA111)+($V111:$AE111=AA111)*($V$3:$AE$3&gt;AA$3)+($V111:$AE111=AA111)*($V$3:$AE$3=AA$3)*($V$2:$AE$2&lt;AA$2))),2))))</f>
      </c>
      <c r="AL111" s="33">
        <f>IF(AB111&lt;=0,0,MAX(0,MIN(AB111,ROUND($AZ111-SUMPRODUCT($V111:$AE111*($V111:$AE111&gt;0)*(($V111:$AE111&lt;AB111)+($V111:$AE111=AB111)*($V$3:$AE$3&gt;AB$3)+($V111:$AE111=AB111)*($V$3:$AE$3=AB$3)*($V$2:$AE$2&lt;AB$2))),2))))</f>
      </c>
      <c r="AM111" s="33">
        <f>IF(AC111&lt;=0,0,MAX(0,MIN(AC111,ROUND($AZ111-SUMPRODUCT($V111:$AE111*($V111:$AE111&gt;0)*(($V111:$AE111&lt;AC111)+($V111:$AE111=AC111)*($V$3:$AE$3&gt;AC$3)+($V111:$AE111=AC111)*($V$3:$AE$3=AC$3)*($V$2:$AE$2&lt;AC$2))),2))))</f>
      </c>
      <c r="AN111" s="33">
        <f>IF(AD111&lt;=0,0,MAX(0,MIN(AD111,ROUND($AZ111-SUMPRODUCT($V111:$AE111*($V111:$AE111&gt;0)*(($V111:$AE111&lt;AD111)+($V111:$AE111=AD111)*($V$3:$AE$3&gt;AD$3)+($V111:$AE111=AD111)*($V$3:$AE$3=AD$3)*($V$2:$AE$2&lt;AD$2))),2))))</f>
      </c>
      <c r="AO111" s="33">
        <f>IF(AE111&lt;=0,0,MAX(0,MIN(AE111,ROUND($AZ111-SUMPRODUCT($V111:$AE111*($V111:$AE111&gt;0)*(($V111:$AE111&lt;AE111)+($V111:$AE111=AE111)*($V$3:$AE$3&gt;AE$3)+($V111:$AE111=AE111)*($V$3:$AE$3=AE$3)*($V$2:$AE$2&lt;AE$2))),2))))</f>
      </c>
      <c r="AP111" s="33">
        <f>ROUND(V111-AF111,2)</f>
      </c>
      <c r="AQ111" s="33">
        <f>ROUND(W111-AG111,2)</f>
      </c>
      <c r="AR111" s="33">
        <f>ROUND(X111-AH111,2)</f>
      </c>
      <c r="AS111" s="33">
        <f>ROUND(Y111-AI111,2)</f>
      </c>
      <c r="AT111" s="33">
        <f>ROUND(Z111-AJ111,2)</f>
      </c>
      <c r="AU111" s="33">
        <f>ROUND(AA111-AK111,2)</f>
      </c>
      <c r="AV111" s="33">
        <f>ROUND(AB111-AL111,2)</f>
      </c>
      <c r="AW111" s="33">
        <f>ROUND(AC111-AM111,2)</f>
      </c>
      <c r="AX111" s="33">
        <f>ROUND(AD111-AN111,2)</f>
      </c>
      <c r="AY111" s="33">
        <f>ROUND(AE111-AO111,2)</f>
      </c>
      <c r="AZ111" s="33">
        <f>ROUND(MAX(0,'Your debts'!$D$22-SUM($L111:$U111)),2)</f>
      </c>
      <c r="BA111" s="33">
        <f>ROUND(SUM($B111:$K111)-SUM($AP110:$AY110),2)</f>
      </c>
      <c r="BB111" s="33">
        <f>SUM($AP111:$AY111)</f>
      </c>
      <c r="BC111" s="33">
        <f>ROUND(SUM($L111:$U111)+SUM($AF111:$AO111),2)</f>
      </c>
    </row>
    <row r="112" spans="1:55" x14ac:dyDescent="0.25">
      <c r="A112">
        <v>105</v>
      </c>
      <c r="B112" s="33">
        <f>IF(AP111&lt;=0,0,ROUND(AP111+ROUND(AP111*V$3/12,2),2))</f>
      </c>
      <c r="C112" s="33">
        <f>IF(AQ111&lt;=0,0,ROUND(AQ111+ROUND(AQ111*W$3/12,2),2))</f>
      </c>
      <c r="D112" s="33">
        <f>IF(AR111&lt;=0,0,ROUND(AR111+ROUND(AR111*X$3/12,2),2))</f>
      </c>
      <c r="E112" s="33">
        <f>IF(AS111&lt;=0,0,ROUND(AS111+ROUND(AS111*Y$3/12,2),2))</f>
      </c>
      <c r="F112" s="33">
        <f>IF(AT111&lt;=0,0,ROUND(AT111+ROUND(AT111*Z$3/12,2),2))</f>
      </c>
      <c r="G112" s="33">
        <f>IF(AU111&lt;=0,0,ROUND(AU111+ROUND(AU111*AA$3/12,2),2))</f>
      </c>
      <c r="H112" s="33">
        <f>IF(AV111&lt;=0,0,ROUND(AV111+ROUND(AV111*AB$3/12,2),2))</f>
      </c>
      <c r="I112" s="33">
        <f>IF(AW111&lt;=0,0,ROUND(AW111+ROUND(AW111*AC$3/12,2),2))</f>
      </c>
      <c r="J112" s="33">
        <f>IF(AX111&lt;=0,0,ROUND(AX111+ROUND(AX111*AD$3/12,2),2))</f>
      </c>
      <c r="K112" s="33">
        <f>IF(AY111&lt;=0,0,ROUND(AY111+ROUND(AY111*AE$3/12,2),2))</f>
      </c>
      <c r="L112" s="33">
        <f>ROUND(MIN(MAX(0,N('Your debts'!$E$6)),B112),2)</f>
      </c>
      <c r="M112" s="33">
        <f>ROUND(MIN(MAX(0,N('Your debts'!$E$7)),C112),2)</f>
      </c>
      <c r="N112" s="33">
        <f>ROUND(MIN(MAX(0,N('Your debts'!$E$8)),D112),2)</f>
      </c>
      <c r="O112" s="33">
        <f>ROUND(MIN(MAX(0,N('Your debts'!$E$9)),E112),2)</f>
      </c>
      <c r="P112" s="33">
        <f>ROUND(MIN(MAX(0,N('Your debts'!$E$10)),F112),2)</f>
      </c>
      <c r="Q112" s="33">
        <f>ROUND(MIN(MAX(0,N('Your debts'!$E$11)),G112),2)</f>
      </c>
      <c r="R112" s="33">
        <f>ROUND(MIN(MAX(0,N('Your debts'!$E$12)),H112),2)</f>
      </c>
      <c r="S112" s="33">
        <f>ROUND(MIN(MAX(0,N('Your debts'!$E$13)),I112),2)</f>
      </c>
      <c r="T112" s="33">
        <f>ROUND(MIN(MAX(0,N('Your debts'!$E$14)),J112),2)</f>
      </c>
      <c r="U112" s="33">
        <f>ROUND(MIN(MAX(0,N('Your debts'!$E$15)),K112),2)</f>
      </c>
      <c r="V112" s="33">
        <f>ROUND(B112-L112,2)</f>
      </c>
      <c r="W112" s="33">
        <f>ROUND(C112-M112,2)</f>
      </c>
      <c r="X112" s="33">
        <f>ROUND(D112-N112,2)</f>
      </c>
      <c r="Y112" s="33">
        <f>ROUND(E112-O112,2)</f>
      </c>
      <c r="Z112" s="33">
        <f>ROUND(F112-P112,2)</f>
      </c>
      <c r="AA112" s="33">
        <f>ROUND(G112-Q112,2)</f>
      </c>
      <c r="AB112" s="33">
        <f>ROUND(H112-R112,2)</f>
      </c>
      <c r="AC112" s="33">
        <f>ROUND(I112-S112,2)</f>
      </c>
      <c r="AD112" s="33">
        <f>ROUND(J112-T112,2)</f>
      </c>
      <c r="AE112" s="33">
        <f>ROUND(K112-U112,2)</f>
      </c>
      <c r="AF112" s="33">
        <f>IF(V112&lt;=0,0,MAX(0,MIN(V112,ROUND($AZ112-SUMPRODUCT($V112:$AE112*($V112:$AE112&gt;0)*(($V112:$AE112&lt;V112)+($V112:$AE112=V112)*($V$3:$AE$3&gt;V$3)+($V112:$AE112=V112)*($V$3:$AE$3=V$3)*($V$2:$AE$2&lt;V$2))),2))))</f>
      </c>
      <c r="AG112" s="33">
        <f>IF(W112&lt;=0,0,MAX(0,MIN(W112,ROUND($AZ112-SUMPRODUCT($V112:$AE112*($V112:$AE112&gt;0)*(($V112:$AE112&lt;W112)+($V112:$AE112=W112)*($V$3:$AE$3&gt;W$3)+($V112:$AE112=W112)*($V$3:$AE$3=W$3)*($V$2:$AE$2&lt;W$2))),2))))</f>
      </c>
      <c r="AH112" s="33">
        <f>IF(X112&lt;=0,0,MAX(0,MIN(X112,ROUND($AZ112-SUMPRODUCT($V112:$AE112*($V112:$AE112&gt;0)*(($V112:$AE112&lt;X112)+($V112:$AE112=X112)*($V$3:$AE$3&gt;X$3)+($V112:$AE112=X112)*($V$3:$AE$3=X$3)*($V$2:$AE$2&lt;X$2))),2))))</f>
      </c>
      <c r="AI112" s="33">
        <f>IF(Y112&lt;=0,0,MAX(0,MIN(Y112,ROUND($AZ112-SUMPRODUCT($V112:$AE112*($V112:$AE112&gt;0)*(($V112:$AE112&lt;Y112)+($V112:$AE112=Y112)*($V$3:$AE$3&gt;Y$3)+($V112:$AE112=Y112)*($V$3:$AE$3=Y$3)*($V$2:$AE$2&lt;Y$2))),2))))</f>
      </c>
      <c r="AJ112" s="33">
        <f>IF(Z112&lt;=0,0,MAX(0,MIN(Z112,ROUND($AZ112-SUMPRODUCT($V112:$AE112*($V112:$AE112&gt;0)*(($V112:$AE112&lt;Z112)+($V112:$AE112=Z112)*($V$3:$AE$3&gt;Z$3)+($V112:$AE112=Z112)*($V$3:$AE$3=Z$3)*($V$2:$AE$2&lt;Z$2))),2))))</f>
      </c>
      <c r="AK112" s="33">
        <f>IF(AA112&lt;=0,0,MAX(0,MIN(AA112,ROUND($AZ112-SUMPRODUCT($V112:$AE112*($V112:$AE112&gt;0)*(($V112:$AE112&lt;AA112)+($V112:$AE112=AA112)*($V$3:$AE$3&gt;AA$3)+($V112:$AE112=AA112)*($V$3:$AE$3=AA$3)*($V$2:$AE$2&lt;AA$2))),2))))</f>
      </c>
      <c r="AL112" s="33">
        <f>IF(AB112&lt;=0,0,MAX(0,MIN(AB112,ROUND($AZ112-SUMPRODUCT($V112:$AE112*($V112:$AE112&gt;0)*(($V112:$AE112&lt;AB112)+($V112:$AE112=AB112)*($V$3:$AE$3&gt;AB$3)+($V112:$AE112=AB112)*($V$3:$AE$3=AB$3)*($V$2:$AE$2&lt;AB$2))),2))))</f>
      </c>
      <c r="AM112" s="33">
        <f>IF(AC112&lt;=0,0,MAX(0,MIN(AC112,ROUND($AZ112-SUMPRODUCT($V112:$AE112*($V112:$AE112&gt;0)*(($V112:$AE112&lt;AC112)+($V112:$AE112=AC112)*($V$3:$AE$3&gt;AC$3)+($V112:$AE112=AC112)*($V$3:$AE$3=AC$3)*($V$2:$AE$2&lt;AC$2))),2))))</f>
      </c>
      <c r="AN112" s="33">
        <f>IF(AD112&lt;=0,0,MAX(0,MIN(AD112,ROUND($AZ112-SUMPRODUCT($V112:$AE112*($V112:$AE112&gt;0)*(($V112:$AE112&lt;AD112)+($V112:$AE112=AD112)*($V$3:$AE$3&gt;AD$3)+($V112:$AE112=AD112)*($V$3:$AE$3=AD$3)*($V$2:$AE$2&lt;AD$2))),2))))</f>
      </c>
      <c r="AO112" s="33">
        <f>IF(AE112&lt;=0,0,MAX(0,MIN(AE112,ROUND($AZ112-SUMPRODUCT($V112:$AE112*($V112:$AE112&gt;0)*(($V112:$AE112&lt;AE112)+($V112:$AE112=AE112)*($V$3:$AE$3&gt;AE$3)+($V112:$AE112=AE112)*($V$3:$AE$3=AE$3)*($V$2:$AE$2&lt;AE$2))),2))))</f>
      </c>
      <c r="AP112" s="33">
        <f>ROUND(V112-AF112,2)</f>
      </c>
      <c r="AQ112" s="33">
        <f>ROUND(W112-AG112,2)</f>
      </c>
      <c r="AR112" s="33">
        <f>ROUND(X112-AH112,2)</f>
      </c>
      <c r="AS112" s="33">
        <f>ROUND(Y112-AI112,2)</f>
      </c>
      <c r="AT112" s="33">
        <f>ROUND(Z112-AJ112,2)</f>
      </c>
      <c r="AU112" s="33">
        <f>ROUND(AA112-AK112,2)</f>
      </c>
      <c r="AV112" s="33">
        <f>ROUND(AB112-AL112,2)</f>
      </c>
      <c r="AW112" s="33">
        <f>ROUND(AC112-AM112,2)</f>
      </c>
      <c r="AX112" s="33">
        <f>ROUND(AD112-AN112,2)</f>
      </c>
      <c r="AY112" s="33">
        <f>ROUND(AE112-AO112,2)</f>
      </c>
      <c r="AZ112" s="33">
        <f>ROUND(MAX(0,'Your debts'!$D$22-SUM($L112:$U112)),2)</f>
      </c>
      <c r="BA112" s="33">
        <f>ROUND(SUM($B112:$K112)-SUM($AP111:$AY111),2)</f>
      </c>
      <c r="BB112" s="33">
        <f>SUM($AP112:$AY112)</f>
      </c>
      <c r="BC112" s="33">
        <f>ROUND(SUM($L112:$U112)+SUM($AF112:$AO112),2)</f>
      </c>
    </row>
    <row r="113" spans="1:55" x14ac:dyDescent="0.25">
      <c r="A113">
        <v>106</v>
      </c>
      <c r="B113" s="33">
        <f>IF(AP112&lt;=0,0,ROUND(AP112+ROUND(AP112*V$3/12,2),2))</f>
      </c>
      <c r="C113" s="33">
        <f>IF(AQ112&lt;=0,0,ROUND(AQ112+ROUND(AQ112*W$3/12,2),2))</f>
      </c>
      <c r="D113" s="33">
        <f>IF(AR112&lt;=0,0,ROUND(AR112+ROUND(AR112*X$3/12,2),2))</f>
      </c>
      <c r="E113" s="33">
        <f>IF(AS112&lt;=0,0,ROUND(AS112+ROUND(AS112*Y$3/12,2),2))</f>
      </c>
      <c r="F113" s="33">
        <f>IF(AT112&lt;=0,0,ROUND(AT112+ROUND(AT112*Z$3/12,2),2))</f>
      </c>
      <c r="G113" s="33">
        <f>IF(AU112&lt;=0,0,ROUND(AU112+ROUND(AU112*AA$3/12,2),2))</f>
      </c>
      <c r="H113" s="33">
        <f>IF(AV112&lt;=0,0,ROUND(AV112+ROUND(AV112*AB$3/12,2),2))</f>
      </c>
      <c r="I113" s="33">
        <f>IF(AW112&lt;=0,0,ROUND(AW112+ROUND(AW112*AC$3/12,2),2))</f>
      </c>
      <c r="J113" s="33">
        <f>IF(AX112&lt;=0,0,ROUND(AX112+ROUND(AX112*AD$3/12,2),2))</f>
      </c>
      <c r="K113" s="33">
        <f>IF(AY112&lt;=0,0,ROUND(AY112+ROUND(AY112*AE$3/12,2),2))</f>
      </c>
      <c r="L113" s="33">
        <f>ROUND(MIN(MAX(0,N('Your debts'!$E$6)),B113),2)</f>
      </c>
      <c r="M113" s="33">
        <f>ROUND(MIN(MAX(0,N('Your debts'!$E$7)),C113),2)</f>
      </c>
      <c r="N113" s="33">
        <f>ROUND(MIN(MAX(0,N('Your debts'!$E$8)),D113),2)</f>
      </c>
      <c r="O113" s="33">
        <f>ROUND(MIN(MAX(0,N('Your debts'!$E$9)),E113),2)</f>
      </c>
      <c r="P113" s="33">
        <f>ROUND(MIN(MAX(0,N('Your debts'!$E$10)),F113),2)</f>
      </c>
      <c r="Q113" s="33">
        <f>ROUND(MIN(MAX(0,N('Your debts'!$E$11)),G113),2)</f>
      </c>
      <c r="R113" s="33">
        <f>ROUND(MIN(MAX(0,N('Your debts'!$E$12)),H113),2)</f>
      </c>
      <c r="S113" s="33">
        <f>ROUND(MIN(MAX(0,N('Your debts'!$E$13)),I113),2)</f>
      </c>
      <c r="T113" s="33">
        <f>ROUND(MIN(MAX(0,N('Your debts'!$E$14)),J113),2)</f>
      </c>
      <c r="U113" s="33">
        <f>ROUND(MIN(MAX(0,N('Your debts'!$E$15)),K113),2)</f>
      </c>
      <c r="V113" s="33">
        <f>ROUND(B113-L113,2)</f>
      </c>
      <c r="W113" s="33">
        <f>ROUND(C113-M113,2)</f>
      </c>
      <c r="X113" s="33">
        <f>ROUND(D113-N113,2)</f>
      </c>
      <c r="Y113" s="33">
        <f>ROUND(E113-O113,2)</f>
      </c>
      <c r="Z113" s="33">
        <f>ROUND(F113-P113,2)</f>
      </c>
      <c r="AA113" s="33">
        <f>ROUND(G113-Q113,2)</f>
      </c>
      <c r="AB113" s="33">
        <f>ROUND(H113-R113,2)</f>
      </c>
      <c r="AC113" s="33">
        <f>ROUND(I113-S113,2)</f>
      </c>
      <c r="AD113" s="33">
        <f>ROUND(J113-T113,2)</f>
      </c>
      <c r="AE113" s="33">
        <f>ROUND(K113-U113,2)</f>
      </c>
      <c r="AF113" s="33">
        <f>IF(V113&lt;=0,0,MAX(0,MIN(V113,ROUND($AZ113-SUMPRODUCT($V113:$AE113*($V113:$AE113&gt;0)*(($V113:$AE113&lt;V113)+($V113:$AE113=V113)*($V$3:$AE$3&gt;V$3)+($V113:$AE113=V113)*($V$3:$AE$3=V$3)*($V$2:$AE$2&lt;V$2))),2))))</f>
      </c>
      <c r="AG113" s="33">
        <f>IF(W113&lt;=0,0,MAX(0,MIN(W113,ROUND($AZ113-SUMPRODUCT($V113:$AE113*($V113:$AE113&gt;0)*(($V113:$AE113&lt;W113)+($V113:$AE113=W113)*($V$3:$AE$3&gt;W$3)+($V113:$AE113=W113)*($V$3:$AE$3=W$3)*($V$2:$AE$2&lt;W$2))),2))))</f>
      </c>
      <c r="AH113" s="33">
        <f>IF(X113&lt;=0,0,MAX(0,MIN(X113,ROUND($AZ113-SUMPRODUCT($V113:$AE113*($V113:$AE113&gt;0)*(($V113:$AE113&lt;X113)+($V113:$AE113=X113)*($V$3:$AE$3&gt;X$3)+($V113:$AE113=X113)*($V$3:$AE$3=X$3)*($V$2:$AE$2&lt;X$2))),2))))</f>
      </c>
      <c r="AI113" s="33">
        <f>IF(Y113&lt;=0,0,MAX(0,MIN(Y113,ROUND($AZ113-SUMPRODUCT($V113:$AE113*($V113:$AE113&gt;0)*(($V113:$AE113&lt;Y113)+($V113:$AE113=Y113)*($V$3:$AE$3&gt;Y$3)+($V113:$AE113=Y113)*($V$3:$AE$3=Y$3)*($V$2:$AE$2&lt;Y$2))),2))))</f>
      </c>
      <c r="AJ113" s="33">
        <f>IF(Z113&lt;=0,0,MAX(0,MIN(Z113,ROUND($AZ113-SUMPRODUCT($V113:$AE113*($V113:$AE113&gt;0)*(($V113:$AE113&lt;Z113)+($V113:$AE113=Z113)*($V$3:$AE$3&gt;Z$3)+($V113:$AE113=Z113)*($V$3:$AE$3=Z$3)*($V$2:$AE$2&lt;Z$2))),2))))</f>
      </c>
      <c r="AK113" s="33">
        <f>IF(AA113&lt;=0,0,MAX(0,MIN(AA113,ROUND($AZ113-SUMPRODUCT($V113:$AE113*($V113:$AE113&gt;0)*(($V113:$AE113&lt;AA113)+($V113:$AE113=AA113)*($V$3:$AE$3&gt;AA$3)+($V113:$AE113=AA113)*($V$3:$AE$3=AA$3)*($V$2:$AE$2&lt;AA$2))),2))))</f>
      </c>
      <c r="AL113" s="33">
        <f>IF(AB113&lt;=0,0,MAX(0,MIN(AB113,ROUND($AZ113-SUMPRODUCT($V113:$AE113*($V113:$AE113&gt;0)*(($V113:$AE113&lt;AB113)+($V113:$AE113=AB113)*($V$3:$AE$3&gt;AB$3)+($V113:$AE113=AB113)*($V$3:$AE$3=AB$3)*($V$2:$AE$2&lt;AB$2))),2))))</f>
      </c>
      <c r="AM113" s="33">
        <f>IF(AC113&lt;=0,0,MAX(0,MIN(AC113,ROUND($AZ113-SUMPRODUCT($V113:$AE113*($V113:$AE113&gt;0)*(($V113:$AE113&lt;AC113)+($V113:$AE113=AC113)*($V$3:$AE$3&gt;AC$3)+($V113:$AE113=AC113)*($V$3:$AE$3=AC$3)*($V$2:$AE$2&lt;AC$2))),2))))</f>
      </c>
      <c r="AN113" s="33">
        <f>IF(AD113&lt;=0,0,MAX(0,MIN(AD113,ROUND($AZ113-SUMPRODUCT($V113:$AE113*($V113:$AE113&gt;0)*(($V113:$AE113&lt;AD113)+($V113:$AE113=AD113)*($V$3:$AE$3&gt;AD$3)+($V113:$AE113=AD113)*($V$3:$AE$3=AD$3)*($V$2:$AE$2&lt;AD$2))),2))))</f>
      </c>
      <c r="AO113" s="33">
        <f>IF(AE113&lt;=0,0,MAX(0,MIN(AE113,ROUND($AZ113-SUMPRODUCT($V113:$AE113*($V113:$AE113&gt;0)*(($V113:$AE113&lt;AE113)+($V113:$AE113=AE113)*($V$3:$AE$3&gt;AE$3)+($V113:$AE113=AE113)*($V$3:$AE$3=AE$3)*($V$2:$AE$2&lt;AE$2))),2))))</f>
      </c>
      <c r="AP113" s="33">
        <f>ROUND(V113-AF113,2)</f>
      </c>
      <c r="AQ113" s="33">
        <f>ROUND(W113-AG113,2)</f>
      </c>
      <c r="AR113" s="33">
        <f>ROUND(X113-AH113,2)</f>
      </c>
      <c r="AS113" s="33">
        <f>ROUND(Y113-AI113,2)</f>
      </c>
      <c r="AT113" s="33">
        <f>ROUND(Z113-AJ113,2)</f>
      </c>
      <c r="AU113" s="33">
        <f>ROUND(AA113-AK113,2)</f>
      </c>
      <c r="AV113" s="33">
        <f>ROUND(AB113-AL113,2)</f>
      </c>
      <c r="AW113" s="33">
        <f>ROUND(AC113-AM113,2)</f>
      </c>
      <c r="AX113" s="33">
        <f>ROUND(AD113-AN113,2)</f>
      </c>
      <c r="AY113" s="33">
        <f>ROUND(AE113-AO113,2)</f>
      </c>
      <c r="AZ113" s="33">
        <f>ROUND(MAX(0,'Your debts'!$D$22-SUM($L113:$U113)),2)</f>
      </c>
      <c r="BA113" s="33">
        <f>ROUND(SUM($B113:$K113)-SUM($AP112:$AY112),2)</f>
      </c>
      <c r="BB113" s="33">
        <f>SUM($AP113:$AY113)</f>
      </c>
      <c r="BC113" s="33">
        <f>ROUND(SUM($L113:$U113)+SUM($AF113:$AO113),2)</f>
      </c>
    </row>
    <row r="114" spans="1:55" x14ac:dyDescent="0.25">
      <c r="A114">
        <v>107</v>
      </c>
      <c r="B114" s="33">
        <f>IF(AP113&lt;=0,0,ROUND(AP113+ROUND(AP113*V$3/12,2),2))</f>
      </c>
      <c r="C114" s="33">
        <f>IF(AQ113&lt;=0,0,ROUND(AQ113+ROUND(AQ113*W$3/12,2),2))</f>
      </c>
      <c r="D114" s="33">
        <f>IF(AR113&lt;=0,0,ROUND(AR113+ROUND(AR113*X$3/12,2),2))</f>
      </c>
      <c r="E114" s="33">
        <f>IF(AS113&lt;=0,0,ROUND(AS113+ROUND(AS113*Y$3/12,2),2))</f>
      </c>
      <c r="F114" s="33">
        <f>IF(AT113&lt;=0,0,ROUND(AT113+ROUND(AT113*Z$3/12,2),2))</f>
      </c>
      <c r="G114" s="33">
        <f>IF(AU113&lt;=0,0,ROUND(AU113+ROUND(AU113*AA$3/12,2),2))</f>
      </c>
      <c r="H114" s="33">
        <f>IF(AV113&lt;=0,0,ROUND(AV113+ROUND(AV113*AB$3/12,2),2))</f>
      </c>
      <c r="I114" s="33">
        <f>IF(AW113&lt;=0,0,ROUND(AW113+ROUND(AW113*AC$3/12,2),2))</f>
      </c>
      <c r="J114" s="33">
        <f>IF(AX113&lt;=0,0,ROUND(AX113+ROUND(AX113*AD$3/12,2),2))</f>
      </c>
      <c r="K114" s="33">
        <f>IF(AY113&lt;=0,0,ROUND(AY113+ROUND(AY113*AE$3/12,2),2))</f>
      </c>
      <c r="L114" s="33">
        <f>ROUND(MIN(MAX(0,N('Your debts'!$E$6)),B114),2)</f>
      </c>
      <c r="M114" s="33">
        <f>ROUND(MIN(MAX(0,N('Your debts'!$E$7)),C114),2)</f>
      </c>
      <c r="N114" s="33">
        <f>ROUND(MIN(MAX(0,N('Your debts'!$E$8)),D114),2)</f>
      </c>
      <c r="O114" s="33">
        <f>ROUND(MIN(MAX(0,N('Your debts'!$E$9)),E114),2)</f>
      </c>
      <c r="P114" s="33">
        <f>ROUND(MIN(MAX(0,N('Your debts'!$E$10)),F114),2)</f>
      </c>
      <c r="Q114" s="33">
        <f>ROUND(MIN(MAX(0,N('Your debts'!$E$11)),G114),2)</f>
      </c>
      <c r="R114" s="33">
        <f>ROUND(MIN(MAX(0,N('Your debts'!$E$12)),H114),2)</f>
      </c>
      <c r="S114" s="33">
        <f>ROUND(MIN(MAX(0,N('Your debts'!$E$13)),I114),2)</f>
      </c>
      <c r="T114" s="33">
        <f>ROUND(MIN(MAX(0,N('Your debts'!$E$14)),J114),2)</f>
      </c>
      <c r="U114" s="33">
        <f>ROUND(MIN(MAX(0,N('Your debts'!$E$15)),K114),2)</f>
      </c>
      <c r="V114" s="33">
        <f>ROUND(B114-L114,2)</f>
      </c>
      <c r="W114" s="33">
        <f>ROUND(C114-M114,2)</f>
      </c>
      <c r="X114" s="33">
        <f>ROUND(D114-N114,2)</f>
      </c>
      <c r="Y114" s="33">
        <f>ROUND(E114-O114,2)</f>
      </c>
      <c r="Z114" s="33">
        <f>ROUND(F114-P114,2)</f>
      </c>
      <c r="AA114" s="33">
        <f>ROUND(G114-Q114,2)</f>
      </c>
      <c r="AB114" s="33">
        <f>ROUND(H114-R114,2)</f>
      </c>
      <c r="AC114" s="33">
        <f>ROUND(I114-S114,2)</f>
      </c>
      <c r="AD114" s="33">
        <f>ROUND(J114-T114,2)</f>
      </c>
      <c r="AE114" s="33">
        <f>ROUND(K114-U114,2)</f>
      </c>
      <c r="AF114" s="33">
        <f>IF(V114&lt;=0,0,MAX(0,MIN(V114,ROUND($AZ114-SUMPRODUCT($V114:$AE114*($V114:$AE114&gt;0)*(($V114:$AE114&lt;V114)+($V114:$AE114=V114)*($V$3:$AE$3&gt;V$3)+($V114:$AE114=V114)*($V$3:$AE$3=V$3)*($V$2:$AE$2&lt;V$2))),2))))</f>
      </c>
      <c r="AG114" s="33">
        <f>IF(W114&lt;=0,0,MAX(0,MIN(W114,ROUND($AZ114-SUMPRODUCT($V114:$AE114*($V114:$AE114&gt;0)*(($V114:$AE114&lt;W114)+($V114:$AE114=W114)*($V$3:$AE$3&gt;W$3)+($V114:$AE114=W114)*($V$3:$AE$3=W$3)*($V$2:$AE$2&lt;W$2))),2))))</f>
      </c>
      <c r="AH114" s="33">
        <f>IF(X114&lt;=0,0,MAX(0,MIN(X114,ROUND($AZ114-SUMPRODUCT($V114:$AE114*($V114:$AE114&gt;0)*(($V114:$AE114&lt;X114)+($V114:$AE114=X114)*($V$3:$AE$3&gt;X$3)+($V114:$AE114=X114)*($V$3:$AE$3=X$3)*($V$2:$AE$2&lt;X$2))),2))))</f>
      </c>
      <c r="AI114" s="33">
        <f>IF(Y114&lt;=0,0,MAX(0,MIN(Y114,ROUND($AZ114-SUMPRODUCT($V114:$AE114*($V114:$AE114&gt;0)*(($V114:$AE114&lt;Y114)+($V114:$AE114=Y114)*($V$3:$AE$3&gt;Y$3)+($V114:$AE114=Y114)*($V$3:$AE$3=Y$3)*($V$2:$AE$2&lt;Y$2))),2))))</f>
      </c>
      <c r="AJ114" s="33">
        <f>IF(Z114&lt;=0,0,MAX(0,MIN(Z114,ROUND($AZ114-SUMPRODUCT($V114:$AE114*($V114:$AE114&gt;0)*(($V114:$AE114&lt;Z114)+($V114:$AE114=Z114)*($V$3:$AE$3&gt;Z$3)+($V114:$AE114=Z114)*($V$3:$AE$3=Z$3)*($V$2:$AE$2&lt;Z$2))),2))))</f>
      </c>
      <c r="AK114" s="33">
        <f>IF(AA114&lt;=0,0,MAX(0,MIN(AA114,ROUND($AZ114-SUMPRODUCT($V114:$AE114*($V114:$AE114&gt;0)*(($V114:$AE114&lt;AA114)+($V114:$AE114=AA114)*($V$3:$AE$3&gt;AA$3)+($V114:$AE114=AA114)*($V$3:$AE$3=AA$3)*($V$2:$AE$2&lt;AA$2))),2))))</f>
      </c>
      <c r="AL114" s="33">
        <f>IF(AB114&lt;=0,0,MAX(0,MIN(AB114,ROUND($AZ114-SUMPRODUCT($V114:$AE114*($V114:$AE114&gt;0)*(($V114:$AE114&lt;AB114)+($V114:$AE114=AB114)*($V$3:$AE$3&gt;AB$3)+($V114:$AE114=AB114)*($V$3:$AE$3=AB$3)*($V$2:$AE$2&lt;AB$2))),2))))</f>
      </c>
      <c r="AM114" s="33">
        <f>IF(AC114&lt;=0,0,MAX(0,MIN(AC114,ROUND($AZ114-SUMPRODUCT($V114:$AE114*($V114:$AE114&gt;0)*(($V114:$AE114&lt;AC114)+($V114:$AE114=AC114)*($V$3:$AE$3&gt;AC$3)+($V114:$AE114=AC114)*($V$3:$AE$3=AC$3)*($V$2:$AE$2&lt;AC$2))),2))))</f>
      </c>
      <c r="AN114" s="33">
        <f>IF(AD114&lt;=0,0,MAX(0,MIN(AD114,ROUND($AZ114-SUMPRODUCT($V114:$AE114*($V114:$AE114&gt;0)*(($V114:$AE114&lt;AD114)+($V114:$AE114=AD114)*($V$3:$AE$3&gt;AD$3)+($V114:$AE114=AD114)*($V$3:$AE$3=AD$3)*($V$2:$AE$2&lt;AD$2))),2))))</f>
      </c>
      <c r="AO114" s="33">
        <f>IF(AE114&lt;=0,0,MAX(0,MIN(AE114,ROUND($AZ114-SUMPRODUCT($V114:$AE114*($V114:$AE114&gt;0)*(($V114:$AE114&lt;AE114)+($V114:$AE114=AE114)*($V$3:$AE$3&gt;AE$3)+($V114:$AE114=AE114)*($V$3:$AE$3=AE$3)*($V$2:$AE$2&lt;AE$2))),2))))</f>
      </c>
      <c r="AP114" s="33">
        <f>ROUND(V114-AF114,2)</f>
      </c>
      <c r="AQ114" s="33">
        <f>ROUND(W114-AG114,2)</f>
      </c>
      <c r="AR114" s="33">
        <f>ROUND(X114-AH114,2)</f>
      </c>
      <c r="AS114" s="33">
        <f>ROUND(Y114-AI114,2)</f>
      </c>
      <c r="AT114" s="33">
        <f>ROUND(Z114-AJ114,2)</f>
      </c>
      <c r="AU114" s="33">
        <f>ROUND(AA114-AK114,2)</f>
      </c>
      <c r="AV114" s="33">
        <f>ROUND(AB114-AL114,2)</f>
      </c>
      <c r="AW114" s="33">
        <f>ROUND(AC114-AM114,2)</f>
      </c>
      <c r="AX114" s="33">
        <f>ROUND(AD114-AN114,2)</f>
      </c>
      <c r="AY114" s="33">
        <f>ROUND(AE114-AO114,2)</f>
      </c>
      <c r="AZ114" s="33">
        <f>ROUND(MAX(0,'Your debts'!$D$22-SUM($L114:$U114)),2)</f>
      </c>
      <c r="BA114" s="33">
        <f>ROUND(SUM($B114:$K114)-SUM($AP113:$AY113),2)</f>
      </c>
      <c r="BB114" s="33">
        <f>SUM($AP114:$AY114)</f>
      </c>
      <c r="BC114" s="33">
        <f>ROUND(SUM($L114:$U114)+SUM($AF114:$AO114),2)</f>
      </c>
    </row>
    <row r="115" spans="1:55" x14ac:dyDescent="0.25">
      <c r="A115">
        <v>108</v>
      </c>
      <c r="B115" s="33">
        <f>IF(AP114&lt;=0,0,ROUND(AP114+ROUND(AP114*V$3/12,2),2))</f>
      </c>
      <c r="C115" s="33">
        <f>IF(AQ114&lt;=0,0,ROUND(AQ114+ROUND(AQ114*W$3/12,2),2))</f>
      </c>
      <c r="D115" s="33">
        <f>IF(AR114&lt;=0,0,ROUND(AR114+ROUND(AR114*X$3/12,2),2))</f>
      </c>
      <c r="E115" s="33">
        <f>IF(AS114&lt;=0,0,ROUND(AS114+ROUND(AS114*Y$3/12,2),2))</f>
      </c>
      <c r="F115" s="33">
        <f>IF(AT114&lt;=0,0,ROUND(AT114+ROUND(AT114*Z$3/12,2),2))</f>
      </c>
      <c r="G115" s="33">
        <f>IF(AU114&lt;=0,0,ROUND(AU114+ROUND(AU114*AA$3/12,2),2))</f>
      </c>
      <c r="H115" s="33">
        <f>IF(AV114&lt;=0,0,ROUND(AV114+ROUND(AV114*AB$3/12,2),2))</f>
      </c>
      <c r="I115" s="33">
        <f>IF(AW114&lt;=0,0,ROUND(AW114+ROUND(AW114*AC$3/12,2),2))</f>
      </c>
      <c r="J115" s="33">
        <f>IF(AX114&lt;=0,0,ROUND(AX114+ROUND(AX114*AD$3/12,2),2))</f>
      </c>
      <c r="K115" s="33">
        <f>IF(AY114&lt;=0,0,ROUND(AY114+ROUND(AY114*AE$3/12,2),2))</f>
      </c>
      <c r="L115" s="33">
        <f>ROUND(MIN(MAX(0,N('Your debts'!$E$6)),B115),2)</f>
      </c>
      <c r="M115" s="33">
        <f>ROUND(MIN(MAX(0,N('Your debts'!$E$7)),C115),2)</f>
      </c>
      <c r="N115" s="33">
        <f>ROUND(MIN(MAX(0,N('Your debts'!$E$8)),D115),2)</f>
      </c>
      <c r="O115" s="33">
        <f>ROUND(MIN(MAX(0,N('Your debts'!$E$9)),E115),2)</f>
      </c>
      <c r="P115" s="33">
        <f>ROUND(MIN(MAX(0,N('Your debts'!$E$10)),F115),2)</f>
      </c>
      <c r="Q115" s="33">
        <f>ROUND(MIN(MAX(0,N('Your debts'!$E$11)),G115),2)</f>
      </c>
      <c r="R115" s="33">
        <f>ROUND(MIN(MAX(0,N('Your debts'!$E$12)),H115),2)</f>
      </c>
      <c r="S115" s="33">
        <f>ROUND(MIN(MAX(0,N('Your debts'!$E$13)),I115),2)</f>
      </c>
      <c r="T115" s="33">
        <f>ROUND(MIN(MAX(0,N('Your debts'!$E$14)),J115),2)</f>
      </c>
      <c r="U115" s="33">
        <f>ROUND(MIN(MAX(0,N('Your debts'!$E$15)),K115),2)</f>
      </c>
      <c r="V115" s="33">
        <f>ROUND(B115-L115,2)</f>
      </c>
      <c r="W115" s="33">
        <f>ROUND(C115-M115,2)</f>
      </c>
      <c r="X115" s="33">
        <f>ROUND(D115-N115,2)</f>
      </c>
      <c r="Y115" s="33">
        <f>ROUND(E115-O115,2)</f>
      </c>
      <c r="Z115" s="33">
        <f>ROUND(F115-P115,2)</f>
      </c>
      <c r="AA115" s="33">
        <f>ROUND(G115-Q115,2)</f>
      </c>
      <c r="AB115" s="33">
        <f>ROUND(H115-R115,2)</f>
      </c>
      <c r="AC115" s="33">
        <f>ROUND(I115-S115,2)</f>
      </c>
      <c r="AD115" s="33">
        <f>ROUND(J115-T115,2)</f>
      </c>
      <c r="AE115" s="33">
        <f>ROUND(K115-U115,2)</f>
      </c>
      <c r="AF115" s="33">
        <f>IF(V115&lt;=0,0,MAX(0,MIN(V115,ROUND($AZ115-SUMPRODUCT($V115:$AE115*($V115:$AE115&gt;0)*(($V115:$AE115&lt;V115)+($V115:$AE115=V115)*($V$3:$AE$3&gt;V$3)+($V115:$AE115=V115)*($V$3:$AE$3=V$3)*($V$2:$AE$2&lt;V$2))),2))))</f>
      </c>
      <c r="AG115" s="33">
        <f>IF(W115&lt;=0,0,MAX(0,MIN(W115,ROUND($AZ115-SUMPRODUCT($V115:$AE115*($V115:$AE115&gt;0)*(($V115:$AE115&lt;W115)+($V115:$AE115=W115)*($V$3:$AE$3&gt;W$3)+($V115:$AE115=W115)*($V$3:$AE$3=W$3)*($V$2:$AE$2&lt;W$2))),2))))</f>
      </c>
      <c r="AH115" s="33">
        <f>IF(X115&lt;=0,0,MAX(0,MIN(X115,ROUND($AZ115-SUMPRODUCT($V115:$AE115*($V115:$AE115&gt;0)*(($V115:$AE115&lt;X115)+($V115:$AE115=X115)*($V$3:$AE$3&gt;X$3)+($V115:$AE115=X115)*($V$3:$AE$3=X$3)*($V$2:$AE$2&lt;X$2))),2))))</f>
      </c>
      <c r="AI115" s="33">
        <f>IF(Y115&lt;=0,0,MAX(0,MIN(Y115,ROUND($AZ115-SUMPRODUCT($V115:$AE115*($V115:$AE115&gt;0)*(($V115:$AE115&lt;Y115)+($V115:$AE115=Y115)*($V$3:$AE$3&gt;Y$3)+($V115:$AE115=Y115)*($V$3:$AE$3=Y$3)*($V$2:$AE$2&lt;Y$2))),2))))</f>
      </c>
      <c r="AJ115" s="33">
        <f>IF(Z115&lt;=0,0,MAX(0,MIN(Z115,ROUND($AZ115-SUMPRODUCT($V115:$AE115*($V115:$AE115&gt;0)*(($V115:$AE115&lt;Z115)+($V115:$AE115=Z115)*($V$3:$AE$3&gt;Z$3)+($V115:$AE115=Z115)*($V$3:$AE$3=Z$3)*($V$2:$AE$2&lt;Z$2))),2))))</f>
      </c>
      <c r="AK115" s="33">
        <f>IF(AA115&lt;=0,0,MAX(0,MIN(AA115,ROUND($AZ115-SUMPRODUCT($V115:$AE115*($V115:$AE115&gt;0)*(($V115:$AE115&lt;AA115)+($V115:$AE115=AA115)*($V$3:$AE$3&gt;AA$3)+($V115:$AE115=AA115)*($V$3:$AE$3=AA$3)*($V$2:$AE$2&lt;AA$2))),2))))</f>
      </c>
      <c r="AL115" s="33">
        <f>IF(AB115&lt;=0,0,MAX(0,MIN(AB115,ROUND($AZ115-SUMPRODUCT($V115:$AE115*($V115:$AE115&gt;0)*(($V115:$AE115&lt;AB115)+($V115:$AE115=AB115)*($V$3:$AE$3&gt;AB$3)+($V115:$AE115=AB115)*($V$3:$AE$3=AB$3)*($V$2:$AE$2&lt;AB$2))),2))))</f>
      </c>
      <c r="AM115" s="33">
        <f>IF(AC115&lt;=0,0,MAX(0,MIN(AC115,ROUND($AZ115-SUMPRODUCT($V115:$AE115*($V115:$AE115&gt;0)*(($V115:$AE115&lt;AC115)+($V115:$AE115=AC115)*($V$3:$AE$3&gt;AC$3)+($V115:$AE115=AC115)*($V$3:$AE$3=AC$3)*($V$2:$AE$2&lt;AC$2))),2))))</f>
      </c>
      <c r="AN115" s="33">
        <f>IF(AD115&lt;=0,0,MAX(0,MIN(AD115,ROUND($AZ115-SUMPRODUCT($V115:$AE115*($V115:$AE115&gt;0)*(($V115:$AE115&lt;AD115)+($V115:$AE115=AD115)*($V$3:$AE$3&gt;AD$3)+($V115:$AE115=AD115)*($V$3:$AE$3=AD$3)*($V$2:$AE$2&lt;AD$2))),2))))</f>
      </c>
      <c r="AO115" s="33">
        <f>IF(AE115&lt;=0,0,MAX(0,MIN(AE115,ROUND($AZ115-SUMPRODUCT($V115:$AE115*($V115:$AE115&gt;0)*(($V115:$AE115&lt;AE115)+($V115:$AE115=AE115)*($V$3:$AE$3&gt;AE$3)+($V115:$AE115=AE115)*($V$3:$AE$3=AE$3)*($V$2:$AE$2&lt;AE$2))),2))))</f>
      </c>
      <c r="AP115" s="33">
        <f>ROUND(V115-AF115,2)</f>
      </c>
      <c r="AQ115" s="33">
        <f>ROUND(W115-AG115,2)</f>
      </c>
      <c r="AR115" s="33">
        <f>ROUND(X115-AH115,2)</f>
      </c>
      <c r="AS115" s="33">
        <f>ROUND(Y115-AI115,2)</f>
      </c>
      <c r="AT115" s="33">
        <f>ROUND(Z115-AJ115,2)</f>
      </c>
      <c r="AU115" s="33">
        <f>ROUND(AA115-AK115,2)</f>
      </c>
      <c r="AV115" s="33">
        <f>ROUND(AB115-AL115,2)</f>
      </c>
      <c r="AW115" s="33">
        <f>ROUND(AC115-AM115,2)</f>
      </c>
      <c r="AX115" s="33">
        <f>ROUND(AD115-AN115,2)</f>
      </c>
      <c r="AY115" s="33">
        <f>ROUND(AE115-AO115,2)</f>
      </c>
      <c r="AZ115" s="33">
        <f>ROUND(MAX(0,'Your debts'!$D$22-SUM($L115:$U115)),2)</f>
      </c>
      <c r="BA115" s="33">
        <f>ROUND(SUM($B115:$K115)-SUM($AP114:$AY114),2)</f>
      </c>
      <c r="BB115" s="33">
        <f>SUM($AP115:$AY115)</f>
      </c>
      <c r="BC115" s="33">
        <f>ROUND(SUM($L115:$U115)+SUM($AF115:$AO115),2)</f>
      </c>
    </row>
    <row r="116" spans="1:55" x14ac:dyDescent="0.25">
      <c r="A116">
        <v>109</v>
      </c>
      <c r="B116" s="33">
        <f>IF(AP115&lt;=0,0,ROUND(AP115+ROUND(AP115*V$3/12,2),2))</f>
      </c>
      <c r="C116" s="33">
        <f>IF(AQ115&lt;=0,0,ROUND(AQ115+ROUND(AQ115*W$3/12,2),2))</f>
      </c>
      <c r="D116" s="33">
        <f>IF(AR115&lt;=0,0,ROUND(AR115+ROUND(AR115*X$3/12,2),2))</f>
      </c>
      <c r="E116" s="33">
        <f>IF(AS115&lt;=0,0,ROUND(AS115+ROUND(AS115*Y$3/12,2),2))</f>
      </c>
      <c r="F116" s="33">
        <f>IF(AT115&lt;=0,0,ROUND(AT115+ROUND(AT115*Z$3/12,2),2))</f>
      </c>
      <c r="G116" s="33">
        <f>IF(AU115&lt;=0,0,ROUND(AU115+ROUND(AU115*AA$3/12,2),2))</f>
      </c>
      <c r="H116" s="33">
        <f>IF(AV115&lt;=0,0,ROUND(AV115+ROUND(AV115*AB$3/12,2),2))</f>
      </c>
      <c r="I116" s="33">
        <f>IF(AW115&lt;=0,0,ROUND(AW115+ROUND(AW115*AC$3/12,2),2))</f>
      </c>
      <c r="J116" s="33">
        <f>IF(AX115&lt;=0,0,ROUND(AX115+ROUND(AX115*AD$3/12,2),2))</f>
      </c>
      <c r="K116" s="33">
        <f>IF(AY115&lt;=0,0,ROUND(AY115+ROUND(AY115*AE$3/12,2),2))</f>
      </c>
      <c r="L116" s="33">
        <f>ROUND(MIN(MAX(0,N('Your debts'!$E$6)),B116),2)</f>
      </c>
      <c r="M116" s="33">
        <f>ROUND(MIN(MAX(0,N('Your debts'!$E$7)),C116),2)</f>
      </c>
      <c r="N116" s="33">
        <f>ROUND(MIN(MAX(0,N('Your debts'!$E$8)),D116),2)</f>
      </c>
      <c r="O116" s="33">
        <f>ROUND(MIN(MAX(0,N('Your debts'!$E$9)),E116),2)</f>
      </c>
      <c r="P116" s="33">
        <f>ROUND(MIN(MAX(0,N('Your debts'!$E$10)),F116),2)</f>
      </c>
      <c r="Q116" s="33">
        <f>ROUND(MIN(MAX(0,N('Your debts'!$E$11)),G116),2)</f>
      </c>
      <c r="R116" s="33">
        <f>ROUND(MIN(MAX(0,N('Your debts'!$E$12)),H116),2)</f>
      </c>
      <c r="S116" s="33">
        <f>ROUND(MIN(MAX(0,N('Your debts'!$E$13)),I116),2)</f>
      </c>
      <c r="T116" s="33">
        <f>ROUND(MIN(MAX(0,N('Your debts'!$E$14)),J116),2)</f>
      </c>
      <c r="U116" s="33">
        <f>ROUND(MIN(MAX(0,N('Your debts'!$E$15)),K116),2)</f>
      </c>
      <c r="V116" s="33">
        <f>ROUND(B116-L116,2)</f>
      </c>
      <c r="W116" s="33">
        <f>ROUND(C116-M116,2)</f>
      </c>
      <c r="X116" s="33">
        <f>ROUND(D116-N116,2)</f>
      </c>
      <c r="Y116" s="33">
        <f>ROUND(E116-O116,2)</f>
      </c>
      <c r="Z116" s="33">
        <f>ROUND(F116-P116,2)</f>
      </c>
      <c r="AA116" s="33">
        <f>ROUND(G116-Q116,2)</f>
      </c>
      <c r="AB116" s="33">
        <f>ROUND(H116-R116,2)</f>
      </c>
      <c r="AC116" s="33">
        <f>ROUND(I116-S116,2)</f>
      </c>
      <c r="AD116" s="33">
        <f>ROUND(J116-T116,2)</f>
      </c>
      <c r="AE116" s="33">
        <f>ROUND(K116-U116,2)</f>
      </c>
      <c r="AF116" s="33">
        <f>IF(V116&lt;=0,0,MAX(0,MIN(V116,ROUND($AZ116-SUMPRODUCT($V116:$AE116*($V116:$AE116&gt;0)*(($V116:$AE116&lt;V116)+($V116:$AE116=V116)*($V$3:$AE$3&gt;V$3)+($V116:$AE116=V116)*($V$3:$AE$3=V$3)*($V$2:$AE$2&lt;V$2))),2))))</f>
      </c>
      <c r="AG116" s="33">
        <f>IF(W116&lt;=0,0,MAX(0,MIN(W116,ROUND($AZ116-SUMPRODUCT($V116:$AE116*($V116:$AE116&gt;0)*(($V116:$AE116&lt;W116)+($V116:$AE116=W116)*($V$3:$AE$3&gt;W$3)+($V116:$AE116=W116)*($V$3:$AE$3=W$3)*($V$2:$AE$2&lt;W$2))),2))))</f>
      </c>
      <c r="AH116" s="33">
        <f>IF(X116&lt;=0,0,MAX(0,MIN(X116,ROUND($AZ116-SUMPRODUCT($V116:$AE116*($V116:$AE116&gt;0)*(($V116:$AE116&lt;X116)+($V116:$AE116=X116)*($V$3:$AE$3&gt;X$3)+($V116:$AE116=X116)*($V$3:$AE$3=X$3)*($V$2:$AE$2&lt;X$2))),2))))</f>
      </c>
      <c r="AI116" s="33">
        <f>IF(Y116&lt;=0,0,MAX(0,MIN(Y116,ROUND($AZ116-SUMPRODUCT($V116:$AE116*($V116:$AE116&gt;0)*(($V116:$AE116&lt;Y116)+($V116:$AE116=Y116)*($V$3:$AE$3&gt;Y$3)+($V116:$AE116=Y116)*($V$3:$AE$3=Y$3)*($V$2:$AE$2&lt;Y$2))),2))))</f>
      </c>
      <c r="AJ116" s="33">
        <f>IF(Z116&lt;=0,0,MAX(0,MIN(Z116,ROUND($AZ116-SUMPRODUCT($V116:$AE116*($V116:$AE116&gt;0)*(($V116:$AE116&lt;Z116)+($V116:$AE116=Z116)*($V$3:$AE$3&gt;Z$3)+($V116:$AE116=Z116)*($V$3:$AE$3=Z$3)*($V$2:$AE$2&lt;Z$2))),2))))</f>
      </c>
      <c r="AK116" s="33">
        <f>IF(AA116&lt;=0,0,MAX(0,MIN(AA116,ROUND($AZ116-SUMPRODUCT($V116:$AE116*($V116:$AE116&gt;0)*(($V116:$AE116&lt;AA116)+($V116:$AE116=AA116)*($V$3:$AE$3&gt;AA$3)+($V116:$AE116=AA116)*($V$3:$AE$3=AA$3)*($V$2:$AE$2&lt;AA$2))),2))))</f>
      </c>
      <c r="AL116" s="33">
        <f>IF(AB116&lt;=0,0,MAX(0,MIN(AB116,ROUND($AZ116-SUMPRODUCT($V116:$AE116*($V116:$AE116&gt;0)*(($V116:$AE116&lt;AB116)+($V116:$AE116=AB116)*($V$3:$AE$3&gt;AB$3)+($V116:$AE116=AB116)*($V$3:$AE$3=AB$3)*($V$2:$AE$2&lt;AB$2))),2))))</f>
      </c>
      <c r="AM116" s="33">
        <f>IF(AC116&lt;=0,0,MAX(0,MIN(AC116,ROUND($AZ116-SUMPRODUCT($V116:$AE116*($V116:$AE116&gt;0)*(($V116:$AE116&lt;AC116)+($V116:$AE116=AC116)*($V$3:$AE$3&gt;AC$3)+($V116:$AE116=AC116)*($V$3:$AE$3=AC$3)*($V$2:$AE$2&lt;AC$2))),2))))</f>
      </c>
      <c r="AN116" s="33">
        <f>IF(AD116&lt;=0,0,MAX(0,MIN(AD116,ROUND($AZ116-SUMPRODUCT($V116:$AE116*($V116:$AE116&gt;0)*(($V116:$AE116&lt;AD116)+($V116:$AE116=AD116)*($V$3:$AE$3&gt;AD$3)+($V116:$AE116=AD116)*($V$3:$AE$3=AD$3)*($V$2:$AE$2&lt;AD$2))),2))))</f>
      </c>
      <c r="AO116" s="33">
        <f>IF(AE116&lt;=0,0,MAX(0,MIN(AE116,ROUND($AZ116-SUMPRODUCT($V116:$AE116*($V116:$AE116&gt;0)*(($V116:$AE116&lt;AE116)+($V116:$AE116=AE116)*($V$3:$AE$3&gt;AE$3)+($V116:$AE116=AE116)*($V$3:$AE$3=AE$3)*($V$2:$AE$2&lt;AE$2))),2))))</f>
      </c>
      <c r="AP116" s="33">
        <f>ROUND(V116-AF116,2)</f>
      </c>
      <c r="AQ116" s="33">
        <f>ROUND(W116-AG116,2)</f>
      </c>
      <c r="AR116" s="33">
        <f>ROUND(X116-AH116,2)</f>
      </c>
      <c r="AS116" s="33">
        <f>ROUND(Y116-AI116,2)</f>
      </c>
      <c r="AT116" s="33">
        <f>ROUND(Z116-AJ116,2)</f>
      </c>
      <c r="AU116" s="33">
        <f>ROUND(AA116-AK116,2)</f>
      </c>
      <c r="AV116" s="33">
        <f>ROUND(AB116-AL116,2)</f>
      </c>
      <c r="AW116" s="33">
        <f>ROUND(AC116-AM116,2)</f>
      </c>
      <c r="AX116" s="33">
        <f>ROUND(AD116-AN116,2)</f>
      </c>
      <c r="AY116" s="33">
        <f>ROUND(AE116-AO116,2)</f>
      </c>
      <c r="AZ116" s="33">
        <f>ROUND(MAX(0,'Your debts'!$D$22-SUM($L116:$U116)),2)</f>
      </c>
      <c r="BA116" s="33">
        <f>ROUND(SUM($B116:$K116)-SUM($AP115:$AY115),2)</f>
      </c>
      <c r="BB116" s="33">
        <f>SUM($AP116:$AY116)</f>
      </c>
      <c r="BC116" s="33">
        <f>ROUND(SUM($L116:$U116)+SUM($AF116:$AO116),2)</f>
      </c>
    </row>
    <row r="117" spans="1:55" x14ac:dyDescent="0.25">
      <c r="A117">
        <v>110</v>
      </c>
      <c r="B117" s="33">
        <f>IF(AP116&lt;=0,0,ROUND(AP116+ROUND(AP116*V$3/12,2),2))</f>
      </c>
      <c r="C117" s="33">
        <f>IF(AQ116&lt;=0,0,ROUND(AQ116+ROUND(AQ116*W$3/12,2),2))</f>
      </c>
      <c r="D117" s="33">
        <f>IF(AR116&lt;=0,0,ROUND(AR116+ROUND(AR116*X$3/12,2),2))</f>
      </c>
      <c r="E117" s="33">
        <f>IF(AS116&lt;=0,0,ROUND(AS116+ROUND(AS116*Y$3/12,2),2))</f>
      </c>
      <c r="F117" s="33">
        <f>IF(AT116&lt;=0,0,ROUND(AT116+ROUND(AT116*Z$3/12,2),2))</f>
      </c>
      <c r="G117" s="33">
        <f>IF(AU116&lt;=0,0,ROUND(AU116+ROUND(AU116*AA$3/12,2),2))</f>
      </c>
      <c r="H117" s="33">
        <f>IF(AV116&lt;=0,0,ROUND(AV116+ROUND(AV116*AB$3/12,2),2))</f>
      </c>
      <c r="I117" s="33">
        <f>IF(AW116&lt;=0,0,ROUND(AW116+ROUND(AW116*AC$3/12,2),2))</f>
      </c>
      <c r="J117" s="33">
        <f>IF(AX116&lt;=0,0,ROUND(AX116+ROUND(AX116*AD$3/12,2),2))</f>
      </c>
      <c r="K117" s="33">
        <f>IF(AY116&lt;=0,0,ROUND(AY116+ROUND(AY116*AE$3/12,2),2))</f>
      </c>
      <c r="L117" s="33">
        <f>ROUND(MIN(MAX(0,N('Your debts'!$E$6)),B117),2)</f>
      </c>
      <c r="M117" s="33">
        <f>ROUND(MIN(MAX(0,N('Your debts'!$E$7)),C117),2)</f>
      </c>
      <c r="N117" s="33">
        <f>ROUND(MIN(MAX(0,N('Your debts'!$E$8)),D117),2)</f>
      </c>
      <c r="O117" s="33">
        <f>ROUND(MIN(MAX(0,N('Your debts'!$E$9)),E117),2)</f>
      </c>
      <c r="P117" s="33">
        <f>ROUND(MIN(MAX(0,N('Your debts'!$E$10)),F117),2)</f>
      </c>
      <c r="Q117" s="33">
        <f>ROUND(MIN(MAX(0,N('Your debts'!$E$11)),G117),2)</f>
      </c>
      <c r="R117" s="33">
        <f>ROUND(MIN(MAX(0,N('Your debts'!$E$12)),H117),2)</f>
      </c>
      <c r="S117" s="33">
        <f>ROUND(MIN(MAX(0,N('Your debts'!$E$13)),I117),2)</f>
      </c>
      <c r="T117" s="33">
        <f>ROUND(MIN(MAX(0,N('Your debts'!$E$14)),J117),2)</f>
      </c>
      <c r="U117" s="33">
        <f>ROUND(MIN(MAX(0,N('Your debts'!$E$15)),K117),2)</f>
      </c>
      <c r="V117" s="33">
        <f>ROUND(B117-L117,2)</f>
      </c>
      <c r="W117" s="33">
        <f>ROUND(C117-M117,2)</f>
      </c>
      <c r="X117" s="33">
        <f>ROUND(D117-N117,2)</f>
      </c>
      <c r="Y117" s="33">
        <f>ROUND(E117-O117,2)</f>
      </c>
      <c r="Z117" s="33">
        <f>ROUND(F117-P117,2)</f>
      </c>
      <c r="AA117" s="33">
        <f>ROUND(G117-Q117,2)</f>
      </c>
      <c r="AB117" s="33">
        <f>ROUND(H117-R117,2)</f>
      </c>
      <c r="AC117" s="33">
        <f>ROUND(I117-S117,2)</f>
      </c>
      <c r="AD117" s="33">
        <f>ROUND(J117-T117,2)</f>
      </c>
      <c r="AE117" s="33">
        <f>ROUND(K117-U117,2)</f>
      </c>
      <c r="AF117" s="33">
        <f>IF(V117&lt;=0,0,MAX(0,MIN(V117,ROUND($AZ117-SUMPRODUCT($V117:$AE117*($V117:$AE117&gt;0)*(($V117:$AE117&lt;V117)+($V117:$AE117=V117)*($V$3:$AE$3&gt;V$3)+($V117:$AE117=V117)*($V$3:$AE$3=V$3)*($V$2:$AE$2&lt;V$2))),2))))</f>
      </c>
      <c r="AG117" s="33">
        <f>IF(W117&lt;=0,0,MAX(0,MIN(W117,ROUND($AZ117-SUMPRODUCT($V117:$AE117*($V117:$AE117&gt;0)*(($V117:$AE117&lt;W117)+($V117:$AE117=W117)*($V$3:$AE$3&gt;W$3)+($V117:$AE117=W117)*($V$3:$AE$3=W$3)*($V$2:$AE$2&lt;W$2))),2))))</f>
      </c>
      <c r="AH117" s="33">
        <f>IF(X117&lt;=0,0,MAX(0,MIN(X117,ROUND($AZ117-SUMPRODUCT($V117:$AE117*($V117:$AE117&gt;0)*(($V117:$AE117&lt;X117)+($V117:$AE117=X117)*($V$3:$AE$3&gt;X$3)+($V117:$AE117=X117)*($V$3:$AE$3=X$3)*($V$2:$AE$2&lt;X$2))),2))))</f>
      </c>
      <c r="AI117" s="33">
        <f>IF(Y117&lt;=0,0,MAX(0,MIN(Y117,ROUND($AZ117-SUMPRODUCT($V117:$AE117*($V117:$AE117&gt;0)*(($V117:$AE117&lt;Y117)+($V117:$AE117=Y117)*($V$3:$AE$3&gt;Y$3)+($V117:$AE117=Y117)*($V$3:$AE$3=Y$3)*($V$2:$AE$2&lt;Y$2))),2))))</f>
      </c>
      <c r="AJ117" s="33">
        <f>IF(Z117&lt;=0,0,MAX(0,MIN(Z117,ROUND($AZ117-SUMPRODUCT($V117:$AE117*($V117:$AE117&gt;0)*(($V117:$AE117&lt;Z117)+($V117:$AE117=Z117)*($V$3:$AE$3&gt;Z$3)+($V117:$AE117=Z117)*($V$3:$AE$3=Z$3)*($V$2:$AE$2&lt;Z$2))),2))))</f>
      </c>
      <c r="AK117" s="33">
        <f>IF(AA117&lt;=0,0,MAX(0,MIN(AA117,ROUND($AZ117-SUMPRODUCT($V117:$AE117*($V117:$AE117&gt;0)*(($V117:$AE117&lt;AA117)+($V117:$AE117=AA117)*($V$3:$AE$3&gt;AA$3)+($V117:$AE117=AA117)*($V$3:$AE$3=AA$3)*($V$2:$AE$2&lt;AA$2))),2))))</f>
      </c>
      <c r="AL117" s="33">
        <f>IF(AB117&lt;=0,0,MAX(0,MIN(AB117,ROUND($AZ117-SUMPRODUCT($V117:$AE117*($V117:$AE117&gt;0)*(($V117:$AE117&lt;AB117)+($V117:$AE117=AB117)*($V$3:$AE$3&gt;AB$3)+($V117:$AE117=AB117)*($V$3:$AE$3=AB$3)*($V$2:$AE$2&lt;AB$2))),2))))</f>
      </c>
      <c r="AM117" s="33">
        <f>IF(AC117&lt;=0,0,MAX(0,MIN(AC117,ROUND($AZ117-SUMPRODUCT($V117:$AE117*($V117:$AE117&gt;0)*(($V117:$AE117&lt;AC117)+($V117:$AE117=AC117)*($V$3:$AE$3&gt;AC$3)+($V117:$AE117=AC117)*($V$3:$AE$3=AC$3)*($V$2:$AE$2&lt;AC$2))),2))))</f>
      </c>
      <c r="AN117" s="33">
        <f>IF(AD117&lt;=0,0,MAX(0,MIN(AD117,ROUND($AZ117-SUMPRODUCT($V117:$AE117*($V117:$AE117&gt;0)*(($V117:$AE117&lt;AD117)+($V117:$AE117=AD117)*($V$3:$AE$3&gt;AD$3)+($V117:$AE117=AD117)*($V$3:$AE$3=AD$3)*($V$2:$AE$2&lt;AD$2))),2))))</f>
      </c>
      <c r="AO117" s="33">
        <f>IF(AE117&lt;=0,0,MAX(0,MIN(AE117,ROUND($AZ117-SUMPRODUCT($V117:$AE117*($V117:$AE117&gt;0)*(($V117:$AE117&lt;AE117)+($V117:$AE117=AE117)*($V$3:$AE$3&gt;AE$3)+($V117:$AE117=AE117)*($V$3:$AE$3=AE$3)*($V$2:$AE$2&lt;AE$2))),2))))</f>
      </c>
      <c r="AP117" s="33">
        <f>ROUND(V117-AF117,2)</f>
      </c>
      <c r="AQ117" s="33">
        <f>ROUND(W117-AG117,2)</f>
      </c>
      <c r="AR117" s="33">
        <f>ROUND(X117-AH117,2)</f>
      </c>
      <c r="AS117" s="33">
        <f>ROUND(Y117-AI117,2)</f>
      </c>
      <c r="AT117" s="33">
        <f>ROUND(Z117-AJ117,2)</f>
      </c>
      <c r="AU117" s="33">
        <f>ROUND(AA117-AK117,2)</f>
      </c>
      <c r="AV117" s="33">
        <f>ROUND(AB117-AL117,2)</f>
      </c>
      <c r="AW117" s="33">
        <f>ROUND(AC117-AM117,2)</f>
      </c>
      <c r="AX117" s="33">
        <f>ROUND(AD117-AN117,2)</f>
      </c>
      <c r="AY117" s="33">
        <f>ROUND(AE117-AO117,2)</f>
      </c>
      <c r="AZ117" s="33">
        <f>ROUND(MAX(0,'Your debts'!$D$22-SUM($L117:$U117)),2)</f>
      </c>
      <c r="BA117" s="33">
        <f>ROUND(SUM($B117:$K117)-SUM($AP116:$AY116),2)</f>
      </c>
      <c r="BB117" s="33">
        <f>SUM($AP117:$AY117)</f>
      </c>
      <c r="BC117" s="33">
        <f>ROUND(SUM($L117:$U117)+SUM($AF117:$AO117),2)</f>
      </c>
    </row>
    <row r="118" spans="1:55" x14ac:dyDescent="0.25">
      <c r="A118">
        <v>111</v>
      </c>
      <c r="B118" s="33">
        <f>IF(AP117&lt;=0,0,ROUND(AP117+ROUND(AP117*V$3/12,2),2))</f>
      </c>
      <c r="C118" s="33">
        <f>IF(AQ117&lt;=0,0,ROUND(AQ117+ROUND(AQ117*W$3/12,2),2))</f>
      </c>
      <c r="D118" s="33">
        <f>IF(AR117&lt;=0,0,ROUND(AR117+ROUND(AR117*X$3/12,2),2))</f>
      </c>
      <c r="E118" s="33">
        <f>IF(AS117&lt;=0,0,ROUND(AS117+ROUND(AS117*Y$3/12,2),2))</f>
      </c>
      <c r="F118" s="33">
        <f>IF(AT117&lt;=0,0,ROUND(AT117+ROUND(AT117*Z$3/12,2),2))</f>
      </c>
      <c r="G118" s="33">
        <f>IF(AU117&lt;=0,0,ROUND(AU117+ROUND(AU117*AA$3/12,2),2))</f>
      </c>
      <c r="H118" s="33">
        <f>IF(AV117&lt;=0,0,ROUND(AV117+ROUND(AV117*AB$3/12,2),2))</f>
      </c>
      <c r="I118" s="33">
        <f>IF(AW117&lt;=0,0,ROUND(AW117+ROUND(AW117*AC$3/12,2),2))</f>
      </c>
      <c r="J118" s="33">
        <f>IF(AX117&lt;=0,0,ROUND(AX117+ROUND(AX117*AD$3/12,2),2))</f>
      </c>
      <c r="K118" s="33">
        <f>IF(AY117&lt;=0,0,ROUND(AY117+ROUND(AY117*AE$3/12,2),2))</f>
      </c>
      <c r="L118" s="33">
        <f>ROUND(MIN(MAX(0,N('Your debts'!$E$6)),B118),2)</f>
      </c>
      <c r="M118" s="33">
        <f>ROUND(MIN(MAX(0,N('Your debts'!$E$7)),C118),2)</f>
      </c>
      <c r="N118" s="33">
        <f>ROUND(MIN(MAX(0,N('Your debts'!$E$8)),D118),2)</f>
      </c>
      <c r="O118" s="33">
        <f>ROUND(MIN(MAX(0,N('Your debts'!$E$9)),E118),2)</f>
      </c>
      <c r="P118" s="33">
        <f>ROUND(MIN(MAX(0,N('Your debts'!$E$10)),F118),2)</f>
      </c>
      <c r="Q118" s="33">
        <f>ROUND(MIN(MAX(0,N('Your debts'!$E$11)),G118),2)</f>
      </c>
      <c r="R118" s="33">
        <f>ROUND(MIN(MAX(0,N('Your debts'!$E$12)),H118),2)</f>
      </c>
      <c r="S118" s="33">
        <f>ROUND(MIN(MAX(0,N('Your debts'!$E$13)),I118),2)</f>
      </c>
      <c r="T118" s="33">
        <f>ROUND(MIN(MAX(0,N('Your debts'!$E$14)),J118),2)</f>
      </c>
      <c r="U118" s="33">
        <f>ROUND(MIN(MAX(0,N('Your debts'!$E$15)),K118),2)</f>
      </c>
      <c r="V118" s="33">
        <f>ROUND(B118-L118,2)</f>
      </c>
      <c r="W118" s="33">
        <f>ROUND(C118-M118,2)</f>
      </c>
      <c r="X118" s="33">
        <f>ROUND(D118-N118,2)</f>
      </c>
      <c r="Y118" s="33">
        <f>ROUND(E118-O118,2)</f>
      </c>
      <c r="Z118" s="33">
        <f>ROUND(F118-P118,2)</f>
      </c>
      <c r="AA118" s="33">
        <f>ROUND(G118-Q118,2)</f>
      </c>
      <c r="AB118" s="33">
        <f>ROUND(H118-R118,2)</f>
      </c>
      <c r="AC118" s="33">
        <f>ROUND(I118-S118,2)</f>
      </c>
      <c r="AD118" s="33">
        <f>ROUND(J118-T118,2)</f>
      </c>
      <c r="AE118" s="33">
        <f>ROUND(K118-U118,2)</f>
      </c>
      <c r="AF118" s="33">
        <f>IF(V118&lt;=0,0,MAX(0,MIN(V118,ROUND($AZ118-SUMPRODUCT($V118:$AE118*($V118:$AE118&gt;0)*(($V118:$AE118&lt;V118)+($V118:$AE118=V118)*($V$3:$AE$3&gt;V$3)+($V118:$AE118=V118)*($V$3:$AE$3=V$3)*($V$2:$AE$2&lt;V$2))),2))))</f>
      </c>
      <c r="AG118" s="33">
        <f>IF(W118&lt;=0,0,MAX(0,MIN(W118,ROUND($AZ118-SUMPRODUCT($V118:$AE118*($V118:$AE118&gt;0)*(($V118:$AE118&lt;W118)+($V118:$AE118=W118)*($V$3:$AE$3&gt;W$3)+($V118:$AE118=W118)*($V$3:$AE$3=W$3)*($V$2:$AE$2&lt;W$2))),2))))</f>
      </c>
      <c r="AH118" s="33">
        <f>IF(X118&lt;=0,0,MAX(0,MIN(X118,ROUND($AZ118-SUMPRODUCT($V118:$AE118*($V118:$AE118&gt;0)*(($V118:$AE118&lt;X118)+($V118:$AE118=X118)*($V$3:$AE$3&gt;X$3)+($V118:$AE118=X118)*($V$3:$AE$3=X$3)*($V$2:$AE$2&lt;X$2))),2))))</f>
      </c>
      <c r="AI118" s="33">
        <f>IF(Y118&lt;=0,0,MAX(0,MIN(Y118,ROUND($AZ118-SUMPRODUCT($V118:$AE118*($V118:$AE118&gt;0)*(($V118:$AE118&lt;Y118)+($V118:$AE118=Y118)*($V$3:$AE$3&gt;Y$3)+($V118:$AE118=Y118)*($V$3:$AE$3=Y$3)*($V$2:$AE$2&lt;Y$2))),2))))</f>
      </c>
      <c r="AJ118" s="33">
        <f>IF(Z118&lt;=0,0,MAX(0,MIN(Z118,ROUND($AZ118-SUMPRODUCT($V118:$AE118*($V118:$AE118&gt;0)*(($V118:$AE118&lt;Z118)+($V118:$AE118=Z118)*($V$3:$AE$3&gt;Z$3)+($V118:$AE118=Z118)*($V$3:$AE$3=Z$3)*($V$2:$AE$2&lt;Z$2))),2))))</f>
      </c>
      <c r="AK118" s="33">
        <f>IF(AA118&lt;=0,0,MAX(0,MIN(AA118,ROUND($AZ118-SUMPRODUCT($V118:$AE118*($V118:$AE118&gt;0)*(($V118:$AE118&lt;AA118)+($V118:$AE118=AA118)*($V$3:$AE$3&gt;AA$3)+($V118:$AE118=AA118)*($V$3:$AE$3=AA$3)*($V$2:$AE$2&lt;AA$2))),2))))</f>
      </c>
      <c r="AL118" s="33">
        <f>IF(AB118&lt;=0,0,MAX(0,MIN(AB118,ROUND($AZ118-SUMPRODUCT($V118:$AE118*($V118:$AE118&gt;0)*(($V118:$AE118&lt;AB118)+($V118:$AE118=AB118)*($V$3:$AE$3&gt;AB$3)+($V118:$AE118=AB118)*($V$3:$AE$3=AB$3)*($V$2:$AE$2&lt;AB$2))),2))))</f>
      </c>
      <c r="AM118" s="33">
        <f>IF(AC118&lt;=0,0,MAX(0,MIN(AC118,ROUND($AZ118-SUMPRODUCT($V118:$AE118*($V118:$AE118&gt;0)*(($V118:$AE118&lt;AC118)+($V118:$AE118=AC118)*($V$3:$AE$3&gt;AC$3)+($V118:$AE118=AC118)*($V$3:$AE$3=AC$3)*($V$2:$AE$2&lt;AC$2))),2))))</f>
      </c>
      <c r="AN118" s="33">
        <f>IF(AD118&lt;=0,0,MAX(0,MIN(AD118,ROUND($AZ118-SUMPRODUCT($V118:$AE118*($V118:$AE118&gt;0)*(($V118:$AE118&lt;AD118)+($V118:$AE118=AD118)*($V$3:$AE$3&gt;AD$3)+($V118:$AE118=AD118)*($V$3:$AE$3=AD$3)*($V$2:$AE$2&lt;AD$2))),2))))</f>
      </c>
      <c r="AO118" s="33">
        <f>IF(AE118&lt;=0,0,MAX(0,MIN(AE118,ROUND($AZ118-SUMPRODUCT($V118:$AE118*($V118:$AE118&gt;0)*(($V118:$AE118&lt;AE118)+($V118:$AE118=AE118)*($V$3:$AE$3&gt;AE$3)+($V118:$AE118=AE118)*($V$3:$AE$3=AE$3)*($V$2:$AE$2&lt;AE$2))),2))))</f>
      </c>
      <c r="AP118" s="33">
        <f>ROUND(V118-AF118,2)</f>
      </c>
      <c r="AQ118" s="33">
        <f>ROUND(W118-AG118,2)</f>
      </c>
      <c r="AR118" s="33">
        <f>ROUND(X118-AH118,2)</f>
      </c>
      <c r="AS118" s="33">
        <f>ROUND(Y118-AI118,2)</f>
      </c>
      <c r="AT118" s="33">
        <f>ROUND(Z118-AJ118,2)</f>
      </c>
      <c r="AU118" s="33">
        <f>ROUND(AA118-AK118,2)</f>
      </c>
      <c r="AV118" s="33">
        <f>ROUND(AB118-AL118,2)</f>
      </c>
      <c r="AW118" s="33">
        <f>ROUND(AC118-AM118,2)</f>
      </c>
      <c r="AX118" s="33">
        <f>ROUND(AD118-AN118,2)</f>
      </c>
      <c r="AY118" s="33">
        <f>ROUND(AE118-AO118,2)</f>
      </c>
      <c r="AZ118" s="33">
        <f>ROUND(MAX(0,'Your debts'!$D$22-SUM($L118:$U118)),2)</f>
      </c>
      <c r="BA118" s="33">
        <f>ROUND(SUM($B118:$K118)-SUM($AP117:$AY117),2)</f>
      </c>
      <c r="BB118" s="33">
        <f>SUM($AP118:$AY118)</f>
      </c>
      <c r="BC118" s="33">
        <f>ROUND(SUM($L118:$U118)+SUM($AF118:$AO118),2)</f>
      </c>
    </row>
    <row r="119" spans="1:55" x14ac:dyDescent="0.25">
      <c r="A119">
        <v>112</v>
      </c>
      <c r="B119" s="33">
        <f>IF(AP118&lt;=0,0,ROUND(AP118+ROUND(AP118*V$3/12,2),2))</f>
      </c>
      <c r="C119" s="33">
        <f>IF(AQ118&lt;=0,0,ROUND(AQ118+ROUND(AQ118*W$3/12,2),2))</f>
      </c>
      <c r="D119" s="33">
        <f>IF(AR118&lt;=0,0,ROUND(AR118+ROUND(AR118*X$3/12,2),2))</f>
      </c>
      <c r="E119" s="33">
        <f>IF(AS118&lt;=0,0,ROUND(AS118+ROUND(AS118*Y$3/12,2),2))</f>
      </c>
      <c r="F119" s="33">
        <f>IF(AT118&lt;=0,0,ROUND(AT118+ROUND(AT118*Z$3/12,2),2))</f>
      </c>
      <c r="G119" s="33">
        <f>IF(AU118&lt;=0,0,ROUND(AU118+ROUND(AU118*AA$3/12,2),2))</f>
      </c>
      <c r="H119" s="33">
        <f>IF(AV118&lt;=0,0,ROUND(AV118+ROUND(AV118*AB$3/12,2),2))</f>
      </c>
      <c r="I119" s="33">
        <f>IF(AW118&lt;=0,0,ROUND(AW118+ROUND(AW118*AC$3/12,2),2))</f>
      </c>
      <c r="J119" s="33">
        <f>IF(AX118&lt;=0,0,ROUND(AX118+ROUND(AX118*AD$3/12,2),2))</f>
      </c>
      <c r="K119" s="33">
        <f>IF(AY118&lt;=0,0,ROUND(AY118+ROUND(AY118*AE$3/12,2),2))</f>
      </c>
      <c r="L119" s="33">
        <f>ROUND(MIN(MAX(0,N('Your debts'!$E$6)),B119),2)</f>
      </c>
      <c r="M119" s="33">
        <f>ROUND(MIN(MAX(0,N('Your debts'!$E$7)),C119),2)</f>
      </c>
      <c r="N119" s="33">
        <f>ROUND(MIN(MAX(0,N('Your debts'!$E$8)),D119),2)</f>
      </c>
      <c r="O119" s="33">
        <f>ROUND(MIN(MAX(0,N('Your debts'!$E$9)),E119),2)</f>
      </c>
      <c r="P119" s="33">
        <f>ROUND(MIN(MAX(0,N('Your debts'!$E$10)),F119),2)</f>
      </c>
      <c r="Q119" s="33">
        <f>ROUND(MIN(MAX(0,N('Your debts'!$E$11)),G119),2)</f>
      </c>
      <c r="R119" s="33">
        <f>ROUND(MIN(MAX(0,N('Your debts'!$E$12)),H119),2)</f>
      </c>
      <c r="S119" s="33">
        <f>ROUND(MIN(MAX(0,N('Your debts'!$E$13)),I119),2)</f>
      </c>
      <c r="T119" s="33">
        <f>ROUND(MIN(MAX(0,N('Your debts'!$E$14)),J119),2)</f>
      </c>
      <c r="U119" s="33">
        <f>ROUND(MIN(MAX(0,N('Your debts'!$E$15)),K119),2)</f>
      </c>
      <c r="V119" s="33">
        <f>ROUND(B119-L119,2)</f>
      </c>
      <c r="W119" s="33">
        <f>ROUND(C119-M119,2)</f>
      </c>
      <c r="X119" s="33">
        <f>ROUND(D119-N119,2)</f>
      </c>
      <c r="Y119" s="33">
        <f>ROUND(E119-O119,2)</f>
      </c>
      <c r="Z119" s="33">
        <f>ROUND(F119-P119,2)</f>
      </c>
      <c r="AA119" s="33">
        <f>ROUND(G119-Q119,2)</f>
      </c>
      <c r="AB119" s="33">
        <f>ROUND(H119-R119,2)</f>
      </c>
      <c r="AC119" s="33">
        <f>ROUND(I119-S119,2)</f>
      </c>
      <c r="AD119" s="33">
        <f>ROUND(J119-T119,2)</f>
      </c>
      <c r="AE119" s="33">
        <f>ROUND(K119-U119,2)</f>
      </c>
      <c r="AF119" s="33">
        <f>IF(V119&lt;=0,0,MAX(0,MIN(V119,ROUND($AZ119-SUMPRODUCT($V119:$AE119*($V119:$AE119&gt;0)*(($V119:$AE119&lt;V119)+($V119:$AE119=V119)*($V$3:$AE$3&gt;V$3)+($V119:$AE119=V119)*($V$3:$AE$3=V$3)*($V$2:$AE$2&lt;V$2))),2))))</f>
      </c>
      <c r="AG119" s="33">
        <f>IF(W119&lt;=0,0,MAX(0,MIN(W119,ROUND($AZ119-SUMPRODUCT($V119:$AE119*($V119:$AE119&gt;0)*(($V119:$AE119&lt;W119)+($V119:$AE119=W119)*($V$3:$AE$3&gt;W$3)+($V119:$AE119=W119)*($V$3:$AE$3=W$3)*($V$2:$AE$2&lt;W$2))),2))))</f>
      </c>
      <c r="AH119" s="33">
        <f>IF(X119&lt;=0,0,MAX(0,MIN(X119,ROUND($AZ119-SUMPRODUCT($V119:$AE119*($V119:$AE119&gt;0)*(($V119:$AE119&lt;X119)+($V119:$AE119=X119)*($V$3:$AE$3&gt;X$3)+($V119:$AE119=X119)*($V$3:$AE$3=X$3)*($V$2:$AE$2&lt;X$2))),2))))</f>
      </c>
      <c r="AI119" s="33">
        <f>IF(Y119&lt;=0,0,MAX(0,MIN(Y119,ROUND($AZ119-SUMPRODUCT($V119:$AE119*($V119:$AE119&gt;0)*(($V119:$AE119&lt;Y119)+($V119:$AE119=Y119)*($V$3:$AE$3&gt;Y$3)+($V119:$AE119=Y119)*($V$3:$AE$3=Y$3)*($V$2:$AE$2&lt;Y$2))),2))))</f>
      </c>
      <c r="AJ119" s="33">
        <f>IF(Z119&lt;=0,0,MAX(0,MIN(Z119,ROUND($AZ119-SUMPRODUCT($V119:$AE119*($V119:$AE119&gt;0)*(($V119:$AE119&lt;Z119)+($V119:$AE119=Z119)*($V$3:$AE$3&gt;Z$3)+($V119:$AE119=Z119)*($V$3:$AE$3=Z$3)*($V$2:$AE$2&lt;Z$2))),2))))</f>
      </c>
      <c r="AK119" s="33">
        <f>IF(AA119&lt;=0,0,MAX(0,MIN(AA119,ROUND($AZ119-SUMPRODUCT($V119:$AE119*($V119:$AE119&gt;0)*(($V119:$AE119&lt;AA119)+($V119:$AE119=AA119)*($V$3:$AE$3&gt;AA$3)+($V119:$AE119=AA119)*($V$3:$AE$3=AA$3)*($V$2:$AE$2&lt;AA$2))),2))))</f>
      </c>
      <c r="AL119" s="33">
        <f>IF(AB119&lt;=0,0,MAX(0,MIN(AB119,ROUND($AZ119-SUMPRODUCT($V119:$AE119*($V119:$AE119&gt;0)*(($V119:$AE119&lt;AB119)+($V119:$AE119=AB119)*($V$3:$AE$3&gt;AB$3)+($V119:$AE119=AB119)*($V$3:$AE$3=AB$3)*($V$2:$AE$2&lt;AB$2))),2))))</f>
      </c>
      <c r="AM119" s="33">
        <f>IF(AC119&lt;=0,0,MAX(0,MIN(AC119,ROUND($AZ119-SUMPRODUCT($V119:$AE119*($V119:$AE119&gt;0)*(($V119:$AE119&lt;AC119)+($V119:$AE119=AC119)*($V$3:$AE$3&gt;AC$3)+($V119:$AE119=AC119)*($V$3:$AE$3=AC$3)*($V$2:$AE$2&lt;AC$2))),2))))</f>
      </c>
      <c r="AN119" s="33">
        <f>IF(AD119&lt;=0,0,MAX(0,MIN(AD119,ROUND($AZ119-SUMPRODUCT($V119:$AE119*($V119:$AE119&gt;0)*(($V119:$AE119&lt;AD119)+($V119:$AE119=AD119)*($V$3:$AE$3&gt;AD$3)+($V119:$AE119=AD119)*($V$3:$AE$3=AD$3)*($V$2:$AE$2&lt;AD$2))),2))))</f>
      </c>
      <c r="AO119" s="33">
        <f>IF(AE119&lt;=0,0,MAX(0,MIN(AE119,ROUND($AZ119-SUMPRODUCT($V119:$AE119*($V119:$AE119&gt;0)*(($V119:$AE119&lt;AE119)+($V119:$AE119=AE119)*($V$3:$AE$3&gt;AE$3)+($V119:$AE119=AE119)*($V$3:$AE$3=AE$3)*($V$2:$AE$2&lt;AE$2))),2))))</f>
      </c>
      <c r="AP119" s="33">
        <f>ROUND(V119-AF119,2)</f>
      </c>
      <c r="AQ119" s="33">
        <f>ROUND(W119-AG119,2)</f>
      </c>
      <c r="AR119" s="33">
        <f>ROUND(X119-AH119,2)</f>
      </c>
      <c r="AS119" s="33">
        <f>ROUND(Y119-AI119,2)</f>
      </c>
      <c r="AT119" s="33">
        <f>ROUND(Z119-AJ119,2)</f>
      </c>
      <c r="AU119" s="33">
        <f>ROUND(AA119-AK119,2)</f>
      </c>
      <c r="AV119" s="33">
        <f>ROUND(AB119-AL119,2)</f>
      </c>
      <c r="AW119" s="33">
        <f>ROUND(AC119-AM119,2)</f>
      </c>
      <c r="AX119" s="33">
        <f>ROUND(AD119-AN119,2)</f>
      </c>
      <c r="AY119" s="33">
        <f>ROUND(AE119-AO119,2)</f>
      </c>
      <c r="AZ119" s="33">
        <f>ROUND(MAX(0,'Your debts'!$D$22-SUM($L119:$U119)),2)</f>
      </c>
      <c r="BA119" s="33">
        <f>ROUND(SUM($B119:$K119)-SUM($AP118:$AY118),2)</f>
      </c>
      <c r="BB119" s="33">
        <f>SUM($AP119:$AY119)</f>
      </c>
      <c r="BC119" s="33">
        <f>ROUND(SUM($L119:$U119)+SUM($AF119:$AO119),2)</f>
      </c>
    </row>
    <row r="120" spans="1:55" x14ac:dyDescent="0.25">
      <c r="A120">
        <v>113</v>
      </c>
      <c r="B120" s="33">
        <f>IF(AP119&lt;=0,0,ROUND(AP119+ROUND(AP119*V$3/12,2),2))</f>
      </c>
      <c r="C120" s="33">
        <f>IF(AQ119&lt;=0,0,ROUND(AQ119+ROUND(AQ119*W$3/12,2),2))</f>
      </c>
      <c r="D120" s="33">
        <f>IF(AR119&lt;=0,0,ROUND(AR119+ROUND(AR119*X$3/12,2),2))</f>
      </c>
      <c r="E120" s="33">
        <f>IF(AS119&lt;=0,0,ROUND(AS119+ROUND(AS119*Y$3/12,2),2))</f>
      </c>
      <c r="F120" s="33">
        <f>IF(AT119&lt;=0,0,ROUND(AT119+ROUND(AT119*Z$3/12,2),2))</f>
      </c>
      <c r="G120" s="33">
        <f>IF(AU119&lt;=0,0,ROUND(AU119+ROUND(AU119*AA$3/12,2),2))</f>
      </c>
      <c r="H120" s="33">
        <f>IF(AV119&lt;=0,0,ROUND(AV119+ROUND(AV119*AB$3/12,2),2))</f>
      </c>
      <c r="I120" s="33">
        <f>IF(AW119&lt;=0,0,ROUND(AW119+ROUND(AW119*AC$3/12,2),2))</f>
      </c>
      <c r="J120" s="33">
        <f>IF(AX119&lt;=0,0,ROUND(AX119+ROUND(AX119*AD$3/12,2),2))</f>
      </c>
      <c r="K120" s="33">
        <f>IF(AY119&lt;=0,0,ROUND(AY119+ROUND(AY119*AE$3/12,2),2))</f>
      </c>
      <c r="L120" s="33">
        <f>ROUND(MIN(MAX(0,N('Your debts'!$E$6)),B120),2)</f>
      </c>
      <c r="M120" s="33">
        <f>ROUND(MIN(MAX(0,N('Your debts'!$E$7)),C120),2)</f>
      </c>
      <c r="N120" s="33">
        <f>ROUND(MIN(MAX(0,N('Your debts'!$E$8)),D120),2)</f>
      </c>
      <c r="O120" s="33">
        <f>ROUND(MIN(MAX(0,N('Your debts'!$E$9)),E120),2)</f>
      </c>
      <c r="P120" s="33">
        <f>ROUND(MIN(MAX(0,N('Your debts'!$E$10)),F120),2)</f>
      </c>
      <c r="Q120" s="33">
        <f>ROUND(MIN(MAX(0,N('Your debts'!$E$11)),G120),2)</f>
      </c>
      <c r="R120" s="33">
        <f>ROUND(MIN(MAX(0,N('Your debts'!$E$12)),H120),2)</f>
      </c>
      <c r="S120" s="33">
        <f>ROUND(MIN(MAX(0,N('Your debts'!$E$13)),I120),2)</f>
      </c>
      <c r="T120" s="33">
        <f>ROUND(MIN(MAX(0,N('Your debts'!$E$14)),J120),2)</f>
      </c>
      <c r="U120" s="33">
        <f>ROUND(MIN(MAX(0,N('Your debts'!$E$15)),K120),2)</f>
      </c>
      <c r="V120" s="33">
        <f>ROUND(B120-L120,2)</f>
      </c>
      <c r="W120" s="33">
        <f>ROUND(C120-M120,2)</f>
      </c>
      <c r="X120" s="33">
        <f>ROUND(D120-N120,2)</f>
      </c>
      <c r="Y120" s="33">
        <f>ROUND(E120-O120,2)</f>
      </c>
      <c r="Z120" s="33">
        <f>ROUND(F120-P120,2)</f>
      </c>
      <c r="AA120" s="33">
        <f>ROUND(G120-Q120,2)</f>
      </c>
      <c r="AB120" s="33">
        <f>ROUND(H120-R120,2)</f>
      </c>
      <c r="AC120" s="33">
        <f>ROUND(I120-S120,2)</f>
      </c>
      <c r="AD120" s="33">
        <f>ROUND(J120-T120,2)</f>
      </c>
      <c r="AE120" s="33">
        <f>ROUND(K120-U120,2)</f>
      </c>
      <c r="AF120" s="33">
        <f>IF(V120&lt;=0,0,MAX(0,MIN(V120,ROUND($AZ120-SUMPRODUCT($V120:$AE120*($V120:$AE120&gt;0)*(($V120:$AE120&lt;V120)+($V120:$AE120=V120)*($V$3:$AE$3&gt;V$3)+($V120:$AE120=V120)*($V$3:$AE$3=V$3)*($V$2:$AE$2&lt;V$2))),2))))</f>
      </c>
      <c r="AG120" s="33">
        <f>IF(W120&lt;=0,0,MAX(0,MIN(W120,ROUND($AZ120-SUMPRODUCT($V120:$AE120*($V120:$AE120&gt;0)*(($V120:$AE120&lt;W120)+($V120:$AE120=W120)*($V$3:$AE$3&gt;W$3)+($V120:$AE120=W120)*($V$3:$AE$3=W$3)*($V$2:$AE$2&lt;W$2))),2))))</f>
      </c>
      <c r="AH120" s="33">
        <f>IF(X120&lt;=0,0,MAX(0,MIN(X120,ROUND($AZ120-SUMPRODUCT($V120:$AE120*($V120:$AE120&gt;0)*(($V120:$AE120&lt;X120)+($V120:$AE120=X120)*($V$3:$AE$3&gt;X$3)+($V120:$AE120=X120)*($V$3:$AE$3=X$3)*($V$2:$AE$2&lt;X$2))),2))))</f>
      </c>
      <c r="AI120" s="33">
        <f>IF(Y120&lt;=0,0,MAX(0,MIN(Y120,ROUND($AZ120-SUMPRODUCT($V120:$AE120*($V120:$AE120&gt;0)*(($V120:$AE120&lt;Y120)+($V120:$AE120=Y120)*($V$3:$AE$3&gt;Y$3)+($V120:$AE120=Y120)*($V$3:$AE$3=Y$3)*($V$2:$AE$2&lt;Y$2))),2))))</f>
      </c>
      <c r="AJ120" s="33">
        <f>IF(Z120&lt;=0,0,MAX(0,MIN(Z120,ROUND($AZ120-SUMPRODUCT($V120:$AE120*($V120:$AE120&gt;0)*(($V120:$AE120&lt;Z120)+($V120:$AE120=Z120)*($V$3:$AE$3&gt;Z$3)+($V120:$AE120=Z120)*($V$3:$AE$3=Z$3)*($V$2:$AE$2&lt;Z$2))),2))))</f>
      </c>
      <c r="AK120" s="33">
        <f>IF(AA120&lt;=0,0,MAX(0,MIN(AA120,ROUND($AZ120-SUMPRODUCT($V120:$AE120*($V120:$AE120&gt;0)*(($V120:$AE120&lt;AA120)+($V120:$AE120=AA120)*($V$3:$AE$3&gt;AA$3)+($V120:$AE120=AA120)*($V$3:$AE$3=AA$3)*($V$2:$AE$2&lt;AA$2))),2))))</f>
      </c>
      <c r="AL120" s="33">
        <f>IF(AB120&lt;=0,0,MAX(0,MIN(AB120,ROUND($AZ120-SUMPRODUCT($V120:$AE120*($V120:$AE120&gt;0)*(($V120:$AE120&lt;AB120)+($V120:$AE120=AB120)*($V$3:$AE$3&gt;AB$3)+($V120:$AE120=AB120)*($V$3:$AE$3=AB$3)*($V$2:$AE$2&lt;AB$2))),2))))</f>
      </c>
      <c r="AM120" s="33">
        <f>IF(AC120&lt;=0,0,MAX(0,MIN(AC120,ROUND($AZ120-SUMPRODUCT($V120:$AE120*($V120:$AE120&gt;0)*(($V120:$AE120&lt;AC120)+($V120:$AE120=AC120)*($V$3:$AE$3&gt;AC$3)+($V120:$AE120=AC120)*($V$3:$AE$3=AC$3)*($V$2:$AE$2&lt;AC$2))),2))))</f>
      </c>
      <c r="AN120" s="33">
        <f>IF(AD120&lt;=0,0,MAX(0,MIN(AD120,ROUND($AZ120-SUMPRODUCT($V120:$AE120*($V120:$AE120&gt;0)*(($V120:$AE120&lt;AD120)+($V120:$AE120=AD120)*($V$3:$AE$3&gt;AD$3)+($V120:$AE120=AD120)*($V$3:$AE$3=AD$3)*($V$2:$AE$2&lt;AD$2))),2))))</f>
      </c>
      <c r="AO120" s="33">
        <f>IF(AE120&lt;=0,0,MAX(0,MIN(AE120,ROUND($AZ120-SUMPRODUCT($V120:$AE120*($V120:$AE120&gt;0)*(($V120:$AE120&lt;AE120)+($V120:$AE120=AE120)*($V$3:$AE$3&gt;AE$3)+($V120:$AE120=AE120)*($V$3:$AE$3=AE$3)*($V$2:$AE$2&lt;AE$2))),2))))</f>
      </c>
      <c r="AP120" s="33">
        <f>ROUND(V120-AF120,2)</f>
      </c>
      <c r="AQ120" s="33">
        <f>ROUND(W120-AG120,2)</f>
      </c>
      <c r="AR120" s="33">
        <f>ROUND(X120-AH120,2)</f>
      </c>
      <c r="AS120" s="33">
        <f>ROUND(Y120-AI120,2)</f>
      </c>
      <c r="AT120" s="33">
        <f>ROUND(Z120-AJ120,2)</f>
      </c>
      <c r="AU120" s="33">
        <f>ROUND(AA120-AK120,2)</f>
      </c>
      <c r="AV120" s="33">
        <f>ROUND(AB120-AL120,2)</f>
      </c>
      <c r="AW120" s="33">
        <f>ROUND(AC120-AM120,2)</f>
      </c>
      <c r="AX120" s="33">
        <f>ROUND(AD120-AN120,2)</f>
      </c>
      <c r="AY120" s="33">
        <f>ROUND(AE120-AO120,2)</f>
      </c>
      <c r="AZ120" s="33">
        <f>ROUND(MAX(0,'Your debts'!$D$22-SUM($L120:$U120)),2)</f>
      </c>
      <c r="BA120" s="33">
        <f>ROUND(SUM($B120:$K120)-SUM($AP119:$AY119),2)</f>
      </c>
      <c r="BB120" s="33">
        <f>SUM($AP120:$AY120)</f>
      </c>
      <c r="BC120" s="33">
        <f>ROUND(SUM($L120:$U120)+SUM($AF120:$AO120),2)</f>
      </c>
    </row>
    <row r="121" spans="1:55" x14ac:dyDescent="0.25">
      <c r="A121">
        <v>114</v>
      </c>
      <c r="B121" s="33">
        <f>IF(AP120&lt;=0,0,ROUND(AP120+ROUND(AP120*V$3/12,2),2))</f>
      </c>
      <c r="C121" s="33">
        <f>IF(AQ120&lt;=0,0,ROUND(AQ120+ROUND(AQ120*W$3/12,2),2))</f>
      </c>
      <c r="D121" s="33">
        <f>IF(AR120&lt;=0,0,ROUND(AR120+ROUND(AR120*X$3/12,2),2))</f>
      </c>
      <c r="E121" s="33">
        <f>IF(AS120&lt;=0,0,ROUND(AS120+ROUND(AS120*Y$3/12,2),2))</f>
      </c>
      <c r="F121" s="33">
        <f>IF(AT120&lt;=0,0,ROUND(AT120+ROUND(AT120*Z$3/12,2),2))</f>
      </c>
      <c r="G121" s="33">
        <f>IF(AU120&lt;=0,0,ROUND(AU120+ROUND(AU120*AA$3/12,2),2))</f>
      </c>
      <c r="H121" s="33">
        <f>IF(AV120&lt;=0,0,ROUND(AV120+ROUND(AV120*AB$3/12,2),2))</f>
      </c>
      <c r="I121" s="33">
        <f>IF(AW120&lt;=0,0,ROUND(AW120+ROUND(AW120*AC$3/12,2),2))</f>
      </c>
      <c r="J121" s="33">
        <f>IF(AX120&lt;=0,0,ROUND(AX120+ROUND(AX120*AD$3/12,2),2))</f>
      </c>
      <c r="K121" s="33">
        <f>IF(AY120&lt;=0,0,ROUND(AY120+ROUND(AY120*AE$3/12,2),2))</f>
      </c>
      <c r="L121" s="33">
        <f>ROUND(MIN(MAX(0,N('Your debts'!$E$6)),B121),2)</f>
      </c>
      <c r="M121" s="33">
        <f>ROUND(MIN(MAX(0,N('Your debts'!$E$7)),C121),2)</f>
      </c>
      <c r="N121" s="33">
        <f>ROUND(MIN(MAX(0,N('Your debts'!$E$8)),D121),2)</f>
      </c>
      <c r="O121" s="33">
        <f>ROUND(MIN(MAX(0,N('Your debts'!$E$9)),E121),2)</f>
      </c>
      <c r="P121" s="33">
        <f>ROUND(MIN(MAX(0,N('Your debts'!$E$10)),F121),2)</f>
      </c>
      <c r="Q121" s="33">
        <f>ROUND(MIN(MAX(0,N('Your debts'!$E$11)),G121),2)</f>
      </c>
      <c r="R121" s="33">
        <f>ROUND(MIN(MAX(0,N('Your debts'!$E$12)),H121),2)</f>
      </c>
      <c r="S121" s="33">
        <f>ROUND(MIN(MAX(0,N('Your debts'!$E$13)),I121),2)</f>
      </c>
      <c r="T121" s="33">
        <f>ROUND(MIN(MAX(0,N('Your debts'!$E$14)),J121),2)</f>
      </c>
      <c r="U121" s="33">
        <f>ROUND(MIN(MAX(0,N('Your debts'!$E$15)),K121),2)</f>
      </c>
      <c r="V121" s="33">
        <f>ROUND(B121-L121,2)</f>
      </c>
      <c r="W121" s="33">
        <f>ROUND(C121-M121,2)</f>
      </c>
      <c r="X121" s="33">
        <f>ROUND(D121-N121,2)</f>
      </c>
      <c r="Y121" s="33">
        <f>ROUND(E121-O121,2)</f>
      </c>
      <c r="Z121" s="33">
        <f>ROUND(F121-P121,2)</f>
      </c>
      <c r="AA121" s="33">
        <f>ROUND(G121-Q121,2)</f>
      </c>
      <c r="AB121" s="33">
        <f>ROUND(H121-R121,2)</f>
      </c>
      <c r="AC121" s="33">
        <f>ROUND(I121-S121,2)</f>
      </c>
      <c r="AD121" s="33">
        <f>ROUND(J121-T121,2)</f>
      </c>
      <c r="AE121" s="33">
        <f>ROUND(K121-U121,2)</f>
      </c>
      <c r="AF121" s="33">
        <f>IF(V121&lt;=0,0,MAX(0,MIN(V121,ROUND($AZ121-SUMPRODUCT($V121:$AE121*($V121:$AE121&gt;0)*(($V121:$AE121&lt;V121)+($V121:$AE121=V121)*($V$3:$AE$3&gt;V$3)+($V121:$AE121=V121)*($V$3:$AE$3=V$3)*($V$2:$AE$2&lt;V$2))),2))))</f>
      </c>
      <c r="AG121" s="33">
        <f>IF(W121&lt;=0,0,MAX(0,MIN(W121,ROUND($AZ121-SUMPRODUCT($V121:$AE121*($V121:$AE121&gt;0)*(($V121:$AE121&lt;W121)+($V121:$AE121=W121)*($V$3:$AE$3&gt;W$3)+($V121:$AE121=W121)*($V$3:$AE$3=W$3)*($V$2:$AE$2&lt;W$2))),2))))</f>
      </c>
      <c r="AH121" s="33">
        <f>IF(X121&lt;=0,0,MAX(0,MIN(X121,ROUND($AZ121-SUMPRODUCT($V121:$AE121*($V121:$AE121&gt;0)*(($V121:$AE121&lt;X121)+($V121:$AE121=X121)*($V$3:$AE$3&gt;X$3)+($V121:$AE121=X121)*($V$3:$AE$3=X$3)*($V$2:$AE$2&lt;X$2))),2))))</f>
      </c>
      <c r="AI121" s="33">
        <f>IF(Y121&lt;=0,0,MAX(0,MIN(Y121,ROUND($AZ121-SUMPRODUCT($V121:$AE121*($V121:$AE121&gt;0)*(($V121:$AE121&lt;Y121)+($V121:$AE121=Y121)*($V$3:$AE$3&gt;Y$3)+($V121:$AE121=Y121)*($V$3:$AE$3=Y$3)*($V$2:$AE$2&lt;Y$2))),2))))</f>
      </c>
      <c r="AJ121" s="33">
        <f>IF(Z121&lt;=0,0,MAX(0,MIN(Z121,ROUND($AZ121-SUMPRODUCT($V121:$AE121*($V121:$AE121&gt;0)*(($V121:$AE121&lt;Z121)+($V121:$AE121=Z121)*($V$3:$AE$3&gt;Z$3)+($V121:$AE121=Z121)*($V$3:$AE$3=Z$3)*($V$2:$AE$2&lt;Z$2))),2))))</f>
      </c>
      <c r="AK121" s="33">
        <f>IF(AA121&lt;=0,0,MAX(0,MIN(AA121,ROUND($AZ121-SUMPRODUCT($V121:$AE121*($V121:$AE121&gt;0)*(($V121:$AE121&lt;AA121)+($V121:$AE121=AA121)*($V$3:$AE$3&gt;AA$3)+($V121:$AE121=AA121)*($V$3:$AE$3=AA$3)*($V$2:$AE$2&lt;AA$2))),2))))</f>
      </c>
      <c r="AL121" s="33">
        <f>IF(AB121&lt;=0,0,MAX(0,MIN(AB121,ROUND($AZ121-SUMPRODUCT($V121:$AE121*($V121:$AE121&gt;0)*(($V121:$AE121&lt;AB121)+($V121:$AE121=AB121)*($V$3:$AE$3&gt;AB$3)+($V121:$AE121=AB121)*($V$3:$AE$3=AB$3)*($V$2:$AE$2&lt;AB$2))),2))))</f>
      </c>
      <c r="AM121" s="33">
        <f>IF(AC121&lt;=0,0,MAX(0,MIN(AC121,ROUND($AZ121-SUMPRODUCT($V121:$AE121*($V121:$AE121&gt;0)*(($V121:$AE121&lt;AC121)+($V121:$AE121=AC121)*($V$3:$AE$3&gt;AC$3)+($V121:$AE121=AC121)*($V$3:$AE$3=AC$3)*($V$2:$AE$2&lt;AC$2))),2))))</f>
      </c>
      <c r="AN121" s="33">
        <f>IF(AD121&lt;=0,0,MAX(0,MIN(AD121,ROUND($AZ121-SUMPRODUCT($V121:$AE121*($V121:$AE121&gt;0)*(($V121:$AE121&lt;AD121)+($V121:$AE121=AD121)*($V$3:$AE$3&gt;AD$3)+($V121:$AE121=AD121)*($V$3:$AE$3=AD$3)*($V$2:$AE$2&lt;AD$2))),2))))</f>
      </c>
      <c r="AO121" s="33">
        <f>IF(AE121&lt;=0,0,MAX(0,MIN(AE121,ROUND($AZ121-SUMPRODUCT($V121:$AE121*($V121:$AE121&gt;0)*(($V121:$AE121&lt;AE121)+($V121:$AE121=AE121)*($V$3:$AE$3&gt;AE$3)+($V121:$AE121=AE121)*($V$3:$AE$3=AE$3)*($V$2:$AE$2&lt;AE$2))),2))))</f>
      </c>
      <c r="AP121" s="33">
        <f>ROUND(V121-AF121,2)</f>
      </c>
      <c r="AQ121" s="33">
        <f>ROUND(W121-AG121,2)</f>
      </c>
      <c r="AR121" s="33">
        <f>ROUND(X121-AH121,2)</f>
      </c>
      <c r="AS121" s="33">
        <f>ROUND(Y121-AI121,2)</f>
      </c>
      <c r="AT121" s="33">
        <f>ROUND(Z121-AJ121,2)</f>
      </c>
      <c r="AU121" s="33">
        <f>ROUND(AA121-AK121,2)</f>
      </c>
      <c r="AV121" s="33">
        <f>ROUND(AB121-AL121,2)</f>
      </c>
      <c r="AW121" s="33">
        <f>ROUND(AC121-AM121,2)</f>
      </c>
      <c r="AX121" s="33">
        <f>ROUND(AD121-AN121,2)</f>
      </c>
      <c r="AY121" s="33">
        <f>ROUND(AE121-AO121,2)</f>
      </c>
      <c r="AZ121" s="33">
        <f>ROUND(MAX(0,'Your debts'!$D$22-SUM($L121:$U121)),2)</f>
      </c>
      <c r="BA121" s="33">
        <f>ROUND(SUM($B121:$K121)-SUM($AP120:$AY120),2)</f>
      </c>
      <c r="BB121" s="33">
        <f>SUM($AP121:$AY121)</f>
      </c>
      <c r="BC121" s="33">
        <f>ROUND(SUM($L121:$U121)+SUM($AF121:$AO121),2)</f>
      </c>
    </row>
    <row r="122" spans="1:55" x14ac:dyDescent="0.25">
      <c r="A122">
        <v>115</v>
      </c>
      <c r="B122" s="33">
        <f>IF(AP121&lt;=0,0,ROUND(AP121+ROUND(AP121*V$3/12,2),2))</f>
      </c>
      <c r="C122" s="33">
        <f>IF(AQ121&lt;=0,0,ROUND(AQ121+ROUND(AQ121*W$3/12,2),2))</f>
      </c>
      <c r="D122" s="33">
        <f>IF(AR121&lt;=0,0,ROUND(AR121+ROUND(AR121*X$3/12,2),2))</f>
      </c>
      <c r="E122" s="33">
        <f>IF(AS121&lt;=0,0,ROUND(AS121+ROUND(AS121*Y$3/12,2),2))</f>
      </c>
      <c r="F122" s="33">
        <f>IF(AT121&lt;=0,0,ROUND(AT121+ROUND(AT121*Z$3/12,2),2))</f>
      </c>
      <c r="G122" s="33">
        <f>IF(AU121&lt;=0,0,ROUND(AU121+ROUND(AU121*AA$3/12,2),2))</f>
      </c>
      <c r="H122" s="33">
        <f>IF(AV121&lt;=0,0,ROUND(AV121+ROUND(AV121*AB$3/12,2),2))</f>
      </c>
      <c r="I122" s="33">
        <f>IF(AW121&lt;=0,0,ROUND(AW121+ROUND(AW121*AC$3/12,2),2))</f>
      </c>
      <c r="J122" s="33">
        <f>IF(AX121&lt;=0,0,ROUND(AX121+ROUND(AX121*AD$3/12,2),2))</f>
      </c>
      <c r="K122" s="33">
        <f>IF(AY121&lt;=0,0,ROUND(AY121+ROUND(AY121*AE$3/12,2),2))</f>
      </c>
      <c r="L122" s="33">
        <f>ROUND(MIN(MAX(0,N('Your debts'!$E$6)),B122),2)</f>
      </c>
      <c r="M122" s="33">
        <f>ROUND(MIN(MAX(0,N('Your debts'!$E$7)),C122),2)</f>
      </c>
      <c r="N122" s="33">
        <f>ROUND(MIN(MAX(0,N('Your debts'!$E$8)),D122),2)</f>
      </c>
      <c r="O122" s="33">
        <f>ROUND(MIN(MAX(0,N('Your debts'!$E$9)),E122),2)</f>
      </c>
      <c r="P122" s="33">
        <f>ROUND(MIN(MAX(0,N('Your debts'!$E$10)),F122),2)</f>
      </c>
      <c r="Q122" s="33">
        <f>ROUND(MIN(MAX(0,N('Your debts'!$E$11)),G122),2)</f>
      </c>
      <c r="R122" s="33">
        <f>ROUND(MIN(MAX(0,N('Your debts'!$E$12)),H122),2)</f>
      </c>
      <c r="S122" s="33">
        <f>ROUND(MIN(MAX(0,N('Your debts'!$E$13)),I122),2)</f>
      </c>
      <c r="T122" s="33">
        <f>ROUND(MIN(MAX(0,N('Your debts'!$E$14)),J122),2)</f>
      </c>
      <c r="U122" s="33">
        <f>ROUND(MIN(MAX(0,N('Your debts'!$E$15)),K122),2)</f>
      </c>
      <c r="V122" s="33">
        <f>ROUND(B122-L122,2)</f>
      </c>
      <c r="W122" s="33">
        <f>ROUND(C122-M122,2)</f>
      </c>
      <c r="X122" s="33">
        <f>ROUND(D122-N122,2)</f>
      </c>
      <c r="Y122" s="33">
        <f>ROUND(E122-O122,2)</f>
      </c>
      <c r="Z122" s="33">
        <f>ROUND(F122-P122,2)</f>
      </c>
      <c r="AA122" s="33">
        <f>ROUND(G122-Q122,2)</f>
      </c>
      <c r="AB122" s="33">
        <f>ROUND(H122-R122,2)</f>
      </c>
      <c r="AC122" s="33">
        <f>ROUND(I122-S122,2)</f>
      </c>
      <c r="AD122" s="33">
        <f>ROUND(J122-T122,2)</f>
      </c>
      <c r="AE122" s="33">
        <f>ROUND(K122-U122,2)</f>
      </c>
      <c r="AF122" s="33">
        <f>IF(V122&lt;=0,0,MAX(0,MIN(V122,ROUND($AZ122-SUMPRODUCT($V122:$AE122*($V122:$AE122&gt;0)*(($V122:$AE122&lt;V122)+($V122:$AE122=V122)*($V$3:$AE$3&gt;V$3)+($V122:$AE122=V122)*($V$3:$AE$3=V$3)*($V$2:$AE$2&lt;V$2))),2))))</f>
      </c>
      <c r="AG122" s="33">
        <f>IF(W122&lt;=0,0,MAX(0,MIN(W122,ROUND($AZ122-SUMPRODUCT($V122:$AE122*($V122:$AE122&gt;0)*(($V122:$AE122&lt;W122)+($V122:$AE122=W122)*($V$3:$AE$3&gt;W$3)+($V122:$AE122=W122)*($V$3:$AE$3=W$3)*($V$2:$AE$2&lt;W$2))),2))))</f>
      </c>
      <c r="AH122" s="33">
        <f>IF(X122&lt;=0,0,MAX(0,MIN(X122,ROUND($AZ122-SUMPRODUCT($V122:$AE122*($V122:$AE122&gt;0)*(($V122:$AE122&lt;X122)+($V122:$AE122=X122)*($V$3:$AE$3&gt;X$3)+($V122:$AE122=X122)*($V$3:$AE$3=X$3)*($V$2:$AE$2&lt;X$2))),2))))</f>
      </c>
      <c r="AI122" s="33">
        <f>IF(Y122&lt;=0,0,MAX(0,MIN(Y122,ROUND($AZ122-SUMPRODUCT($V122:$AE122*($V122:$AE122&gt;0)*(($V122:$AE122&lt;Y122)+($V122:$AE122=Y122)*($V$3:$AE$3&gt;Y$3)+($V122:$AE122=Y122)*($V$3:$AE$3=Y$3)*($V$2:$AE$2&lt;Y$2))),2))))</f>
      </c>
      <c r="AJ122" s="33">
        <f>IF(Z122&lt;=0,0,MAX(0,MIN(Z122,ROUND($AZ122-SUMPRODUCT($V122:$AE122*($V122:$AE122&gt;0)*(($V122:$AE122&lt;Z122)+($V122:$AE122=Z122)*($V$3:$AE$3&gt;Z$3)+($V122:$AE122=Z122)*($V$3:$AE$3=Z$3)*($V$2:$AE$2&lt;Z$2))),2))))</f>
      </c>
      <c r="AK122" s="33">
        <f>IF(AA122&lt;=0,0,MAX(0,MIN(AA122,ROUND($AZ122-SUMPRODUCT($V122:$AE122*($V122:$AE122&gt;0)*(($V122:$AE122&lt;AA122)+($V122:$AE122=AA122)*($V$3:$AE$3&gt;AA$3)+($V122:$AE122=AA122)*($V$3:$AE$3=AA$3)*($V$2:$AE$2&lt;AA$2))),2))))</f>
      </c>
      <c r="AL122" s="33">
        <f>IF(AB122&lt;=0,0,MAX(0,MIN(AB122,ROUND($AZ122-SUMPRODUCT($V122:$AE122*($V122:$AE122&gt;0)*(($V122:$AE122&lt;AB122)+($V122:$AE122=AB122)*($V$3:$AE$3&gt;AB$3)+($V122:$AE122=AB122)*($V$3:$AE$3=AB$3)*($V$2:$AE$2&lt;AB$2))),2))))</f>
      </c>
      <c r="AM122" s="33">
        <f>IF(AC122&lt;=0,0,MAX(0,MIN(AC122,ROUND($AZ122-SUMPRODUCT($V122:$AE122*($V122:$AE122&gt;0)*(($V122:$AE122&lt;AC122)+($V122:$AE122=AC122)*($V$3:$AE$3&gt;AC$3)+($V122:$AE122=AC122)*($V$3:$AE$3=AC$3)*($V$2:$AE$2&lt;AC$2))),2))))</f>
      </c>
      <c r="AN122" s="33">
        <f>IF(AD122&lt;=0,0,MAX(0,MIN(AD122,ROUND($AZ122-SUMPRODUCT($V122:$AE122*($V122:$AE122&gt;0)*(($V122:$AE122&lt;AD122)+($V122:$AE122=AD122)*($V$3:$AE$3&gt;AD$3)+($V122:$AE122=AD122)*($V$3:$AE$3=AD$3)*($V$2:$AE$2&lt;AD$2))),2))))</f>
      </c>
      <c r="AO122" s="33">
        <f>IF(AE122&lt;=0,0,MAX(0,MIN(AE122,ROUND($AZ122-SUMPRODUCT($V122:$AE122*($V122:$AE122&gt;0)*(($V122:$AE122&lt;AE122)+($V122:$AE122=AE122)*($V$3:$AE$3&gt;AE$3)+($V122:$AE122=AE122)*($V$3:$AE$3=AE$3)*($V$2:$AE$2&lt;AE$2))),2))))</f>
      </c>
      <c r="AP122" s="33">
        <f>ROUND(V122-AF122,2)</f>
      </c>
      <c r="AQ122" s="33">
        <f>ROUND(W122-AG122,2)</f>
      </c>
      <c r="AR122" s="33">
        <f>ROUND(X122-AH122,2)</f>
      </c>
      <c r="AS122" s="33">
        <f>ROUND(Y122-AI122,2)</f>
      </c>
      <c r="AT122" s="33">
        <f>ROUND(Z122-AJ122,2)</f>
      </c>
      <c r="AU122" s="33">
        <f>ROUND(AA122-AK122,2)</f>
      </c>
      <c r="AV122" s="33">
        <f>ROUND(AB122-AL122,2)</f>
      </c>
      <c r="AW122" s="33">
        <f>ROUND(AC122-AM122,2)</f>
      </c>
      <c r="AX122" s="33">
        <f>ROUND(AD122-AN122,2)</f>
      </c>
      <c r="AY122" s="33">
        <f>ROUND(AE122-AO122,2)</f>
      </c>
      <c r="AZ122" s="33">
        <f>ROUND(MAX(0,'Your debts'!$D$22-SUM($L122:$U122)),2)</f>
      </c>
      <c r="BA122" s="33">
        <f>ROUND(SUM($B122:$K122)-SUM($AP121:$AY121),2)</f>
      </c>
      <c r="BB122" s="33">
        <f>SUM($AP122:$AY122)</f>
      </c>
      <c r="BC122" s="33">
        <f>ROUND(SUM($L122:$U122)+SUM($AF122:$AO122),2)</f>
      </c>
    </row>
    <row r="123" spans="1:55" x14ac:dyDescent="0.25">
      <c r="A123">
        <v>116</v>
      </c>
      <c r="B123" s="33">
        <f>IF(AP122&lt;=0,0,ROUND(AP122+ROUND(AP122*V$3/12,2),2))</f>
      </c>
      <c r="C123" s="33">
        <f>IF(AQ122&lt;=0,0,ROUND(AQ122+ROUND(AQ122*W$3/12,2),2))</f>
      </c>
      <c r="D123" s="33">
        <f>IF(AR122&lt;=0,0,ROUND(AR122+ROUND(AR122*X$3/12,2),2))</f>
      </c>
      <c r="E123" s="33">
        <f>IF(AS122&lt;=0,0,ROUND(AS122+ROUND(AS122*Y$3/12,2),2))</f>
      </c>
      <c r="F123" s="33">
        <f>IF(AT122&lt;=0,0,ROUND(AT122+ROUND(AT122*Z$3/12,2),2))</f>
      </c>
      <c r="G123" s="33">
        <f>IF(AU122&lt;=0,0,ROUND(AU122+ROUND(AU122*AA$3/12,2),2))</f>
      </c>
      <c r="H123" s="33">
        <f>IF(AV122&lt;=0,0,ROUND(AV122+ROUND(AV122*AB$3/12,2),2))</f>
      </c>
      <c r="I123" s="33">
        <f>IF(AW122&lt;=0,0,ROUND(AW122+ROUND(AW122*AC$3/12,2),2))</f>
      </c>
      <c r="J123" s="33">
        <f>IF(AX122&lt;=0,0,ROUND(AX122+ROUND(AX122*AD$3/12,2),2))</f>
      </c>
      <c r="K123" s="33">
        <f>IF(AY122&lt;=0,0,ROUND(AY122+ROUND(AY122*AE$3/12,2),2))</f>
      </c>
      <c r="L123" s="33">
        <f>ROUND(MIN(MAX(0,N('Your debts'!$E$6)),B123),2)</f>
      </c>
      <c r="M123" s="33">
        <f>ROUND(MIN(MAX(0,N('Your debts'!$E$7)),C123),2)</f>
      </c>
      <c r="N123" s="33">
        <f>ROUND(MIN(MAX(0,N('Your debts'!$E$8)),D123),2)</f>
      </c>
      <c r="O123" s="33">
        <f>ROUND(MIN(MAX(0,N('Your debts'!$E$9)),E123),2)</f>
      </c>
      <c r="P123" s="33">
        <f>ROUND(MIN(MAX(0,N('Your debts'!$E$10)),F123),2)</f>
      </c>
      <c r="Q123" s="33">
        <f>ROUND(MIN(MAX(0,N('Your debts'!$E$11)),G123),2)</f>
      </c>
      <c r="R123" s="33">
        <f>ROUND(MIN(MAX(0,N('Your debts'!$E$12)),H123),2)</f>
      </c>
      <c r="S123" s="33">
        <f>ROUND(MIN(MAX(0,N('Your debts'!$E$13)),I123),2)</f>
      </c>
      <c r="T123" s="33">
        <f>ROUND(MIN(MAX(0,N('Your debts'!$E$14)),J123),2)</f>
      </c>
      <c r="U123" s="33">
        <f>ROUND(MIN(MAX(0,N('Your debts'!$E$15)),K123),2)</f>
      </c>
      <c r="V123" s="33">
        <f>ROUND(B123-L123,2)</f>
      </c>
      <c r="W123" s="33">
        <f>ROUND(C123-M123,2)</f>
      </c>
      <c r="X123" s="33">
        <f>ROUND(D123-N123,2)</f>
      </c>
      <c r="Y123" s="33">
        <f>ROUND(E123-O123,2)</f>
      </c>
      <c r="Z123" s="33">
        <f>ROUND(F123-P123,2)</f>
      </c>
      <c r="AA123" s="33">
        <f>ROUND(G123-Q123,2)</f>
      </c>
      <c r="AB123" s="33">
        <f>ROUND(H123-R123,2)</f>
      </c>
      <c r="AC123" s="33">
        <f>ROUND(I123-S123,2)</f>
      </c>
      <c r="AD123" s="33">
        <f>ROUND(J123-T123,2)</f>
      </c>
      <c r="AE123" s="33">
        <f>ROUND(K123-U123,2)</f>
      </c>
      <c r="AF123" s="33">
        <f>IF(V123&lt;=0,0,MAX(0,MIN(V123,ROUND($AZ123-SUMPRODUCT($V123:$AE123*($V123:$AE123&gt;0)*(($V123:$AE123&lt;V123)+($V123:$AE123=V123)*($V$3:$AE$3&gt;V$3)+($V123:$AE123=V123)*($V$3:$AE$3=V$3)*($V$2:$AE$2&lt;V$2))),2))))</f>
      </c>
      <c r="AG123" s="33">
        <f>IF(W123&lt;=0,0,MAX(0,MIN(W123,ROUND($AZ123-SUMPRODUCT($V123:$AE123*($V123:$AE123&gt;0)*(($V123:$AE123&lt;W123)+($V123:$AE123=W123)*($V$3:$AE$3&gt;W$3)+($V123:$AE123=W123)*($V$3:$AE$3=W$3)*($V$2:$AE$2&lt;W$2))),2))))</f>
      </c>
      <c r="AH123" s="33">
        <f>IF(X123&lt;=0,0,MAX(0,MIN(X123,ROUND($AZ123-SUMPRODUCT($V123:$AE123*($V123:$AE123&gt;0)*(($V123:$AE123&lt;X123)+($V123:$AE123=X123)*($V$3:$AE$3&gt;X$3)+($V123:$AE123=X123)*($V$3:$AE$3=X$3)*($V$2:$AE$2&lt;X$2))),2))))</f>
      </c>
      <c r="AI123" s="33">
        <f>IF(Y123&lt;=0,0,MAX(0,MIN(Y123,ROUND($AZ123-SUMPRODUCT($V123:$AE123*($V123:$AE123&gt;0)*(($V123:$AE123&lt;Y123)+($V123:$AE123=Y123)*($V$3:$AE$3&gt;Y$3)+($V123:$AE123=Y123)*($V$3:$AE$3=Y$3)*($V$2:$AE$2&lt;Y$2))),2))))</f>
      </c>
      <c r="AJ123" s="33">
        <f>IF(Z123&lt;=0,0,MAX(0,MIN(Z123,ROUND($AZ123-SUMPRODUCT($V123:$AE123*($V123:$AE123&gt;0)*(($V123:$AE123&lt;Z123)+($V123:$AE123=Z123)*($V$3:$AE$3&gt;Z$3)+($V123:$AE123=Z123)*($V$3:$AE$3=Z$3)*($V$2:$AE$2&lt;Z$2))),2))))</f>
      </c>
      <c r="AK123" s="33">
        <f>IF(AA123&lt;=0,0,MAX(0,MIN(AA123,ROUND($AZ123-SUMPRODUCT($V123:$AE123*($V123:$AE123&gt;0)*(($V123:$AE123&lt;AA123)+($V123:$AE123=AA123)*($V$3:$AE$3&gt;AA$3)+($V123:$AE123=AA123)*($V$3:$AE$3=AA$3)*($V$2:$AE$2&lt;AA$2))),2))))</f>
      </c>
      <c r="AL123" s="33">
        <f>IF(AB123&lt;=0,0,MAX(0,MIN(AB123,ROUND($AZ123-SUMPRODUCT($V123:$AE123*($V123:$AE123&gt;0)*(($V123:$AE123&lt;AB123)+($V123:$AE123=AB123)*($V$3:$AE$3&gt;AB$3)+($V123:$AE123=AB123)*($V$3:$AE$3=AB$3)*($V$2:$AE$2&lt;AB$2))),2))))</f>
      </c>
      <c r="AM123" s="33">
        <f>IF(AC123&lt;=0,0,MAX(0,MIN(AC123,ROUND($AZ123-SUMPRODUCT($V123:$AE123*($V123:$AE123&gt;0)*(($V123:$AE123&lt;AC123)+($V123:$AE123=AC123)*($V$3:$AE$3&gt;AC$3)+($V123:$AE123=AC123)*($V$3:$AE$3=AC$3)*($V$2:$AE$2&lt;AC$2))),2))))</f>
      </c>
      <c r="AN123" s="33">
        <f>IF(AD123&lt;=0,0,MAX(0,MIN(AD123,ROUND($AZ123-SUMPRODUCT($V123:$AE123*($V123:$AE123&gt;0)*(($V123:$AE123&lt;AD123)+($V123:$AE123=AD123)*($V$3:$AE$3&gt;AD$3)+($V123:$AE123=AD123)*($V$3:$AE$3=AD$3)*($V$2:$AE$2&lt;AD$2))),2))))</f>
      </c>
      <c r="AO123" s="33">
        <f>IF(AE123&lt;=0,0,MAX(0,MIN(AE123,ROUND($AZ123-SUMPRODUCT($V123:$AE123*($V123:$AE123&gt;0)*(($V123:$AE123&lt;AE123)+($V123:$AE123=AE123)*($V$3:$AE$3&gt;AE$3)+($V123:$AE123=AE123)*($V$3:$AE$3=AE$3)*($V$2:$AE$2&lt;AE$2))),2))))</f>
      </c>
      <c r="AP123" s="33">
        <f>ROUND(V123-AF123,2)</f>
      </c>
      <c r="AQ123" s="33">
        <f>ROUND(W123-AG123,2)</f>
      </c>
      <c r="AR123" s="33">
        <f>ROUND(X123-AH123,2)</f>
      </c>
      <c r="AS123" s="33">
        <f>ROUND(Y123-AI123,2)</f>
      </c>
      <c r="AT123" s="33">
        <f>ROUND(Z123-AJ123,2)</f>
      </c>
      <c r="AU123" s="33">
        <f>ROUND(AA123-AK123,2)</f>
      </c>
      <c r="AV123" s="33">
        <f>ROUND(AB123-AL123,2)</f>
      </c>
      <c r="AW123" s="33">
        <f>ROUND(AC123-AM123,2)</f>
      </c>
      <c r="AX123" s="33">
        <f>ROUND(AD123-AN123,2)</f>
      </c>
      <c r="AY123" s="33">
        <f>ROUND(AE123-AO123,2)</f>
      </c>
      <c r="AZ123" s="33">
        <f>ROUND(MAX(0,'Your debts'!$D$22-SUM($L123:$U123)),2)</f>
      </c>
      <c r="BA123" s="33">
        <f>ROUND(SUM($B123:$K123)-SUM($AP122:$AY122),2)</f>
      </c>
      <c r="BB123" s="33">
        <f>SUM($AP123:$AY123)</f>
      </c>
      <c r="BC123" s="33">
        <f>ROUND(SUM($L123:$U123)+SUM($AF123:$AO123),2)</f>
      </c>
    </row>
    <row r="124" spans="1:55" x14ac:dyDescent="0.25">
      <c r="A124">
        <v>117</v>
      </c>
      <c r="B124" s="33">
        <f>IF(AP123&lt;=0,0,ROUND(AP123+ROUND(AP123*V$3/12,2),2))</f>
      </c>
      <c r="C124" s="33">
        <f>IF(AQ123&lt;=0,0,ROUND(AQ123+ROUND(AQ123*W$3/12,2),2))</f>
      </c>
      <c r="D124" s="33">
        <f>IF(AR123&lt;=0,0,ROUND(AR123+ROUND(AR123*X$3/12,2),2))</f>
      </c>
      <c r="E124" s="33">
        <f>IF(AS123&lt;=0,0,ROUND(AS123+ROUND(AS123*Y$3/12,2),2))</f>
      </c>
      <c r="F124" s="33">
        <f>IF(AT123&lt;=0,0,ROUND(AT123+ROUND(AT123*Z$3/12,2),2))</f>
      </c>
      <c r="G124" s="33">
        <f>IF(AU123&lt;=0,0,ROUND(AU123+ROUND(AU123*AA$3/12,2),2))</f>
      </c>
      <c r="H124" s="33">
        <f>IF(AV123&lt;=0,0,ROUND(AV123+ROUND(AV123*AB$3/12,2),2))</f>
      </c>
      <c r="I124" s="33">
        <f>IF(AW123&lt;=0,0,ROUND(AW123+ROUND(AW123*AC$3/12,2),2))</f>
      </c>
      <c r="J124" s="33">
        <f>IF(AX123&lt;=0,0,ROUND(AX123+ROUND(AX123*AD$3/12,2),2))</f>
      </c>
      <c r="K124" s="33">
        <f>IF(AY123&lt;=0,0,ROUND(AY123+ROUND(AY123*AE$3/12,2),2))</f>
      </c>
      <c r="L124" s="33">
        <f>ROUND(MIN(MAX(0,N('Your debts'!$E$6)),B124),2)</f>
      </c>
      <c r="M124" s="33">
        <f>ROUND(MIN(MAX(0,N('Your debts'!$E$7)),C124),2)</f>
      </c>
      <c r="N124" s="33">
        <f>ROUND(MIN(MAX(0,N('Your debts'!$E$8)),D124),2)</f>
      </c>
      <c r="O124" s="33">
        <f>ROUND(MIN(MAX(0,N('Your debts'!$E$9)),E124),2)</f>
      </c>
      <c r="P124" s="33">
        <f>ROUND(MIN(MAX(0,N('Your debts'!$E$10)),F124),2)</f>
      </c>
      <c r="Q124" s="33">
        <f>ROUND(MIN(MAX(0,N('Your debts'!$E$11)),G124),2)</f>
      </c>
      <c r="R124" s="33">
        <f>ROUND(MIN(MAX(0,N('Your debts'!$E$12)),H124),2)</f>
      </c>
      <c r="S124" s="33">
        <f>ROUND(MIN(MAX(0,N('Your debts'!$E$13)),I124),2)</f>
      </c>
      <c r="T124" s="33">
        <f>ROUND(MIN(MAX(0,N('Your debts'!$E$14)),J124),2)</f>
      </c>
      <c r="U124" s="33">
        <f>ROUND(MIN(MAX(0,N('Your debts'!$E$15)),K124),2)</f>
      </c>
      <c r="V124" s="33">
        <f>ROUND(B124-L124,2)</f>
      </c>
      <c r="W124" s="33">
        <f>ROUND(C124-M124,2)</f>
      </c>
      <c r="X124" s="33">
        <f>ROUND(D124-N124,2)</f>
      </c>
      <c r="Y124" s="33">
        <f>ROUND(E124-O124,2)</f>
      </c>
      <c r="Z124" s="33">
        <f>ROUND(F124-P124,2)</f>
      </c>
      <c r="AA124" s="33">
        <f>ROUND(G124-Q124,2)</f>
      </c>
      <c r="AB124" s="33">
        <f>ROUND(H124-R124,2)</f>
      </c>
      <c r="AC124" s="33">
        <f>ROUND(I124-S124,2)</f>
      </c>
      <c r="AD124" s="33">
        <f>ROUND(J124-T124,2)</f>
      </c>
      <c r="AE124" s="33">
        <f>ROUND(K124-U124,2)</f>
      </c>
      <c r="AF124" s="33">
        <f>IF(V124&lt;=0,0,MAX(0,MIN(V124,ROUND($AZ124-SUMPRODUCT($V124:$AE124*($V124:$AE124&gt;0)*(($V124:$AE124&lt;V124)+($V124:$AE124=V124)*($V$3:$AE$3&gt;V$3)+($V124:$AE124=V124)*($V$3:$AE$3=V$3)*($V$2:$AE$2&lt;V$2))),2))))</f>
      </c>
      <c r="AG124" s="33">
        <f>IF(W124&lt;=0,0,MAX(0,MIN(W124,ROUND($AZ124-SUMPRODUCT($V124:$AE124*($V124:$AE124&gt;0)*(($V124:$AE124&lt;W124)+($V124:$AE124=W124)*($V$3:$AE$3&gt;W$3)+($V124:$AE124=W124)*($V$3:$AE$3=W$3)*($V$2:$AE$2&lt;W$2))),2))))</f>
      </c>
      <c r="AH124" s="33">
        <f>IF(X124&lt;=0,0,MAX(0,MIN(X124,ROUND($AZ124-SUMPRODUCT($V124:$AE124*($V124:$AE124&gt;0)*(($V124:$AE124&lt;X124)+($V124:$AE124=X124)*($V$3:$AE$3&gt;X$3)+($V124:$AE124=X124)*($V$3:$AE$3=X$3)*($V$2:$AE$2&lt;X$2))),2))))</f>
      </c>
      <c r="AI124" s="33">
        <f>IF(Y124&lt;=0,0,MAX(0,MIN(Y124,ROUND($AZ124-SUMPRODUCT($V124:$AE124*($V124:$AE124&gt;0)*(($V124:$AE124&lt;Y124)+($V124:$AE124=Y124)*($V$3:$AE$3&gt;Y$3)+($V124:$AE124=Y124)*($V$3:$AE$3=Y$3)*($V$2:$AE$2&lt;Y$2))),2))))</f>
      </c>
      <c r="AJ124" s="33">
        <f>IF(Z124&lt;=0,0,MAX(0,MIN(Z124,ROUND($AZ124-SUMPRODUCT($V124:$AE124*($V124:$AE124&gt;0)*(($V124:$AE124&lt;Z124)+($V124:$AE124=Z124)*($V$3:$AE$3&gt;Z$3)+($V124:$AE124=Z124)*($V$3:$AE$3=Z$3)*($V$2:$AE$2&lt;Z$2))),2))))</f>
      </c>
      <c r="AK124" s="33">
        <f>IF(AA124&lt;=0,0,MAX(0,MIN(AA124,ROUND($AZ124-SUMPRODUCT($V124:$AE124*($V124:$AE124&gt;0)*(($V124:$AE124&lt;AA124)+($V124:$AE124=AA124)*($V$3:$AE$3&gt;AA$3)+($V124:$AE124=AA124)*($V$3:$AE$3=AA$3)*($V$2:$AE$2&lt;AA$2))),2))))</f>
      </c>
      <c r="AL124" s="33">
        <f>IF(AB124&lt;=0,0,MAX(0,MIN(AB124,ROUND($AZ124-SUMPRODUCT($V124:$AE124*($V124:$AE124&gt;0)*(($V124:$AE124&lt;AB124)+($V124:$AE124=AB124)*($V$3:$AE$3&gt;AB$3)+($V124:$AE124=AB124)*($V$3:$AE$3=AB$3)*($V$2:$AE$2&lt;AB$2))),2))))</f>
      </c>
      <c r="AM124" s="33">
        <f>IF(AC124&lt;=0,0,MAX(0,MIN(AC124,ROUND($AZ124-SUMPRODUCT($V124:$AE124*($V124:$AE124&gt;0)*(($V124:$AE124&lt;AC124)+($V124:$AE124=AC124)*($V$3:$AE$3&gt;AC$3)+($V124:$AE124=AC124)*($V$3:$AE$3=AC$3)*($V$2:$AE$2&lt;AC$2))),2))))</f>
      </c>
      <c r="AN124" s="33">
        <f>IF(AD124&lt;=0,0,MAX(0,MIN(AD124,ROUND($AZ124-SUMPRODUCT($V124:$AE124*($V124:$AE124&gt;0)*(($V124:$AE124&lt;AD124)+($V124:$AE124=AD124)*($V$3:$AE$3&gt;AD$3)+($V124:$AE124=AD124)*($V$3:$AE$3=AD$3)*($V$2:$AE$2&lt;AD$2))),2))))</f>
      </c>
      <c r="AO124" s="33">
        <f>IF(AE124&lt;=0,0,MAX(0,MIN(AE124,ROUND($AZ124-SUMPRODUCT($V124:$AE124*($V124:$AE124&gt;0)*(($V124:$AE124&lt;AE124)+($V124:$AE124=AE124)*($V$3:$AE$3&gt;AE$3)+($V124:$AE124=AE124)*($V$3:$AE$3=AE$3)*($V$2:$AE$2&lt;AE$2))),2))))</f>
      </c>
      <c r="AP124" s="33">
        <f>ROUND(V124-AF124,2)</f>
      </c>
      <c r="AQ124" s="33">
        <f>ROUND(W124-AG124,2)</f>
      </c>
      <c r="AR124" s="33">
        <f>ROUND(X124-AH124,2)</f>
      </c>
      <c r="AS124" s="33">
        <f>ROUND(Y124-AI124,2)</f>
      </c>
      <c r="AT124" s="33">
        <f>ROUND(Z124-AJ124,2)</f>
      </c>
      <c r="AU124" s="33">
        <f>ROUND(AA124-AK124,2)</f>
      </c>
      <c r="AV124" s="33">
        <f>ROUND(AB124-AL124,2)</f>
      </c>
      <c r="AW124" s="33">
        <f>ROUND(AC124-AM124,2)</f>
      </c>
      <c r="AX124" s="33">
        <f>ROUND(AD124-AN124,2)</f>
      </c>
      <c r="AY124" s="33">
        <f>ROUND(AE124-AO124,2)</f>
      </c>
      <c r="AZ124" s="33">
        <f>ROUND(MAX(0,'Your debts'!$D$22-SUM($L124:$U124)),2)</f>
      </c>
      <c r="BA124" s="33">
        <f>ROUND(SUM($B124:$K124)-SUM($AP123:$AY123),2)</f>
      </c>
      <c r="BB124" s="33">
        <f>SUM($AP124:$AY124)</f>
      </c>
      <c r="BC124" s="33">
        <f>ROUND(SUM($L124:$U124)+SUM($AF124:$AO124),2)</f>
      </c>
    </row>
    <row r="125" spans="1:55" x14ac:dyDescent="0.25">
      <c r="A125">
        <v>118</v>
      </c>
      <c r="B125" s="33">
        <f>IF(AP124&lt;=0,0,ROUND(AP124+ROUND(AP124*V$3/12,2),2))</f>
      </c>
      <c r="C125" s="33">
        <f>IF(AQ124&lt;=0,0,ROUND(AQ124+ROUND(AQ124*W$3/12,2),2))</f>
      </c>
      <c r="D125" s="33">
        <f>IF(AR124&lt;=0,0,ROUND(AR124+ROUND(AR124*X$3/12,2),2))</f>
      </c>
      <c r="E125" s="33">
        <f>IF(AS124&lt;=0,0,ROUND(AS124+ROUND(AS124*Y$3/12,2),2))</f>
      </c>
      <c r="F125" s="33">
        <f>IF(AT124&lt;=0,0,ROUND(AT124+ROUND(AT124*Z$3/12,2),2))</f>
      </c>
      <c r="G125" s="33">
        <f>IF(AU124&lt;=0,0,ROUND(AU124+ROUND(AU124*AA$3/12,2),2))</f>
      </c>
      <c r="H125" s="33">
        <f>IF(AV124&lt;=0,0,ROUND(AV124+ROUND(AV124*AB$3/12,2),2))</f>
      </c>
      <c r="I125" s="33">
        <f>IF(AW124&lt;=0,0,ROUND(AW124+ROUND(AW124*AC$3/12,2),2))</f>
      </c>
      <c r="J125" s="33">
        <f>IF(AX124&lt;=0,0,ROUND(AX124+ROUND(AX124*AD$3/12,2),2))</f>
      </c>
      <c r="K125" s="33">
        <f>IF(AY124&lt;=0,0,ROUND(AY124+ROUND(AY124*AE$3/12,2),2))</f>
      </c>
      <c r="L125" s="33">
        <f>ROUND(MIN(MAX(0,N('Your debts'!$E$6)),B125),2)</f>
      </c>
      <c r="M125" s="33">
        <f>ROUND(MIN(MAX(0,N('Your debts'!$E$7)),C125),2)</f>
      </c>
      <c r="N125" s="33">
        <f>ROUND(MIN(MAX(0,N('Your debts'!$E$8)),D125),2)</f>
      </c>
      <c r="O125" s="33">
        <f>ROUND(MIN(MAX(0,N('Your debts'!$E$9)),E125),2)</f>
      </c>
      <c r="P125" s="33">
        <f>ROUND(MIN(MAX(0,N('Your debts'!$E$10)),F125),2)</f>
      </c>
      <c r="Q125" s="33">
        <f>ROUND(MIN(MAX(0,N('Your debts'!$E$11)),G125),2)</f>
      </c>
      <c r="R125" s="33">
        <f>ROUND(MIN(MAX(0,N('Your debts'!$E$12)),H125),2)</f>
      </c>
      <c r="S125" s="33">
        <f>ROUND(MIN(MAX(0,N('Your debts'!$E$13)),I125),2)</f>
      </c>
      <c r="T125" s="33">
        <f>ROUND(MIN(MAX(0,N('Your debts'!$E$14)),J125),2)</f>
      </c>
      <c r="U125" s="33">
        <f>ROUND(MIN(MAX(0,N('Your debts'!$E$15)),K125),2)</f>
      </c>
      <c r="V125" s="33">
        <f>ROUND(B125-L125,2)</f>
      </c>
      <c r="W125" s="33">
        <f>ROUND(C125-M125,2)</f>
      </c>
      <c r="X125" s="33">
        <f>ROUND(D125-N125,2)</f>
      </c>
      <c r="Y125" s="33">
        <f>ROUND(E125-O125,2)</f>
      </c>
      <c r="Z125" s="33">
        <f>ROUND(F125-P125,2)</f>
      </c>
      <c r="AA125" s="33">
        <f>ROUND(G125-Q125,2)</f>
      </c>
      <c r="AB125" s="33">
        <f>ROUND(H125-R125,2)</f>
      </c>
      <c r="AC125" s="33">
        <f>ROUND(I125-S125,2)</f>
      </c>
      <c r="AD125" s="33">
        <f>ROUND(J125-T125,2)</f>
      </c>
      <c r="AE125" s="33">
        <f>ROUND(K125-U125,2)</f>
      </c>
      <c r="AF125" s="33">
        <f>IF(V125&lt;=0,0,MAX(0,MIN(V125,ROUND($AZ125-SUMPRODUCT($V125:$AE125*($V125:$AE125&gt;0)*(($V125:$AE125&lt;V125)+($V125:$AE125=V125)*($V$3:$AE$3&gt;V$3)+($V125:$AE125=V125)*($V$3:$AE$3=V$3)*($V$2:$AE$2&lt;V$2))),2))))</f>
      </c>
      <c r="AG125" s="33">
        <f>IF(W125&lt;=0,0,MAX(0,MIN(W125,ROUND($AZ125-SUMPRODUCT($V125:$AE125*($V125:$AE125&gt;0)*(($V125:$AE125&lt;W125)+($V125:$AE125=W125)*($V$3:$AE$3&gt;W$3)+($V125:$AE125=W125)*($V$3:$AE$3=W$3)*($V$2:$AE$2&lt;W$2))),2))))</f>
      </c>
      <c r="AH125" s="33">
        <f>IF(X125&lt;=0,0,MAX(0,MIN(X125,ROUND($AZ125-SUMPRODUCT($V125:$AE125*($V125:$AE125&gt;0)*(($V125:$AE125&lt;X125)+($V125:$AE125=X125)*($V$3:$AE$3&gt;X$3)+($V125:$AE125=X125)*($V$3:$AE$3=X$3)*($V$2:$AE$2&lt;X$2))),2))))</f>
      </c>
      <c r="AI125" s="33">
        <f>IF(Y125&lt;=0,0,MAX(0,MIN(Y125,ROUND($AZ125-SUMPRODUCT($V125:$AE125*($V125:$AE125&gt;0)*(($V125:$AE125&lt;Y125)+($V125:$AE125=Y125)*($V$3:$AE$3&gt;Y$3)+($V125:$AE125=Y125)*($V$3:$AE$3=Y$3)*($V$2:$AE$2&lt;Y$2))),2))))</f>
      </c>
      <c r="AJ125" s="33">
        <f>IF(Z125&lt;=0,0,MAX(0,MIN(Z125,ROUND($AZ125-SUMPRODUCT($V125:$AE125*($V125:$AE125&gt;0)*(($V125:$AE125&lt;Z125)+($V125:$AE125=Z125)*($V$3:$AE$3&gt;Z$3)+($V125:$AE125=Z125)*($V$3:$AE$3=Z$3)*($V$2:$AE$2&lt;Z$2))),2))))</f>
      </c>
      <c r="AK125" s="33">
        <f>IF(AA125&lt;=0,0,MAX(0,MIN(AA125,ROUND($AZ125-SUMPRODUCT($V125:$AE125*($V125:$AE125&gt;0)*(($V125:$AE125&lt;AA125)+($V125:$AE125=AA125)*($V$3:$AE$3&gt;AA$3)+($V125:$AE125=AA125)*($V$3:$AE$3=AA$3)*($V$2:$AE$2&lt;AA$2))),2))))</f>
      </c>
      <c r="AL125" s="33">
        <f>IF(AB125&lt;=0,0,MAX(0,MIN(AB125,ROUND($AZ125-SUMPRODUCT($V125:$AE125*($V125:$AE125&gt;0)*(($V125:$AE125&lt;AB125)+($V125:$AE125=AB125)*($V$3:$AE$3&gt;AB$3)+($V125:$AE125=AB125)*($V$3:$AE$3=AB$3)*($V$2:$AE$2&lt;AB$2))),2))))</f>
      </c>
      <c r="AM125" s="33">
        <f>IF(AC125&lt;=0,0,MAX(0,MIN(AC125,ROUND($AZ125-SUMPRODUCT($V125:$AE125*($V125:$AE125&gt;0)*(($V125:$AE125&lt;AC125)+($V125:$AE125=AC125)*($V$3:$AE$3&gt;AC$3)+($V125:$AE125=AC125)*($V$3:$AE$3=AC$3)*($V$2:$AE$2&lt;AC$2))),2))))</f>
      </c>
      <c r="AN125" s="33">
        <f>IF(AD125&lt;=0,0,MAX(0,MIN(AD125,ROUND($AZ125-SUMPRODUCT($V125:$AE125*($V125:$AE125&gt;0)*(($V125:$AE125&lt;AD125)+($V125:$AE125=AD125)*($V$3:$AE$3&gt;AD$3)+($V125:$AE125=AD125)*($V$3:$AE$3=AD$3)*($V$2:$AE$2&lt;AD$2))),2))))</f>
      </c>
      <c r="AO125" s="33">
        <f>IF(AE125&lt;=0,0,MAX(0,MIN(AE125,ROUND($AZ125-SUMPRODUCT($V125:$AE125*($V125:$AE125&gt;0)*(($V125:$AE125&lt;AE125)+($V125:$AE125=AE125)*($V$3:$AE$3&gt;AE$3)+($V125:$AE125=AE125)*($V$3:$AE$3=AE$3)*($V$2:$AE$2&lt;AE$2))),2))))</f>
      </c>
      <c r="AP125" s="33">
        <f>ROUND(V125-AF125,2)</f>
      </c>
      <c r="AQ125" s="33">
        <f>ROUND(W125-AG125,2)</f>
      </c>
      <c r="AR125" s="33">
        <f>ROUND(X125-AH125,2)</f>
      </c>
      <c r="AS125" s="33">
        <f>ROUND(Y125-AI125,2)</f>
      </c>
      <c r="AT125" s="33">
        <f>ROUND(Z125-AJ125,2)</f>
      </c>
      <c r="AU125" s="33">
        <f>ROUND(AA125-AK125,2)</f>
      </c>
      <c r="AV125" s="33">
        <f>ROUND(AB125-AL125,2)</f>
      </c>
      <c r="AW125" s="33">
        <f>ROUND(AC125-AM125,2)</f>
      </c>
      <c r="AX125" s="33">
        <f>ROUND(AD125-AN125,2)</f>
      </c>
      <c r="AY125" s="33">
        <f>ROUND(AE125-AO125,2)</f>
      </c>
      <c r="AZ125" s="33">
        <f>ROUND(MAX(0,'Your debts'!$D$22-SUM($L125:$U125)),2)</f>
      </c>
      <c r="BA125" s="33">
        <f>ROUND(SUM($B125:$K125)-SUM($AP124:$AY124),2)</f>
      </c>
      <c r="BB125" s="33">
        <f>SUM($AP125:$AY125)</f>
      </c>
      <c r="BC125" s="33">
        <f>ROUND(SUM($L125:$U125)+SUM($AF125:$AO125),2)</f>
      </c>
    </row>
    <row r="126" spans="1:55" x14ac:dyDescent="0.25">
      <c r="A126">
        <v>119</v>
      </c>
      <c r="B126" s="33">
        <f>IF(AP125&lt;=0,0,ROUND(AP125+ROUND(AP125*V$3/12,2),2))</f>
      </c>
      <c r="C126" s="33">
        <f>IF(AQ125&lt;=0,0,ROUND(AQ125+ROUND(AQ125*W$3/12,2),2))</f>
      </c>
      <c r="D126" s="33">
        <f>IF(AR125&lt;=0,0,ROUND(AR125+ROUND(AR125*X$3/12,2),2))</f>
      </c>
      <c r="E126" s="33">
        <f>IF(AS125&lt;=0,0,ROUND(AS125+ROUND(AS125*Y$3/12,2),2))</f>
      </c>
      <c r="F126" s="33">
        <f>IF(AT125&lt;=0,0,ROUND(AT125+ROUND(AT125*Z$3/12,2),2))</f>
      </c>
      <c r="G126" s="33">
        <f>IF(AU125&lt;=0,0,ROUND(AU125+ROUND(AU125*AA$3/12,2),2))</f>
      </c>
      <c r="H126" s="33">
        <f>IF(AV125&lt;=0,0,ROUND(AV125+ROUND(AV125*AB$3/12,2),2))</f>
      </c>
      <c r="I126" s="33">
        <f>IF(AW125&lt;=0,0,ROUND(AW125+ROUND(AW125*AC$3/12,2),2))</f>
      </c>
      <c r="J126" s="33">
        <f>IF(AX125&lt;=0,0,ROUND(AX125+ROUND(AX125*AD$3/12,2),2))</f>
      </c>
      <c r="K126" s="33">
        <f>IF(AY125&lt;=0,0,ROUND(AY125+ROUND(AY125*AE$3/12,2),2))</f>
      </c>
      <c r="L126" s="33">
        <f>ROUND(MIN(MAX(0,N('Your debts'!$E$6)),B126),2)</f>
      </c>
      <c r="M126" s="33">
        <f>ROUND(MIN(MAX(0,N('Your debts'!$E$7)),C126),2)</f>
      </c>
      <c r="N126" s="33">
        <f>ROUND(MIN(MAX(0,N('Your debts'!$E$8)),D126),2)</f>
      </c>
      <c r="O126" s="33">
        <f>ROUND(MIN(MAX(0,N('Your debts'!$E$9)),E126),2)</f>
      </c>
      <c r="P126" s="33">
        <f>ROUND(MIN(MAX(0,N('Your debts'!$E$10)),F126),2)</f>
      </c>
      <c r="Q126" s="33">
        <f>ROUND(MIN(MAX(0,N('Your debts'!$E$11)),G126),2)</f>
      </c>
      <c r="R126" s="33">
        <f>ROUND(MIN(MAX(0,N('Your debts'!$E$12)),H126),2)</f>
      </c>
      <c r="S126" s="33">
        <f>ROUND(MIN(MAX(0,N('Your debts'!$E$13)),I126),2)</f>
      </c>
      <c r="T126" s="33">
        <f>ROUND(MIN(MAX(0,N('Your debts'!$E$14)),J126),2)</f>
      </c>
      <c r="U126" s="33">
        <f>ROUND(MIN(MAX(0,N('Your debts'!$E$15)),K126),2)</f>
      </c>
      <c r="V126" s="33">
        <f>ROUND(B126-L126,2)</f>
      </c>
      <c r="W126" s="33">
        <f>ROUND(C126-M126,2)</f>
      </c>
      <c r="X126" s="33">
        <f>ROUND(D126-N126,2)</f>
      </c>
      <c r="Y126" s="33">
        <f>ROUND(E126-O126,2)</f>
      </c>
      <c r="Z126" s="33">
        <f>ROUND(F126-P126,2)</f>
      </c>
      <c r="AA126" s="33">
        <f>ROUND(G126-Q126,2)</f>
      </c>
      <c r="AB126" s="33">
        <f>ROUND(H126-R126,2)</f>
      </c>
      <c r="AC126" s="33">
        <f>ROUND(I126-S126,2)</f>
      </c>
      <c r="AD126" s="33">
        <f>ROUND(J126-T126,2)</f>
      </c>
      <c r="AE126" s="33">
        <f>ROUND(K126-U126,2)</f>
      </c>
      <c r="AF126" s="33">
        <f>IF(V126&lt;=0,0,MAX(0,MIN(V126,ROUND($AZ126-SUMPRODUCT($V126:$AE126*($V126:$AE126&gt;0)*(($V126:$AE126&lt;V126)+($V126:$AE126=V126)*($V$3:$AE$3&gt;V$3)+($V126:$AE126=V126)*($V$3:$AE$3=V$3)*($V$2:$AE$2&lt;V$2))),2))))</f>
      </c>
      <c r="AG126" s="33">
        <f>IF(W126&lt;=0,0,MAX(0,MIN(W126,ROUND($AZ126-SUMPRODUCT($V126:$AE126*($V126:$AE126&gt;0)*(($V126:$AE126&lt;W126)+($V126:$AE126=W126)*($V$3:$AE$3&gt;W$3)+($V126:$AE126=W126)*($V$3:$AE$3=W$3)*($V$2:$AE$2&lt;W$2))),2))))</f>
      </c>
      <c r="AH126" s="33">
        <f>IF(X126&lt;=0,0,MAX(0,MIN(X126,ROUND($AZ126-SUMPRODUCT($V126:$AE126*($V126:$AE126&gt;0)*(($V126:$AE126&lt;X126)+($V126:$AE126=X126)*($V$3:$AE$3&gt;X$3)+($V126:$AE126=X126)*($V$3:$AE$3=X$3)*($V$2:$AE$2&lt;X$2))),2))))</f>
      </c>
      <c r="AI126" s="33">
        <f>IF(Y126&lt;=0,0,MAX(0,MIN(Y126,ROUND($AZ126-SUMPRODUCT($V126:$AE126*($V126:$AE126&gt;0)*(($V126:$AE126&lt;Y126)+($V126:$AE126=Y126)*($V$3:$AE$3&gt;Y$3)+($V126:$AE126=Y126)*($V$3:$AE$3=Y$3)*($V$2:$AE$2&lt;Y$2))),2))))</f>
      </c>
      <c r="AJ126" s="33">
        <f>IF(Z126&lt;=0,0,MAX(0,MIN(Z126,ROUND($AZ126-SUMPRODUCT($V126:$AE126*($V126:$AE126&gt;0)*(($V126:$AE126&lt;Z126)+($V126:$AE126=Z126)*($V$3:$AE$3&gt;Z$3)+($V126:$AE126=Z126)*($V$3:$AE$3=Z$3)*($V$2:$AE$2&lt;Z$2))),2))))</f>
      </c>
      <c r="AK126" s="33">
        <f>IF(AA126&lt;=0,0,MAX(0,MIN(AA126,ROUND($AZ126-SUMPRODUCT($V126:$AE126*($V126:$AE126&gt;0)*(($V126:$AE126&lt;AA126)+($V126:$AE126=AA126)*($V$3:$AE$3&gt;AA$3)+($V126:$AE126=AA126)*($V$3:$AE$3=AA$3)*($V$2:$AE$2&lt;AA$2))),2))))</f>
      </c>
      <c r="AL126" s="33">
        <f>IF(AB126&lt;=0,0,MAX(0,MIN(AB126,ROUND($AZ126-SUMPRODUCT($V126:$AE126*($V126:$AE126&gt;0)*(($V126:$AE126&lt;AB126)+($V126:$AE126=AB126)*($V$3:$AE$3&gt;AB$3)+($V126:$AE126=AB126)*($V$3:$AE$3=AB$3)*($V$2:$AE$2&lt;AB$2))),2))))</f>
      </c>
      <c r="AM126" s="33">
        <f>IF(AC126&lt;=0,0,MAX(0,MIN(AC126,ROUND($AZ126-SUMPRODUCT($V126:$AE126*($V126:$AE126&gt;0)*(($V126:$AE126&lt;AC126)+($V126:$AE126=AC126)*($V$3:$AE$3&gt;AC$3)+($V126:$AE126=AC126)*($V$3:$AE$3=AC$3)*($V$2:$AE$2&lt;AC$2))),2))))</f>
      </c>
      <c r="AN126" s="33">
        <f>IF(AD126&lt;=0,0,MAX(0,MIN(AD126,ROUND($AZ126-SUMPRODUCT($V126:$AE126*($V126:$AE126&gt;0)*(($V126:$AE126&lt;AD126)+($V126:$AE126=AD126)*($V$3:$AE$3&gt;AD$3)+($V126:$AE126=AD126)*($V$3:$AE$3=AD$3)*($V$2:$AE$2&lt;AD$2))),2))))</f>
      </c>
      <c r="AO126" s="33">
        <f>IF(AE126&lt;=0,0,MAX(0,MIN(AE126,ROUND($AZ126-SUMPRODUCT($V126:$AE126*($V126:$AE126&gt;0)*(($V126:$AE126&lt;AE126)+($V126:$AE126=AE126)*($V$3:$AE$3&gt;AE$3)+($V126:$AE126=AE126)*($V$3:$AE$3=AE$3)*($V$2:$AE$2&lt;AE$2))),2))))</f>
      </c>
      <c r="AP126" s="33">
        <f>ROUND(V126-AF126,2)</f>
      </c>
      <c r="AQ126" s="33">
        <f>ROUND(W126-AG126,2)</f>
      </c>
      <c r="AR126" s="33">
        <f>ROUND(X126-AH126,2)</f>
      </c>
      <c r="AS126" s="33">
        <f>ROUND(Y126-AI126,2)</f>
      </c>
      <c r="AT126" s="33">
        <f>ROUND(Z126-AJ126,2)</f>
      </c>
      <c r="AU126" s="33">
        <f>ROUND(AA126-AK126,2)</f>
      </c>
      <c r="AV126" s="33">
        <f>ROUND(AB126-AL126,2)</f>
      </c>
      <c r="AW126" s="33">
        <f>ROUND(AC126-AM126,2)</f>
      </c>
      <c r="AX126" s="33">
        <f>ROUND(AD126-AN126,2)</f>
      </c>
      <c r="AY126" s="33">
        <f>ROUND(AE126-AO126,2)</f>
      </c>
      <c r="AZ126" s="33">
        <f>ROUND(MAX(0,'Your debts'!$D$22-SUM($L126:$U126)),2)</f>
      </c>
      <c r="BA126" s="33">
        <f>ROUND(SUM($B126:$K126)-SUM($AP125:$AY125),2)</f>
      </c>
      <c r="BB126" s="33">
        <f>SUM($AP126:$AY126)</f>
      </c>
      <c r="BC126" s="33">
        <f>ROUND(SUM($L126:$U126)+SUM($AF126:$AO126),2)</f>
      </c>
    </row>
    <row r="127" spans="1:55" x14ac:dyDescent="0.25">
      <c r="A127">
        <v>120</v>
      </c>
      <c r="B127" s="33">
        <f>IF(AP126&lt;=0,0,ROUND(AP126+ROUND(AP126*V$3/12,2),2))</f>
      </c>
      <c r="C127" s="33">
        <f>IF(AQ126&lt;=0,0,ROUND(AQ126+ROUND(AQ126*W$3/12,2),2))</f>
      </c>
      <c r="D127" s="33">
        <f>IF(AR126&lt;=0,0,ROUND(AR126+ROUND(AR126*X$3/12,2),2))</f>
      </c>
      <c r="E127" s="33">
        <f>IF(AS126&lt;=0,0,ROUND(AS126+ROUND(AS126*Y$3/12,2),2))</f>
      </c>
      <c r="F127" s="33">
        <f>IF(AT126&lt;=0,0,ROUND(AT126+ROUND(AT126*Z$3/12,2),2))</f>
      </c>
      <c r="G127" s="33">
        <f>IF(AU126&lt;=0,0,ROUND(AU126+ROUND(AU126*AA$3/12,2),2))</f>
      </c>
      <c r="H127" s="33">
        <f>IF(AV126&lt;=0,0,ROUND(AV126+ROUND(AV126*AB$3/12,2),2))</f>
      </c>
      <c r="I127" s="33">
        <f>IF(AW126&lt;=0,0,ROUND(AW126+ROUND(AW126*AC$3/12,2),2))</f>
      </c>
      <c r="J127" s="33">
        <f>IF(AX126&lt;=0,0,ROUND(AX126+ROUND(AX126*AD$3/12,2),2))</f>
      </c>
      <c r="K127" s="33">
        <f>IF(AY126&lt;=0,0,ROUND(AY126+ROUND(AY126*AE$3/12,2),2))</f>
      </c>
      <c r="L127" s="33">
        <f>ROUND(MIN(MAX(0,N('Your debts'!$E$6)),B127),2)</f>
      </c>
      <c r="M127" s="33">
        <f>ROUND(MIN(MAX(0,N('Your debts'!$E$7)),C127),2)</f>
      </c>
      <c r="N127" s="33">
        <f>ROUND(MIN(MAX(0,N('Your debts'!$E$8)),D127),2)</f>
      </c>
      <c r="O127" s="33">
        <f>ROUND(MIN(MAX(0,N('Your debts'!$E$9)),E127),2)</f>
      </c>
      <c r="P127" s="33">
        <f>ROUND(MIN(MAX(0,N('Your debts'!$E$10)),F127),2)</f>
      </c>
      <c r="Q127" s="33">
        <f>ROUND(MIN(MAX(0,N('Your debts'!$E$11)),G127),2)</f>
      </c>
      <c r="R127" s="33">
        <f>ROUND(MIN(MAX(0,N('Your debts'!$E$12)),H127),2)</f>
      </c>
      <c r="S127" s="33">
        <f>ROUND(MIN(MAX(0,N('Your debts'!$E$13)),I127),2)</f>
      </c>
      <c r="T127" s="33">
        <f>ROUND(MIN(MAX(0,N('Your debts'!$E$14)),J127),2)</f>
      </c>
      <c r="U127" s="33">
        <f>ROUND(MIN(MAX(0,N('Your debts'!$E$15)),K127),2)</f>
      </c>
      <c r="V127" s="33">
        <f>ROUND(B127-L127,2)</f>
      </c>
      <c r="W127" s="33">
        <f>ROUND(C127-M127,2)</f>
      </c>
      <c r="X127" s="33">
        <f>ROUND(D127-N127,2)</f>
      </c>
      <c r="Y127" s="33">
        <f>ROUND(E127-O127,2)</f>
      </c>
      <c r="Z127" s="33">
        <f>ROUND(F127-P127,2)</f>
      </c>
      <c r="AA127" s="33">
        <f>ROUND(G127-Q127,2)</f>
      </c>
      <c r="AB127" s="33">
        <f>ROUND(H127-R127,2)</f>
      </c>
      <c r="AC127" s="33">
        <f>ROUND(I127-S127,2)</f>
      </c>
      <c r="AD127" s="33">
        <f>ROUND(J127-T127,2)</f>
      </c>
      <c r="AE127" s="33">
        <f>ROUND(K127-U127,2)</f>
      </c>
      <c r="AF127" s="33">
        <f>IF(V127&lt;=0,0,MAX(0,MIN(V127,ROUND($AZ127-SUMPRODUCT($V127:$AE127*($V127:$AE127&gt;0)*(($V127:$AE127&lt;V127)+($V127:$AE127=V127)*($V$3:$AE$3&gt;V$3)+($V127:$AE127=V127)*($V$3:$AE$3=V$3)*($V$2:$AE$2&lt;V$2))),2))))</f>
      </c>
      <c r="AG127" s="33">
        <f>IF(W127&lt;=0,0,MAX(0,MIN(W127,ROUND($AZ127-SUMPRODUCT($V127:$AE127*($V127:$AE127&gt;0)*(($V127:$AE127&lt;W127)+($V127:$AE127=W127)*($V$3:$AE$3&gt;W$3)+($V127:$AE127=W127)*($V$3:$AE$3=W$3)*($V$2:$AE$2&lt;W$2))),2))))</f>
      </c>
      <c r="AH127" s="33">
        <f>IF(X127&lt;=0,0,MAX(0,MIN(X127,ROUND($AZ127-SUMPRODUCT($V127:$AE127*($V127:$AE127&gt;0)*(($V127:$AE127&lt;X127)+($V127:$AE127=X127)*($V$3:$AE$3&gt;X$3)+($V127:$AE127=X127)*($V$3:$AE$3=X$3)*($V$2:$AE$2&lt;X$2))),2))))</f>
      </c>
      <c r="AI127" s="33">
        <f>IF(Y127&lt;=0,0,MAX(0,MIN(Y127,ROUND($AZ127-SUMPRODUCT($V127:$AE127*($V127:$AE127&gt;0)*(($V127:$AE127&lt;Y127)+($V127:$AE127=Y127)*($V$3:$AE$3&gt;Y$3)+($V127:$AE127=Y127)*($V$3:$AE$3=Y$3)*($V$2:$AE$2&lt;Y$2))),2))))</f>
      </c>
      <c r="AJ127" s="33">
        <f>IF(Z127&lt;=0,0,MAX(0,MIN(Z127,ROUND($AZ127-SUMPRODUCT($V127:$AE127*($V127:$AE127&gt;0)*(($V127:$AE127&lt;Z127)+($V127:$AE127=Z127)*($V$3:$AE$3&gt;Z$3)+($V127:$AE127=Z127)*($V$3:$AE$3=Z$3)*($V$2:$AE$2&lt;Z$2))),2))))</f>
      </c>
      <c r="AK127" s="33">
        <f>IF(AA127&lt;=0,0,MAX(0,MIN(AA127,ROUND($AZ127-SUMPRODUCT($V127:$AE127*($V127:$AE127&gt;0)*(($V127:$AE127&lt;AA127)+($V127:$AE127=AA127)*($V$3:$AE$3&gt;AA$3)+($V127:$AE127=AA127)*($V$3:$AE$3=AA$3)*($V$2:$AE$2&lt;AA$2))),2))))</f>
      </c>
      <c r="AL127" s="33">
        <f>IF(AB127&lt;=0,0,MAX(0,MIN(AB127,ROUND($AZ127-SUMPRODUCT($V127:$AE127*($V127:$AE127&gt;0)*(($V127:$AE127&lt;AB127)+($V127:$AE127=AB127)*($V$3:$AE$3&gt;AB$3)+($V127:$AE127=AB127)*($V$3:$AE$3=AB$3)*($V$2:$AE$2&lt;AB$2))),2))))</f>
      </c>
      <c r="AM127" s="33">
        <f>IF(AC127&lt;=0,0,MAX(0,MIN(AC127,ROUND($AZ127-SUMPRODUCT($V127:$AE127*($V127:$AE127&gt;0)*(($V127:$AE127&lt;AC127)+($V127:$AE127=AC127)*($V$3:$AE$3&gt;AC$3)+($V127:$AE127=AC127)*($V$3:$AE$3=AC$3)*($V$2:$AE$2&lt;AC$2))),2))))</f>
      </c>
      <c r="AN127" s="33">
        <f>IF(AD127&lt;=0,0,MAX(0,MIN(AD127,ROUND($AZ127-SUMPRODUCT($V127:$AE127*($V127:$AE127&gt;0)*(($V127:$AE127&lt;AD127)+($V127:$AE127=AD127)*($V$3:$AE$3&gt;AD$3)+($V127:$AE127=AD127)*($V$3:$AE$3=AD$3)*($V$2:$AE$2&lt;AD$2))),2))))</f>
      </c>
      <c r="AO127" s="33">
        <f>IF(AE127&lt;=0,0,MAX(0,MIN(AE127,ROUND($AZ127-SUMPRODUCT($V127:$AE127*($V127:$AE127&gt;0)*(($V127:$AE127&lt;AE127)+($V127:$AE127=AE127)*($V$3:$AE$3&gt;AE$3)+($V127:$AE127=AE127)*($V$3:$AE$3=AE$3)*($V$2:$AE$2&lt;AE$2))),2))))</f>
      </c>
      <c r="AP127" s="33">
        <f>ROUND(V127-AF127,2)</f>
      </c>
      <c r="AQ127" s="33">
        <f>ROUND(W127-AG127,2)</f>
      </c>
      <c r="AR127" s="33">
        <f>ROUND(X127-AH127,2)</f>
      </c>
      <c r="AS127" s="33">
        <f>ROUND(Y127-AI127,2)</f>
      </c>
      <c r="AT127" s="33">
        <f>ROUND(Z127-AJ127,2)</f>
      </c>
      <c r="AU127" s="33">
        <f>ROUND(AA127-AK127,2)</f>
      </c>
      <c r="AV127" s="33">
        <f>ROUND(AB127-AL127,2)</f>
      </c>
      <c r="AW127" s="33">
        <f>ROUND(AC127-AM127,2)</f>
      </c>
      <c r="AX127" s="33">
        <f>ROUND(AD127-AN127,2)</f>
      </c>
      <c r="AY127" s="33">
        <f>ROUND(AE127-AO127,2)</f>
      </c>
      <c r="AZ127" s="33">
        <f>ROUND(MAX(0,'Your debts'!$D$22-SUM($L127:$U127)),2)</f>
      </c>
      <c r="BA127" s="33">
        <f>ROUND(SUM($B127:$K127)-SUM($AP126:$AY126),2)</f>
      </c>
      <c r="BB127" s="33">
        <f>SUM($AP127:$AY127)</f>
      </c>
      <c r="BC127" s="33">
        <f>ROUND(SUM($L127:$U127)+SUM($AF127:$AO127),2)</f>
      </c>
    </row>
    <row r="128" spans="1:55" x14ac:dyDescent="0.25">
      <c r="A128">
        <v>121</v>
      </c>
      <c r="B128" s="33">
        <f>IF(AP127&lt;=0,0,ROUND(AP127+ROUND(AP127*V$3/12,2),2))</f>
      </c>
      <c r="C128" s="33">
        <f>IF(AQ127&lt;=0,0,ROUND(AQ127+ROUND(AQ127*W$3/12,2),2))</f>
      </c>
      <c r="D128" s="33">
        <f>IF(AR127&lt;=0,0,ROUND(AR127+ROUND(AR127*X$3/12,2),2))</f>
      </c>
      <c r="E128" s="33">
        <f>IF(AS127&lt;=0,0,ROUND(AS127+ROUND(AS127*Y$3/12,2),2))</f>
      </c>
      <c r="F128" s="33">
        <f>IF(AT127&lt;=0,0,ROUND(AT127+ROUND(AT127*Z$3/12,2),2))</f>
      </c>
      <c r="G128" s="33">
        <f>IF(AU127&lt;=0,0,ROUND(AU127+ROUND(AU127*AA$3/12,2),2))</f>
      </c>
      <c r="H128" s="33">
        <f>IF(AV127&lt;=0,0,ROUND(AV127+ROUND(AV127*AB$3/12,2),2))</f>
      </c>
      <c r="I128" s="33">
        <f>IF(AW127&lt;=0,0,ROUND(AW127+ROUND(AW127*AC$3/12,2),2))</f>
      </c>
      <c r="J128" s="33">
        <f>IF(AX127&lt;=0,0,ROUND(AX127+ROUND(AX127*AD$3/12,2),2))</f>
      </c>
      <c r="K128" s="33">
        <f>IF(AY127&lt;=0,0,ROUND(AY127+ROUND(AY127*AE$3/12,2),2))</f>
      </c>
      <c r="L128" s="33">
        <f>ROUND(MIN(MAX(0,N('Your debts'!$E$6)),B128),2)</f>
      </c>
      <c r="M128" s="33">
        <f>ROUND(MIN(MAX(0,N('Your debts'!$E$7)),C128),2)</f>
      </c>
      <c r="N128" s="33">
        <f>ROUND(MIN(MAX(0,N('Your debts'!$E$8)),D128),2)</f>
      </c>
      <c r="O128" s="33">
        <f>ROUND(MIN(MAX(0,N('Your debts'!$E$9)),E128),2)</f>
      </c>
      <c r="P128" s="33">
        <f>ROUND(MIN(MAX(0,N('Your debts'!$E$10)),F128),2)</f>
      </c>
      <c r="Q128" s="33">
        <f>ROUND(MIN(MAX(0,N('Your debts'!$E$11)),G128),2)</f>
      </c>
      <c r="R128" s="33">
        <f>ROUND(MIN(MAX(0,N('Your debts'!$E$12)),H128),2)</f>
      </c>
      <c r="S128" s="33">
        <f>ROUND(MIN(MAX(0,N('Your debts'!$E$13)),I128),2)</f>
      </c>
      <c r="T128" s="33">
        <f>ROUND(MIN(MAX(0,N('Your debts'!$E$14)),J128),2)</f>
      </c>
      <c r="U128" s="33">
        <f>ROUND(MIN(MAX(0,N('Your debts'!$E$15)),K128),2)</f>
      </c>
      <c r="V128" s="33">
        <f>ROUND(B128-L128,2)</f>
      </c>
      <c r="W128" s="33">
        <f>ROUND(C128-M128,2)</f>
      </c>
      <c r="X128" s="33">
        <f>ROUND(D128-N128,2)</f>
      </c>
      <c r="Y128" s="33">
        <f>ROUND(E128-O128,2)</f>
      </c>
      <c r="Z128" s="33">
        <f>ROUND(F128-P128,2)</f>
      </c>
      <c r="AA128" s="33">
        <f>ROUND(G128-Q128,2)</f>
      </c>
      <c r="AB128" s="33">
        <f>ROUND(H128-R128,2)</f>
      </c>
      <c r="AC128" s="33">
        <f>ROUND(I128-S128,2)</f>
      </c>
      <c r="AD128" s="33">
        <f>ROUND(J128-T128,2)</f>
      </c>
      <c r="AE128" s="33">
        <f>ROUND(K128-U128,2)</f>
      </c>
      <c r="AF128" s="33">
        <f>IF(V128&lt;=0,0,MAX(0,MIN(V128,ROUND($AZ128-SUMPRODUCT($V128:$AE128*($V128:$AE128&gt;0)*(($V128:$AE128&lt;V128)+($V128:$AE128=V128)*($V$3:$AE$3&gt;V$3)+($V128:$AE128=V128)*($V$3:$AE$3=V$3)*($V$2:$AE$2&lt;V$2))),2))))</f>
      </c>
      <c r="AG128" s="33">
        <f>IF(W128&lt;=0,0,MAX(0,MIN(W128,ROUND($AZ128-SUMPRODUCT($V128:$AE128*($V128:$AE128&gt;0)*(($V128:$AE128&lt;W128)+($V128:$AE128=W128)*($V$3:$AE$3&gt;W$3)+($V128:$AE128=W128)*($V$3:$AE$3=W$3)*($V$2:$AE$2&lt;W$2))),2))))</f>
      </c>
      <c r="AH128" s="33">
        <f>IF(X128&lt;=0,0,MAX(0,MIN(X128,ROUND($AZ128-SUMPRODUCT($V128:$AE128*($V128:$AE128&gt;0)*(($V128:$AE128&lt;X128)+($V128:$AE128=X128)*($V$3:$AE$3&gt;X$3)+($V128:$AE128=X128)*($V$3:$AE$3=X$3)*($V$2:$AE$2&lt;X$2))),2))))</f>
      </c>
      <c r="AI128" s="33">
        <f>IF(Y128&lt;=0,0,MAX(0,MIN(Y128,ROUND($AZ128-SUMPRODUCT($V128:$AE128*($V128:$AE128&gt;0)*(($V128:$AE128&lt;Y128)+($V128:$AE128=Y128)*($V$3:$AE$3&gt;Y$3)+($V128:$AE128=Y128)*($V$3:$AE$3=Y$3)*($V$2:$AE$2&lt;Y$2))),2))))</f>
      </c>
      <c r="AJ128" s="33">
        <f>IF(Z128&lt;=0,0,MAX(0,MIN(Z128,ROUND($AZ128-SUMPRODUCT($V128:$AE128*($V128:$AE128&gt;0)*(($V128:$AE128&lt;Z128)+($V128:$AE128=Z128)*($V$3:$AE$3&gt;Z$3)+($V128:$AE128=Z128)*($V$3:$AE$3=Z$3)*($V$2:$AE$2&lt;Z$2))),2))))</f>
      </c>
      <c r="AK128" s="33">
        <f>IF(AA128&lt;=0,0,MAX(0,MIN(AA128,ROUND($AZ128-SUMPRODUCT($V128:$AE128*($V128:$AE128&gt;0)*(($V128:$AE128&lt;AA128)+($V128:$AE128=AA128)*($V$3:$AE$3&gt;AA$3)+($V128:$AE128=AA128)*($V$3:$AE$3=AA$3)*($V$2:$AE$2&lt;AA$2))),2))))</f>
      </c>
      <c r="AL128" s="33">
        <f>IF(AB128&lt;=0,0,MAX(0,MIN(AB128,ROUND($AZ128-SUMPRODUCT($V128:$AE128*($V128:$AE128&gt;0)*(($V128:$AE128&lt;AB128)+($V128:$AE128=AB128)*($V$3:$AE$3&gt;AB$3)+($V128:$AE128=AB128)*($V$3:$AE$3=AB$3)*($V$2:$AE$2&lt;AB$2))),2))))</f>
      </c>
      <c r="AM128" s="33">
        <f>IF(AC128&lt;=0,0,MAX(0,MIN(AC128,ROUND($AZ128-SUMPRODUCT($V128:$AE128*($V128:$AE128&gt;0)*(($V128:$AE128&lt;AC128)+($V128:$AE128=AC128)*($V$3:$AE$3&gt;AC$3)+($V128:$AE128=AC128)*($V$3:$AE$3=AC$3)*($V$2:$AE$2&lt;AC$2))),2))))</f>
      </c>
      <c r="AN128" s="33">
        <f>IF(AD128&lt;=0,0,MAX(0,MIN(AD128,ROUND($AZ128-SUMPRODUCT($V128:$AE128*($V128:$AE128&gt;0)*(($V128:$AE128&lt;AD128)+($V128:$AE128=AD128)*($V$3:$AE$3&gt;AD$3)+($V128:$AE128=AD128)*($V$3:$AE$3=AD$3)*($V$2:$AE$2&lt;AD$2))),2))))</f>
      </c>
      <c r="AO128" s="33">
        <f>IF(AE128&lt;=0,0,MAX(0,MIN(AE128,ROUND($AZ128-SUMPRODUCT($V128:$AE128*($V128:$AE128&gt;0)*(($V128:$AE128&lt;AE128)+($V128:$AE128=AE128)*($V$3:$AE$3&gt;AE$3)+($V128:$AE128=AE128)*($V$3:$AE$3=AE$3)*($V$2:$AE$2&lt;AE$2))),2))))</f>
      </c>
      <c r="AP128" s="33">
        <f>ROUND(V128-AF128,2)</f>
      </c>
      <c r="AQ128" s="33">
        <f>ROUND(W128-AG128,2)</f>
      </c>
      <c r="AR128" s="33">
        <f>ROUND(X128-AH128,2)</f>
      </c>
      <c r="AS128" s="33">
        <f>ROUND(Y128-AI128,2)</f>
      </c>
      <c r="AT128" s="33">
        <f>ROUND(Z128-AJ128,2)</f>
      </c>
      <c r="AU128" s="33">
        <f>ROUND(AA128-AK128,2)</f>
      </c>
      <c r="AV128" s="33">
        <f>ROUND(AB128-AL128,2)</f>
      </c>
      <c r="AW128" s="33">
        <f>ROUND(AC128-AM128,2)</f>
      </c>
      <c r="AX128" s="33">
        <f>ROUND(AD128-AN128,2)</f>
      </c>
      <c r="AY128" s="33">
        <f>ROUND(AE128-AO128,2)</f>
      </c>
      <c r="AZ128" s="33">
        <f>ROUND(MAX(0,'Your debts'!$D$22-SUM($L128:$U128)),2)</f>
      </c>
      <c r="BA128" s="33">
        <f>ROUND(SUM($B128:$K128)-SUM($AP127:$AY127),2)</f>
      </c>
      <c r="BB128" s="33">
        <f>SUM($AP128:$AY128)</f>
      </c>
      <c r="BC128" s="33">
        <f>ROUND(SUM($L128:$U128)+SUM($AF128:$AO128),2)</f>
      </c>
    </row>
    <row r="129" spans="1:55" x14ac:dyDescent="0.25">
      <c r="A129">
        <v>122</v>
      </c>
      <c r="B129" s="33">
        <f>IF(AP128&lt;=0,0,ROUND(AP128+ROUND(AP128*V$3/12,2),2))</f>
      </c>
      <c r="C129" s="33">
        <f>IF(AQ128&lt;=0,0,ROUND(AQ128+ROUND(AQ128*W$3/12,2),2))</f>
      </c>
      <c r="D129" s="33">
        <f>IF(AR128&lt;=0,0,ROUND(AR128+ROUND(AR128*X$3/12,2),2))</f>
      </c>
      <c r="E129" s="33">
        <f>IF(AS128&lt;=0,0,ROUND(AS128+ROUND(AS128*Y$3/12,2),2))</f>
      </c>
      <c r="F129" s="33">
        <f>IF(AT128&lt;=0,0,ROUND(AT128+ROUND(AT128*Z$3/12,2),2))</f>
      </c>
      <c r="G129" s="33">
        <f>IF(AU128&lt;=0,0,ROUND(AU128+ROUND(AU128*AA$3/12,2),2))</f>
      </c>
      <c r="H129" s="33">
        <f>IF(AV128&lt;=0,0,ROUND(AV128+ROUND(AV128*AB$3/12,2),2))</f>
      </c>
      <c r="I129" s="33">
        <f>IF(AW128&lt;=0,0,ROUND(AW128+ROUND(AW128*AC$3/12,2),2))</f>
      </c>
      <c r="J129" s="33">
        <f>IF(AX128&lt;=0,0,ROUND(AX128+ROUND(AX128*AD$3/12,2),2))</f>
      </c>
      <c r="K129" s="33">
        <f>IF(AY128&lt;=0,0,ROUND(AY128+ROUND(AY128*AE$3/12,2),2))</f>
      </c>
      <c r="L129" s="33">
        <f>ROUND(MIN(MAX(0,N('Your debts'!$E$6)),B129),2)</f>
      </c>
      <c r="M129" s="33">
        <f>ROUND(MIN(MAX(0,N('Your debts'!$E$7)),C129),2)</f>
      </c>
      <c r="N129" s="33">
        <f>ROUND(MIN(MAX(0,N('Your debts'!$E$8)),D129),2)</f>
      </c>
      <c r="O129" s="33">
        <f>ROUND(MIN(MAX(0,N('Your debts'!$E$9)),E129),2)</f>
      </c>
      <c r="P129" s="33">
        <f>ROUND(MIN(MAX(0,N('Your debts'!$E$10)),F129),2)</f>
      </c>
      <c r="Q129" s="33">
        <f>ROUND(MIN(MAX(0,N('Your debts'!$E$11)),G129),2)</f>
      </c>
      <c r="R129" s="33">
        <f>ROUND(MIN(MAX(0,N('Your debts'!$E$12)),H129),2)</f>
      </c>
      <c r="S129" s="33">
        <f>ROUND(MIN(MAX(0,N('Your debts'!$E$13)),I129),2)</f>
      </c>
      <c r="T129" s="33">
        <f>ROUND(MIN(MAX(0,N('Your debts'!$E$14)),J129),2)</f>
      </c>
      <c r="U129" s="33">
        <f>ROUND(MIN(MAX(0,N('Your debts'!$E$15)),K129),2)</f>
      </c>
      <c r="V129" s="33">
        <f>ROUND(B129-L129,2)</f>
      </c>
      <c r="W129" s="33">
        <f>ROUND(C129-M129,2)</f>
      </c>
      <c r="X129" s="33">
        <f>ROUND(D129-N129,2)</f>
      </c>
      <c r="Y129" s="33">
        <f>ROUND(E129-O129,2)</f>
      </c>
      <c r="Z129" s="33">
        <f>ROUND(F129-P129,2)</f>
      </c>
      <c r="AA129" s="33">
        <f>ROUND(G129-Q129,2)</f>
      </c>
      <c r="AB129" s="33">
        <f>ROUND(H129-R129,2)</f>
      </c>
      <c r="AC129" s="33">
        <f>ROUND(I129-S129,2)</f>
      </c>
      <c r="AD129" s="33">
        <f>ROUND(J129-T129,2)</f>
      </c>
      <c r="AE129" s="33">
        <f>ROUND(K129-U129,2)</f>
      </c>
      <c r="AF129" s="33">
        <f>IF(V129&lt;=0,0,MAX(0,MIN(V129,ROUND($AZ129-SUMPRODUCT($V129:$AE129*($V129:$AE129&gt;0)*(($V129:$AE129&lt;V129)+($V129:$AE129=V129)*($V$3:$AE$3&gt;V$3)+($V129:$AE129=V129)*($V$3:$AE$3=V$3)*($V$2:$AE$2&lt;V$2))),2))))</f>
      </c>
      <c r="AG129" s="33">
        <f>IF(W129&lt;=0,0,MAX(0,MIN(W129,ROUND($AZ129-SUMPRODUCT($V129:$AE129*($V129:$AE129&gt;0)*(($V129:$AE129&lt;W129)+($V129:$AE129=W129)*($V$3:$AE$3&gt;W$3)+($V129:$AE129=W129)*($V$3:$AE$3=W$3)*($V$2:$AE$2&lt;W$2))),2))))</f>
      </c>
      <c r="AH129" s="33">
        <f>IF(X129&lt;=0,0,MAX(0,MIN(X129,ROUND($AZ129-SUMPRODUCT($V129:$AE129*($V129:$AE129&gt;0)*(($V129:$AE129&lt;X129)+($V129:$AE129=X129)*($V$3:$AE$3&gt;X$3)+($V129:$AE129=X129)*($V$3:$AE$3=X$3)*($V$2:$AE$2&lt;X$2))),2))))</f>
      </c>
      <c r="AI129" s="33">
        <f>IF(Y129&lt;=0,0,MAX(0,MIN(Y129,ROUND($AZ129-SUMPRODUCT($V129:$AE129*($V129:$AE129&gt;0)*(($V129:$AE129&lt;Y129)+($V129:$AE129=Y129)*($V$3:$AE$3&gt;Y$3)+($V129:$AE129=Y129)*($V$3:$AE$3=Y$3)*($V$2:$AE$2&lt;Y$2))),2))))</f>
      </c>
      <c r="AJ129" s="33">
        <f>IF(Z129&lt;=0,0,MAX(0,MIN(Z129,ROUND($AZ129-SUMPRODUCT($V129:$AE129*($V129:$AE129&gt;0)*(($V129:$AE129&lt;Z129)+($V129:$AE129=Z129)*($V$3:$AE$3&gt;Z$3)+($V129:$AE129=Z129)*($V$3:$AE$3=Z$3)*($V$2:$AE$2&lt;Z$2))),2))))</f>
      </c>
      <c r="AK129" s="33">
        <f>IF(AA129&lt;=0,0,MAX(0,MIN(AA129,ROUND($AZ129-SUMPRODUCT($V129:$AE129*($V129:$AE129&gt;0)*(($V129:$AE129&lt;AA129)+($V129:$AE129=AA129)*($V$3:$AE$3&gt;AA$3)+($V129:$AE129=AA129)*($V$3:$AE$3=AA$3)*($V$2:$AE$2&lt;AA$2))),2))))</f>
      </c>
      <c r="AL129" s="33">
        <f>IF(AB129&lt;=0,0,MAX(0,MIN(AB129,ROUND($AZ129-SUMPRODUCT($V129:$AE129*($V129:$AE129&gt;0)*(($V129:$AE129&lt;AB129)+($V129:$AE129=AB129)*($V$3:$AE$3&gt;AB$3)+($V129:$AE129=AB129)*($V$3:$AE$3=AB$3)*($V$2:$AE$2&lt;AB$2))),2))))</f>
      </c>
      <c r="AM129" s="33">
        <f>IF(AC129&lt;=0,0,MAX(0,MIN(AC129,ROUND($AZ129-SUMPRODUCT($V129:$AE129*($V129:$AE129&gt;0)*(($V129:$AE129&lt;AC129)+($V129:$AE129=AC129)*($V$3:$AE$3&gt;AC$3)+($V129:$AE129=AC129)*($V$3:$AE$3=AC$3)*($V$2:$AE$2&lt;AC$2))),2))))</f>
      </c>
      <c r="AN129" s="33">
        <f>IF(AD129&lt;=0,0,MAX(0,MIN(AD129,ROUND($AZ129-SUMPRODUCT($V129:$AE129*($V129:$AE129&gt;0)*(($V129:$AE129&lt;AD129)+($V129:$AE129=AD129)*($V$3:$AE$3&gt;AD$3)+($V129:$AE129=AD129)*($V$3:$AE$3=AD$3)*($V$2:$AE$2&lt;AD$2))),2))))</f>
      </c>
      <c r="AO129" s="33">
        <f>IF(AE129&lt;=0,0,MAX(0,MIN(AE129,ROUND($AZ129-SUMPRODUCT($V129:$AE129*($V129:$AE129&gt;0)*(($V129:$AE129&lt;AE129)+($V129:$AE129=AE129)*($V$3:$AE$3&gt;AE$3)+($V129:$AE129=AE129)*($V$3:$AE$3=AE$3)*($V$2:$AE$2&lt;AE$2))),2))))</f>
      </c>
      <c r="AP129" s="33">
        <f>ROUND(V129-AF129,2)</f>
      </c>
      <c r="AQ129" s="33">
        <f>ROUND(W129-AG129,2)</f>
      </c>
      <c r="AR129" s="33">
        <f>ROUND(X129-AH129,2)</f>
      </c>
      <c r="AS129" s="33">
        <f>ROUND(Y129-AI129,2)</f>
      </c>
      <c r="AT129" s="33">
        <f>ROUND(Z129-AJ129,2)</f>
      </c>
      <c r="AU129" s="33">
        <f>ROUND(AA129-AK129,2)</f>
      </c>
      <c r="AV129" s="33">
        <f>ROUND(AB129-AL129,2)</f>
      </c>
      <c r="AW129" s="33">
        <f>ROUND(AC129-AM129,2)</f>
      </c>
      <c r="AX129" s="33">
        <f>ROUND(AD129-AN129,2)</f>
      </c>
      <c r="AY129" s="33">
        <f>ROUND(AE129-AO129,2)</f>
      </c>
      <c r="AZ129" s="33">
        <f>ROUND(MAX(0,'Your debts'!$D$22-SUM($L129:$U129)),2)</f>
      </c>
      <c r="BA129" s="33">
        <f>ROUND(SUM($B129:$K129)-SUM($AP128:$AY128),2)</f>
      </c>
      <c r="BB129" s="33">
        <f>SUM($AP129:$AY129)</f>
      </c>
      <c r="BC129" s="33">
        <f>ROUND(SUM($L129:$U129)+SUM($AF129:$AO129),2)</f>
      </c>
    </row>
    <row r="130" spans="1:55" x14ac:dyDescent="0.25">
      <c r="A130">
        <v>123</v>
      </c>
      <c r="B130" s="33">
        <f>IF(AP129&lt;=0,0,ROUND(AP129+ROUND(AP129*V$3/12,2),2))</f>
      </c>
      <c r="C130" s="33">
        <f>IF(AQ129&lt;=0,0,ROUND(AQ129+ROUND(AQ129*W$3/12,2),2))</f>
      </c>
      <c r="D130" s="33">
        <f>IF(AR129&lt;=0,0,ROUND(AR129+ROUND(AR129*X$3/12,2),2))</f>
      </c>
      <c r="E130" s="33">
        <f>IF(AS129&lt;=0,0,ROUND(AS129+ROUND(AS129*Y$3/12,2),2))</f>
      </c>
      <c r="F130" s="33">
        <f>IF(AT129&lt;=0,0,ROUND(AT129+ROUND(AT129*Z$3/12,2),2))</f>
      </c>
      <c r="G130" s="33">
        <f>IF(AU129&lt;=0,0,ROUND(AU129+ROUND(AU129*AA$3/12,2),2))</f>
      </c>
      <c r="H130" s="33">
        <f>IF(AV129&lt;=0,0,ROUND(AV129+ROUND(AV129*AB$3/12,2),2))</f>
      </c>
      <c r="I130" s="33">
        <f>IF(AW129&lt;=0,0,ROUND(AW129+ROUND(AW129*AC$3/12,2),2))</f>
      </c>
      <c r="J130" s="33">
        <f>IF(AX129&lt;=0,0,ROUND(AX129+ROUND(AX129*AD$3/12,2),2))</f>
      </c>
      <c r="K130" s="33">
        <f>IF(AY129&lt;=0,0,ROUND(AY129+ROUND(AY129*AE$3/12,2),2))</f>
      </c>
      <c r="L130" s="33">
        <f>ROUND(MIN(MAX(0,N('Your debts'!$E$6)),B130),2)</f>
      </c>
      <c r="M130" s="33">
        <f>ROUND(MIN(MAX(0,N('Your debts'!$E$7)),C130),2)</f>
      </c>
      <c r="N130" s="33">
        <f>ROUND(MIN(MAX(0,N('Your debts'!$E$8)),D130),2)</f>
      </c>
      <c r="O130" s="33">
        <f>ROUND(MIN(MAX(0,N('Your debts'!$E$9)),E130),2)</f>
      </c>
      <c r="P130" s="33">
        <f>ROUND(MIN(MAX(0,N('Your debts'!$E$10)),F130),2)</f>
      </c>
      <c r="Q130" s="33">
        <f>ROUND(MIN(MAX(0,N('Your debts'!$E$11)),G130),2)</f>
      </c>
      <c r="R130" s="33">
        <f>ROUND(MIN(MAX(0,N('Your debts'!$E$12)),H130),2)</f>
      </c>
      <c r="S130" s="33">
        <f>ROUND(MIN(MAX(0,N('Your debts'!$E$13)),I130),2)</f>
      </c>
      <c r="T130" s="33">
        <f>ROUND(MIN(MAX(0,N('Your debts'!$E$14)),J130),2)</f>
      </c>
      <c r="U130" s="33">
        <f>ROUND(MIN(MAX(0,N('Your debts'!$E$15)),K130),2)</f>
      </c>
      <c r="V130" s="33">
        <f>ROUND(B130-L130,2)</f>
      </c>
      <c r="W130" s="33">
        <f>ROUND(C130-M130,2)</f>
      </c>
      <c r="X130" s="33">
        <f>ROUND(D130-N130,2)</f>
      </c>
      <c r="Y130" s="33">
        <f>ROUND(E130-O130,2)</f>
      </c>
      <c r="Z130" s="33">
        <f>ROUND(F130-P130,2)</f>
      </c>
      <c r="AA130" s="33">
        <f>ROUND(G130-Q130,2)</f>
      </c>
      <c r="AB130" s="33">
        <f>ROUND(H130-R130,2)</f>
      </c>
      <c r="AC130" s="33">
        <f>ROUND(I130-S130,2)</f>
      </c>
      <c r="AD130" s="33">
        <f>ROUND(J130-T130,2)</f>
      </c>
      <c r="AE130" s="33">
        <f>ROUND(K130-U130,2)</f>
      </c>
      <c r="AF130" s="33">
        <f>IF(V130&lt;=0,0,MAX(0,MIN(V130,ROUND($AZ130-SUMPRODUCT($V130:$AE130*($V130:$AE130&gt;0)*(($V130:$AE130&lt;V130)+($V130:$AE130=V130)*($V$3:$AE$3&gt;V$3)+($V130:$AE130=V130)*($V$3:$AE$3=V$3)*($V$2:$AE$2&lt;V$2))),2))))</f>
      </c>
      <c r="AG130" s="33">
        <f>IF(W130&lt;=0,0,MAX(0,MIN(W130,ROUND($AZ130-SUMPRODUCT($V130:$AE130*($V130:$AE130&gt;0)*(($V130:$AE130&lt;W130)+($V130:$AE130=W130)*($V$3:$AE$3&gt;W$3)+($V130:$AE130=W130)*($V$3:$AE$3=W$3)*($V$2:$AE$2&lt;W$2))),2))))</f>
      </c>
      <c r="AH130" s="33">
        <f>IF(X130&lt;=0,0,MAX(0,MIN(X130,ROUND($AZ130-SUMPRODUCT($V130:$AE130*($V130:$AE130&gt;0)*(($V130:$AE130&lt;X130)+($V130:$AE130=X130)*($V$3:$AE$3&gt;X$3)+($V130:$AE130=X130)*($V$3:$AE$3=X$3)*($V$2:$AE$2&lt;X$2))),2))))</f>
      </c>
      <c r="AI130" s="33">
        <f>IF(Y130&lt;=0,0,MAX(0,MIN(Y130,ROUND($AZ130-SUMPRODUCT($V130:$AE130*($V130:$AE130&gt;0)*(($V130:$AE130&lt;Y130)+($V130:$AE130=Y130)*($V$3:$AE$3&gt;Y$3)+($V130:$AE130=Y130)*($V$3:$AE$3=Y$3)*($V$2:$AE$2&lt;Y$2))),2))))</f>
      </c>
      <c r="AJ130" s="33">
        <f>IF(Z130&lt;=0,0,MAX(0,MIN(Z130,ROUND($AZ130-SUMPRODUCT($V130:$AE130*($V130:$AE130&gt;0)*(($V130:$AE130&lt;Z130)+($V130:$AE130=Z130)*($V$3:$AE$3&gt;Z$3)+($V130:$AE130=Z130)*($V$3:$AE$3=Z$3)*($V$2:$AE$2&lt;Z$2))),2))))</f>
      </c>
      <c r="AK130" s="33">
        <f>IF(AA130&lt;=0,0,MAX(0,MIN(AA130,ROUND($AZ130-SUMPRODUCT($V130:$AE130*($V130:$AE130&gt;0)*(($V130:$AE130&lt;AA130)+($V130:$AE130=AA130)*($V$3:$AE$3&gt;AA$3)+($V130:$AE130=AA130)*($V$3:$AE$3=AA$3)*($V$2:$AE$2&lt;AA$2))),2))))</f>
      </c>
      <c r="AL130" s="33">
        <f>IF(AB130&lt;=0,0,MAX(0,MIN(AB130,ROUND($AZ130-SUMPRODUCT($V130:$AE130*($V130:$AE130&gt;0)*(($V130:$AE130&lt;AB130)+($V130:$AE130=AB130)*($V$3:$AE$3&gt;AB$3)+($V130:$AE130=AB130)*($V$3:$AE$3=AB$3)*($V$2:$AE$2&lt;AB$2))),2))))</f>
      </c>
      <c r="AM130" s="33">
        <f>IF(AC130&lt;=0,0,MAX(0,MIN(AC130,ROUND($AZ130-SUMPRODUCT($V130:$AE130*($V130:$AE130&gt;0)*(($V130:$AE130&lt;AC130)+($V130:$AE130=AC130)*($V$3:$AE$3&gt;AC$3)+($V130:$AE130=AC130)*($V$3:$AE$3=AC$3)*($V$2:$AE$2&lt;AC$2))),2))))</f>
      </c>
      <c r="AN130" s="33">
        <f>IF(AD130&lt;=0,0,MAX(0,MIN(AD130,ROUND($AZ130-SUMPRODUCT($V130:$AE130*($V130:$AE130&gt;0)*(($V130:$AE130&lt;AD130)+($V130:$AE130=AD130)*($V$3:$AE$3&gt;AD$3)+($V130:$AE130=AD130)*($V$3:$AE$3=AD$3)*($V$2:$AE$2&lt;AD$2))),2))))</f>
      </c>
      <c r="AO130" s="33">
        <f>IF(AE130&lt;=0,0,MAX(0,MIN(AE130,ROUND($AZ130-SUMPRODUCT($V130:$AE130*($V130:$AE130&gt;0)*(($V130:$AE130&lt;AE130)+($V130:$AE130=AE130)*($V$3:$AE$3&gt;AE$3)+($V130:$AE130=AE130)*($V$3:$AE$3=AE$3)*($V$2:$AE$2&lt;AE$2))),2))))</f>
      </c>
      <c r="AP130" s="33">
        <f>ROUND(V130-AF130,2)</f>
      </c>
      <c r="AQ130" s="33">
        <f>ROUND(W130-AG130,2)</f>
      </c>
      <c r="AR130" s="33">
        <f>ROUND(X130-AH130,2)</f>
      </c>
      <c r="AS130" s="33">
        <f>ROUND(Y130-AI130,2)</f>
      </c>
      <c r="AT130" s="33">
        <f>ROUND(Z130-AJ130,2)</f>
      </c>
      <c r="AU130" s="33">
        <f>ROUND(AA130-AK130,2)</f>
      </c>
      <c r="AV130" s="33">
        <f>ROUND(AB130-AL130,2)</f>
      </c>
      <c r="AW130" s="33">
        <f>ROUND(AC130-AM130,2)</f>
      </c>
      <c r="AX130" s="33">
        <f>ROUND(AD130-AN130,2)</f>
      </c>
      <c r="AY130" s="33">
        <f>ROUND(AE130-AO130,2)</f>
      </c>
      <c r="AZ130" s="33">
        <f>ROUND(MAX(0,'Your debts'!$D$22-SUM($L130:$U130)),2)</f>
      </c>
      <c r="BA130" s="33">
        <f>ROUND(SUM($B130:$K130)-SUM($AP129:$AY129),2)</f>
      </c>
      <c r="BB130" s="33">
        <f>SUM($AP130:$AY130)</f>
      </c>
      <c r="BC130" s="33">
        <f>ROUND(SUM($L130:$U130)+SUM($AF130:$AO130),2)</f>
      </c>
    </row>
    <row r="131" spans="1:55" x14ac:dyDescent="0.25">
      <c r="A131">
        <v>124</v>
      </c>
      <c r="B131" s="33">
        <f>IF(AP130&lt;=0,0,ROUND(AP130+ROUND(AP130*V$3/12,2),2))</f>
      </c>
      <c r="C131" s="33">
        <f>IF(AQ130&lt;=0,0,ROUND(AQ130+ROUND(AQ130*W$3/12,2),2))</f>
      </c>
      <c r="D131" s="33">
        <f>IF(AR130&lt;=0,0,ROUND(AR130+ROUND(AR130*X$3/12,2),2))</f>
      </c>
      <c r="E131" s="33">
        <f>IF(AS130&lt;=0,0,ROUND(AS130+ROUND(AS130*Y$3/12,2),2))</f>
      </c>
      <c r="F131" s="33">
        <f>IF(AT130&lt;=0,0,ROUND(AT130+ROUND(AT130*Z$3/12,2),2))</f>
      </c>
      <c r="G131" s="33">
        <f>IF(AU130&lt;=0,0,ROUND(AU130+ROUND(AU130*AA$3/12,2),2))</f>
      </c>
      <c r="H131" s="33">
        <f>IF(AV130&lt;=0,0,ROUND(AV130+ROUND(AV130*AB$3/12,2),2))</f>
      </c>
      <c r="I131" s="33">
        <f>IF(AW130&lt;=0,0,ROUND(AW130+ROUND(AW130*AC$3/12,2),2))</f>
      </c>
      <c r="J131" s="33">
        <f>IF(AX130&lt;=0,0,ROUND(AX130+ROUND(AX130*AD$3/12,2),2))</f>
      </c>
      <c r="K131" s="33">
        <f>IF(AY130&lt;=0,0,ROUND(AY130+ROUND(AY130*AE$3/12,2),2))</f>
      </c>
      <c r="L131" s="33">
        <f>ROUND(MIN(MAX(0,N('Your debts'!$E$6)),B131),2)</f>
      </c>
      <c r="M131" s="33">
        <f>ROUND(MIN(MAX(0,N('Your debts'!$E$7)),C131),2)</f>
      </c>
      <c r="N131" s="33">
        <f>ROUND(MIN(MAX(0,N('Your debts'!$E$8)),D131),2)</f>
      </c>
      <c r="O131" s="33">
        <f>ROUND(MIN(MAX(0,N('Your debts'!$E$9)),E131),2)</f>
      </c>
      <c r="P131" s="33">
        <f>ROUND(MIN(MAX(0,N('Your debts'!$E$10)),F131),2)</f>
      </c>
      <c r="Q131" s="33">
        <f>ROUND(MIN(MAX(0,N('Your debts'!$E$11)),G131),2)</f>
      </c>
      <c r="R131" s="33">
        <f>ROUND(MIN(MAX(0,N('Your debts'!$E$12)),H131),2)</f>
      </c>
      <c r="S131" s="33">
        <f>ROUND(MIN(MAX(0,N('Your debts'!$E$13)),I131),2)</f>
      </c>
      <c r="T131" s="33">
        <f>ROUND(MIN(MAX(0,N('Your debts'!$E$14)),J131),2)</f>
      </c>
      <c r="U131" s="33">
        <f>ROUND(MIN(MAX(0,N('Your debts'!$E$15)),K131),2)</f>
      </c>
      <c r="V131" s="33">
        <f>ROUND(B131-L131,2)</f>
      </c>
      <c r="W131" s="33">
        <f>ROUND(C131-M131,2)</f>
      </c>
      <c r="X131" s="33">
        <f>ROUND(D131-N131,2)</f>
      </c>
      <c r="Y131" s="33">
        <f>ROUND(E131-O131,2)</f>
      </c>
      <c r="Z131" s="33">
        <f>ROUND(F131-P131,2)</f>
      </c>
      <c r="AA131" s="33">
        <f>ROUND(G131-Q131,2)</f>
      </c>
      <c r="AB131" s="33">
        <f>ROUND(H131-R131,2)</f>
      </c>
      <c r="AC131" s="33">
        <f>ROUND(I131-S131,2)</f>
      </c>
      <c r="AD131" s="33">
        <f>ROUND(J131-T131,2)</f>
      </c>
      <c r="AE131" s="33">
        <f>ROUND(K131-U131,2)</f>
      </c>
      <c r="AF131" s="33">
        <f>IF(V131&lt;=0,0,MAX(0,MIN(V131,ROUND($AZ131-SUMPRODUCT($V131:$AE131*($V131:$AE131&gt;0)*(($V131:$AE131&lt;V131)+($V131:$AE131=V131)*($V$3:$AE$3&gt;V$3)+($V131:$AE131=V131)*($V$3:$AE$3=V$3)*($V$2:$AE$2&lt;V$2))),2))))</f>
      </c>
      <c r="AG131" s="33">
        <f>IF(W131&lt;=0,0,MAX(0,MIN(W131,ROUND($AZ131-SUMPRODUCT($V131:$AE131*($V131:$AE131&gt;0)*(($V131:$AE131&lt;W131)+($V131:$AE131=W131)*($V$3:$AE$3&gt;W$3)+($V131:$AE131=W131)*($V$3:$AE$3=W$3)*($V$2:$AE$2&lt;W$2))),2))))</f>
      </c>
      <c r="AH131" s="33">
        <f>IF(X131&lt;=0,0,MAX(0,MIN(X131,ROUND($AZ131-SUMPRODUCT($V131:$AE131*($V131:$AE131&gt;0)*(($V131:$AE131&lt;X131)+($V131:$AE131=X131)*($V$3:$AE$3&gt;X$3)+($V131:$AE131=X131)*($V$3:$AE$3=X$3)*($V$2:$AE$2&lt;X$2))),2))))</f>
      </c>
      <c r="AI131" s="33">
        <f>IF(Y131&lt;=0,0,MAX(0,MIN(Y131,ROUND($AZ131-SUMPRODUCT($V131:$AE131*($V131:$AE131&gt;0)*(($V131:$AE131&lt;Y131)+($V131:$AE131=Y131)*($V$3:$AE$3&gt;Y$3)+($V131:$AE131=Y131)*($V$3:$AE$3=Y$3)*($V$2:$AE$2&lt;Y$2))),2))))</f>
      </c>
      <c r="AJ131" s="33">
        <f>IF(Z131&lt;=0,0,MAX(0,MIN(Z131,ROUND($AZ131-SUMPRODUCT($V131:$AE131*($V131:$AE131&gt;0)*(($V131:$AE131&lt;Z131)+($V131:$AE131=Z131)*($V$3:$AE$3&gt;Z$3)+($V131:$AE131=Z131)*($V$3:$AE$3=Z$3)*($V$2:$AE$2&lt;Z$2))),2))))</f>
      </c>
      <c r="AK131" s="33">
        <f>IF(AA131&lt;=0,0,MAX(0,MIN(AA131,ROUND($AZ131-SUMPRODUCT($V131:$AE131*($V131:$AE131&gt;0)*(($V131:$AE131&lt;AA131)+($V131:$AE131=AA131)*($V$3:$AE$3&gt;AA$3)+($V131:$AE131=AA131)*($V$3:$AE$3=AA$3)*($V$2:$AE$2&lt;AA$2))),2))))</f>
      </c>
      <c r="AL131" s="33">
        <f>IF(AB131&lt;=0,0,MAX(0,MIN(AB131,ROUND($AZ131-SUMPRODUCT($V131:$AE131*($V131:$AE131&gt;0)*(($V131:$AE131&lt;AB131)+($V131:$AE131=AB131)*($V$3:$AE$3&gt;AB$3)+($V131:$AE131=AB131)*($V$3:$AE$3=AB$3)*($V$2:$AE$2&lt;AB$2))),2))))</f>
      </c>
      <c r="AM131" s="33">
        <f>IF(AC131&lt;=0,0,MAX(0,MIN(AC131,ROUND($AZ131-SUMPRODUCT($V131:$AE131*($V131:$AE131&gt;0)*(($V131:$AE131&lt;AC131)+($V131:$AE131=AC131)*($V$3:$AE$3&gt;AC$3)+($V131:$AE131=AC131)*($V$3:$AE$3=AC$3)*($V$2:$AE$2&lt;AC$2))),2))))</f>
      </c>
      <c r="AN131" s="33">
        <f>IF(AD131&lt;=0,0,MAX(0,MIN(AD131,ROUND($AZ131-SUMPRODUCT($V131:$AE131*($V131:$AE131&gt;0)*(($V131:$AE131&lt;AD131)+($V131:$AE131=AD131)*($V$3:$AE$3&gt;AD$3)+($V131:$AE131=AD131)*($V$3:$AE$3=AD$3)*($V$2:$AE$2&lt;AD$2))),2))))</f>
      </c>
      <c r="AO131" s="33">
        <f>IF(AE131&lt;=0,0,MAX(0,MIN(AE131,ROUND($AZ131-SUMPRODUCT($V131:$AE131*($V131:$AE131&gt;0)*(($V131:$AE131&lt;AE131)+($V131:$AE131=AE131)*($V$3:$AE$3&gt;AE$3)+($V131:$AE131=AE131)*($V$3:$AE$3=AE$3)*($V$2:$AE$2&lt;AE$2))),2))))</f>
      </c>
      <c r="AP131" s="33">
        <f>ROUND(V131-AF131,2)</f>
      </c>
      <c r="AQ131" s="33">
        <f>ROUND(W131-AG131,2)</f>
      </c>
      <c r="AR131" s="33">
        <f>ROUND(X131-AH131,2)</f>
      </c>
      <c r="AS131" s="33">
        <f>ROUND(Y131-AI131,2)</f>
      </c>
      <c r="AT131" s="33">
        <f>ROUND(Z131-AJ131,2)</f>
      </c>
      <c r="AU131" s="33">
        <f>ROUND(AA131-AK131,2)</f>
      </c>
      <c r="AV131" s="33">
        <f>ROUND(AB131-AL131,2)</f>
      </c>
      <c r="AW131" s="33">
        <f>ROUND(AC131-AM131,2)</f>
      </c>
      <c r="AX131" s="33">
        <f>ROUND(AD131-AN131,2)</f>
      </c>
      <c r="AY131" s="33">
        <f>ROUND(AE131-AO131,2)</f>
      </c>
      <c r="AZ131" s="33">
        <f>ROUND(MAX(0,'Your debts'!$D$22-SUM($L131:$U131)),2)</f>
      </c>
      <c r="BA131" s="33">
        <f>ROUND(SUM($B131:$K131)-SUM($AP130:$AY130),2)</f>
      </c>
      <c r="BB131" s="33">
        <f>SUM($AP131:$AY131)</f>
      </c>
      <c r="BC131" s="33">
        <f>ROUND(SUM($L131:$U131)+SUM($AF131:$AO131),2)</f>
      </c>
    </row>
    <row r="132" spans="1:55" x14ac:dyDescent="0.25">
      <c r="A132">
        <v>125</v>
      </c>
      <c r="B132" s="33">
        <f>IF(AP131&lt;=0,0,ROUND(AP131+ROUND(AP131*V$3/12,2),2))</f>
      </c>
      <c r="C132" s="33">
        <f>IF(AQ131&lt;=0,0,ROUND(AQ131+ROUND(AQ131*W$3/12,2),2))</f>
      </c>
      <c r="D132" s="33">
        <f>IF(AR131&lt;=0,0,ROUND(AR131+ROUND(AR131*X$3/12,2),2))</f>
      </c>
      <c r="E132" s="33">
        <f>IF(AS131&lt;=0,0,ROUND(AS131+ROUND(AS131*Y$3/12,2),2))</f>
      </c>
      <c r="F132" s="33">
        <f>IF(AT131&lt;=0,0,ROUND(AT131+ROUND(AT131*Z$3/12,2),2))</f>
      </c>
      <c r="G132" s="33">
        <f>IF(AU131&lt;=0,0,ROUND(AU131+ROUND(AU131*AA$3/12,2),2))</f>
      </c>
      <c r="H132" s="33">
        <f>IF(AV131&lt;=0,0,ROUND(AV131+ROUND(AV131*AB$3/12,2),2))</f>
      </c>
      <c r="I132" s="33">
        <f>IF(AW131&lt;=0,0,ROUND(AW131+ROUND(AW131*AC$3/12,2),2))</f>
      </c>
      <c r="J132" s="33">
        <f>IF(AX131&lt;=0,0,ROUND(AX131+ROUND(AX131*AD$3/12,2),2))</f>
      </c>
      <c r="K132" s="33">
        <f>IF(AY131&lt;=0,0,ROUND(AY131+ROUND(AY131*AE$3/12,2),2))</f>
      </c>
      <c r="L132" s="33">
        <f>ROUND(MIN(MAX(0,N('Your debts'!$E$6)),B132),2)</f>
      </c>
      <c r="M132" s="33">
        <f>ROUND(MIN(MAX(0,N('Your debts'!$E$7)),C132),2)</f>
      </c>
      <c r="N132" s="33">
        <f>ROUND(MIN(MAX(0,N('Your debts'!$E$8)),D132),2)</f>
      </c>
      <c r="O132" s="33">
        <f>ROUND(MIN(MAX(0,N('Your debts'!$E$9)),E132),2)</f>
      </c>
      <c r="P132" s="33">
        <f>ROUND(MIN(MAX(0,N('Your debts'!$E$10)),F132),2)</f>
      </c>
      <c r="Q132" s="33">
        <f>ROUND(MIN(MAX(0,N('Your debts'!$E$11)),G132),2)</f>
      </c>
      <c r="R132" s="33">
        <f>ROUND(MIN(MAX(0,N('Your debts'!$E$12)),H132),2)</f>
      </c>
      <c r="S132" s="33">
        <f>ROUND(MIN(MAX(0,N('Your debts'!$E$13)),I132),2)</f>
      </c>
      <c r="T132" s="33">
        <f>ROUND(MIN(MAX(0,N('Your debts'!$E$14)),J132),2)</f>
      </c>
      <c r="U132" s="33">
        <f>ROUND(MIN(MAX(0,N('Your debts'!$E$15)),K132),2)</f>
      </c>
      <c r="V132" s="33">
        <f>ROUND(B132-L132,2)</f>
      </c>
      <c r="W132" s="33">
        <f>ROUND(C132-M132,2)</f>
      </c>
      <c r="X132" s="33">
        <f>ROUND(D132-N132,2)</f>
      </c>
      <c r="Y132" s="33">
        <f>ROUND(E132-O132,2)</f>
      </c>
      <c r="Z132" s="33">
        <f>ROUND(F132-P132,2)</f>
      </c>
      <c r="AA132" s="33">
        <f>ROUND(G132-Q132,2)</f>
      </c>
      <c r="AB132" s="33">
        <f>ROUND(H132-R132,2)</f>
      </c>
      <c r="AC132" s="33">
        <f>ROUND(I132-S132,2)</f>
      </c>
      <c r="AD132" s="33">
        <f>ROUND(J132-T132,2)</f>
      </c>
      <c r="AE132" s="33">
        <f>ROUND(K132-U132,2)</f>
      </c>
      <c r="AF132" s="33">
        <f>IF(V132&lt;=0,0,MAX(0,MIN(V132,ROUND($AZ132-SUMPRODUCT($V132:$AE132*($V132:$AE132&gt;0)*(($V132:$AE132&lt;V132)+($V132:$AE132=V132)*($V$3:$AE$3&gt;V$3)+($V132:$AE132=V132)*($V$3:$AE$3=V$3)*($V$2:$AE$2&lt;V$2))),2))))</f>
      </c>
      <c r="AG132" s="33">
        <f>IF(W132&lt;=0,0,MAX(0,MIN(W132,ROUND($AZ132-SUMPRODUCT($V132:$AE132*($V132:$AE132&gt;0)*(($V132:$AE132&lt;W132)+($V132:$AE132=W132)*($V$3:$AE$3&gt;W$3)+($V132:$AE132=W132)*($V$3:$AE$3=W$3)*($V$2:$AE$2&lt;W$2))),2))))</f>
      </c>
      <c r="AH132" s="33">
        <f>IF(X132&lt;=0,0,MAX(0,MIN(X132,ROUND($AZ132-SUMPRODUCT($V132:$AE132*($V132:$AE132&gt;0)*(($V132:$AE132&lt;X132)+($V132:$AE132=X132)*($V$3:$AE$3&gt;X$3)+($V132:$AE132=X132)*($V$3:$AE$3=X$3)*($V$2:$AE$2&lt;X$2))),2))))</f>
      </c>
      <c r="AI132" s="33">
        <f>IF(Y132&lt;=0,0,MAX(0,MIN(Y132,ROUND($AZ132-SUMPRODUCT($V132:$AE132*($V132:$AE132&gt;0)*(($V132:$AE132&lt;Y132)+($V132:$AE132=Y132)*($V$3:$AE$3&gt;Y$3)+($V132:$AE132=Y132)*($V$3:$AE$3=Y$3)*($V$2:$AE$2&lt;Y$2))),2))))</f>
      </c>
      <c r="AJ132" s="33">
        <f>IF(Z132&lt;=0,0,MAX(0,MIN(Z132,ROUND($AZ132-SUMPRODUCT($V132:$AE132*($V132:$AE132&gt;0)*(($V132:$AE132&lt;Z132)+($V132:$AE132=Z132)*($V$3:$AE$3&gt;Z$3)+($V132:$AE132=Z132)*($V$3:$AE$3=Z$3)*($V$2:$AE$2&lt;Z$2))),2))))</f>
      </c>
      <c r="AK132" s="33">
        <f>IF(AA132&lt;=0,0,MAX(0,MIN(AA132,ROUND($AZ132-SUMPRODUCT($V132:$AE132*($V132:$AE132&gt;0)*(($V132:$AE132&lt;AA132)+($V132:$AE132=AA132)*($V$3:$AE$3&gt;AA$3)+($V132:$AE132=AA132)*($V$3:$AE$3=AA$3)*($V$2:$AE$2&lt;AA$2))),2))))</f>
      </c>
      <c r="AL132" s="33">
        <f>IF(AB132&lt;=0,0,MAX(0,MIN(AB132,ROUND($AZ132-SUMPRODUCT($V132:$AE132*($V132:$AE132&gt;0)*(($V132:$AE132&lt;AB132)+($V132:$AE132=AB132)*($V$3:$AE$3&gt;AB$3)+($V132:$AE132=AB132)*($V$3:$AE$3=AB$3)*($V$2:$AE$2&lt;AB$2))),2))))</f>
      </c>
      <c r="AM132" s="33">
        <f>IF(AC132&lt;=0,0,MAX(0,MIN(AC132,ROUND($AZ132-SUMPRODUCT($V132:$AE132*($V132:$AE132&gt;0)*(($V132:$AE132&lt;AC132)+($V132:$AE132=AC132)*($V$3:$AE$3&gt;AC$3)+($V132:$AE132=AC132)*($V$3:$AE$3=AC$3)*($V$2:$AE$2&lt;AC$2))),2))))</f>
      </c>
      <c r="AN132" s="33">
        <f>IF(AD132&lt;=0,0,MAX(0,MIN(AD132,ROUND($AZ132-SUMPRODUCT($V132:$AE132*($V132:$AE132&gt;0)*(($V132:$AE132&lt;AD132)+($V132:$AE132=AD132)*($V$3:$AE$3&gt;AD$3)+($V132:$AE132=AD132)*($V$3:$AE$3=AD$3)*($V$2:$AE$2&lt;AD$2))),2))))</f>
      </c>
      <c r="AO132" s="33">
        <f>IF(AE132&lt;=0,0,MAX(0,MIN(AE132,ROUND($AZ132-SUMPRODUCT($V132:$AE132*($V132:$AE132&gt;0)*(($V132:$AE132&lt;AE132)+($V132:$AE132=AE132)*($V$3:$AE$3&gt;AE$3)+($V132:$AE132=AE132)*($V$3:$AE$3=AE$3)*($V$2:$AE$2&lt;AE$2))),2))))</f>
      </c>
      <c r="AP132" s="33">
        <f>ROUND(V132-AF132,2)</f>
      </c>
      <c r="AQ132" s="33">
        <f>ROUND(W132-AG132,2)</f>
      </c>
      <c r="AR132" s="33">
        <f>ROUND(X132-AH132,2)</f>
      </c>
      <c r="AS132" s="33">
        <f>ROUND(Y132-AI132,2)</f>
      </c>
      <c r="AT132" s="33">
        <f>ROUND(Z132-AJ132,2)</f>
      </c>
      <c r="AU132" s="33">
        <f>ROUND(AA132-AK132,2)</f>
      </c>
      <c r="AV132" s="33">
        <f>ROUND(AB132-AL132,2)</f>
      </c>
      <c r="AW132" s="33">
        <f>ROUND(AC132-AM132,2)</f>
      </c>
      <c r="AX132" s="33">
        <f>ROUND(AD132-AN132,2)</f>
      </c>
      <c r="AY132" s="33">
        <f>ROUND(AE132-AO132,2)</f>
      </c>
      <c r="AZ132" s="33">
        <f>ROUND(MAX(0,'Your debts'!$D$22-SUM($L132:$U132)),2)</f>
      </c>
      <c r="BA132" s="33">
        <f>ROUND(SUM($B132:$K132)-SUM($AP131:$AY131),2)</f>
      </c>
      <c r="BB132" s="33">
        <f>SUM($AP132:$AY132)</f>
      </c>
      <c r="BC132" s="33">
        <f>ROUND(SUM($L132:$U132)+SUM($AF132:$AO132),2)</f>
      </c>
    </row>
    <row r="133" spans="1:55" x14ac:dyDescent="0.25">
      <c r="A133">
        <v>126</v>
      </c>
      <c r="B133" s="33">
        <f>IF(AP132&lt;=0,0,ROUND(AP132+ROUND(AP132*V$3/12,2),2))</f>
      </c>
      <c r="C133" s="33">
        <f>IF(AQ132&lt;=0,0,ROUND(AQ132+ROUND(AQ132*W$3/12,2),2))</f>
      </c>
      <c r="D133" s="33">
        <f>IF(AR132&lt;=0,0,ROUND(AR132+ROUND(AR132*X$3/12,2),2))</f>
      </c>
      <c r="E133" s="33">
        <f>IF(AS132&lt;=0,0,ROUND(AS132+ROUND(AS132*Y$3/12,2),2))</f>
      </c>
      <c r="F133" s="33">
        <f>IF(AT132&lt;=0,0,ROUND(AT132+ROUND(AT132*Z$3/12,2),2))</f>
      </c>
      <c r="G133" s="33">
        <f>IF(AU132&lt;=0,0,ROUND(AU132+ROUND(AU132*AA$3/12,2),2))</f>
      </c>
      <c r="H133" s="33">
        <f>IF(AV132&lt;=0,0,ROUND(AV132+ROUND(AV132*AB$3/12,2),2))</f>
      </c>
      <c r="I133" s="33">
        <f>IF(AW132&lt;=0,0,ROUND(AW132+ROUND(AW132*AC$3/12,2),2))</f>
      </c>
      <c r="J133" s="33">
        <f>IF(AX132&lt;=0,0,ROUND(AX132+ROUND(AX132*AD$3/12,2),2))</f>
      </c>
      <c r="K133" s="33">
        <f>IF(AY132&lt;=0,0,ROUND(AY132+ROUND(AY132*AE$3/12,2),2))</f>
      </c>
      <c r="L133" s="33">
        <f>ROUND(MIN(MAX(0,N('Your debts'!$E$6)),B133),2)</f>
      </c>
      <c r="M133" s="33">
        <f>ROUND(MIN(MAX(0,N('Your debts'!$E$7)),C133),2)</f>
      </c>
      <c r="N133" s="33">
        <f>ROUND(MIN(MAX(0,N('Your debts'!$E$8)),D133),2)</f>
      </c>
      <c r="O133" s="33">
        <f>ROUND(MIN(MAX(0,N('Your debts'!$E$9)),E133),2)</f>
      </c>
      <c r="P133" s="33">
        <f>ROUND(MIN(MAX(0,N('Your debts'!$E$10)),F133),2)</f>
      </c>
      <c r="Q133" s="33">
        <f>ROUND(MIN(MAX(0,N('Your debts'!$E$11)),G133),2)</f>
      </c>
      <c r="R133" s="33">
        <f>ROUND(MIN(MAX(0,N('Your debts'!$E$12)),H133),2)</f>
      </c>
      <c r="S133" s="33">
        <f>ROUND(MIN(MAX(0,N('Your debts'!$E$13)),I133),2)</f>
      </c>
      <c r="T133" s="33">
        <f>ROUND(MIN(MAX(0,N('Your debts'!$E$14)),J133),2)</f>
      </c>
      <c r="U133" s="33">
        <f>ROUND(MIN(MAX(0,N('Your debts'!$E$15)),K133),2)</f>
      </c>
      <c r="V133" s="33">
        <f>ROUND(B133-L133,2)</f>
      </c>
      <c r="W133" s="33">
        <f>ROUND(C133-M133,2)</f>
      </c>
      <c r="X133" s="33">
        <f>ROUND(D133-N133,2)</f>
      </c>
      <c r="Y133" s="33">
        <f>ROUND(E133-O133,2)</f>
      </c>
      <c r="Z133" s="33">
        <f>ROUND(F133-P133,2)</f>
      </c>
      <c r="AA133" s="33">
        <f>ROUND(G133-Q133,2)</f>
      </c>
      <c r="AB133" s="33">
        <f>ROUND(H133-R133,2)</f>
      </c>
      <c r="AC133" s="33">
        <f>ROUND(I133-S133,2)</f>
      </c>
      <c r="AD133" s="33">
        <f>ROUND(J133-T133,2)</f>
      </c>
      <c r="AE133" s="33">
        <f>ROUND(K133-U133,2)</f>
      </c>
      <c r="AF133" s="33">
        <f>IF(V133&lt;=0,0,MAX(0,MIN(V133,ROUND($AZ133-SUMPRODUCT($V133:$AE133*($V133:$AE133&gt;0)*(($V133:$AE133&lt;V133)+($V133:$AE133=V133)*($V$3:$AE$3&gt;V$3)+($V133:$AE133=V133)*($V$3:$AE$3=V$3)*($V$2:$AE$2&lt;V$2))),2))))</f>
      </c>
      <c r="AG133" s="33">
        <f>IF(W133&lt;=0,0,MAX(0,MIN(W133,ROUND($AZ133-SUMPRODUCT($V133:$AE133*($V133:$AE133&gt;0)*(($V133:$AE133&lt;W133)+($V133:$AE133=W133)*($V$3:$AE$3&gt;W$3)+($V133:$AE133=W133)*($V$3:$AE$3=W$3)*($V$2:$AE$2&lt;W$2))),2))))</f>
      </c>
      <c r="AH133" s="33">
        <f>IF(X133&lt;=0,0,MAX(0,MIN(X133,ROUND($AZ133-SUMPRODUCT($V133:$AE133*($V133:$AE133&gt;0)*(($V133:$AE133&lt;X133)+($V133:$AE133=X133)*($V$3:$AE$3&gt;X$3)+($V133:$AE133=X133)*($V$3:$AE$3=X$3)*($V$2:$AE$2&lt;X$2))),2))))</f>
      </c>
      <c r="AI133" s="33">
        <f>IF(Y133&lt;=0,0,MAX(0,MIN(Y133,ROUND($AZ133-SUMPRODUCT($V133:$AE133*($V133:$AE133&gt;0)*(($V133:$AE133&lt;Y133)+($V133:$AE133=Y133)*($V$3:$AE$3&gt;Y$3)+($V133:$AE133=Y133)*($V$3:$AE$3=Y$3)*($V$2:$AE$2&lt;Y$2))),2))))</f>
      </c>
      <c r="AJ133" s="33">
        <f>IF(Z133&lt;=0,0,MAX(0,MIN(Z133,ROUND($AZ133-SUMPRODUCT($V133:$AE133*($V133:$AE133&gt;0)*(($V133:$AE133&lt;Z133)+($V133:$AE133=Z133)*($V$3:$AE$3&gt;Z$3)+($V133:$AE133=Z133)*($V$3:$AE$3=Z$3)*($V$2:$AE$2&lt;Z$2))),2))))</f>
      </c>
      <c r="AK133" s="33">
        <f>IF(AA133&lt;=0,0,MAX(0,MIN(AA133,ROUND($AZ133-SUMPRODUCT($V133:$AE133*($V133:$AE133&gt;0)*(($V133:$AE133&lt;AA133)+($V133:$AE133=AA133)*($V$3:$AE$3&gt;AA$3)+($V133:$AE133=AA133)*($V$3:$AE$3=AA$3)*($V$2:$AE$2&lt;AA$2))),2))))</f>
      </c>
      <c r="AL133" s="33">
        <f>IF(AB133&lt;=0,0,MAX(0,MIN(AB133,ROUND($AZ133-SUMPRODUCT($V133:$AE133*($V133:$AE133&gt;0)*(($V133:$AE133&lt;AB133)+($V133:$AE133=AB133)*($V$3:$AE$3&gt;AB$3)+($V133:$AE133=AB133)*($V$3:$AE$3=AB$3)*($V$2:$AE$2&lt;AB$2))),2))))</f>
      </c>
      <c r="AM133" s="33">
        <f>IF(AC133&lt;=0,0,MAX(0,MIN(AC133,ROUND($AZ133-SUMPRODUCT($V133:$AE133*($V133:$AE133&gt;0)*(($V133:$AE133&lt;AC133)+($V133:$AE133=AC133)*($V$3:$AE$3&gt;AC$3)+($V133:$AE133=AC133)*($V$3:$AE$3=AC$3)*($V$2:$AE$2&lt;AC$2))),2))))</f>
      </c>
      <c r="AN133" s="33">
        <f>IF(AD133&lt;=0,0,MAX(0,MIN(AD133,ROUND($AZ133-SUMPRODUCT($V133:$AE133*($V133:$AE133&gt;0)*(($V133:$AE133&lt;AD133)+($V133:$AE133=AD133)*($V$3:$AE$3&gt;AD$3)+($V133:$AE133=AD133)*($V$3:$AE$3=AD$3)*($V$2:$AE$2&lt;AD$2))),2))))</f>
      </c>
      <c r="AO133" s="33">
        <f>IF(AE133&lt;=0,0,MAX(0,MIN(AE133,ROUND($AZ133-SUMPRODUCT($V133:$AE133*($V133:$AE133&gt;0)*(($V133:$AE133&lt;AE133)+($V133:$AE133=AE133)*($V$3:$AE$3&gt;AE$3)+($V133:$AE133=AE133)*($V$3:$AE$3=AE$3)*($V$2:$AE$2&lt;AE$2))),2))))</f>
      </c>
      <c r="AP133" s="33">
        <f>ROUND(V133-AF133,2)</f>
      </c>
      <c r="AQ133" s="33">
        <f>ROUND(W133-AG133,2)</f>
      </c>
      <c r="AR133" s="33">
        <f>ROUND(X133-AH133,2)</f>
      </c>
      <c r="AS133" s="33">
        <f>ROUND(Y133-AI133,2)</f>
      </c>
      <c r="AT133" s="33">
        <f>ROUND(Z133-AJ133,2)</f>
      </c>
      <c r="AU133" s="33">
        <f>ROUND(AA133-AK133,2)</f>
      </c>
      <c r="AV133" s="33">
        <f>ROUND(AB133-AL133,2)</f>
      </c>
      <c r="AW133" s="33">
        <f>ROUND(AC133-AM133,2)</f>
      </c>
      <c r="AX133" s="33">
        <f>ROUND(AD133-AN133,2)</f>
      </c>
      <c r="AY133" s="33">
        <f>ROUND(AE133-AO133,2)</f>
      </c>
      <c r="AZ133" s="33">
        <f>ROUND(MAX(0,'Your debts'!$D$22-SUM($L133:$U133)),2)</f>
      </c>
      <c r="BA133" s="33">
        <f>ROUND(SUM($B133:$K133)-SUM($AP132:$AY132),2)</f>
      </c>
      <c r="BB133" s="33">
        <f>SUM($AP133:$AY133)</f>
      </c>
      <c r="BC133" s="33">
        <f>ROUND(SUM($L133:$U133)+SUM($AF133:$AO133),2)</f>
      </c>
    </row>
    <row r="134" spans="1:55" x14ac:dyDescent="0.25">
      <c r="A134">
        <v>127</v>
      </c>
      <c r="B134" s="33">
        <f>IF(AP133&lt;=0,0,ROUND(AP133+ROUND(AP133*V$3/12,2),2))</f>
      </c>
      <c r="C134" s="33">
        <f>IF(AQ133&lt;=0,0,ROUND(AQ133+ROUND(AQ133*W$3/12,2),2))</f>
      </c>
      <c r="D134" s="33">
        <f>IF(AR133&lt;=0,0,ROUND(AR133+ROUND(AR133*X$3/12,2),2))</f>
      </c>
      <c r="E134" s="33">
        <f>IF(AS133&lt;=0,0,ROUND(AS133+ROUND(AS133*Y$3/12,2),2))</f>
      </c>
      <c r="F134" s="33">
        <f>IF(AT133&lt;=0,0,ROUND(AT133+ROUND(AT133*Z$3/12,2),2))</f>
      </c>
      <c r="G134" s="33">
        <f>IF(AU133&lt;=0,0,ROUND(AU133+ROUND(AU133*AA$3/12,2),2))</f>
      </c>
      <c r="H134" s="33">
        <f>IF(AV133&lt;=0,0,ROUND(AV133+ROUND(AV133*AB$3/12,2),2))</f>
      </c>
      <c r="I134" s="33">
        <f>IF(AW133&lt;=0,0,ROUND(AW133+ROUND(AW133*AC$3/12,2),2))</f>
      </c>
      <c r="J134" s="33">
        <f>IF(AX133&lt;=0,0,ROUND(AX133+ROUND(AX133*AD$3/12,2),2))</f>
      </c>
      <c r="K134" s="33">
        <f>IF(AY133&lt;=0,0,ROUND(AY133+ROUND(AY133*AE$3/12,2),2))</f>
      </c>
      <c r="L134" s="33">
        <f>ROUND(MIN(MAX(0,N('Your debts'!$E$6)),B134),2)</f>
      </c>
      <c r="M134" s="33">
        <f>ROUND(MIN(MAX(0,N('Your debts'!$E$7)),C134),2)</f>
      </c>
      <c r="N134" s="33">
        <f>ROUND(MIN(MAX(0,N('Your debts'!$E$8)),D134),2)</f>
      </c>
      <c r="O134" s="33">
        <f>ROUND(MIN(MAX(0,N('Your debts'!$E$9)),E134),2)</f>
      </c>
      <c r="P134" s="33">
        <f>ROUND(MIN(MAX(0,N('Your debts'!$E$10)),F134),2)</f>
      </c>
      <c r="Q134" s="33">
        <f>ROUND(MIN(MAX(0,N('Your debts'!$E$11)),G134),2)</f>
      </c>
      <c r="R134" s="33">
        <f>ROUND(MIN(MAX(0,N('Your debts'!$E$12)),H134),2)</f>
      </c>
      <c r="S134" s="33">
        <f>ROUND(MIN(MAX(0,N('Your debts'!$E$13)),I134),2)</f>
      </c>
      <c r="T134" s="33">
        <f>ROUND(MIN(MAX(0,N('Your debts'!$E$14)),J134),2)</f>
      </c>
      <c r="U134" s="33">
        <f>ROUND(MIN(MAX(0,N('Your debts'!$E$15)),K134),2)</f>
      </c>
      <c r="V134" s="33">
        <f>ROUND(B134-L134,2)</f>
      </c>
      <c r="W134" s="33">
        <f>ROUND(C134-M134,2)</f>
      </c>
      <c r="X134" s="33">
        <f>ROUND(D134-N134,2)</f>
      </c>
      <c r="Y134" s="33">
        <f>ROUND(E134-O134,2)</f>
      </c>
      <c r="Z134" s="33">
        <f>ROUND(F134-P134,2)</f>
      </c>
      <c r="AA134" s="33">
        <f>ROUND(G134-Q134,2)</f>
      </c>
      <c r="AB134" s="33">
        <f>ROUND(H134-R134,2)</f>
      </c>
      <c r="AC134" s="33">
        <f>ROUND(I134-S134,2)</f>
      </c>
      <c r="AD134" s="33">
        <f>ROUND(J134-T134,2)</f>
      </c>
      <c r="AE134" s="33">
        <f>ROUND(K134-U134,2)</f>
      </c>
      <c r="AF134" s="33">
        <f>IF(V134&lt;=0,0,MAX(0,MIN(V134,ROUND($AZ134-SUMPRODUCT($V134:$AE134*($V134:$AE134&gt;0)*(($V134:$AE134&lt;V134)+($V134:$AE134=V134)*($V$3:$AE$3&gt;V$3)+($V134:$AE134=V134)*($V$3:$AE$3=V$3)*($V$2:$AE$2&lt;V$2))),2))))</f>
      </c>
      <c r="AG134" s="33">
        <f>IF(W134&lt;=0,0,MAX(0,MIN(W134,ROUND($AZ134-SUMPRODUCT($V134:$AE134*($V134:$AE134&gt;0)*(($V134:$AE134&lt;W134)+($V134:$AE134=W134)*($V$3:$AE$3&gt;W$3)+($V134:$AE134=W134)*($V$3:$AE$3=W$3)*($V$2:$AE$2&lt;W$2))),2))))</f>
      </c>
      <c r="AH134" s="33">
        <f>IF(X134&lt;=0,0,MAX(0,MIN(X134,ROUND($AZ134-SUMPRODUCT($V134:$AE134*($V134:$AE134&gt;0)*(($V134:$AE134&lt;X134)+($V134:$AE134=X134)*($V$3:$AE$3&gt;X$3)+($V134:$AE134=X134)*($V$3:$AE$3=X$3)*($V$2:$AE$2&lt;X$2))),2))))</f>
      </c>
      <c r="AI134" s="33">
        <f>IF(Y134&lt;=0,0,MAX(0,MIN(Y134,ROUND($AZ134-SUMPRODUCT($V134:$AE134*($V134:$AE134&gt;0)*(($V134:$AE134&lt;Y134)+($V134:$AE134=Y134)*($V$3:$AE$3&gt;Y$3)+($V134:$AE134=Y134)*($V$3:$AE$3=Y$3)*($V$2:$AE$2&lt;Y$2))),2))))</f>
      </c>
      <c r="AJ134" s="33">
        <f>IF(Z134&lt;=0,0,MAX(0,MIN(Z134,ROUND($AZ134-SUMPRODUCT($V134:$AE134*($V134:$AE134&gt;0)*(($V134:$AE134&lt;Z134)+($V134:$AE134=Z134)*($V$3:$AE$3&gt;Z$3)+($V134:$AE134=Z134)*($V$3:$AE$3=Z$3)*($V$2:$AE$2&lt;Z$2))),2))))</f>
      </c>
      <c r="AK134" s="33">
        <f>IF(AA134&lt;=0,0,MAX(0,MIN(AA134,ROUND($AZ134-SUMPRODUCT($V134:$AE134*($V134:$AE134&gt;0)*(($V134:$AE134&lt;AA134)+($V134:$AE134=AA134)*($V$3:$AE$3&gt;AA$3)+($V134:$AE134=AA134)*($V$3:$AE$3=AA$3)*($V$2:$AE$2&lt;AA$2))),2))))</f>
      </c>
      <c r="AL134" s="33">
        <f>IF(AB134&lt;=0,0,MAX(0,MIN(AB134,ROUND($AZ134-SUMPRODUCT($V134:$AE134*($V134:$AE134&gt;0)*(($V134:$AE134&lt;AB134)+($V134:$AE134=AB134)*($V$3:$AE$3&gt;AB$3)+($V134:$AE134=AB134)*($V$3:$AE$3=AB$3)*($V$2:$AE$2&lt;AB$2))),2))))</f>
      </c>
      <c r="AM134" s="33">
        <f>IF(AC134&lt;=0,0,MAX(0,MIN(AC134,ROUND($AZ134-SUMPRODUCT($V134:$AE134*($V134:$AE134&gt;0)*(($V134:$AE134&lt;AC134)+($V134:$AE134=AC134)*($V$3:$AE$3&gt;AC$3)+($V134:$AE134=AC134)*($V$3:$AE$3=AC$3)*($V$2:$AE$2&lt;AC$2))),2))))</f>
      </c>
      <c r="AN134" s="33">
        <f>IF(AD134&lt;=0,0,MAX(0,MIN(AD134,ROUND($AZ134-SUMPRODUCT($V134:$AE134*($V134:$AE134&gt;0)*(($V134:$AE134&lt;AD134)+($V134:$AE134=AD134)*($V$3:$AE$3&gt;AD$3)+($V134:$AE134=AD134)*($V$3:$AE$3=AD$3)*($V$2:$AE$2&lt;AD$2))),2))))</f>
      </c>
      <c r="AO134" s="33">
        <f>IF(AE134&lt;=0,0,MAX(0,MIN(AE134,ROUND($AZ134-SUMPRODUCT($V134:$AE134*($V134:$AE134&gt;0)*(($V134:$AE134&lt;AE134)+($V134:$AE134=AE134)*($V$3:$AE$3&gt;AE$3)+($V134:$AE134=AE134)*($V$3:$AE$3=AE$3)*($V$2:$AE$2&lt;AE$2))),2))))</f>
      </c>
      <c r="AP134" s="33">
        <f>ROUND(V134-AF134,2)</f>
      </c>
      <c r="AQ134" s="33">
        <f>ROUND(W134-AG134,2)</f>
      </c>
      <c r="AR134" s="33">
        <f>ROUND(X134-AH134,2)</f>
      </c>
      <c r="AS134" s="33">
        <f>ROUND(Y134-AI134,2)</f>
      </c>
      <c r="AT134" s="33">
        <f>ROUND(Z134-AJ134,2)</f>
      </c>
      <c r="AU134" s="33">
        <f>ROUND(AA134-AK134,2)</f>
      </c>
      <c r="AV134" s="33">
        <f>ROUND(AB134-AL134,2)</f>
      </c>
      <c r="AW134" s="33">
        <f>ROUND(AC134-AM134,2)</f>
      </c>
      <c r="AX134" s="33">
        <f>ROUND(AD134-AN134,2)</f>
      </c>
      <c r="AY134" s="33">
        <f>ROUND(AE134-AO134,2)</f>
      </c>
      <c r="AZ134" s="33">
        <f>ROUND(MAX(0,'Your debts'!$D$22-SUM($L134:$U134)),2)</f>
      </c>
      <c r="BA134" s="33">
        <f>ROUND(SUM($B134:$K134)-SUM($AP133:$AY133),2)</f>
      </c>
      <c r="BB134" s="33">
        <f>SUM($AP134:$AY134)</f>
      </c>
      <c r="BC134" s="33">
        <f>ROUND(SUM($L134:$U134)+SUM($AF134:$AO134),2)</f>
      </c>
    </row>
    <row r="135" spans="1:55" x14ac:dyDescent="0.25">
      <c r="A135">
        <v>128</v>
      </c>
      <c r="B135" s="33">
        <f>IF(AP134&lt;=0,0,ROUND(AP134+ROUND(AP134*V$3/12,2),2))</f>
      </c>
      <c r="C135" s="33">
        <f>IF(AQ134&lt;=0,0,ROUND(AQ134+ROUND(AQ134*W$3/12,2),2))</f>
      </c>
      <c r="D135" s="33">
        <f>IF(AR134&lt;=0,0,ROUND(AR134+ROUND(AR134*X$3/12,2),2))</f>
      </c>
      <c r="E135" s="33">
        <f>IF(AS134&lt;=0,0,ROUND(AS134+ROUND(AS134*Y$3/12,2),2))</f>
      </c>
      <c r="F135" s="33">
        <f>IF(AT134&lt;=0,0,ROUND(AT134+ROUND(AT134*Z$3/12,2),2))</f>
      </c>
      <c r="G135" s="33">
        <f>IF(AU134&lt;=0,0,ROUND(AU134+ROUND(AU134*AA$3/12,2),2))</f>
      </c>
      <c r="H135" s="33">
        <f>IF(AV134&lt;=0,0,ROUND(AV134+ROUND(AV134*AB$3/12,2),2))</f>
      </c>
      <c r="I135" s="33">
        <f>IF(AW134&lt;=0,0,ROUND(AW134+ROUND(AW134*AC$3/12,2),2))</f>
      </c>
      <c r="J135" s="33">
        <f>IF(AX134&lt;=0,0,ROUND(AX134+ROUND(AX134*AD$3/12,2),2))</f>
      </c>
      <c r="K135" s="33">
        <f>IF(AY134&lt;=0,0,ROUND(AY134+ROUND(AY134*AE$3/12,2),2))</f>
      </c>
      <c r="L135" s="33">
        <f>ROUND(MIN(MAX(0,N('Your debts'!$E$6)),B135),2)</f>
      </c>
      <c r="M135" s="33">
        <f>ROUND(MIN(MAX(0,N('Your debts'!$E$7)),C135),2)</f>
      </c>
      <c r="N135" s="33">
        <f>ROUND(MIN(MAX(0,N('Your debts'!$E$8)),D135),2)</f>
      </c>
      <c r="O135" s="33">
        <f>ROUND(MIN(MAX(0,N('Your debts'!$E$9)),E135),2)</f>
      </c>
      <c r="P135" s="33">
        <f>ROUND(MIN(MAX(0,N('Your debts'!$E$10)),F135),2)</f>
      </c>
      <c r="Q135" s="33">
        <f>ROUND(MIN(MAX(0,N('Your debts'!$E$11)),G135),2)</f>
      </c>
      <c r="R135" s="33">
        <f>ROUND(MIN(MAX(0,N('Your debts'!$E$12)),H135),2)</f>
      </c>
      <c r="S135" s="33">
        <f>ROUND(MIN(MAX(0,N('Your debts'!$E$13)),I135),2)</f>
      </c>
      <c r="T135" s="33">
        <f>ROUND(MIN(MAX(0,N('Your debts'!$E$14)),J135),2)</f>
      </c>
      <c r="U135" s="33">
        <f>ROUND(MIN(MAX(0,N('Your debts'!$E$15)),K135),2)</f>
      </c>
      <c r="V135" s="33">
        <f>ROUND(B135-L135,2)</f>
      </c>
      <c r="W135" s="33">
        <f>ROUND(C135-M135,2)</f>
      </c>
      <c r="X135" s="33">
        <f>ROUND(D135-N135,2)</f>
      </c>
      <c r="Y135" s="33">
        <f>ROUND(E135-O135,2)</f>
      </c>
      <c r="Z135" s="33">
        <f>ROUND(F135-P135,2)</f>
      </c>
      <c r="AA135" s="33">
        <f>ROUND(G135-Q135,2)</f>
      </c>
      <c r="AB135" s="33">
        <f>ROUND(H135-R135,2)</f>
      </c>
      <c r="AC135" s="33">
        <f>ROUND(I135-S135,2)</f>
      </c>
      <c r="AD135" s="33">
        <f>ROUND(J135-T135,2)</f>
      </c>
      <c r="AE135" s="33">
        <f>ROUND(K135-U135,2)</f>
      </c>
      <c r="AF135" s="33">
        <f>IF(V135&lt;=0,0,MAX(0,MIN(V135,ROUND($AZ135-SUMPRODUCT($V135:$AE135*($V135:$AE135&gt;0)*(($V135:$AE135&lt;V135)+($V135:$AE135=V135)*($V$3:$AE$3&gt;V$3)+($V135:$AE135=V135)*($V$3:$AE$3=V$3)*($V$2:$AE$2&lt;V$2))),2))))</f>
      </c>
      <c r="AG135" s="33">
        <f>IF(W135&lt;=0,0,MAX(0,MIN(W135,ROUND($AZ135-SUMPRODUCT($V135:$AE135*($V135:$AE135&gt;0)*(($V135:$AE135&lt;W135)+($V135:$AE135=W135)*($V$3:$AE$3&gt;W$3)+($V135:$AE135=W135)*($V$3:$AE$3=W$3)*($V$2:$AE$2&lt;W$2))),2))))</f>
      </c>
      <c r="AH135" s="33">
        <f>IF(X135&lt;=0,0,MAX(0,MIN(X135,ROUND($AZ135-SUMPRODUCT($V135:$AE135*($V135:$AE135&gt;0)*(($V135:$AE135&lt;X135)+($V135:$AE135=X135)*($V$3:$AE$3&gt;X$3)+($V135:$AE135=X135)*($V$3:$AE$3=X$3)*($V$2:$AE$2&lt;X$2))),2))))</f>
      </c>
      <c r="AI135" s="33">
        <f>IF(Y135&lt;=0,0,MAX(0,MIN(Y135,ROUND($AZ135-SUMPRODUCT($V135:$AE135*($V135:$AE135&gt;0)*(($V135:$AE135&lt;Y135)+($V135:$AE135=Y135)*($V$3:$AE$3&gt;Y$3)+($V135:$AE135=Y135)*($V$3:$AE$3=Y$3)*($V$2:$AE$2&lt;Y$2))),2))))</f>
      </c>
      <c r="AJ135" s="33">
        <f>IF(Z135&lt;=0,0,MAX(0,MIN(Z135,ROUND($AZ135-SUMPRODUCT($V135:$AE135*($V135:$AE135&gt;0)*(($V135:$AE135&lt;Z135)+($V135:$AE135=Z135)*($V$3:$AE$3&gt;Z$3)+($V135:$AE135=Z135)*($V$3:$AE$3=Z$3)*($V$2:$AE$2&lt;Z$2))),2))))</f>
      </c>
      <c r="AK135" s="33">
        <f>IF(AA135&lt;=0,0,MAX(0,MIN(AA135,ROUND($AZ135-SUMPRODUCT($V135:$AE135*($V135:$AE135&gt;0)*(($V135:$AE135&lt;AA135)+($V135:$AE135=AA135)*($V$3:$AE$3&gt;AA$3)+($V135:$AE135=AA135)*($V$3:$AE$3=AA$3)*($V$2:$AE$2&lt;AA$2))),2))))</f>
      </c>
      <c r="AL135" s="33">
        <f>IF(AB135&lt;=0,0,MAX(0,MIN(AB135,ROUND($AZ135-SUMPRODUCT($V135:$AE135*($V135:$AE135&gt;0)*(($V135:$AE135&lt;AB135)+($V135:$AE135=AB135)*($V$3:$AE$3&gt;AB$3)+($V135:$AE135=AB135)*($V$3:$AE$3=AB$3)*($V$2:$AE$2&lt;AB$2))),2))))</f>
      </c>
      <c r="AM135" s="33">
        <f>IF(AC135&lt;=0,0,MAX(0,MIN(AC135,ROUND($AZ135-SUMPRODUCT($V135:$AE135*($V135:$AE135&gt;0)*(($V135:$AE135&lt;AC135)+($V135:$AE135=AC135)*($V$3:$AE$3&gt;AC$3)+($V135:$AE135=AC135)*($V$3:$AE$3=AC$3)*($V$2:$AE$2&lt;AC$2))),2))))</f>
      </c>
      <c r="AN135" s="33">
        <f>IF(AD135&lt;=0,0,MAX(0,MIN(AD135,ROUND($AZ135-SUMPRODUCT($V135:$AE135*($V135:$AE135&gt;0)*(($V135:$AE135&lt;AD135)+($V135:$AE135=AD135)*($V$3:$AE$3&gt;AD$3)+($V135:$AE135=AD135)*($V$3:$AE$3=AD$3)*($V$2:$AE$2&lt;AD$2))),2))))</f>
      </c>
      <c r="AO135" s="33">
        <f>IF(AE135&lt;=0,0,MAX(0,MIN(AE135,ROUND($AZ135-SUMPRODUCT($V135:$AE135*($V135:$AE135&gt;0)*(($V135:$AE135&lt;AE135)+($V135:$AE135=AE135)*($V$3:$AE$3&gt;AE$3)+($V135:$AE135=AE135)*($V$3:$AE$3=AE$3)*($V$2:$AE$2&lt;AE$2))),2))))</f>
      </c>
      <c r="AP135" s="33">
        <f>ROUND(V135-AF135,2)</f>
      </c>
      <c r="AQ135" s="33">
        <f>ROUND(W135-AG135,2)</f>
      </c>
      <c r="AR135" s="33">
        <f>ROUND(X135-AH135,2)</f>
      </c>
      <c r="AS135" s="33">
        <f>ROUND(Y135-AI135,2)</f>
      </c>
      <c r="AT135" s="33">
        <f>ROUND(Z135-AJ135,2)</f>
      </c>
      <c r="AU135" s="33">
        <f>ROUND(AA135-AK135,2)</f>
      </c>
      <c r="AV135" s="33">
        <f>ROUND(AB135-AL135,2)</f>
      </c>
      <c r="AW135" s="33">
        <f>ROUND(AC135-AM135,2)</f>
      </c>
      <c r="AX135" s="33">
        <f>ROUND(AD135-AN135,2)</f>
      </c>
      <c r="AY135" s="33">
        <f>ROUND(AE135-AO135,2)</f>
      </c>
      <c r="AZ135" s="33">
        <f>ROUND(MAX(0,'Your debts'!$D$22-SUM($L135:$U135)),2)</f>
      </c>
      <c r="BA135" s="33">
        <f>ROUND(SUM($B135:$K135)-SUM($AP134:$AY134),2)</f>
      </c>
      <c r="BB135" s="33">
        <f>SUM($AP135:$AY135)</f>
      </c>
      <c r="BC135" s="33">
        <f>ROUND(SUM($L135:$U135)+SUM($AF135:$AO135),2)</f>
      </c>
    </row>
    <row r="136" spans="1:55" x14ac:dyDescent="0.25">
      <c r="A136">
        <v>129</v>
      </c>
      <c r="B136" s="33">
        <f>IF(AP135&lt;=0,0,ROUND(AP135+ROUND(AP135*V$3/12,2),2))</f>
      </c>
      <c r="C136" s="33">
        <f>IF(AQ135&lt;=0,0,ROUND(AQ135+ROUND(AQ135*W$3/12,2),2))</f>
      </c>
      <c r="D136" s="33">
        <f>IF(AR135&lt;=0,0,ROUND(AR135+ROUND(AR135*X$3/12,2),2))</f>
      </c>
      <c r="E136" s="33">
        <f>IF(AS135&lt;=0,0,ROUND(AS135+ROUND(AS135*Y$3/12,2),2))</f>
      </c>
      <c r="F136" s="33">
        <f>IF(AT135&lt;=0,0,ROUND(AT135+ROUND(AT135*Z$3/12,2),2))</f>
      </c>
      <c r="G136" s="33">
        <f>IF(AU135&lt;=0,0,ROUND(AU135+ROUND(AU135*AA$3/12,2),2))</f>
      </c>
      <c r="H136" s="33">
        <f>IF(AV135&lt;=0,0,ROUND(AV135+ROUND(AV135*AB$3/12,2),2))</f>
      </c>
      <c r="I136" s="33">
        <f>IF(AW135&lt;=0,0,ROUND(AW135+ROUND(AW135*AC$3/12,2),2))</f>
      </c>
      <c r="J136" s="33">
        <f>IF(AX135&lt;=0,0,ROUND(AX135+ROUND(AX135*AD$3/12,2),2))</f>
      </c>
      <c r="K136" s="33">
        <f>IF(AY135&lt;=0,0,ROUND(AY135+ROUND(AY135*AE$3/12,2),2))</f>
      </c>
      <c r="L136" s="33">
        <f>ROUND(MIN(MAX(0,N('Your debts'!$E$6)),B136),2)</f>
      </c>
      <c r="M136" s="33">
        <f>ROUND(MIN(MAX(0,N('Your debts'!$E$7)),C136),2)</f>
      </c>
      <c r="N136" s="33">
        <f>ROUND(MIN(MAX(0,N('Your debts'!$E$8)),D136),2)</f>
      </c>
      <c r="O136" s="33">
        <f>ROUND(MIN(MAX(0,N('Your debts'!$E$9)),E136),2)</f>
      </c>
      <c r="P136" s="33">
        <f>ROUND(MIN(MAX(0,N('Your debts'!$E$10)),F136),2)</f>
      </c>
      <c r="Q136" s="33">
        <f>ROUND(MIN(MAX(0,N('Your debts'!$E$11)),G136),2)</f>
      </c>
      <c r="R136" s="33">
        <f>ROUND(MIN(MAX(0,N('Your debts'!$E$12)),H136),2)</f>
      </c>
      <c r="S136" s="33">
        <f>ROUND(MIN(MAX(0,N('Your debts'!$E$13)),I136),2)</f>
      </c>
      <c r="T136" s="33">
        <f>ROUND(MIN(MAX(0,N('Your debts'!$E$14)),J136),2)</f>
      </c>
      <c r="U136" s="33">
        <f>ROUND(MIN(MAX(0,N('Your debts'!$E$15)),K136),2)</f>
      </c>
      <c r="V136" s="33">
        <f>ROUND(B136-L136,2)</f>
      </c>
      <c r="W136" s="33">
        <f>ROUND(C136-M136,2)</f>
      </c>
      <c r="X136" s="33">
        <f>ROUND(D136-N136,2)</f>
      </c>
      <c r="Y136" s="33">
        <f>ROUND(E136-O136,2)</f>
      </c>
      <c r="Z136" s="33">
        <f>ROUND(F136-P136,2)</f>
      </c>
      <c r="AA136" s="33">
        <f>ROUND(G136-Q136,2)</f>
      </c>
      <c r="AB136" s="33">
        <f>ROUND(H136-R136,2)</f>
      </c>
      <c r="AC136" s="33">
        <f>ROUND(I136-S136,2)</f>
      </c>
      <c r="AD136" s="33">
        <f>ROUND(J136-T136,2)</f>
      </c>
      <c r="AE136" s="33">
        <f>ROUND(K136-U136,2)</f>
      </c>
      <c r="AF136" s="33">
        <f>IF(V136&lt;=0,0,MAX(0,MIN(V136,ROUND($AZ136-SUMPRODUCT($V136:$AE136*($V136:$AE136&gt;0)*(($V136:$AE136&lt;V136)+($V136:$AE136=V136)*($V$3:$AE$3&gt;V$3)+($V136:$AE136=V136)*($V$3:$AE$3=V$3)*($V$2:$AE$2&lt;V$2))),2))))</f>
      </c>
      <c r="AG136" s="33">
        <f>IF(W136&lt;=0,0,MAX(0,MIN(W136,ROUND($AZ136-SUMPRODUCT($V136:$AE136*($V136:$AE136&gt;0)*(($V136:$AE136&lt;W136)+($V136:$AE136=W136)*($V$3:$AE$3&gt;W$3)+($V136:$AE136=W136)*($V$3:$AE$3=W$3)*($V$2:$AE$2&lt;W$2))),2))))</f>
      </c>
      <c r="AH136" s="33">
        <f>IF(X136&lt;=0,0,MAX(0,MIN(X136,ROUND($AZ136-SUMPRODUCT($V136:$AE136*($V136:$AE136&gt;0)*(($V136:$AE136&lt;X136)+($V136:$AE136=X136)*($V$3:$AE$3&gt;X$3)+($V136:$AE136=X136)*($V$3:$AE$3=X$3)*($V$2:$AE$2&lt;X$2))),2))))</f>
      </c>
      <c r="AI136" s="33">
        <f>IF(Y136&lt;=0,0,MAX(0,MIN(Y136,ROUND($AZ136-SUMPRODUCT($V136:$AE136*($V136:$AE136&gt;0)*(($V136:$AE136&lt;Y136)+($V136:$AE136=Y136)*($V$3:$AE$3&gt;Y$3)+($V136:$AE136=Y136)*($V$3:$AE$3=Y$3)*($V$2:$AE$2&lt;Y$2))),2))))</f>
      </c>
      <c r="AJ136" s="33">
        <f>IF(Z136&lt;=0,0,MAX(0,MIN(Z136,ROUND($AZ136-SUMPRODUCT($V136:$AE136*($V136:$AE136&gt;0)*(($V136:$AE136&lt;Z136)+($V136:$AE136=Z136)*($V$3:$AE$3&gt;Z$3)+($V136:$AE136=Z136)*($V$3:$AE$3=Z$3)*($V$2:$AE$2&lt;Z$2))),2))))</f>
      </c>
      <c r="AK136" s="33">
        <f>IF(AA136&lt;=0,0,MAX(0,MIN(AA136,ROUND($AZ136-SUMPRODUCT($V136:$AE136*($V136:$AE136&gt;0)*(($V136:$AE136&lt;AA136)+($V136:$AE136=AA136)*($V$3:$AE$3&gt;AA$3)+($V136:$AE136=AA136)*($V$3:$AE$3=AA$3)*($V$2:$AE$2&lt;AA$2))),2))))</f>
      </c>
      <c r="AL136" s="33">
        <f>IF(AB136&lt;=0,0,MAX(0,MIN(AB136,ROUND($AZ136-SUMPRODUCT($V136:$AE136*($V136:$AE136&gt;0)*(($V136:$AE136&lt;AB136)+($V136:$AE136=AB136)*($V$3:$AE$3&gt;AB$3)+($V136:$AE136=AB136)*($V$3:$AE$3=AB$3)*($V$2:$AE$2&lt;AB$2))),2))))</f>
      </c>
      <c r="AM136" s="33">
        <f>IF(AC136&lt;=0,0,MAX(0,MIN(AC136,ROUND($AZ136-SUMPRODUCT($V136:$AE136*($V136:$AE136&gt;0)*(($V136:$AE136&lt;AC136)+($V136:$AE136=AC136)*($V$3:$AE$3&gt;AC$3)+($V136:$AE136=AC136)*($V$3:$AE$3=AC$3)*($V$2:$AE$2&lt;AC$2))),2))))</f>
      </c>
      <c r="AN136" s="33">
        <f>IF(AD136&lt;=0,0,MAX(0,MIN(AD136,ROUND($AZ136-SUMPRODUCT($V136:$AE136*($V136:$AE136&gt;0)*(($V136:$AE136&lt;AD136)+($V136:$AE136=AD136)*($V$3:$AE$3&gt;AD$3)+($V136:$AE136=AD136)*($V$3:$AE$3=AD$3)*($V$2:$AE$2&lt;AD$2))),2))))</f>
      </c>
      <c r="AO136" s="33">
        <f>IF(AE136&lt;=0,0,MAX(0,MIN(AE136,ROUND($AZ136-SUMPRODUCT($V136:$AE136*($V136:$AE136&gt;0)*(($V136:$AE136&lt;AE136)+($V136:$AE136=AE136)*($V$3:$AE$3&gt;AE$3)+($V136:$AE136=AE136)*($V$3:$AE$3=AE$3)*($V$2:$AE$2&lt;AE$2))),2))))</f>
      </c>
      <c r="AP136" s="33">
        <f>ROUND(V136-AF136,2)</f>
      </c>
      <c r="AQ136" s="33">
        <f>ROUND(W136-AG136,2)</f>
      </c>
      <c r="AR136" s="33">
        <f>ROUND(X136-AH136,2)</f>
      </c>
      <c r="AS136" s="33">
        <f>ROUND(Y136-AI136,2)</f>
      </c>
      <c r="AT136" s="33">
        <f>ROUND(Z136-AJ136,2)</f>
      </c>
      <c r="AU136" s="33">
        <f>ROUND(AA136-AK136,2)</f>
      </c>
      <c r="AV136" s="33">
        <f>ROUND(AB136-AL136,2)</f>
      </c>
      <c r="AW136" s="33">
        <f>ROUND(AC136-AM136,2)</f>
      </c>
      <c r="AX136" s="33">
        <f>ROUND(AD136-AN136,2)</f>
      </c>
      <c r="AY136" s="33">
        <f>ROUND(AE136-AO136,2)</f>
      </c>
      <c r="AZ136" s="33">
        <f>ROUND(MAX(0,'Your debts'!$D$22-SUM($L136:$U136)),2)</f>
      </c>
      <c r="BA136" s="33">
        <f>ROUND(SUM($B136:$K136)-SUM($AP135:$AY135),2)</f>
      </c>
      <c r="BB136" s="33">
        <f>SUM($AP136:$AY136)</f>
      </c>
      <c r="BC136" s="33">
        <f>ROUND(SUM($L136:$U136)+SUM($AF136:$AO136),2)</f>
      </c>
    </row>
    <row r="137" spans="1:55" x14ac:dyDescent="0.25">
      <c r="A137">
        <v>130</v>
      </c>
      <c r="B137" s="33">
        <f>IF(AP136&lt;=0,0,ROUND(AP136+ROUND(AP136*V$3/12,2),2))</f>
      </c>
      <c r="C137" s="33">
        <f>IF(AQ136&lt;=0,0,ROUND(AQ136+ROUND(AQ136*W$3/12,2),2))</f>
      </c>
      <c r="D137" s="33">
        <f>IF(AR136&lt;=0,0,ROUND(AR136+ROUND(AR136*X$3/12,2),2))</f>
      </c>
      <c r="E137" s="33">
        <f>IF(AS136&lt;=0,0,ROUND(AS136+ROUND(AS136*Y$3/12,2),2))</f>
      </c>
      <c r="F137" s="33">
        <f>IF(AT136&lt;=0,0,ROUND(AT136+ROUND(AT136*Z$3/12,2),2))</f>
      </c>
      <c r="G137" s="33">
        <f>IF(AU136&lt;=0,0,ROUND(AU136+ROUND(AU136*AA$3/12,2),2))</f>
      </c>
      <c r="H137" s="33">
        <f>IF(AV136&lt;=0,0,ROUND(AV136+ROUND(AV136*AB$3/12,2),2))</f>
      </c>
      <c r="I137" s="33">
        <f>IF(AW136&lt;=0,0,ROUND(AW136+ROUND(AW136*AC$3/12,2),2))</f>
      </c>
      <c r="J137" s="33">
        <f>IF(AX136&lt;=0,0,ROUND(AX136+ROUND(AX136*AD$3/12,2),2))</f>
      </c>
      <c r="K137" s="33">
        <f>IF(AY136&lt;=0,0,ROUND(AY136+ROUND(AY136*AE$3/12,2),2))</f>
      </c>
      <c r="L137" s="33">
        <f>ROUND(MIN(MAX(0,N('Your debts'!$E$6)),B137),2)</f>
      </c>
      <c r="M137" s="33">
        <f>ROUND(MIN(MAX(0,N('Your debts'!$E$7)),C137),2)</f>
      </c>
      <c r="N137" s="33">
        <f>ROUND(MIN(MAX(0,N('Your debts'!$E$8)),D137),2)</f>
      </c>
      <c r="O137" s="33">
        <f>ROUND(MIN(MAX(0,N('Your debts'!$E$9)),E137),2)</f>
      </c>
      <c r="P137" s="33">
        <f>ROUND(MIN(MAX(0,N('Your debts'!$E$10)),F137),2)</f>
      </c>
      <c r="Q137" s="33">
        <f>ROUND(MIN(MAX(0,N('Your debts'!$E$11)),G137),2)</f>
      </c>
      <c r="R137" s="33">
        <f>ROUND(MIN(MAX(0,N('Your debts'!$E$12)),H137),2)</f>
      </c>
      <c r="S137" s="33">
        <f>ROUND(MIN(MAX(0,N('Your debts'!$E$13)),I137),2)</f>
      </c>
      <c r="T137" s="33">
        <f>ROUND(MIN(MAX(0,N('Your debts'!$E$14)),J137),2)</f>
      </c>
      <c r="U137" s="33">
        <f>ROUND(MIN(MAX(0,N('Your debts'!$E$15)),K137),2)</f>
      </c>
      <c r="V137" s="33">
        <f>ROUND(B137-L137,2)</f>
      </c>
      <c r="W137" s="33">
        <f>ROUND(C137-M137,2)</f>
      </c>
      <c r="X137" s="33">
        <f>ROUND(D137-N137,2)</f>
      </c>
      <c r="Y137" s="33">
        <f>ROUND(E137-O137,2)</f>
      </c>
      <c r="Z137" s="33">
        <f>ROUND(F137-P137,2)</f>
      </c>
      <c r="AA137" s="33">
        <f>ROUND(G137-Q137,2)</f>
      </c>
      <c r="AB137" s="33">
        <f>ROUND(H137-R137,2)</f>
      </c>
      <c r="AC137" s="33">
        <f>ROUND(I137-S137,2)</f>
      </c>
      <c r="AD137" s="33">
        <f>ROUND(J137-T137,2)</f>
      </c>
      <c r="AE137" s="33">
        <f>ROUND(K137-U137,2)</f>
      </c>
      <c r="AF137" s="33">
        <f>IF(V137&lt;=0,0,MAX(0,MIN(V137,ROUND($AZ137-SUMPRODUCT($V137:$AE137*($V137:$AE137&gt;0)*(($V137:$AE137&lt;V137)+($V137:$AE137=V137)*($V$3:$AE$3&gt;V$3)+($V137:$AE137=V137)*($V$3:$AE$3=V$3)*($V$2:$AE$2&lt;V$2))),2))))</f>
      </c>
      <c r="AG137" s="33">
        <f>IF(W137&lt;=0,0,MAX(0,MIN(W137,ROUND($AZ137-SUMPRODUCT($V137:$AE137*($V137:$AE137&gt;0)*(($V137:$AE137&lt;W137)+($V137:$AE137=W137)*($V$3:$AE$3&gt;W$3)+($V137:$AE137=W137)*($V$3:$AE$3=W$3)*($V$2:$AE$2&lt;W$2))),2))))</f>
      </c>
      <c r="AH137" s="33">
        <f>IF(X137&lt;=0,0,MAX(0,MIN(X137,ROUND($AZ137-SUMPRODUCT($V137:$AE137*($V137:$AE137&gt;0)*(($V137:$AE137&lt;X137)+($V137:$AE137=X137)*($V$3:$AE$3&gt;X$3)+($V137:$AE137=X137)*($V$3:$AE$3=X$3)*($V$2:$AE$2&lt;X$2))),2))))</f>
      </c>
      <c r="AI137" s="33">
        <f>IF(Y137&lt;=0,0,MAX(0,MIN(Y137,ROUND($AZ137-SUMPRODUCT($V137:$AE137*($V137:$AE137&gt;0)*(($V137:$AE137&lt;Y137)+($V137:$AE137=Y137)*($V$3:$AE$3&gt;Y$3)+($V137:$AE137=Y137)*($V$3:$AE$3=Y$3)*($V$2:$AE$2&lt;Y$2))),2))))</f>
      </c>
      <c r="AJ137" s="33">
        <f>IF(Z137&lt;=0,0,MAX(0,MIN(Z137,ROUND($AZ137-SUMPRODUCT($V137:$AE137*($V137:$AE137&gt;0)*(($V137:$AE137&lt;Z137)+($V137:$AE137=Z137)*($V$3:$AE$3&gt;Z$3)+($V137:$AE137=Z137)*($V$3:$AE$3=Z$3)*($V$2:$AE$2&lt;Z$2))),2))))</f>
      </c>
      <c r="AK137" s="33">
        <f>IF(AA137&lt;=0,0,MAX(0,MIN(AA137,ROUND($AZ137-SUMPRODUCT($V137:$AE137*($V137:$AE137&gt;0)*(($V137:$AE137&lt;AA137)+($V137:$AE137=AA137)*($V$3:$AE$3&gt;AA$3)+($V137:$AE137=AA137)*($V$3:$AE$3=AA$3)*($V$2:$AE$2&lt;AA$2))),2))))</f>
      </c>
      <c r="AL137" s="33">
        <f>IF(AB137&lt;=0,0,MAX(0,MIN(AB137,ROUND($AZ137-SUMPRODUCT($V137:$AE137*($V137:$AE137&gt;0)*(($V137:$AE137&lt;AB137)+($V137:$AE137=AB137)*($V$3:$AE$3&gt;AB$3)+($V137:$AE137=AB137)*($V$3:$AE$3=AB$3)*($V$2:$AE$2&lt;AB$2))),2))))</f>
      </c>
      <c r="AM137" s="33">
        <f>IF(AC137&lt;=0,0,MAX(0,MIN(AC137,ROUND($AZ137-SUMPRODUCT($V137:$AE137*($V137:$AE137&gt;0)*(($V137:$AE137&lt;AC137)+($V137:$AE137=AC137)*($V$3:$AE$3&gt;AC$3)+($V137:$AE137=AC137)*($V$3:$AE$3=AC$3)*($V$2:$AE$2&lt;AC$2))),2))))</f>
      </c>
      <c r="AN137" s="33">
        <f>IF(AD137&lt;=0,0,MAX(0,MIN(AD137,ROUND($AZ137-SUMPRODUCT($V137:$AE137*($V137:$AE137&gt;0)*(($V137:$AE137&lt;AD137)+($V137:$AE137=AD137)*($V$3:$AE$3&gt;AD$3)+($V137:$AE137=AD137)*($V$3:$AE$3=AD$3)*($V$2:$AE$2&lt;AD$2))),2))))</f>
      </c>
      <c r="AO137" s="33">
        <f>IF(AE137&lt;=0,0,MAX(0,MIN(AE137,ROUND($AZ137-SUMPRODUCT($V137:$AE137*($V137:$AE137&gt;0)*(($V137:$AE137&lt;AE137)+($V137:$AE137=AE137)*($V$3:$AE$3&gt;AE$3)+($V137:$AE137=AE137)*($V$3:$AE$3=AE$3)*($V$2:$AE$2&lt;AE$2))),2))))</f>
      </c>
      <c r="AP137" s="33">
        <f>ROUND(V137-AF137,2)</f>
      </c>
      <c r="AQ137" s="33">
        <f>ROUND(W137-AG137,2)</f>
      </c>
      <c r="AR137" s="33">
        <f>ROUND(X137-AH137,2)</f>
      </c>
      <c r="AS137" s="33">
        <f>ROUND(Y137-AI137,2)</f>
      </c>
      <c r="AT137" s="33">
        <f>ROUND(Z137-AJ137,2)</f>
      </c>
      <c r="AU137" s="33">
        <f>ROUND(AA137-AK137,2)</f>
      </c>
      <c r="AV137" s="33">
        <f>ROUND(AB137-AL137,2)</f>
      </c>
      <c r="AW137" s="33">
        <f>ROUND(AC137-AM137,2)</f>
      </c>
      <c r="AX137" s="33">
        <f>ROUND(AD137-AN137,2)</f>
      </c>
      <c r="AY137" s="33">
        <f>ROUND(AE137-AO137,2)</f>
      </c>
      <c r="AZ137" s="33">
        <f>ROUND(MAX(0,'Your debts'!$D$22-SUM($L137:$U137)),2)</f>
      </c>
      <c r="BA137" s="33">
        <f>ROUND(SUM($B137:$K137)-SUM($AP136:$AY136),2)</f>
      </c>
      <c r="BB137" s="33">
        <f>SUM($AP137:$AY137)</f>
      </c>
      <c r="BC137" s="33">
        <f>ROUND(SUM($L137:$U137)+SUM($AF137:$AO137),2)</f>
      </c>
    </row>
    <row r="138" spans="1:55" x14ac:dyDescent="0.25">
      <c r="A138">
        <v>131</v>
      </c>
      <c r="B138" s="33">
        <f>IF(AP137&lt;=0,0,ROUND(AP137+ROUND(AP137*V$3/12,2),2))</f>
      </c>
      <c r="C138" s="33">
        <f>IF(AQ137&lt;=0,0,ROUND(AQ137+ROUND(AQ137*W$3/12,2),2))</f>
      </c>
      <c r="D138" s="33">
        <f>IF(AR137&lt;=0,0,ROUND(AR137+ROUND(AR137*X$3/12,2),2))</f>
      </c>
      <c r="E138" s="33">
        <f>IF(AS137&lt;=0,0,ROUND(AS137+ROUND(AS137*Y$3/12,2),2))</f>
      </c>
      <c r="F138" s="33">
        <f>IF(AT137&lt;=0,0,ROUND(AT137+ROUND(AT137*Z$3/12,2),2))</f>
      </c>
      <c r="G138" s="33">
        <f>IF(AU137&lt;=0,0,ROUND(AU137+ROUND(AU137*AA$3/12,2),2))</f>
      </c>
      <c r="H138" s="33">
        <f>IF(AV137&lt;=0,0,ROUND(AV137+ROUND(AV137*AB$3/12,2),2))</f>
      </c>
      <c r="I138" s="33">
        <f>IF(AW137&lt;=0,0,ROUND(AW137+ROUND(AW137*AC$3/12,2),2))</f>
      </c>
      <c r="J138" s="33">
        <f>IF(AX137&lt;=0,0,ROUND(AX137+ROUND(AX137*AD$3/12,2),2))</f>
      </c>
      <c r="K138" s="33">
        <f>IF(AY137&lt;=0,0,ROUND(AY137+ROUND(AY137*AE$3/12,2),2))</f>
      </c>
      <c r="L138" s="33">
        <f>ROUND(MIN(MAX(0,N('Your debts'!$E$6)),B138),2)</f>
      </c>
      <c r="M138" s="33">
        <f>ROUND(MIN(MAX(0,N('Your debts'!$E$7)),C138),2)</f>
      </c>
      <c r="N138" s="33">
        <f>ROUND(MIN(MAX(0,N('Your debts'!$E$8)),D138),2)</f>
      </c>
      <c r="O138" s="33">
        <f>ROUND(MIN(MAX(0,N('Your debts'!$E$9)),E138),2)</f>
      </c>
      <c r="P138" s="33">
        <f>ROUND(MIN(MAX(0,N('Your debts'!$E$10)),F138),2)</f>
      </c>
      <c r="Q138" s="33">
        <f>ROUND(MIN(MAX(0,N('Your debts'!$E$11)),G138),2)</f>
      </c>
      <c r="R138" s="33">
        <f>ROUND(MIN(MAX(0,N('Your debts'!$E$12)),H138),2)</f>
      </c>
      <c r="S138" s="33">
        <f>ROUND(MIN(MAX(0,N('Your debts'!$E$13)),I138),2)</f>
      </c>
      <c r="T138" s="33">
        <f>ROUND(MIN(MAX(0,N('Your debts'!$E$14)),J138),2)</f>
      </c>
      <c r="U138" s="33">
        <f>ROUND(MIN(MAX(0,N('Your debts'!$E$15)),K138),2)</f>
      </c>
      <c r="V138" s="33">
        <f>ROUND(B138-L138,2)</f>
      </c>
      <c r="W138" s="33">
        <f>ROUND(C138-M138,2)</f>
      </c>
      <c r="X138" s="33">
        <f>ROUND(D138-N138,2)</f>
      </c>
      <c r="Y138" s="33">
        <f>ROUND(E138-O138,2)</f>
      </c>
      <c r="Z138" s="33">
        <f>ROUND(F138-P138,2)</f>
      </c>
      <c r="AA138" s="33">
        <f>ROUND(G138-Q138,2)</f>
      </c>
      <c r="AB138" s="33">
        <f>ROUND(H138-R138,2)</f>
      </c>
      <c r="AC138" s="33">
        <f>ROUND(I138-S138,2)</f>
      </c>
      <c r="AD138" s="33">
        <f>ROUND(J138-T138,2)</f>
      </c>
      <c r="AE138" s="33">
        <f>ROUND(K138-U138,2)</f>
      </c>
      <c r="AF138" s="33">
        <f>IF(V138&lt;=0,0,MAX(0,MIN(V138,ROUND($AZ138-SUMPRODUCT($V138:$AE138*($V138:$AE138&gt;0)*(($V138:$AE138&lt;V138)+($V138:$AE138=V138)*($V$3:$AE$3&gt;V$3)+($V138:$AE138=V138)*($V$3:$AE$3=V$3)*($V$2:$AE$2&lt;V$2))),2))))</f>
      </c>
      <c r="AG138" s="33">
        <f>IF(W138&lt;=0,0,MAX(0,MIN(W138,ROUND($AZ138-SUMPRODUCT($V138:$AE138*($V138:$AE138&gt;0)*(($V138:$AE138&lt;W138)+($V138:$AE138=W138)*($V$3:$AE$3&gt;W$3)+($V138:$AE138=W138)*($V$3:$AE$3=W$3)*($V$2:$AE$2&lt;W$2))),2))))</f>
      </c>
      <c r="AH138" s="33">
        <f>IF(X138&lt;=0,0,MAX(0,MIN(X138,ROUND($AZ138-SUMPRODUCT($V138:$AE138*($V138:$AE138&gt;0)*(($V138:$AE138&lt;X138)+($V138:$AE138=X138)*($V$3:$AE$3&gt;X$3)+($V138:$AE138=X138)*($V$3:$AE$3=X$3)*($V$2:$AE$2&lt;X$2))),2))))</f>
      </c>
      <c r="AI138" s="33">
        <f>IF(Y138&lt;=0,0,MAX(0,MIN(Y138,ROUND($AZ138-SUMPRODUCT($V138:$AE138*($V138:$AE138&gt;0)*(($V138:$AE138&lt;Y138)+($V138:$AE138=Y138)*($V$3:$AE$3&gt;Y$3)+($V138:$AE138=Y138)*($V$3:$AE$3=Y$3)*($V$2:$AE$2&lt;Y$2))),2))))</f>
      </c>
      <c r="AJ138" s="33">
        <f>IF(Z138&lt;=0,0,MAX(0,MIN(Z138,ROUND($AZ138-SUMPRODUCT($V138:$AE138*($V138:$AE138&gt;0)*(($V138:$AE138&lt;Z138)+($V138:$AE138=Z138)*($V$3:$AE$3&gt;Z$3)+($V138:$AE138=Z138)*($V$3:$AE$3=Z$3)*($V$2:$AE$2&lt;Z$2))),2))))</f>
      </c>
      <c r="AK138" s="33">
        <f>IF(AA138&lt;=0,0,MAX(0,MIN(AA138,ROUND($AZ138-SUMPRODUCT($V138:$AE138*($V138:$AE138&gt;0)*(($V138:$AE138&lt;AA138)+($V138:$AE138=AA138)*($V$3:$AE$3&gt;AA$3)+($V138:$AE138=AA138)*($V$3:$AE$3=AA$3)*($V$2:$AE$2&lt;AA$2))),2))))</f>
      </c>
      <c r="AL138" s="33">
        <f>IF(AB138&lt;=0,0,MAX(0,MIN(AB138,ROUND($AZ138-SUMPRODUCT($V138:$AE138*($V138:$AE138&gt;0)*(($V138:$AE138&lt;AB138)+($V138:$AE138=AB138)*($V$3:$AE$3&gt;AB$3)+($V138:$AE138=AB138)*($V$3:$AE$3=AB$3)*($V$2:$AE$2&lt;AB$2))),2))))</f>
      </c>
      <c r="AM138" s="33">
        <f>IF(AC138&lt;=0,0,MAX(0,MIN(AC138,ROUND($AZ138-SUMPRODUCT($V138:$AE138*($V138:$AE138&gt;0)*(($V138:$AE138&lt;AC138)+($V138:$AE138=AC138)*($V$3:$AE$3&gt;AC$3)+($V138:$AE138=AC138)*($V$3:$AE$3=AC$3)*($V$2:$AE$2&lt;AC$2))),2))))</f>
      </c>
      <c r="AN138" s="33">
        <f>IF(AD138&lt;=0,0,MAX(0,MIN(AD138,ROUND($AZ138-SUMPRODUCT($V138:$AE138*($V138:$AE138&gt;0)*(($V138:$AE138&lt;AD138)+($V138:$AE138=AD138)*($V$3:$AE$3&gt;AD$3)+($V138:$AE138=AD138)*($V$3:$AE$3=AD$3)*($V$2:$AE$2&lt;AD$2))),2))))</f>
      </c>
      <c r="AO138" s="33">
        <f>IF(AE138&lt;=0,0,MAX(0,MIN(AE138,ROUND($AZ138-SUMPRODUCT($V138:$AE138*($V138:$AE138&gt;0)*(($V138:$AE138&lt;AE138)+($V138:$AE138=AE138)*($V$3:$AE$3&gt;AE$3)+($V138:$AE138=AE138)*($V$3:$AE$3=AE$3)*($V$2:$AE$2&lt;AE$2))),2))))</f>
      </c>
      <c r="AP138" s="33">
        <f>ROUND(V138-AF138,2)</f>
      </c>
      <c r="AQ138" s="33">
        <f>ROUND(W138-AG138,2)</f>
      </c>
      <c r="AR138" s="33">
        <f>ROUND(X138-AH138,2)</f>
      </c>
      <c r="AS138" s="33">
        <f>ROUND(Y138-AI138,2)</f>
      </c>
      <c r="AT138" s="33">
        <f>ROUND(Z138-AJ138,2)</f>
      </c>
      <c r="AU138" s="33">
        <f>ROUND(AA138-AK138,2)</f>
      </c>
      <c r="AV138" s="33">
        <f>ROUND(AB138-AL138,2)</f>
      </c>
      <c r="AW138" s="33">
        <f>ROUND(AC138-AM138,2)</f>
      </c>
      <c r="AX138" s="33">
        <f>ROUND(AD138-AN138,2)</f>
      </c>
      <c r="AY138" s="33">
        <f>ROUND(AE138-AO138,2)</f>
      </c>
      <c r="AZ138" s="33">
        <f>ROUND(MAX(0,'Your debts'!$D$22-SUM($L138:$U138)),2)</f>
      </c>
      <c r="BA138" s="33">
        <f>ROUND(SUM($B138:$K138)-SUM($AP137:$AY137),2)</f>
      </c>
      <c r="BB138" s="33">
        <f>SUM($AP138:$AY138)</f>
      </c>
      <c r="BC138" s="33">
        <f>ROUND(SUM($L138:$U138)+SUM($AF138:$AO138),2)</f>
      </c>
    </row>
    <row r="139" spans="1:55" x14ac:dyDescent="0.25">
      <c r="A139">
        <v>132</v>
      </c>
      <c r="B139" s="33">
        <f>IF(AP138&lt;=0,0,ROUND(AP138+ROUND(AP138*V$3/12,2),2))</f>
      </c>
      <c r="C139" s="33">
        <f>IF(AQ138&lt;=0,0,ROUND(AQ138+ROUND(AQ138*W$3/12,2),2))</f>
      </c>
      <c r="D139" s="33">
        <f>IF(AR138&lt;=0,0,ROUND(AR138+ROUND(AR138*X$3/12,2),2))</f>
      </c>
      <c r="E139" s="33">
        <f>IF(AS138&lt;=0,0,ROUND(AS138+ROUND(AS138*Y$3/12,2),2))</f>
      </c>
      <c r="F139" s="33">
        <f>IF(AT138&lt;=0,0,ROUND(AT138+ROUND(AT138*Z$3/12,2),2))</f>
      </c>
      <c r="G139" s="33">
        <f>IF(AU138&lt;=0,0,ROUND(AU138+ROUND(AU138*AA$3/12,2),2))</f>
      </c>
      <c r="H139" s="33">
        <f>IF(AV138&lt;=0,0,ROUND(AV138+ROUND(AV138*AB$3/12,2),2))</f>
      </c>
      <c r="I139" s="33">
        <f>IF(AW138&lt;=0,0,ROUND(AW138+ROUND(AW138*AC$3/12,2),2))</f>
      </c>
      <c r="J139" s="33">
        <f>IF(AX138&lt;=0,0,ROUND(AX138+ROUND(AX138*AD$3/12,2),2))</f>
      </c>
      <c r="K139" s="33">
        <f>IF(AY138&lt;=0,0,ROUND(AY138+ROUND(AY138*AE$3/12,2),2))</f>
      </c>
      <c r="L139" s="33">
        <f>ROUND(MIN(MAX(0,N('Your debts'!$E$6)),B139),2)</f>
      </c>
      <c r="M139" s="33">
        <f>ROUND(MIN(MAX(0,N('Your debts'!$E$7)),C139),2)</f>
      </c>
      <c r="N139" s="33">
        <f>ROUND(MIN(MAX(0,N('Your debts'!$E$8)),D139),2)</f>
      </c>
      <c r="O139" s="33">
        <f>ROUND(MIN(MAX(0,N('Your debts'!$E$9)),E139),2)</f>
      </c>
      <c r="P139" s="33">
        <f>ROUND(MIN(MAX(0,N('Your debts'!$E$10)),F139),2)</f>
      </c>
      <c r="Q139" s="33">
        <f>ROUND(MIN(MAX(0,N('Your debts'!$E$11)),G139),2)</f>
      </c>
      <c r="R139" s="33">
        <f>ROUND(MIN(MAX(0,N('Your debts'!$E$12)),H139),2)</f>
      </c>
      <c r="S139" s="33">
        <f>ROUND(MIN(MAX(0,N('Your debts'!$E$13)),I139),2)</f>
      </c>
      <c r="T139" s="33">
        <f>ROUND(MIN(MAX(0,N('Your debts'!$E$14)),J139),2)</f>
      </c>
      <c r="U139" s="33">
        <f>ROUND(MIN(MAX(0,N('Your debts'!$E$15)),K139),2)</f>
      </c>
      <c r="V139" s="33">
        <f>ROUND(B139-L139,2)</f>
      </c>
      <c r="W139" s="33">
        <f>ROUND(C139-M139,2)</f>
      </c>
      <c r="X139" s="33">
        <f>ROUND(D139-N139,2)</f>
      </c>
      <c r="Y139" s="33">
        <f>ROUND(E139-O139,2)</f>
      </c>
      <c r="Z139" s="33">
        <f>ROUND(F139-P139,2)</f>
      </c>
      <c r="AA139" s="33">
        <f>ROUND(G139-Q139,2)</f>
      </c>
      <c r="AB139" s="33">
        <f>ROUND(H139-R139,2)</f>
      </c>
      <c r="AC139" s="33">
        <f>ROUND(I139-S139,2)</f>
      </c>
      <c r="AD139" s="33">
        <f>ROUND(J139-T139,2)</f>
      </c>
      <c r="AE139" s="33">
        <f>ROUND(K139-U139,2)</f>
      </c>
      <c r="AF139" s="33">
        <f>IF(V139&lt;=0,0,MAX(0,MIN(V139,ROUND($AZ139-SUMPRODUCT($V139:$AE139*($V139:$AE139&gt;0)*(($V139:$AE139&lt;V139)+($V139:$AE139=V139)*($V$3:$AE$3&gt;V$3)+($V139:$AE139=V139)*($V$3:$AE$3=V$3)*($V$2:$AE$2&lt;V$2))),2))))</f>
      </c>
      <c r="AG139" s="33">
        <f>IF(W139&lt;=0,0,MAX(0,MIN(W139,ROUND($AZ139-SUMPRODUCT($V139:$AE139*($V139:$AE139&gt;0)*(($V139:$AE139&lt;W139)+($V139:$AE139=W139)*($V$3:$AE$3&gt;W$3)+($V139:$AE139=W139)*($V$3:$AE$3=W$3)*($V$2:$AE$2&lt;W$2))),2))))</f>
      </c>
      <c r="AH139" s="33">
        <f>IF(X139&lt;=0,0,MAX(0,MIN(X139,ROUND($AZ139-SUMPRODUCT($V139:$AE139*($V139:$AE139&gt;0)*(($V139:$AE139&lt;X139)+($V139:$AE139=X139)*($V$3:$AE$3&gt;X$3)+($V139:$AE139=X139)*($V$3:$AE$3=X$3)*($V$2:$AE$2&lt;X$2))),2))))</f>
      </c>
      <c r="AI139" s="33">
        <f>IF(Y139&lt;=0,0,MAX(0,MIN(Y139,ROUND($AZ139-SUMPRODUCT($V139:$AE139*($V139:$AE139&gt;0)*(($V139:$AE139&lt;Y139)+($V139:$AE139=Y139)*($V$3:$AE$3&gt;Y$3)+($V139:$AE139=Y139)*($V$3:$AE$3=Y$3)*($V$2:$AE$2&lt;Y$2))),2))))</f>
      </c>
      <c r="AJ139" s="33">
        <f>IF(Z139&lt;=0,0,MAX(0,MIN(Z139,ROUND($AZ139-SUMPRODUCT($V139:$AE139*($V139:$AE139&gt;0)*(($V139:$AE139&lt;Z139)+($V139:$AE139=Z139)*($V$3:$AE$3&gt;Z$3)+($V139:$AE139=Z139)*($V$3:$AE$3=Z$3)*($V$2:$AE$2&lt;Z$2))),2))))</f>
      </c>
      <c r="AK139" s="33">
        <f>IF(AA139&lt;=0,0,MAX(0,MIN(AA139,ROUND($AZ139-SUMPRODUCT($V139:$AE139*($V139:$AE139&gt;0)*(($V139:$AE139&lt;AA139)+($V139:$AE139=AA139)*($V$3:$AE$3&gt;AA$3)+($V139:$AE139=AA139)*($V$3:$AE$3=AA$3)*($V$2:$AE$2&lt;AA$2))),2))))</f>
      </c>
      <c r="AL139" s="33">
        <f>IF(AB139&lt;=0,0,MAX(0,MIN(AB139,ROUND($AZ139-SUMPRODUCT($V139:$AE139*($V139:$AE139&gt;0)*(($V139:$AE139&lt;AB139)+($V139:$AE139=AB139)*($V$3:$AE$3&gt;AB$3)+($V139:$AE139=AB139)*($V$3:$AE$3=AB$3)*($V$2:$AE$2&lt;AB$2))),2))))</f>
      </c>
      <c r="AM139" s="33">
        <f>IF(AC139&lt;=0,0,MAX(0,MIN(AC139,ROUND($AZ139-SUMPRODUCT($V139:$AE139*($V139:$AE139&gt;0)*(($V139:$AE139&lt;AC139)+($V139:$AE139=AC139)*($V$3:$AE$3&gt;AC$3)+($V139:$AE139=AC139)*($V$3:$AE$3=AC$3)*($V$2:$AE$2&lt;AC$2))),2))))</f>
      </c>
      <c r="AN139" s="33">
        <f>IF(AD139&lt;=0,0,MAX(0,MIN(AD139,ROUND($AZ139-SUMPRODUCT($V139:$AE139*($V139:$AE139&gt;0)*(($V139:$AE139&lt;AD139)+($V139:$AE139=AD139)*($V$3:$AE$3&gt;AD$3)+($V139:$AE139=AD139)*($V$3:$AE$3=AD$3)*($V$2:$AE$2&lt;AD$2))),2))))</f>
      </c>
      <c r="AO139" s="33">
        <f>IF(AE139&lt;=0,0,MAX(0,MIN(AE139,ROUND($AZ139-SUMPRODUCT($V139:$AE139*($V139:$AE139&gt;0)*(($V139:$AE139&lt;AE139)+($V139:$AE139=AE139)*($V$3:$AE$3&gt;AE$3)+($V139:$AE139=AE139)*($V$3:$AE$3=AE$3)*($V$2:$AE$2&lt;AE$2))),2))))</f>
      </c>
      <c r="AP139" s="33">
        <f>ROUND(V139-AF139,2)</f>
      </c>
      <c r="AQ139" s="33">
        <f>ROUND(W139-AG139,2)</f>
      </c>
      <c r="AR139" s="33">
        <f>ROUND(X139-AH139,2)</f>
      </c>
      <c r="AS139" s="33">
        <f>ROUND(Y139-AI139,2)</f>
      </c>
      <c r="AT139" s="33">
        <f>ROUND(Z139-AJ139,2)</f>
      </c>
      <c r="AU139" s="33">
        <f>ROUND(AA139-AK139,2)</f>
      </c>
      <c r="AV139" s="33">
        <f>ROUND(AB139-AL139,2)</f>
      </c>
      <c r="AW139" s="33">
        <f>ROUND(AC139-AM139,2)</f>
      </c>
      <c r="AX139" s="33">
        <f>ROUND(AD139-AN139,2)</f>
      </c>
      <c r="AY139" s="33">
        <f>ROUND(AE139-AO139,2)</f>
      </c>
      <c r="AZ139" s="33">
        <f>ROUND(MAX(0,'Your debts'!$D$22-SUM($L139:$U139)),2)</f>
      </c>
      <c r="BA139" s="33">
        <f>ROUND(SUM($B139:$K139)-SUM($AP138:$AY138),2)</f>
      </c>
      <c r="BB139" s="33">
        <f>SUM($AP139:$AY139)</f>
      </c>
      <c r="BC139" s="33">
        <f>ROUND(SUM($L139:$U139)+SUM($AF139:$AO139),2)</f>
      </c>
    </row>
    <row r="140" spans="1:55" x14ac:dyDescent="0.25">
      <c r="A140">
        <v>133</v>
      </c>
      <c r="B140" s="33">
        <f>IF(AP139&lt;=0,0,ROUND(AP139+ROUND(AP139*V$3/12,2),2))</f>
      </c>
      <c r="C140" s="33">
        <f>IF(AQ139&lt;=0,0,ROUND(AQ139+ROUND(AQ139*W$3/12,2),2))</f>
      </c>
      <c r="D140" s="33">
        <f>IF(AR139&lt;=0,0,ROUND(AR139+ROUND(AR139*X$3/12,2),2))</f>
      </c>
      <c r="E140" s="33">
        <f>IF(AS139&lt;=0,0,ROUND(AS139+ROUND(AS139*Y$3/12,2),2))</f>
      </c>
      <c r="F140" s="33">
        <f>IF(AT139&lt;=0,0,ROUND(AT139+ROUND(AT139*Z$3/12,2),2))</f>
      </c>
      <c r="G140" s="33">
        <f>IF(AU139&lt;=0,0,ROUND(AU139+ROUND(AU139*AA$3/12,2),2))</f>
      </c>
      <c r="H140" s="33">
        <f>IF(AV139&lt;=0,0,ROUND(AV139+ROUND(AV139*AB$3/12,2),2))</f>
      </c>
      <c r="I140" s="33">
        <f>IF(AW139&lt;=0,0,ROUND(AW139+ROUND(AW139*AC$3/12,2),2))</f>
      </c>
      <c r="J140" s="33">
        <f>IF(AX139&lt;=0,0,ROUND(AX139+ROUND(AX139*AD$3/12,2),2))</f>
      </c>
      <c r="K140" s="33">
        <f>IF(AY139&lt;=0,0,ROUND(AY139+ROUND(AY139*AE$3/12,2),2))</f>
      </c>
      <c r="L140" s="33">
        <f>ROUND(MIN(MAX(0,N('Your debts'!$E$6)),B140),2)</f>
      </c>
      <c r="M140" s="33">
        <f>ROUND(MIN(MAX(0,N('Your debts'!$E$7)),C140),2)</f>
      </c>
      <c r="N140" s="33">
        <f>ROUND(MIN(MAX(0,N('Your debts'!$E$8)),D140),2)</f>
      </c>
      <c r="O140" s="33">
        <f>ROUND(MIN(MAX(0,N('Your debts'!$E$9)),E140),2)</f>
      </c>
      <c r="P140" s="33">
        <f>ROUND(MIN(MAX(0,N('Your debts'!$E$10)),F140),2)</f>
      </c>
      <c r="Q140" s="33">
        <f>ROUND(MIN(MAX(0,N('Your debts'!$E$11)),G140),2)</f>
      </c>
      <c r="R140" s="33">
        <f>ROUND(MIN(MAX(0,N('Your debts'!$E$12)),H140),2)</f>
      </c>
      <c r="S140" s="33">
        <f>ROUND(MIN(MAX(0,N('Your debts'!$E$13)),I140),2)</f>
      </c>
      <c r="T140" s="33">
        <f>ROUND(MIN(MAX(0,N('Your debts'!$E$14)),J140),2)</f>
      </c>
      <c r="U140" s="33">
        <f>ROUND(MIN(MAX(0,N('Your debts'!$E$15)),K140),2)</f>
      </c>
      <c r="V140" s="33">
        <f>ROUND(B140-L140,2)</f>
      </c>
      <c r="W140" s="33">
        <f>ROUND(C140-M140,2)</f>
      </c>
      <c r="X140" s="33">
        <f>ROUND(D140-N140,2)</f>
      </c>
      <c r="Y140" s="33">
        <f>ROUND(E140-O140,2)</f>
      </c>
      <c r="Z140" s="33">
        <f>ROUND(F140-P140,2)</f>
      </c>
      <c r="AA140" s="33">
        <f>ROUND(G140-Q140,2)</f>
      </c>
      <c r="AB140" s="33">
        <f>ROUND(H140-R140,2)</f>
      </c>
      <c r="AC140" s="33">
        <f>ROUND(I140-S140,2)</f>
      </c>
      <c r="AD140" s="33">
        <f>ROUND(J140-T140,2)</f>
      </c>
      <c r="AE140" s="33">
        <f>ROUND(K140-U140,2)</f>
      </c>
      <c r="AF140" s="33">
        <f>IF(V140&lt;=0,0,MAX(0,MIN(V140,ROUND($AZ140-SUMPRODUCT($V140:$AE140*($V140:$AE140&gt;0)*(($V140:$AE140&lt;V140)+($V140:$AE140=V140)*($V$3:$AE$3&gt;V$3)+($V140:$AE140=V140)*($V$3:$AE$3=V$3)*($V$2:$AE$2&lt;V$2))),2))))</f>
      </c>
      <c r="AG140" s="33">
        <f>IF(W140&lt;=0,0,MAX(0,MIN(W140,ROUND($AZ140-SUMPRODUCT($V140:$AE140*($V140:$AE140&gt;0)*(($V140:$AE140&lt;W140)+($V140:$AE140=W140)*($V$3:$AE$3&gt;W$3)+($V140:$AE140=W140)*($V$3:$AE$3=W$3)*($V$2:$AE$2&lt;W$2))),2))))</f>
      </c>
      <c r="AH140" s="33">
        <f>IF(X140&lt;=0,0,MAX(0,MIN(X140,ROUND($AZ140-SUMPRODUCT($V140:$AE140*($V140:$AE140&gt;0)*(($V140:$AE140&lt;X140)+($V140:$AE140=X140)*($V$3:$AE$3&gt;X$3)+($V140:$AE140=X140)*($V$3:$AE$3=X$3)*($V$2:$AE$2&lt;X$2))),2))))</f>
      </c>
      <c r="AI140" s="33">
        <f>IF(Y140&lt;=0,0,MAX(0,MIN(Y140,ROUND($AZ140-SUMPRODUCT($V140:$AE140*($V140:$AE140&gt;0)*(($V140:$AE140&lt;Y140)+($V140:$AE140=Y140)*($V$3:$AE$3&gt;Y$3)+($V140:$AE140=Y140)*($V$3:$AE$3=Y$3)*($V$2:$AE$2&lt;Y$2))),2))))</f>
      </c>
      <c r="AJ140" s="33">
        <f>IF(Z140&lt;=0,0,MAX(0,MIN(Z140,ROUND($AZ140-SUMPRODUCT($V140:$AE140*($V140:$AE140&gt;0)*(($V140:$AE140&lt;Z140)+($V140:$AE140=Z140)*($V$3:$AE$3&gt;Z$3)+($V140:$AE140=Z140)*($V$3:$AE$3=Z$3)*($V$2:$AE$2&lt;Z$2))),2))))</f>
      </c>
      <c r="AK140" s="33">
        <f>IF(AA140&lt;=0,0,MAX(0,MIN(AA140,ROUND($AZ140-SUMPRODUCT($V140:$AE140*($V140:$AE140&gt;0)*(($V140:$AE140&lt;AA140)+($V140:$AE140=AA140)*($V$3:$AE$3&gt;AA$3)+($V140:$AE140=AA140)*($V$3:$AE$3=AA$3)*($V$2:$AE$2&lt;AA$2))),2))))</f>
      </c>
      <c r="AL140" s="33">
        <f>IF(AB140&lt;=0,0,MAX(0,MIN(AB140,ROUND($AZ140-SUMPRODUCT($V140:$AE140*($V140:$AE140&gt;0)*(($V140:$AE140&lt;AB140)+($V140:$AE140=AB140)*($V$3:$AE$3&gt;AB$3)+($V140:$AE140=AB140)*($V$3:$AE$3=AB$3)*($V$2:$AE$2&lt;AB$2))),2))))</f>
      </c>
      <c r="AM140" s="33">
        <f>IF(AC140&lt;=0,0,MAX(0,MIN(AC140,ROUND($AZ140-SUMPRODUCT($V140:$AE140*($V140:$AE140&gt;0)*(($V140:$AE140&lt;AC140)+($V140:$AE140=AC140)*($V$3:$AE$3&gt;AC$3)+($V140:$AE140=AC140)*($V$3:$AE$3=AC$3)*($V$2:$AE$2&lt;AC$2))),2))))</f>
      </c>
      <c r="AN140" s="33">
        <f>IF(AD140&lt;=0,0,MAX(0,MIN(AD140,ROUND($AZ140-SUMPRODUCT($V140:$AE140*($V140:$AE140&gt;0)*(($V140:$AE140&lt;AD140)+($V140:$AE140=AD140)*($V$3:$AE$3&gt;AD$3)+($V140:$AE140=AD140)*($V$3:$AE$3=AD$3)*($V$2:$AE$2&lt;AD$2))),2))))</f>
      </c>
      <c r="AO140" s="33">
        <f>IF(AE140&lt;=0,0,MAX(0,MIN(AE140,ROUND($AZ140-SUMPRODUCT($V140:$AE140*($V140:$AE140&gt;0)*(($V140:$AE140&lt;AE140)+($V140:$AE140=AE140)*($V$3:$AE$3&gt;AE$3)+($V140:$AE140=AE140)*($V$3:$AE$3=AE$3)*($V$2:$AE$2&lt;AE$2))),2))))</f>
      </c>
      <c r="AP140" s="33">
        <f>ROUND(V140-AF140,2)</f>
      </c>
      <c r="AQ140" s="33">
        <f>ROUND(W140-AG140,2)</f>
      </c>
      <c r="AR140" s="33">
        <f>ROUND(X140-AH140,2)</f>
      </c>
      <c r="AS140" s="33">
        <f>ROUND(Y140-AI140,2)</f>
      </c>
      <c r="AT140" s="33">
        <f>ROUND(Z140-AJ140,2)</f>
      </c>
      <c r="AU140" s="33">
        <f>ROUND(AA140-AK140,2)</f>
      </c>
      <c r="AV140" s="33">
        <f>ROUND(AB140-AL140,2)</f>
      </c>
      <c r="AW140" s="33">
        <f>ROUND(AC140-AM140,2)</f>
      </c>
      <c r="AX140" s="33">
        <f>ROUND(AD140-AN140,2)</f>
      </c>
      <c r="AY140" s="33">
        <f>ROUND(AE140-AO140,2)</f>
      </c>
      <c r="AZ140" s="33">
        <f>ROUND(MAX(0,'Your debts'!$D$22-SUM($L140:$U140)),2)</f>
      </c>
      <c r="BA140" s="33">
        <f>ROUND(SUM($B140:$K140)-SUM($AP139:$AY139),2)</f>
      </c>
      <c r="BB140" s="33">
        <f>SUM($AP140:$AY140)</f>
      </c>
      <c r="BC140" s="33">
        <f>ROUND(SUM($L140:$U140)+SUM($AF140:$AO140),2)</f>
      </c>
    </row>
    <row r="141" spans="1:55" x14ac:dyDescent="0.25">
      <c r="A141">
        <v>134</v>
      </c>
      <c r="B141" s="33">
        <f>IF(AP140&lt;=0,0,ROUND(AP140+ROUND(AP140*V$3/12,2),2))</f>
      </c>
      <c r="C141" s="33">
        <f>IF(AQ140&lt;=0,0,ROUND(AQ140+ROUND(AQ140*W$3/12,2),2))</f>
      </c>
      <c r="D141" s="33">
        <f>IF(AR140&lt;=0,0,ROUND(AR140+ROUND(AR140*X$3/12,2),2))</f>
      </c>
      <c r="E141" s="33">
        <f>IF(AS140&lt;=0,0,ROUND(AS140+ROUND(AS140*Y$3/12,2),2))</f>
      </c>
      <c r="F141" s="33">
        <f>IF(AT140&lt;=0,0,ROUND(AT140+ROUND(AT140*Z$3/12,2),2))</f>
      </c>
      <c r="G141" s="33">
        <f>IF(AU140&lt;=0,0,ROUND(AU140+ROUND(AU140*AA$3/12,2),2))</f>
      </c>
      <c r="H141" s="33">
        <f>IF(AV140&lt;=0,0,ROUND(AV140+ROUND(AV140*AB$3/12,2),2))</f>
      </c>
      <c r="I141" s="33">
        <f>IF(AW140&lt;=0,0,ROUND(AW140+ROUND(AW140*AC$3/12,2),2))</f>
      </c>
      <c r="J141" s="33">
        <f>IF(AX140&lt;=0,0,ROUND(AX140+ROUND(AX140*AD$3/12,2),2))</f>
      </c>
      <c r="K141" s="33">
        <f>IF(AY140&lt;=0,0,ROUND(AY140+ROUND(AY140*AE$3/12,2),2))</f>
      </c>
      <c r="L141" s="33">
        <f>ROUND(MIN(MAX(0,N('Your debts'!$E$6)),B141),2)</f>
      </c>
      <c r="M141" s="33">
        <f>ROUND(MIN(MAX(0,N('Your debts'!$E$7)),C141),2)</f>
      </c>
      <c r="N141" s="33">
        <f>ROUND(MIN(MAX(0,N('Your debts'!$E$8)),D141),2)</f>
      </c>
      <c r="O141" s="33">
        <f>ROUND(MIN(MAX(0,N('Your debts'!$E$9)),E141),2)</f>
      </c>
      <c r="P141" s="33">
        <f>ROUND(MIN(MAX(0,N('Your debts'!$E$10)),F141),2)</f>
      </c>
      <c r="Q141" s="33">
        <f>ROUND(MIN(MAX(0,N('Your debts'!$E$11)),G141),2)</f>
      </c>
      <c r="R141" s="33">
        <f>ROUND(MIN(MAX(0,N('Your debts'!$E$12)),H141),2)</f>
      </c>
      <c r="S141" s="33">
        <f>ROUND(MIN(MAX(0,N('Your debts'!$E$13)),I141),2)</f>
      </c>
      <c r="T141" s="33">
        <f>ROUND(MIN(MAX(0,N('Your debts'!$E$14)),J141),2)</f>
      </c>
      <c r="U141" s="33">
        <f>ROUND(MIN(MAX(0,N('Your debts'!$E$15)),K141),2)</f>
      </c>
      <c r="V141" s="33">
        <f>ROUND(B141-L141,2)</f>
      </c>
      <c r="W141" s="33">
        <f>ROUND(C141-M141,2)</f>
      </c>
      <c r="X141" s="33">
        <f>ROUND(D141-N141,2)</f>
      </c>
      <c r="Y141" s="33">
        <f>ROUND(E141-O141,2)</f>
      </c>
      <c r="Z141" s="33">
        <f>ROUND(F141-P141,2)</f>
      </c>
      <c r="AA141" s="33">
        <f>ROUND(G141-Q141,2)</f>
      </c>
      <c r="AB141" s="33">
        <f>ROUND(H141-R141,2)</f>
      </c>
      <c r="AC141" s="33">
        <f>ROUND(I141-S141,2)</f>
      </c>
      <c r="AD141" s="33">
        <f>ROUND(J141-T141,2)</f>
      </c>
      <c r="AE141" s="33">
        <f>ROUND(K141-U141,2)</f>
      </c>
      <c r="AF141" s="33">
        <f>IF(V141&lt;=0,0,MAX(0,MIN(V141,ROUND($AZ141-SUMPRODUCT($V141:$AE141*($V141:$AE141&gt;0)*(($V141:$AE141&lt;V141)+($V141:$AE141=V141)*($V$3:$AE$3&gt;V$3)+($V141:$AE141=V141)*($V$3:$AE$3=V$3)*($V$2:$AE$2&lt;V$2))),2))))</f>
      </c>
      <c r="AG141" s="33">
        <f>IF(W141&lt;=0,0,MAX(0,MIN(W141,ROUND($AZ141-SUMPRODUCT($V141:$AE141*($V141:$AE141&gt;0)*(($V141:$AE141&lt;W141)+($V141:$AE141=W141)*($V$3:$AE$3&gt;W$3)+($V141:$AE141=W141)*($V$3:$AE$3=W$3)*($V$2:$AE$2&lt;W$2))),2))))</f>
      </c>
      <c r="AH141" s="33">
        <f>IF(X141&lt;=0,0,MAX(0,MIN(X141,ROUND($AZ141-SUMPRODUCT($V141:$AE141*($V141:$AE141&gt;0)*(($V141:$AE141&lt;X141)+($V141:$AE141=X141)*($V$3:$AE$3&gt;X$3)+($V141:$AE141=X141)*($V$3:$AE$3=X$3)*($V$2:$AE$2&lt;X$2))),2))))</f>
      </c>
      <c r="AI141" s="33">
        <f>IF(Y141&lt;=0,0,MAX(0,MIN(Y141,ROUND($AZ141-SUMPRODUCT($V141:$AE141*($V141:$AE141&gt;0)*(($V141:$AE141&lt;Y141)+($V141:$AE141=Y141)*($V$3:$AE$3&gt;Y$3)+($V141:$AE141=Y141)*($V$3:$AE$3=Y$3)*($V$2:$AE$2&lt;Y$2))),2))))</f>
      </c>
      <c r="AJ141" s="33">
        <f>IF(Z141&lt;=0,0,MAX(0,MIN(Z141,ROUND($AZ141-SUMPRODUCT($V141:$AE141*($V141:$AE141&gt;0)*(($V141:$AE141&lt;Z141)+($V141:$AE141=Z141)*($V$3:$AE$3&gt;Z$3)+($V141:$AE141=Z141)*($V$3:$AE$3=Z$3)*($V$2:$AE$2&lt;Z$2))),2))))</f>
      </c>
      <c r="AK141" s="33">
        <f>IF(AA141&lt;=0,0,MAX(0,MIN(AA141,ROUND($AZ141-SUMPRODUCT($V141:$AE141*($V141:$AE141&gt;0)*(($V141:$AE141&lt;AA141)+($V141:$AE141=AA141)*($V$3:$AE$3&gt;AA$3)+($V141:$AE141=AA141)*($V$3:$AE$3=AA$3)*($V$2:$AE$2&lt;AA$2))),2))))</f>
      </c>
      <c r="AL141" s="33">
        <f>IF(AB141&lt;=0,0,MAX(0,MIN(AB141,ROUND($AZ141-SUMPRODUCT($V141:$AE141*($V141:$AE141&gt;0)*(($V141:$AE141&lt;AB141)+($V141:$AE141=AB141)*($V$3:$AE$3&gt;AB$3)+($V141:$AE141=AB141)*($V$3:$AE$3=AB$3)*($V$2:$AE$2&lt;AB$2))),2))))</f>
      </c>
      <c r="AM141" s="33">
        <f>IF(AC141&lt;=0,0,MAX(0,MIN(AC141,ROUND($AZ141-SUMPRODUCT($V141:$AE141*($V141:$AE141&gt;0)*(($V141:$AE141&lt;AC141)+($V141:$AE141=AC141)*($V$3:$AE$3&gt;AC$3)+($V141:$AE141=AC141)*($V$3:$AE$3=AC$3)*($V$2:$AE$2&lt;AC$2))),2))))</f>
      </c>
      <c r="AN141" s="33">
        <f>IF(AD141&lt;=0,0,MAX(0,MIN(AD141,ROUND($AZ141-SUMPRODUCT($V141:$AE141*($V141:$AE141&gt;0)*(($V141:$AE141&lt;AD141)+($V141:$AE141=AD141)*($V$3:$AE$3&gt;AD$3)+($V141:$AE141=AD141)*($V$3:$AE$3=AD$3)*($V$2:$AE$2&lt;AD$2))),2))))</f>
      </c>
      <c r="AO141" s="33">
        <f>IF(AE141&lt;=0,0,MAX(0,MIN(AE141,ROUND($AZ141-SUMPRODUCT($V141:$AE141*($V141:$AE141&gt;0)*(($V141:$AE141&lt;AE141)+($V141:$AE141=AE141)*($V$3:$AE$3&gt;AE$3)+($V141:$AE141=AE141)*($V$3:$AE$3=AE$3)*($V$2:$AE$2&lt;AE$2))),2))))</f>
      </c>
      <c r="AP141" s="33">
        <f>ROUND(V141-AF141,2)</f>
      </c>
      <c r="AQ141" s="33">
        <f>ROUND(W141-AG141,2)</f>
      </c>
      <c r="AR141" s="33">
        <f>ROUND(X141-AH141,2)</f>
      </c>
      <c r="AS141" s="33">
        <f>ROUND(Y141-AI141,2)</f>
      </c>
      <c r="AT141" s="33">
        <f>ROUND(Z141-AJ141,2)</f>
      </c>
      <c r="AU141" s="33">
        <f>ROUND(AA141-AK141,2)</f>
      </c>
      <c r="AV141" s="33">
        <f>ROUND(AB141-AL141,2)</f>
      </c>
      <c r="AW141" s="33">
        <f>ROUND(AC141-AM141,2)</f>
      </c>
      <c r="AX141" s="33">
        <f>ROUND(AD141-AN141,2)</f>
      </c>
      <c r="AY141" s="33">
        <f>ROUND(AE141-AO141,2)</f>
      </c>
      <c r="AZ141" s="33">
        <f>ROUND(MAX(0,'Your debts'!$D$22-SUM($L141:$U141)),2)</f>
      </c>
      <c r="BA141" s="33">
        <f>ROUND(SUM($B141:$K141)-SUM($AP140:$AY140),2)</f>
      </c>
      <c r="BB141" s="33">
        <f>SUM($AP141:$AY141)</f>
      </c>
      <c r="BC141" s="33">
        <f>ROUND(SUM($L141:$U141)+SUM($AF141:$AO141),2)</f>
      </c>
    </row>
    <row r="142" spans="1:55" x14ac:dyDescent="0.25">
      <c r="A142">
        <v>135</v>
      </c>
      <c r="B142" s="33">
        <f>IF(AP141&lt;=0,0,ROUND(AP141+ROUND(AP141*V$3/12,2),2))</f>
      </c>
      <c r="C142" s="33">
        <f>IF(AQ141&lt;=0,0,ROUND(AQ141+ROUND(AQ141*W$3/12,2),2))</f>
      </c>
      <c r="D142" s="33">
        <f>IF(AR141&lt;=0,0,ROUND(AR141+ROUND(AR141*X$3/12,2),2))</f>
      </c>
      <c r="E142" s="33">
        <f>IF(AS141&lt;=0,0,ROUND(AS141+ROUND(AS141*Y$3/12,2),2))</f>
      </c>
      <c r="F142" s="33">
        <f>IF(AT141&lt;=0,0,ROUND(AT141+ROUND(AT141*Z$3/12,2),2))</f>
      </c>
      <c r="G142" s="33">
        <f>IF(AU141&lt;=0,0,ROUND(AU141+ROUND(AU141*AA$3/12,2),2))</f>
      </c>
      <c r="H142" s="33">
        <f>IF(AV141&lt;=0,0,ROUND(AV141+ROUND(AV141*AB$3/12,2),2))</f>
      </c>
      <c r="I142" s="33">
        <f>IF(AW141&lt;=0,0,ROUND(AW141+ROUND(AW141*AC$3/12,2),2))</f>
      </c>
      <c r="J142" s="33">
        <f>IF(AX141&lt;=0,0,ROUND(AX141+ROUND(AX141*AD$3/12,2),2))</f>
      </c>
      <c r="K142" s="33">
        <f>IF(AY141&lt;=0,0,ROUND(AY141+ROUND(AY141*AE$3/12,2),2))</f>
      </c>
      <c r="L142" s="33">
        <f>ROUND(MIN(MAX(0,N('Your debts'!$E$6)),B142),2)</f>
      </c>
      <c r="M142" s="33">
        <f>ROUND(MIN(MAX(0,N('Your debts'!$E$7)),C142),2)</f>
      </c>
      <c r="N142" s="33">
        <f>ROUND(MIN(MAX(0,N('Your debts'!$E$8)),D142),2)</f>
      </c>
      <c r="O142" s="33">
        <f>ROUND(MIN(MAX(0,N('Your debts'!$E$9)),E142),2)</f>
      </c>
      <c r="P142" s="33">
        <f>ROUND(MIN(MAX(0,N('Your debts'!$E$10)),F142),2)</f>
      </c>
      <c r="Q142" s="33">
        <f>ROUND(MIN(MAX(0,N('Your debts'!$E$11)),G142),2)</f>
      </c>
      <c r="R142" s="33">
        <f>ROUND(MIN(MAX(0,N('Your debts'!$E$12)),H142),2)</f>
      </c>
      <c r="S142" s="33">
        <f>ROUND(MIN(MAX(0,N('Your debts'!$E$13)),I142),2)</f>
      </c>
      <c r="T142" s="33">
        <f>ROUND(MIN(MAX(0,N('Your debts'!$E$14)),J142),2)</f>
      </c>
      <c r="U142" s="33">
        <f>ROUND(MIN(MAX(0,N('Your debts'!$E$15)),K142),2)</f>
      </c>
      <c r="V142" s="33">
        <f>ROUND(B142-L142,2)</f>
      </c>
      <c r="W142" s="33">
        <f>ROUND(C142-M142,2)</f>
      </c>
      <c r="X142" s="33">
        <f>ROUND(D142-N142,2)</f>
      </c>
      <c r="Y142" s="33">
        <f>ROUND(E142-O142,2)</f>
      </c>
      <c r="Z142" s="33">
        <f>ROUND(F142-P142,2)</f>
      </c>
      <c r="AA142" s="33">
        <f>ROUND(G142-Q142,2)</f>
      </c>
      <c r="AB142" s="33">
        <f>ROUND(H142-R142,2)</f>
      </c>
      <c r="AC142" s="33">
        <f>ROUND(I142-S142,2)</f>
      </c>
      <c r="AD142" s="33">
        <f>ROUND(J142-T142,2)</f>
      </c>
      <c r="AE142" s="33">
        <f>ROUND(K142-U142,2)</f>
      </c>
      <c r="AF142" s="33">
        <f>IF(V142&lt;=0,0,MAX(0,MIN(V142,ROUND($AZ142-SUMPRODUCT($V142:$AE142*($V142:$AE142&gt;0)*(($V142:$AE142&lt;V142)+($V142:$AE142=V142)*($V$3:$AE$3&gt;V$3)+($V142:$AE142=V142)*($V$3:$AE$3=V$3)*($V$2:$AE$2&lt;V$2))),2))))</f>
      </c>
      <c r="AG142" s="33">
        <f>IF(W142&lt;=0,0,MAX(0,MIN(W142,ROUND($AZ142-SUMPRODUCT($V142:$AE142*($V142:$AE142&gt;0)*(($V142:$AE142&lt;W142)+($V142:$AE142=W142)*($V$3:$AE$3&gt;W$3)+($V142:$AE142=W142)*($V$3:$AE$3=W$3)*($V$2:$AE$2&lt;W$2))),2))))</f>
      </c>
      <c r="AH142" s="33">
        <f>IF(X142&lt;=0,0,MAX(0,MIN(X142,ROUND($AZ142-SUMPRODUCT($V142:$AE142*($V142:$AE142&gt;0)*(($V142:$AE142&lt;X142)+($V142:$AE142=X142)*($V$3:$AE$3&gt;X$3)+($V142:$AE142=X142)*($V$3:$AE$3=X$3)*($V$2:$AE$2&lt;X$2))),2))))</f>
      </c>
      <c r="AI142" s="33">
        <f>IF(Y142&lt;=0,0,MAX(0,MIN(Y142,ROUND($AZ142-SUMPRODUCT($V142:$AE142*($V142:$AE142&gt;0)*(($V142:$AE142&lt;Y142)+($V142:$AE142=Y142)*($V$3:$AE$3&gt;Y$3)+($V142:$AE142=Y142)*($V$3:$AE$3=Y$3)*($V$2:$AE$2&lt;Y$2))),2))))</f>
      </c>
      <c r="AJ142" s="33">
        <f>IF(Z142&lt;=0,0,MAX(0,MIN(Z142,ROUND($AZ142-SUMPRODUCT($V142:$AE142*($V142:$AE142&gt;0)*(($V142:$AE142&lt;Z142)+($V142:$AE142=Z142)*($V$3:$AE$3&gt;Z$3)+($V142:$AE142=Z142)*($V$3:$AE$3=Z$3)*($V$2:$AE$2&lt;Z$2))),2))))</f>
      </c>
      <c r="AK142" s="33">
        <f>IF(AA142&lt;=0,0,MAX(0,MIN(AA142,ROUND($AZ142-SUMPRODUCT($V142:$AE142*($V142:$AE142&gt;0)*(($V142:$AE142&lt;AA142)+($V142:$AE142=AA142)*($V$3:$AE$3&gt;AA$3)+($V142:$AE142=AA142)*($V$3:$AE$3=AA$3)*($V$2:$AE$2&lt;AA$2))),2))))</f>
      </c>
      <c r="AL142" s="33">
        <f>IF(AB142&lt;=0,0,MAX(0,MIN(AB142,ROUND($AZ142-SUMPRODUCT($V142:$AE142*($V142:$AE142&gt;0)*(($V142:$AE142&lt;AB142)+($V142:$AE142=AB142)*($V$3:$AE$3&gt;AB$3)+($V142:$AE142=AB142)*($V$3:$AE$3=AB$3)*($V$2:$AE$2&lt;AB$2))),2))))</f>
      </c>
      <c r="AM142" s="33">
        <f>IF(AC142&lt;=0,0,MAX(0,MIN(AC142,ROUND($AZ142-SUMPRODUCT($V142:$AE142*($V142:$AE142&gt;0)*(($V142:$AE142&lt;AC142)+($V142:$AE142=AC142)*($V$3:$AE$3&gt;AC$3)+($V142:$AE142=AC142)*($V$3:$AE$3=AC$3)*($V$2:$AE$2&lt;AC$2))),2))))</f>
      </c>
      <c r="AN142" s="33">
        <f>IF(AD142&lt;=0,0,MAX(0,MIN(AD142,ROUND($AZ142-SUMPRODUCT($V142:$AE142*($V142:$AE142&gt;0)*(($V142:$AE142&lt;AD142)+($V142:$AE142=AD142)*($V$3:$AE$3&gt;AD$3)+($V142:$AE142=AD142)*($V$3:$AE$3=AD$3)*($V$2:$AE$2&lt;AD$2))),2))))</f>
      </c>
      <c r="AO142" s="33">
        <f>IF(AE142&lt;=0,0,MAX(0,MIN(AE142,ROUND($AZ142-SUMPRODUCT($V142:$AE142*($V142:$AE142&gt;0)*(($V142:$AE142&lt;AE142)+($V142:$AE142=AE142)*($V$3:$AE$3&gt;AE$3)+($V142:$AE142=AE142)*($V$3:$AE$3=AE$3)*($V$2:$AE$2&lt;AE$2))),2))))</f>
      </c>
      <c r="AP142" s="33">
        <f>ROUND(V142-AF142,2)</f>
      </c>
      <c r="AQ142" s="33">
        <f>ROUND(W142-AG142,2)</f>
      </c>
      <c r="AR142" s="33">
        <f>ROUND(X142-AH142,2)</f>
      </c>
      <c r="AS142" s="33">
        <f>ROUND(Y142-AI142,2)</f>
      </c>
      <c r="AT142" s="33">
        <f>ROUND(Z142-AJ142,2)</f>
      </c>
      <c r="AU142" s="33">
        <f>ROUND(AA142-AK142,2)</f>
      </c>
      <c r="AV142" s="33">
        <f>ROUND(AB142-AL142,2)</f>
      </c>
      <c r="AW142" s="33">
        <f>ROUND(AC142-AM142,2)</f>
      </c>
      <c r="AX142" s="33">
        <f>ROUND(AD142-AN142,2)</f>
      </c>
      <c r="AY142" s="33">
        <f>ROUND(AE142-AO142,2)</f>
      </c>
      <c r="AZ142" s="33">
        <f>ROUND(MAX(0,'Your debts'!$D$22-SUM($L142:$U142)),2)</f>
      </c>
      <c r="BA142" s="33">
        <f>ROUND(SUM($B142:$K142)-SUM($AP141:$AY141),2)</f>
      </c>
      <c r="BB142" s="33">
        <f>SUM($AP142:$AY142)</f>
      </c>
      <c r="BC142" s="33">
        <f>ROUND(SUM($L142:$U142)+SUM($AF142:$AO142),2)</f>
      </c>
    </row>
    <row r="143" spans="1:55" x14ac:dyDescent="0.25">
      <c r="A143">
        <v>136</v>
      </c>
      <c r="B143" s="33">
        <f>IF(AP142&lt;=0,0,ROUND(AP142+ROUND(AP142*V$3/12,2),2))</f>
      </c>
      <c r="C143" s="33">
        <f>IF(AQ142&lt;=0,0,ROUND(AQ142+ROUND(AQ142*W$3/12,2),2))</f>
      </c>
      <c r="D143" s="33">
        <f>IF(AR142&lt;=0,0,ROUND(AR142+ROUND(AR142*X$3/12,2),2))</f>
      </c>
      <c r="E143" s="33">
        <f>IF(AS142&lt;=0,0,ROUND(AS142+ROUND(AS142*Y$3/12,2),2))</f>
      </c>
      <c r="F143" s="33">
        <f>IF(AT142&lt;=0,0,ROUND(AT142+ROUND(AT142*Z$3/12,2),2))</f>
      </c>
      <c r="G143" s="33">
        <f>IF(AU142&lt;=0,0,ROUND(AU142+ROUND(AU142*AA$3/12,2),2))</f>
      </c>
      <c r="H143" s="33">
        <f>IF(AV142&lt;=0,0,ROUND(AV142+ROUND(AV142*AB$3/12,2),2))</f>
      </c>
      <c r="I143" s="33">
        <f>IF(AW142&lt;=0,0,ROUND(AW142+ROUND(AW142*AC$3/12,2),2))</f>
      </c>
      <c r="J143" s="33">
        <f>IF(AX142&lt;=0,0,ROUND(AX142+ROUND(AX142*AD$3/12,2),2))</f>
      </c>
      <c r="K143" s="33">
        <f>IF(AY142&lt;=0,0,ROUND(AY142+ROUND(AY142*AE$3/12,2),2))</f>
      </c>
      <c r="L143" s="33">
        <f>ROUND(MIN(MAX(0,N('Your debts'!$E$6)),B143),2)</f>
      </c>
      <c r="M143" s="33">
        <f>ROUND(MIN(MAX(0,N('Your debts'!$E$7)),C143),2)</f>
      </c>
      <c r="N143" s="33">
        <f>ROUND(MIN(MAX(0,N('Your debts'!$E$8)),D143),2)</f>
      </c>
      <c r="O143" s="33">
        <f>ROUND(MIN(MAX(0,N('Your debts'!$E$9)),E143),2)</f>
      </c>
      <c r="P143" s="33">
        <f>ROUND(MIN(MAX(0,N('Your debts'!$E$10)),F143),2)</f>
      </c>
      <c r="Q143" s="33">
        <f>ROUND(MIN(MAX(0,N('Your debts'!$E$11)),G143),2)</f>
      </c>
      <c r="R143" s="33">
        <f>ROUND(MIN(MAX(0,N('Your debts'!$E$12)),H143),2)</f>
      </c>
      <c r="S143" s="33">
        <f>ROUND(MIN(MAX(0,N('Your debts'!$E$13)),I143),2)</f>
      </c>
      <c r="T143" s="33">
        <f>ROUND(MIN(MAX(0,N('Your debts'!$E$14)),J143),2)</f>
      </c>
      <c r="U143" s="33">
        <f>ROUND(MIN(MAX(0,N('Your debts'!$E$15)),K143),2)</f>
      </c>
      <c r="V143" s="33">
        <f>ROUND(B143-L143,2)</f>
      </c>
      <c r="W143" s="33">
        <f>ROUND(C143-M143,2)</f>
      </c>
      <c r="X143" s="33">
        <f>ROUND(D143-N143,2)</f>
      </c>
      <c r="Y143" s="33">
        <f>ROUND(E143-O143,2)</f>
      </c>
      <c r="Z143" s="33">
        <f>ROUND(F143-P143,2)</f>
      </c>
      <c r="AA143" s="33">
        <f>ROUND(G143-Q143,2)</f>
      </c>
      <c r="AB143" s="33">
        <f>ROUND(H143-R143,2)</f>
      </c>
      <c r="AC143" s="33">
        <f>ROUND(I143-S143,2)</f>
      </c>
      <c r="AD143" s="33">
        <f>ROUND(J143-T143,2)</f>
      </c>
      <c r="AE143" s="33">
        <f>ROUND(K143-U143,2)</f>
      </c>
      <c r="AF143" s="33">
        <f>IF(V143&lt;=0,0,MAX(0,MIN(V143,ROUND($AZ143-SUMPRODUCT($V143:$AE143*($V143:$AE143&gt;0)*(($V143:$AE143&lt;V143)+($V143:$AE143=V143)*($V$3:$AE$3&gt;V$3)+($V143:$AE143=V143)*($V$3:$AE$3=V$3)*($V$2:$AE$2&lt;V$2))),2))))</f>
      </c>
      <c r="AG143" s="33">
        <f>IF(W143&lt;=0,0,MAX(0,MIN(W143,ROUND($AZ143-SUMPRODUCT($V143:$AE143*($V143:$AE143&gt;0)*(($V143:$AE143&lt;W143)+($V143:$AE143=W143)*($V$3:$AE$3&gt;W$3)+($V143:$AE143=W143)*($V$3:$AE$3=W$3)*($V$2:$AE$2&lt;W$2))),2))))</f>
      </c>
      <c r="AH143" s="33">
        <f>IF(X143&lt;=0,0,MAX(0,MIN(X143,ROUND($AZ143-SUMPRODUCT($V143:$AE143*($V143:$AE143&gt;0)*(($V143:$AE143&lt;X143)+($V143:$AE143=X143)*($V$3:$AE$3&gt;X$3)+($V143:$AE143=X143)*($V$3:$AE$3=X$3)*($V$2:$AE$2&lt;X$2))),2))))</f>
      </c>
      <c r="AI143" s="33">
        <f>IF(Y143&lt;=0,0,MAX(0,MIN(Y143,ROUND($AZ143-SUMPRODUCT($V143:$AE143*($V143:$AE143&gt;0)*(($V143:$AE143&lt;Y143)+($V143:$AE143=Y143)*($V$3:$AE$3&gt;Y$3)+($V143:$AE143=Y143)*($V$3:$AE$3=Y$3)*($V$2:$AE$2&lt;Y$2))),2))))</f>
      </c>
      <c r="AJ143" s="33">
        <f>IF(Z143&lt;=0,0,MAX(0,MIN(Z143,ROUND($AZ143-SUMPRODUCT($V143:$AE143*($V143:$AE143&gt;0)*(($V143:$AE143&lt;Z143)+($V143:$AE143=Z143)*($V$3:$AE$3&gt;Z$3)+($V143:$AE143=Z143)*($V$3:$AE$3=Z$3)*($V$2:$AE$2&lt;Z$2))),2))))</f>
      </c>
      <c r="AK143" s="33">
        <f>IF(AA143&lt;=0,0,MAX(0,MIN(AA143,ROUND($AZ143-SUMPRODUCT($V143:$AE143*($V143:$AE143&gt;0)*(($V143:$AE143&lt;AA143)+($V143:$AE143=AA143)*($V$3:$AE$3&gt;AA$3)+($V143:$AE143=AA143)*($V$3:$AE$3=AA$3)*($V$2:$AE$2&lt;AA$2))),2))))</f>
      </c>
      <c r="AL143" s="33">
        <f>IF(AB143&lt;=0,0,MAX(0,MIN(AB143,ROUND($AZ143-SUMPRODUCT($V143:$AE143*($V143:$AE143&gt;0)*(($V143:$AE143&lt;AB143)+($V143:$AE143=AB143)*($V$3:$AE$3&gt;AB$3)+($V143:$AE143=AB143)*($V$3:$AE$3=AB$3)*($V$2:$AE$2&lt;AB$2))),2))))</f>
      </c>
      <c r="AM143" s="33">
        <f>IF(AC143&lt;=0,0,MAX(0,MIN(AC143,ROUND($AZ143-SUMPRODUCT($V143:$AE143*($V143:$AE143&gt;0)*(($V143:$AE143&lt;AC143)+($V143:$AE143=AC143)*($V$3:$AE$3&gt;AC$3)+($V143:$AE143=AC143)*($V$3:$AE$3=AC$3)*($V$2:$AE$2&lt;AC$2))),2))))</f>
      </c>
      <c r="AN143" s="33">
        <f>IF(AD143&lt;=0,0,MAX(0,MIN(AD143,ROUND($AZ143-SUMPRODUCT($V143:$AE143*($V143:$AE143&gt;0)*(($V143:$AE143&lt;AD143)+($V143:$AE143=AD143)*($V$3:$AE$3&gt;AD$3)+($V143:$AE143=AD143)*($V$3:$AE$3=AD$3)*($V$2:$AE$2&lt;AD$2))),2))))</f>
      </c>
      <c r="AO143" s="33">
        <f>IF(AE143&lt;=0,0,MAX(0,MIN(AE143,ROUND($AZ143-SUMPRODUCT($V143:$AE143*($V143:$AE143&gt;0)*(($V143:$AE143&lt;AE143)+($V143:$AE143=AE143)*($V$3:$AE$3&gt;AE$3)+($V143:$AE143=AE143)*($V$3:$AE$3=AE$3)*($V$2:$AE$2&lt;AE$2))),2))))</f>
      </c>
      <c r="AP143" s="33">
        <f>ROUND(V143-AF143,2)</f>
      </c>
      <c r="AQ143" s="33">
        <f>ROUND(W143-AG143,2)</f>
      </c>
      <c r="AR143" s="33">
        <f>ROUND(X143-AH143,2)</f>
      </c>
      <c r="AS143" s="33">
        <f>ROUND(Y143-AI143,2)</f>
      </c>
      <c r="AT143" s="33">
        <f>ROUND(Z143-AJ143,2)</f>
      </c>
      <c r="AU143" s="33">
        <f>ROUND(AA143-AK143,2)</f>
      </c>
      <c r="AV143" s="33">
        <f>ROUND(AB143-AL143,2)</f>
      </c>
      <c r="AW143" s="33">
        <f>ROUND(AC143-AM143,2)</f>
      </c>
      <c r="AX143" s="33">
        <f>ROUND(AD143-AN143,2)</f>
      </c>
      <c r="AY143" s="33">
        <f>ROUND(AE143-AO143,2)</f>
      </c>
      <c r="AZ143" s="33">
        <f>ROUND(MAX(0,'Your debts'!$D$22-SUM($L143:$U143)),2)</f>
      </c>
      <c r="BA143" s="33">
        <f>ROUND(SUM($B143:$K143)-SUM($AP142:$AY142),2)</f>
      </c>
      <c r="BB143" s="33">
        <f>SUM($AP143:$AY143)</f>
      </c>
      <c r="BC143" s="33">
        <f>ROUND(SUM($L143:$U143)+SUM($AF143:$AO143),2)</f>
      </c>
    </row>
    <row r="144" spans="1:55" x14ac:dyDescent="0.25">
      <c r="A144">
        <v>137</v>
      </c>
      <c r="B144" s="33">
        <f>IF(AP143&lt;=0,0,ROUND(AP143+ROUND(AP143*V$3/12,2),2))</f>
      </c>
      <c r="C144" s="33">
        <f>IF(AQ143&lt;=0,0,ROUND(AQ143+ROUND(AQ143*W$3/12,2),2))</f>
      </c>
      <c r="D144" s="33">
        <f>IF(AR143&lt;=0,0,ROUND(AR143+ROUND(AR143*X$3/12,2),2))</f>
      </c>
      <c r="E144" s="33">
        <f>IF(AS143&lt;=0,0,ROUND(AS143+ROUND(AS143*Y$3/12,2),2))</f>
      </c>
      <c r="F144" s="33">
        <f>IF(AT143&lt;=0,0,ROUND(AT143+ROUND(AT143*Z$3/12,2),2))</f>
      </c>
      <c r="G144" s="33">
        <f>IF(AU143&lt;=0,0,ROUND(AU143+ROUND(AU143*AA$3/12,2),2))</f>
      </c>
      <c r="H144" s="33">
        <f>IF(AV143&lt;=0,0,ROUND(AV143+ROUND(AV143*AB$3/12,2),2))</f>
      </c>
      <c r="I144" s="33">
        <f>IF(AW143&lt;=0,0,ROUND(AW143+ROUND(AW143*AC$3/12,2),2))</f>
      </c>
      <c r="J144" s="33">
        <f>IF(AX143&lt;=0,0,ROUND(AX143+ROUND(AX143*AD$3/12,2),2))</f>
      </c>
      <c r="K144" s="33">
        <f>IF(AY143&lt;=0,0,ROUND(AY143+ROUND(AY143*AE$3/12,2),2))</f>
      </c>
      <c r="L144" s="33">
        <f>ROUND(MIN(MAX(0,N('Your debts'!$E$6)),B144),2)</f>
      </c>
      <c r="M144" s="33">
        <f>ROUND(MIN(MAX(0,N('Your debts'!$E$7)),C144),2)</f>
      </c>
      <c r="N144" s="33">
        <f>ROUND(MIN(MAX(0,N('Your debts'!$E$8)),D144),2)</f>
      </c>
      <c r="O144" s="33">
        <f>ROUND(MIN(MAX(0,N('Your debts'!$E$9)),E144),2)</f>
      </c>
      <c r="P144" s="33">
        <f>ROUND(MIN(MAX(0,N('Your debts'!$E$10)),F144),2)</f>
      </c>
      <c r="Q144" s="33">
        <f>ROUND(MIN(MAX(0,N('Your debts'!$E$11)),G144),2)</f>
      </c>
      <c r="R144" s="33">
        <f>ROUND(MIN(MAX(0,N('Your debts'!$E$12)),H144),2)</f>
      </c>
      <c r="S144" s="33">
        <f>ROUND(MIN(MAX(0,N('Your debts'!$E$13)),I144),2)</f>
      </c>
      <c r="T144" s="33">
        <f>ROUND(MIN(MAX(0,N('Your debts'!$E$14)),J144),2)</f>
      </c>
      <c r="U144" s="33">
        <f>ROUND(MIN(MAX(0,N('Your debts'!$E$15)),K144),2)</f>
      </c>
      <c r="V144" s="33">
        <f>ROUND(B144-L144,2)</f>
      </c>
      <c r="W144" s="33">
        <f>ROUND(C144-M144,2)</f>
      </c>
      <c r="X144" s="33">
        <f>ROUND(D144-N144,2)</f>
      </c>
      <c r="Y144" s="33">
        <f>ROUND(E144-O144,2)</f>
      </c>
      <c r="Z144" s="33">
        <f>ROUND(F144-P144,2)</f>
      </c>
      <c r="AA144" s="33">
        <f>ROUND(G144-Q144,2)</f>
      </c>
      <c r="AB144" s="33">
        <f>ROUND(H144-R144,2)</f>
      </c>
      <c r="AC144" s="33">
        <f>ROUND(I144-S144,2)</f>
      </c>
      <c r="AD144" s="33">
        <f>ROUND(J144-T144,2)</f>
      </c>
      <c r="AE144" s="33">
        <f>ROUND(K144-U144,2)</f>
      </c>
      <c r="AF144" s="33">
        <f>IF(V144&lt;=0,0,MAX(0,MIN(V144,ROUND($AZ144-SUMPRODUCT($V144:$AE144*($V144:$AE144&gt;0)*(($V144:$AE144&lt;V144)+($V144:$AE144=V144)*($V$3:$AE$3&gt;V$3)+($V144:$AE144=V144)*($V$3:$AE$3=V$3)*($V$2:$AE$2&lt;V$2))),2))))</f>
      </c>
      <c r="AG144" s="33">
        <f>IF(W144&lt;=0,0,MAX(0,MIN(W144,ROUND($AZ144-SUMPRODUCT($V144:$AE144*($V144:$AE144&gt;0)*(($V144:$AE144&lt;W144)+($V144:$AE144=W144)*($V$3:$AE$3&gt;W$3)+($V144:$AE144=W144)*($V$3:$AE$3=W$3)*($V$2:$AE$2&lt;W$2))),2))))</f>
      </c>
      <c r="AH144" s="33">
        <f>IF(X144&lt;=0,0,MAX(0,MIN(X144,ROUND($AZ144-SUMPRODUCT($V144:$AE144*($V144:$AE144&gt;0)*(($V144:$AE144&lt;X144)+($V144:$AE144=X144)*($V$3:$AE$3&gt;X$3)+($V144:$AE144=X144)*($V$3:$AE$3=X$3)*($V$2:$AE$2&lt;X$2))),2))))</f>
      </c>
      <c r="AI144" s="33">
        <f>IF(Y144&lt;=0,0,MAX(0,MIN(Y144,ROUND($AZ144-SUMPRODUCT($V144:$AE144*($V144:$AE144&gt;0)*(($V144:$AE144&lt;Y144)+($V144:$AE144=Y144)*($V$3:$AE$3&gt;Y$3)+($V144:$AE144=Y144)*($V$3:$AE$3=Y$3)*($V$2:$AE$2&lt;Y$2))),2))))</f>
      </c>
      <c r="AJ144" s="33">
        <f>IF(Z144&lt;=0,0,MAX(0,MIN(Z144,ROUND($AZ144-SUMPRODUCT($V144:$AE144*($V144:$AE144&gt;0)*(($V144:$AE144&lt;Z144)+($V144:$AE144=Z144)*($V$3:$AE$3&gt;Z$3)+($V144:$AE144=Z144)*($V$3:$AE$3=Z$3)*($V$2:$AE$2&lt;Z$2))),2))))</f>
      </c>
      <c r="AK144" s="33">
        <f>IF(AA144&lt;=0,0,MAX(0,MIN(AA144,ROUND($AZ144-SUMPRODUCT($V144:$AE144*($V144:$AE144&gt;0)*(($V144:$AE144&lt;AA144)+($V144:$AE144=AA144)*($V$3:$AE$3&gt;AA$3)+($V144:$AE144=AA144)*($V$3:$AE$3=AA$3)*($V$2:$AE$2&lt;AA$2))),2))))</f>
      </c>
      <c r="AL144" s="33">
        <f>IF(AB144&lt;=0,0,MAX(0,MIN(AB144,ROUND($AZ144-SUMPRODUCT($V144:$AE144*($V144:$AE144&gt;0)*(($V144:$AE144&lt;AB144)+($V144:$AE144=AB144)*($V$3:$AE$3&gt;AB$3)+($V144:$AE144=AB144)*($V$3:$AE$3=AB$3)*($V$2:$AE$2&lt;AB$2))),2))))</f>
      </c>
      <c r="AM144" s="33">
        <f>IF(AC144&lt;=0,0,MAX(0,MIN(AC144,ROUND($AZ144-SUMPRODUCT($V144:$AE144*($V144:$AE144&gt;0)*(($V144:$AE144&lt;AC144)+($V144:$AE144=AC144)*($V$3:$AE$3&gt;AC$3)+($V144:$AE144=AC144)*($V$3:$AE$3=AC$3)*($V$2:$AE$2&lt;AC$2))),2))))</f>
      </c>
      <c r="AN144" s="33">
        <f>IF(AD144&lt;=0,0,MAX(0,MIN(AD144,ROUND($AZ144-SUMPRODUCT($V144:$AE144*($V144:$AE144&gt;0)*(($V144:$AE144&lt;AD144)+($V144:$AE144=AD144)*($V$3:$AE$3&gt;AD$3)+($V144:$AE144=AD144)*($V$3:$AE$3=AD$3)*($V$2:$AE$2&lt;AD$2))),2))))</f>
      </c>
      <c r="AO144" s="33">
        <f>IF(AE144&lt;=0,0,MAX(0,MIN(AE144,ROUND($AZ144-SUMPRODUCT($V144:$AE144*($V144:$AE144&gt;0)*(($V144:$AE144&lt;AE144)+($V144:$AE144=AE144)*($V$3:$AE$3&gt;AE$3)+($V144:$AE144=AE144)*($V$3:$AE$3=AE$3)*($V$2:$AE$2&lt;AE$2))),2))))</f>
      </c>
      <c r="AP144" s="33">
        <f>ROUND(V144-AF144,2)</f>
      </c>
      <c r="AQ144" s="33">
        <f>ROUND(W144-AG144,2)</f>
      </c>
      <c r="AR144" s="33">
        <f>ROUND(X144-AH144,2)</f>
      </c>
      <c r="AS144" s="33">
        <f>ROUND(Y144-AI144,2)</f>
      </c>
      <c r="AT144" s="33">
        <f>ROUND(Z144-AJ144,2)</f>
      </c>
      <c r="AU144" s="33">
        <f>ROUND(AA144-AK144,2)</f>
      </c>
      <c r="AV144" s="33">
        <f>ROUND(AB144-AL144,2)</f>
      </c>
      <c r="AW144" s="33">
        <f>ROUND(AC144-AM144,2)</f>
      </c>
      <c r="AX144" s="33">
        <f>ROUND(AD144-AN144,2)</f>
      </c>
      <c r="AY144" s="33">
        <f>ROUND(AE144-AO144,2)</f>
      </c>
      <c r="AZ144" s="33">
        <f>ROUND(MAX(0,'Your debts'!$D$22-SUM($L144:$U144)),2)</f>
      </c>
      <c r="BA144" s="33">
        <f>ROUND(SUM($B144:$K144)-SUM($AP143:$AY143),2)</f>
      </c>
      <c r="BB144" s="33">
        <f>SUM($AP144:$AY144)</f>
      </c>
      <c r="BC144" s="33">
        <f>ROUND(SUM($L144:$U144)+SUM($AF144:$AO144),2)</f>
      </c>
    </row>
    <row r="145" spans="1:55" x14ac:dyDescent="0.25">
      <c r="A145">
        <v>138</v>
      </c>
      <c r="B145" s="33">
        <f>IF(AP144&lt;=0,0,ROUND(AP144+ROUND(AP144*V$3/12,2),2))</f>
      </c>
      <c r="C145" s="33">
        <f>IF(AQ144&lt;=0,0,ROUND(AQ144+ROUND(AQ144*W$3/12,2),2))</f>
      </c>
      <c r="D145" s="33">
        <f>IF(AR144&lt;=0,0,ROUND(AR144+ROUND(AR144*X$3/12,2),2))</f>
      </c>
      <c r="E145" s="33">
        <f>IF(AS144&lt;=0,0,ROUND(AS144+ROUND(AS144*Y$3/12,2),2))</f>
      </c>
      <c r="F145" s="33">
        <f>IF(AT144&lt;=0,0,ROUND(AT144+ROUND(AT144*Z$3/12,2),2))</f>
      </c>
      <c r="G145" s="33">
        <f>IF(AU144&lt;=0,0,ROUND(AU144+ROUND(AU144*AA$3/12,2),2))</f>
      </c>
      <c r="H145" s="33">
        <f>IF(AV144&lt;=0,0,ROUND(AV144+ROUND(AV144*AB$3/12,2),2))</f>
      </c>
      <c r="I145" s="33">
        <f>IF(AW144&lt;=0,0,ROUND(AW144+ROUND(AW144*AC$3/12,2),2))</f>
      </c>
      <c r="J145" s="33">
        <f>IF(AX144&lt;=0,0,ROUND(AX144+ROUND(AX144*AD$3/12,2),2))</f>
      </c>
      <c r="K145" s="33">
        <f>IF(AY144&lt;=0,0,ROUND(AY144+ROUND(AY144*AE$3/12,2),2))</f>
      </c>
      <c r="L145" s="33">
        <f>ROUND(MIN(MAX(0,N('Your debts'!$E$6)),B145),2)</f>
      </c>
      <c r="M145" s="33">
        <f>ROUND(MIN(MAX(0,N('Your debts'!$E$7)),C145),2)</f>
      </c>
      <c r="N145" s="33">
        <f>ROUND(MIN(MAX(0,N('Your debts'!$E$8)),D145),2)</f>
      </c>
      <c r="O145" s="33">
        <f>ROUND(MIN(MAX(0,N('Your debts'!$E$9)),E145),2)</f>
      </c>
      <c r="P145" s="33">
        <f>ROUND(MIN(MAX(0,N('Your debts'!$E$10)),F145),2)</f>
      </c>
      <c r="Q145" s="33">
        <f>ROUND(MIN(MAX(0,N('Your debts'!$E$11)),G145),2)</f>
      </c>
      <c r="R145" s="33">
        <f>ROUND(MIN(MAX(0,N('Your debts'!$E$12)),H145),2)</f>
      </c>
      <c r="S145" s="33">
        <f>ROUND(MIN(MAX(0,N('Your debts'!$E$13)),I145),2)</f>
      </c>
      <c r="T145" s="33">
        <f>ROUND(MIN(MAX(0,N('Your debts'!$E$14)),J145),2)</f>
      </c>
      <c r="U145" s="33">
        <f>ROUND(MIN(MAX(0,N('Your debts'!$E$15)),K145),2)</f>
      </c>
      <c r="V145" s="33">
        <f>ROUND(B145-L145,2)</f>
      </c>
      <c r="W145" s="33">
        <f>ROUND(C145-M145,2)</f>
      </c>
      <c r="X145" s="33">
        <f>ROUND(D145-N145,2)</f>
      </c>
      <c r="Y145" s="33">
        <f>ROUND(E145-O145,2)</f>
      </c>
      <c r="Z145" s="33">
        <f>ROUND(F145-P145,2)</f>
      </c>
      <c r="AA145" s="33">
        <f>ROUND(G145-Q145,2)</f>
      </c>
      <c r="AB145" s="33">
        <f>ROUND(H145-R145,2)</f>
      </c>
      <c r="AC145" s="33">
        <f>ROUND(I145-S145,2)</f>
      </c>
      <c r="AD145" s="33">
        <f>ROUND(J145-T145,2)</f>
      </c>
      <c r="AE145" s="33">
        <f>ROUND(K145-U145,2)</f>
      </c>
      <c r="AF145" s="33">
        <f>IF(V145&lt;=0,0,MAX(0,MIN(V145,ROUND($AZ145-SUMPRODUCT($V145:$AE145*($V145:$AE145&gt;0)*(($V145:$AE145&lt;V145)+($V145:$AE145=V145)*($V$3:$AE$3&gt;V$3)+($V145:$AE145=V145)*($V$3:$AE$3=V$3)*($V$2:$AE$2&lt;V$2))),2))))</f>
      </c>
      <c r="AG145" s="33">
        <f>IF(W145&lt;=0,0,MAX(0,MIN(W145,ROUND($AZ145-SUMPRODUCT($V145:$AE145*($V145:$AE145&gt;0)*(($V145:$AE145&lt;W145)+($V145:$AE145=W145)*($V$3:$AE$3&gt;W$3)+($V145:$AE145=W145)*($V$3:$AE$3=W$3)*($V$2:$AE$2&lt;W$2))),2))))</f>
      </c>
      <c r="AH145" s="33">
        <f>IF(X145&lt;=0,0,MAX(0,MIN(X145,ROUND($AZ145-SUMPRODUCT($V145:$AE145*($V145:$AE145&gt;0)*(($V145:$AE145&lt;X145)+($V145:$AE145=X145)*($V$3:$AE$3&gt;X$3)+($V145:$AE145=X145)*($V$3:$AE$3=X$3)*($V$2:$AE$2&lt;X$2))),2))))</f>
      </c>
      <c r="AI145" s="33">
        <f>IF(Y145&lt;=0,0,MAX(0,MIN(Y145,ROUND($AZ145-SUMPRODUCT($V145:$AE145*($V145:$AE145&gt;0)*(($V145:$AE145&lt;Y145)+($V145:$AE145=Y145)*($V$3:$AE$3&gt;Y$3)+($V145:$AE145=Y145)*($V$3:$AE$3=Y$3)*($V$2:$AE$2&lt;Y$2))),2))))</f>
      </c>
      <c r="AJ145" s="33">
        <f>IF(Z145&lt;=0,0,MAX(0,MIN(Z145,ROUND($AZ145-SUMPRODUCT($V145:$AE145*($V145:$AE145&gt;0)*(($V145:$AE145&lt;Z145)+($V145:$AE145=Z145)*($V$3:$AE$3&gt;Z$3)+($V145:$AE145=Z145)*($V$3:$AE$3=Z$3)*($V$2:$AE$2&lt;Z$2))),2))))</f>
      </c>
      <c r="AK145" s="33">
        <f>IF(AA145&lt;=0,0,MAX(0,MIN(AA145,ROUND($AZ145-SUMPRODUCT($V145:$AE145*($V145:$AE145&gt;0)*(($V145:$AE145&lt;AA145)+($V145:$AE145=AA145)*($V$3:$AE$3&gt;AA$3)+($V145:$AE145=AA145)*($V$3:$AE$3=AA$3)*($V$2:$AE$2&lt;AA$2))),2))))</f>
      </c>
      <c r="AL145" s="33">
        <f>IF(AB145&lt;=0,0,MAX(0,MIN(AB145,ROUND($AZ145-SUMPRODUCT($V145:$AE145*($V145:$AE145&gt;0)*(($V145:$AE145&lt;AB145)+($V145:$AE145=AB145)*($V$3:$AE$3&gt;AB$3)+($V145:$AE145=AB145)*($V$3:$AE$3=AB$3)*($V$2:$AE$2&lt;AB$2))),2))))</f>
      </c>
      <c r="AM145" s="33">
        <f>IF(AC145&lt;=0,0,MAX(0,MIN(AC145,ROUND($AZ145-SUMPRODUCT($V145:$AE145*($V145:$AE145&gt;0)*(($V145:$AE145&lt;AC145)+($V145:$AE145=AC145)*($V$3:$AE$3&gt;AC$3)+($V145:$AE145=AC145)*($V$3:$AE$3=AC$3)*($V$2:$AE$2&lt;AC$2))),2))))</f>
      </c>
      <c r="AN145" s="33">
        <f>IF(AD145&lt;=0,0,MAX(0,MIN(AD145,ROUND($AZ145-SUMPRODUCT($V145:$AE145*($V145:$AE145&gt;0)*(($V145:$AE145&lt;AD145)+($V145:$AE145=AD145)*($V$3:$AE$3&gt;AD$3)+($V145:$AE145=AD145)*($V$3:$AE$3=AD$3)*($V$2:$AE$2&lt;AD$2))),2))))</f>
      </c>
      <c r="AO145" s="33">
        <f>IF(AE145&lt;=0,0,MAX(0,MIN(AE145,ROUND($AZ145-SUMPRODUCT($V145:$AE145*($V145:$AE145&gt;0)*(($V145:$AE145&lt;AE145)+($V145:$AE145=AE145)*($V$3:$AE$3&gt;AE$3)+($V145:$AE145=AE145)*($V$3:$AE$3=AE$3)*($V$2:$AE$2&lt;AE$2))),2))))</f>
      </c>
      <c r="AP145" s="33">
        <f>ROUND(V145-AF145,2)</f>
      </c>
      <c r="AQ145" s="33">
        <f>ROUND(W145-AG145,2)</f>
      </c>
      <c r="AR145" s="33">
        <f>ROUND(X145-AH145,2)</f>
      </c>
      <c r="AS145" s="33">
        <f>ROUND(Y145-AI145,2)</f>
      </c>
      <c r="AT145" s="33">
        <f>ROUND(Z145-AJ145,2)</f>
      </c>
      <c r="AU145" s="33">
        <f>ROUND(AA145-AK145,2)</f>
      </c>
      <c r="AV145" s="33">
        <f>ROUND(AB145-AL145,2)</f>
      </c>
      <c r="AW145" s="33">
        <f>ROUND(AC145-AM145,2)</f>
      </c>
      <c r="AX145" s="33">
        <f>ROUND(AD145-AN145,2)</f>
      </c>
      <c r="AY145" s="33">
        <f>ROUND(AE145-AO145,2)</f>
      </c>
      <c r="AZ145" s="33">
        <f>ROUND(MAX(0,'Your debts'!$D$22-SUM($L145:$U145)),2)</f>
      </c>
      <c r="BA145" s="33">
        <f>ROUND(SUM($B145:$K145)-SUM($AP144:$AY144),2)</f>
      </c>
      <c r="BB145" s="33">
        <f>SUM($AP145:$AY145)</f>
      </c>
      <c r="BC145" s="33">
        <f>ROUND(SUM($L145:$U145)+SUM($AF145:$AO145),2)</f>
      </c>
    </row>
    <row r="146" spans="1:55" x14ac:dyDescent="0.25">
      <c r="A146">
        <v>139</v>
      </c>
      <c r="B146" s="33">
        <f>IF(AP145&lt;=0,0,ROUND(AP145+ROUND(AP145*V$3/12,2),2))</f>
      </c>
      <c r="C146" s="33">
        <f>IF(AQ145&lt;=0,0,ROUND(AQ145+ROUND(AQ145*W$3/12,2),2))</f>
      </c>
      <c r="D146" s="33">
        <f>IF(AR145&lt;=0,0,ROUND(AR145+ROUND(AR145*X$3/12,2),2))</f>
      </c>
      <c r="E146" s="33">
        <f>IF(AS145&lt;=0,0,ROUND(AS145+ROUND(AS145*Y$3/12,2),2))</f>
      </c>
      <c r="F146" s="33">
        <f>IF(AT145&lt;=0,0,ROUND(AT145+ROUND(AT145*Z$3/12,2),2))</f>
      </c>
      <c r="G146" s="33">
        <f>IF(AU145&lt;=0,0,ROUND(AU145+ROUND(AU145*AA$3/12,2),2))</f>
      </c>
      <c r="H146" s="33">
        <f>IF(AV145&lt;=0,0,ROUND(AV145+ROUND(AV145*AB$3/12,2),2))</f>
      </c>
      <c r="I146" s="33">
        <f>IF(AW145&lt;=0,0,ROUND(AW145+ROUND(AW145*AC$3/12,2),2))</f>
      </c>
      <c r="J146" s="33">
        <f>IF(AX145&lt;=0,0,ROUND(AX145+ROUND(AX145*AD$3/12,2),2))</f>
      </c>
      <c r="K146" s="33">
        <f>IF(AY145&lt;=0,0,ROUND(AY145+ROUND(AY145*AE$3/12,2),2))</f>
      </c>
      <c r="L146" s="33">
        <f>ROUND(MIN(MAX(0,N('Your debts'!$E$6)),B146),2)</f>
      </c>
      <c r="M146" s="33">
        <f>ROUND(MIN(MAX(0,N('Your debts'!$E$7)),C146),2)</f>
      </c>
      <c r="N146" s="33">
        <f>ROUND(MIN(MAX(0,N('Your debts'!$E$8)),D146),2)</f>
      </c>
      <c r="O146" s="33">
        <f>ROUND(MIN(MAX(0,N('Your debts'!$E$9)),E146),2)</f>
      </c>
      <c r="P146" s="33">
        <f>ROUND(MIN(MAX(0,N('Your debts'!$E$10)),F146),2)</f>
      </c>
      <c r="Q146" s="33">
        <f>ROUND(MIN(MAX(0,N('Your debts'!$E$11)),G146),2)</f>
      </c>
      <c r="R146" s="33">
        <f>ROUND(MIN(MAX(0,N('Your debts'!$E$12)),H146),2)</f>
      </c>
      <c r="S146" s="33">
        <f>ROUND(MIN(MAX(0,N('Your debts'!$E$13)),I146),2)</f>
      </c>
      <c r="T146" s="33">
        <f>ROUND(MIN(MAX(0,N('Your debts'!$E$14)),J146),2)</f>
      </c>
      <c r="U146" s="33">
        <f>ROUND(MIN(MAX(0,N('Your debts'!$E$15)),K146),2)</f>
      </c>
      <c r="V146" s="33">
        <f>ROUND(B146-L146,2)</f>
      </c>
      <c r="W146" s="33">
        <f>ROUND(C146-M146,2)</f>
      </c>
      <c r="X146" s="33">
        <f>ROUND(D146-N146,2)</f>
      </c>
      <c r="Y146" s="33">
        <f>ROUND(E146-O146,2)</f>
      </c>
      <c r="Z146" s="33">
        <f>ROUND(F146-P146,2)</f>
      </c>
      <c r="AA146" s="33">
        <f>ROUND(G146-Q146,2)</f>
      </c>
      <c r="AB146" s="33">
        <f>ROUND(H146-R146,2)</f>
      </c>
      <c r="AC146" s="33">
        <f>ROUND(I146-S146,2)</f>
      </c>
      <c r="AD146" s="33">
        <f>ROUND(J146-T146,2)</f>
      </c>
      <c r="AE146" s="33">
        <f>ROUND(K146-U146,2)</f>
      </c>
      <c r="AF146" s="33">
        <f>IF(V146&lt;=0,0,MAX(0,MIN(V146,ROUND($AZ146-SUMPRODUCT($V146:$AE146*($V146:$AE146&gt;0)*(($V146:$AE146&lt;V146)+($V146:$AE146=V146)*($V$3:$AE$3&gt;V$3)+($V146:$AE146=V146)*($V$3:$AE$3=V$3)*($V$2:$AE$2&lt;V$2))),2))))</f>
      </c>
      <c r="AG146" s="33">
        <f>IF(W146&lt;=0,0,MAX(0,MIN(W146,ROUND($AZ146-SUMPRODUCT($V146:$AE146*($V146:$AE146&gt;0)*(($V146:$AE146&lt;W146)+($V146:$AE146=W146)*($V$3:$AE$3&gt;W$3)+($V146:$AE146=W146)*($V$3:$AE$3=W$3)*($V$2:$AE$2&lt;W$2))),2))))</f>
      </c>
      <c r="AH146" s="33">
        <f>IF(X146&lt;=0,0,MAX(0,MIN(X146,ROUND($AZ146-SUMPRODUCT($V146:$AE146*($V146:$AE146&gt;0)*(($V146:$AE146&lt;X146)+($V146:$AE146=X146)*($V$3:$AE$3&gt;X$3)+($V146:$AE146=X146)*($V$3:$AE$3=X$3)*($V$2:$AE$2&lt;X$2))),2))))</f>
      </c>
      <c r="AI146" s="33">
        <f>IF(Y146&lt;=0,0,MAX(0,MIN(Y146,ROUND($AZ146-SUMPRODUCT($V146:$AE146*($V146:$AE146&gt;0)*(($V146:$AE146&lt;Y146)+($V146:$AE146=Y146)*($V$3:$AE$3&gt;Y$3)+($V146:$AE146=Y146)*($V$3:$AE$3=Y$3)*($V$2:$AE$2&lt;Y$2))),2))))</f>
      </c>
      <c r="AJ146" s="33">
        <f>IF(Z146&lt;=0,0,MAX(0,MIN(Z146,ROUND($AZ146-SUMPRODUCT($V146:$AE146*($V146:$AE146&gt;0)*(($V146:$AE146&lt;Z146)+($V146:$AE146=Z146)*($V$3:$AE$3&gt;Z$3)+($V146:$AE146=Z146)*($V$3:$AE$3=Z$3)*($V$2:$AE$2&lt;Z$2))),2))))</f>
      </c>
      <c r="AK146" s="33">
        <f>IF(AA146&lt;=0,0,MAX(0,MIN(AA146,ROUND($AZ146-SUMPRODUCT($V146:$AE146*($V146:$AE146&gt;0)*(($V146:$AE146&lt;AA146)+($V146:$AE146=AA146)*($V$3:$AE$3&gt;AA$3)+($V146:$AE146=AA146)*($V$3:$AE$3=AA$3)*($V$2:$AE$2&lt;AA$2))),2))))</f>
      </c>
      <c r="AL146" s="33">
        <f>IF(AB146&lt;=0,0,MAX(0,MIN(AB146,ROUND($AZ146-SUMPRODUCT($V146:$AE146*($V146:$AE146&gt;0)*(($V146:$AE146&lt;AB146)+($V146:$AE146=AB146)*($V$3:$AE$3&gt;AB$3)+($V146:$AE146=AB146)*($V$3:$AE$3=AB$3)*($V$2:$AE$2&lt;AB$2))),2))))</f>
      </c>
      <c r="AM146" s="33">
        <f>IF(AC146&lt;=0,0,MAX(0,MIN(AC146,ROUND($AZ146-SUMPRODUCT($V146:$AE146*($V146:$AE146&gt;0)*(($V146:$AE146&lt;AC146)+($V146:$AE146=AC146)*($V$3:$AE$3&gt;AC$3)+($V146:$AE146=AC146)*($V$3:$AE$3=AC$3)*($V$2:$AE$2&lt;AC$2))),2))))</f>
      </c>
      <c r="AN146" s="33">
        <f>IF(AD146&lt;=0,0,MAX(0,MIN(AD146,ROUND($AZ146-SUMPRODUCT($V146:$AE146*($V146:$AE146&gt;0)*(($V146:$AE146&lt;AD146)+($V146:$AE146=AD146)*($V$3:$AE$3&gt;AD$3)+($V146:$AE146=AD146)*($V$3:$AE$3=AD$3)*($V$2:$AE$2&lt;AD$2))),2))))</f>
      </c>
      <c r="AO146" s="33">
        <f>IF(AE146&lt;=0,0,MAX(0,MIN(AE146,ROUND($AZ146-SUMPRODUCT($V146:$AE146*($V146:$AE146&gt;0)*(($V146:$AE146&lt;AE146)+($V146:$AE146=AE146)*($V$3:$AE$3&gt;AE$3)+($V146:$AE146=AE146)*($V$3:$AE$3=AE$3)*($V$2:$AE$2&lt;AE$2))),2))))</f>
      </c>
      <c r="AP146" s="33">
        <f>ROUND(V146-AF146,2)</f>
      </c>
      <c r="AQ146" s="33">
        <f>ROUND(W146-AG146,2)</f>
      </c>
      <c r="AR146" s="33">
        <f>ROUND(X146-AH146,2)</f>
      </c>
      <c r="AS146" s="33">
        <f>ROUND(Y146-AI146,2)</f>
      </c>
      <c r="AT146" s="33">
        <f>ROUND(Z146-AJ146,2)</f>
      </c>
      <c r="AU146" s="33">
        <f>ROUND(AA146-AK146,2)</f>
      </c>
      <c r="AV146" s="33">
        <f>ROUND(AB146-AL146,2)</f>
      </c>
      <c r="AW146" s="33">
        <f>ROUND(AC146-AM146,2)</f>
      </c>
      <c r="AX146" s="33">
        <f>ROUND(AD146-AN146,2)</f>
      </c>
      <c r="AY146" s="33">
        <f>ROUND(AE146-AO146,2)</f>
      </c>
      <c r="AZ146" s="33">
        <f>ROUND(MAX(0,'Your debts'!$D$22-SUM($L146:$U146)),2)</f>
      </c>
      <c r="BA146" s="33">
        <f>ROUND(SUM($B146:$K146)-SUM($AP145:$AY145),2)</f>
      </c>
      <c r="BB146" s="33">
        <f>SUM($AP146:$AY146)</f>
      </c>
      <c r="BC146" s="33">
        <f>ROUND(SUM($L146:$U146)+SUM($AF146:$AO146),2)</f>
      </c>
    </row>
    <row r="147" spans="1:55" x14ac:dyDescent="0.25">
      <c r="A147">
        <v>140</v>
      </c>
      <c r="B147" s="33">
        <f>IF(AP146&lt;=0,0,ROUND(AP146+ROUND(AP146*V$3/12,2),2))</f>
      </c>
      <c r="C147" s="33">
        <f>IF(AQ146&lt;=0,0,ROUND(AQ146+ROUND(AQ146*W$3/12,2),2))</f>
      </c>
      <c r="D147" s="33">
        <f>IF(AR146&lt;=0,0,ROUND(AR146+ROUND(AR146*X$3/12,2),2))</f>
      </c>
      <c r="E147" s="33">
        <f>IF(AS146&lt;=0,0,ROUND(AS146+ROUND(AS146*Y$3/12,2),2))</f>
      </c>
      <c r="F147" s="33">
        <f>IF(AT146&lt;=0,0,ROUND(AT146+ROUND(AT146*Z$3/12,2),2))</f>
      </c>
      <c r="G147" s="33">
        <f>IF(AU146&lt;=0,0,ROUND(AU146+ROUND(AU146*AA$3/12,2),2))</f>
      </c>
      <c r="H147" s="33">
        <f>IF(AV146&lt;=0,0,ROUND(AV146+ROUND(AV146*AB$3/12,2),2))</f>
      </c>
      <c r="I147" s="33">
        <f>IF(AW146&lt;=0,0,ROUND(AW146+ROUND(AW146*AC$3/12,2),2))</f>
      </c>
      <c r="J147" s="33">
        <f>IF(AX146&lt;=0,0,ROUND(AX146+ROUND(AX146*AD$3/12,2),2))</f>
      </c>
      <c r="K147" s="33">
        <f>IF(AY146&lt;=0,0,ROUND(AY146+ROUND(AY146*AE$3/12,2),2))</f>
      </c>
      <c r="L147" s="33">
        <f>ROUND(MIN(MAX(0,N('Your debts'!$E$6)),B147),2)</f>
      </c>
      <c r="M147" s="33">
        <f>ROUND(MIN(MAX(0,N('Your debts'!$E$7)),C147),2)</f>
      </c>
      <c r="N147" s="33">
        <f>ROUND(MIN(MAX(0,N('Your debts'!$E$8)),D147),2)</f>
      </c>
      <c r="O147" s="33">
        <f>ROUND(MIN(MAX(0,N('Your debts'!$E$9)),E147),2)</f>
      </c>
      <c r="P147" s="33">
        <f>ROUND(MIN(MAX(0,N('Your debts'!$E$10)),F147),2)</f>
      </c>
      <c r="Q147" s="33">
        <f>ROUND(MIN(MAX(0,N('Your debts'!$E$11)),G147),2)</f>
      </c>
      <c r="R147" s="33">
        <f>ROUND(MIN(MAX(0,N('Your debts'!$E$12)),H147),2)</f>
      </c>
      <c r="S147" s="33">
        <f>ROUND(MIN(MAX(0,N('Your debts'!$E$13)),I147),2)</f>
      </c>
      <c r="T147" s="33">
        <f>ROUND(MIN(MAX(0,N('Your debts'!$E$14)),J147),2)</f>
      </c>
      <c r="U147" s="33">
        <f>ROUND(MIN(MAX(0,N('Your debts'!$E$15)),K147),2)</f>
      </c>
      <c r="V147" s="33">
        <f>ROUND(B147-L147,2)</f>
      </c>
      <c r="W147" s="33">
        <f>ROUND(C147-M147,2)</f>
      </c>
      <c r="X147" s="33">
        <f>ROUND(D147-N147,2)</f>
      </c>
      <c r="Y147" s="33">
        <f>ROUND(E147-O147,2)</f>
      </c>
      <c r="Z147" s="33">
        <f>ROUND(F147-P147,2)</f>
      </c>
      <c r="AA147" s="33">
        <f>ROUND(G147-Q147,2)</f>
      </c>
      <c r="AB147" s="33">
        <f>ROUND(H147-R147,2)</f>
      </c>
      <c r="AC147" s="33">
        <f>ROUND(I147-S147,2)</f>
      </c>
      <c r="AD147" s="33">
        <f>ROUND(J147-T147,2)</f>
      </c>
      <c r="AE147" s="33">
        <f>ROUND(K147-U147,2)</f>
      </c>
      <c r="AF147" s="33">
        <f>IF(V147&lt;=0,0,MAX(0,MIN(V147,ROUND($AZ147-SUMPRODUCT($V147:$AE147*($V147:$AE147&gt;0)*(($V147:$AE147&lt;V147)+($V147:$AE147=V147)*($V$3:$AE$3&gt;V$3)+($V147:$AE147=V147)*($V$3:$AE$3=V$3)*($V$2:$AE$2&lt;V$2))),2))))</f>
      </c>
      <c r="AG147" s="33">
        <f>IF(W147&lt;=0,0,MAX(0,MIN(W147,ROUND($AZ147-SUMPRODUCT($V147:$AE147*($V147:$AE147&gt;0)*(($V147:$AE147&lt;W147)+($V147:$AE147=W147)*($V$3:$AE$3&gt;W$3)+($V147:$AE147=W147)*($V$3:$AE$3=W$3)*($V$2:$AE$2&lt;W$2))),2))))</f>
      </c>
      <c r="AH147" s="33">
        <f>IF(X147&lt;=0,0,MAX(0,MIN(X147,ROUND($AZ147-SUMPRODUCT($V147:$AE147*($V147:$AE147&gt;0)*(($V147:$AE147&lt;X147)+($V147:$AE147=X147)*($V$3:$AE$3&gt;X$3)+($V147:$AE147=X147)*($V$3:$AE$3=X$3)*($V$2:$AE$2&lt;X$2))),2))))</f>
      </c>
      <c r="AI147" s="33">
        <f>IF(Y147&lt;=0,0,MAX(0,MIN(Y147,ROUND($AZ147-SUMPRODUCT($V147:$AE147*($V147:$AE147&gt;0)*(($V147:$AE147&lt;Y147)+($V147:$AE147=Y147)*($V$3:$AE$3&gt;Y$3)+($V147:$AE147=Y147)*($V$3:$AE$3=Y$3)*($V$2:$AE$2&lt;Y$2))),2))))</f>
      </c>
      <c r="AJ147" s="33">
        <f>IF(Z147&lt;=0,0,MAX(0,MIN(Z147,ROUND($AZ147-SUMPRODUCT($V147:$AE147*($V147:$AE147&gt;0)*(($V147:$AE147&lt;Z147)+($V147:$AE147=Z147)*($V$3:$AE$3&gt;Z$3)+($V147:$AE147=Z147)*($V$3:$AE$3=Z$3)*($V$2:$AE$2&lt;Z$2))),2))))</f>
      </c>
      <c r="AK147" s="33">
        <f>IF(AA147&lt;=0,0,MAX(0,MIN(AA147,ROUND($AZ147-SUMPRODUCT($V147:$AE147*($V147:$AE147&gt;0)*(($V147:$AE147&lt;AA147)+($V147:$AE147=AA147)*($V$3:$AE$3&gt;AA$3)+($V147:$AE147=AA147)*($V$3:$AE$3=AA$3)*($V$2:$AE$2&lt;AA$2))),2))))</f>
      </c>
      <c r="AL147" s="33">
        <f>IF(AB147&lt;=0,0,MAX(0,MIN(AB147,ROUND($AZ147-SUMPRODUCT($V147:$AE147*($V147:$AE147&gt;0)*(($V147:$AE147&lt;AB147)+($V147:$AE147=AB147)*($V$3:$AE$3&gt;AB$3)+($V147:$AE147=AB147)*($V$3:$AE$3=AB$3)*($V$2:$AE$2&lt;AB$2))),2))))</f>
      </c>
      <c r="AM147" s="33">
        <f>IF(AC147&lt;=0,0,MAX(0,MIN(AC147,ROUND($AZ147-SUMPRODUCT($V147:$AE147*($V147:$AE147&gt;0)*(($V147:$AE147&lt;AC147)+($V147:$AE147=AC147)*($V$3:$AE$3&gt;AC$3)+($V147:$AE147=AC147)*($V$3:$AE$3=AC$3)*($V$2:$AE$2&lt;AC$2))),2))))</f>
      </c>
      <c r="AN147" s="33">
        <f>IF(AD147&lt;=0,0,MAX(0,MIN(AD147,ROUND($AZ147-SUMPRODUCT($V147:$AE147*($V147:$AE147&gt;0)*(($V147:$AE147&lt;AD147)+($V147:$AE147=AD147)*($V$3:$AE$3&gt;AD$3)+($V147:$AE147=AD147)*($V$3:$AE$3=AD$3)*($V$2:$AE$2&lt;AD$2))),2))))</f>
      </c>
      <c r="AO147" s="33">
        <f>IF(AE147&lt;=0,0,MAX(0,MIN(AE147,ROUND($AZ147-SUMPRODUCT($V147:$AE147*($V147:$AE147&gt;0)*(($V147:$AE147&lt;AE147)+($V147:$AE147=AE147)*($V$3:$AE$3&gt;AE$3)+($V147:$AE147=AE147)*($V$3:$AE$3=AE$3)*($V$2:$AE$2&lt;AE$2))),2))))</f>
      </c>
      <c r="AP147" s="33">
        <f>ROUND(V147-AF147,2)</f>
      </c>
      <c r="AQ147" s="33">
        <f>ROUND(W147-AG147,2)</f>
      </c>
      <c r="AR147" s="33">
        <f>ROUND(X147-AH147,2)</f>
      </c>
      <c r="AS147" s="33">
        <f>ROUND(Y147-AI147,2)</f>
      </c>
      <c r="AT147" s="33">
        <f>ROUND(Z147-AJ147,2)</f>
      </c>
      <c r="AU147" s="33">
        <f>ROUND(AA147-AK147,2)</f>
      </c>
      <c r="AV147" s="33">
        <f>ROUND(AB147-AL147,2)</f>
      </c>
      <c r="AW147" s="33">
        <f>ROUND(AC147-AM147,2)</f>
      </c>
      <c r="AX147" s="33">
        <f>ROUND(AD147-AN147,2)</f>
      </c>
      <c r="AY147" s="33">
        <f>ROUND(AE147-AO147,2)</f>
      </c>
      <c r="AZ147" s="33">
        <f>ROUND(MAX(0,'Your debts'!$D$22-SUM($L147:$U147)),2)</f>
      </c>
      <c r="BA147" s="33">
        <f>ROUND(SUM($B147:$K147)-SUM($AP146:$AY146),2)</f>
      </c>
      <c r="BB147" s="33">
        <f>SUM($AP147:$AY147)</f>
      </c>
      <c r="BC147" s="33">
        <f>ROUND(SUM($L147:$U147)+SUM($AF147:$AO147),2)</f>
      </c>
    </row>
    <row r="148" spans="1:55" x14ac:dyDescent="0.25">
      <c r="A148">
        <v>141</v>
      </c>
      <c r="B148" s="33">
        <f>IF(AP147&lt;=0,0,ROUND(AP147+ROUND(AP147*V$3/12,2),2))</f>
      </c>
      <c r="C148" s="33">
        <f>IF(AQ147&lt;=0,0,ROUND(AQ147+ROUND(AQ147*W$3/12,2),2))</f>
      </c>
      <c r="D148" s="33">
        <f>IF(AR147&lt;=0,0,ROUND(AR147+ROUND(AR147*X$3/12,2),2))</f>
      </c>
      <c r="E148" s="33">
        <f>IF(AS147&lt;=0,0,ROUND(AS147+ROUND(AS147*Y$3/12,2),2))</f>
      </c>
      <c r="F148" s="33">
        <f>IF(AT147&lt;=0,0,ROUND(AT147+ROUND(AT147*Z$3/12,2),2))</f>
      </c>
      <c r="G148" s="33">
        <f>IF(AU147&lt;=0,0,ROUND(AU147+ROUND(AU147*AA$3/12,2),2))</f>
      </c>
      <c r="H148" s="33">
        <f>IF(AV147&lt;=0,0,ROUND(AV147+ROUND(AV147*AB$3/12,2),2))</f>
      </c>
      <c r="I148" s="33">
        <f>IF(AW147&lt;=0,0,ROUND(AW147+ROUND(AW147*AC$3/12,2),2))</f>
      </c>
      <c r="J148" s="33">
        <f>IF(AX147&lt;=0,0,ROUND(AX147+ROUND(AX147*AD$3/12,2),2))</f>
      </c>
      <c r="K148" s="33">
        <f>IF(AY147&lt;=0,0,ROUND(AY147+ROUND(AY147*AE$3/12,2),2))</f>
      </c>
      <c r="L148" s="33">
        <f>ROUND(MIN(MAX(0,N('Your debts'!$E$6)),B148),2)</f>
      </c>
      <c r="M148" s="33">
        <f>ROUND(MIN(MAX(0,N('Your debts'!$E$7)),C148),2)</f>
      </c>
      <c r="N148" s="33">
        <f>ROUND(MIN(MAX(0,N('Your debts'!$E$8)),D148),2)</f>
      </c>
      <c r="O148" s="33">
        <f>ROUND(MIN(MAX(0,N('Your debts'!$E$9)),E148),2)</f>
      </c>
      <c r="P148" s="33">
        <f>ROUND(MIN(MAX(0,N('Your debts'!$E$10)),F148),2)</f>
      </c>
      <c r="Q148" s="33">
        <f>ROUND(MIN(MAX(0,N('Your debts'!$E$11)),G148),2)</f>
      </c>
      <c r="R148" s="33">
        <f>ROUND(MIN(MAX(0,N('Your debts'!$E$12)),H148),2)</f>
      </c>
      <c r="S148" s="33">
        <f>ROUND(MIN(MAX(0,N('Your debts'!$E$13)),I148),2)</f>
      </c>
      <c r="T148" s="33">
        <f>ROUND(MIN(MAX(0,N('Your debts'!$E$14)),J148),2)</f>
      </c>
      <c r="U148" s="33">
        <f>ROUND(MIN(MAX(0,N('Your debts'!$E$15)),K148),2)</f>
      </c>
      <c r="V148" s="33">
        <f>ROUND(B148-L148,2)</f>
      </c>
      <c r="W148" s="33">
        <f>ROUND(C148-M148,2)</f>
      </c>
      <c r="X148" s="33">
        <f>ROUND(D148-N148,2)</f>
      </c>
      <c r="Y148" s="33">
        <f>ROUND(E148-O148,2)</f>
      </c>
      <c r="Z148" s="33">
        <f>ROUND(F148-P148,2)</f>
      </c>
      <c r="AA148" s="33">
        <f>ROUND(G148-Q148,2)</f>
      </c>
      <c r="AB148" s="33">
        <f>ROUND(H148-R148,2)</f>
      </c>
      <c r="AC148" s="33">
        <f>ROUND(I148-S148,2)</f>
      </c>
      <c r="AD148" s="33">
        <f>ROUND(J148-T148,2)</f>
      </c>
      <c r="AE148" s="33">
        <f>ROUND(K148-U148,2)</f>
      </c>
      <c r="AF148" s="33">
        <f>IF(V148&lt;=0,0,MAX(0,MIN(V148,ROUND($AZ148-SUMPRODUCT($V148:$AE148*($V148:$AE148&gt;0)*(($V148:$AE148&lt;V148)+($V148:$AE148=V148)*($V$3:$AE$3&gt;V$3)+($V148:$AE148=V148)*($V$3:$AE$3=V$3)*($V$2:$AE$2&lt;V$2))),2))))</f>
      </c>
      <c r="AG148" s="33">
        <f>IF(W148&lt;=0,0,MAX(0,MIN(W148,ROUND($AZ148-SUMPRODUCT($V148:$AE148*($V148:$AE148&gt;0)*(($V148:$AE148&lt;W148)+($V148:$AE148=W148)*($V$3:$AE$3&gt;W$3)+($V148:$AE148=W148)*($V$3:$AE$3=W$3)*($V$2:$AE$2&lt;W$2))),2))))</f>
      </c>
      <c r="AH148" s="33">
        <f>IF(X148&lt;=0,0,MAX(0,MIN(X148,ROUND($AZ148-SUMPRODUCT($V148:$AE148*($V148:$AE148&gt;0)*(($V148:$AE148&lt;X148)+($V148:$AE148=X148)*($V$3:$AE$3&gt;X$3)+($V148:$AE148=X148)*($V$3:$AE$3=X$3)*($V$2:$AE$2&lt;X$2))),2))))</f>
      </c>
      <c r="AI148" s="33">
        <f>IF(Y148&lt;=0,0,MAX(0,MIN(Y148,ROUND($AZ148-SUMPRODUCT($V148:$AE148*($V148:$AE148&gt;0)*(($V148:$AE148&lt;Y148)+($V148:$AE148=Y148)*($V$3:$AE$3&gt;Y$3)+($V148:$AE148=Y148)*($V$3:$AE$3=Y$3)*($V$2:$AE$2&lt;Y$2))),2))))</f>
      </c>
      <c r="AJ148" s="33">
        <f>IF(Z148&lt;=0,0,MAX(0,MIN(Z148,ROUND($AZ148-SUMPRODUCT($V148:$AE148*($V148:$AE148&gt;0)*(($V148:$AE148&lt;Z148)+($V148:$AE148=Z148)*($V$3:$AE$3&gt;Z$3)+($V148:$AE148=Z148)*($V$3:$AE$3=Z$3)*($V$2:$AE$2&lt;Z$2))),2))))</f>
      </c>
      <c r="AK148" s="33">
        <f>IF(AA148&lt;=0,0,MAX(0,MIN(AA148,ROUND($AZ148-SUMPRODUCT($V148:$AE148*($V148:$AE148&gt;0)*(($V148:$AE148&lt;AA148)+($V148:$AE148=AA148)*($V$3:$AE$3&gt;AA$3)+($V148:$AE148=AA148)*($V$3:$AE$3=AA$3)*($V$2:$AE$2&lt;AA$2))),2))))</f>
      </c>
      <c r="AL148" s="33">
        <f>IF(AB148&lt;=0,0,MAX(0,MIN(AB148,ROUND($AZ148-SUMPRODUCT($V148:$AE148*($V148:$AE148&gt;0)*(($V148:$AE148&lt;AB148)+($V148:$AE148=AB148)*($V$3:$AE$3&gt;AB$3)+($V148:$AE148=AB148)*($V$3:$AE$3=AB$3)*($V$2:$AE$2&lt;AB$2))),2))))</f>
      </c>
      <c r="AM148" s="33">
        <f>IF(AC148&lt;=0,0,MAX(0,MIN(AC148,ROUND($AZ148-SUMPRODUCT($V148:$AE148*($V148:$AE148&gt;0)*(($V148:$AE148&lt;AC148)+($V148:$AE148=AC148)*($V$3:$AE$3&gt;AC$3)+($V148:$AE148=AC148)*($V$3:$AE$3=AC$3)*($V$2:$AE$2&lt;AC$2))),2))))</f>
      </c>
      <c r="AN148" s="33">
        <f>IF(AD148&lt;=0,0,MAX(0,MIN(AD148,ROUND($AZ148-SUMPRODUCT($V148:$AE148*($V148:$AE148&gt;0)*(($V148:$AE148&lt;AD148)+($V148:$AE148=AD148)*($V$3:$AE$3&gt;AD$3)+($V148:$AE148=AD148)*($V$3:$AE$3=AD$3)*($V$2:$AE$2&lt;AD$2))),2))))</f>
      </c>
      <c r="AO148" s="33">
        <f>IF(AE148&lt;=0,0,MAX(0,MIN(AE148,ROUND($AZ148-SUMPRODUCT($V148:$AE148*($V148:$AE148&gt;0)*(($V148:$AE148&lt;AE148)+($V148:$AE148=AE148)*($V$3:$AE$3&gt;AE$3)+($V148:$AE148=AE148)*($V$3:$AE$3=AE$3)*($V$2:$AE$2&lt;AE$2))),2))))</f>
      </c>
      <c r="AP148" s="33">
        <f>ROUND(V148-AF148,2)</f>
      </c>
      <c r="AQ148" s="33">
        <f>ROUND(W148-AG148,2)</f>
      </c>
      <c r="AR148" s="33">
        <f>ROUND(X148-AH148,2)</f>
      </c>
      <c r="AS148" s="33">
        <f>ROUND(Y148-AI148,2)</f>
      </c>
      <c r="AT148" s="33">
        <f>ROUND(Z148-AJ148,2)</f>
      </c>
      <c r="AU148" s="33">
        <f>ROUND(AA148-AK148,2)</f>
      </c>
      <c r="AV148" s="33">
        <f>ROUND(AB148-AL148,2)</f>
      </c>
      <c r="AW148" s="33">
        <f>ROUND(AC148-AM148,2)</f>
      </c>
      <c r="AX148" s="33">
        <f>ROUND(AD148-AN148,2)</f>
      </c>
      <c r="AY148" s="33">
        <f>ROUND(AE148-AO148,2)</f>
      </c>
      <c r="AZ148" s="33">
        <f>ROUND(MAX(0,'Your debts'!$D$22-SUM($L148:$U148)),2)</f>
      </c>
      <c r="BA148" s="33">
        <f>ROUND(SUM($B148:$K148)-SUM($AP147:$AY147),2)</f>
      </c>
      <c r="BB148" s="33">
        <f>SUM($AP148:$AY148)</f>
      </c>
      <c r="BC148" s="33">
        <f>ROUND(SUM($L148:$U148)+SUM($AF148:$AO148),2)</f>
      </c>
    </row>
    <row r="149" spans="1:55" x14ac:dyDescent="0.25">
      <c r="A149">
        <v>142</v>
      </c>
      <c r="B149" s="33">
        <f>IF(AP148&lt;=0,0,ROUND(AP148+ROUND(AP148*V$3/12,2),2))</f>
      </c>
      <c r="C149" s="33">
        <f>IF(AQ148&lt;=0,0,ROUND(AQ148+ROUND(AQ148*W$3/12,2),2))</f>
      </c>
      <c r="D149" s="33">
        <f>IF(AR148&lt;=0,0,ROUND(AR148+ROUND(AR148*X$3/12,2),2))</f>
      </c>
      <c r="E149" s="33">
        <f>IF(AS148&lt;=0,0,ROUND(AS148+ROUND(AS148*Y$3/12,2),2))</f>
      </c>
      <c r="F149" s="33">
        <f>IF(AT148&lt;=0,0,ROUND(AT148+ROUND(AT148*Z$3/12,2),2))</f>
      </c>
      <c r="G149" s="33">
        <f>IF(AU148&lt;=0,0,ROUND(AU148+ROUND(AU148*AA$3/12,2),2))</f>
      </c>
      <c r="H149" s="33">
        <f>IF(AV148&lt;=0,0,ROUND(AV148+ROUND(AV148*AB$3/12,2),2))</f>
      </c>
      <c r="I149" s="33">
        <f>IF(AW148&lt;=0,0,ROUND(AW148+ROUND(AW148*AC$3/12,2),2))</f>
      </c>
      <c r="J149" s="33">
        <f>IF(AX148&lt;=0,0,ROUND(AX148+ROUND(AX148*AD$3/12,2),2))</f>
      </c>
      <c r="K149" s="33">
        <f>IF(AY148&lt;=0,0,ROUND(AY148+ROUND(AY148*AE$3/12,2),2))</f>
      </c>
      <c r="L149" s="33">
        <f>ROUND(MIN(MAX(0,N('Your debts'!$E$6)),B149),2)</f>
      </c>
      <c r="M149" s="33">
        <f>ROUND(MIN(MAX(0,N('Your debts'!$E$7)),C149),2)</f>
      </c>
      <c r="N149" s="33">
        <f>ROUND(MIN(MAX(0,N('Your debts'!$E$8)),D149),2)</f>
      </c>
      <c r="O149" s="33">
        <f>ROUND(MIN(MAX(0,N('Your debts'!$E$9)),E149),2)</f>
      </c>
      <c r="P149" s="33">
        <f>ROUND(MIN(MAX(0,N('Your debts'!$E$10)),F149),2)</f>
      </c>
      <c r="Q149" s="33">
        <f>ROUND(MIN(MAX(0,N('Your debts'!$E$11)),G149),2)</f>
      </c>
      <c r="R149" s="33">
        <f>ROUND(MIN(MAX(0,N('Your debts'!$E$12)),H149),2)</f>
      </c>
      <c r="S149" s="33">
        <f>ROUND(MIN(MAX(0,N('Your debts'!$E$13)),I149),2)</f>
      </c>
      <c r="T149" s="33">
        <f>ROUND(MIN(MAX(0,N('Your debts'!$E$14)),J149),2)</f>
      </c>
      <c r="U149" s="33">
        <f>ROUND(MIN(MAX(0,N('Your debts'!$E$15)),K149),2)</f>
      </c>
      <c r="V149" s="33">
        <f>ROUND(B149-L149,2)</f>
      </c>
      <c r="W149" s="33">
        <f>ROUND(C149-M149,2)</f>
      </c>
      <c r="X149" s="33">
        <f>ROUND(D149-N149,2)</f>
      </c>
      <c r="Y149" s="33">
        <f>ROUND(E149-O149,2)</f>
      </c>
      <c r="Z149" s="33">
        <f>ROUND(F149-P149,2)</f>
      </c>
      <c r="AA149" s="33">
        <f>ROUND(G149-Q149,2)</f>
      </c>
      <c r="AB149" s="33">
        <f>ROUND(H149-R149,2)</f>
      </c>
      <c r="AC149" s="33">
        <f>ROUND(I149-S149,2)</f>
      </c>
      <c r="AD149" s="33">
        <f>ROUND(J149-T149,2)</f>
      </c>
      <c r="AE149" s="33">
        <f>ROUND(K149-U149,2)</f>
      </c>
      <c r="AF149" s="33">
        <f>IF(V149&lt;=0,0,MAX(0,MIN(V149,ROUND($AZ149-SUMPRODUCT($V149:$AE149*($V149:$AE149&gt;0)*(($V149:$AE149&lt;V149)+($V149:$AE149=V149)*($V$3:$AE$3&gt;V$3)+($V149:$AE149=V149)*($V$3:$AE$3=V$3)*($V$2:$AE$2&lt;V$2))),2))))</f>
      </c>
      <c r="AG149" s="33">
        <f>IF(W149&lt;=0,0,MAX(0,MIN(W149,ROUND($AZ149-SUMPRODUCT($V149:$AE149*($V149:$AE149&gt;0)*(($V149:$AE149&lt;W149)+($V149:$AE149=W149)*($V$3:$AE$3&gt;W$3)+($V149:$AE149=W149)*($V$3:$AE$3=W$3)*($V$2:$AE$2&lt;W$2))),2))))</f>
      </c>
      <c r="AH149" s="33">
        <f>IF(X149&lt;=0,0,MAX(0,MIN(X149,ROUND($AZ149-SUMPRODUCT($V149:$AE149*($V149:$AE149&gt;0)*(($V149:$AE149&lt;X149)+($V149:$AE149=X149)*($V$3:$AE$3&gt;X$3)+($V149:$AE149=X149)*($V$3:$AE$3=X$3)*($V$2:$AE$2&lt;X$2))),2))))</f>
      </c>
      <c r="AI149" s="33">
        <f>IF(Y149&lt;=0,0,MAX(0,MIN(Y149,ROUND($AZ149-SUMPRODUCT($V149:$AE149*($V149:$AE149&gt;0)*(($V149:$AE149&lt;Y149)+($V149:$AE149=Y149)*($V$3:$AE$3&gt;Y$3)+($V149:$AE149=Y149)*($V$3:$AE$3=Y$3)*($V$2:$AE$2&lt;Y$2))),2))))</f>
      </c>
      <c r="AJ149" s="33">
        <f>IF(Z149&lt;=0,0,MAX(0,MIN(Z149,ROUND($AZ149-SUMPRODUCT($V149:$AE149*($V149:$AE149&gt;0)*(($V149:$AE149&lt;Z149)+($V149:$AE149=Z149)*($V$3:$AE$3&gt;Z$3)+($V149:$AE149=Z149)*($V$3:$AE$3=Z$3)*($V$2:$AE$2&lt;Z$2))),2))))</f>
      </c>
      <c r="AK149" s="33">
        <f>IF(AA149&lt;=0,0,MAX(0,MIN(AA149,ROUND($AZ149-SUMPRODUCT($V149:$AE149*($V149:$AE149&gt;0)*(($V149:$AE149&lt;AA149)+($V149:$AE149=AA149)*($V$3:$AE$3&gt;AA$3)+($V149:$AE149=AA149)*($V$3:$AE$3=AA$3)*($V$2:$AE$2&lt;AA$2))),2))))</f>
      </c>
      <c r="AL149" s="33">
        <f>IF(AB149&lt;=0,0,MAX(0,MIN(AB149,ROUND($AZ149-SUMPRODUCT($V149:$AE149*($V149:$AE149&gt;0)*(($V149:$AE149&lt;AB149)+($V149:$AE149=AB149)*($V$3:$AE$3&gt;AB$3)+($V149:$AE149=AB149)*($V$3:$AE$3=AB$3)*($V$2:$AE$2&lt;AB$2))),2))))</f>
      </c>
      <c r="AM149" s="33">
        <f>IF(AC149&lt;=0,0,MAX(0,MIN(AC149,ROUND($AZ149-SUMPRODUCT($V149:$AE149*($V149:$AE149&gt;0)*(($V149:$AE149&lt;AC149)+($V149:$AE149=AC149)*($V$3:$AE$3&gt;AC$3)+($V149:$AE149=AC149)*($V$3:$AE$3=AC$3)*($V$2:$AE$2&lt;AC$2))),2))))</f>
      </c>
      <c r="AN149" s="33">
        <f>IF(AD149&lt;=0,0,MAX(0,MIN(AD149,ROUND($AZ149-SUMPRODUCT($V149:$AE149*($V149:$AE149&gt;0)*(($V149:$AE149&lt;AD149)+($V149:$AE149=AD149)*($V$3:$AE$3&gt;AD$3)+($V149:$AE149=AD149)*($V$3:$AE$3=AD$3)*($V$2:$AE$2&lt;AD$2))),2))))</f>
      </c>
      <c r="AO149" s="33">
        <f>IF(AE149&lt;=0,0,MAX(0,MIN(AE149,ROUND($AZ149-SUMPRODUCT($V149:$AE149*($V149:$AE149&gt;0)*(($V149:$AE149&lt;AE149)+($V149:$AE149=AE149)*($V$3:$AE$3&gt;AE$3)+($V149:$AE149=AE149)*($V$3:$AE$3=AE$3)*($V$2:$AE$2&lt;AE$2))),2))))</f>
      </c>
      <c r="AP149" s="33">
        <f>ROUND(V149-AF149,2)</f>
      </c>
      <c r="AQ149" s="33">
        <f>ROUND(W149-AG149,2)</f>
      </c>
      <c r="AR149" s="33">
        <f>ROUND(X149-AH149,2)</f>
      </c>
      <c r="AS149" s="33">
        <f>ROUND(Y149-AI149,2)</f>
      </c>
      <c r="AT149" s="33">
        <f>ROUND(Z149-AJ149,2)</f>
      </c>
      <c r="AU149" s="33">
        <f>ROUND(AA149-AK149,2)</f>
      </c>
      <c r="AV149" s="33">
        <f>ROUND(AB149-AL149,2)</f>
      </c>
      <c r="AW149" s="33">
        <f>ROUND(AC149-AM149,2)</f>
      </c>
      <c r="AX149" s="33">
        <f>ROUND(AD149-AN149,2)</f>
      </c>
      <c r="AY149" s="33">
        <f>ROUND(AE149-AO149,2)</f>
      </c>
      <c r="AZ149" s="33">
        <f>ROUND(MAX(0,'Your debts'!$D$22-SUM($L149:$U149)),2)</f>
      </c>
      <c r="BA149" s="33">
        <f>ROUND(SUM($B149:$K149)-SUM($AP148:$AY148),2)</f>
      </c>
      <c r="BB149" s="33">
        <f>SUM($AP149:$AY149)</f>
      </c>
      <c r="BC149" s="33">
        <f>ROUND(SUM($L149:$U149)+SUM($AF149:$AO149),2)</f>
      </c>
    </row>
    <row r="150" spans="1:55" x14ac:dyDescent="0.25">
      <c r="A150">
        <v>143</v>
      </c>
      <c r="B150" s="33">
        <f>IF(AP149&lt;=0,0,ROUND(AP149+ROUND(AP149*V$3/12,2),2))</f>
      </c>
      <c r="C150" s="33">
        <f>IF(AQ149&lt;=0,0,ROUND(AQ149+ROUND(AQ149*W$3/12,2),2))</f>
      </c>
      <c r="D150" s="33">
        <f>IF(AR149&lt;=0,0,ROUND(AR149+ROUND(AR149*X$3/12,2),2))</f>
      </c>
      <c r="E150" s="33">
        <f>IF(AS149&lt;=0,0,ROUND(AS149+ROUND(AS149*Y$3/12,2),2))</f>
      </c>
      <c r="F150" s="33">
        <f>IF(AT149&lt;=0,0,ROUND(AT149+ROUND(AT149*Z$3/12,2),2))</f>
      </c>
      <c r="G150" s="33">
        <f>IF(AU149&lt;=0,0,ROUND(AU149+ROUND(AU149*AA$3/12,2),2))</f>
      </c>
      <c r="H150" s="33">
        <f>IF(AV149&lt;=0,0,ROUND(AV149+ROUND(AV149*AB$3/12,2),2))</f>
      </c>
      <c r="I150" s="33">
        <f>IF(AW149&lt;=0,0,ROUND(AW149+ROUND(AW149*AC$3/12,2),2))</f>
      </c>
      <c r="J150" s="33">
        <f>IF(AX149&lt;=0,0,ROUND(AX149+ROUND(AX149*AD$3/12,2),2))</f>
      </c>
      <c r="K150" s="33">
        <f>IF(AY149&lt;=0,0,ROUND(AY149+ROUND(AY149*AE$3/12,2),2))</f>
      </c>
      <c r="L150" s="33">
        <f>ROUND(MIN(MAX(0,N('Your debts'!$E$6)),B150),2)</f>
      </c>
      <c r="M150" s="33">
        <f>ROUND(MIN(MAX(0,N('Your debts'!$E$7)),C150),2)</f>
      </c>
      <c r="N150" s="33">
        <f>ROUND(MIN(MAX(0,N('Your debts'!$E$8)),D150),2)</f>
      </c>
      <c r="O150" s="33">
        <f>ROUND(MIN(MAX(0,N('Your debts'!$E$9)),E150),2)</f>
      </c>
      <c r="P150" s="33">
        <f>ROUND(MIN(MAX(0,N('Your debts'!$E$10)),F150),2)</f>
      </c>
      <c r="Q150" s="33">
        <f>ROUND(MIN(MAX(0,N('Your debts'!$E$11)),G150),2)</f>
      </c>
      <c r="R150" s="33">
        <f>ROUND(MIN(MAX(0,N('Your debts'!$E$12)),H150),2)</f>
      </c>
      <c r="S150" s="33">
        <f>ROUND(MIN(MAX(0,N('Your debts'!$E$13)),I150),2)</f>
      </c>
      <c r="T150" s="33">
        <f>ROUND(MIN(MAX(0,N('Your debts'!$E$14)),J150),2)</f>
      </c>
      <c r="U150" s="33">
        <f>ROUND(MIN(MAX(0,N('Your debts'!$E$15)),K150),2)</f>
      </c>
      <c r="V150" s="33">
        <f>ROUND(B150-L150,2)</f>
      </c>
      <c r="W150" s="33">
        <f>ROUND(C150-M150,2)</f>
      </c>
      <c r="X150" s="33">
        <f>ROUND(D150-N150,2)</f>
      </c>
      <c r="Y150" s="33">
        <f>ROUND(E150-O150,2)</f>
      </c>
      <c r="Z150" s="33">
        <f>ROUND(F150-P150,2)</f>
      </c>
      <c r="AA150" s="33">
        <f>ROUND(G150-Q150,2)</f>
      </c>
      <c r="AB150" s="33">
        <f>ROUND(H150-R150,2)</f>
      </c>
      <c r="AC150" s="33">
        <f>ROUND(I150-S150,2)</f>
      </c>
      <c r="AD150" s="33">
        <f>ROUND(J150-T150,2)</f>
      </c>
      <c r="AE150" s="33">
        <f>ROUND(K150-U150,2)</f>
      </c>
      <c r="AF150" s="33">
        <f>IF(V150&lt;=0,0,MAX(0,MIN(V150,ROUND($AZ150-SUMPRODUCT($V150:$AE150*($V150:$AE150&gt;0)*(($V150:$AE150&lt;V150)+($V150:$AE150=V150)*($V$3:$AE$3&gt;V$3)+($V150:$AE150=V150)*($V$3:$AE$3=V$3)*($V$2:$AE$2&lt;V$2))),2))))</f>
      </c>
      <c r="AG150" s="33">
        <f>IF(W150&lt;=0,0,MAX(0,MIN(W150,ROUND($AZ150-SUMPRODUCT($V150:$AE150*($V150:$AE150&gt;0)*(($V150:$AE150&lt;W150)+($V150:$AE150=W150)*($V$3:$AE$3&gt;W$3)+($V150:$AE150=W150)*($V$3:$AE$3=W$3)*($V$2:$AE$2&lt;W$2))),2))))</f>
      </c>
      <c r="AH150" s="33">
        <f>IF(X150&lt;=0,0,MAX(0,MIN(X150,ROUND($AZ150-SUMPRODUCT($V150:$AE150*($V150:$AE150&gt;0)*(($V150:$AE150&lt;X150)+($V150:$AE150=X150)*($V$3:$AE$3&gt;X$3)+($V150:$AE150=X150)*($V$3:$AE$3=X$3)*($V$2:$AE$2&lt;X$2))),2))))</f>
      </c>
      <c r="AI150" s="33">
        <f>IF(Y150&lt;=0,0,MAX(0,MIN(Y150,ROUND($AZ150-SUMPRODUCT($V150:$AE150*($V150:$AE150&gt;0)*(($V150:$AE150&lt;Y150)+($V150:$AE150=Y150)*($V$3:$AE$3&gt;Y$3)+($V150:$AE150=Y150)*($V$3:$AE$3=Y$3)*($V$2:$AE$2&lt;Y$2))),2))))</f>
      </c>
      <c r="AJ150" s="33">
        <f>IF(Z150&lt;=0,0,MAX(0,MIN(Z150,ROUND($AZ150-SUMPRODUCT($V150:$AE150*($V150:$AE150&gt;0)*(($V150:$AE150&lt;Z150)+($V150:$AE150=Z150)*($V$3:$AE$3&gt;Z$3)+($V150:$AE150=Z150)*($V$3:$AE$3=Z$3)*($V$2:$AE$2&lt;Z$2))),2))))</f>
      </c>
      <c r="AK150" s="33">
        <f>IF(AA150&lt;=0,0,MAX(0,MIN(AA150,ROUND($AZ150-SUMPRODUCT($V150:$AE150*($V150:$AE150&gt;0)*(($V150:$AE150&lt;AA150)+($V150:$AE150=AA150)*($V$3:$AE$3&gt;AA$3)+($V150:$AE150=AA150)*($V$3:$AE$3=AA$3)*($V$2:$AE$2&lt;AA$2))),2))))</f>
      </c>
      <c r="AL150" s="33">
        <f>IF(AB150&lt;=0,0,MAX(0,MIN(AB150,ROUND($AZ150-SUMPRODUCT($V150:$AE150*($V150:$AE150&gt;0)*(($V150:$AE150&lt;AB150)+($V150:$AE150=AB150)*($V$3:$AE$3&gt;AB$3)+($V150:$AE150=AB150)*($V$3:$AE$3=AB$3)*($V$2:$AE$2&lt;AB$2))),2))))</f>
      </c>
      <c r="AM150" s="33">
        <f>IF(AC150&lt;=0,0,MAX(0,MIN(AC150,ROUND($AZ150-SUMPRODUCT($V150:$AE150*($V150:$AE150&gt;0)*(($V150:$AE150&lt;AC150)+($V150:$AE150=AC150)*($V$3:$AE$3&gt;AC$3)+($V150:$AE150=AC150)*($V$3:$AE$3=AC$3)*($V$2:$AE$2&lt;AC$2))),2))))</f>
      </c>
      <c r="AN150" s="33">
        <f>IF(AD150&lt;=0,0,MAX(0,MIN(AD150,ROUND($AZ150-SUMPRODUCT($V150:$AE150*($V150:$AE150&gt;0)*(($V150:$AE150&lt;AD150)+($V150:$AE150=AD150)*($V$3:$AE$3&gt;AD$3)+($V150:$AE150=AD150)*($V$3:$AE$3=AD$3)*($V$2:$AE$2&lt;AD$2))),2))))</f>
      </c>
      <c r="AO150" s="33">
        <f>IF(AE150&lt;=0,0,MAX(0,MIN(AE150,ROUND($AZ150-SUMPRODUCT($V150:$AE150*($V150:$AE150&gt;0)*(($V150:$AE150&lt;AE150)+($V150:$AE150=AE150)*($V$3:$AE$3&gt;AE$3)+($V150:$AE150=AE150)*($V$3:$AE$3=AE$3)*($V$2:$AE$2&lt;AE$2))),2))))</f>
      </c>
      <c r="AP150" s="33">
        <f>ROUND(V150-AF150,2)</f>
      </c>
      <c r="AQ150" s="33">
        <f>ROUND(W150-AG150,2)</f>
      </c>
      <c r="AR150" s="33">
        <f>ROUND(X150-AH150,2)</f>
      </c>
      <c r="AS150" s="33">
        <f>ROUND(Y150-AI150,2)</f>
      </c>
      <c r="AT150" s="33">
        <f>ROUND(Z150-AJ150,2)</f>
      </c>
      <c r="AU150" s="33">
        <f>ROUND(AA150-AK150,2)</f>
      </c>
      <c r="AV150" s="33">
        <f>ROUND(AB150-AL150,2)</f>
      </c>
      <c r="AW150" s="33">
        <f>ROUND(AC150-AM150,2)</f>
      </c>
      <c r="AX150" s="33">
        <f>ROUND(AD150-AN150,2)</f>
      </c>
      <c r="AY150" s="33">
        <f>ROUND(AE150-AO150,2)</f>
      </c>
      <c r="AZ150" s="33">
        <f>ROUND(MAX(0,'Your debts'!$D$22-SUM($L150:$U150)),2)</f>
      </c>
      <c r="BA150" s="33">
        <f>ROUND(SUM($B150:$K150)-SUM($AP149:$AY149),2)</f>
      </c>
      <c r="BB150" s="33">
        <f>SUM($AP150:$AY150)</f>
      </c>
      <c r="BC150" s="33">
        <f>ROUND(SUM($L150:$U150)+SUM($AF150:$AO150),2)</f>
      </c>
    </row>
    <row r="151" spans="1:55" x14ac:dyDescent="0.25">
      <c r="A151">
        <v>144</v>
      </c>
      <c r="B151" s="33">
        <f>IF(AP150&lt;=0,0,ROUND(AP150+ROUND(AP150*V$3/12,2),2))</f>
      </c>
      <c r="C151" s="33">
        <f>IF(AQ150&lt;=0,0,ROUND(AQ150+ROUND(AQ150*W$3/12,2),2))</f>
      </c>
      <c r="D151" s="33">
        <f>IF(AR150&lt;=0,0,ROUND(AR150+ROUND(AR150*X$3/12,2),2))</f>
      </c>
      <c r="E151" s="33">
        <f>IF(AS150&lt;=0,0,ROUND(AS150+ROUND(AS150*Y$3/12,2),2))</f>
      </c>
      <c r="F151" s="33">
        <f>IF(AT150&lt;=0,0,ROUND(AT150+ROUND(AT150*Z$3/12,2),2))</f>
      </c>
      <c r="G151" s="33">
        <f>IF(AU150&lt;=0,0,ROUND(AU150+ROUND(AU150*AA$3/12,2),2))</f>
      </c>
      <c r="H151" s="33">
        <f>IF(AV150&lt;=0,0,ROUND(AV150+ROUND(AV150*AB$3/12,2),2))</f>
      </c>
      <c r="I151" s="33">
        <f>IF(AW150&lt;=0,0,ROUND(AW150+ROUND(AW150*AC$3/12,2),2))</f>
      </c>
      <c r="J151" s="33">
        <f>IF(AX150&lt;=0,0,ROUND(AX150+ROUND(AX150*AD$3/12,2),2))</f>
      </c>
      <c r="K151" s="33">
        <f>IF(AY150&lt;=0,0,ROUND(AY150+ROUND(AY150*AE$3/12,2),2))</f>
      </c>
      <c r="L151" s="33">
        <f>ROUND(MIN(MAX(0,N('Your debts'!$E$6)),B151),2)</f>
      </c>
      <c r="M151" s="33">
        <f>ROUND(MIN(MAX(0,N('Your debts'!$E$7)),C151),2)</f>
      </c>
      <c r="N151" s="33">
        <f>ROUND(MIN(MAX(0,N('Your debts'!$E$8)),D151),2)</f>
      </c>
      <c r="O151" s="33">
        <f>ROUND(MIN(MAX(0,N('Your debts'!$E$9)),E151),2)</f>
      </c>
      <c r="P151" s="33">
        <f>ROUND(MIN(MAX(0,N('Your debts'!$E$10)),F151),2)</f>
      </c>
      <c r="Q151" s="33">
        <f>ROUND(MIN(MAX(0,N('Your debts'!$E$11)),G151),2)</f>
      </c>
      <c r="R151" s="33">
        <f>ROUND(MIN(MAX(0,N('Your debts'!$E$12)),H151),2)</f>
      </c>
      <c r="S151" s="33">
        <f>ROUND(MIN(MAX(0,N('Your debts'!$E$13)),I151),2)</f>
      </c>
      <c r="T151" s="33">
        <f>ROUND(MIN(MAX(0,N('Your debts'!$E$14)),J151),2)</f>
      </c>
      <c r="U151" s="33">
        <f>ROUND(MIN(MAX(0,N('Your debts'!$E$15)),K151),2)</f>
      </c>
      <c r="V151" s="33">
        <f>ROUND(B151-L151,2)</f>
      </c>
      <c r="W151" s="33">
        <f>ROUND(C151-M151,2)</f>
      </c>
      <c r="X151" s="33">
        <f>ROUND(D151-N151,2)</f>
      </c>
      <c r="Y151" s="33">
        <f>ROUND(E151-O151,2)</f>
      </c>
      <c r="Z151" s="33">
        <f>ROUND(F151-P151,2)</f>
      </c>
      <c r="AA151" s="33">
        <f>ROUND(G151-Q151,2)</f>
      </c>
      <c r="AB151" s="33">
        <f>ROUND(H151-R151,2)</f>
      </c>
      <c r="AC151" s="33">
        <f>ROUND(I151-S151,2)</f>
      </c>
      <c r="AD151" s="33">
        <f>ROUND(J151-T151,2)</f>
      </c>
      <c r="AE151" s="33">
        <f>ROUND(K151-U151,2)</f>
      </c>
      <c r="AF151" s="33">
        <f>IF(V151&lt;=0,0,MAX(0,MIN(V151,ROUND($AZ151-SUMPRODUCT($V151:$AE151*($V151:$AE151&gt;0)*(($V151:$AE151&lt;V151)+($V151:$AE151=V151)*($V$3:$AE$3&gt;V$3)+($V151:$AE151=V151)*($V$3:$AE$3=V$3)*($V$2:$AE$2&lt;V$2))),2))))</f>
      </c>
      <c r="AG151" s="33">
        <f>IF(W151&lt;=0,0,MAX(0,MIN(W151,ROUND($AZ151-SUMPRODUCT($V151:$AE151*($V151:$AE151&gt;0)*(($V151:$AE151&lt;W151)+($V151:$AE151=W151)*($V$3:$AE$3&gt;W$3)+($V151:$AE151=W151)*($V$3:$AE$3=W$3)*($V$2:$AE$2&lt;W$2))),2))))</f>
      </c>
      <c r="AH151" s="33">
        <f>IF(X151&lt;=0,0,MAX(0,MIN(X151,ROUND($AZ151-SUMPRODUCT($V151:$AE151*($V151:$AE151&gt;0)*(($V151:$AE151&lt;X151)+($V151:$AE151=X151)*($V$3:$AE$3&gt;X$3)+($V151:$AE151=X151)*($V$3:$AE$3=X$3)*($V$2:$AE$2&lt;X$2))),2))))</f>
      </c>
      <c r="AI151" s="33">
        <f>IF(Y151&lt;=0,0,MAX(0,MIN(Y151,ROUND($AZ151-SUMPRODUCT($V151:$AE151*($V151:$AE151&gt;0)*(($V151:$AE151&lt;Y151)+($V151:$AE151=Y151)*($V$3:$AE$3&gt;Y$3)+($V151:$AE151=Y151)*($V$3:$AE$3=Y$3)*($V$2:$AE$2&lt;Y$2))),2))))</f>
      </c>
      <c r="AJ151" s="33">
        <f>IF(Z151&lt;=0,0,MAX(0,MIN(Z151,ROUND($AZ151-SUMPRODUCT($V151:$AE151*($V151:$AE151&gt;0)*(($V151:$AE151&lt;Z151)+($V151:$AE151=Z151)*($V$3:$AE$3&gt;Z$3)+($V151:$AE151=Z151)*($V$3:$AE$3=Z$3)*($V$2:$AE$2&lt;Z$2))),2))))</f>
      </c>
      <c r="AK151" s="33">
        <f>IF(AA151&lt;=0,0,MAX(0,MIN(AA151,ROUND($AZ151-SUMPRODUCT($V151:$AE151*($V151:$AE151&gt;0)*(($V151:$AE151&lt;AA151)+($V151:$AE151=AA151)*($V$3:$AE$3&gt;AA$3)+($V151:$AE151=AA151)*($V$3:$AE$3=AA$3)*($V$2:$AE$2&lt;AA$2))),2))))</f>
      </c>
      <c r="AL151" s="33">
        <f>IF(AB151&lt;=0,0,MAX(0,MIN(AB151,ROUND($AZ151-SUMPRODUCT($V151:$AE151*($V151:$AE151&gt;0)*(($V151:$AE151&lt;AB151)+($V151:$AE151=AB151)*($V$3:$AE$3&gt;AB$3)+($V151:$AE151=AB151)*($V$3:$AE$3=AB$3)*($V$2:$AE$2&lt;AB$2))),2))))</f>
      </c>
      <c r="AM151" s="33">
        <f>IF(AC151&lt;=0,0,MAX(0,MIN(AC151,ROUND($AZ151-SUMPRODUCT($V151:$AE151*($V151:$AE151&gt;0)*(($V151:$AE151&lt;AC151)+($V151:$AE151=AC151)*($V$3:$AE$3&gt;AC$3)+($V151:$AE151=AC151)*($V$3:$AE$3=AC$3)*($V$2:$AE$2&lt;AC$2))),2))))</f>
      </c>
      <c r="AN151" s="33">
        <f>IF(AD151&lt;=0,0,MAX(0,MIN(AD151,ROUND($AZ151-SUMPRODUCT($V151:$AE151*($V151:$AE151&gt;0)*(($V151:$AE151&lt;AD151)+($V151:$AE151=AD151)*($V$3:$AE$3&gt;AD$3)+($V151:$AE151=AD151)*($V$3:$AE$3=AD$3)*($V$2:$AE$2&lt;AD$2))),2))))</f>
      </c>
      <c r="AO151" s="33">
        <f>IF(AE151&lt;=0,0,MAX(0,MIN(AE151,ROUND($AZ151-SUMPRODUCT($V151:$AE151*($V151:$AE151&gt;0)*(($V151:$AE151&lt;AE151)+($V151:$AE151=AE151)*($V$3:$AE$3&gt;AE$3)+($V151:$AE151=AE151)*($V$3:$AE$3=AE$3)*($V$2:$AE$2&lt;AE$2))),2))))</f>
      </c>
      <c r="AP151" s="33">
        <f>ROUND(V151-AF151,2)</f>
      </c>
      <c r="AQ151" s="33">
        <f>ROUND(W151-AG151,2)</f>
      </c>
      <c r="AR151" s="33">
        <f>ROUND(X151-AH151,2)</f>
      </c>
      <c r="AS151" s="33">
        <f>ROUND(Y151-AI151,2)</f>
      </c>
      <c r="AT151" s="33">
        <f>ROUND(Z151-AJ151,2)</f>
      </c>
      <c r="AU151" s="33">
        <f>ROUND(AA151-AK151,2)</f>
      </c>
      <c r="AV151" s="33">
        <f>ROUND(AB151-AL151,2)</f>
      </c>
      <c r="AW151" s="33">
        <f>ROUND(AC151-AM151,2)</f>
      </c>
      <c r="AX151" s="33">
        <f>ROUND(AD151-AN151,2)</f>
      </c>
      <c r="AY151" s="33">
        <f>ROUND(AE151-AO151,2)</f>
      </c>
      <c r="AZ151" s="33">
        <f>ROUND(MAX(0,'Your debts'!$D$22-SUM($L151:$U151)),2)</f>
      </c>
      <c r="BA151" s="33">
        <f>ROUND(SUM($B151:$K151)-SUM($AP150:$AY150),2)</f>
      </c>
      <c r="BB151" s="33">
        <f>SUM($AP151:$AY151)</f>
      </c>
      <c r="BC151" s="33">
        <f>ROUND(SUM($L151:$U151)+SUM($AF151:$AO151),2)</f>
      </c>
    </row>
    <row r="152" spans="1:55" x14ac:dyDescent="0.25">
      <c r="A152">
        <v>145</v>
      </c>
      <c r="B152" s="33">
        <f>IF(AP151&lt;=0,0,ROUND(AP151+ROUND(AP151*V$3/12,2),2))</f>
      </c>
      <c r="C152" s="33">
        <f>IF(AQ151&lt;=0,0,ROUND(AQ151+ROUND(AQ151*W$3/12,2),2))</f>
      </c>
      <c r="D152" s="33">
        <f>IF(AR151&lt;=0,0,ROUND(AR151+ROUND(AR151*X$3/12,2),2))</f>
      </c>
      <c r="E152" s="33">
        <f>IF(AS151&lt;=0,0,ROUND(AS151+ROUND(AS151*Y$3/12,2),2))</f>
      </c>
      <c r="F152" s="33">
        <f>IF(AT151&lt;=0,0,ROUND(AT151+ROUND(AT151*Z$3/12,2),2))</f>
      </c>
      <c r="G152" s="33">
        <f>IF(AU151&lt;=0,0,ROUND(AU151+ROUND(AU151*AA$3/12,2),2))</f>
      </c>
      <c r="H152" s="33">
        <f>IF(AV151&lt;=0,0,ROUND(AV151+ROUND(AV151*AB$3/12,2),2))</f>
      </c>
      <c r="I152" s="33">
        <f>IF(AW151&lt;=0,0,ROUND(AW151+ROUND(AW151*AC$3/12,2),2))</f>
      </c>
      <c r="J152" s="33">
        <f>IF(AX151&lt;=0,0,ROUND(AX151+ROUND(AX151*AD$3/12,2),2))</f>
      </c>
      <c r="K152" s="33">
        <f>IF(AY151&lt;=0,0,ROUND(AY151+ROUND(AY151*AE$3/12,2),2))</f>
      </c>
      <c r="L152" s="33">
        <f>ROUND(MIN(MAX(0,N('Your debts'!$E$6)),B152),2)</f>
      </c>
      <c r="M152" s="33">
        <f>ROUND(MIN(MAX(0,N('Your debts'!$E$7)),C152),2)</f>
      </c>
      <c r="N152" s="33">
        <f>ROUND(MIN(MAX(0,N('Your debts'!$E$8)),D152),2)</f>
      </c>
      <c r="O152" s="33">
        <f>ROUND(MIN(MAX(0,N('Your debts'!$E$9)),E152),2)</f>
      </c>
      <c r="P152" s="33">
        <f>ROUND(MIN(MAX(0,N('Your debts'!$E$10)),F152),2)</f>
      </c>
      <c r="Q152" s="33">
        <f>ROUND(MIN(MAX(0,N('Your debts'!$E$11)),G152),2)</f>
      </c>
      <c r="R152" s="33">
        <f>ROUND(MIN(MAX(0,N('Your debts'!$E$12)),H152),2)</f>
      </c>
      <c r="S152" s="33">
        <f>ROUND(MIN(MAX(0,N('Your debts'!$E$13)),I152),2)</f>
      </c>
      <c r="T152" s="33">
        <f>ROUND(MIN(MAX(0,N('Your debts'!$E$14)),J152),2)</f>
      </c>
      <c r="U152" s="33">
        <f>ROUND(MIN(MAX(0,N('Your debts'!$E$15)),K152),2)</f>
      </c>
      <c r="V152" s="33">
        <f>ROUND(B152-L152,2)</f>
      </c>
      <c r="W152" s="33">
        <f>ROUND(C152-M152,2)</f>
      </c>
      <c r="X152" s="33">
        <f>ROUND(D152-N152,2)</f>
      </c>
      <c r="Y152" s="33">
        <f>ROUND(E152-O152,2)</f>
      </c>
      <c r="Z152" s="33">
        <f>ROUND(F152-P152,2)</f>
      </c>
      <c r="AA152" s="33">
        <f>ROUND(G152-Q152,2)</f>
      </c>
      <c r="AB152" s="33">
        <f>ROUND(H152-R152,2)</f>
      </c>
      <c r="AC152" s="33">
        <f>ROUND(I152-S152,2)</f>
      </c>
      <c r="AD152" s="33">
        <f>ROUND(J152-T152,2)</f>
      </c>
      <c r="AE152" s="33">
        <f>ROUND(K152-U152,2)</f>
      </c>
      <c r="AF152" s="33">
        <f>IF(V152&lt;=0,0,MAX(0,MIN(V152,ROUND($AZ152-SUMPRODUCT($V152:$AE152*($V152:$AE152&gt;0)*(($V152:$AE152&lt;V152)+($V152:$AE152=V152)*($V$3:$AE$3&gt;V$3)+($V152:$AE152=V152)*($V$3:$AE$3=V$3)*($V$2:$AE$2&lt;V$2))),2))))</f>
      </c>
      <c r="AG152" s="33">
        <f>IF(W152&lt;=0,0,MAX(0,MIN(W152,ROUND($AZ152-SUMPRODUCT($V152:$AE152*($V152:$AE152&gt;0)*(($V152:$AE152&lt;W152)+($V152:$AE152=W152)*($V$3:$AE$3&gt;W$3)+($V152:$AE152=W152)*($V$3:$AE$3=W$3)*($V$2:$AE$2&lt;W$2))),2))))</f>
      </c>
      <c r="AH152" s="33">
        <f>IF(X152&lt;=0,0,MAX(0,MIN(X152,ROUND($AZ152-SUMPRODUCT($V152:$AE152*($V152:$AE152&gt;0)*(($V152:$AE152&lt;X152)+($V152:$AE152=X152)*($V$3:$AE$3&gt;X$3)+($V152:$AE152=X152)*($V$3:$AE$3=X$3)*($V$2:$AE$2&lt;X$2))),2))))</f>
      </c>
      <c r="AI152" s="33">
        <f>IF(Y152&lt;=0,0,MAX(0,MIN(Y152,ROUND($AZ152-SUMPRODUCT($V152:$AE152*($V152:$AE152&gt;0)*(($V152:$AE152&lt;Y152)+($V152:$AE152=Y152)*($V$3:$AE$3&gt;Y$3)+($V152:$AE152=Y152)*($V$3:$AE$3=Y$3)*($V$2:$AE$2&lt;Y$2))),2))))</f>
      </c>
      <c r="AJ152" s="33">
        <f>IF(Z152&lt;=0,0,MAX(0,MIN(Z152,ROUND($AZ152-SUMPRODUCT($V152:$AE152*($V152:$AE152&gt;0)*(($V152:$AE152&lt;Z152)+($V152:$AE152=Z152)*($V$3:$AE$3&gt;Z$3)+($V152:$AE152=Z152)*($V$3:$AE$3=Z$3)*($V$2:$AE$2&lt;Z$2))),2))))</f>
      </c>
      <c r="AK152" s="33">
        <f>IF(AA152&lt;=0,0,MAX(0,MIN(AA152,ROUND($AZ152-SUMPRODUCT($V152:$AE152*($V152:$AE152&gt;0)*(($V152:$AE152&lt;AA152)+($V152:$AE152=AA152)*($V$3:$AE$3&gt;AA$3)+($V152:$AE152=AA152)*($V$3:$AE$3=AA$3)*($V$2:$AE$2&lt;AA$2))),2))))</f>
      </c>
      <c r="AL152" s="33">
        <f>IF(AB152&lt;=0,0,MAX(0,MIN(AB152,ROUND($AZ152-SUMPRODUCT($V152:$AE152*($V152:$AE152&gt;0)*(($V152:$AE152&lt;AB152)+($V152:$AE152=AB152)*($V$3:$AE$3&gt;AB$3)+($V152:$AE152=AB152)*($V$3:$AE$3=AB$3)*($V$2:$AE$2&lt;AB$2))),2))))</f>
      </c>
      <c r="AM152" s="33">
        <f>IF(AC152&lt;=0,0,MAX(0,MIN(AC152,ROUND($AZ152-SUMPRODUCT($V152:$AE152*($V152:$AE152&gt;0)*(($V152:$AE152&lt;AC152)+($V152:$AE152=AC152)*($V$3:$AE$3&gt;AC$3)+($V152:$AE152=AC152)*($V$3:$AE$3=AC$3)*($V$2:$AE$2&lt;AC$2))),2))))</f>
      </c>
      <c r="AN152" s="33">
        <f>IF(AD152&lt;=0,0,MAX(0,MIN(AD152,ROUND($AZ152-SUMPRODUCT($V152:$AE152*($V152:$AE152&gt;0)*(($V152:$AE152&lt;AD152)+($V152:$AE152=AD152)*($V$3:$AE$3&gt;AD$3)+($V152:$AE152=AD152)*($V$3:$AE$3=AD$3)*($V$2:$AE$2&lt;AD$2))),2))))</f>
      </c>
      <c r="AO152" s="33">
        <f>IF(AE152&lt;=0,0,MAX(0,MIN(AE152,ROUND($AZ152-SUMPRODUCT($V152:$AE152*($V152:$AE152&gt;0)*(($V152:$AE152&lt;AE152)+($V152:$AE152=AE152)*($V$3:$AE$3&gt;AE$3)+($V152:$AE152=AE152)*($V$3:$AE$3=AE$3)*($V$2:$AE$2&lt;AE$2))),2))))</f>
      </c>
      <c r="AP152" s="33">
        <f>ROUND(V152-AF152,2)</f>
      </c>
      <c r="AQ152" s="33">
        <f>ROUND(W152-AG152,2)</f>
      </c>
      <c r="AR152" s="33">
        <f>ROUND(X152-AH152,2)</f>
      </c>
      <c r="AS152" s="33">
        <f>ROUND(Y152-AI152,2)</f>
      </c>
      <c r="AT152" s="33">
        <f>ROUND(Z152-AJ152,2)</f>
      </c>
      <c r="AU152" s="33">
        <f>ROUND(AA152-AK152,2)</f>
      </c>
      <c r="AV152" s="33">
        <f>ROUND(AB152-AL152,2)</f>
      </c>
      <c r="AW152" s="33">
        <f>ROUND(AC152-AM152,2)</f>
      </c>
      <c r="AX152" s="33">
        <f>ROUND(AD152-AN152,2)</f>
      </c>
      <c r="AY152" s="33">
        <f>ROUND(AE152-AO152,2)</f>
      </c>
      <c r="AZ152" s="33">
        <f>ROUND(MAX(0,'Your debts'!$D$22-SUM($L152:$U152)),2)</f>
      </c>
      <c r="BA152" s="33">
        <f>ROUND(SUM($B152:$K152)-SUM($AP151:$AY151),2)</f>
      </c>
      <c r="BB152" s="33">
        <f>SUM($AP152:$AY152)</f>
      </c>
      <c r="BC152" s="33">
        <f>ROUND(SUM($L152:$U152)+SUM($AF152:$AO152),2)</f>
      </c>
    </row>
    <row r="153" spans="1:55" x14ac:dyDescent="0.25">
      <c r="A153">
        <v>146</v>
      </c>
      <c r="B153" s="33">
        <f>IF(AP152&lt;=0,0,ROUND(AP152+ROUND(AP152*V$3/12,2),2))</f>
      </c>
      <c r="C153" s="33">
        <f>IF(AQ152&lt;=0,0,ROUND(AQ152+ROUND(AQ152*W$3/12,2),2))</f>
      </c>
      <c r="D153" s="33">
        <f>IF(AR152&lt;=0,0,ROUND(AR152+ROUND(AR152*X$3/12,2),2))</f>
      </c>
      <c r="E153" s="33">
        <f>IF(AS152&lt;=0,0,ROUND(AS152+ROUND(AS152*Y$3/12,2),2))</f>
      </c>
      <c r="F153" s="33">
        <f>IF(AT152&lt;=0,0,ROUND(AT152+ROUND(AT152*Z$3/12,2),2))</f>
      </c>
      <c r="G153" s="33">
        <f>IF(AU152&lt;=0,0,ROUND(AU152+ROUND(AU152*AA$3/12,2),2))</f>
      </c>
      <c r="H153" s="33">
        <f>IF(AV152&lt;=0,0,ROUND(AV152+ROUND(AV152*AB$3/12,2),2))</f>
      </c>
      <c r="I153" s="33">
        <f>IF(AW152&lt;=0,0,ROUND(AW152+ROUND(AW152*AC$3/12,2),2))</f>
      </c>
      <c r="J153" s="33">
        <f>IF(AX152&lt;=0,0,ROUND(AX152+ROUND(AX152*AD$3/12,2),2))</f>
      </c>
      <c r="K153" s="33">
        <f>IF(AY152&lt;=0,0,ROUND(AY152+ROUND(AY152*AE$3/12,2),2))</f>
      </c>
      <c r="L153" s="33">
        <f>ROUND(MIN(MAX(0,N('Your debts'!$E$6)),B153),2)</f>
      </c>
      <c r="M153" s="33">
        <f>ROUND(MIN(MAX(0,N('Your debts'!$E$7)),C153),2)</f>
      </c>
      <c r="N153" s="33">
        <f>ROUND(MIN(MAX(0,N('Your debts'!$E$8)),D153),2)</f>
      </c>
      <c r="O153" s="33">
        <f>ROUND(MIN(MAX(0,N('Your debts'!$E$9)),E153),2)</f>
      </c>
      <c r="P153" s="33">
        <f>ROUND(MIN(MAX(0,N('Your debts'!$E$10)),F153),2)</f>
      </c>
      <c r="Q153" s="33">
        <f>ROUND(MIN(MAX(0,N('Your debts'!$E$11)),G153),2)</f>
      </c>
      <c r="R153" s="33">
        <f>ROUND(MIN(MAX(0,N('Your debts'!$E$12)),H153),2)</f>
      </c>
      <c r="S153" s="33">
        <f>ROUND(MIN(MAX(0,N('Your debts'!$E$13)),I153),2)</f>
      </c>
      <c r="T153" s="33">
        <f>ROUND(MIN(MAX(0,N('Your debts'!$E$14)),J153),2)</f>
      </c>
      <c r="U153" s="33">
        <f>ROUND(MIN(MAX(0,N('Your debts'!$E$15)),K153),2)</f>
      </c>
      <c r="V153" s="33">
        <f>ROUND(B153-L153,2)</f>
      </c>
      <c r="W153" s="33">
        <f>ROUND(C153-M153,2)</f>
      </c>
      <c r="X153" s="33">
        <f>ROUND(D153-N153,2)</f>
      </c>
      <c r="Y153" s="33">
        <f>ROUND(E153-O153,2)</f>
      </c>
      <c r="Z153" s="33">
        <f>ROUND(F153-P153,2)</f>
      </c>
      <c r="AA153" s="33">
        <f>ROUND(G153-Q153,2)</f>
      </c>
      <c r="AB153" s="33">
        <f>ROUND(H153-R153,2)</f>
      </c>
      <c r="AC153" s="33">
        <f>ROUND(I153-S153,2)</f>
      </c>
      <c r="AD153" s="33">
        <f>ROUND(J153-T153,2)</f>
      </c>
      <c r="AE153" s="33">
        <f>ROUND(K153-U153,2)</f>
      </c>
      <c r="AF153" s="33">
        <f>IF(V153&lt;=0,0,MAX(0,MIN(V153,ROUND($AZ153-SUMPRODUCT($V153:$AE153*($V153:$AE153&gt;0)*(($V153:$AE153&lt;V153)+($V153:$AE153=V153)*($V$3:$AE$3&gt;V$3)+($V153:$AE153=V153)*($V$3:$AE$3=V$3)*($V$2:$AE$2&lt;V$2))),2))))</f>
      </c>
      <c r="AG153" s="33">
        <f>IF(W153&lt;=0,0,MAX(0,MIN(W153,ROUND($AZ153-SUMPRODUCT($V153:$AE153*($V153:$AE153&gt;0)*(($V153:$AE153&lt;W153)+($V153:$AE153=W153)*($V$3:$AE$3&gt;W$3)+($V153:$AE153=W153)*($V$3:$AE$3=W$3)*($V$2:$AE$2&lt;W$2))),2))))</f>
      </c>
      <c r="AH153" s="33">
        <f>IF(X153&lt;=0,0,MAX(0,MIN(X153,ROUND($AZ153-SUMPRODUCT($V153:$AE153*($V153:$AE153&gt;0)*(($V153:$AE153&lt;X153)+($V153:$AE153=X153)*($V$3:$AE$3&gt;X$3)+($V153:$AE153=X153)*($V$3:$AE$3=X$3)*($V$2:$AE$2&lt;X$2))),2))))</f>
      </c>
      <c r="AI153" s="33">
        <f>IF(Y153&lt;=0,0,MAX(0,MIN(Y153,ROUND($AZ153-SUMPRODUCT($V153:$AE153*($V153:$AE153&gt;0)*(($V153:$AE153&lt;Y153)+($V153:$AE153=Y153)*($V$3:$AE$3&gt;Y$3)+($V153:$AE153=Y153)*($V$3:$AE$3=Y$3)*($V$2:$AE$2&lt;Y$2))),2))))</f>
      </c>
      <c r="AJ153" s="33">
        <f>IF(Z153&lt;=0,0,MAX(0,MIN(Z153,ROUND($AZ153-SUMPRODUCT($V153:$AE153*($V153:$AE153&gt;0)*(($V153:$AE153&lt;Z153)+($V153:$AE153=Z153)*($V$3:$AE$3&gt;Z$3)+($V153:$AE153=Z153)*($V$3:$AE$3=Z$3)*($V$2:$AE$2&lt;Z$2))),2))))</f>
      </c>
      <c r="AK153" s="33">
        <f>IF(AA153&lt;=0,0,MAX(0,MIN(AA153,ROUND($AZ153-SUMPRODUCT($V153:$AE153*($V153:$AE153&gt;0)*(($V153:$AE153&lt;AA153)+($V153:$AE153=AA153)*($V$3:$AE$3&gt;AA$3)+($V153:$AE153=AA153)*($V$3:$AE$3=AA$3)*($V$2:$AE$2&lt;AA$2))),2))))</f>
      </c>
      <c r="AL153" s="33">
        <f>IF(AB153&lt;=0,0,MAX(0,MIN(AB153,ROUND($AZ153-SUMPRODUCT($V153:$AE153*($V153:$AE153&gt;0)*(($V153:$AE153&lt;AB153)+($V153:$AE153=AB153)*($V$3:$AE$3&gt;AB$3)+($V153:$AE153=AB153)*($V$3:$AE$3=AB$3)*($V$2:$AE$2&lt;AB$2))),2))))</f>
      </c>
      <c r="AM153" s="33">
        <f>IF(AC153&lt;=0,0,MAX(0,MIN(AC153,ROUND($AZ153-SUMPRODUCT($V153:$AE153*($V153:$AE153&gt;0)*(($V153:$AE153&lt;AC153)+($V153:$AE153=AC153)*($V$3:$AE$3&gt;AC$3)+($V153:$AE153=AC153)*($V$3:$AE$3=AC$3)*($V$2:$AE$2&lt;AC$2))),2))))</f>
      </c>
      <c r="AN153" s="33">
        <f>IF(AD153&lt;=0,0,MAX(0,MIN(AD153,ROUND($AZ153-SUMPRODUCT($V153:$AE153*($V153:$AE153&gt;0)*(($V153:$AE153&lt;AD153)+($V153:$AE153=AD153)*($V$3:$AE$3&gt;AD$3)+($V153:$AE153=AD153)*($V$3:$AE$3=AD$3)*($V$2:$AE$2&lt;AD$2))),2))))</f>
      </c>
      <c r="AO153" s="33">
        <f>IF(AE153&lt;=0,0,MAX(0,MIN(AE153,ROUND($AZ153-SUMPRODUCT($V153:$AE153*($V153:$AE153&gt;0)*(($V153:$AE153&lt;AE153)+($V153:$AE153=AE153)*($V$3:$AE$3&gt;AE$3)+($V153:$AE153=AE153)*($V$3:$AE$3=AE$3)*($V$2:$AE$2&lt;AE$2))),2))))</f>
      </c>
      <c r="AP153" s="33">
        <f>ROUND(V153-AF153,2)</f>
      </c>
      <c r="AQ153" s="33">
        <f>ROUND(W153-AG153,2)</f>
      </c>
      <c r="AR153" s="33">
        <f>ROUND(X153-AH153,2)</f>
      </c>
      <c r="AS153" s="33">
        <f>ROUND(Y153-AI153,2)</f>
      </c>
      <c r="AT153" s="33">
        <f>ROUND(Z153-AJ153,2)</f>
      </c>
      <c r="AU153" s="33">
        <f>ROUND(AA153-AK153,2)</f>
      </c>
      <c r="AV153" s="33">
        <f>ROUND(AB153-AL153,2)</f>
      </c>
      <c r="AW153" s="33">
        <f>ROUND(AC153-AM153,2)</f>
      </c>
      <c r="AX153" s="33">
        <f>ROUND(AD153-AN153,2)</f>
      </c>
      <c r="AY153" s="33">
        <f>ROUND(AE153-AO153,2)</f>
      </c>
      <c r="AZ153" s="33">
        <f>ROUND(MAX(0,'Your debts'!$D$22-SUM($L153:$U153)),2)</f>
      </c>
      <c r="BA153" s="33">
        <f>ROUND(SUM($B153:$K153)-SUM($AP152:$AY152),2)</f>
      </c>
      <c r="BB153" s="33">
        <f>SUM($AP153:$AY153)</f>
      </c>
      <c r="BC153" s="33">
        <f>ROUND(SUM($L153:$U153)+SUM($AF153:$AO153),2)</f>
      </c>
    </row>
    <row r="154" spans="1:55" x14ac:dyDescent="0.25">
      <c r="A154">
        <v>147</v>
      </c>
      <c r="B154" s="33">
        <f>IF(AP153&lt;=0,0,ROUND(AP153+ROUND(AP153*V$3/12,2),2))</f>
      </c>
      <c r="C154" s="33">
        <f>IF(AQ153&lt;=0,0,ROUND(AQ153+ROUND(AQ153*W$3/12,2),2))</f>
      </c>
      <c r="D154" s="33">
        <f>IF(AR153&lt;=0,0,ROUND(AR153+ROUND(AR153*X$3/12,2),2))</f>
      </c>
      <c r="E154" s="33">
        <f>IF(AS153&lt;=0,0,ROUND(AS153+ROUND(AS153*Y$3/12,2),2))</f>
      </c>
      <c r="F154" s="33">
        <f>IF(AT153&lt;=0,0,ROUND(AT153+ROUND(AT153*Z$3/12,2),2))</f>
      </c>
      <c r="G154" s="33">
        <f>IF(AU153&lt;=0,0,ROUND(AU153+ROUND(AU153*AA$3/12,2),2))</f>
      </c>
      <c r="H154" s="33">
        <f>IF(AV153&lt;=0,0,ROUND(AV153+ROUND(AV153*AB$3/12,2),2))</f>
      </c>
      <c r="I154" s="33">
        <f>IF(AW153&lt;=0,0,ROUND(AW153+ROUND(AW153*AC$3/12,2),2))</f>
      </c>
      <c r="J154" s="33">
        <f>IF(AX153&lt;=0,0,ROUND(AX153+ROUND(AX153*AD$3/12,2),2))</f>
      </c>
      <c r="K154" s="33">
        <f>IF(AY153&lt;=0,0,ROUND(AY153+ROUND(AY153*AE$3/12,2),2))</f>
      </c>
      <c r="L154" s="33">
        <f>ROUND(MIN(MAX(0,N('Your debts'!$E$6)),B154),2)</f>
      </c>
      <c r="M154" s="33">
        <f>ROUND(MIN(MAX(0,N('Your debts'!$E$7)),C154),2)</f>
      </c>
      <c r="N154" s="33">
        <f>ROUND(MIN(MAX(0,N('Your debts'!$E$8)),D154),2)</f>
      </c>
      <c r="O154" s="33">
        <f>ROUND(MIN(MAX(0,N('Your debts'!$E$9)),E154),2)</f>
      </c>
      <c r="P154" s="33">
        <f>ROUND(MIN(MAX(0,N('Your debts'!$E$10)),F154),2)</f>
      </c>
      <c r="Q154" s="33">
        <f>ROUND(MIN(MAX(0,N('Your debts'!$E$11)),G154),2)</f>
      </c>
      <c r="R154" s="33">
        <f>ROUND(MIN(MAX(0,N('Your debts'!$E$12)),H154),2)</f>
      </c>
      <c r="S154" s="33">
        <f>ROUND(MIN(MAX(0,N('Your debts'!$E$13)),I154),2)</f>
      </c>
      <c r="T154" s="33">
        <f>ROUND(MIN(MAX(0,N('Your debts'!$E$14)),J154),2)</f>
      </c>
      <c r="U154" s="33">
        <f>ROUND(MIN(MAX(0,N('Your debts'!$E$15)),K154),2)</f>
      </c>
      <c r="V154" s="33">
        <f>ROUND(B154-L154,2)</f>
      </c>
      <c r="W154" s="33">
        <f>ROUND(C154-M154,2)</f>
      </c>
      <c r="X154" s="33">
        <f>ROUND(D154-N154,2)</f>
      </c>
      <c r="Y154" s="33">
        <f>ROUND(E154-O154,2)</f>
      </c>
      <c r="Z154" s="33">
        <f>ROUND(F154-P154,2)</f>
      </c>
      <c r="AA154" s="33">
        <f>ROUND(G154-Q154,2)</f>
      </c>
      <c r="AB154" s="33">
        <f>ROUND(H154-R154,2)</f>
      </c>
      <c r="AC154" s="33">
        <f>ROUND(I154-S154,2)</f>
      </c>
      <c r="AD154" s="33">
        <f>ROUND(J154-T154,2)</f>
      </c>
      <c r="AE154" s="33">
        <f>ROUND(K154-U154,2)</f>
      </c>
      <c r="AF154" s="33">
        <f>IF(V154&lt;=0,0,MAX(0,MIN(V154,ROUND($AZ154-SUMPRODUCT($V154:$AE154*($V154:$AE154&gt;0)*(($V154:$AE154&lt;V154)+($V154:$AE154=V154)*($V$3:$AE$3&gt;V$3)+($V154:$AE154=V154)*($V$3:$AE$3=V$3)*($V$2:$AE$2&lt;V$2))),2))))</f>
      </c>
      <c r="AG154" s="33">
        <f>IF(W154&lt;=0,0,MAX(0,MIN(W154,ROUND($AZ154-SUMPRODUCT($V154:$AE154*($V154:$AE154&gt;0)*(($V154:$AE154&lt;W154)+($V154:$AE154=W154)*($V$3:$AE$3&gt;W$3)+($V154:$AE154=W154)*($V$3:$AE$3=W$3)*($V$2:$AE$2&lt;W$2))),2))))</f>
      </c>
      <c r="AH154" s="33">
        <f>IF(X154&lt;=0,0,MAX(0,MIN(X154,ROUND($AZ154-SUMPRODUCT($V154:$AE154*($V154:$AE154&gt;0)*(($V154:$AE154&lt;X154)+($V154:$AE154=X154)*($V$3:$AE$3&gt;X$3)+($V154:$AE154=X154)*($V$3:$AE$3=X$3)*($V$2:$AE$2&lt;X$2))),2))))</f>
      </c>
      <c r="AI154" s="33">
        <f>IF(Y154&lt;=0,0,MAX(0,MIN(Y154,ROUND($AZ154-SUMPRODUCT($V154:$AE154*($V154:$AE154&gt;0)*(($V154:$AE154&lt;Y154)+($V154:$AE154=Y154)*($V$3:$AE$3&gt;Y$3)+($V154:$AE154=Y154)*($V$3:$AE$3=Y$3)*($V$2:$AE$2&lt;Y$2))),2))))</f>
      </c>
      <c r="AJ154" s="33">
        <f>IF(Z154&lt;=0,0,MAX(0,MIN(Z154,ROUND($AZ154-SUMPRODUCT($V154:$AE154*($V154:$AE154&gt;0)*(($V154:$AE154&lt;Z154)+($V154:$AE154=Z154)*($V$3:$AE$3&gt;Z$3)+($V154:$AE154=Z154)*($V$3:$AE$3=Z$3)*($V$2:$AE$2&lt;Z$2))),2))))</f>
      </c>
      <c r="AK154" s="33">
        <f>IF(AA154&lt;=0,0,MAX(0,MIN(AA154,ROUND($AZ154-SUMPRODUCT($V154:$AE154*($V154:$AE154&gt;0)*(($V154:$AE154&lt;AA154)+($V154:$AE154=AA154)*($V$3:$AE$3&gt;AA$3)+($V154:$AE154=AA154)*($V$3:$AE$3=AA$3)*($V$2:$AE$2&lt;AA$2))),2))))</f>
      </c>
      <c r="AL154" s="33">
        <f>IF(AB154&lt;=0,0,MAX(0,MIN(AB154,ROUND($AZ154-SUMPRODUCT($V154:$AE154*($V154:$AE154&gt;0)*(($V154:$AE154&lt;AB154)+($V154:$AE154=AB154)*($V$3:$AE$3&gt;AB$3)+($V154:$AE154=AB154)*($V$3:$AE$3=AB$3)*($V$2:$AE$2&lt;AB$2))),2))))</f>
      </c>
      <c r="AM154" s="33">
        <f>IF(AC154&lt;=0,0,MAX(0,MIN(AC154,ROUND($AZ154-SUMPRODUCT($V154:$AE154*($V154:$AE154&gt;0)*(($V154:$AE154&lt;AC154)+($V154:$AE154=AC154)*($V$3:$AE$3&gt;AC$3)+($V154:$AE154=AC154)*($V$3:$AE$3=AC$3)*($V$2:$AE$2&lt;AC$2))),2))))</f>
      </c>
      <c r="AN154" s="33">
        <f>IF(AD154&lt;=0,0,MAX(0,MIN(AD154,ROUND($AZ154-SUMPRODUCT($V154:$AE154*($V154:$AE154&gt;0)*(($V154:$AE154&lt;AD154)+($V154:$AE154=AD154)*($V$3:$AE$3&gt;AD$3)+($V154:$AE154=AD154)*($V$3:$AE$3=AD$3)*($V$2:$AE$2&lt;AD$2))),2))))</f>
      </c>
      <c r="AO154" s="33">
        <f>IF(AE154&lt;=0,0,MAX(0,MIN(AE154,ROUND($AZ154-SUMPRODUCT($V154:$AE154*($V154:$AE154&gt;0)*(($V154:$AE154&lt;AE154)+($V154:$AE154=AE154)*($V$3:$AE$3&gt;AE$3)+($V154:$AE154=AE154)*($V$3:$AE$3=AE$3)*($V$2:$AE$2&lt;AE$2))),2))))</f>
      </c>
      <c r="AP154" s="33">
        <f>ROUND(V154-AF154,2)</f>
      </c>
      <c r="AQ154" s="33">
        <f>ROUND(W154-AG154,2)</f>
      </c>
      <c r="AR154" s="33">
        <f>ROUND(X154-AH154,2)</f>
      </c>
      <c r="AS154" s="33">
        <f>ROUND(Y154-AI154,2)</f>
      </c>
      <c r="AT154" s="33">
        <f>ROUND(Z154-AJ154,2)</f>
      </c>
      <c r="AU154" s="33">
        <f>ROUND(AA154-AK154,2)</f>
      </c>
      <c r="AV154" s="33">
        <f>ROUND(AB154-AL154,2)</f>
      </c>
      <c r="AW154" s="33">
        <f>ROUND(AC154-AM154,2)</f>
      </c>
      <c r="AX154" s="33">
        <f>ROUND(AD154-AN154,2)</f>
      </c>
      <c r="AY154" s="33">
        <f>ROUND(AE154-AO154,2)</f>
      </c>
      <c r="AZ154" s="33">
        <f>ROUND(MAX(0,'Your debts'!$D$22-SUM($L154:$U154)),2)</f>
      </c>
      <c r="BA154" s="33">
        <f>ROUND(SUM($B154:$K154)-SUM($AP153:$AY153),2)</f>
      </c>
      <c r="BB154" s="33">
        <f>SUM($AP154:$AY154)</f>
      </c>
      <c r="BC154" s="33">
        <f>ROUND(SUM($L154:$U154)+SUM($AF154:$AO154),2)</f>
      </c>
    </row>
    <row r="155" spans="1:55" x14ac:dyDescent="0.25">
      <c r="A155">
        <v>148</v>
      </c>
      <c r="B155" s="33">
        <f>IF(AP154&lt;=0,0,ROUND(AP154+ROUND(AP154*V$3/12,2),2))</f>
      </c>
      <c r="C155" s="33">
        <f>IF(AQ154&lt;=0,0,ROUND(AQ154+ROUND(AQ154*W$3/12,2),2))</f>
      </c>
      <c r="D155" s="33">
        <f>IF(AR154&lt;=0,0,ROUND(AR154+ROUND(AR154*X$3/12,2),2))</f>
      </c>
      <c r="E155" s="33">
        <f>IF(AS154&lt;=0,0,ROUND(AS154+ROUND(AS154*Y$3/12,2),2))</f>
      </c>
      <c r="F155" s="33">
        <f>IF(AT154&lt;=0,0,ROUND(AT154+ROUND(AT154*Z$3/12,2),2))</f>
      </c>
      <c r="G155" s="33">
        <f>IF(AU154&lt;=0,0,ROUND(AU154+ROUND(AU154*AA$3/12,2),2))</f>
      </c>
      <c r="H155" s="33">
        <f>IF(AV154&lt;=0,0,ROUND(AV154+ROUND(AV154*AB$3/12,2),2))</f>
      </c>
      <c r="I155" s="33">
        <f>IF(AW154&lt;=0,0,ROUND(AW154+ROUND(AW154*AC$3/12,2),2))</f>
      </c>
      <c r="J155" s="33">
        <f>IF(AX154&lt;=0,0,ROUND(AX154+ROUND(AX154*AD$3/12,2),2))</f>
      </c>
      <c r="K155" s="33">
        <f>IF(AY154&lt;=0,0,ROUND(AY154+ROUND(AY154*AE$3/12,2),2))</f>
      </c>
      <c r="L155" s="33">
        <f>ROUND(MIN(MAX(0,N('Your debts'!$E$6)),B155),2)</f>
      </c>
      <c r="M155" s="33">
        <f>ROUND(MIN(MAX(0,N('Your debts'!$E$7)),C155),2)</f>
      </c>
      <c r="N155" s="33">
        <f>ROUND(MIN(MAX(0,N('Your debts'!$E$8)),D155),2)</f>
      </c>
      <c r="O155" s="33">
        <f>ROUND(MIN(MAX(0,N('Your debts'!$E$9)),E155),2)</f>
      </c>
      <c r="P155" s="33">
        <f>ROUND(MIN(MAX(0,N('Your debts'!$E$10)),F155),2)</f>
      </c>
      <c r="Q155" s="33">
        <f>ROUND(MIN(MAX(0,N('Your debts'!$E$11)),G155),2)</f>
      </c>
      <c r="R155" s="33">
        <f>ROUND(MIN(MAX(0,N('Your debts'!$E$12)),H155),2)</f>
      </c>
      <c r="S155" s="33">
        <f>ROUND(MIN(MAX(0,N('Your debts'!$E$13)),I155),2)</f>
      </c>
      <c r="T155" s="33">
        <f>ROUND(MIN(MAX(0,N('Your debts'!$E$14)),J155),2)</f>
      </c>
      <c r="U155" s="33">
        <f>ROUND(MIN(MAX(0,N('Your debts'!$E$15)),K155),2)</f>
      </c>
      <c r="V155" s="33">
        <f>ROUND(B155-L155,2)</f>
      </c>
      <c r="W155" s="33">
        <f>ROUND(C155-M155,2)</f>
      </c>
      <c r="X155" s="33">
        <f>ROUND(D155-N155,2)</f>
      </c>
      <c r="Y155" s="33">
        <f>ROUND(E155-O155,2)</f>
      </c>
      <c r="Z155" s="33">
        <f>ROUND(F155-P155,2)</f>
      </c>
      <c r="AA155" s="33">
        <f>ROUND(G155-Q155,2)</f>
      </c>
      <c r="AB155" s="33">
        <f>ROUND(H155-R155,2)</f>
      </c>
      <c r="AC155" s="33">
        <f>ROUND(I155-S155,2)</f>
      </c>
      <c r="AD155" s="33">
        <f>ROUND(J155-T155,2)</f>
      </c>
      <c r="AE155" s="33">
        <f>ROUND(K155-U155,2)</f>
      </c>
      <c r="AF155" s="33">
        <f>IF(V155&lt;=0,0,MAX(0,MIN(V155,ROUND($AZ155-SUMPRODUCT($V155:$AE155*($V155:$AE155&gt;0)*(($V155:$AE155&lt;V155)+($V155:$AE155=V155)*($V$3:$AE$3&gt;V$3)+($V155:$AE155=V155)*($V$3:$AE$3=V$3)*($V$2:$AE$2&lt;V$2))),2))))</f>
      </c>
      <c r="AG155" s="33">
        <f>IF(W155&lt;=0,0,MAX(0,MIN(W155,ROUND($AZ155-SUMPRODUCT($V155:$AE155*($V155:$AE155&gt;0)*(($V155:$AE155&lt;W155)+($V155:$AE155=W155)*($V$3:$AE$3&gt;W$3)+($V155:$AE155=W155)*($V$3:$AE$3=W$3)*($V$2:$AE$2&lt;W$2))),2))))</f>
      </c>
      <c r="AH155" s="33">
        <f>IF(X155&lt;=0,0,MAX(0,MIN(X155,ROUND($AZ155-SUMPRODUCT($V155:$AE155*($V155:$AE155&gt;0)*(($V155:$AE155&lt;X155)+($V155:$AE155=X155)*($V$3:$AE$3&gt;X$3)+($V155:$AE155=X155)*($V$3:$AE$3=X$3)*($V$2:$AE$2&lt;X$2))),2))))</f>
      </c>
      <c r="AI155" s="33">
        <f>IF(Y155&lt;=0,0,MAX(0,MIN(Y155,ROUND($AZ155-SUMPRODUCT($V155:$AE155*($V155:$AE155&gt;0)*(($V155:$AE155&lt;Y155)+($V155:$AE155=Y155)*($V$3:$AE$3&gt;Y$3)+($V155:$AE155=Y155)*($V$3:$AE$3=Y$3)*($V$2:$AE$2&lt;Y$2))),2))))</f>
      </c>
      <c r="AJ155" s="33">
        <f>IF(Z155&lt;=0,0,MAX(0,MIN(Z155,ROUND($AZ155-SUMPRODUCT($V155:$AE155*($V155:$AE155&gt;0)*(($V155:$AE155&lt;Z155)+($V155:$AE155=Z155)*($V$3:$AE$3&gt;Z$3)+($V155:$AE155=Z155)*($V$3:$AE$3=Z$3)*($V$2:$AE$2&lt;Z$2))),2))))</f>
      </c>
      <c r="AK155" s="33">
        <f>IF(AA155&lt;=0,0,MAX(0,MIN(AA155,ROUND($AZ155-SUMPRODUCT($V155:$AE155*($V155:$AE155&gt;0)*(($V155:$AE155&lt;AA155)+($V155:$AE155=AA155)*($V$3:$AE$3&gt;AA$3)+($V155:$AE155=AA155)*($V$3:$AE$3=AA$3)*($V$2:$AE$2&lt;AA$2))),2))))</f>
      </c>
      <c r="AL155" s="33">
        <f>IF(AB155&lt;=0,0,MAX(0,MIN(AB155,ROUND($AZ155-SUMPRODUCT($V155:$AE155*($V155:$AE155&gt;0)*(($V155:$AE155&lt;AB155)+($V155:$AE155=AB155)*($V$3:$AE$3&gt;AB$3)+($V155:$AE155=AB155)*($V$3:$AE$3=AB$3)*($V$2:$AE$2&lt;AB$2))),2))))</f>
      </c>
      <c r="AM155" s="33">
        <f>IF(AC155&lt;=0,0,MAX(0,MIN(AC155,ROUND($AZ155-SUMPRODUCT($V155:$AE155*($V155:$AE155&gt;0)*(($V155:$AE155&lt;AC155)+($V155:$AE155=AC155)*($V$3:$AE$3&gt;AC$3)+($V155:$AE155=AC155)*($V$3:$AE$3=AC$3)*($V$2:$AE$2&lt;AC$2))),2))))</f>
      </c>
      <c r="AN155" s="33">
        <f>IF(AD155&lt;=0,0,MAX(0,MIN(AD155,ROUND($AZ155-SUMPRODUCT($V155:$AE155*($V155:$AE155&gt;0)*(($V155:$AE155&lt;AD155)+($V155:$AE155=AD155)*($V$3:$AE$3&gt;AD$3)+($V155:$AE155=AD155)*($V$3:$AE$3=AD$3)*($V$2:$AE$2&lt;AD$2))),2))))</f>
      </c>
      <c r="AO155" s="33">
        <f>IF(AE155&lt;=0,0,MAX(0,MIN(AE155,ROUND($AZ155-SUMPRODUCT($V155:$AE155*($V155:$AE155&gt;0)*(($V155:$AE155&lt;AE155)+($V155:$AE155=AE155)*($V$3:$AE$3&gt;AE$3)+($V155:$AE155=AE155)*($V$3:$AE$3=AE$3)*($V$2:$AE$2&lt;AE$2))),2))))</f>
      </c>
      <c r="AP155" s="33">
        <f>ROUND(V155-AF155,2)</f>
      </c>
      <c r="AQ155" s="33">
        <f>ROUND(W155-AG155,2)</f>
      </c>
      <c r="AR155" s="33">
        <f>ROUND(X155-AH155,2)</f>
      </c>
      <c r="AS155" s="33">
        <f>ROUND(Y155-AI155,2)</f>
      </c>
      <c r="AT155" s="33">
        <f>ROUND(Z155-AJ155,2)</f>
      </c>
      <c r="AU155" s="33">
        <f>ROUND(AA155-AK155,2)</f>
      </c>
      <c r="AV155" s="33">
        <f>ROUND(AB155-AL155,2)</f>
      </c>
      <c r="AW155" s="33">
        <f>ROUND(AC155-AM155,2)</f>
      </c>
      <c r="AX155" s="33">
        <f>ROUND(AD155-AN155,2)</f>
      </c>
      <c r="AY155" s="33">
        <f>ROUND(AE155-AO155,2)</f>
      </c>
      <c r="AZ155" s="33">
        <f>ROUND(MAX(0,'Your debts'!$D$22-SUM($L155:$U155)),2)</f>
      </c>
      <c r="BA155" s="33">
        <f>ROUND(SUM($B155:$K155)-SUM($AP154:$AY154),2)</f>
      </c>
      <c r="BB155" s="33">
        <f>SUM($AP155:$AY155)</f>
      </c>
      <c r="BC155" s="33">
        <f>ROUND(SUM($L155:$U155)+SUM($AF155:$AO155),2)</f>
      </c>
    </row>
    <row r="156" spans="1:55" x14ac:dyDescent="0.25">
      <c r="A156">
        <v>149</v>
      </c>
      <c r="B156" s="33">
        <f>IF(AP155&lt;=0,0,ROUND(AP155+ROUND(AP155*V$3/12,2),2))</f>
      </c>
      <c r="C156" s="33">
        <f>IF(AQ155&lt;=0,0,ROUND(AQ155+ROUND(AQ155*W$3/12,2),2))</f>
      </c>
      <c r="D156" s="33">
        <f>IF(AR155&lt;=0,0,ROUND(AR155+ROUND(AR155*X$3/12,2),2))</f>
      </c>
      <c r="E156" s="33">
        <f>IF(AS155&lt;=0,0,ROUND(AS155+ROUND(AS155*Y$3/12,2),2))</f>
      </c>
      <c r="F156" s="33">
        <f>IF(AT155&lt;=0,0,ROUND(AT155+ROUND(AT155*Z$3/12,2),2))</f>
      </c>
      <c r="G156" s="33">
        <f>IF(AU155&lt;=0,0,ROUND(AU155+ROUND(AU155*AA$3/12,2),2))</f>
      </c>
      <c r="H156" s="33">
        <f>IF(AV155&lt;=0,0,ROUND(AV155+ROUND(AV155*AB$3/12,2),2))</f>
      </c>
      <c r="I156" s="33">
        <f>IF(AW155&lt;=0,0,ROUND(AW155+ROUND(AW155*AC$3/12,2),2))</f>
      </c>
      <c r="J156" s="33">
        <f>IF(AX155&lt;=0,0,ROUND(AX155+ROUND(AX155*AD$3/12,2),2))</f>
      </c>
      <c r="K156" s="33">
        <f>IF(AY155&lt;=0,0,ROUND(AY155+ROUND(AY155*AE$3/12,2),2))</f>
      </c>
      <c r="L156" s="33">
        <f>ROUND(MIN(MAX(0,N('Your debts'!$E$6)),B156),2)</f>
      </c>
      <c r="M156" s="33">
        <f>ROUND(MIN(MAX(0,N('Your debts'!$E$7)),C156),2)</f>
      </c>
      <c r="N156" s="33">
        <f>ROUND(MIN(MAX(0,N('Your debts'!$E$8)),D156),2)</f>
      </c>
      <c r="O156" s="33">
        <f>ROUND(MIN(MAX(0,N('Your debts'!$E$9)),E156),2)</f>
      </c>
      <c r="P156" s="33">
        <f>ROUND(MIN(MAX(0,N('Your debts'!$E$10)),F156),2)</f>
      </c>
      <c r="Q156" s="33">
        <f>ROUND(MIN(MAX(0,N('Your debts'!$E$11)),G156),2)</f>
      </c>
      <c r="R156" s="33">
        <f>ROUND(MIN(MAX(0,N('Your debts'!$E$12)),H156),2)</f>
      </c>
      <c r="S156" s="33">
        <f>ROUND(MIN(MAX(0,N('Your debts'!$E$13)),I156),2)</f>
      </c>
      <c r="T156" s="33">
        <f>ROUND(MIN(MAX(0,N('Your debts'!$E$14)),J156),2)</f>
      </c>
      <c r="U156" s="33">
        <f>ROUND(MIN(MAX(0,N('Your debts'!$E$15)),K156),2)</f>
      </c>
      <c r="V156" s="33">
        <f>ROUND(B156-L156,2)</f>
      </c>
      <c r="W156" s="33">
        <f>ROUND(C156-M156,2)</f>
      </c>
      <c r="X156" s="33">
        <f>ROUND(D156-N156,2)</f>
      </c>
      <c r="Y156" s="33">
        <f>ROUND(E156-O156,2)</f>
      </c>
      <c r="Z156" s="33">
        <f>ROUND(F156-P156,2)</f>
      </c>
      <c r="AA156" s="33">
        <f>ROUND(G156-Q156,2)</f>
      </c>
      <c r="AB156" s="33">
        <f>ROUND(H156-R156,2)</f>
      </c>
      <c r="AC156" s="33">
        <f>ROUND(I156-S156,2)</f>
      </c>
      <c r="AD156" s="33">
        <f>ROUND(J156-T156,2)</f>
      </c>
      <c r="AE156" s="33">
        <f>ROUND(K156-U156,2)</f>
      </c>
      <c r="AF156" s="33">
        <f>IF(V156&lt;=0,0,MAX(0,MIN(V156,ROUND($AZ156-SUMPRODUCT($V156:$AE156*($V156:$AE156&gt;0)*(($V156:$AE156&lt;V156)+($V156:$AE156=V156)*($V$3:$AE$3&gt;V$3)+($V156:$AE156=V156)*($V$3:$AE$3=V$3)*($V$2:$AE$2&lt;V$2))),2))))</f>
      </c>
      <c r="AG156" s="33">
        <f>IF(W156&lt;=0,0,MAX(0,MIN(W156,ROUND($AZ156-SUMPRODUCT($V156:$AE156*($V156:$AE156&gt;0)*(($V156:$AE156&lt;W156)+($V156:$AE156=W156)*($V$3:$AE$3&gt;W$3)+($V156:$AE156=W156)*($V$3:$AE$3=W$3)*($V$2:$AE$2&lt;W$2))),2))))</f>
      </c>
      <c r="AH156" s="33">
        <f>IF(X156&lt;=0,0,MAX(0,MIN(X156,ROUND($AZ156-SUMPRODUCT($V156:$AE156*($V156:$AE156&gt;0)*(($V156:$AE156&lt;X156)+($V156:$AE156=X156)*($V$3:$AE$3&gt;X$3)+($V156:$AE156=X156)*($V$3:$AE$3=X$3)*($V$2:$AE$2&lt;X$2))),2))))</f>
      </c>
      <c r="AI156" s="33">
        <f>IF(Y156&lt;=0,0,MAX(0,MIN(Y156,ROUND($AZ156-SUMPRODUCT($V156:$AE156*($V156:$AE156&gt;0)*(($V156:$AE156&lt;Y156)+($V156:$AE156=Y156)*($V$3:$AE$3&gt;Y$3)+($V156:$AE156=Y156)*($V$3:$AE$3=Y$3)*($V$2:$AE$2&lt;Y$2))),2))))</f>
      </c>
      <c r="AJ156" s="33">
        <f>IF(Z156&lt;=0,0,MAX(0,MIN(Z156,ROUND($AZ156-SUMPRODUCT($V156:$AE156*($V156:$AE156&gt;0)*(($V156:$AE156&lt;Z156)+($V156:$AE156=Z156)*($V$3:$AE$3&gt;Z$3)+($V156:$AE156=Z156)*($V$3:$AE$3=Z$3)*($V$2:$AE$2&lt;Z$2))),2))))</f>
      </c>
      <c r="AK156" s="33">
        <f>IF(AA156&lt;=0,0,MAX(0,MIN(AA156,ROUND($AZ156-SUMPRODUCT($V156:$AE156*($V156:$AE156&gt;0)*(($V156:$AE156&lt;AA156)+($V156:$AE156=AA156)*($V$3:$AE$3&gt;AA$3)+($V156:$AE156=AA156)*($V$3:$AE$3=AA$3)*($V$2:$AE$2&lt;AA$2))),2))))</f>
      </c>
      <c r="AL156" s="33">
        <f>IF(AB156&lt;=0,0,MAX(0,MIN(AB156,ROUND($AZ156-SUMPRODUCT($V156:$AE156*($V156:$AE156&gt;0)*(($V156:$AE156&lt;AB156)+($V156:$AE156=AB156)*($V$3:$AE$3&gt;AB$3)+($V156:$AE156=AB156)*($V$3:$AE$3=AB$3)*($V$2:$AE$2&lt;AB$2))),2))))</f>
      </c>
      <c r="AM156" s="33">
        <f>IF(AC156&lt;=0,0,MAX(0,MIN(AC156,ROUND($AZ156-SUMPRODUCT($V156:$AE156*($V156:$AE156&gt;0)*(($V156:$AE156&lt;AC156)+($V156:$AE156=AC156)*($V$3:$AE$3&gt;AC$3)+($V156:$AE156=AC156)*($V$3:$AE$3=AC$3)*($V$2:$AE$2&lt;AC$2))),2))))</f>
      </c>
      <c r="AN156" s="33">
        <f>IF(AD156&lt;=0,0,MAX(0,MIN(AD156,ROUND($AZ156-SUMPRODUCT($V156:$AE156*($V156:$AE156&gt;0)*(($V156:$AE156&lt;AD156)+($V156:$AE156=AD156)*($V$3:$AE$3&gt;AD$3)+($V156:$AE156=AD156)*($V$3:$AE$3=AD$3)*($V$2:$AE$2&lt;AD$2))),2))))</f>
      </c>
      <c r="AO156" s="33">
        <f>IF(AE156&lt;=0,0,MAX(0,MIN(AE156,ROUND($AZ156-SUMPRODUCT($V156:$AE156*($V156:$AE156&gt;0)*(($V156:$AE156&lt;AE156)+($V156:$AE156=AE156)*($V$3:$AE$3&gt;AE$3)+($V156:$AE156=AE156)*($V$3:$AE$3=AE$3)*($V$2:$AE$2&lt;AE$2))),2))))</f>
      </c>
      <c r="AP156" s="33">
        <f>ROUND(V156-AF156,2)</f>
      </c>
      <c r="AQ156" s="33">
        <f>ROUND(W156-AG156,2)</f>
      </c>
      <c r="AR156" s="33">
        <f>ROUND(X156-AH156,2)</f>
      </c>
      <c r="AS156" s="33">
        <f>ROUND(Y156-AI156,2)</f>
      </c>
      <c r="AT156" s="33">
        <f>ROUND(Z156-AJ156,2)</f>
      </c>
      <c r="AU156" s="33">
        <f>ROUND(AA156-AK156,2)</f>
      </c>
      <c r="AV156" s="33">
        <f>ROUND(AB156-AL156,2)</f>
      </c>
      <c r="AW156" s="33">
        <f>ROUND(AC156-AM156,2)</f>
      </c>
      <c r="AX156" s="33">
        <f>ROUND(AD156-AN156,2)</f>
      </c>
      <c r="AY156" s="33">
        <f>ROUND(AE156-AO156,2)</f>
      </c>
      <c r="AZ156" s="33">
        <f>ROUND(MAX(0,'Your debts'!$D$22-SUM($L156:$U156)),2)</f>
      </c>
      <c r="BA156" s="33">
        <f>ROUND(SUM($B156:$K156)-SUM($AP155:$AY155),2)</f>
      </c>
      <c r="BB156" s="33">
        <f>SUM($AP156:$AY156)</f>
      </c>
      <c r="BC156" s="33">
        <f>ROUND(SUM($L156:$U156)+SUM($AF156:$AO156),2)</f>
      </c>
    </row>
    <row r="157" spans="1:55" x14ac:dyDescent="0.25">
      <c r="A157">
        <v>150</v>
      </c>
      <c r="B157" s="33">
        <f>IF(AP156&lt;=0,0,ROUND(AP156+ROUND(AP156*V$3/12,2),2))</f>
      </c>
      <c r="C157" s="33">
        <f>IF(AQ156&lt;=0,0,ROUND(AQ156+ROUND(AQ156*W$3/12,2),2))</f>
      </c>
      <c r="D157" s="33">
        <f>IF(AR156&lt;=0,0,ROUND(AR156+ROUND(AR156*X$3/12,2),2))</f>
      </c>
      <c r="E157" s="33">
        <f>IF(AS156&lt;=0,0,ROUND(AS156+ROUND(AS156*Y$3/12,2),2))</f>
      </c>
      <c r="F157" s="33">
        <f>IF(AT156&lt;=0,0,ROUND(AT156+ROUND(AT156*Z$3/12,2),2))</f>
      </c>
      <c r="G157" s="33">
        <f>IF(AU156&lt;=0,0,ROUND(AU156+ROUND(AU156*AA$3/12,2),2))</f>
      </c>
      <c r="H157" s="33">
        <f>IF(AV156&lt;=0,0,ROUND(AV156+ROUND(AV156*AB$3/12,2),2))</f>
      </c>
      <c r="I157" s="33">
        <f>IF(AW156&lt;=0,0,ROUND(AW156+ROUND(AW156*AC$3/12,2),2))</f>
      </c>
      <c r="J157" s="33">
        <f>IF(AX156&lt;=0,0,ROUND(AX156+ROUND(AX156*AD$3/12,2),2))</f>
      </c>
      <c r="K157" s="33">
        <f>IF(AY156&lt;=0,0,ROUND(AY156+ROUND(AY156*AE$3/12,2),2))</f>
      </c>
      <c r="L157" s="33">
        <f>ROUND(MIN(MAX(0,N('Your debts'!$E$6)),B157),2)</f>
      </c>
      <c r="M157" s="33">
        <f>ROUND(MIN(MAX(0,N('Your debts'!$E$7)),C157),2)</f>
      </c>
      <c r="N157" s="33">
        <f>ROUND(MIN(MAX(0,N('Your debts'!$E$8)),D157),2)</f>
      </c>
      <c r="O157" s="33">
        <f>ROUND(MIN(MAX(0,N('Your debts'!$E$9)),E157),2)</f>
      </c>
      <c r="P157" s="33">
        <f>ROUND(MIN(MAX(0,N('Your debts'!$E$10)),F157),2)</f>
      </c>
      <c r="Q157" s="33">
        <f>ROUND(MIN(MAX(0,N('Your debts'!$E$11)),G157),2)</f>
      </c>
      <c r="R157" s="33">
        <f>ROUND(MIN(MAX(0,N('Your debts'!$E$12)),H157),2)</f>
      </c>
      <c r="S157" s="33">
        <f>ROUND(MIN(MAX(0,N('Your debts'!$E$13)),I157),2)</f>
      </c>
      <c r="T157" s="33">
        <f>ROUND(MIN(MAX(0,N('Your debts'!$E$14)),J157),2)</f>
      </c>
      <c r="U157" s="33">
        <f>ROUND(MIN(MAX(0,N('Your debts'!$E$15)),K157),2)</f>
      </c>
      <c r="V157" s="33">
        <f>ROUND(B157-L157,2)</f>
      </c>
      <c r="W157" s="33">
        <f>ROUND(C157-M157,2)</f>
      </c>
      <c r="X157" s="33">
        <f>ROUND(D157-N157,2)</f>
      </c>
      <c r="Y157" s="33">
        <f>ROUND(E157-O157,2)</f>
      </c>
      <c r="Z157" s="33">
        <f>ROUND(F157-P157,2)</f>
      </c>
      <c r="AA157" s="33">
        <f>ROUND(G157-Q157,2)</f>
      </c>
      <c r="AB157" s="33">
        <f>ROUND(H157-R157,2)</f>
      </c>
      <c r="AC157" s="33">
        <f>ROUND(I157-S157,2)</f>
      </c>
      <c r="AD157" s="33">
        <f>ROUND(J157-T157,2)</f>
      </c>
      <c r="AE157" s="33">
        <f>ROUND(K157-U157,2)</f>
      </c>
      <c r="AF157" s="33">
        <f>IF(V157&lt;=0,0,MAX(0,MIN(V157,ROUND($AZ157-SUMPRODUCT($V157:$AE157*($V157:$AE157&gt;0)*(($V157:$AE157&lt;V157)+($V157:$AE157=V157)*($V$3:$AE$3&gt;V$3)+($V157:$AE157=V157)*($V$3:$AE$3=V$3)*($V$2:$AE$2&lt;V$2))),2))))</f>
      </c>
      <c r="AG157" s="33">
        <f>IF(W157&lt;=0,0,MAX(0,MIN(W157,ROUND($AZ157-SUMPRODUCT($V157:$AE157*($V157:$AE157&gt;0)*(($V157:$AE157&lt;W157)+($V157:$AE157=W157)*($V$3:$AE$3&gt;W$3)+($V157:$AE157=W157)*($V$3:$AE$3=W$3)*($V$2:$AE$2&lt;W$2))),2))))</f>
      </c>
      <c r="AH157" s="33">
        <f>IF(X157&lt;=0,0,MAX(0,MIN(X157,ROUND($AZ157-SUMPRODUCT($V157:$AE157*($V157:$AE157&gt;0)*(($V157:$AE157&lt;X157)+($V157:$AE157=X157)*($V$3:$AE$3&gt;X$3)+($V157:$AE157=X157)*($V$3:$AE$3=X$3)*($V$2:$AE$2&lt;X$2))),2))))</f>
      </c>
      <c r="AI157" s="33">
        <f>IF(Y157&lt;=0,0,MAX(0,MIN(Y157,ROUND($AZ157-SUMPRODUCT($V157:$AE157*($V157:$AE157&gt;0)*(($V157:$AE157&lt;Y157)+($V157:$AE157=Y157)*($V$3:$AE$3&gt;Y$3)+($V157:$AE157=Y157)*($V$3:$AE$3=Y$3)*($V$2:$AE$2&lt;Y$2))),2))))</f>
      </c>
      <c r="AJ157" s="33">
        <f>IF(Z157&lt;=0,0,MAX(0,MIN(Z157,ROUND($AZ157-SUMPRODUCT($V157:$AE157*($V157:$AE157&gt;0)*(($V157:$AE157&lt;Z157)+($V157:$AE157=Z157)*($V$3:$AE$3&gt;Z$3)+($V157:$AE157=Z157)*($V$3:$AE$3=Z$3)*($V$2:$AE$2&lt;Z$2))),2))))</f>
      </c>
      <c r="AK157" s="33">
        <f>IF(AA157&lt;=0,0,MAX(0,MIN(AA157,ROUND($AZ157-SUMPRODUCT($V157:$AE157*($V157:$AE157&gt;0)*(($V157:$AE157&lt;AA157)+($V157:$AE157=AA157)*($V$3:$AE$3&gt;AA$3)+($V157:$AE157=AA157)*($V$3:$AE$3=AA$3)*($V$2:$AE$2&lt;AA$2))),2))))</f>
      </c>
      <c r="AL157" s="33">
        <f>IF(AB157&lt;=0,0,MAX(0,MIN(AB157,ROUND($AZ157-SUMPRODUCT($V157:$AE157*($V157:$AE157&gt;0)*(($V157:$AE157&lt;AB157)+($V157:$AE157=AB157)*($V$3:$AE$3&gt;AB$3)+($V157:$AE157=AB157)*($V$3:$AE$3=AB$3)*($V$2:$AE$2&lt;AB$2))),2))))</f>
      </c>
      <c r="AM157" s="33">
        <f>IF(AC157&lt;=0,0,MAX(0,MIN(AC157,ROUND($AZ157-SUMPRODUCT($V157:$AE157*($V157:$AE157&gt;0)*(($V157:$AE157&lt;AC157)+($V157:$AE157=AC157)*($V$3:$AE$3&gt;AC$3)+($V157:$AE157=AC157)*($V$3:$AE$3=AC$3)*($V$2:$AE$2&lt;AC$2))),2))))</f>
      </c>
      <c r="AN157" s="33">
        <f>IF(AD157&lt;=0,0,MAX(0,MIN(AD157,ROUND($AZ157-SUMPRODUCT($V157:$AE157*($V157:$AE157&gt;0)*(($V157:$AE157&lt;AD157)+($V157:$AE157=AD157)*($V$3:$AE$3&gt;AD$3)+($V157:$AE157=AD157)*($V$3:$AE$3=AD$3)*($V$2:$AE$2&lt;AD$2))),2))))</f>
      </c>
      <c r="AO157" s="33">
        <f>IF(AE157&lt;=0,0,MAX(0,MIN(AE157,ROUND($AZ157-SUMPRODUCT($V157:$AE157*($V157:$AE157&gt;0)*(($V157:$AE157&lt;AE157)+($V157:$AE157=AE157)*($V$3:$AE$3&gt;AE$3)+($V157:$AE157=AE157)*($V$3:$AE$3=AE$3)*($V$2:$AE$2&lt;AE$2))),2))))</f>
      </c>
      <c r="AP157" s="33">
        <f>ROUND(V157-AF157,2)</f>
      </c>
      <c r="AQ157" s="33">
        <f>ROUND(W157-AG157,2)</f>
      </c>
      <c r="AR157" s="33">
        <f>ROUND(X157-AH157,2)</f>
      </c>
      <c r="AS157" s="33">
        <f>ROUND(Y157-AI157,2)</f>
      </c>
      <c r="AT157" s="33">
        <f>ROUND(Z157-AJ157,2)</f>
      </c>
      <c r="AU157" s="33">
        <f>ROUND(AA157-AK157,2)</f>
      </c>
      <c r="AV157" s="33">
        <f>ROUND(AB157-AL157,2)</f>
      </c>
      <c r="AW157" s="33">
        <f>ROUND(AC157-AM157,2)</f>
      </c>
      <c r="AX157" s="33">
        <f>ROUND(AD157-AN157,2)</f>
      </c>
      <c r="AY157" s="33">
        <f>ROUND(AE157-AO157,2)</f>
      </c>
      <c r="AZ157" s="33">
        <f>ROUND(MAX(0,'Your debts'!$D$22-SUM($L157:$U157)),2)</f>
      </c>
      <c r="BA157" s="33">
        <f>ROUND(SUM($B157:$K157)-SUM($AP156:$AY156),2)</f>
      </c>
      <c r="BB157" s="33">
        <f>SUM($AP157:$AY157)</f>
      </c>
      <c r="BC157" s="33">
        <f>ROUND(SUM($L157:$U157)+SUM($AF157:$AO157),2)</f>
      </c>
    </row>
    <row r="158" spans="1:55" x14ac:dyDescent="0.25">
      <c r="A158">
        <v>151</v>
      </c>
      <c r="B158" s="33">
        <f>IF(AP157&lt;=0,0,ROUND(AP157+ROUND(AP157*V$3/12,2),2))</f>
      </c>
      <c r="C158" s="33">
        <f>IF(AQ157&lt;=0,0,ROUND(AQ157+ROUND(AQ157*W$3/12,2),2))</f>
      </c>
      <c r="D158" s="33">
        <f>IF(AR157&lt;=0,0,ROUND(AR157+ROUND(AR157*X$3/12,2),2))</f>
      </c>
      <c r="E158" s="33">
        <f>IF(AS157&lt;=0,0,ROUND(AS157+ROUND(AS157*Y$3/12,2),2))</f>
      </c>
      <c r="F158" s="33">
        <f>IF(AT157&lt;=0,0,ROUND(AT157+ROUND(AT157*Z$3/12,2),2))</f>
      </c>
      <c r="G158" s="33">
        <f>IF(AU157&lt;=0,0,ROUND(AU157+ROUND(AU157*AA$3/12,2),2))</f>
      </c>
      <c r="H158" s="33">
        <f>IF(AV157&lt;=0,0,ROUND(AV157+ROUND(AV157*AB$3/12,2),2))</f>
      </c>
      <c r="I158" s="33">
        <f>IF(AW157&lt;=0,0,ROUND(AW157+ROUND(AW157*AC$3/12,2),2))</f>
      </c>
      <c r="J158" s="33">
        <f>IF(AX157&lt;=0,0,ROUND(AX157+ROUND(AX157*AD$3/12,2),2))</f>
      </c>
      <c r="K158" s="33">
        <f>IF(AY157&lt;=0,0,ROUND(AY157+ROUND(AY157*AE$3/12,2),2))</f>
      </c>
      <c r="L158" s="33">
        <f>ROUND(MIN(MAX(0,N('Your debts'!$E$6)),B158),2)</f>
      </c>
      <c r="M158" s="33">
        <f>ROUND(MIN(MAX(0,N('Your debts'!$E$7)),C158),2)</f>
      </c>
      <c r="N158" s="33">
        <f>ROUND(MIN(MAX(0,N('Your debts'!$E$8)),D158),2)</f>
      </c>
      <c r="O158" s="33">
        <f>ROUND(MIN(MAX(0,N('Your debts'!$E$9)),E158),2)</f>
      </c>
      <c r="P158" s="33">
        <f>ROUND(MIN(MAX(0,N('Your debts'!$E$10)),F158),2)</f>
      </c>
      <c r="Q158" s="33">
        <f>ROUND(MIN(MAX(0,N('Your debts'!$E$11)),G158),2)</f>
      </c>
      <c r="R158" s="33">
        <f>ROUND(MIN(MAX(0,N('Your debts'!$E$12)),H158),2)</f>
      </c>
      <c r="S158" s="33">
        <f>ROUND(MIN(MAX(0,N('Your debts'!$E$13)),I158),2)</f>
      </c>
      <c r="T158" s="33">
        <f>ROUND(MIN(MAX(0,N('Your debts'!$E$14)),J158),2)</f>
      </c>
      <c r="U158" s="33">
        <f>ROUND(MIN(MAX(0,N('Your debts'!$E$15)),K158),2)</f>
      </c>
      <c r="V158" s="33">
        <f>ROUND(B158-L158,2)</f>
      </c>
      <c r="W158" s="33">
        <f>ROUND(C158-M158,2)</f>
      </c>
      <c r="X158" s="33">
        <f>ROUND(D158-N158,2)</f>
      </c>
      <c r="Y158" s="33">
        <f>ROUND(E158-O158,2)</f>
      </c>
      <c r="Z158" s="33">
        <f>ROUND(F158-P158,2)</f>
      </c>
      <c r="AA158" s="33">
        <f>ROUND(G158-Q158,2)</f>
      </c>
      <c r="AB158" s="33">
        <f>ROUND(H158-R158,2)</f>
      </c>
      <c r="AC158" s="33">
        <f>ROUND(I158-S158,2)</f>
      </c>
      <c r="AD158" s="33">
        <f>ROUND(J158-T158,2)</f>
      </c>
      <c r="AE158" s="33">
        <f>ROUND(K158-U158,2)</f>
      </c>
      <c r="AF158" s="33">
        <f>IF(V158&lt;=0,0,MAX(0,MIN(V158,ROUND($AZ158-SUMPRODUCT($V158:$AE158*($V158:$AE158&gt;0)*(($V158:$AE158&lt;V158)+($V158:$AE158=V158)*($V$3:$AE$3&gt;V$3)+($V158:$AE158=V158)*($V$3:$AE$3=V$3)*($V$2:$AE$2&lt;V$2))),2))))</f>
      </c>
      <c r="AG158" s="33">
        <f>IF(W158&lt;=0,0,MAX(0,MIN(W158,ROUND($AZ158-SUMPRODUCT($V158:$AE158*($V158:$AE158&gt;0)*(($V158:$AE158&lt;W158)+($V158:$AE158=W158)*($V$3:$AE$3&gt;W$3)+($V158:$AE158=W158)*($V$3:$AE$3=W$3)*($V$2:$AE$2&lt;W$2))),2))))</f>
      </c>
      <c r="AH158" s="33">
        <f>IF(X158&lt;=0,0,MAX(0,MIN(X158,ROUND($AZ158-SUMPRODUCT($V158:$AE158*($V158:$AE158&gt;0)*(($V158:$AE158&lt;X158)+($V158:$AE158=X158)*($V$3:$AE$3&gt;X$3)+($V158:$AE158=X158)*($V$3:$AE$3=X$3)*($V$2:$AE$2&lt;X$2))),2))))</f>
      </c>
      <c r="AI158" s="33">
        <f>IF(Y158&lt;=0,0,MAX(0,MIN(Y158,ROUND($AZ158-SUMPRODUCT($V158:$AE158*($V158:$AE158&gt;0)*(($V158:$AE158&lt;Y158)+($V158:$AE158=Y158)*($V$3:$AE$3&gt;Y$3)+($V158:$AE158=Y158)*($V$3:$AE$3=Y$3)*($V$2:$AE$2&lt;Y$2))),2))))</f>
      </c>
      <c r="AJ158" s="33">
        <f>IF(Z158&lt;=0,0,MAX(0,MIN(Z158,ROUND($AZ158-SUMPRODUCT($V158:$AE158*($V158:$AE158&gt;0)*(($V158:$AE158&lt;Z158)+($V158:$AE158=Z158)*($V$3:$AE$3&gt;Z$3)+($V158:$AE158=Z158)*($V$3:$AE$3=Z$3)*($V$2:$AE$2&lt;Z$2))),2))))</f>
      </c>
      <c r="AK158" s="33">
        <f>IF(AA158&lt;=0,0,MAX(0,MIN(AA158,ROUND($AZ158-SUMPRODUCT($V158:$AE158*($V158:$AE158&gt;0)*(($V158:$AE158&lt;AA158)+($V158:$AE158=AA158)*($V$3:$AE$3&gt;AA$3)+($V158:$AE158=AA158)*($V$3:$AE$3=AA$3)*($V$2:$AE$2&lt;AA$2))),2))))</f>
      </c>
      <c r="AL158" s="33">
        <f>IF(AB158&lt;=0,0,MAX(0,MIN(AB158,ROUND($AZ158-SUMPRODUCT($V158:$AE158*($V158:$AE158&gt;0)*(($V158:$AE158&lt;AB158)+($V158:$AE158=AB158)*($V$3:$AE$3&gt;AB$3)+($V158:$AE158=AB158)*($V$3:$AE$3=AB$3)*($V$2:$AE$2&lt;AB$2))),2))))</f>
      </c>
      <c r="AM158" s="33">
        <f>IF(AC158&lt;=0,0,MAX(0,MIN(AC158,ROUND($AZ158-SUMPRODUCT($V158:$AE158*($V158:$AE158&gt;0)*(($V158:$AE158&lt;AC158)+($V158:$AE158=AC158)*($V$3:$AE$3&gt;AC$3)+($V158:$AE158=AC158)*($V$3:$AE$3=AC$3)*($V$2:$AE$2&lt;AC$2))),2))))</f>
      </c>
      <c r="AN158" s="33">
        <f>IF(AD158&lt;=0,0,MAX(0,MIN(AD158,ROUND($AZ158-SUMPRODUCT($V158:$AE158*($V158:$AE158&gt;0)*(($V158:$AE158&lt;AD158)+($V158:$AE158=AD158)*($V$3:$AE$3&gt;AD$3)+($V158:$AE158=AD158)*($V$3:$AE$3=AD$3)*($V$2:$AE$2&lt;AD$2))),2))))</f>
      </c>
      <c r="AO158" s="33">
        <f>IF(AE158&lt;=0,0,MAX(0,MIN(AE158,ROUND($AZ158-SUMPRODUCT($V158:$AE158*($V158:$AE158&gt;0)*(($V158:$AE158&lt;AE158)+($V158:$AE158=AE158)*($V$3:$AE$3&gt;AE$3)+($V158:$AE158=AE158)*($V$3:$AE$3=AE$3)*($V$2:$AE$2&lt;AE$2))),2))))</f>
      </c>
      <c r="AP158" s="33">
        <f>ROUND(V158-AF158,2)</f>
      </c>
      <c r="AQ158" s="33">
        <f>ROUND(W158-AG158,2)</f>
      </c>
      <c r="AR158" s="33">
        <f>ROUND(X158-AH158,2)</f>
      </c>
      <c r="AS158" s="33">
        <f>ROUND(Y158-AI158,2)</f>
      </c>
      <c r="AT158" s="33">
        <f>ROUND(Z158-AJ158,2)</f>
      </c>
      <c r="AU158" s="33">
        <f>ROUND(AA158-AK158,2)</f>
      </c>
      <c r="AV158" s="33">
        <f>ROUND(AB158-AL158,2)</f>
      </c>
      <c r="AW158" s="33">
        <f>ROUND(AC158-AM158,2)</f>
      </c>
      <c r="AX158" s="33">
        <f>ROUND(AD158-AN158,2)</f>
      </c>
      <c r="AY158" s="33">
        <f>ROUND(AE158-AO158,2)</f>
      </c>
      <c r="AZ158" s="33">
        <f>ROUND(MAX(0,'Your debts'!$D$22-SUM($L158:$U158)),2)</f>
      </c>
      <c r="BA158" s="33">
        <f>ROUND(SUM($B158:$K158)-SUM($AP157:$AY157),2)</f>
      </c>
      <c r="BB158" s="33">
        <f>SUM($AP158:$AY158)</f>
      </c>
      <c r="BC158" s="33">
        <f>ROUND(SUM($L158:$U158)+SUM($AF158:$AO158),2)</f>
      </c>
    </row>
    <row r="159" spans="1:55" x14ac:dyDescent="0.25">
      <c r="A159">
        <v>152</v>
      </c>
      <c r="B159" s="33">
        <f>IF(AP158&lt;=0,0,ROUND(AP158+ROUND(AP158*V$3/12,2),2))</f>
      </c>
      <c r="C159" s="33">
        <f>IF(AQ158&lt;=0,0,ROUND(AQ158+ROUND(AQ158*W$3/12,2),2))</f>
      </c>
      <c r="D159" s="33">
        <f>IF(AR158&lt;=0,0,ROUND(AR158+ROUND(AR158*X$3/12,2),2))</f>
      </c>
      <c r="E159" s="33">
        <f>IF(AS158&lt;=0,0,ROUND(AS158+ROUND(AS158*Y$3/12,2),2))</f>
      </c>
      <c r="F159" s="33">
        <f>IF(AT158&lt;=0,0,ROUND(AT158+ROUND(AT158*Z$3/12,2),2))</f>
      </c>
      <c r="G159" s="33">
        <f>IF(AU158&lt;=0,0,ROUND(AU158+ROUND(AU158*AA$3/12,2),2))</f>
      </c>
      <c r="H159" s="33">
        <f>IF(AV158&lt;=0,0,ROUND(AV158+ROUND(AV158*AB$3/12,2),2))</f>
      </c>
      <c r="I159" s="33">
        <f>IF(AW158&lt;=0,0,ROUND(AW158+ROUND(AW158*AC$3/12,2),2))</f>
      </c>
      <c r="J159" s="33">
        <f>IF(AX158&lt;=0,0,ROUND(AX158+ROUND(AX158*AD$3/12,2),2))</f>
      </c>
      <c r="K159" s="33">
        <f>IF(AY158&lt;=0,0,ROUND(AY158+ROUND(AY158*AE$3/12,2),2))</f>
      </c>
      <c r="L159" s="33">
        <f>ROUND(MIN(MAX(0,N('Your debts'!$E$6)),B159),2)</f>
      </c>
      <c r="M159" s="33">
        <f>ROUND(MIN(MAX(0,N('Your debts'!$E$7)),C159),2)</f>
      </c>
      <c r="N159" s="33">
        <f>ROUND(MIN(MAX(0,N('Your debts'!$E$8)),D159),2)</f>
      </c>
      <c r="O159" s="33">
        <f>ROUND(MIN(MAX(0,N('Your debts'!$E$9)),E159),2)</f>
      </c>
      <c r="P159" s="33">
        <f>ROUND(MIN(MAX(0,N('Your debts'!$E$10)),F159),2)</f>
      </c>
      <c r="Q159" s="33">
        <f>ROUND(MIN(MAX(0,N('Your debts'!$E$11)),G159),2)</f>
      </c>
      <c r="R159" s="33">
        <f>ROUND(MIN(MAX(0,N('Your debts'!$E$12)),H159),2)</f>
      </c>
      <c r="S159" s="33">
        <f>ROUND(MIN(MAX(0,N('Your debts'!$E$13)),I159),2)</f>
      </c>
      <c r="T159" s="33">
        <f>ROUND(MIN(MAX(0,N('Your debts'!$E$14)),J159),2)</f>
      </c>
      <c r="U159" s="33">
        <f>ROUND(MIN(MAX(0,N('Your debts'!$E$15)),K159),2)</f>
      </c>
      <c r="V159" s="33">
        <f>ROUND(B159-L159,2)</f>
      </c>
      <c r="W159" s="33">
        <f>ROUND(C159-M159,2)</f>
      </c>
      <c r="X159" s="33">
        <f>ROUND(D159-N159,2)</f>
      </c>
      <c r="Y159" s="33">
        <f>ROUND(E159-O159,2)</f>
      </c>
      <c r="Z159" s="33">
        <f>ROUND(F159-P159,2)</f>
      </c>
      <c r="AA159" s="33">
        <f>ROUND(G159-Q159,2)</f>
      </c>
      <c r="AB159" s="33">
        <f>ROUND(H159-R159,2)</f>
      </c>
      <c r="AC159" s="33">
        <f>ROUND(I159-S159,2)</f>
      </c>
      <c r="AD159" s="33">
        <f>ROUND(J159-T159,2)</f>
      </c>
      <c r="AE159" s="33">
        <f>ROUND(K159-U159,2)</f>
      </c>
      <c r="AF159" s="33">
        <f>IF(V159&lt;=0,0,MAX(0,MIN(V159,ROUND($AZ159-SUMPRODUCT($V159:$AE159*($V159:$AE159&gt;0)*(($V159:$AE159&lt;V159)+($V159:$AE159=V159)*($V$3:$AE$3&gt;V$3)+($V159:$AE159=V159)*($V$3:$AE$3=V$3)*($V$2:$AE$2&lt;V$2))),2))))</f>
      </c>
      <c r="AG159" s="33">
        <f>IF(W159&lt;=0,0,MAX(0,MIN(W159,ROUND($AZ159-SUMPRODUCT($V159:$AE159*($V159:$AE159&gt;0)*(($V159:$AE159&lt;W159)+($V159:$AE159=W159)*($V$3:$AE$3&gt;W$3)+($V159:$AE159=W159)*($V$3:$AE$3=W$3)*($V$2:$AE$2&lt;W$2))),2))))</f>
      </c>
      <c r="AH159" s="33">
        <f>IF(X159&lt;=0,0,MAX(0,MIN(X159,ROUND($AZ159-SUMPRODUCT($V159:$AE159*($V159:$AE159&gt;0)*(($V159:$AE159&lt;X159)+($V159:$AE159=X159)*($V$3:$AE$3&gt;X$3)+($V159:$AE159=X159)*($V$3:$AE$3=X$3)*($V$2:$AE$2&lt;X$2))),2))))</f>
      </c>
      <c r="AI159" s="33">
        <f>IF(Y159&lt;=0,0,MAX(0,MIN(Y159,ROUND($AZ159-SUMPRODUCT($V159:$AE159*($V159:$AE159&gt;0)*(($V159:$AE159&lt;Y159)+($V159:$AE159=Y159)*($V$3:$AE$3&gt;Y$3)+($V159:$AE159=Y159)*($V$3:$AE$3=Y$3)*($V$2:$AE$2&lt;Y$2))),2))))</f>
      </c>
      <c r="AJ159" s="33">
        <f>IF(Z159&lt;=0,0,MAX(0,MIN(Z159,ROUND($AZ159-SUMPRODUCT($V159:$AE159*($V159:$AE159&gt;0)*(($V159:$AE159&lt;Z159)+($V159:$AE159=Z159)*($V$3:$AE$3&gt;Z$3)+($V159:$AE159=Z159)*($V$3:$AE$3=Z$3)*($V$2:$AE$2&lt;Z$2))),2))))</f>
      </c>
      <c r="AK159" s="33">
        <f>IF(AA159&lt;=0,0,MAX(0,MIN(AA159,ROUND($AZ159-SUMPRODUCT($V159:$AE159*($V159:$AE159&gt;0)*(($V159:$AE159&lt;AA159)+($V159:$AE159=AA159)*($V$3:$AE$3&gt;AA$3)+($V159:$AE159=AA159)*($V$3:$AE$3=AA$3)*($V$2:$AE$2&lt;AA$2))),2))))</f>
      </c>
      <c r="AL159" s="33">
        <f>IF(AB159&lt;=0,0,MAX(0,MIN(AB159,ROUND($AZ159-SUMPRODUCT($V159:$AE159*($V159:$AE159&gt;0)*(($V159:$AE159&lt;AB159)+($V159:$AE159=AB159)*($V$3:$AE$3&gt;AB$3)+($V159:$AE159=AB159)*($V$3:$AE$3=AB$3)*($V$2:$AE$2&lt;AB$2))),2))))</f>
      </c>
      <c r="AM159" s="33">
        <f>IF(AC159&lt;=0,0,MAX(0,MIN(AC159,ROUND($AZ159-SUMPRODUCT($V159:$AE159*($V159:$AE159&gt;0)*(($V159:$AE159&lt;AC159)+($V159:$AE159=AC159)*($V$3:$AE$3&gt;AC$3)+($V159:$AE159=AC159)*($V$3:$AE$3=AC$3)*($V$2:$AE$2&lt;AC$2))),2))))</f>
      </c>
      <c r="AN159" s="33">
        <f>IF(AD159&lt;=0,0,MAX(0,MIN(AD159,ROUND($AZ159-SUMPRODUCT($V159:$AE159*($V159:$AE159&gt;0)*(($V159:$AE159&lt;AD159)+($V159:$AE159=AD159)*($V$3:$AE$3&gt;AD$3)+($V159:$AE159=AD159)*($V$3:$AE$3=AD$3)*($V$2:$AE$2&lt;AD$2))),2))))</f>
      </c>
      <c r="AO159" s="33">
        <f>IF(AE159&lt;=0,0,MAX(0,MIN(AE159,ROUND($AZ159-SUMPRODUCT($V159:$AE159*($V159:$AE159&gt;0)*(($V159:$AE159&lt;AE159)+($V159:$AE159=AE159)*($V$3:$AE$3&gt;AE$3)+($V159:$AE159=AE159)*($V$3:$AE$3=AE$3)*($V$2:$AE$2&lt;AE$2))),2))))</f>
      </c>
      <c r="AP159" s="33">
        <f>ROUND(V159-AF159,2)</f>
      </c>
      <c r="AQ159" s="33">
        <f>ROUND(W159-AG159,2)</f>
      </c>
      <c r="AR159" s="33">
        <f>ROUND(X159-AH159,2)</f>
      </c>
      <c r="AS159" s="33">
        <f>ROUND(Y159-AI159,2)</f>
      </c>
      <c r="AT159" s="33">
        <f>ROUND(Z159-AJ159,2)</f>
      </c>
      <c r="AU159" s="33">
        <f>ROUND(AA159-AK159,2)</f>
      </c>
      <c r="AV159" s="33">
        <f>ROUND(AB159-AL159,2)</f>
      </c>
      <c r="AW159" s="33">
        <f>ROUND(AC159-AM159,2)</f>
      </c>
      <c r="AX159" s="33">
        <f>ROUND(AD159-AN159,2)</f>
      </c>
      <c r="AY159" s="33">
        <f>ROUND(AE159-AO159,2)</f>
      </c>
      <c r="AZ159" s="33">
        <f>ROUND(MAX(0,'Your debts'!$D$22-SUM($L159:$U159)),2)</f>
      </c>
      <c r="BA159" s="33">
        <f>ROUND(SUM($B159:$K159)-SUM($AP158:$AY158),2)</f>
      </c>
      <c r="BB159" s="33">
        <f>SUM($AP159:$AY159)</f>
      </c>
      <c r="BC159" s="33">
        <f>ROUND(SUM($L159:$U159)+SUM($AF159:$AO159),2)</f>
      </c>
    </row>
    <row r="160" spans="1:55" x14ac:dyDescent="0.25">
      <c r="A160">
        <v>153</v>
      </c>
      <c r="B160" s="33">
        <f>IF(AP159&lt;=0,0,ROUND(AP159+ROUND(AP159*V$3/12,2),2))</f>
      </c>
      <c r="C160" s="33">
        <f>IF(AQ159&lt;=0,0,ROUND(AQ159+ROUND(AQ159*W$3/12,2),2))</f>
      </c>
      <c r="D160" s="33">
        <f>IF(AR159&lt;=0,0,ROUND(AR159+ROUND(AR159*X$3/12,2),2))</f>
      </c>
      <c r="E160" s="33">
        <f>IF(AS159&lt;=0,0,ROUND(AS159+ROUND(AS159*Y$3/12,2),2))</f>
      </c>
      <c r="F160" s="33">
        <f>IF(AT159&lt;=0,0,ROUND(AT159+ROUND(AT159*Z$3/12,2),2))</f>
      </c>
      <c r="G160" s="33">
        <f>IF(AU159&lt;=0,0,ROUND(AU159+ROUND(AU159*AA$3/12,2),2))</f>
      </c>
      <c r="H160" s="33">
        <f>IF(AV159&lt;=0,0,ROUND(AV159+ROUND(AV159*AB$3/12,2),2))</f>
      </c>
      <c r="I160" s="33">
        <f>IF(AW159&lt;=0,0,ROUND(AW159+ROUND(AW159*AC$3/12,2),2))</f>
      </c>
      <c r="J160" s="33">
        <f>IF(AX159&lt;=0,0,ROUND(AX159+ROUND(AX159*AD$3/12,2),2))</f>
      </c>
      <c r="K160" s="33">
        <f>IF(AY159&lt;=0,0,ROUND(AY159+ROUND(AY159*AE$3/12,2),2))</f>
      </c>
      <c r="L160" s="33">
        <f>ROUND(MIN(MAX(0,N('Your debts'!$E$6)),B160),2)</f>
      </c>
      <c r="M160" s="33">
        <f>ROUND(MIN(MAX(0,N('Your debts'!$E$7)),C160),2)</f>
      </c>
      <c r="N160" s="33">
        <f>ROUND(MIN(MAX(0,N('Your debts'!$E$8)),D160),2)</f>
      </c>
      <c r="O160" s="33">
        <f>ROUND(MIN(MAX(0,N('Your debts'!$E$9)),E160),2)</f>
      </c>
      <c r="P160" s="33">
        <f>ROUND(MIN(MAX(0,N('Your debts'!$E$10)),F160),2)</f>
      </c>
      <c r="Q160" s="33">
        <f>ROUND(MIN(MAX(0,N('Your debts'!$E$11)),G160),2)</f>
      </c>
      <c r="R160" s="33">
        <f>ROUND(MIN(MAX(0,N('Your debts'!$E$12)),H160),2)</f>
      </c>
      <c r="S160" s="33">
        <f>ROUND(MIN(MAX(0,N('Your debts'!$E$13)),I160),2)</f>
      </c>
      <c r="T160" s="33">
        <f>ROUND(MIN(MAX(0,N('Your debts'!$E$14)),J160),2)</f>
      </c>
      <c r="U160" s="33">
        <f>ROUND(MIN(MAX(0,N('Your debts'!$E$15)),K160),2)</f>
      </c>
      <c r="V160" s="33">
        <f>ROUND(B160-L160,2)</f>
      </c>
      <c r="W160" s="33">
        <f>ROUND(C160-M160,2)</f>
      </c>
      <c r="X160" s="33">
        <f>ROUND(D160-N160,2)</f>
      </c>
      <c r="Y160" s="33">
        <f>ROUND(E160-O160,2)</f>
      </c>
      <c r="Z160" s="33">
        <f>ROUND(F160-P160,2)</f>
      </c>
      <c r="AA160" s="33">
        <f>ROUND(G160-Q160,2)</f>
      </c>
      <c r="AB160" s="33">
        <f>ROUND(H160-R160,2)</f>
      </c>
      <c r="AC160" s="33">
        <f>ROUND(I160-S160,2)</f>
      </c>
      <c r="AD160" s="33">
        <f>ROUND(J160-T160,2)</f>
      </c>
      <c r="AE160" s="33">
        <f>ROUND(K160-U160,2)</f>
      </c>
      <c r="AF160" s="33">
        <f>IF(V160&lt;=0,0,MAX(0,MIN(V160,ROUND($AZ160-SUMPRODUCT($V160:$AE160*($V160:$AE160&gt;0)*(($V160:$AE160&lt;V160)+($V160:$AE160=V160)*($V$3:$AE$3&gt;V$3)+($V160:$AE160=V160)*($V$3:$AE$3=V$3)*($V$2:$AE$2&lt;V$2))),2))))</f>
      </c>
      <c r="AG160" s="33">
        <f>IF(W160&lt;=0,0,MAX(0,MIN(W160,ROUND($AZ160-SUMPRODUCT($V160:$AE160*($V160:$AE160&gt;0)*(($V160:$AE160&lt;W160)+($V160:$AE160=W160)*($V$3:$AE$3&gt;W$3)+($V160:$AE160=W160)*($V$3:$AE$3=W$3)*($V$2:$AE$2&lt;W$2))),2))))</f>
      </c>
      <c r="AH160" s="33">
        <f>IF(X160&lt;=0,0,MAX(0,MIN(X160,ROUND($AZ160-SUMPRODUCT($V160:$AE160*($V160:$AE160&gt;0)*(($V160:$AE160&lt;X160)+($V160:$AE160=X160)*($V$3:$AE$3&gt;X$3)+($V160:$AE160=X160)*($V$3:$AE$3=X$3)*($V$2:$AE$2&lt;X$2))),2))))</f>
      </c>
      <c r="AI160" s="33">
        <f>IF(Y160&lt;=0,0,MAX(0,MIN(Y160,ROUND($AZ160-SUMPRODUCT($V160:$AE160*($V160:$AE160&gt;0)*(($V160:$AE160&lt;Y160)+($V160:$AE160=Y160)*($V$3:$AE$3&gt;Y$3)+($V160:$AE160=Y160)*($V$3:$AE$3=Y$3)*($V$2:$AE$2&lt;Y$2))),2))))</f>
      </c>
      <c r="AJ160" s="33">
        <f>IF(Z160&lt;=0,0,MAX(0,MIN(Z160,ROUND($AZ160-SUMPRODUCT($V160:$AE160*($V160:$AE160&gt;0)*(($V160:$AE160&lt;Z160)+($V160:$AE160=Z160)*($V$3:$AE$3&gt;Z$3)+($V160:$AE160=Z160)*($V$3:$AE$3=Z$3)*($V$2:$AE$2&lt;Z$2))),2))))</f>
      </c>
      <c r="AK160" s="33">
        <f>IF(AA160&lt;=0,0,MAX(0,MIN(AA160,ROUND($AZ160-SUMPRODUCT($V160:$AE160*($V160:$AE160&gt;0)*(($V160:$AE160&lt;AA160)+($V160:$AE160=AA160)*($V$3:$AE$3&gt;AA$3)+($V160:$AE160=AA160)*($V$3:$AE$3=AA$3)*($V$2:$AE$2&lt;AA$2))),2))))</f>
      </c>
      <c r="AL160" s="33">
        <f>IF(AB160&lt;=0,0,MAX(0,MIN(AB160,ROUND($AZ160-SUMPRODUCT($V160:$AE160*($V160:$AE160&gt;0)*(($V160:$AE160&lt;AB160)+($V160:$AE160=AB160)*($V$3:$AE$3&gt;AB$3)+($V160:$AE160=AB160)*($V$3:$AE$3=AB$3)*($V$2:$AE$2&lt;AB$2))),2))))</f>
      </c>
      <c r="AM160" s="33">
        <f>IF(AC160&lt;=0,0,MAX(0,MIN(AC160,ROUND($AZ160-SUMPRODUCT($V160:$AE160*($V160:$AE160&gt;0)*(($V160:$AE160&lt;AC160)+($V160:$AE160=AC160)*($V$3:$AE$3&gt;AC$3)+($V160:$AE160=AC160)*($V$3:$AE$3=AC$3)*($V$2:$AE$2&lt;AC$2))),2))))</f>
      </c>
      <c r="AN160" s="33">
        <f>IF(AD160&lt;=0,0,MAX(0,MIN(AD160,ROUND($AZ160-SUMPRODUCT($V160:$AE160*($V160:$AE160&gt;0)*(($V160:$AE160&lt;AD160)+($V160:$AE160=AD160)*($V$3:$AE$3&gt;AD$3)+($V160:$AE160=AD160)*($V$3:$AE$3=AD$3)*($V$2:$AE$2&lt;AD$2))),2))))</f>
      </c>
      <c r="AO160" s="33">
        <f>IF(AE160&lt;=0,0,MAX(0,MIN(AE160,ROUND($AZ160-SUMPRODUCT($V160:$AE160*($V160:$AE160&gt;0)*(($V160:$AE160&lt;AE160)+($V160:$AE160=AE160)*($V$3:$AE$3&gt;AE$3)+($V160:$AE160=AE160)*($V$3:$AE$3=AE$3)*($V$2:$AE$2&lt;AE$2))),2))))</f>
      </c>
      <c r="AP160" s="33">
        <f>ROUND(V160-AF160,2)</f>
      </c>
      <c r="AQ160" s="33">
        <f>ROUND(W160-AG160,2)</f>
      </c>
      <c r="AR160" s="33">
        <f>ROUND(X160-AH160,2)</f>
      </c>
      <c r="AS160" s="33">
        <f>ROUND(Y160-AI160,2)</f>
      </c>
      <c r="AT160" s="33">
        <f>ROUND(Z160-AJ160,2)</f>
      </c>
      <c r="AU160" s="33">
        <f>ROUND(AA160-AK160,2)</f>
      </c>
      <c r="AV160" s="33">
        <f>ROUND(AB160-AL160,2)</f>
      </c>
      <c r="AW160" s="33">
        <f>ROUND(AC160-AM160,2)</f>
      </c>
      <c r="AX160" s="33">
        <f>ROUND(AD160-AN160,2)</f>
      </c>
      <c r="AY160" s="33">
        <f>ROUND(AE160-AO160,2)</f>
      </c>
      <c r="AZ160" s="33">
        <f>ROUND(MAX(0,'Your debts'!$D$22-SUM($L160:$U160)),2)</f>
      </c>
      <c r="BA160" s="33">
        <f>ROUND(SUM($B160:$K160)-SUM($AP159:$AY159),2)</f>
      </c>
      <c r="BB160" s="33">
        <f>SUM($AP160:$AY160)</f>
      </c>
      <c r="BC160" s="33">
        <f>ROUND(SUM($L160:$U160)+SUM($AF160:$AO160),2)</f>
      </c>
    </row>
    <row r="161" spans="1:55" x14ac:dyDescent="0.25">
      <c r="A161">
        <v>154</v>
      </c>
      <c r="B161" s="33">
        <f>IF(AP160&lt;=0,0,ROUND(AP160+ROUND(AP160*V$3/12,2),2))</f>
      </c>
      <c r="C161" s="33">
        <f>IF(AQ160&lt;=0,0,ROUND(AQ160+ROUND(AQ160*W$3/12,2),2))</f>
      </c>
      <c r="D161" s="33">
        <f>IF(AR160&lt;=0,0,ROUND(AR160+ROUND(AR160*X$3/12,2),2))</f>
      </c>
      <c r="E161" s="33">
        <f>IF(AS160&lt;=0,0,ROUND(AS160+ROUND(AS160*Y$3/12,2),2))</f>
      </c>
      <c r="F161" s="33">
        <f>IF(AT160&lt;=0,0,ROUND(AT160+ROUND(AT160*Z$3/12,2),2))</f>
      </c>
      <c r="G161" s="33">
        <f>IF(AU160&lt;=0,0,ROUND(AU160+ROUND(AU160*AA$3/12,2),2))</f>
      </c>
      <c r="H161" s="33">
        <f>IF(AV160&lt;=0,0,ROUND(AV160+ROUND(AV160*AB$3/12,2),2))</f>
      </c>
      <c r="I161" s="33">
        <f>IF(AW160&lt;=0,0,ROUND(AW160+ROUND(AW160*AC$3/12,2),2))</f>
      </c>
      <c r="J161" s="33">
        <f>IF(AX160&lt;=0,0,ROUND(AX160+ROUND(AX160*AD$3/12,2),2))</f>
      </c>
      <c r="K161" s="33">
        <f>IF(AY160&lt;=0,0,ROUND(AY160+ROUND(AY160*AE$3/12,2),2))</f>
      </c>
      <c r="L161" s="33">
        <f>ROUND(MIN(MAX(0,N('Your debts'!$E$6)),B161),2)</f>
      </c>
      <c r="M161" s="33">
        <f>ROUND(MIN(MAX(0,N('Your debts'!$E$7)),C161),2)</f>
      </c>
      <c r="N161" s="33">
        <f>ROUND(MIN(MAX(0,N('Your debts'!$E$8)),D161),2)</f>
      </c>
      <c r="O161" s="33">
        <f>ROUND(MIN(MAX(0,N('Your debts'!$E$9)),E161),2)</f>
      </c>
      <c r="P161" s="33">
        <f>ROUND(MIN(MAX(0,N('Your debts'!$E$10)),F161),2)</f>
      </c>
      <c r="Q161" s="33">
        <f>ROUND(MIN(MAX(0,N('Your debts'!$E$11)),G161),2)</f>
      </c>
      <c r="R161" s="33">
        <f>ROUND(MIN(MAX(0,N('Your debts'!$E$12)),H161),2)</f>
      </c>
      <c r="S161" s="33">
        <f>ROUND(MIN(MAX(0,N('Your debts'!$E$13)),I161),2)</f>
      </c>
      <c r="T161" s="33">
        <f>ROUND(MIN(MAX(0,N('Your debts'!$E$14)),J161),2)</f>
      </c>
      <c r="U161" s="33">
        <f>ROUND(MIN(MAX(0,N('Your debts'!$E$15)),K161),2)</f>
      </c>
      <c r="V161" s="33">
        <f>ROUND(B161-L161,2)</f>
      </c>
      <c r="W161" s="33">
        <f>ROUND(C161-M161,2)</f>
      </c>
      <c r="X161" s="33">
        <f>ROUND(D161-N161,2)</f>
      </c>
      <c r="Y161" s="33">
        <f>ROUND(E161-O161,2)</f>
      </c>
      <c r="Z161" s="33">
        <f>ROUND(F161-P161,2)</f>
      </c>
      <c r="AA161" s="33">
        <f>ROUND(G161-Q161,2)</f>
      </c>
      <c r="AB161" s="33">
        <f>ROUND(H161-R161,2)</f>
      </c>
      <c r="AC161" s="33">
        <f>ROUND(I161-S161,2)</f>
      </c>
      <c r="AD161" s="33">
        <f>ROUND(J161-T161,2)</f>
      </c>
      <c r="AE161" s="33">
        <f>ROUND(K161-U161,2)</f>
      </c>
      <c r="AF161" s="33">
        <f>IF(V161&lt;=0,0,MAX(0,MIN(V161,ROUND($AZ161-SUMPRODUCT($V161:$AE161*($V161:$AE161&gt;0)*(($V161:$AE161&lt;V161)+($V161:$AE161=V161)*($V$3:$AE$3&gt;V$3)+($V161:$AE161=V161)*($V$3:$AE$3=V$3)*($V$2:$AE$2&lt;V$2))),2))))</f>
      </c>
      <c r="AG161" s="33">
        <f>IF(W161&lt;=0,0,MAX(0,MIN(W161,ROUND($AZ161-SUMPRODUCT($V161:$AE161*($V161:$AE161&gt;0)*(($V161:$AE161&lt;W161)+($V161:$AE161=W161)*($V$3:$AE$3&gt;W$3)+($V161:$AE161=W161)*($V$3:$AE$3=W$3)*($V$2:$AE$2&lt;W$2))),2))))</f>
      </c>
      <c r="AH161" s="33">
        <f>IF(X161&lt;=0,0,MAX(0,MIN(X161,ROUND($AZ161-SUMPRODUCT($V161:$AE161*($V161:$AE161&gt;0)*(($V161:$AE161&lt;X161)+($V161:$AE161=X161)*($V$3:$AE$3&gt;X$3)+($V161:$AE161=X161)*($V$3:$AE$3=X$3)*($V$2:$AE$2&lt;X$2))),2))))</f>
      </c>
      <c r="AI161" s="33">
        <f>IF(Y161&lt;=0,0,MAX(0,MIN(Y161,ROUND($AZ161-SUMPRODUCT($V161:$AE161*($V161:$AE161&gt;0)*(($V161:$AE161&lt;Y161)+($V161:$AE161=Y161)*($V$3:$AE$3&gt;Y$3)+($V161:$AE161=Y161)*($V$3:$AE$3=Y$3)*($V$2:$AE$2&lt;Y$2))),2))))</f>
      </c>
      <c r="AJ161" s="33">
        <f>IF(Z161&lt;=0,0,MAX(0,MIN(Z161,ROUND($AZ161-SUMPRODUCT($V161:$AE161*($V161:$AE161&gt;0)*(($V161:$AE161&lt;Z161)+($V161:$AE161=Z161)*($V$3:$AE$3&gt;Z$3)+($V161:$AE161=Z161)*($V$3:$AE$3=Z$3)*($V$2:$AE$2&lt;Z$2))),2))))</f>
      </c>
      <c r="AK161" s="33">
        <f>IF(AA161&lt;=0,0,MAX(0,MIN(AA161,ROUND($AZ161-SUMPRODUCT($V161:$AE161*($V161:$AE161&gt;0)*(($V161:$AE161&lt;AA161)+($V161:$AE161=AA161)*($V$3:$AE$3&gt;AA$3)+($V161:$AE161=AA161)*($V$3:$AE$3=AA$3)*($V$2:$AE$2&lt;AA$2))),2))))</f>
      </c>
      <c r="AL161" s="33">
        <f>IF(AB161&lt;=0,0,MAX(0,MIN(AB161,ROUND($AZ161-SUMPRODUCT($V161:$AE161*($V161:$AE161&gt;0)*(($V161:$AE161&lt;AB161)+($V161:$AE161=AB161)*($V$3:$AE$3&gt;AB$3)+($V161:$AE161=AB161)*($V$3:$AE$3=AB$3)*($V$2:$AE$2&lt;AB$2))),2))))</f>
      </c>
      <c r="AM161" s="33">
        <f>IF(AC161&lt;=0,0,MAX(0,MIN(AC161,ROUND($AZ161-SUMPRODUCT($V161:$AE161*($V161:$AE161&gt;0)*(($V161:$AE161&lt;AC161)+($V161:$AE161=AC161)*($V$3:$AE$3&gt;AC$3)+($V161:$AE161=AC161)*($V$3:$AE$3=AC$3)*($V$2:$AE$2&lt;AC$2))),2))))</f>
      </c>
      <c r="AN161" s="33">
        <f>IF(AD161&lt;=0,0,MAX(0,MIN(AD161,ROUND($AZ161-SUMPRODUCT($V161:$AE161*($V161:$AE161&gt;0)*(($V161:$AE161&lt;AD161)+($V161:$AE161=AD161)*($V$3:$AE$3&gt;AD$3)+($V161:$AE161=AD161)*($V$3:$AE$3=AD$3)*($V$2:$AE$2&lt;AD$2))),2))))</f>
      </c>
      <c r="AO161" s="33">
        <f>IF(AE161&lt;=0,0,MAX(0,MIN(AE161,ROUND($AZ161-SUMPRODUCT($V161:$AE161*($V161:$AE161&gt;0)*(($V161:$AE161&lt;AE161)+($V161:$AE161=AE161)*($V$3:$AE$3&gt;AE$3)+($V161:$AE161=AE161)*($V$3:$AE$3=AE$3)*($V$2:$AE$2&lt;AE$2))),2))))</f>
      </c>
      <c r="AP161" s="33">
        <f>ROUND(V161-AF161,2)</f>
      </c>
      <c r="AQ161" s="33">
        <f>ROUND(W161-AG161,2)</f>
      </c>
      <c r="AR161" s="33">
        <f>ROUND(X161-AH161,2)</f>
      </c>
      <c r="AS161" s="33">
        <f>ROUND(Y161-AI161,2)</f>
      </c>
      <c r="AT161" s="33">
        <f>ROUND(Z161-AJ161,2)</f>
      </c>
      <c r="AU161" s="33">
        <f>ROUND(AA161-AK161,2)</f>
      </c>
      <c r="AV161" s="33">
        <f>ROUND(AB161-AL161,2)</f>
      </c>
      <c r="AW161" s="33">
        <f>ROUND(AC161-AM161,2)</f>
      </c>
      <c r="AX161" s="33">
        <f>ROUND(AD161-AN161,2)</f>
      </c>
      <c r="AY161" s="33">
        <f>ROUND(AE161-AO161,2)</f>
      </c>
      <c r="AZ161" s="33">
        <f>ROUND(MAX(0,'Your debts'!$D$22-SUM($L161:$U161)),2)</f>
      </c>
      <c r="BA161" s="33">
        <f>ROUND(SUM($B161:$K161)-SUM($AP160:$AY160),2)</f>
      </c>
      <c r="BB161" s="33">
        <f>SUM($AP161:$AY161)</f>
      </c>
      <c r="BC161" s="33">
        <f>ROUND(SUM($L161:$U161)+SUM($AF161:$AO161),2)</f>
      </c>
    </row>
    <row r="162" spans="1:55" x14ac:dyDescent="0.25">
      <c r="A162">
        <v>155</v>
      </c>
      <c r="B162" s="33">
        <f>IF(AP161&lt;=0,0,ROUND(AP161+ROUND(AP161*V$3/12,2),2))</f>
      </c>
      <c r="C162" s="33">
        <f>IF(AQ161&lt;=0,0,ROUND(AQ161+ROUND(AQ161*W$3/12,2),2))</f>
      </c>
      <c r="D162" s="33">
        <f>IF(AR161&lt;=0,0,ROUND(AR161+ROUND(AR161*X$3/12,2),2))</f>
      </c>
      <c r="E162" s="33">
        <f>IF(AS161&lt;=0,0,ROUND(AS161+ROUND(AS161*Y$3/12,2),2))</f>
      </c>
      <c r="F162" s="33">
        <f>IF(AT161&lt;=0,0,ROUND(AT161+ROUND(AT161*Z$3/12,2),2))</f>
      </c>
      <c r="G162" s="33">
        <f>IF(AU161&lt;=0,0,ROUND(AU161+ROUND(AU161*AA$3/12,2),2))</f>
      </c>
      <c r="H162" s="33">
        <f>IF(AV161&lt;=0,0,ROUND(AV161+ROUND(AV161*AB$3/12,2),2))</f>
      </c>
      <c r="I162" s="33">
        <f>IF(AW161&lt;=0,0,ROUND(AW161+ROUND(AW161*AC$3/12,2),2))</f>
      </c>
      <c r="J162" s="33">
        <f>IF(AX161&lt;=0,0,ROUND(AX161+ROUND(AX161*AD$3/12,2),2))</f>
      </c>
      <c r="K162" s="33">
        <f>IF(AY161&lt;=0,0,ROUND(AY161+ROUND(AY161*AE$3/12,2),2))</f>
      </c>
      <c r="L162" s="33">
        <f>ROUND(MIN(MAX(0,N('Your debts'!$E$6)),B162),2)</f>
      </c>
      <c r="M162" s="33">
        <f>ROUND(MIN(MAX(0,N('Your debts'!$E$7)),C162),2)</f>
      </c>
      <c r="N162" s="33">
        <f>ROUND(MIN(MAX(0,N('Your debts'!$E$8)),D162),2)</f>
      </c>
      <c r="O162" s="33">
        <f>ROUND(MIN(MAX(0,N('Your debts'!$E$9)),E162),2)</f>
      </c>
      <c r="P162" s="33">
        <f>ROUND(MIN(MAX(0,N('Your debts'!$E$10)),F162),2)</f>
      </c>
      <c r="Q162" s="33">
        <f>ROUND(MIN(MAX(0,N('Your debts'!$E$11)),G162),2)</f>
      </c>
      <c r="R162" s="33">
        <f>ROUND(MIN(MAX(0,N('Your debts'!$E$12)),H162),2)</f>
      </c>
      <c r="S162" s="33">
        <f>ROUND(MIN(MAX(0,N('Your debts'!$E$13)),I162),2)</f>
      </c>
      <c r="T162" s="33">
        <f>ROUND(MIN(MAX(0,N('Your debts'!$E$14)),J162),2)</f>
      </c>
      <c r="U162" s="33">
        <f>ROUND(MIN(MAX(0,N('Your debts'!$E$15)),K162),2)</f>
      </c>
      <c r="V162" s="33">
        <f>ROUND(B162-L162,2)</f>
      </c>
      <c r="W162" s="33">
        <f>ROUND(C162-M162,2)</f>
      </c>
      <c r="X162" s="33">
        <f>ROUND(D162-N162,2)</f>
      </c>
      <c r="Y162" s="33">
        <f>ROUND(E162-O162,2)</f>
      </c>
      <c r="Z162" s="33">
        <f>ROUND(F162-P162,2)</f>
      </c>
      <c r="AA162" s="33">
        <f>ROUND(G162-Q162,2)</f>
      </c>
      <c r="AB162" s="33">
        <f>ROUND(H162-R162,2)</f>
      </c>
      <c r="AC162" s="33">
        <f>ROUND(I162-S162,2)</f>
      </c>
      <c r="AD162" s="33">
        <f>ROUND(J162-T162,2)</f>
      </c>
      <c r="AE162" s="33">
        <f>ROUND(K162-U162,2)</f>
      </c>
      <c r="AF162" s="33">
        <f>IF(V162&lt;=0,0,MAX(0,MIN(V162,ROUND($AZ162-SUMPRODUCT($V162:$AE162*($V162:$AE162&gt;0)*(($V162:$AE162&lt;V162)+($V162:$AE162=V162)*($V$3:$AE$3&gt;V$3)+($V162:$AE162=V162)*($V$3:$AE$3=V$3)*($V$2:$AE$2&lt;V$2))),2))))</f>
      </c>
      <c r="AG162" s="33">
        <f>IF(W162&lt;=0,0,MAX(0,MIN(W162,ROUND($AZ162-SUMPRODUCT($V162:$AE162*($V162:$AE162&gt;0)*(($V162:$AE162&lt;W162)+($V162:$AE162=W162)*($V$3:$AE$3&gt;W$3)+($V162:$AE162=W162)*($V$3:$AE$3=W$3)*($V$2:$AE$2&lt;W$2))),2))))</f>
      </c>
      <c r="AH162" s="33">
        <f>IF(X162&lt;=0,0,MAX(0,MIN(X162,ROUND($AZ162-SUMPRODUCT($V162:$AE162*($V162:$AE162&gt;0)*(($V162:$AE162&lt;X162)+($V162:$AE162=X162)*($V$3:$AE$3&gt;X$3)+($V162:$AE162=X162)*($V$3:$AE$3=X$3)*($V$2:$AE$2&lt;X$2))),2))))</f>
      </c>
      <c r="AI162" s="33">
        <f>IF(Y162&lt;=0,0,MAX(0,MIN(Y162,ROUND($AZ162-SUMPRODUCT($V162:$AE162*($V162:$AE162&gt;0)*(($V162:$AE162&lt;Y162)+($V162:$AE162=Y162)*($V$3:$AE$3&gt;Y$3)+($V162:$AE162=Y162)*($V$3:$AE$3=Y$3)*($V$2:$AE$2&lt;Y$2))),2))))</f>
      </c>
      <c r="AJ162" s="33">
        <f>IF(Z162&lt;=0,0,MAX(0,MIN(Z162,ROUND($AZ162-SUMPRODUCT($V162:$AE162*($V162:$AE162&gt;0)*(($V162:$AE162&lt;Z162)+($V162:$AE162=Z162)*($V$3:$AE$3&gt;Z$3)+($V162:$AE162=Z162)*($V$3:$AE$3=Z$3)*($V$2:$AE$2&lt;Z$2))),2))))</f>
      </c>
      <c r="AK162" s="33">
        <f>IF(AA162&lt;=0,0,MAX(0,MIN(AA162,ROUND($AZ162-SUMPRODUCT($V162:$AE162*($V162:$AE162&gt;0)*(($V162:$AE162&lt;AA162)+($V162:$AE162=AA162)*($V$3:$AE$3&gt;AA$3)+($V162:$AE162=AA162)*($V$3:$AE$3=AA$3)*($V$2:$AE$2&lt;AA$2))),2))))</f>
      </c>
      <c r="AL162" s="33">
        <f>IF(AB162&lt;=0,0,MAX(0,MIN(AB162,ROUND($AZ162-SUMPRODUCT($V162:$AE162*($V162:$AE162&gt;0)*(($V162:$AE162&lt;AB162)+($V162:$AE162=AB162)*($V$3:$AE$3&gt;AB$3)+($V162:$AE162=AB162)*($V$3:$AE$3=AB$3)*($V$2:$AE$2&lt;AB$2))),2))))</f>
      </c>
      <c r="AM162" s="33">
        <f>IF(AC162&lt;=0,0,MAX(0,MIN(AC162,ROUND($AZ162-SUMPRODUCT($V162:$AE162*($V162:$AE162&gt;0)*(($V162:$AE162&lt;AC162)+($V162:$AE162=AC162)*($V$3:$AE$3&gt;AC$3)+($V162:$AE162=AC162)*($V$3:$AE$3=AC$3)*($V$2:$AE$2&lt;AC$2))),2))))</f>
      </c>
      <c r="AN162" s="33">
        <f>IF(AD162&lt;=0,0,MAX(0,MIN(AD162,ROUND($AZ162-SUMPRODUCT($V162:$AE162*($V162:$AE162&gt;0)*(($V162:$AE162&lt;AD162)+($V162:$AE162=AD162)*($V$3:$AE$3&gt;AD$3)+($V162:$AE162=AD162)*($V$3:$AE$3=AD$3)*($V$2:$AE$2&lt;AD$2))),2))))</f>
      </c>
      <c r="AO162" s="33">
        <f>IF(AE162&lt;=0,0,MAX(0,MIN(AE162,ROUND($AZ162-SUMPRODUCT($V162:$AE162*($V162:$AE162&gt;0)*(($V162:$AE162&lt;AE162)+($V162:$AE162=AE162)*($V$3:$AE$3&gt;AE$3)+($V162:$AE162=AE162)*($V$3:$AE$3=AE$3)*($V$2:$AE$2&lt;AE$2))),2))))</f>
      </c>
      <c r="AP162" s="33">
        <f>ROUND(V162-AF162,2)</f>
      </c>
      <c r="AQ162" s="33">
        <f>ROUND(W162-AG162,2)</f>
      </c>
      <c r="AR162" s="33">
        <f>ROUND(X162-AH162,2)</f>
      </c>
      <c r="AS162" s="33">
        <f>ROUND(Y162-AI162,2)</f>
      </c>
      <c r="AT162" s="33">
        <f>ROUND(Z162-AJ162,2)</f>
      </c>
      <c r="AU162" s="33">
        <f>ROUND(AA162-AK162,2)</f>
      </c>
      <c r="AV162" s="33">
        <f>ROUND(AB162-AL162,2)</f>
      </c>
      <c r="AW162" s="33">
        <f>ROUND(AC162-AM162,2)</f>
      </c>
      <c r="AX162" s="33">
        <f>ROUND(AD162-AN162,2)</f>
      </c>
      <c r="AY162" s="33">
        <f>ROUND(AE162-AO162,2)</f>
      </c>
      <c r="AZ162" s="33">
        <f>ROUND(MAX(0,'Your debts'!$D$22-SUM($L162:$U162)),2)</f>
      </c>
      <c r="BA162" s="33">
        <f>ROUND(SUM($B162:$K162)-SUM($AP161:$AY161),2)</f>
      </c>
      <c r="BB162" s="33">
        <f>SUM($AP162:$AY162)</f>
      </c>
      <c r="BC162" s="33">
        <f>ROUND(SUM($L162:$U162)+SUM($AF162:$AO162),2)</f>
      </c>
    </row>
    <row r="163" spans="1:55" x14ac:dyDescent="0.25">
      <c r="A163">
        <v>156</v>
      </c>
      <c r="B163" s="33">
        <f>IF(AP162&lt;=0,0,ROUND(AP162+ROUND(AP162*V$3/12,2),2))</f>
      </c>
      <c r="C163" s="33">
        <f>IF(AQ162&lt;=0,0,ROUND(AQ162+ROUND(AQ162*W$3/12,2),2))</f>
      </c>
      <c r="D163" s="33">
        <f>IF(AR162&lt;=0,0,ROUND(AR162+ROUND(AR162*X$3/12,2),2))</f>
      </c>
      <c r="E163" s="33">
        <f>IF(AS162&lt;=0,0,ROUND(AS162+ROUND(AS162*Y$3/12,2),2))</f>
      </c>
      <c r="F163" s="33">
        <f>IF(AT162&lt;=0,0,ROUND(AT162+ROUND(AT162*Z$3/12,2),2))</f>
      </c>
      <c r="G163" s="33">
        <f>IF(AU162&lt;=0,0,ROUND(AU162+ROUND(AU162*AA$3/12,2),2))</f>
      </c>
      <c r="H163" s="33">
        <f>IF(AV162&lt;=0,0,ROUND(AV162+ROUND(AV162*AB$3/12,2),2))</f>
      </c>
      <c r="I163" s="33">
        <f>IF(AW162&lt;=0,0,ROUND(AW162+ROUND(AW162*AC$3/12,2),2))</f>
      </c>
      <c r="J163" s="33">
        <f>IF(AX162&lt;=0,0,ROUND(AX162+ROUND(AX162*AD$3/12,2),2))</f>
      </c>
      <c r="K163" s="33">
        <f>IF(AY162&lt;=0,0,ROUND(AY162+ROUND(AY162*AE$3/12,2),2))</f>
      </c>
      <c r="L163" s="33">
        <f>ROUND(MIN(MAX(0,N('Your debts'!$E$6)),B163),2)</f>
      </c>
      <c r="M163" s="33">
        <f>ROUND(MIN(MAX(0,N('Your debts'!$E$7)),C163),2)</f>
      </c>
      <c r="N163" s="33">
        <f>ROUND(MIN(MAX(0,N('Your debts'!$E$8)),D163),2)</f>
      </c>
      <c r="O163" s="33">
        <f>ROUND(MIN(MAX(0,N('Your debts'!$E$9)),E163),2)</f>
      </c>
      <c r="P163" s="33">
        <f>ROUND(MIN(MAX(0,N('Your debts'!$E$10)),F163),2)</f>
      </c>
      <c r="Q163" s="33">
        <f>ROUND(MIN(MAX(0,N('Your debts'!$E$11)),G163),2)</f>
      </c>
      <c r="R163" s="33">
        <f>ROUND(MIN(MAX(0,N('Your debts'!$E$12)),H163),2)</f>
      </c>
      <c r="S163" s="33">
        <f>ROUND(MIN(MAX(0,N('Your debts'!$E$13)),I163),2)</f>
      </c>
      <c r="T163" s="33">
        <f>ROUND(MIN(MAX(0,N('Your debts'!$E$14)),J163),2)</f>
      </c>
      <c r="U163" s="33">
        <f>ROUND(MIN(MAX(0,N('Your debts'!$E$15)),K163),2)</f>
      </c>
      <c r="V163" s="33">
        <f>ROUND(B163-L163,2)</f>
      </c>
      <c r="W163" s="33">
        <f>ROUND(C163-M163,2)</f>
      </c>
      <c r="X163" s="33">
        <f>ROUND(D163-N163,2)</f>
      </c>
      <c r="Y163" s="33">
        <f>ROUND(E163-O163,2)</f>
      </c>
      <c r="Z163" s="33">
        <f>ROUND(F163-P163,2)</f>
      </c>
      <c r="AA163" s="33">
        <f>ROUND(G163-Q163,2)</f>
      </c>
      <c r="AB163" s="33">
        <f>ROUND(H163-R163,2)</f>
      </c>
      <c r="AC163" s="33">
        <f>ROUND(I163-S163,2)</f>
      </c>
      <c r="AD163" s="33">
        <f>ROUND(J163-T163,2)</f>
      </c>
      <c r="AE163" s="33">
        <f>ROUND(K163-U163,2)</f>
      </c>
      <c r="AF163" s="33">
        <f>IF(V163&lt;=0,0,MAX(0,MIN(V163,ROUND($AZ163-SUMPRODUCT($V163:$AE163*($V163:$AE163&gt;0)*(($V163:$AE163&lt;V163)+($V163:$AE163=V163)*($V$3:$AE$3&gt;V$3)+($V163:$AE163=V163)*($V$3:$AE$3=V$3)*($V$2:$AE$2&lt;V$2))),2))))</f>
      </c>
      <c r="AG163" s="33">
        <f>IF(W163&lt;=0,0,MAX(0,MIN(W163,ROUND($AZ163-SUMPRODUCT($V163:$AE163*($V163:$AE163&gt;0)*(($V163:$AE163&lt;W163)+($V163:$AE163=W163)*($V$3:$AE$3&gt;W$3)+($V163:$AE163=W163)*($V$3:$AE$3=W$3)*($V$2:$AE$2&lt;W$2))),2))))</f>
      </c>
      <c r="AH163" s="33">
        <f>IF(X163&lt;=0,0,MAX(0,MIN(X163,ROUND($AZ163-SUMPRODUCT($V163:$AE163*($V163:$AE163&gt;0)*(($V163:$AE163&lt;X163)+($V163:$AE163=X163)*($V$3:$AE$3&gt;X$3)+($V163:$AE163=X163)*($V$3:$AE$3=X$3)*($V$2:$AE$2&lt;X$2))),2))))</f>
      </c>
      <c r="AI163" s="33">
        <f>IF(Y163&lt;=0,0,MAX(0,MIN(Y163,ROUND($AZ163-SUMPRODUCT($V163:$AE163*($V163:$AE163&gt;0)*(($V163:$AE163&lt;Y163)+($V163:$AE163=Y163)*($V$3:$AE$3&gt;Y$3)+($V163:$AE163=Y163)*($V$3:$AE$3=Y$3)*($V$2:$AE$2&lt;Y$2))),2))))</f>
      </c>
      <c r="AJ163" s="33">
        <f>IF(Z163&lt;=0,0,MAX(0,MIN(Z163,ROUND($AZ163-SUMPRODUCT($V163:$AE163*($V163:$AE163&gt;0)*(($V163:$AE163&lt;Z163)+($V163:$AE163=Z163)*($V$3:$AE$3&gt;Z$3)+($V163:$AE163=Z163)*($V$3:$AE$3=Z$3)*($V$2:$AE$2&lt;Z$2))),2))))</f>
      </c>
      <c r="AK163" s="33">
        <f>IF(AA163&lt;=0,0,MAX(0,MIN(AA163,ROUND($AZ163-SUMPRODUCT($V163:$AE163*($V163:$AE163&gt;0)*(($V163:$AE163&lt;AA163)+($V163:$AE163=AA163)*($V$3:$AE$3&gt;AA$3)+($V163:$AE163=AA163)*($V$3:$AE$3=AA$3)*($V$2:$AE$2&lt;AA$2))),2))))</f>
      </c>
      <c r="AL163" s="33">
        <f>IF(AB163&lt;=0,0,MAX(0,MIN(AB163,ROUND($AZ163-SUMPRODUCT($V163:$AE163*($V163:$AE163&gt;0)*(($V163:$AE163&lt;AB163)+($V163:$AE163=AB163)*($V$3:$AE$3&gt;AB$3)+($V163:$AE163=AB163)*($V$3:$AE$3=AB$3)*($V$2:$AE$2&lt;AB$2))),2))))</f>
      </c>
      <c r="AM163" s="33">
        <f>IF(AC163&lt;=0,0,MAX(0,MIN(AC163,ROUND($AZ163-SUMPRODUCT($V163:$AE163*($V163:$AE163&gt;0)*(($V163:$AE163&lt;AC163)+($V163:$AE163=AC163)*($V$3:$AE$3&gt;AC$3)+($V163:$AE163=AC163)*($V$3:$AE$3=AC$3)*($V$2:$AE$2&lt;AC$2))),2))))</f>
      </c>
      <c r="AN163" s="33">
        <f>IF(AD163&lt;=0,0,MAX(0,MIN(AD163,ROUND($AZ163-SUMPRODUCT($V163:$AE163*($V163:$AE163&gt;0)*(($V163:$AE163&lt;AD163)+($V163:$AE163=AD163)*($V$3:$AE$3&gt;AD$3)+($V163:$AE163=AD163)*($V$3:$AE$3=AD$3)*($V$2:$AE$2&lt;AD$2))),2))))</f>
      </c>
      <c r="AO163" s="33">
        <f>IF(AE163&lt;=0,0,MAX(0,MIN(AE163,ROUND($AZ163-SUMPRODUCT($V163:$AE163*($V163:$AE163&gt;0)*(($V163:$AE163&lt;AE163)+($V163:$AE163=AE163)*($V$3:$AE$3&gt;AE$3)+($V163:$AE163=AE163)*($V$3:$AE$3=AE$3)*($V$2:$AE$2&lt;AE$2))),2))))</f>
      </c>
      <c r="AP163" s="33">
        <f>ROUND(V163-AF163,2)</f>
      </c>
      <c r="AQ163" s="33">
        <f>ROUND(W163-AG163,2)</f>
      </c>
      <c r="AR163" s="33">
        <f>ROUND(X163-AH163,2)</f>
      </c>
      <c r="AS163" s="33">
        <f>ROUND(Y163-AI163,2)</f>
      </c>
      <c r="AT163" s="33">
        <f>ROUND(Z163-AJ163,2)</f>
      </c>
      <c r="AU163" s="33">
        <f>ROUND(AA163-AK163,2)</f>
      </c>
      <c r="AV163" s="33">
        <f>ROUND(AB163-AL163,2)</f>
      </c>
      <c r="AW163" s="33">
        <f>ROUND(AC163-AM163,2)</f>
      </c>
      <c r="AX163" s="33">
        <f>ROUND(AD163-AN163,2)</f>
      </c>
      <c r="AY163" s="33">
        <f>ROUND(AE163-AO163,2)</f>
      </c>
      <c r="AZ163" s="33">
        <f>ROUND(MAX(0,'Your debts'!$D$22-SUM($L163:$U163)),2)</f>
      </c>
      <c r="BA163" s="33">
        <f>ROUND(SUM($B163:$K163)-SUM($AP162:$AY162),2)</f>
      </c>
      <c r="BB163" s="33">
        <f>SUM($AP163:$AY163)</f>
      </c>
      <c r="BC163" s="33">
        <f>ROUND(SUM($L163:$U163)+SUM($AF163:$AO163),2)</f>
      </c>
    </row>
    <row r="164" spans="1:55" x14ac:dyDescent="0.25">
      <c r="A164">
        <v>157</v>
      </c>
      <c r="B164" s="33">
        <f>IF(AP163&lt;=0,0,ROUND(AP163+ROUND(AP163*V$3/12,2),2))</f>
      </c>
      <c r="C164" s="33">
        <f>IF(AQ163&lt;=0,0,ROUND(AQ163+ROUND(AQ163*W$3/12,2),2))</f>
      </c>
      <c r="D164" s="33">
        <f>IF(AR163&lt;=0,0,ROUND(AR163+ROUND(AR163*X$3/12,2),2))</f>
      </c>
      <c r="E164" s="33">
        <f>IF(AS163&lt;=0,0,ROUND(AS163+ROUND(AS163*Y$3/12,2),2))</f>
      </c>
      <c r="F164" s="33">
        <f>IF(AT163&lt;=0,0,ROUND(AT163+ROUND(AT163*Z$3/12,2),2))</f>
      </c>
      <c r="G164" s="33">
        <f>IF(AU163&lt;=0,0,ROUND(AU163+ROUND(AU163*AA$3/12,2),2))</f>
      </c>
      <c r="H164" s="33">
        <f>IF(AV163&lt;=0,0,ROUND(AV163+ROUND(AV163*AB$3/12,2),2))</f>
      </c>
      <c r="I164" s="33">
        <f>IF(AW163&lt;=0,0,ROUND(AW163+ROUND(AW163*AC$3/12,2),2))</f>
      </c>
      <c r="J164" s="33">
        <f>IF(AX163&lt;=0,0,ROUND(AX163+ROUND(AX163*AD$3/12,2),2))</f>
      </c>
      <c r="K164" s="33">
        <f>IF(AY163&lt;=0,0,ROUND(AY163+ROUND(AY163*AE$3/12,2),2))</f>
      </c>
      <c r="L164" s="33">
        <f>ROUND(MIN(MAX(0,N('Your debts'!$E$6)),B164),2)</f>
      </c>
      <c r="M164" s="33">
        <f>ROUND(MIN(MAX(0,N('Your debts'!$E$7)),C164),2)</f>
      </c>
      <c r="N164" s="33">
        <f>ROUND(MIN(MAX(0,N('Your debts'!$E$8)),D164),2)</f>
      </c>
      <c r="O164" s="33">
        <f>ROUND(MIN(MAX(0,N('Your debts'!$E$9)),E164),2)</f>
      </c>
      <c r="P164" s="33">
        <f>ROUND(MIN(MAX(0,N('Your debts'!$E$10)),F164),2)</f>
      </c>
      <c r="Q164" s="33">
        <f>ROUND(MIN(MAX(0,N('Your debts'!$E$11)),G164),2)</f>
      </c>
      <c r="R164" s="33">
        <f>ROUND(MIN(MAX(0,N('Your debts'!$E$12)),H164),2)</f>
      </c>
      <c r="S164" s="33">
        <f>ROUND(MIN(MAX(0,N('Your debts'!$E$13)),I164),2)</f>
      </c>
      <c r="T164" s="33">
        <f>ROUND(MIN(MAX(0,N('Your debts'!$E$14)),J164),2)</f>
      </c>
      <c r="U164" s="33">
        <f>ROUND(MIN(MAX(0,N('Your debts'!$E$15)),K164),2)</f>
      </c>
      <c r="V164" s="33">
        <f>ROUND(B164-L164,2)</f>
      </c>
      <c r="W164" s="33">
        <f>ROUND(C164-M164,2)</f>
      </c>
      <c r="X164" s="33">
        <f>ROUND(D164-N164,2)</f>
      </c>
      <c r="Y164" s="33">
        <f>ROUND(E164-O164,2)</f>
      </c>
      <c r="Z164" s="33">
        <f>ROUND(F164-P164,2)</f>
      </c>
      <c r="AA164" s="33">
        <f>ROUND(G164-Q164,2)</f>
      </c>
      <c r="AB164" s="33">
        <f>ROUND(H164-R164,2)</f>
      </c>
      <c r="AC164" s="33">
        <f>ROUND(I164-S164,2)</f>
      </c>
      <c r="AD164" s="33">
        <f>ROUND(J164-T164,2)</f>
      </c>
      <c r="AE164" s="33">
        <f>ROUND(K164-U164,2)</f>
      </c>
      <c r="AF164" s="33">
        <f>IF(V164&lt;=0,0,MAX(0,MIN(V164,ROUND($AZ164-SUMPRODUCT($V164:$AE164*($V164:$AE164&gt;0)*(($V164:$AE164&lt;V164)+($V164:$AE164=V164)*($V$3:$AE$3&gt;V$3)+($V164:$AE164=V164)*($V$3:$AE$3=V$3)*($V$2:$AE$2&lt;V$2))),2))))</f>
      </c>
      <c r="AG164" s="33">
        <f>IF(W164&lt;=0,0,MAX(0,MIN(W164,ROUND($AZ164-SUMPRODUCT($V164:$AE164*($V164:$AE164&gt;0)*(($V164:$AE164&lt;W164)+($V164:$AE164=W164)*($V$3:$AE$3&gt;W$3)+($V164:$AE164=W164)*($V$3:$AE$3=W$3)*($V$2:$AE$2&lt;W$2))),2))))</f>
      </c>
      <c r="AH164" s="33">
        <f>IF(X164&lt;=0,0,MAX(0,MIN(X164,ROUND($AZ164-SUMPRODUCT($V164:$AE164*($V164:$AE164&gt;0)*(($V164:$AE164&lt;X164)+($V164:$AE164=X164)*($V$3:$AE$3&gt;X$3)+($V164:$AE164=X164)*($V$3:$AE$3=X$3)*($V$2:$AE$2&lt;X$2))),2))))</f>
      </c>
      <c r="AI164" s="33">
        <f>IF(Y164&lt;=0,0,MAX(0,MIN(Y164,ROUND($AZ164-SUMPRODUCT($V164:$AE164*($V164:$AE164&gt;0)*(($V164:$AE164&lt;Y164)+($V164:$AE164=Y164)*($V$3:$AE$3&gt;Y$3)+($V164:$AE164=Y164)*($V$3:$AE$3=Y$3)*($V$2:$AE$2&lt;Y$2))),2))))</f>
      </c>
      <c r="AJ164" s="33">
        <f>IF(Z164&lt;=0,0,MAX(0,MIN(Z164,ROUND($AZ164-SUMPRODUCT($V164:$AE164*($V164:$AE164&gt;0)*(($V164:$AE164&lt;Z164)+($V164:$AE164=Z164)*($V$3:$AE$3&gt;Z$3)+($V164:$AE164=Z164)*($V$3:$AE$3=Z$3)*($V$2:$AE$2&lt;Z$2))),2))))</f>
      </c>
      <c r="AK164" s="33">
        <f>IF(AA164&lt;=0,0,MAX(0,MIN(AA164,ROUND($AZ164-SUMPRODUCT($V164:$AE164*($V164:$AE164&gt;0)*(($V164:$AE164&lt;AA164)+($V164:$AE164=AA164)*($V$3:$AE$3&gt;AA$3)+($V164:$AE164=AA164)*($V$3:$AE$3=AA$3)*($V$2:$AE$2&lt;AA$2))),2))))</f>
      </c>
      <c r="AL164" s="33">
        <f>IF(AB164&lt;=0,0,MAX(0,MIN(AB164,ROUND($AZ164-SUMPRODUCT($V164:$AE164*($V164:$AE164&gt;0)*(($V164:$AE164&lt;AB164)+($V164:$AE164=AB164)*($V$3:$AE$3&gt;AB$3)+($V164:$AE164=AB164)*($V$3:$AE$3=AB$3)*($V$2:$AE$2&lt;AB$2))),2))))</f>
      </c>
      <c r="AM164" s="33">
        <f>IF(AC164&lt;=0,0,MAX(0,MIN(AC164,ROUND($AZ164-SUMPRODUCT($V164:$AE164*($V164:$AE164&gt;0)*(($V164:$AE164&lt;AC164)+($V164:$AE164=AC164)*($V$3:$AE$3&gt;AC$3)+($V164:$AE164=AC164)*($V$3:$AE$3=AC$3)*($V$2:$AE$2&lt;AC$2))),2))))</f>
      </c>
      <c r="AN164" s="33">
        <f>IF(AD164&lt;=0,0,MAX(0,MIN(AD164,ROUND($AZ164-SUMPRODUCT($V164:$AE164*($V164:$AE164&gt;0)*(($V164:$AE164&lt;AD164)+($V164:$AE164=AD164)*($V$3:$AE$3&gt;AD$3)+($V164:$AE164=AD164)*($V$3:$AE$3=AD$3)*($V$2:$AE$2&lt;AD$2))),2))))</f>
      </c>
      <c r="AO164" s="33">
        <f>IF(AE164&lt;=0,0,MAX(0,MIN(AE164,ROUND($AZ164-SUMPRODUCT($V164:$AE164*($V164:$AE164&gt;0)*(($V164:$AE164&lt;AE164)+($V164:$AE164=AE164)*($V$3:$AE$3&gt;AE$3)+($V164:$AE164=AE164)*($V$3:$AE$3=AE$3)*($V$2:$AE$2&lt;AE$2))),2))))</f>
      </c>
      <c r="AP164" s="33">
        <f>ROUND(V164-AF164,2)</f>
      </c>
      <c r="AQ164" s="33">
        <f>ROUND(W164-AG164,2)</f>
      </c>
      <c r="AR164" s="33">
        <f>ROUND(X164-AH164,2)</f>
      </c>
      <c r="AS164" s="33">
        <f>ROUND(Y164-AI164,2)</f>
      </c>
      <c r="AT164" s="33">
        <f>ROUND(Z164-AJ164,2)</f>
      </c>
      <c r="AU164" s="33">
        <f>ROUND(AA164-AK164,2)</f>
      </c>
      <c r="AV164" s="33">
        <f>ROUND(AB164-AL164,2)</f>
      </c>
      <c r="AW164" s="33">
        <f>ROUND(AC164-AM164,2)</f>
      </c>
      <c r="AX164" s="33">
        <f>ROUND(AD164-AN164,2)</f>
      </c>
      <c r="AY164" s="33">
        <f>ROUND(AE164-AO164,2)</f>
      </c>
      <c r="AZ164" s="33">
        <f>ROUND(MAX(0,'Your debts'!$D$22-SUM($L164:$U164)),2)</f>
      </c>
      <c r="BA164" s="33">
        <f>ROUND(SUM($B164:$K164)-SUM($AP163:$AY163),2)</f>
      </c>
      <c r="BB164" s="33">
        <f>SUM($AP164:$AY164)</f>
      </c>
      <c r="BC164" s="33">
        <f>ROUND(SUM($L164:$U164)+SUM($AF164:$AO164),2)</f>
      </c>
    </row>
    <row r="165" spans="1:55" x14ac:dyDescent="0.25">
      <c r="A165">
        <v>158</v>
      </c>
      <c r="B165" s="33">
        <f>IF(AP164&lt;=0,0,ROUND(AP164+ROUND(AP164*V$3/12,2),2))</f>
      </c>
      <c r="C165" s="33">
        <f>IF(AQ164&lt;=0,0,ROUND(AQ164+ROUND(AQ164*W$3/12,2),2))</f>
      </c>
      <c r="D165" s="33">
        <f>IF(AR164&lt;=0,0,ROUND(AR164+ROUND(AR164*X$3/12,2),2))</f>
      </c>
      <c r="E165" s="33">
        <f>IF(AS164&lt;=0,0,ROUND(AS164+ROUND(AS164*Y$3/12,2),2))</f>
      </c>
      <c r="F165" s="33">
        <f>IF(AT164&lt;=0,0,ROUND(AT164+ROUND(AT164*Z$3/12,2),2))</f>
      </c>
      <c r="G165" s="33">
        <f>IF(AU164&lt;=0,0,ROUND(AU164+ROUND(AU164*AA$3/12,2),2))</f>
      </c>
      <c r="H165" s="33">
        <f>IF(AV164&lt;=0,0,ROUND(AV164+ROUND(AV164*AB$3/12,2),2))</f>
      </c>
      <c r="I165" s="33">
        <f>IF(AW164&lt;=0,0,ROUND(AW164+ROUND(AW164*AC$3/12,2),2))</f>
      </c>
      <c r="J165" s="33">
        <f>IF(AX164&lt;=0,0,ROUND(AX164+ROUND(AX164*AD$3/12,2),2))</f>
      </c>
      <c r="K165" s="33">
        <f>IF(AY164&lt;=0,0,ROUND(AY164+ROUND(AY164*AE$3/12,2),2))</f>
      </c>
      <c r="L165" s="33">
        <f>ROUND(MIN(MAX(0,N('Your debts'!$E$6)),B165),2)</f>
      </c>
      <c r="M165" s="33">
        <f>ROUND(MIN(MAX(0,N('Your debts'!$E$7)),C165),2)</f>
      </c>
      <c r="N165" s="33">
        <f>ROUND(MIN(MAX(0,N('Your debts'!$E$8)),D165),2)</f>
      </c>
      <c r="O165" s="33">
        <f>ROUND(MIN(MAX(0,N('Your debts'!$E$9)),E165),2)</f>
      </c>
      <c r="P165" s="33">
        <f>ROUND(MIN(MAX(0,N('Your debts'!$E$10)),F165),2)</f>
      </c>
      <c r="Q165" s="33">
        <f>ROUND(MIN(MAX(0,N('Your debts'!$E$11)),G165),2)</f>
      </c>
      <c r="R165" s="33">
        <f>ROUND(MIN(MAX(0,N('Your debts'!$E$12)),H165),2)</f>
      </c>
      <c r="S165" s="33">
        <f>ROUND(MIN(MAX(0,N('Your debts'!$E$13)),I165),2)</f>
      </c>
      <c r="T165" s="33">
        <f>ROUND(MIN(MAX(0,N('Your debts'!$E$14)),J165),2)</f>
      </c>
      <c r="U165" s="33">
        <f>ROUND(MIN(MAX(0,N('Your debts'!$E$15)),K165),2)</f>
      </c>
      <c r="V165" s="33">
        <f>ROUND(B165-L165,2)</f>
      </c>
      <c r="W165" s="33">
        <f>ROUND(C165-M165,2)</f>
      </c>
      <c r="X165" s="33">
        <f>ROUND(D165-N165,2)</f>
      </c>
      <c r="Y165" s="33">
        <f>ROUND(E165-O165,2)</f>
      </c>
      <c r="Z165" s="33">
        <f>ROUND(F165-P165,2)</f>
      </c>
      <c r="AA165" s="33">
        <f>ROUND(G165-Q165,2)</f>
      </c>
      <c r="AB165" s="33">
        <f>ROUND(H165-R165,2)</f>
      </c>
      <c r="AC165" s="33">
        <f>ROUND(I165-S165,2)</f>
      </c>
      <c r="AD165" s="33">
        <f>ROUND(J165-T165,2)</f>
      </c>
      <c r="AE165" s="33">
        <f>ROUND(K165-U165,2)</f>
      </c>
      <c r="AF165" s="33">
        <f>IF(V165&lt;=0,0,MAX(0,MIN(V165,ROUND($AZ165-SUMPRODUCT($V165:$AE165*($V165:$AE165&gt;0)*(($V165:$AE165&lt;V165)+($V165:$AE165=V165)*($V$3:$AE$3&gt;V$3)+($V165:$AE165=V165)*($V$3:$AE$3=V$3)*($V$2:$AE$2&lt;V$2))),2))))</f>
      </c>
      <c r="AG165" s="33">
        <f>IF(W165&lt;=0,0,MAX(0,MIN(W165,ROUND($AZ165-SUMPRODUCT($V165:$AE165*($V165:$AE165&gt;0)*(($V165:$AE165&lt;W165)+($V165:$AE165=W165)*($V$3:$AE$3&gt;W$3)+($V165:$AE165=W165)*($V$3:$AE$3=W$3)*($V$2:$AE$2&lt;W$2))),2))))</f>
      </c>
      <c r="AH165" s="33">
        <f>IF(X165&lt;=0,0,MAX(0,MIN(X165,ROUND($AZ165-SUMPRODUCT($V165:$AE165*($V165:$AE165&gt;0)*(($V165:$AE165&lt;X165)+($V165:$AE165=X165)*($V$3:$AE$3&gt;X$3)+($V165:$AE165=X165)*($V$3:$AE$3=X$3)*($V$2:$AE$2&lt;X$2))),2))))</f>
      </c>
      <c r="AI165" s="33">
        <f>IF(Y165&lt;=0,0,MAX(0,MIN(Y165,ROUND($AZ165-SUMPRODUCT($V165:$AE165*($V165:$AE165&gt;0)*(($V165:$AE165&lt;Y165)+($V165:$AE165=Y165)*($V$3:$AE$3&gt;Y$3)+($V165:$AE165=Y165)*($V$3:$AE$3=Y$3)*($V$2:$AE$2&lt;Y$2))),2))))</f>
      </c>
      <c r="AJ165" s="33">
        <f>IF(Z165&lt;=0,0,MAX(0,MIN(Z165,ROUND($AZ165-SUMPRODUCT($V165:$AE165*($V165:$AE165&gt;0)*(($V165:$AE165&lt;Z165)+($V165:$AE165=Z165)*($V$3:$AE$3&gt;Z$3)+($V165:$AE165=Z165)*($V$3:$AE$3=Z$3)*($V$2:$AE$2&lt;Z$2))),2))))</f>
      </c>
      <c r="AK165" s="33">
        <f>IF(AA165&lt;=0,0,MAX(0,MIN(AA165,ROUND($AZ165-SUMPRODUCT($V165:$AE165*($V165:$AE165&gt;0)*(($V165:$AE165&lt;AA165)+($V165:$AE165=AA165)*($V$3:$AE$3&gt;AA$3)+($V165:$AE165=AA165)*($V$3:$AE$3=AA$3)*($V$2:$AE$2&lt;AA$2))),2))))</f>
      </c>
      <c r="AL165" s="33">
        <f>IF(AB165&lt;=0,0,MAX(0,MIN(AB165,ROUND($AZ165-SUMPRODUCT($V165:$AE165*($V165:$AE165&gt;0)*(($V165:$AE165&lt;AB165)+($V165:$AE165=AB165)*($V$3:$AE$3&gt;AB$3)+($V165:$AE165=AB165)*($V$3:$AE$3=AB$3)*($V$2:$AE$2&lt;AB$2))),2))))</f>
      </c>
      <c r="AM165" s="33">
        <f>IF(AC165&lt;=0,0,MAX(0,MIN(AC165,ROUND($AZ165-SUMPRODUCT($V165:$AE165*($V165:$AE165&gt;0)*(($V165:$AE165&lt;AC165)+($V165:$AE165=AC165)*($V$3:$AE$3&gt;AC$3)+($V165:$AE165=AC165)*($V$3:$AE$3=AC$3)*($V$2:$AE$2&lt;AC$2))),2))))</f>
      </c>
      <c r="AN165" s="33">
        <f>IF(AD165&lt;=0,0,MAX(0,MIN(AD165,ROUND($AZ165-SUMPRODUCT($V165:$AE165*($V165:$AE165&gt;0)*(($V165:$AE165&lt;AD165)+($V165:$AE165=AD165)*($V$3:$AE$3&gt;AD$3)+($V165:$AE165=AD165)*($V$3:$AE$3=AD$3)*($V$2:$AE$2&lt;AD$2))),2))))</f>
      </c>
      <c r="AO165" s="33">
        <f>IF(AE165&lt;=0,0,MAX(0,MIN(AE165,ROUND($AZ165-SUMPRODUCT($V165:$AE165*($V165:$AE165&gt;0)*(($V165:$AE165&lt;AE165)+($V165:$AE165=AE165)*($V$3:$AE$3&gt;AE$3)+($V165:$AE165=AE165)*($V$3:$AE$3=AE$3)*($V$2:$AE$2&lt;AE$2))),2))))</f>
      </c>
      <c r="AP165" s="33">
        <f>ROUND(V165-AF165,2)</f>
      </c>
      <c r="AQ165" s="33">
        <f>ROUND(W165-AG165,2)</f>
      </c>
      <c r="AR165" s="33">
        <f>ROUND(X165-AH165,2)</f>
      </c>
      <c r="AS165" s="33">
        <f>ROUND(Y165-AI165,2)</f>
      </c>
      <c r="AT165" s="33">
        <f>ROUND(Z165-AJ165,2)</f>
      </c>
      <c r="AU165" s="33">
        <f>ROUND(AA165-AK165,2)</f>
      </c>
      <c r="AV165" s="33">
        <f>ROUND(AB165-AL165,2)</f>
      </c>
      <c r="AW165" s="33">
        <f>ROUND(AC165-AM165,2)</f>
      </c>
      <c r="AX165" s="33">
        <f>ROUND(AD165-AN165,2)</f>
      </c>
      <c r="AY165" s="33">
        <f>ROUND(AE165-AO165,2)</f>
      </c>
      <c r="AZ165" s="33">
        <f>ROUND(MAX(0,'Your debts'!$D$22-SUM($L165:$U165)),2)</f>
      </c>
      <c r="BA165" s="33">
        <f>ROUND(SUM($B165:$K165)-SUM($AP164:$AY164),2)</f>
      </c>
      <c r="BB165" s="33">
        <f>SUM($AP165:$AY165)</f>
      </c>
      <c r="BC165" s="33">
        <f>ROUND(SUM($L165:$U165)+SUM($AF165:$AO165),2)</f>
      </c>
    </row>
    <row r="166" spans="1:55" x14ac:dyDescent="0.25">
      <c r="A166">
        <v>159</v>
      </c>
      <c r="B166" s="33">
        <f>IF(AP165&lt;=0,0,ROUND(AP165+ROUND(AP165*V$3/12,2),2))</f>
      </c>
      <c r="C166" s="33">
        <f>IF(AQ165&lt;=0,0,ROUND(AQ165+ROUND(AQ165*W$3/12,2),2))</f>
      </c>
      <c r="D166" s="33">
        <f>IF(AR165&lt;=0,0,ROUND(AR165+ROUND(AR165*X$3/12,2),2))</f>
      </c>
      <c r="E166" s="33">
        <f>IF(AS165&lt;=0,0,ROUND(AS165+ROUND(AS165*Y$3/12,2),2))</f>
      </c>
      <c r="F166" s="33">
        <f>IF(AT165&lt;=0,0,ROUND(AT165+ROUND(AT165*Z$3/12,2),2))</f>
      </c>
      <c r="G166" s="33">
        <f>IF(AU165&lt;=0,0,ROUND(AU165+ROUND(AU165*AA$3/12,2),2))</f>
      </c>
      <c r="H166" s="33">
        <f>IF(AV165&lt;=0,0,ROUND(AV165+ROUND(AV165*AB$3/12,2),2))</f>
      </c>
      <c r="I166" s="33">
        <f>IF(AW165&lt;=0,0,ROUND(AW165+ROUND(AW165*AC$3/12,2),2))</f>
      </c>
      <c r="J166" s="33">
        <f>IF(AX165&lt;=0,0,ROUND(AX165+ROUND(AX165*AD$3/12,2),2))</f>
      </c>
      <c r="K166" s="33">
        <f>IF(AY165&lt;=0,0,ROUND(AY165+ROUND(AY165*AE$3/12,2),2))</f>
      </c>
      <c r="L166" s="33">
        <f>ROUND(MIN(MAX(0,N('Your debts'!$E$6)),B166),2)</f>
      </c>
      <c r="M166" s="33">
        <f>ROUND(MIN(MAX(0,N('Your debts'!$E$7)),C166),2)</f>
      </c>
      <c r="N166" s="33">
        <f>ROUND(MIN(MAX(0,N('Your debts'!$E$8)),D166),2)</f>
      </c>
      <c r="O166" s="33">
        <f>ROUND(MIN(MAX(0,N('Your debts'!$E$9)),E166),2)</f>
      </c>
      <c r="P166" s="33">
        <f>ROUND(MIN(MAX(0,N('Your debts'!$E$10)),F166),2)</f>
      </c>
      <c r="Q166" s="33">
        <f>ROUND(MIN(MAX(0,N('Your debts'!$E$11)),G166),2)</f>
      </c>
      <c r="R166" s="33">
        <f>ROUND(MIN(MAX(0,N('Your debts'!$E$12)),H166),2)</f>
      </c>
      <c r="S166" s="33">
        <f>ROUND(MIN(MAX(0,N('Your debts'!$E$13)),I166),2)</f>
      </c>
      <c r="T166" s="33">
        <f>ROUND(MIN(MAX(0,N('Your debts'!$E$14)),J166),2)</f>
      </c>
      <c r="U166" s="33">
        <f>ROUND(MIN(MAX(0,N('Your debts'!$E$15)),K166),2)</f>
      </c>
      <c r="V166" s="33">
        <f>ROUND(B166-L166,2)</f>
      </c>
      <c r="W166" s="33">
        <f>ROUND(C166-M166,2)</f>
      </c>
      <c r="X166" s="33">
        <f>ROUND(D166-N166,2)</f>
      </c>
      <c r="Y166" s="33">
        <f>ROUND(E166-O166,2)</f>
      </c>
      <c r="Z166" s="33">
        <f>ROUND(F166-P166,2)</f>
      </c>
      <c r="AA166" s="33">
        <f>ROUND(G166-Q166,2)</f>
      </c>
      <c r="AB166" s="33">
        <f>ROUND(H166-R166,2)</f>
      </c>
      <c r="AC166" s="33">
        <f>ROUND(I166-S166,2)</f>
      </c>
      <c r="AD166" s="33">
        <f>ROUND(J166-T166,2)</f>
      </c>
      <c r="AE166" s="33">
        <f>ROUND(K166-U166,2)</f>
      </c>
      <c r="AF166" s="33">
        <f>IF(V166&lt;=0,0,MAX(0,MIN(V166,ROUND($AZ166-SUMPRODUCT($V166:$AE166*($V166:$AE166&gt;0)*(($V166:$AE166&lt;V166)+($V166:$AE166=V166)*($V$3:$AE$3&gt;V$3)+($V166:$AE166=V166)*($V$3:$AE$3=V$3)*($V$2:$AE$2&lt;V$2))),2))))</f>
      </c>
      <c r="AG166" s="33">
        <f>IF(W166&lt;=0,0,MAX(0,MIN(W166,ROUND($AZ166-SUMPRODUCT($V166:$AE166*($V166:$AE166&gt;0)*(($V166:$AE166&lt;W166)+($V166:$AE166=W166)*($V$3:$AE$3&gt;W$3)+($V166:$AE166=W166)*($V$3:$AE$3=W$3)*($V$2:$AE$2&lt;W$2))),2))))</f>
      </c>
      <c r="AH166" s="33">
        <f>IF(X166&lt;=0,0,MAX(0,MIN(X166,ROUND($AZ166-SUMPRODUCT($V166:$AE166*($V166:$AE166&gt;0)*(($V166:$AE166&lt;X166)+($V166:$AE166=X166)*($V$3:$AE$3&gt;X$3)+($V166:$AE166=X166)*($V$3:$AE$3=X$3)*($V$2:$AE$2&lt;X$2))),2))))</f>
      </c>
      <c r="AI166" s="33">
        <f>IF(Y166&lt;=0,0,MAX(0,MIN(Y166,ROUND($AZ166-SUMPRODUCT($V166:$AE166*($V166:$AE166&gt;0)*(($V166:$AE166&lt;Y166)+($V166:$AE166=Y166)*($V$3:$AE$3&gt;Y$3)+($V166:$AE166=Y166)*($V$3:$AE$3=Y$3)*($V$2:$AE$2&lt;Y$2))),2))))</f>
      </c>
      <c r="AJ166" s="33">
        <f>IF(Z166&lt;=0,0,MAX(0,MIN(Z166,ROUND($AZ166-SUMPRODUCT($V166:$AE166*($V166:$AE166&gt;0)*(($V166:$AE166&lt;Z166)+($V166:$AE166=Z166)*($V$3:$AE$3&gt;Z$3)+($V166:$AE166=Z166)*($V$3:$AE$3=Z$3)*($V$2:$AE$2&lt;Z$2))),2))))</f>
      </c>
      <c r="AK166" s="33">
        <f>IF(AA166&lt;=0,0,MAX(0,MIN(AA166,ROUND($AZ166-SUMPRODUCT($V166:$AE166*($V166:$AE166&gt;0)*(($V166:$AE166&lt;AA166)+($V166:$AE166=AA166)*($V$3:$AE$3&gt;AA$3)+($V166:$AE166=AA166)*($V$3:$AE$3=AA$3)*($V$2:$AE$2&lt;AA$2))),2))))</f>
      </c>
      <c r="AL166" s="33">
        <f>IF(AB166&lt;=0,0,MAX(0,MIN(AB166,ROUND($AZ166-SUMPRODUCT($V166:$AE166*($V166:$AE166&gt;0)*(($V166:$AE166&lt;AB166)+($V166:$AE166=AB166)*($V$3:$AE$3&gt;AB$3)+($V166:$AE166=AB166)*($V$3:$AE$3=AB$3)*($V$2:$AE$2&lt;AB$2))),2))))</f>
      </c>
      <c r="AM166" s="33">
        <f>IF(AC166&lt;=0,0,MAX(0,MIN(AC166,ROUND($AZ166-SUMPRODUCT($V166:$AE166*($V166:$AE166&gt;0)*(($V166:$AE166&lt;AC166)+($V166:$AE166=AC166)*($V$3:$AE$3&gt;AC$3)+($V166:$AE166=AC166)*($V$3:$AE$3=AC$3)*($V$2:$AE$2&lt;AC$2))),2))))</f>
      </c>
      <c r="AN166" s="33">
        <f>IF(AD166&lt;=0,0,MAX(0,MIN(AD166,ROUND($AZ166-SUMPRODUCT($V166:$AE166*($V166:$AE166&gt;0)*(($V166:$AE166&lt;AD166)+($V166:$AE166=AD166)*($V$3:$AE$3&gt;AD$3)+($V166:$AE166=AD166)*($V$3:$AE$3=AD$3)*($V$2:$AE$2&lt;AD$2))),2))))</f>
      </c>
      <c r="AO166" s="33">
        <f>IF(AE166&lt;=0,0,MAX(0,MIN(AE166,ROUND($AZ166-SUMPRODUCT($V166:$AE166*($V166:$AE166&gt;0)*(($V166:$AE166&lt;AE166)+($V166:$AE166=AE166)*($V$3:$AE$3&gt;AE$3)+($V166:$AE166=AE166)*($V$3:$AE$3=AE$3)*($V$2:$AE$2&lt;AE$2))),2))))</f>
      </c>
      <c r="AP166" s="33">
        <f>ROUND(V166-AF166,2)</f>
      </c>
      <c r="AQ166" s="33">
        <f>ROUND(W166-AG166,2)</f>
      </c>
      <c r="AR166" s="33">
        <f>ROUND(X166-AH166,2)</f>
      </c>
      <c r="AS166" s="33">
        <f>ROUND(Y166-AI166,2)</f>
      </c>
      <c r="AT166" s="33">
        <f>ROUND(Z166-AJ166,2)</f>
      </c>
      <c r="AU166" s="33">
        <f>ROUND(AA166-AK166,2)</f>
      </c>
      <c r="AV166" s="33">
        <f>ROUND(AB166-AL166,2)</f>
      </c>
      <c r="AW166" s="33">
        <f>ROUND(AC166-AM166,2)</f>
      </c>
      <c r="AX166" s="33">
        <f>ROUND(AD166-AN166,2)</f>
      </c>
      <c r="AY166" s="33">
        <f>ROUND(AE166-AO166,2)</f>
      </c>
      <c r="AZ166" s="33">
        <f>ROUND(MAX(0,'Your debts'!$D$22-SUM($L166:$U166)),2)</f>
      </c>
      <c r="BA166" s="33">
        <f>ROUND(SUM($B166:$K166)-SUM($AP165:$AY165),2)</f>
      </c>
      <c r="BB166" s="33">
        <f>SUM($AP166:$AY166)</f>
      </c>
      <c r="BC166" s="33">
        <f>ROUND(SUM($L166:$U166)+SUM($AF166:$AO166),2)</f>
      </c>
    </row>
    <row r="167" spans="1:55" x14ac:dyDescent="0.25">
      <c r="A167">
        <v>160</v>
      </c>
      <c r="B167" s="33">
        <f>IF(AP166&lt;=0,0,ROUND(AP166+ROUND(AP166*V$3/12,2),2))</f>
      </c>
      <c r="C167" s="33">
        <f>IF(AQ166&lt;=0,0,ROUND(AQ166+ROUND(AQ166*W$3/12,2),2))</f>
      </c>
      <c r="D167" s="33">
        <f>IF(AR166&lt;=0,0,ROUND(AR166+ROUND(AR166*X$3/12,2),2))</f>
      </c>
      <c r="E167" s="33">
        <f>IF(AS166&lt;=0,0,ROUND(AS166+ROUND(AS166*Y$3/12,2),2))</f>
      </c>
      <c r="F167" s="33">
        <f>IF(AT166&lt;=0,0,ROUND(AT166+ROUND(AT166*Z$3/12,2),2))</f>
      </c>
      <c r="G167" s="33">
        <f>IF(AU166&lt;=0,0,ROUND(AU166+ROUND(AU166*AA$3/12,2),2))</f>
      </c>
      <c r="H167" s="33">
        <f>IF(AV166&lt;=0,0,ROUND(AV166+ROUND(AV166*AB$3/12,2),2))</f>
      </c>
      <c r="I167" s="33">
        <f>IF(AW166&lt;=0,0,ROUND(AW166+ROUND(AW166*AC$3/12,2),2))</f>
      </c>
      <c r="J167" s="33">
        <f>IF(AX166&lt;=0,0,ROUND(AX166+ROUND(AX166*AD$3/12,2),2))</f>
      </c>
      <c r="K167" s="33">
        <f>IF(AY166&lt;=0,0,ROUND(AY166+ROUND(AY166*AE$3/12,2),2))</f>
      </c>
      <c r="L167" s="33">
        <f>ROUND(MIN(MAX(0,N('Your debts'!$E$6)),B167),2)</f>
      </c>
      <c r="M167" s="33">
        <f>ROUND(MIN(MAX(0,N('Your debts'!$E$7)),C167),2)</f>
      </c>
      <c r="N167" s="33">
        <f>ROUND(MIN(MAX(0,N('Your debts'!$E$8)),D167),2)</f>
      </c>
      <c r="O167" s="33">
        <f>ROUND(MIN(MAX(0,N('Your debts'!$E$9)),E167),2)</f>
      </c>
      <c r="P167" s="33">
        <f>ROUND(MIN(MAX(0,N('Your debts'!$E$10)),F167),2)</f>
      </c>
      <c r="Q167" s="33">
        <f>ROUND(MIN(MAX(0,N('Your debts'!$E$11)),G167),2)</f>
      </c>
      <c r="R167" s="33">
        <f>ROUND(MIN(MAX(0,N('Your debts'!$E$12)),H167),2)</f>
      </c>
      <c r="S167" s="33">
        <f>ROUND(MIN(MAX(0,N('Your debts'!$E$13)),I167),2)</f>
      </c>
      <c r="T167" s="33">
        <f>ROUND(MIN(MAX(0,N('Your debts'!$E$14)),J167),2)</f>
      </c>
      <c r="U167" s="33">
        <f>ROUND(MIN(MAX(0,N('Your debts'!$E$15)),K167),2)</f>
      </c>
      <c r="V167" s="33">
        <f>ROUND(B167-L167,2)</f>
      </c>
      <c r="W167" s="33">
        <f>ROUND(C167-M167,2)</f>
      </c>
      <c r="X167" s="33">
        <f>ROUND(D167-N167,2)</f>
      </c>
      <c r="Y167" s="33">
        <f>ROUND(E167-O167,2)</f>
      </c>
      <c r="Z167" s="33">
        <f>ROUND(F167-P167,2)</f>
      </c>
      <c r="AA167" s="33">
        <f>ROUND(G167-Q167,2)</f>
      </c>
      <c r="AB167" s="33">
        <f>ROUND(H167-R167,2)</f>
      </c>
      <c r="AC167" s="33">
        <f>ROUND(I167-S167,2)</f>
      </c>
      <c r="AD167" s="33">
        <f>ROUND(J167-T167,2)</f>
      </c>
      <c r="AE167" s="33">
        <f>ROUND(K167-U167,2)</f>
      </c>
      <c r="AF167" s="33">
        <f>IF(V167&lt;=0,0,MAX(0,MIN(V167,ROUND($AZ167-SUMPRODUCT($V167:$AE167*($V167:$AE167&gt;0)*(($V167:$AE167&lt;V167)+($V167:$AE167=V167)*($V$3:$AE$3&gt;V$3)+($V167:$AE167=V167)*($V$3:$AE$3=V$3)*($V$2:$AE$2&lt;V$2))),2))))</f>
      </c>
      <c r="AG167" s="33">
        <f>IF(W167&lt;=0,0,MAX(0,MIN(W167,ROUND($AZ167-SUMPRODUCT($V167:$AE167*($V167:$AE167&gt;0)*(($V167:$AE167&lt;W167)+($V167:$AE167=W167)*($V$3:$AE$3&gt;W$3)+($V167:$AE167=W167)*($V$3:$AE$3=W$3)*($V$2:$AE$2&lt;W$2))),2))))</f>
      </c>
      <c r="AH167" s="33">
        <f>IF(X167&lt;=0,0,MAX(0,MIN(X167,ROUND($AZ167-SUMPRODUCT($V167:$AE167*($V167:$AE167&gt;0)*(($V167:$AE167&lt;X167)+($V167:$AE167=X167)*($V$3:$AE$3&gt;X$3)+($V167:$AE167=X167)*($V$3:$AE$3=X$3)*($V$2:$AE$2&lt;X$2))),2))))</f>
      </c>
      <c r="AI167" s="33">
        <f>IF(Y167&lt;=0,0,MAX(0,MIN(Y167,ROUND($AZ167-SUMPRODUCT($V167:$AE167*($V167:$AE167&gt;0)*(($V167:$AE167&lt;Y167)+($V167:$AE167=Y167)*($V$3:$AE$3&gt;Y$3)+($V167:$AE167=Y167)*($V$3:$AE$3=Y$3)*($V$2:$AE$2&lt;Y$2))),2))))</f>
      </c>
      <c r="AJ167" s="33">
        <f>IF(Z167&lt;=0,0,MAX(0,MIN(Z167,ROUND($AZ167-SUMPRODUCT($V167:$AE167*($V167:$AE167&gt;0)*(($V167:$AE167&lt;Z167)+($V167:$AE167=Z167)*($V$3:$AE$3&gt;Z$3)+($V167:$AE167=Z167)*($V$3:$AE$3=Z$3)*($V$2:$AE$2&lt;Z$2))),2))))</f>
      </c>
      <c r="AK167" s="33">
        <f>IF(AA167&lt;=0,0,MAX(0,MIN(AA167,ROUND($AZ167-SUMPRODUCT($V167:$AE167*($V167:$AE167&gt;0)*(($V167:$AE167&lt;AA167)+($V167:$AE167=AA167)*($V$3:$AE$3&gt;AA$3)+($V167:$AE167=AA167)*($V$3:$AE$3=AA$3)*($V$2:$AE$2&lt;AA$2))),2))))</f>
      </c>
      <c r="AL167" s="33">
        <f>IF(AB167&lt;=0,0,MAX(0,MIN(AB167,ROUND($AZ167-SUMPRODUCT($V167:$AE167*($V167:$AE167&gt;0)*(($V167:$AE167&lt;AB167)+($V167:$AE167=AB167)*($V$3:$AE$3&gt;AB$3)+($V167:$AE167=AB167)*($V$3:$AE$3=AB$3)*($V$2:$AE$2&lt;AB$2))),2))))</f>
      </c>
      <c r="AM167" s="33">
        <f>IF(AC167&lt;=0,0,MAX(0,MIN(AC167,ROUND($AZ167-SUMPRODUCT($V167:$AE167*($V167:$AE167&gt;0)*(($V167:$AE167&lt;AC167)+($V167:$AE167=AC167)*($V$3:$AE$3&gt;AC$3)+($V167:$AE167=AC167)*($V$3:$AE$3=AC$3)*($V$2:$AE$2&lt;AC$2))),2))))</f>
      </c>
      <c r="AN167" s="33">
        <f>IF(AD167&lt;=0,0,MAX(0,MIN(AD167,ROUND($AZ167-SUMPRODUCT($V167:$AE167*($V167:$AE167&gt;0)*(($V167:$AE167&lt;AD167)+($V167:$AE167=AD167)*($V$3:$AE$3&gt;AD$3)+($V167:$AE167=AD167)*($V$3:$AE$3=AD$3)*($V$2:$AE$2&lt;AD$2))),2))))</f>
      </c>
      <c r="AO167" s="33">
        <f>IF(AE167&lt;=0,0,MAX(0,MIN(AE167,ROUND($AZ167-SUMPRODUCT($V167:$AE167*($V167:$AE167&gt;0)*(($V167:$AE167&lt;AE167)+($V167:$AE167=AE167)*($V$3:$AE$3&gt;AE$3)+($V167:$AE167=AE167)*($V$3:$AE$3=AE$3)*($V$2:$AE$2&lt;AE$2))),2))))</f>
      </c>
      <c r="AP167" s="33">
        <f>ROUND(V167-AF167,2)</f>
      </c>
      <c r="AQ167" s="33">
        <f>ROUND(W167-AG167,2)</f>
      </c>
      <c r="AR167" s="33">
        <f>ROUND(X167-AH167,2)</f>
      </c>
      <c r="AS167" s="33">
        <f>ROUND(Y167-AI167,2)</f>
      </c>
      <c r="AT167" s="33">
        <f>ROUND(Z167-AJ167,2)</f>
      </c>
      <c r="AU167" s="33">
        <f>ROUND(AA167-AK167,2)</f>
      </c>
      <c r="AV167" s="33">
        <f>ROUND(AB167-AL167,2)</f>
      </c>
      <c r="AW167" s="33">
        <f>ROUND(AC167-AM167,2)</f>
      </c>
      <c r="AX167" s="33">
        <f>ROUND(AD167-AN167,2)</f>
      </c>
      <c r="AY167" s="33">
        <f>ROUND(AE167-AO167,2)</f>
      </c>
      <c r="AZ167" s="33">
        <f>ROUND(MAX(0,'Your debts'!$D$22-SUM($L167:$U167)),2)</f>
      </c>
      <c r="BA167" s="33">
        <f>ROUND(SUM($B167:$K167)-SUM($AP166:$AY166),2)</f>
      </c>
      <c r="BB167" s="33">
        <f>SUM($AP167:$AY167)</f>
      </c>
      <c r="BC167" s="33">
        <f>ROUND(SUM($L167:$U167)+SUM($AF167:$AO167),2)</f>
      </c>
    </row>
    <row r="168" spans="1:55" x14ac:dyDescent="0.25">
      <c r="A168">
        <v>161</v>
      </c>
      <c r="B168" s="33">
        <f>IF(AP167&lt;=0,0,ROUND(AP167+ROUND(AP167*V$3/12,2),2))</f>
      </c>
      <c r="C168" s="33">
        <f>IF(AQ167&lt;=0,0,ROUND(AQ167+ROUND(AQ167*W$3/12,2),2))</f>
      </c>
      <c r="D168" s="33">
        <f>IF(AR167&lt;=0,0,ROUND(AR167+ROUND(AR167*X$3/12,2),2))</f>
      </c>
      <c r="E168" s="33">
        <f>IF(AS167&lt;=0,0,ROUND(AS167+ROUND(AS167*Y$3/12,2),2))</f>
      </c>
      <c r="F168" s="33">
        <f>IF(AT167&lt;=0,0,ROUND(AT167+ROUND(AT167*Z$3/12,2),2))</f>
      </c>
      <c r="G168" s="33">
        <f>IF(AU167&lt;=0,0,ROUND(AU167+ROUND(AU167*AA$3/12,2),2))</f>
      </c>
      <c r="H168" s="33">
        <f>IF(AV167&lt;=0,0,ROUND(AV167+ROUND(AV167*AB$3/12,2),2))</f>
      </c>
      <c r="I168" s="33">
        <f>IF(AW167&lt;=0,0,ROUND(AW167+ROUND(AW167*AC$3/12,2),2))</f>
      </c>
      <c r="J168" s="33">
        <f>IF(AX167&lt;=0,0,ROUND(AX167+ROUND(AX167*AD$3/12,2),2))</f>
      </c>
      <c r="K168" s="33">
        <f>IF(AY167&lt;=0,0,ROUND(AY167+ROUND(AY167*AE$3/12,2),2))</f>
      </c>
      <c r="L168" s="33">
        <f>ROUND(MIN(MAX(0,N('Your debts'!$E$6)),B168),2)</f>
      </c>
      <c r="M168" s="33">
        <f>ROUND(MIN(MAX(0,N('Your debts'!$E$7)),C168),2)</f>
      </c>
      <c r="N168" s="33">
        <f>ROUND(MIN(MAX(0,N('Your debts'!$E$8)),D168),2)</f>
      </c>
      <c r="O168" s="33">
        <f>ROUND(MIN(MAX(0,N('Your debts'!$E$9)),E168),2)</f>
      </c>
      <c r="P168" s="33">
        <f>ROUND(MIN(MAX(0,N('Your debts'!$E$10)),F168),2)</f>
      </c>
      <c r="Q168" s="33">
        <f>ROUND(MIN(MAX(0,N('Your debts'!$E$11)),G168),2)</f>
      </c>
      <c r="R168" s="33">
        <f>ROUND(MIN(MAX(0,N('Your debts'!$E$12)),H168),2)</f>
      </c>
      <c r="S168" s="33">
        <f>ROUND(MIN(MAX(0,N('Your debts'!$E$13)),I168),2)</f>
      </c>
      <c r="T168" s="33">
        <f>ROUND(MIN(MAX(0,N('Your debts'!$E$14)),J168),2)</f>
      </c>
      <c r="U168" s="33">
        <f>ROUND(MIN(MAX(0,N('Your debts'!$E$15)),K168),2)</f>
      </c>
      <c r="V168" s="33">
        <f>ROUND(B168-L168,2)</f>
      </c>
      <c r="W168" s="33">
        <f>ROUND(C168-M168,2)</f>
      </c>
      <c r="X168" s="33">
        <f>ROUND(D168-N168,2)</f>
      </c>
      <c r="Y168" s="33">
        <f>ROUND(E168-O168,2)</f>
      </c>
      <c r="Z168" s="33">
        <f>ROUND(F168-P168,2)</f>
      </c>
      <c r="AA168" s="33">
        <f>ROUND(G168-Q168,2)</f>
      </c>
      <c r="AB168" s="33">
        <f>ROUND(H168-R168,2)</f>
      </c>
      <c r="AC168" s="33">
        <f>ROUND(I168-S168,2)</f>
      </c>
      <c r="AD168" s="33">
        <f>ROUND(J168-T168,2)</f>
      </c>
      <c r="AE168" s="33">
        <f>ROUND(K168-U168,2)</f>
      </c>
      <c r="AF168" s="33">
        <f>IF(V168&lt;=0,0,MAX(0,MIN(V168,ROUND($AZ168-SUMPRODUCT($V168:$AE168*($V168:$AE168&gt;0)*(($V168:$AE168&lt;V168)+($V168:$AE168=V168)*($V$3:$AE$3&gt;V$3)+($V168:$AE168=V168)*($V$3:$AE$3=V$3)*($V$2:$AE$2&lt;V$2))),2))))</f>
      </c>
      <c r="AG168" s="33">
        <f>IF(W168&lt;=0,0,MAX(0,MIN(W168,ROUND($AZ168-SUMPRODUCT($V168:$AE168*($V168:$AE168&gt;0)*(($V168:$AE168&lt;W168)+($V168:$AE168=W168)*($V$3:$AE$3&gt;W$3)+($V168:$AE168=W168)*($V$3:$AE$3=W$3)*($V$2:$AE$2&lt;W$2))),2))))</f>
      </c>
      <c r="AH168" s="33">
        <f>IF(X168&lt;=0,0,MAX(0,MIN(X168,ROUND($AZ168-SUMPRODUCT($V168:$AE168*($V168:$AE168&gt;0)*(($V168:$AE168&lt;X168)+($V168:$AE168=X168)*($V$3:$AE$3&gt;X$3)+($V168:$AE168=X168)*($V$3:$AE$3=X$3)*($V$2:$AE$2&lt;X$2))),2))))</f>
      </c>
      <c r="AI168" s="33">
        <f>IF(Y168&lt;=0,0,MAX(0,MIN(Y168,ROUND($AZ168-SUMPRODUCT($V168:$AE168*($V168:$AE168&gt;0)*(($V168:$AE168&lt;Y168)+($V168:$AE168=Y168)*($V$3:$AE$3&gt;Y$3)+($V168:$AE168=Y168)*($V$3:$AE$3=Y$3)*($V$2:$AE$2&lt;Y$2))),2))))</f>
      </c>
      <c r="AJ168" s="33">
        <f>IF(Z168&lt;=0,0,MAX(0,MIN(Z168,ROUND($AZ168-SUMPRODUCT($V168:$AE168*($V168:$AE168&gt;0)*(($V168:$AE168&lt;Z168)+($V168:$AE168=Z168)*($V$3:$AE$3&gt;Z$3)+($V168:$AE168=Z168)*($V$3:$AE$3=Z$3)*($V$2:$AE$2&lt;Z$2))),2))))</f>
      </c>
      <c r="AK168" s="33">
        <f>IF(AA168&lt;=0,0,MAX(0,MIN(AA168,ROUND($AZ168-SUMPRODUCT($V168:$AE168*($V168:$AE168&gt;0)*(($V168:$AE168&lt;AA168)+($V168:$AE168=AA168)*($V$3:$AE$3&gt;AA$3)+($V168:$AE168=AA168)*($V$3:$AE$3=AA$3)*($V$2:$AE$2&lt;AA$2))),2))))</f>
      </c>
      <c r="AL168" s="33">
        <f>IF(AB168&lt;=0,0,MAX(0,MIN(AB168,ROUND($AZ168-SUMPRODUCT($V168:$AE168*($V168:$AE168&gt;0)*(($V168:$AE168&lt;AB168)+($V168:$AE168=AB168)*($V$3:$AE$3&gt;AB$3)+($V168:$AE168=AB168)*($V$3:$AE$3=AB$3)*($V$2:$AE$2&lt;AB$2))),2))))</f>
      </c>
      <c r="AM168" s="33">
        <f>IF(AC168&lt;=0,0,MAX(0,MIN(AC168,ROUND($AZ168-SUMPRODUCT($V168:$AE168*($V168:$AE168&gt;0)*(($V168:$AE168&lt;AC168)+($V168:$AE168=AC168)*($V$3:$AE$3&gt;AC$3)+($V168:$AE168=AC168)*($V$3:$AE$3=AC$3)*($V$2:$AE$2&lt;AC$2))),2))))</f>
      </c>
      <c r="AN168" s="33">
        <f>IF(AD168&lt;=0,0,MAX(0,MIN(AD168,ROUND($AZ168-SUMPRODUCT($V168:$AE168*($V168:$AE168&gt;0)*(($V168:$AE168&lt;AD168)+($V168:$AE168=AD168)*($V$3:$AE$3&gt;AD$3)+($V168:$AE168=AD168)*($V$3:$AE$3=AD$3)*($V$2:$AE$2&lt;AD$2))),2))))</f>
      </c>
      <c r="AO168" s="33">
        <f>IF(AE168&lt;=0,0,MAX(0,MIN(AE168,ROUND($AZ168-SUMPRODUCT($V168:$AE168*($V168:$AE168&gt;0)*(($V168:$AE168&lt;AE168)+($V168:$AE168=AE168)*($V$3:$AE$3&gt;AE$3)+($V168:$AE168=AE168)*($V$3:$AE$3=AE$3)*($V$2:$AE$2&lt;AE$2))),2))))</f>
      </c>
      <c r="AP168" s="33">
        <f>ROUND(V168-AF168,2)</f>
      </c>
      <c r="AQ168" s="33">
        <f>ROUND(W168-AG168,2)</f>
      </c>
      <c r="AR168" s="33">
        <f>ROUND(X168-AH168,2)</f>
      </c>
      <c r="AS168" s="33">
        <f>ROUND(Y168-AI168,2)</f>
      </c>
      <c r="AT168" s="33">
        <f>ROUND(Z168-AJ168,2)</f>
      </c>
      <c r="AU168" s="33">
        <f>ROUND(AA168-AK168,2)</f>
      </c>
      <c r="AV168" s="33">
        <f>ROUND(AB168-AL168,2)</f>
      </c>
      <c r="AW168" s="33">
        <f>ROUND(AC168-AM168,2)</f>
      </c>
      <c r="AX168" s="33">
        <f>ROUND(AD168-AN168,2)</f>
      </c>
      <c r="AY168" s="33">
        <f>ROUND(AE168-AO168,2)</f>
      </c>
      <c r="AZ168" s="33">
        <f>ROUND(MAX(0,'Your debts'!$D$22-SUM($L168:$U168)),2)</f>
      </c>
      <c r="BA168" s="33">
        <f>ROUND(SUM($B168:$K168)-SUM($AP167:$AY167),2)</f>
      </c>
      <c r="BB168" s="33">
        <f>SUM($AP168:$AY168)</f>
      </c>
      <c r="BC168" s="33">
        <f>ROUND(SUM($L168:$U168)+SUM($AF168:$AO168),2)</f>
      </c>
    </row>
    <row r="169" spans="1:55" x14ac:dyDescent="0.25">
      <c r="A169">
        <v>162</v>
      </c>
      <c r="B169" s="33">
        <f>IF(AP168&lt;=0,0,ROUND(AP168+ROUND(AP168*V$3/12,2),2))</f>
      </c>
      <c r="C169" s="33">
        <f>IF(AQ168&lt;=0,0,ROUND(AQ168+ROUND(AQ168*W$3/12,2),2))</f>
      </c>
      <c r="D169" s="33">
        <f>IF(AR168&lt;=0,0,ROUND(AR168+ROUND(AR168*X$3/12,2),2))</f>
      </c>
      <c r="E169" s="33">
        <f>IF(AS168&lt;=0,0,ROUND(AS168+ROUND(AS168*Y$3/12,2),2))</f>
      </c>
      <c r="F169" s="33">
        <f>IF(AT168&lt;=0,0,ROUND(AT168+ROUND(AT168*Z$3/12,2),2))</f>
      </c>
      <c r="G169" s="33">
        <f>IF(AU168&lt;=0,0,ROUND(AU168+ROUND(AU168*AA$3/12,2),2))</f>
      </c>
      <c r="H169" s="33">
        <f>IF(AV168&lt;=0,0,ROUND(AV168+ROUND(AV168*AB$3/12,2),2))</f>
      </c>
      <c r="I169" s="33">
        <f>IF(AW168&lt;=0,0,ROUND(AW168+ROUND(AW168*AC$3/12,2),2))</f>
      </c>
      <c r="J169" s="33">
        <f>IF(AX168&lt;=0,0,ROUND(AX168+ROUND(AX168*AD$3/12,2),2))</f>
      </c>
      <c r="K169" s="33">
        <f>IF(AY168&lt;=0,0,ROUND(AY168+ROUND(AY168*AE$3/12,2),2))</f>
      </c>
      <c r="L169" s="33">
        <f>ROUND(MIN(MAX(0,N('Your debts'!$E$6)),B169),2)</f>
      </c>
      <c r="M169" s="33">
        <f>ROUND(MIN(MAX(0,N('Your debts'!$E$7)),C169),2)</f>
      </c>
      <c r="N169" s="33">
        <f>ROUND(MIN(MAX(0,N('Your debts'!$E$8)),D169),2)</f>
      </c>
      <c r="O169" s="33">
        <f>ROUND(MIN(MAX(0,N('Your debts'!$E$9)),E169),2)</f>
      </c>
      <c r="P169" s="33">
        <f>ROUND(MIN(MAX(0,N('Your debts'!$E$10)),F169),2)</f>
      </c>
      <c r="Q169" s="33">
        <f>ROUND(MIN(MAX(0,N('Your debts'!$E$11)),G169),2)</f>
      </c>
      <c r="R169" s="33">
        <f>ROUND(MIN(MAX(0,N('Your debts'!$E$12)),H169),2)</f>
      </c>
      <c r="S169" s="33">
        <f>ROUND(MIN(MAX(0,N('Your debts'!$E$13)),I169),2)</f>
      </c>
      <c r="T169" s="33">
        <f>ROUND(MIN(MAX(0,N('Your debts'!$E$14)),J169),2)</f>
      </c>
      <c r="U169" s="33">
        <f>ROUND(MIN(MAX(0,N('Your debts'!$E$15)),K169),2)</f>
      </c>
      <c r="V169" s="33">
        <f>ROUND(B169-L169,2)</f>
      </c>
      <c r="W169" s="33">
        <f>ROUND(C169-M169,2)</f>
      </c>
      <c r="X169" s="33">
        <f>ROUND(D169-N169,2)</f>
      </c>
      <c r="Y169" s="33">
        <f>ROUND(E169-O169,2)</f>
      </c>
      <c r="Z169" s="33">
        <f>ROUND(F169-P169,2)</f>
      </c>
      <c r="AA169" s="33">
        <f>ROUND(G169-Q169,2)</f>
      </c>
      <c r="AB169" s="33">
        <f>ROUND(H169-R169,2)</f>
      </c>
      <c r="AC169" s="33">
        <f>ROUND(I169-S169,2)</f>
      </c>
      <c r="AD169" s="33">
        <f>ROUND(J169-T169,2)</f>
      </c>
      <c r="AE169" s="33">
        <f>ROUND(K169-U169,2)</f>
      </c>
      <c r="AF169" s="33">
        <f>IF(V169&lt;=0,0,MAX(0,MIN(V169,ROUND($AZ169-SUMPRODUCT($V169:$AE169*($V169:$AE169&gt;0)*(($V169:$AE169&lt;V169)+($V169:$AE169=V169)*($V$3:$AE$3&gt;V$3)+($V169:$AE169=V169)*($V$3:$AE$3=V$3)*($V$2:$AE$2&lt;V$2))),2))))</f>
      </c>
      <c r="AG169" s="33">
        <f>IF(W169&lt;=0,0,MAX(0,MIN(W169,ROUND($AZ169-SUMPRODUCT($V169:$AE169*($V169:$AE169&gt;0)*(($V169:$AE169&lt;W169)+($V169:$AE169=W169)*($V$3:$AE$3&gt;W$3)+($V169:$AE169=W169)*($V$3:$AE$3=W$3)*($V$2:$AE$2&lt;W$2))),2))))</f>
      </c>
      <c r="AH169" s="33">
        <f>IF(X169&lt;=0,0,MAX(0,MIN(X169,ROUND($AZ169-SUMPRODUCT($V169:$AE169*($V169:$AE169&gt;0)*(($V169:$AE169&lt;X169)+($V169:$AE169=X169)*($V$3:$AE$3&gt;X$3)+($V169:$AE169=X169)*($V$3:$AE$3=X$3)*($V$2:$AE$2&lt;X$2))),2))))</f>
      </c>
      <c r="AI169" s="33">
        <f>IF(Y169&lt;=0,0,MAX(0,MIN(Y169,ROUND($AZ169-SUMPRODUCT($V169:$AE169*($V169:$AE169&gt;0)*(($V169:$AE169&lt;Y169)+($V169:$AE169=Y169)*($V$3:$AE$3&gt;Y$3)+($V169:$AE169=Y169)*($V$3:$AE$3=Y$3)*($V$2:$AE$2&lt;Y$2))),2))))</f>
      </c>
      <c r="AJ169" s="33">
        <f>IF(Z169&lt;=0,0,MAX(0,MIN(Z169,ROUND($AZ169-SUMPRODUCT($V169:$AE169*($V169:$AE169&gt;0)*(($V169:$AE169&lt;Z169)+($V169:$AE169=Z169)*($V$3:$AE$3&gt;Z$3)+($V169:$AE169=Z169)*($V$3:$AE$3=Z$3)*($V$2:$AE$2&lt;Z$2))),2))))</f>
      </c>
      <c r="AK169" s="33">
        <f>IF(AA169&lt;=0,0,MAX(0,MIN(AA169,ROUND($AZ169-SUMPRODUCT($V169:$AE169*($V169:$AE169&gt;0)*(($V169:$AE169&lt;AA169)+($V169:$AE169=AA169)*($V$3:$AE$3&gt;AA$3)+($V169:$AE169=AA169)*($V$3:$AE$3=AA$3)*($V$2:$AE$2&lt;AA$2))),2))))</f>
      </c>
      <c r="AL169" s="33">
        <f>IF(AB169&lt;=0,0,MAX(0,MIN(AB169,ROUND($AZ169-SUMPRODUCT($V169:$AE169*($V169:$AE169&gt;0)*(($V169:$AE169&lt;AB169)+($V169:$AE169=AB169)*($V$3:$AE$3&gt;AB$3)+($V169:$AE169=AB169)*($V$3:$AE$3=AB$3)*($V$2:$AE$2&lt;AB$2))),2))))</f>
      </c>
      <c r="AM169" s="33">
        <f>IF(AC169&lt;=0,0,MAX(0,MIN(AC169,ROUND($AZ169-SUMPRODUCT($V169:$AE169*($V169:$AE169&gt;0)*(($V169:$AE169&lt;AC169)+($V169:$AE169=AC169)*($V$3:$AE$3&gt;AC$3)+($V169:$AE169=AC169)*($V$3:$AE$3=AC$3)*($V$2:$AE$2&lt;AC$2))),2))))</f>
      </c>
      <c r="AN169" s="33">
        <f>IF(AD169&lt;=0,0,MAX(0,MIN(AD169,ROUND($AZ169-SUMPRODUCT($V169:$AE169*($V169:$AE169&gt;0)*(($V169:$AE169&lt;AD169)+($V169:$AE169=AD169)*($V$3:$AE$3&gt;AD$3)+($V169:$AE169=AD169)*($V$3:$AE$3=AD$3)*($V$2:$AE$2&lt;AD$2))),2))))</f>
      </c>
      <c r="AO169" s="33">
        <f>IF(AE169&lt;=0,0,MAX(0,MIN(AE169,ROUND($AZ169-SUMPRODUCT($V169:$AE169*($V169:$AE169&gt;0)*(($V169:$AE169&lt;AE169)+($V169:$AE169=AE169)*($V$3:$AE$3&gt;AE$3)+($V169:$AE169=AE169)*($V$3:$AE$3=AE$3)*($V$2:$AE$2&lt;AE$2))),2))))</f>
      </c>
      <c r="AP169" s="33">
        <f>ROUND(V169-AF169,2)</f>
      </c>
      <c r="AQ169" s="33">
        <f>ROUND(W169-AG169,2)</f>
      </c>
      <c r="AR169" s="33">
        <f>ROUND(X169-AH169,2)</f>
      </c>
      <c r="AS169" s="33">
        <f>ROUND(Y169-AI169,2)</f>
      </c>
      <c r="AT169" s="33">
        <f>ROUND(Z169-AJ169,2)</f>
      </c>
      <c r="AU169" s="33">
        <f>ROUND(AA169-AK169,2)</f>
      </c>
      <c r="AV169" s="33">
        <f>ROUND(AB169-AL169,2)</f>
      </c>
      <c r="AW169" s="33">
        <f>ROUND(AC169-AM169,2)</f>
      </c>
      <c r="AX169" s="33">
        <f>ROUND(AD169-AN169,2)</f>
      </c>
      <c r="AY169" s="33">
        <f>ROUND(AE169-AO169,2)</f>
      </c>
      <c r="AZ169" s="33">
        <f>ROUND(MAX(0,'Your debts'!$D$22-SUM($L169:$U169)),2)</f>
      </c>
      <c r="BA169" s="33">
        <f>ROUND(SUM($B169:$K169)-SUM($AP168:$AY168),2)</f>
      </c>
      <c r="BB169" s="33">
        <f>SUM($AP169:$AY169)</f>
      </c>
      <c r="BC169" s="33">
        <f>ROUND(SUM($L169:$U169)+SUM($AF169:$AO169),2)</f>
      </c>
    </row>
    <row r="170" spans="1:55" x14ac:dyDescent="0.25">
      <c r="A170">
        <v>163</v>
      </c>
      <c r="B170" s="33">
        <f>IF(AP169&lt;=0,0,ROUND(AP169+ROUND(AP169*V$3/12,2),2))</f>
      </c>
      <c r="C170" s="33">
        <f>IF(AQ169&lt;=0,0,ROUND(AQ169+ROUND(AQ169*W$3/12,2),2))</f>
      </c>
      <c r="D170" s="33">
        <f>IF(AR169&lt;=0,0,ROUND(AR169+ROUND(AR169*X$3/12,2),2))</f>
      </c>
      <c r="E170" s="33">
        <f>IF(AS169&lt;=0,0,ROUND(AS169+ROUND(AS169*Y$3/12,2),2))</f>
      </c>
      <c r="F170" s="33">
        <f>IF(AT169&lt;=0,0,ROUND(AT169+ROUND(AT169*Z$3/12,2),2))</f>
      </c>
      <c r="G170" s="33">
        <f>IF(AU169&lt;=0,0,ROUND(AU169+ROUND(AU169*AA$3/12,2),2))</f>
      </c>
      <c r="H170" s="33">
        <f>IF(AV169&lt;=0,0,ROUND(AV169+ROUND(AV169*AB$3/12,2),2))</f>
      </c>
      <c r="I170" s="33">
        <f>IF(AW169&lt;=0,0,ROUND(AW169+ROUND(AW169*AC$3/12,2),2))</f>
      </c>
      <c r="J170" s="33">
        <f>IF(AX169&lt;=0,0,ROUND(AX169+ROUND(AX169*AD$3/12,2),2))</f>
      </c>
      <c r="K170" s="33">
        <f>IF(AY169&lt;=0,0,ROUND(AY169+ROUND(AY169*AE$3/12,2),2))</f>
      </c>
      <c r="L170" s="33">
        <f>ROUND(MIN(MAX(0,N('Your debts'!$E$6)),B170),2)</f>
      </c>
      <c r="M170" s="33">
        <f>ROUND(MIN(MAX(0,N('Your debts'!$E$7)),C170),2)</f>
      </c>
      <c r="N170" s="33">
        <f>ROUND(MIN(MAX(0,N('Your debts'!$E$8)),D170),2)</f>
      </c>
      <c r="O170" s="33">
        <f>ROUND(MIN(MAX(0,N('Your debts'!$E$9)),E170),2)</f>
      </c>
      <c r="P170" s="33">
        <f>ROUND(MIN(MAX(0,N('Your debts'!$E$10)),F170),2)</f>
      </c>
      <c r="Q170" s="33">
        <f>ROUND(MIN(MAX(0,N('Your debts'!$E$11)),G170),2)</f>
      </c>
      <c r="R170" s="33">
        <f>ROUND(MIN(MAX(0,N('Your debts'!$E$12)),H170),2)</f>
      </c>
      <c r="S170" s="33">
        <f>ROUND(MIN(MAX(0,N('Your debts'!$E$13)),I170),2)</f>
      </c>
      <c r="T170" s="33">
        <f>ROUND(MIN(MAX(0,N('Your debts'!$E$14)),J170),2)</f>
      </c>
      <c r="U170" s="33">
        <f>ROUND(MIN(MAX(0,N('Your debts'!$E$15)),K170),2)</f>
      </c>
      <c r="V170" s="33">
        <f>ROUND(B170-L170,2)</f>
      </c>
      <c r="W170" s="33">
        <f>ROUND(C170-M170,2)</f>
      </c>
      <c r="X170" s="33">
        <f>ROUND(D170-N170,2)</f>
      </c>
      <c r="Y170" s="33">
        <f>ROUND(E170-O170,2)</f>
      </c>
      <c r="Z170" s="33">
        <f>ROUND(F170-P170,2)</f>
      </c>
      <c r="AA170" s="33">
        <f>ROUND(G170-Q170,2)</f>
      </c>
      <c r="AB170" s="33">
        <f>ROUND(H170-R170,2)</f>
      </c>
      <c r="AC170" s="33">
        <f>ROUND(I170-S170,2)</f>
      </c>
      <c r="AD170" s="33">
        <f>ROUND(J170-T170,2)</f>
      </c>
      <c r="AE170" s="33">
        <f>ROUND(K170-U170,2)</f>
      </c>
      <c r="AF170" s="33">
        <f>IF(V170&lt;=0,0,MAX(0,MIN(V170,ROUND($AZ170-SUMPRODUCT($V170:$AE170*($V170:$AE170&gt;0)*(($V170:$AE170&lt;V170)+($V170:$AE170=V170)*($V$3:$AE$3&gt;V$3)+($V170:$AE170=V170)*($V$3:$AE$3=V$3)*($V$2:$AE$2&lt;V$2))),2))))</f>
      </c>
      <c r="AG170" s="33">
        <f>IF(W170&lt;=0,0,MAX(0,MIN(W170,ROUND($AZ170-SUMPRODUCT($V170:$AE170*($V170:$AE170&gt;0)*(($V170:$AE170&lt;W170)+($V170:$AE170=W170)*($V$3:$AE$3&gt;W$3)+($V170:$AE170=W170)*($V$3:$AE$3=W$3)*($V$2:$AE$2&lt;W$2))),2))))</f>
      </c>
      <c r="AH170" s="33">
        <f>IF(X170&lt;=0,0,MAX(0,MIN(X170,ROUND($AZ170-SUMPRODUCT($V170:$AE170*($V170:$AE170&gt;0)*(($V170:$AE170&lt;X170)+($V170:$AE170=X170)*($V$3:$AE$3&gt;X$3)+($V170:$AE170=X170)*($V$3:$AE$3=X$3)*($V$2:$AE$2&lt;X$2))),2))))</f>
      </c>
      <c r="AI170" s="33">
        <f>IF(Y170&lt;=0,0,MAX(0,MIN(Y170,ROUND($AZ170-SUMPRODUCT($V170:$AE170*($V170:$AE170&gt;0)*(($V170:$AE170&lt;Y170)+($V170:$AE170=Y170)*($V$3:$AE$3&gt;Y$3)+($V170:$AE170=Y170)*($V$3:$AE$3=Y$3)*($V$2:$AE$2&lt;Y$2))),2))))</f>
      </c>
      <c r="AJ170" s="33">
        <f>IF(Z170&lt;=0,0,MAX(0,MIN(Z170,ROUND($AZ170-SUMPRODUCT($V170:$AE170*($V170:$AE170&gt;0)*(($V170:$AE170&lt;Z170)+($V170:$AE170=Z170)*($V$3:$AE$3&gt;Z$3)+($V170:$AE170=Z170)*($V$3:$AE$3=Z$3)*($V$2:$AE$2&lt;Z$2))),2))))</f>
      </c>
      <c r="AK170" s="33">
        <f>IF(AA170&lt;=0,0,MAX(0,MIN(AA170,ROUND($AZ170-SUMPRODUCT($V170:$AE170*($V170:$AE170&gt;0)*(($V170:$AE170&lt;AA170)+($V170:$AE170=AA170)*($V$3:$AE$3&gt;AA$3)+($V170:$AE170=AA170)*($V$3:$AE$3=AA$3)*($V$2:$AE$2&lt;AA$2))),2))))</f>
      </c>
      <c r="AL170" s="33">
        <f>IF(AB170&lt;=0,0,MAX(0,MIN(AB170,ROUND($AZ170-SUMPRODUCT($V170:$AE170*($V170:$AE170&gt;0)*(($V170:$AE170&lt;AB170)+($V170:$AE170=AB170)*($V$3:$AE$3&gt;AB$3)+($V170:$AE170=AB170)*($V$3:$AE$3=AB$3)*($V$2:$AE$2&lt;AB$2))),2))))</f>
      </c>
      <c r="AM170" s="33">
        <f>IF(AC170&lt;=0,0,MAX(0,MIN(AC170,ROUND($AZ170-SUMPRODUCT($V170:$AE170*($V170:$AE170&gt;0)*(($V170:$AE170&lt;AC170)+($V170:$AE170=AC170)*($V$3:$AE$3&gt;AC$3)+($V170:$AE170=AC170)*($V$3:$AE$3=AC$3)*($V$2:$AE$2&lt;AC$2))),2))))</f>
      </c>
      <c r="AN170" s="33">
        <f>IF(AD170&lt;=0,0,MAX(0,MIN(AD170,ROUND($AZ170-SUMPRODUCT($V170:$AE170*($V170:$AE170&gt;0)*(($V170:$AE170&lt;AD170)+($V170:$AE170=AD170)*($V$3:$AE$3&gt;AD$3)+($V170:$AE170=AD170)*($V$3:$AE$3=AD$3)*($V$2:$AE$2&lt;AD$2))),2))))</f>
      </c>
      <c r="AO170" s="33">
        <f>IF(AE170&lt;=0,0,MAX(0,MIN(AE170,ROUND($AZ170-SUMPRODUCT($V170:$AE170*($V170:$AE170&gt;0)*(($V170:$AE170&lt;AE170)+($V170:$AE170=AE170)*($V$3:$AE$3&gt;AE$3)+($V170:$AE170=AE170)*($V$3:$AE$3=AE$3)*($V$2:$AE$2&lt;AE$2))),2))))</f>
      </c>
      <c r="AP170" s="33">
        <f>ROUND(V170-AF170,2)</f>
      </c>
      <c r="AQ170" s="33">
        <f>ROUND(W170-AG170,2)</f>
      </c>
      <c r="AR170" s="33">
        <f>ROUND(X170-AH170,2)</f>
      </c>
      <c r="AS170" s="33">
        <f>ROUND(Y170-AI170,2)</f>
      </c>
      <c r="AT170" s="33">
        <f>ROUND(Z170-AJ170,2)</f>
      </c>
      <c r="AU170" s="33">
        <f>ROUND(AA170-AK170,2)</f>
      </c>
      <c r="AV170" s="33">
        <f>ROUND(AB170-AL170,2)</f>
      </c>
      <c r="AW170" s="33">
        <f>ROUND(AC170-AM170,2)</f>
      </c>
      <c r="AX170" s="33">
        <f>ROUND(AD170-AN170,2)</f>
      </c>
      <c r="AY170" s="33">
        <f>ROUND(AE170-AO170,2)</f>
      </c>
      <c r="AZ170" s="33">
        <f>ROUND(MAX(0,'Your debts'!$D$22-SUM($L170:$U170)),2)</f>
      </c>
      <c r="BA170" s="33">
        <f>ROUND(SUM($B170:$K170)-SUM($AP169:$AY169),2)</f>
      </c>
      <c r="BB170" s="33">
        <f>SUM($AP170:$AY170)</f>
      </c>
      <c r="BC170" s="33">
        <f>ROUND(SUM($L170:$U170)+SUM($AF170:$AO170),2)</f>
      </c>
    </row>
    <row r="171" spans="1:55" x14ac:dyDescent="0.25">
      <c r="A171">
        <v>164</v>
      </c>
      <c r="B171" s="33">
        <f>IF(AP170&lt;=0,0,ROUND(AP170+ROUND(AP170*V$3/12,2),2))</f>
      </c>
      <c r="C171" s="33">
        <f>IF(AQ170&lt;=0,0,ROUND(AQ170+ROUND(AQ170*W$3/12,2),2))</f>
      </c>
      <c r="D171" s="33">
        <f>IF(AR170&lt;=0,0,ROUND(AR170+ROUND(AR170*X$3/12,2),2))</f>
      </c>
      <c r="E171" s="33">
        <f>IF(AS170&lt;=0,0,ROUND(AS170+ROUND(AS170*Y$3/12,2),2))</f>
      </c>
      <c r="F171" s="33">
        <f>IF(AT170&lt;=0,0,ROUND(AT170+ROUND(AT170*Z$3/12,2),2))</f>
      </c>
      <c r="G171" s="33">
        <f>IF(AU170&lt;=0,0,ROUND(AU170+ROUND(AU170*AA$3/12,2),2))</f>
      </c>
      <c r="H171" s="33">
        <f>IF(AV170&lt;=0,0,ROUND(AV170+ROUND(AV170*AB$3/12,2),2))</f>
      </c>
      <c r="I171" s="33">
        <f>IF(AW170&lt;=0,0,ROUND(AW170+ROUND(AW170*AC$3/12,2),2))</f>
      </c>
      <c r="J171" s="33">
        <f>IF(AX170&lt;=0,0,ROUND(AX170+ROUND(AX170*AD$3/12,2),2))</f>
      </c>
      <c r="K171" s="33">
        <f>IF(AY170&lt;=0,0,ROUND(AY170+ROUND(AY170*AE$3/12,2),2))</f>
      </c>
      <c r="L171" s="33">
        <f>ROUND(MIN(MAX(0,N('Your debts'!$E$6)),B171),2)</f>
      </c>
      <c r="M171" s="33">
        <f>ROUND(MIN(MAX(0,N('Your debts'!$E$7)),C171),2)</f>
      </c>
      <c r="N171" s="33">
        <f>ROUND(MIN(MAX(0,N('Your debts'!$E$8)),D171),2)</f>
      </c>
      <c r="O171" s="33">
        <f>ROUND(MIN(MAX(0,N('Your debts'!$E$9)),E171),2)</f>
      </c>
      <c r="P171" s="33">
        <f>ROUND(MIN(MAX(0,N('Your debts'!$E$10)),F171),2)</f>
      </c>
      <c r="Q171" s="33">
        <f>ROUND(MIN(MAX(0,N('Your debts'!$E$11)),G171),2)</f>
      </c>
      <c r="R171" s="33">
        <f>ROUND(MIN(MAX(0,N('Your debts'!$E$12)),H171),2)</f>
      </c>
      <c r="S171" s="33">
        <f>ROUND(MIN(MAX(0,N('Your debts'!$E$13)),I171),2)</f>
      </c>
      <c r="T171" s="33">
        <f>ROUND(MIN(MAX(0,N('Your debts'!$E$14)),J171),2)</f>
      </c>
      <c r="U171" s="33">
        <f>ROUND(MIN(MAX(0,N('Your debts'!$E$15)),K171),2)</f>
      </c>
      <c r="V171" s="33">
        <f>ROUND(B171-L171,2)</f>
      </c>
      <c r="W171" s="33">
        <f>ROUND(C171-M171,2)</f>
      </c>
      <c r="X171" s="33">
        <f>ROUND(D171-N171,2)</f>
      </c>
      <c r="Y171" s="33">
        <f>ROUND(E171-O171,2)</f>
      </c>
      <c r="Z171" s="33">
        <f>ROUND(F171-P171,2)</f>
      </c>
      <c r="AA171" s="33">
        <f>ROUND(G171-Q171,2)</f>
      </c>
      <c r="AB171" s="33">
        <f>ROUND(H171-R171,2)</f>
      </c>
      <c r="AC171" s="33">
        <f>ROUND(I171-S171,2)</f>
      </c>
      <c r="AD171" s="33">
        <f>ROUND(J171-T171,2)</f>
      </c>
      <c r="AE171" s="33">
        <f>ROUND(K171-U171,2)</f>
      </c>
      <c r="AF171" s="33">
        <f>IF(V171&lt;=0,0,MAX(0,MIN(V171,ROUND($AZ171-SUMPRODUCT($V171:$AE171*($V171:$AE171&gt;0)*(($V171:$AE171&lt;V171)+($V171:$AE171=V171)*($V$3:$AE$3&gt;V$3)+($V171:$AE171=V171)*($V$3:$AE$3=V$3)*($V$2:$AE$2&lt;V$2))),2))))</f>
      </c>
      <c r="AG171" s="33">
        <f>IF(W171&lt;=0,0,MAX(0,MIN(W171,ROUND($AZ171-SUMPRODUCT($V171:$AE171*($V171:$AE171&gt;0)*(($V171:$AE171&lt;W171)+($V171:$AE171=W171)*($V$3:$AE$3&gt;W$3)+($V171:$AE171=W171)*($V$3:$AE$3=W$3)*($V$2:$AE$2&lt;W$2))),2))))</f>
      </c>
      <c r="AH171" s="33">
        <f>IF(X171&lt;=0,0,MAX(0,MIN(X171,ROUND($AZ171-SUMPRODUCT($V171:$AE171*($V171:$AE171&gt;0)*(($V171:$AE171&lt;X171)+($V171:$AE171=X171)*($V$3:$AE$3&gt;X$3)+($V171:$AE171=X171)*($V$3:$AE$3=X$3)*($V$2:$AE$2&lt;X$2))),2))))</f>
      </c>
      <c r="AI171" s="33">
        <f>IF(Y171&lt;=0,0,MAX(0,MIN(Y171,ROUND($AZ171-SUMPRODUCT($V171:$AE171*($V171:$AE171&gt;0)*(($V171:$AE171&lt;Y171)+($V171:$AE171=Y171)*($V$3:$AE$3&gt;Y$3)+($V171:$AE171=Y171)*($V$3:$AE$3=Y$3)*($V$2:$AE$2&lt;Y$2))),2))))</f>
      </c>
      <c r="AJ171" s="33">
        <f>IF(Z171&lt;=0,0,MAX(0,MIN(Z171,ROUND($AZ171-SUMPRODUCT($V171:$AE171*($V171:$AE171&gt;0)*(($V171:$AE171&lt;Z171)+($V171:$AE171=Z171)*($V$3:$AE$3&gt;Z$3)+($V171:$AE171=Z171)*($V$3:$AE$3=Z$3)*($V$2:$AE$2&lt;Z$2))),2))))</f>
      </c>
      <c r="AK171" s="33">
        <f>IF(AA171&lt;=0,0,MAX(0,MIN(AA171,ROUND($AZ171-SUMPRODUCT($V171:$AE171*($V171:$AE171&gt;0)*(($V171:$AE171&lt;AA171)+($V171:$AE171=AA171)*($V$3:$AE$3&gt;AA$3)+($V171:$AE171=AA171)*($V$3:$AE$3=AA$3)*($V$2:$AE$2&lt;AA$2))),2))))</f>
      </c>
      <c r="AL171" s="33">
        <f>IF(AB171&lt;=0,0,MAX(0,MIN(AB171,ROUND($AZ171-SUMPRODUCT($V171:$AE171*($V171:$AE171&gt;0)*(($V171:$AE171&lt;AB171)+($V171:$AE171=AB171)*($V$3:$AE$3&gt;AB$3)+($V171:$AE171=AB171)*($V$3:$AE$3=AB$3)*($V$2:$AE$2&lt;AB$2))),2))))</f>
      </c>
      <c r="AM171" s="33">
        <f>IF(AC171&lt;=0,0,MAX(0,MIN(AC171,ROUND($AZ171-SUMPRODUCT($V171:$AE171*($V171:$AE171&gt;0)*(($V171:$AE171&lt;AC171)+($V171:$AE171=AC171)*($V$3:$AE$3&gt;AC$3)+($V171:$AE171=AC171)*($V$3:$AE$3=AC$3)*($V$2:$AE$2&lt;AC$2))),2))))</f>
      </c>
      <c r="AN171" s="33">
        <f>IF(AD171&lt;=0,0,MAX(0,MIN(AD171,ROUND($AZ171-SUMPRODUCT($V171:$AE171*($V171:$AE171&gt;0)*(($V171:$AE171&lt;AD171)+($V171:$AE171=AD171)*($V$3:$AE$3&gt;AD$3)+($V171:$AE171=AD171)*($V$3:$AE$3=AD$3)*($V$2:$AE$2&lt;AD$2))),2))))</f>
      </c>
      <c r="AO171" s="33">
        <f>IF(AE171&lt;=0,0,MAX(0,MIN(AE171,ROUND($AZ171-SUMPRODUCT($V171:$AE171*($V171:$AE171&gt;0)*(($V171:$AE171&lt;AE171)+($V171:$AE171=AE171)*($V$3:$AE$3&gt;AE$3)+($V171:$AE171=AE171)*($V$3:$AE$3=AE$3)*($V$2:$AE$2&lt;AE$2))),2))))</f>
      </c>
      <c r="AP171" s="33">
        <f>ROUND(V171-AF171,2)</f>
      </c>
      <c r="AQ171" s="33">
        <f>ROUND(W171-AG171,2)</f>
      </c>
      <c r="AR171" s="33">
        <f>ROUND(X171-AH171,2)</f>
      </c>
      <c r="AS171" s="33">
        <f>ROUND(Y171-AI171,2)</f>
      </c>
      <c r="AT171" s="33">
        <f>ROUND(Z171-AJ171,2)</f>
      </c>
      <c r="AU171" s="33">
        <f>ROUND(AA171-AK171,2)</f>
      </c>
      <c r="AV171" s="33">
        <f>ROUND(AB171-AL171,2)</f>
      </c>
      <c r="AW171" s="33">
        <f>ROUND(AC171-AM171,2)</f>
      </c>
      <c r="AX171" s="33">
        <f>ROUND(AD171-AN171,2)</f>
      </c>
      <c r="AY171" s="33">
        <f>ROUND(AE171-AO171,2)</f>
      </c>
      <c r="AZ171" s="33">
        <f>ROUND(MAX(0,'Your debts'!$D$22-SUM($L171:$U171)),2)</f>
      </c>
      <c r="BA171" s="33">
        <f>ROUND(SUM($B171:$K171)-SUM($AP170:$AY170),2)</f>
      </c>
      <c r="BB171" s="33">
        <f>SUM($AP171:$AY171)</f>
      </c>
      <c r="BC171" s="33">
        <f>ROUND(SUM($L171:$U171)+SUM($AF171:$AO171),2)</f>
      </c>
    </row>
    <row r="172" spans="1:55" x14ac:dyDescent="0.25">
      <c r="A172">
        <v>165</v>
      </c>
      <c r="B172" s="33">
        <f>IF(AP171&lt;=0,0,ROUND(AP171+ROUND(AP171*V$3/12,2),2))</f>
      </c>
      <c r="C172" s="33">
        <f>IF(AQ171&lt;=0,0,ROUND(AQ171+ROUND(AQ171*W$3/12,2),2))</f>
      </c>
      <c r="D172" s="33">
        <f>IF(AR171&lt;=0,0,ROUND(AR171+ROUND(AR171*X$3/12,2),2))</f>
      </c>
      <c r="E172" s="33">
        <f>IF(AS171&lt;=0,0,ROUND(AS171+ROUND(AS171*Y$3/12,2),2))</f>
      </c>
      <c r="F172" s="33">
        <f>IF(AT171&lt;=0,0,ROUND(AT171+ROUND(AT171*Z$3/12,2),2))</f>
      </c>
      <c r="G172" s="33">
        <f>IF(AU171&lt;=0,0,ROUND(AU171+ROUND(AU171*AA$3/12,2),2))</f>
      </c>
      <c r="H172" s="33">
        <f>IF(AV171&lt;=0,0,ROUND(AV171+ROUND(AV171*AB$3/12,2),2))</f>
      </c>
      <c r="I172" s="33">
        <f>IF(AW171&lt;=0,0,ROUND(AW171+ROUND(AW171*AC$3/12,2),2))</f>
      </c>
      <c r="J172" s="33">
        <f>IF(AX171&lt;=0,0,ROUND(AX171+ROUND(AX171*AD$3/12,2),2))</f>
      </c>
      <c r="K172" s="33">
        <f>IF(AY171&lt;=0,0,ROUND(AY171+ROUND(AY171*AE$3/12,2),2))</f>
      </c>
      <c r="L172" s="33">
        <f>ROUND(MIN(MAX(0,N('Your debts'!$E$6)),B172),2)</f>
      </c>
      <c r="M172" s="33">
        <f>ROUND(MIN(MAX(0,N('Your debts'!$E$7)),C172),2)</f>
      </c>
      <c r="N172" s="33">
        <f>ROUND(MIN(MAX(0,N('Your debts'!$E$8)),D172),2)</f>
      </c>
      <c r="O172" s="33">
        <f>ROUND(MIN(MAX(0,N('Your debts'!$E$9)),E172),2)</f>
      </c>
      <c r="P172" s="33">
        <f>ROUND(MIN(MAX(0,N('Your debts'!$E$10)),F172),2)</f>
      </c>
      <c r="Q172" s="33">
        <f>ROUND(MIN(MAX(0,N('Your debts'!$E$11)),G172),2)</f>
      </c>
      <c r="R172" s="33">
        <f>ROUND(MIN(MAX(0,N('Your debts'!$E$12)),H172),2)</f>
      </c>
      <c r="S172" s="33">
        <f>ROUND(MIN(MAX(0,N('Your debts'!$E$13)),I172),2)</f>
      </c>
      <c r="T172" s="33">
        <f>ROUND(MIN(MAX(0,N('Your debts'!$E$14)),J172),2)</f>
      </c>
      <c r="U172" s="33">
        <f>ROUND(MIN(MAX(0,N('Your debts'!$E$15)),K172),2)</f>
      </c>
      <c r="V172" s="33">
        <f>ROUND(B172-L172,2)</f>
      </c>
      <c r="W172" s="33">
        <f>ROUND(C172-M172,2)</f>
      </c>
      <c r="X172" s="33">
        <f>ROUND(D172-N172,2)</f>
      </c>
      <c r="Y172" s="33">
        <f>ROUND(E172-O172,2)</f>
      </c>
      <c r="Z172" s="33">
        <f>ROUND(F172-P172,2)</f>
      </c>
      <c r="AA172" s="33">
        <f>ROUND(G172-Q172,2)</f>
      </c>
      <c r="AB172" s="33">
        <f>ROUND(H172-R172,2)</f>
      </c>
      <c r="AC172" s="33">
        <f>ROUND(I172-S172,2)</f>
      </c>
      <c r="AD172" s="33">
        <f>ROUND(J172-T172,2)</f>
      </c>
      <c r="AE172" s="33">
        <f>ROUND(K172-U172,2)</f>
      </c>
      <c r="AF172" s="33">
        <f>IF(V172&lt;=0,0,MAX(0,MIN(V172,ROUND($AZ172-SUMPRODUCT($V172:$AE172*($V172:$AE172&gt;0)*(($V172:$AE172&lt;V172)+($V172:$AE172=V172)*($V$3:$AE$3&gt;V$3)+($V172:$AE172=V172)*($V$3:$AE$3=V$3)*($V$2:$AE$2&lt;V$2))),2))))</f>
      </c>
      <c r="AG172" s="33">
        <f>IF(W172&lt;=0,0,MAX(0,MIN(W172,ROUND($AZ172-SUMPRODUCT($V172:$AE172*($V172:$AE172&gt;0)*(($V172:$AE172&lt;W172)+($V172:$AE172=W172)*($V$3:$AE$3&gt;W$3)+($V172:$AE172=W172)*($V$3:$AE$3=W$3)*($V$2:$AE$2&lt;W$2))),2))))</f>
      </c>
      <c r="AH172" s="33">
        <f>IF(X172&lt;=0,0,MAX(0,MIN(X172,ROUND($AZ172-SUMPRODUCT($V172:$AE172*($V172:$AE172&gt;0)*(($V172:$AE172&lt;X172)+($V172:$AE172=X172)*($V$3:$AE$3&gt;X$3)+($V172:$AE172=X172)*($V$3:$AE$3=X$3)*($V$2:$AE$2&lt;X$2))),2))))</f>
      </c>
      <c r="AI172" s="33">
        <f>IF(Y172&lt;=0,0,MAX(0,MIN(Y172,ROUND($AZ172-SUMPRODUCT($V172:$AE172*($V172:$AE172&gt;0)*(($V172:$AE172&lt;Y172)+($V172:$AE172=Y172)*($V$3:$AE$3&gt;Y$3)+($V172:$AE172=Y172)*($V$3:$AE$3=Y$3)*($V$2:$AE$2&lt;Y$2))),2))))</f>
      </c>
      <c r="AJ172" s="33">
        <f>IF(Z172&lt;=0,0,MAX(0,MIN(Z172,ROUND($AZ172-SUMPRODUCT($V172:$AE172*($V172:$AE172&gt;0)*(($V172:$AE172&lt;Z172)+($V172:$AE172=Z172)*($V$3:$AE$3&gt;Z$3)+($V172:$AE172=Z172)*($V$3:$AE$3=Z$3)*($V$2:$AE$2&lt;Z$2))),2))))</f>
      </c>
      <c r="AK172" s="33">
        <f>IF(AA172&lt;=0,0,MAX(0,MIN(AA172,ROUND($AZ172-SUMPRODUCT($V172:$AE172*($V172:$AE172&gt;0)*(($V172:$AE172&lt;AA172)+($V172:$AE172=AA172)*($V$3:$AE$3&gt;AA$3)+($V172:$AE172=AA172)*($V$3:$AE$3=AA$3)*($V$2:$AE$2&lt;AA$2))),2))))</f>
      </c>
      <c r="AL172" s="33">
        <f>IF(AB172&lt;=0,0,MAX(0,MIN(AB172,ROUND($AZ172-SUMPRODUCT($V172:$AE172*($V172:$AE172&gt;0)*(($V172:$AE172&lt;AB172)+($V172:$AE172=AB172)*($V$3:$AE$3&gt;AB$3)+($V172:$AE172=AB172)*($V$3:$AE$3=AB$3)*($V$2:$AE$2&lt;AB$2))),2))))</f>
      </c>
      <c r="AM172" s="33">
        <f>IF(AC172&lt;=0,0,MAX(0,MIN(AC172,ROUND($AZ172-SUMPRODUCT($V172:$AE172*($V172:$AE172&gt;0)*(($V172:$AE172&lt;AC172)+($V172:$AE172=AC172)*($V$3:$AE$3&gt;AC$3)+($V172:$AE172=AC172)*($V$3:$AE$3=AC$3)*($V$2:$AE$2&lt;AC$2))),2))))</f>
      </c>
      <c r="AN172" s="33">
        <f>IF(AD172&lt;=0,0,MAX(0,MIN(AD172,ROUND($AZ172-SUMPRODUCT($V172:$AE172*($V172:$AE172&gt;0)*(($V172:$AE172&lt;AD172)+($V172:$AE172=AD172)*($V$3:$AE$3&gt;AD$3)+($V172:$AE172=AD172)*($V$3:$AE$3=AD$3)*($V$2:$AE$2&lt;AD$2))),2))))</f>
      </c>
      <c r="AO172" s="33">
        <f>IF(AE172&lt;=0,0,MAX(0,MIN(AE172,ROUND($AZ172-SUMPRODUCT($V172:$AE172*($V172:$AE172&gt;0)*(($V172:$AE172&lt;AE172)+($V172:$AE172=AE172)*($V$3:$AE$3&gt;AE$3)+($V172:$AE172=AE172)*($V$3:$AE$3=AE$3)*($V$2:$AE$2&lt;AE$2))),2))))</f>
      </c>
      <c r="AP172" s="33">
        <f>ROUND(V172-AF172,2)</f>
      </c>
      <c r="AQ172" s="33">
        <f>ROUND(W172-AG172,2)</f>
      </c>
      <c r="AR172" s="33">
        <f>ROUND(X172-AH172,2)</f>
      </c>
      <c r="AS172" s="33">
        <f>ROUND(Y172-AI172,2)</f>
      </c>
      <c r="AT172" s="33">
        <f>ROUND(Z172-AJ172,2)</f>
      </c>
      <c r="AU172" s="33">
        <f>ROUND(AA172-AK172,2)</f>
      </c>
      <c r="AV172" s="33">
        <f>ROUND(AB172-AL172,2)</f>
      </c>
      <c r="AW172" s="33">
        <f>ROUND(AC172-AM172,2)</f>
      </c>
      <c r="AX172" s="33">
        <f>ROUND(AD172-AN172,2)</f>
      </c>
      <c r="AY172" s="33">
        <f>ROUND(AE172-AO172,2)</f>
      </c>
      <c r="AZ172" s="33">
        <f>ROUND(MAX(0,'Your debts'!$D$22-SUM($L172:$U172)),2)</f>
      </c>
      <c r="BA172" s="33">
        <f>ROUND(SUM($B172:$K172)-SUM($AP171:$AY171),2)</f>
      </c>
      <c r="BB172" s="33">
        <f>SUM($AP172:$AY172)</f>
      </c>
      <c r="BC172" s="33">
        <f>ROUND(SUM($L172:$U172)+SUM($AF172:$AO172),2)</f>
      </c>
    </row>
    <row r="173" spans="1:55" x14ac:dyDescent="0.25">
      <c r="A173">
        <v>166</v>
      </c>
      <c r="B173" s="33">
        <f>IF(AP172&lt;=0,0,ROUND(AP172+ROUND(AP172*V$3/12,2),2))</f>
      </c>
      <c r="C173" s="33">
        <f>IF(AQ172&lt;=0,0,ROUND(AQ172+ROUND(AQ172*W$3/12,2),2))</f>
      </c>
      <c r="D173" s="33">
        <f>IF(AR172&lt;=0,0,ROUND(AR172+ROUND(AR172*X$3/12,2),2))</f>
      </c>
      <c r="E173" s="33">
        <f>IF(AS172&lt;=0,0,ROUND(AS172+ROUND(AS172*Y$3/12,2),2))</f>
      </c>
      <c r="F173" s="33">
        <f>IF(AT172&lt;=0,0,ROUND(AT172+ROUND(AT172*Z$3/12,2),2))</f>
      </c>
      <c r="G173" s="33">
        <f>IF(AU172&lt;=0,0,ROUND(AU172+ROUND(AU172*AA$3/12,2),2))</f>
      </c>
      <c r="H173" s="33">
        <f>IF(AV172&lt;=0,0,ROUND(AV172+ROUND(AV172*AB$3/12,2),2))</f>
      </c>
      <c r="I173" s="33">
        <f>IF(AW172&lt;=0,0,ROUND(AW172+ROUND(AW172*AC$3/12,2),2))</f>
      </c>
      <c r="J173" s="33">
        <f>IF(AX172&lt;=0,0,ROUND(AX172+ROUND(AX172*AD$3/12,2),2))</f>
      </c>
      <c r="K173" s="33">
        <f>IF(AY172&lt;=0,0,ROUND(AY172+ROUND(AY172*AE$3/12,2),2))</f>
      </c>
      <c r="L173" s="33">
        <f>ROUND(MIN(MAX(0,N('Your debts'!$E$6)),B173),2)</f>
      </c>
      <c r="M173" s="33">
        <f>ROUND(MIN(MAX(0,N('Your debts'!$E$7)),C173),2)</f>
      </c>
      <c r="N173" s="33">
        <f>ROUND(MIN(MAX(0,N('Your debts'!$E$8)),D173),2)</f>
      </c>
      <c r="O173" s="33">
        <f>ROUND(MIN(MAX(0,N('Your debts'!$E$9)),E173),2)</f>
      </c>
      <c r="P173" s="33">
        <f>ROUND(MIN(MAX(0,N('Your debts'!$E$10)),F173),2)</f>
      </c>
      <c r="Q173" s="33">
        <f>ROUND(MIN(MAX(0,N('Your debts'!$E$11)),G173),2)</f>
      </c>
      <c r="R173" s="33">
        <f>ROUND(MIN(MAX(0,N('Your debts'!$E$12)),H173),2)</f>
      </c>
      <c r="S173" s="33">
        <f>ROUND(MIN(MAX(0,N('Your debts'!$E$13)),I173),2)</f>
      </c>
      <c r="T173" s="33">
        <f>ROUND(MIN(MAX(0,N('Your debts'!$E$14)),J173),2)</f>
      </c>
      <c r="U173" s="33">
        <f>ROUND(MIN(MAX(0,N('Your debts'!$E$15)),K173),2)</f>
      </c>
      <c r="V173" s="33">
        <f>ROUND(B173-L173,2)</f>
      </c>
      <c r="W173" s="33">
        <f>ROUND(C173-M173,2)</f>
      </c>
      <c r="X173" s="33">
        <f>ROUND(D173-N173,2)</f>
      </c>
      <c r="Y173" s="33">
        <f>ROUND(E173-O173,2)</f>
      </c>
      <c r="Z173" s="33">
        <f>ROUND(F173-P173,2)</f>
      </c>
      <c r="AA173" s="33">
        <f>ROUND(G173-Q173,2)</f>
      </c>
      <c r="AB173" s="33">
        <f>ROUND(H173-R173,2)</f>
      </c>
      <c r="AC173" s="33">
        <f>ROUND(I173-S173,2)</f>
      </c>
      <c r="AD173" s="33">
        <f>ROUND(J173-T173,2)</f>
      </c>
      <c r="AE173" s="33">
        <f>ROUND(K173-U173,2)</f>
      </c>
      <c r="AF173" s="33">
        <f>IF(V173&lt;=0,0,MAX(0,MIN(V173,ROUND($AZ173-SUMPRODUCT($V173:$AE173*($V173:$AE173&gt;0)*(($V173:$AE173&lt;V173)+($V173:$AE173=V173)*($V$3:$AE$3&gt;V$3)+($V173:$AE173=V173)*($V$3:$AE$3=V$3)*($V$2:$AE$2&lt;V$2))),2))))</f>
      </c>
      <c r="AG173" s="33">
        <f>IF(W173&lt;=0,0,MAX(0,MIN(W173,ROUND($AZ173-SUMPRODUCT($V173:$AE173*($V173:$AE173&gt;0)*(($V173:$AE173&lt;W173)+($V173:$AE173=W173)*($V$3:$AE$3&gt;W$3)+($V173:$AE173=W173)*($V$3:$AE$3=W$3)*($V$2:$AE$2&lt;W$2))),2))))</f>
      </c>
      <c r="AH173" s="33">
        <f>IF(X173&lt;=0,0,MAX(0,MIN(X173,ROUND($AZ173-SUMPRODUCT($V173:$AE173*($V173:$AE173&gt;0)*(($V173:$AE173&lt;X173)+($V173:$AE173=X173)*($V$3:$AE$3&gt;X$3)+($V173:$AE173=X173)*($V$3:$AE$3=X$3)*($V$2:$AE$2&lt;X$2))),2))))</f>
      </c>
      <c r="AI173" s="33">
        <f>IF(Y173&lt;=0,0,MAX(0,MIN(Y173,ROUND($AZ173-SUMPRODUCT($V173:$AE173*($V173:$AE173&gt;0)*(($V173:$AE173&lt;Y173)+($V173:$AE173=Y173)*($V$3:$AE$3&gt;Y$3)+($V173:$AE173=Y173)*($V$3:$AE$3=Y$3)*($V$2:$AE$2&lt;Y$2))),2))))</f>
      </c>
      <c r="AJ173" s="33">
        <f>IF(Z173&lt;=0,0,MAX(0,MIN(Z173,ROUND($AZ173-SUMPRODUCT($V173:$AE173*($V173:$AE173&gt;0)*(($V173:$AE173&lt;Z173)+($V173:$AE173=Z173)*($V$3:$AE$3&gt;Z$3)+($V173:$AE173=Z173)*($V$3:$AE$3=Z$3)*($V$2:$AE$2&lt;Z$2))),2))))</f>
      </c>
      <c r="AK173" s="33">
        <f>IF(AA173&lt;=0,0,MAX(0,MIN(AA173,ROUND($AZ173-SUMPRODUCT($V173:$AE173*($V173:$AE173&gt;0)*(($V173:$AE173&lt;AA173)+($V173:$AE173=AA173)*($V$3:$AE$3&gt;AA$3)+($V173:$AE173=AA173)*($V$3:$AE$3=AA$3)*($V$2:$AE$2&lt;AA$2))),2))))</f>
      </c>
      <c r="AL173" s="33">
        <f>IF(AB173&lt;=0,0,MAX(0,MIN(AB173,ROUND($AZ173-SUMPRODUCT($V173:$AE173*($V173:$AE173&gt;0)*(($V173:$AE173&lt;AB173)+($V173:$AE173=AB173)*($V$3:$AE$3&gt;AB$3)+($V173:$AE173=AB173)*($V$3:$AE$3=AB$3)*($V$2:$AE$2&lt;AB$2))),2))))</f>
      </c>
      <c r="AM173" s="33">
        <f>IF(AC173&lt;=0,0,MAX(0,MIN(AC173,ROUND($AZ173-SUMPRODUCT($V173:$AE173*($V173:$AE173&gt;0)*(($V173:$AE173&lt;AC173)+($V173:$AE173=AC173)*($V$3:$AE$3&gt;AC$3)+($V173:$AE173=AC173)*($V$3:$AE$3=AC$3)*($V$2:$AE$2&lt;AC$2))),2))))</f>
      </c>
      <c r="AN173" s="33">
        <f>IF(AD173&lt;=0,0,MAX(0,MIN(AD173,ROUND($AZ173-SUMPRODUCT($V173:$AE173*($V173:$AE173&gt;0)*(($V173:$AE173&lt;AD173)+($V173:$AE173=AD173)*($V$3:$AE$3&gt;AD$3)+($V173:$AE173=AD173)*($V$3:$AE$3=AD$3)*($V$2:$AE$2&lt;AD$2))),2))))</f>
      </c>
      <c r="AO173" s="33">
        <f>IF(AE173&lt;=0,0,MAX(0,MIN(AE173,ROUND($AZ173-SUMPRODUCT($V173:$AE173*($V173:$AE173&gt;0)*(($V173:$AE173&lt;AE173)+($V173:$AE173=AE173)*($V$3:$AE$3&gt;AE$3)+($V173:$AE173=AE173)*($V$3:$AE$3=AE$3)*($V$2:$AE$2&lt;AE$2))),2))))</f>
      </c>
      <c r="AP173" s="33">
        <f>ROUND(V173-AF173,2)</f>
      </c>
      <c r="AQ173" s="33">
        <f>ROUND(W173-AG173,2)</f>
      </c>
      <c r="AR173" s="33">
        <f>ROUND(X173-AH173,2)</f>
      </c>
      <c r="AS173" s="33">
        <f>ROUND(Y173-AI173,2)</f>
      </c>
      <c r="AT173" s="33">
        <f>ROUND(Z173-AJ173,2)</f>
      </c>
      <c r="AU173" s="33">
        <f>ROUND(AA173-AK173,2)</f>
      </c>
      <c r="AV173" s="33">
        <f>ROUND(AB173-AL173,2)</f>
      </c>
      <c r="AW173" s="33">
        <f>ROUND(AC173-AM173,2)</f>
      </c>
      <c r="AX173" s="33">
        <f>ROUND(AD173-AN173,2)</f>
      </c>
      <c r="AY173" s="33">
        <f>ROUND(AE173-AO173,2)</f>
      </c>
      <c r="AZ173" s="33">
        <f>ROUND(MAX(0,'Your debts'!$D$22-SUM($L173:$U173)),2)</f>
      </c>
      <c r="BA173" s="33">
        <f>ROUND(SUM($B173:$K173)-SUM($AP172:$AY172),2)</f>
      </c>
      <c r="BB173" s="33">
        <f>SUM($AP173:$AY173)</f>
      </c>
      <c r="BC173" s="33">
        <f>ROUND(SUM($L173:$U173)+SUM($AF173:$AO173),2)</f>
      </c>
    </row>
    <row r="174" spans="1:55" x14ac:dyDescent="0.25">
      <c r="A174">
        <v>167</v>
      </c>
      <c r="B174" s="33">
        <f>IF(AP173&lt;=0,0,ROUND(AP173+ROUND(AP173*V$3/12,2),2))</f>
      </c>
      <c r="C174" s="33">
        <f>IF(AQ173&lt;=0,0,ROUND(AQ173+ROUND(AQ173*W$3/12,2),2))</f>
      </c>
      <c r="D174" s="33">
        <f>IF(AR173&lt;=0,0,ROUND(AR173+ROUND(AR173*X$3/12,2),2))</f>
      </c>
      <c r="E174" s="33">
        <f>IF(AS173&lt;=0,0,ROUND(AS173+ROUND(AS173*Y$3/12,2),2))</f>
      </c>
      <c r="F174" s="33">
        <f>IF(AT173&lt;=0,0,ROUND(AT173+ROUND(AT173*Z$3/12,2),2))</f>
      </c>
      <c r="G174" s="33">
        <f>IF(AU173&lt;=0,0,ROUND(AU173+ROUND(AU173*AA$3/12,2),2))</f>
      </c>
      <c r="H174" s="33">
        <f>IF(AV173&lt;=0,0,ROUND(AV173+ROUND(AV173*AB$3/12,2),2))</f>
      </c>
      <c r="I174" s="33">
        <f>IF(AW173&lt;=0,0,ROUND(AW173+ROUND(AW173*AC$3/12,2),2))</f>
      </c>
      <c r="J174" s="33">
        <f>IF(AX173&lt;=0,0,ROUND(AX173+ROUND(AX173*AD$3/12,2),2))</f>
      </c>
      <c r="K174" s="33">
        <f>IF(AY173&lt;=0,0,ROUND(AY173+ROUND(AY173*AE$3/12,2),2))</f>
      </c>
      <c r="L174" s="33">
        <f>ROUND(MIN(MAX(0,N('Your debts'!$E$6)),B174),2)</f>
      </c>
      <c r="M174" s="33">
        <f>ROUND(MIN(MAX(0,N('Your debts'!$E$7)),C174),2)</f>
      </c>
      <c r="N174" s="33">
        <f>ROUND(MIN(MAX(0,N('Your debts'!$E$8)),D174),2)</f>
      </c>
      <c r="O174" s="33">
        <f>ROUND(MIN(MAX(0,N('Your debts'!$E$9)),E174),2)</f>
      </c>
      <c r="P174" s="33">
        <f>ROUND(MIN(MAX(0,N('Your debts'!$E$10)),F174),2)</f>
      </c>
      <c r="Q174" s="33">
        <f>ROUND(MIN(MAX(0,N('Your debts'!$E$11)),G174),2)</f>
      </c>
      <c r="R174" s="33">
        <f>ROUND(MIN(MAX(0,N('Your debts'!$E$12)),H174),2)</f>
      </c>
      <c r="S174" s="33">
        <f>ROUND(MIN(MAX(0,N('Your debts'!$E$13)),I174),2)</f>
      </c>
      <c r="T174" s="33">
        <f>ROUND(MIN(MAX(0,N('Your debts'!$E$14)),J174),2)</f>
      </c>
      <c r="U174" s="33">
        <f>ROUND(MIN(MAX(0,N('Your debts'!$E$15)),K174),2)</f>
      </c>
      <c r="V174" s="33">
        <f>ROUND(B174-L174,2)</f>
      </c>
      <c r="W174" s="33">
        <f>ROUND(C174-M174,2)</f>
      </c>
      <c r="X174" s="33">
        <f>ROUND(D174-N174,2)</f>
      </c>
      <c r="Y174" s="33">
        <f>ROUND(E174-O174,2)</f>
      </c>
      <c r="Z174" s="33">
        <f>ROUND(F174-P174,2)</f>
      </c>
      <c r="AA174" s="33">
        <f>ROUND(G174-Q174,2)</f>
      </c>
      <c r="AB174" s="33">
        <f>ROUND(H174-R174,2)</f>
      </c>
      <c r="AC174" s="33">
        <f>ROUND(I174-S174,2)</f>
      </c>
      <c r="AD174" s="33">
        <f>ROUND(J174-T174,2)</f>
      </c>
      <c r="AE174" s="33">
        <f>ROUND(K174-U174,2)</f>
      </c>
      <c r="AF174" s="33">
        <f>IF(V174&lt;=0,0,MAX(0,MIN(V174,ROUND($AZ174-SUMPRODUCT($V174:$AE174*($V174:$AE174&gt;0)*(($V174:$AE174&lt;V174)+($V174:$AE174=V174)*($V$3:$AE$3&gt;V$3)+($V174:$AE174=V174)*($V$3:$AE$3=V$3)*($V$2:$AE$2&lt;V$2))),2))))</f>
      </c>
      <c r="AG174" s="33">
        <f>IF(W174&lt;=0,0,MAX(0,MIN(W174,ROUND($AZ174-SUMPRODUCT($V174:$AE174*($V174:$AE174&gt;0)*(($V174:$AE174&lt;W174)+($V174:$AE174=W174)*($V$3:$AE$3&gt;W$3)+($V174:$AE174=W174)*($V$3:$AE$3=W$3)*($V$2:$AE$2&lt;W$2))),2))))</f>
      </c>
      <c r="AH174" s="33">
        <f>IF(X174&lt;=0,0,MAX(0,MIN(X174,ROUND($AZ174-SUMPRODUCT($V174:$AE174*($V174:$AE174&gt;0)*(($V174:$AE174&lt;X174)+($V174:$AE174=X174)*($V$3:$AE$3&gt;X$3)+($V174:$AE174=X174)*($V$3:$AE$3=X$3)*($V$2:$AE$2&lt;X$2))),2))))</f>
      </c>
      <c r="AI174" s="33">
        <f>IF(Y174&lt;=0,0,MAX(0,MIN(Y174,ROUND($AZ174-SUMPRODUCT($V174:$AE174*($V174:$AE174&gt;0)*(($V174:$AE174&lt;Y174)+($V174:$AE174=Y174)*($V$3:$AE$3&gt;Y$3)+($V174:$AE174=Y174)*($V$3:$AE$3=Y$3)*($V$2:$AE$2&lt;Y$2))),2))))</f>
      </c>
      <c r="AJ174" s="33">
        <f>IF(Z174&lt;=0,0,MAX(0,MIN(Z174,ROUND($AZ174-SUMPRODUCT($V174:$AE174*($V174:$AE174&gt;0)*(($V174:$AE174&lt;Z174)+($V174:$AE174=Z174)*($V$3:$AE$3&gt;Z$3)+($V174:$AE174=Z174)*($V$3:$AE$3=Z$3)*($V$2:$AE$2&lt;Z$2))),2))))</f>
      </c>
      <c r="AK174" s="33">
        <f>IF(AA174&lt;=0,0,MAX(0,MIN(AA174,ROUND($AZ174-SUMPRODUCT($V174:$AE174*($V174:$AE174&gt;0)*(($V174:$AE174&lt;AA174)+($V174:$AE174=AA174)*($V$3:$AE$3&gt;AA$3)+($V174:$AE174=AA174)*($V$3:$AE$3=AA$3)*($V$2:$AE$2&lt;AA$2))),2))))</f>
      </c>
      <c r="AL174" s="33">
        <f>IF(AB174&lt;=0,0,MAX(0,MIN(AB174,ROUND($AZ174-SUMPRODUCT($V174:$AE174*($V174:$AE174&gt;0)*(($V174:$AE174&lt;AB174)+($V174:$AE174=AB174)*($V$3:$AE$3&gt;AB$3)+($V174:$AE174=AB174)*($V$3:$AE$3=AB$3)*($V$2:$AE$2&lt;AB$2))),2))))</f>
      </c>
      <c r="AM174" s="33">
        <f>IF(AC174&lt;=0,0,MAX(0,MIN(AC174,ROUND($AZ174-SUMPRODUCT($V174:$AE174*($V174:$AE174&gt;0)*(($V174:$AE174&lt;AC174)+($V174:$AE174=AC174)*($V$3:$AE$3&gt;AC$3)+($V174:$AE174=AC174)*($V$3:$AE$3=AC$3)*($V$2:$AE$2&lt;AC$2))),2))))</f>
      </c>
      <c r="AN174" s="33">
        <f>IF(AD174&lt;=0,0,MAX(0,MIN(AD174,ROUND($AZ174-SUMPRODUCT($V174:$AE174*($V174:$AE174&gt;0)*(($V174:$AE174&lt;AD174)+($V174:$AE174=AD174)*($V$3:$AE$3&gt;AD$3)+($V174:$AE174=AD174)*($V$3:$AE$3=AD$3)*($V$2:$AE$2&lt;AD$2))),2))))</f>
      </c>
      <c r="AO174" s="33">
        <f>IF(AE174&lt;=0,0,MAX(0,MIN(AE174,ROUND($AZ174-SUMPRODUCT($V174:$AE174*($V174:$AE174&gt;0)*(($V174:$AE174&lt;AE174)+($V174:$AE174=AE174)*($V$3:$AE$3&gt;AE$3)+($V174:$AE174=AE174)*($V$3:$AE$3=AE$3)*($V$2:$AE$2&lt;AE$2))),2))))</f>
      </c>
      <c r="AP174" s="33">
        <f>ROUND(V174-AF174,2)</f>
      </c>
      <c r="AQ174" s="33">
        <f>ROUND(W174-AG174,2)</f>
      </c>
      <c r="AR174" s="33">
        <f>ROUND(X174-AH174,2)</f>
      </c>
      <c r="AS174" s="33">
        <f>ROUND(Y174-AI174,2)</f>
      </c>
      <c r="AT174" s="33">
        <f>ROUND(Z174-AJ174,2)</f>
      </c>
      <c r="AU174" s="33">
        <f>ROUND(AA174-AK174,2)</f>
      </c>
      <c r="AV174" s="33">
        <f>ROUND(AB174-AL174,2)</f>
      </c>
      <c r="AW174" s="33">
        <f>ROUND(AC174-AM174,2)</f>
      </c>
      <c r="AX174" s="33">
        <f>ROUND(AD174-AN174,2)</f>
      </c>
      <c r="AY174" s="33">
        <f>ROUND(AE174-AO174,2)</f>
      </c>
      <c r="AZ174" s="33">
        <f>ROUND(MAX(0,'Your debts'!$D$22-SUM($L174:$U174)),2)</f>
      </c>
      <c r="BA174" s="33">
        <f>ROUND(SUM($B174:$K174)-SUM($AP173:$AY173),2)</f>
      </c>
      <c r="BB174" s="33">
        <f>SUM($AP174:$AY174)</f>
      </c>
      <c r="BC174" s="33">
        <f>ROUND(SUM($L174:$U174)+SUM($AF174:$AO174),2)</f>
      </c>
    </row>
    <row r="175" spans="1:55" x14ac:dyDescent="0.25">
      <c r="A175">
        <v>168</v>
      </c>
      <c r="B175" s="33">
        <f>IF(AP174&lt;=0,0,ROUND(AP174+ROUND(AP174*V$3/12,2),2))</f>
      </c>
      <c r="C175" s="33">
        <f>IF(AQ174&lt;=0,0,ROUND(AQ174+ROUND(AQ174*W$3/12,2),2))</f>
      </c>
      <c r="D175" s="33">
        <f>IF(AR174&lt;=0,0,ROUND(AR174+ROUND(AR174*X$3/12,2),2))</f>
      </c>
      <c r="E175" s="33">
        <f>IF(AS174&lt;=0,0,ROUND(AS174+ROUND(AS174*Y$3/12,2),2))</f>
      </c>
      <c r="F175" s="33">
        <f>IF(AT174&lt;=0,0,ROUND(AT174+ROUND(AT174*Z$3/12,2),2))</f>
      </c>
      <c r="G175" s="33">
        <f>IF(AU174&lt;=0,0,ROUND(AU174+ROUND(AU174*AA$3/12,2),2))</f>
      </c>
      <c r="H175" s="33">
        <f>IF(AV174&lt;=0,0,ROUND(AV174+ROUND(AV174*AB$3/12,2),2))</f>
      </c>
      <c r="I175" s="33">
        <f>IF(AW174&lt;=0,0,ROUND(AW174+ROUND(AW174*AC$3/12,2),2))</f>
      </c>
      <c r="J175" s="33">
        <f>IF(AX174&lt;=0,0,ROUND(AX174+ROUND(AX174*AD$3/12,2),2))</f>
      </c>
      <c r="K175" s="33">
        <f>IF(AY174&lt;=0,0,ROUND(AY174+ROUND(AY174*AE$3/12,2),2))</f>
      </c>
      <c r="L175" s="33">
        <f>ROUND(MIN(MAX(0,N('Your debts'!$E$6)),B175),2)</f>
      </c>
      <c r="M175" s="33">
        <f>ROUND(MIN(MAX(0,N('Your debts'!$E$7)),C175),2)</f>
      </c>
      <c r="N175" s="33">
        <f>ROUND(MIN(MAX(0,N('Your debts'!$E$8)),D175),2)</f>
      </c>
      <c r="O175" s="33">
        <f>ROUND(MIN(MAX(0,N('Your debts'!$E$9)),E175),2)</f>
      </c>
      <c r="P175" s="33">
        <f>ROUND(MIN(MAX(0,N('Your debts'!$E$10)),F175),2)</f>
      </c>
      <c r="Q175" s="33">
        <f>ROUND(MIN(MAX(0,N('Your debts'!$E$11)),G175),2)</f>
      </c>
      <c r="R175" s="33">
        <f>ROUND(MIN(MAX(0,N('Your debts'!$E$12)),H175),2)</f>
      </c>
      <c r="S175" s="33">
        <f>ROUND(MIN(MAX(0,N('Your debts'!$E$13)),I175),2)</f>
      </c>
      <c r="T175" s="33">
        <f>ROUND(MIN(MAX(0,N('Your debts'!$E$14)),J175),2)</f>
      </c>
      <c r="U175" s="33">
        <f>ROUND(MIN(MAX(0,N('Your debts'!$E$15)),K175),2)</f>
      </c>
      <c r="V175" s="33">
        <f>ROUND(B175-L175,2)</f>
      </c>
      <c r="W175" s="33">
        <f>ROUND(C175-M175,2)</f>
      </c>
      <c r="X175" s="33">
        <f>ROUND(D175-N175,2)</f>
      </c>
      <c r="Y175" s="33">
        <f>ROUND(E175-O175,2)</f>
      </c>
      <c r="Z175" s="33">
        <f>ROUND(F175-P175,2)</f>
      </c>
      <c r="AA175" s="33">
        <f>ROUND(G175-Q175,2)</f>
      </c>
      <c r="AB175" s="33">
        <f>ROUND(H175-R175,2)</f>
      </c>
      <c r="AC175" s="33">
        <f>ROUND(I175-S175,2)</f>
      </c>
      <c r="AD175" s="33">
        <f>ROUND(J175-T175,2)</f>
      </c>
      <c r="AE175" s="33">
        <f>ROUND(K175-U175,2)</f>
      </c>
      <c r="AF175" s="33">
        <f>IF(V175&lt;=0,0,MAX(0,MIN(V175,ROUND($AZ175-SUMPRODUCT($V175:$AE175*($V175:$AE175&gt;0)*(($V175:$AE175&lt;V175)+($V175:$AE175=V175)*($V$3:$AE$3&gt;V$3)+($V175:$AE175=V175)*($V$3:$AE$3=V$3)*($V$2:$AE$2&lt;V$2))),2))))</f>
      </c>
      <c r="AG175" s="33">
        <f>IF(W175&lt;=0,0,MAX(0,MIN(W175,ROUND($AZ175-SUMPRODUCT($V175:$AE175*($V175:$AE175&gt;0)*(($V175:$AE175&lt;W175)+($V175:$AE175=W175)*($V$3:$AE$3&gt;W$3)+($V175:$AE175=W175)*($V$3:$AE$3=W$3)*($V$2:$AE$2&lt;W$2))),2))))</f>
      </c>
      <c r="AH175" s="33">
        <f>IF(X175&lt;=0,0,MAX(0,MIN(X175,ROUND($AZ175-SUMPRODUCT($V175:$AE175*($V175:$AE175&gt;0)*(($V175:$AE175&lt;X175)+($V175:$AE175=X175)*($V$3:$AE$3&gt;X$3)+($V175:$AE175=X175)*($V$3:$AE$3=X$3)*($V$2:$AE$2&lt;X$2))),2))))</f>
      </c>
      <c r="AI175" s="33">
        <f>IF(Y175&lt;=0,0,MAX(0,MIN(Y175,ROUND($AZ175-SUMPRODUCT($V175:$AE175*($V175:$AE175&gt;0)*(($V175:$AE175&lt;Y175)+($V175:$AE175=Y175)*($V$3:$AE$3&gt;Y$3)+($V175:$AE175=Y175)*($V$3:$AE$3=Y$3)*($V$2:$AE$2&lt;Y$2))),2))))</f>
      </c>
      <c r="AJ175" s="33">
        <f>IF(Z175&lt;=0,0,MAX(0,MIN(Z175,ROUND($AZ175-SUMPRODUCT($V175:$AE175*($V175:$AE175&gt;0)*(($V175:$AE175&lt;Z175)+($V175:$AE175=Z175)*($V$3:$AE$3&gt;Z$3)+($V175:$AE175=Z175)*($V$3:$AE$3=Z$3)*($V$2:$AE$2&lt;Z$2))),2))))</f>
      </c>
      <c r="AK175" s="33">
        <f>IF(AA175&lt;=0,0,MAX(0,MIN(AA175,ROUND($AZ175-SUMPRODUCT($V175:$AE175*($V175:$AE175&gt;0)*(($V175:$AE175&lt;AA175)+($V175:$AE175=AA175)*($V$3:$AE$3&gt;AA$3)+($V175:$AE175=AA175)*($V$3:$AE$3=AA$3)*($V$2:$AE$2&lt;AA$2))),2))))</f>
      </c>
      <c r="AL175" s="33">
        <f>IF(AB175&lt;=0,0,MAX(0,MIN(AB175,ROUND($AZ175-SUMPRODUCT($V175:$AE175*($V175:$AE175&gt;0)*(($V175:$AE175&lt;AB175)+($V175:$AE175=AB175)*($V$3:$AE$3&gt;AB$3)+($V175:$AE175=AB175)*($V$3:$AE$3=AB$3)*($V$2:$AE$2&lt;AB$2))),2))))</f>
      </c>
      <c r="AM175" s="33">
        <f>IF(AC175&lt;=0,0,MAX(0,MIN(AC175,ROUND($AZ175-SUMPRODUCT($V175:$AE175*($V175:$AE175&gt;0)*(($V175:$AE175&lt;AC175)+($V175:$AE175=AC175)*($V$3:$AE$3&gt;AC$3)+($V175:$AE175=AC175)*($V$3:$AE$3=AC$3)*($V$2:$AE$2&lt;AC$2))),2))))</f>
      </c>
      <c r="AN175" s="33">
        <f>IF(AD175&lt;=0,0,MAX(0,MIN(AD175,ROUND($AZ175-SUMPRODUCT($V175:$AE175*($V175:$AE175&gt;0)*(($V175:$AE175&lt;AD175)+($V175:$AE175=AD175)*($V$3:$AE$3&gt;AD$3)+($V175:$AE175=AD175)*($V$3:$AE$3=AD$3)*($V$2:$AE$2&lt;AD$2))),2))))</f>
      </c>
      <c r="AO175" s="33">
        <f>IF(AE175&lt;=0,0,MAX(0,MIN(AE175,ROUND($AZ175-SUMPRODUCT($V175:$AE175*($V175:$AE175&gt;0)*(($V175:$AE175&lt;AE175)+($V175:$AE175=AE175)*($V$3:$AE$3&gt;AE$3)+($V175:$AE175=AE175)*($V$3:$AE$3=AE$3)*($V$2:$AE$2&lt;AE$2))),2))))</f>
      </c>
      <c r="AP175" s="33">
        <f>ROUND(V175-AF175,2)</f>
      </c>
      <c r="AQ175" s="33">
        <f>ROUND(W175-AG175,2)</f>
      </c>
      <c r="AR175" s="33">
        <f>ROUND(X175-AH175,2)</f>
      </c>
      <c r="AS175" s="33">
        <f>ROUND(Y175-AI175,2)</f>
      </c>
      <c r="AT175" s="33">
        <f>ROUND(Z175-AJ175,2)</f>
      </c>
      <c r="AU175" s="33">
        <f>ROUND(AA175-AK175,2)</f>
      </c>
      <c r="AV175" s="33">
        <f>ROUND(AB175-AL175,2)</f>
      </c>
      <c r="AW175" s="33">
        <f>ROUND(AC175-AM175,2)</f>
      </c>
      <c r="AX175" s="33">
        <f>ROUND(AD175-AN175,2)</f>
      </c>
      <c r="AY175" s="33">
        <f>ROUND(AE175-AO175,2)</f>
      </c>
      <c r="AZ175" s="33">
        <f>ROUND(MAX(0,'Your debts'!$D$22-SUM($L175:$U175)),2)</f>
      </c>
      <c r="BA175" s="33">
        <f>ROUND(SUM($B175:$K175)-SUM($AP174:$AY174),2)</f>
      </c>
      <c r="BB175" s="33">
        <f>SUM($AP175:$AY175)</f>
      </c>
      <c r="BC175" s="33">
        <f>ROUND(SUM($L175:$U175)+SUM($AF175:$AO175),2)</f>
      </c>
    </row>
    <row r="176" spans="1:55" x14ac:dyDescent="0.25">
      <c r="A176">
        <v>169</v>
      </c>
      <c r="B176" s="33">
        <f>IF(AP175&lt;=0,0,ROUND(AP175+ROUND(AP175*V$3/12,2),2))</f>
      </c>
      <c r="C176" s="33">
        <f>IF(AQ175&lt;=0,0,ROUND(AQ175+ROUND(AQ175*W$3/12,2),2))</f>
      </c>
      <c r="D176" s="33">
        <f>IF(AR175&lt;=0,0,ROUND(AR175+ROUND(AR175*X$3/12,2),2))</f>
      </c>
      <c r="E176" s="33">
        <f>IF(AS175&lt;=0,0,ROUND(AS175+ROUND(AS175*Y$3/12,2),2))</f>
      </c>
      <c r="F176" s="33">
        <f>IF(AT175&lt;=0,0,ROUND(AT175+ROUND(AT175*Z$3/12,2),2))</f>
      </c>
      <c r="G176" s="33">
        <f>IF(AU175&lt;=0,0,ROUND(AU175+ROUND(AU175*AA$3/12,2),2))</f>
      </c>
      <c r="H176" s="33">
        <f>IF(AV175&lt;=0,0,ROUND(AV175+ROUND(AV175*AB$3/12,2),2))</f>
      </c>
      <c r="I176" s="33">
        <f>IF(AW175&lt;=0,0,ROUND(AW175+ROUND(AW175*AC$3/12,2),2))</f>
      </c>
      <c r="J176" s="33">
        <f>IF(AX175&lt;=0,0,ROUND(AX175+ROUND(AX175*AD$3/12,2),2))</f>
      </c>
      <c r="K176" s="33">
        <f>IF(AY175&lt;=0,0,ROUND(AY175+ROUND(AY175*AE$3/12,2),2))</f>
      </c>
      <c r="L176" s="33">
        <f>ROUND(MIN(MAX(0,N('Your debts'!$E$6)),B176),2)</f>
      </c>
      <c r="M176" s="33">
        <f>ROUND(MIN(MAX(0,N('Your debts'!$E$7)),C176),2)</f>
      </c>
      <c r="N176" s="33">
        <f>ROUND(MIN(MAX(0,N('Your debts'!$E$8)),D176),2)</f>
      </c>
      <c r="O176" s="33">
        <f>ROUND(MIN(MAX(0,N('Your debts'!$E$9)),E176),2)</f>
      </c>
      <c r="P176" s="33">
        <f>ROUND(MIN(MAX(0,N('Your debts'!$E$10)),F176),2)</f>
      </c>
      <c r="Q176" s="33">
        <f>ROUND(MIN(MAX(0,N('Your debts'!$E$11)),G176),2)</f>
      </c>
      <c r="R176" s="33">
        <f>ROUND(MIN(MAX(0,N('Your debts'!$E$12)),H176),2)</f>
      </c>
      <c r="S176" s="33">
        <f>ROUND(MIN(MAX(0,N('Your debts'!$E$13)),I176),2)</f>
      </c>
      <c r="T176" s="33">
        <f>ROUND(MIN(MAX(0,N('Your debts'!$E$14)),J176),2)</f>
      </c>
      <c r="U176" s="33">
        <f>ROUND(MIN(MAX(0,N('Your debts'!$E$15)),K176),2)</f>
      </c>
      <c r="V176" s="33">
        <f>ROUND(B176-L176,2)</f>
      </c>
      <c r="W176" s="33">
        <f>ROUND(C176-M176,2)</f>
      </c>
      <c r="X176" s="33">
        <f>ROUND(D176-N176,2)</f>
      </c>
      <c r="Y176" s="33">
        <f>ROUND(E176-O176,2)</f>
      </c>
      <c r="Z176" s="33">
        <f>ROUND(F176-P176,2)</f>
      </c>
      <c r="AA176" s="33">
        <f>ROUND(G176-Q176,2)</f>
      </c>
      <c r="AB176" s="33">
        <f>ROUND(H176-R176,2)</f>
      </c>
      <c r="AC176" s="33">
        <f>ROUND(I176-S176,2)</f>
      </c>
      <c r="AD176" s="33">
        <f>ROUND(J176-T176,2)</f>
      </c>
      <c r="AE176" s="33">
        <f>ROUND(K176-U176,2)</f>
      </c>
      <c r="AF176" s="33">
        <f>IF(V176&lt;=0,0,MAX(0,MIN(V176,ROUND($AZ176-SUMPRODUCT($V176:$AE176*($V176:$AE176&gt;0)*(($V176:$AE176&lt;V176)+($V176:$AE176=V176)*($V$3:$AE$3&gt;V$3)+($V176:$AE176=V176)*($V$3:$AE$3=V$3)*($V$2:$AE$2&lt;V$2))),2))))</f>
      </c>
      <c r="AG176" s="33">
        <f>IF(W176&lt;=0,0,MAX(0,MIN(W176,ROUND($AZ176-SUMPRODUCT($V176:$AE176*($V176:$AE176&gt;0)*(($V176:$AE176&lt;W176)+($V176:$AE176=W176)*($V$3:$AE$3&gt;W$3)+($V176:$AE176=W176)*($V$3:$AE$3=W$3)*($V$2:$AE$2&lt;W$2))),2))))</f>
      </c>
      <c r="AH176" s="33">
        <f>IF(X176&lt;=0,0,MAX(0,MIN(X176,ROUND($AZ176-SUMPRODUCT($V176:$AE176*($V176:$AE176&gt;0)*(($V176:$AE176&lt;X176)+($V176:$AE176=X176)*($V$3:$AE$3&gt;X$3)+($V176:$AE176=X176)*($V$3:$AE$3=X$3)*($V$2:$AE$2&lt;X$2))),2))))</f>
      </c>
      <c r="AI176" s="33">
        <f>IF(Y176&lt;=0,0,MAX(0,MIN(Y176,ROUND($AZ176-SUMPRODUCT($V176:$AE176*($V176:$AE176&gt;0)*(($V176:$AE176&lt;Y176)+($V176:$AE176=Y176)*($V$3:$AE$3&gt;Y$3)+($V176:$AE176=Y176)*($V$3:$AE$3=Y$3)*($V$2:$AE$2&lt;Y$2))),2))))</f>
      </c>
      <c r="AJ176" s="33">
        <f>IF(Z176&lt;=0,0,MAX(0,MIN(Z176,ROUND($AZ176-SUMPRODUCT($V176:$AE176*($V176:$AE176&gt;0)*(($V176:$AE176&lt;Z176)+($V176:$AE176=Z176)*($V$3:$AE$3&gt;Z$3)+($V176:$AE176=Z176)*($V$3:$AE$3=Z$3)*($V$2:$AE$2&lt;Z$2))),2))))</f>
      </c>
      <c r="AK176" s="33">
        <f>IF(AA176&lt;=0,0,MAX(0,MIN(AA176,ROUND($AZ176-SUMPRODUCT($V176:$AE176*($V176:$AE176&gt;0)*(($V176:$AE176&lt;AA176)+($V176:$AE176=AA176)*($V$3:$AE$3&gt;AA$3)+($V176:$AE176=AA176)*($V$3:$AE$3=AA$3)*($V$2:$AE$2&lt;AA$2))),2))))</f>
      </c>
      <c r="AL176" s="33">
        <f>IF(AB176&lt;=0,0,MAX(0,MIN(AB176,ROUND($AZ176-SUMPRODUCT($V176:$AE176*($V176:$AE176&gt;0)*(($V176:$AE176&lt;AB176)+($V176:$AE176=AB176)*($V$3:$AE$3&gt;AB$3)+($V176:$AE176=AB176)*($V$3:$AE$3=AB$3)*($V$2:$AE$2&lt;AB$2))),2))))</f>
      </c>
      <c r="AM176" s="33">
        <f>IF(AC176&lt;=0,0,MAX(0,MIN(AC176,ROUND($AZ176-SUMPRODUCT($V176:$AE176*($V176:$AE176&gt;0)*(($V176:$AE176&lt;AC176)+($V176:$AE176=AC176)*($V$3:$AE$3&gt;AC$3)+($V176:$AE176=AC176)*($V$3:$AE$3=AC$3)*($V$2:$AE$2&lt;AC$2))),2))))</f>
      </c>
      <c r="AN176" s="33">
        <f>IF(AD176&lt;=0,0,MAX(0,MIN(AD176,ROUND($AZ176-SUMPRODUCT($V176:$AE176*($V176:$AE176&gt;0)*(($V176:$AE176&lt;AD176)+($V176:$AE176=AD176)*($V$3:$AE$3&gt;AD$3)+($V176:$AE176=AD176)*($V$3:$AE$3=AD$3)*($V$2:$AE$2&lt;AD$2))),2))))</f>
      </c>
      <c r="AO176" s="33">
        <f>IF(AE176&lt;=0,0,MAX(0,MIN(AE176,ROUND($AZ176-SUMPRODUCT($V176:$AE176*($V176:$AE176&gt;0)*(($V176:$AE176&lt;AE176)+($V176:$AE176=AE176)*($V$3:$AE$3&gt;AE$3)+($V176:$AE176=AE176)*($V$3:$AE$3=AE$3)*($V$2:$AE$2&lt;AE$2))),2))))</f>
      </c>
      <c r="AP176" s="33">
        <f>ROUND(V176-AF176,2)</f>
      </c>
      <c r="AQ176" s="33">
        <f>ROUND(W176-AG176,2)</f>
      </c>
      <c r="AR176" s="33">
        <f>ROUND(X176-AH176,2)</f>
      </c>
      <c r="AS176" s="33">
        <f>ROUND(Y176-AI176,2)</f>
      </c>
      <c r="AT176" s="33">
        <f>ROUND(Z176-AJ176,2)</f>
      </c>
      <c r="AU176" s="33">
        <f>ROUND(AA176-AK176,2)</f>
      </c>
      <c r="AV176" s="33">
        <f>ROUND(AB176-AL176,2)</f>
      </c>
      <c r="AW176" s="33">
        <f>ROUND(AC176-AM176,2)</f>
      </c>
      <c r="AX176" s="33">
        <f>ROUND(AD176-AN176,2)</f>
      </c>
      <c r="AY176" s="33">
        <f>ROUND(AE176-AO176,2)</f>
      </c>
      <c r="AZ176" s="33">
        <f>ROUND(MAX(0,'Your debts'!$D$22-SUM($L176:$U176)),2)</f>
      </c>
      <c r="BA176" s="33">
        <f>ROUND(SUM($B176:$K176)-SUM($AP175:$AY175),2)</f>
      </c>
      <c r="BB176" s="33">
        <f>SUM($AP176:$AY176)</f>
      </c>
      <c r="BC176" s="33">
        <f>ROUND(SUM($L176:$U176)+SUM($AF176:$AO176),2)</f>
      </c>
    </row>
    <row r="177" spans="1:55" x14ac:dyDescent="0.25">
      <c r="A177">
        <v>170</v>
      </c>
      <c r="B177" s="33">
        <f>IF(AP176&lt;=0,0,ROUND(AP176+ROUND(AP176*V$3/12,2),2))</f>
      </c>
      <c r="C177" s="33">
        <f>IF(AQ176&lt;=0,0,ROUND(AQ176+ROUND(AQ176*W$3/12,2),2))</f>
      </c>
      <c r="D177" s="33">
        <f>IF(AR176&lt;=0,0,ROUND(AR176+ROUND(AR176*X$3/12,2),2))</f>
      </c>
      <c r="E177" s="33">
        <f>IF(AS176&lt;=0,0,ROUND(AS176+ROUND(AS176*Y$3/12,2),2))</f>
      </c>
      <c r="F177" s="33">
        <f>IF(AT176&lt;=0,0,ROUND(AT176+ROUND(AT176*Z$3/12,2),2))</f>
      </c>
      <c r="G177" s="33">
        <f>IF(AU176&lt;=0,0,ROUND(AU176+ROUND(AU176*AA$3/12,2),2))</f>
      </c>
      <c r="H177" s="33">
        <f>IF(AV176&lt;=0,0,ROUND(AV176+ROUND(AV176*AB$3/12,2),2))</f>
      </c>
      <c r="I177" s="33">
        <f>IF(AW176&lt;=0,0,ROUND(AW176+ROUND(AW176*AC$3/12,2),2))</f>
      </c>
      <c r="J177" s="33">
        <f>IF(AX176&lt;=0,0,ROUND(AX176+ROUND(AX176*AD$3/12,2),2))</f>
      </c>
      <c r="K177" s="33">
        <f>IF(AY176&lt;=0,0,ROUND(AY176+ROUND(AY176*AE$3/12,2),2))</f>
      </c>
      <c r="L177" s="33">
        <f>ROUND(MIN(MAX(0,N('Your debts'!$E$6)),B177),2)</f>
      </c>
      <c r="M177" s="33">
        <f>ROUND(MIN(MAX(0,N('Your debts'!$E$7)),C177),2)</f>
      </c>
      <c r="N177" s="33">
        <f>ROUND(MIN(MAX(0,N('Your debts'!$E$8)),D177),2)</f>
      </c>
      <c r="O177" s="33">
        <f>ROUND(MIN(MAX(0,N('Your debts'!$E$9)),E177),2)</f>
      </c>
      <c r="P177" s="33">
        <f>ROUND(MIN(MAX(0,N('Your debts'!$E$10)),F177),2)</f>
      </c>
      <c r="Q177" s="33">
        <f>ROUND(MIN(MAX(0,N('Your debts'!$E$11)),G177),2)</f>
      </c>
      <c r="R177" s="33">
        <f>ROUND(MIN(MAX(0,N('Your debts'!$E$12)),H177),2)</f>
      </c>
      <c r="S177" s="33">
        <f>ROUND(MIN(MAX(0,N('Your debts'!$E$13)),I177),2)</f>
      </c>
      <c r="T177" s="33">
        <f>ROUND(MIN(MAX(0,N('Your debts'!$E$14)),J177),2)</f>
      </c>
      <c r="U177" s="33">
        <f>ROUND(MIN(MAX(0,N('Your debts'!$E$15)),K177),2)</f>
      </c>
      <c r="V177" s="33">
        <f>ROUND(B177-L177,2)</f>
      </c>
      <c r="W177" s="33">
        <f>ROUND(C177-M177,2)</f>
      </c>
      <c r="X177" s="33">
        <f>ROUND(D177-N177,2)</f>
      </c>
      <c r="Y177" s="33">
        <f>ROUND(E177-O177,2)</f>
      </c>
      <c r="Z177" s="33">
        <f>ROUND(F177-P177,2)</f>
      </c>
      <c r="AA177" s="33">
        <f>ROUND(G177-Q177,2)</f>
      </c>
      <c r="AB177" s="33">
        <f>ROUND(H177-R177,2)</f>
      </c>
      <c r="AC177" s="33">
        <f>ROUND(I177-S177,2)</f>
      </c>
      <c r="AD177" s="33">
        <f>ROUND(J177-T177,2)</f>
      </c>
      <c r="AE177" s="33">
        <f>ROUND(K177-U177,2)</f>
      </c>
      <c r="AF177" s="33">
        <f>IF(V177&lt;=0,0,MAX(0,MIN(V177,ROUND($AZ177-SUMPRODUCT($V177:$AE177*($V177:$AE177&gt;0)*(($V177:$AE177&lt;V177)+($V177:$AE177=V177)*($V$3:$AE$3&gt;V$3)+($V177:$AE177=V177)*($V$3:$AE$3=V$3)*($V$2:$AE$2&lt;V$2))),2))))</f>
      </c>
      <c r="AG177" s="33">
        <f>IF(W177&lt;=0,0,MAX(0,MIN(W177,ROUND($AZ177-SUMPRODUCT($V177:$AE177*($V177:$AE177&gt;0)*(($V177:$AE177&lt;W177)+($V177:$AE177=W177)*($V$3:$AE$3&gt;W$3)+($V177:$AE177=W177)*($V$3:$AE$3=W$3)*($V$2:$AE$2&lt;W$2))),2))))</f>
      </c>
      <c r="AH177" s="33">
        <f>IF(X177&lt;=0,0,MAX(0,MIN(X177,ROUND($AZ177-SUMPRODUCT($V177:$AE177*($V177:$AE177&gt;0)*(($V177:$AE177&lt;X177)+($V177:$AE177=X177)*($V$3:$AE$3&gt;X$3)+($V177:$AE177=X177)*($V$3:$AE$3=X$3)*($V$2:$AE$2&lt;X$2))),2))))</f>
      </c>
      <c r="AI177" s="33">
        <f>IF(Y177&lt;=0,0,MAX(0,MIN(Y177,ROUND($AZ177-SUMPRODUCT($V177:$AE177*($V177:$AE177&gt;0)*(($V177:$AE177&lt;Y177)+($V177:$AE177=Y177)*($V$3:$AE$3&gt;Y$3)+($V177:$AE177=Y177)*($V$3:$AE$3=Y$3)*($V$2:$AE$2&lt;Y$2))),2))))</f>
      </c>
      <c r="AJ177" s="33">
        <f>IF(Z177&lt;=0,0,MAX(0,MIN(Z177,ROUND($AZ177-SUMPRODUCT($V177:$AE177*($V177:$AE177&gt;0)*(($V177:$AE177&lt;Z177)+($V177:$AE177=Z177)*($V$3:$AE$3&gt;Z$3)+($V177:$AE177=Z177)*($V$3:$AE$3=Z$3)*($V$2:$AE$2&lt;Z$2))),2))))</f>
      </c>
      <c r="AK177" s="33">
        <f>IF(AA177&lt;=0,0,MAX(0,MIN(AA177,ROUND($AZ177-SUMPRODUCT($V177:$AE177*($V177:$AE177&gt;0)*(($V177:$AE177&lt;AA177)+($V177:$AE177=AA177)*($V$3:$AE$3&gt;AA$3)+($V177:$AE177=AA177)*($V$3:$AE$3=AA$3)*($V$2:$AE$2&lt;AA$2))),2))))</f>
      </c>
      <c r="AL177" s="33">
        <f>IF(AB177&lt;=0,0,MAX(0,MIN(AB177,ROUND($AZ177-SUMPRODUCT($V177:$AE177*($V177:$AE177&gt;0)*(($V177:$AE177&lt;AB177)+($V177:$AE177=AB177)*($V$3:$AE$3&gt;AB$3)+($V177:$AE177=AB177)*($V$3:$AE$3=AB$3)*($V$2:$AE$2&lt;AB$2))),2))))</f>
      </c>
      <c r="AM177" s="33">
        <f>IF(AC177&lt;=0,0,MAX(0,MIN(AC177,ROUND($AZ177-SUMPRODUCT($V177:$AE177*($V177:$AE177&gt;0)*(($V177:$AE177&lt;AC177)+($V177:$AE177=AC177)*($V$3:$AE$3&gt;AC$3)+($V177:$AE177=AC177)*($V$3:$AE$3=AC$3)*($V$2:$AE$2&lt;AC$2))),2))))</f>
      </c>
      <c r="AN177" s="33">
        <f>IF(AD177&lt;=0,0,MAX(0,MIN(AD177,ROUND($AZ177-SUMPRODUCT($V177:$AE177*($V177:$AE177&gt;0)*(($V177:$AE177&lt;AD177)+($V177:$AE177=AD177)*($V$3:$AE$3&gt;AD$3)+($V177:$AE177=AD177)*($V$3:$AE$3=AD$3)*($V$2:$AE$2&lt;AD$2))),2))))</f>
      </c>
      <c r="AO177" s="33">
        <f>IF(AE177&lt;=0,0,MAX(0,MIN(AE177,ROUND($AZ177-SUMPRODUCT($V177:$AE177*($V177:$AE177&gt;0)*(($V177:$AE177&lt;AE177)+($V177:$AE177=AE177)*($V$3:$AE$3&gt;AE$3)+($V177:$AE177=AE177)*($V$3:$AE$3=AE$3)*($V$2:$AE$2&lt;AE$2))),2))))</f>
      </c>
      <c r="AP177" s="33">
        <f>ROUND(V177-AF177,2)</f>
      </c>
      <c r="AQ177" s="33">
        <f>ROUND(W177-AG177,2)</f>
      </c>
      <c r="AR177" s="33">
        <f>ROUND(X177-AH177,2)</f>
      </c>
      <c r="AS177" s="33">
        <f>ROUND(Y177-AI177,2)</f>
      </c>
      <c r="AT177" s="33">
        <f>ROUND(Z177-AJ177,2)</f>
      </c>
      <c r="AU177" s="33">
        <f>ROUND(AA177-AK177,2)</f>
      </c>
      <c r="AV177" s="33">
        <f>ROUND(AB177-AL177,2)</f>
      </c>
      <c r="AW177" s="33">
        <f>ROUND(AC177-AM177,2)</f>
      </c>
      <c r="AX177" s="33">
        <f>ROUND(AD177-AN177,2)</f>
      </c>
      <c r="AY177" s="33">
        <f>ROUND(AE177-AO177,2)</f>
      </c>
      <c r="AZ177" s="33">
        <f>ROUND(MAX(0,'Your debts'!$D$22-SUM($L177:$U177)),2)</f>
      </c>
      <c r="BA177" s="33">
        <f>ROUND(SUM($B177:$K177)-SUM($AP176:$AY176),2)</f>
      </c>
      <c r="BB177" s="33">
        <f>SUM($AP177:$AY177)</f>
      </c>
      <c r="BC177" s="33">
        <f>ROUND(SUM($L177:$U177)+SUM($AF177:$AO177),2)</f>
      </c>
    </row>
    <row r="178" spans="1:55" x14ac:dyDescent="0.25">
      <c r="A178">
        <v>171</v>
      </c>
      <c r="B178" s="33">
        <f>IF(AP177&lt;=0,0,ROUND(AP177+ROUND(AP177*V$3/12,2),2))</f>
      </c>
      <c r="C178" s="33">
        <f>IF(AQ177&lt;=0,0,ROUND(AQ177+ROUND(AQ177*W$3/12,2),2))</f>
      </c>
      <c r="D178" s="33">
        <f>IF(AR177&lt;=0,0,ROUND(AR177+ROUND(AR177*X$3/12,2),2))</f>
      </c>
      <c r="E178" s="33">
        <f>IF(AS177&lt;=0,0,ROUND(AS177+ROUND(AS177*Y$3/12,2),2))</f>
      </c>
      <c r="F178" s="33">
        <f>IF(AT177&lt;=0,0,ROUND(AT177+ROUND(AT177*Z$3/12,2),2))</f>
      </c>
      <c r="G178" s="33">
        <f>IF(AU177&lt;=0,0,ROUND(AU177+ROUND(AU177*AA$3/12,2),2))</f>
      </c>
      <c r="H178" s="33">
        <f>IF(AV177&lt;=0,0,ROUND(AV177+ROUND(AV177*AB$3/12,2),2))</f>
      </c>
      <c r="I178" s="33">
        <f>IF(AW177&lt;=0,0,ROUND(AW177+ROUND(AW177*AC$3/12,2),2))</f>
      </c>
      <c r="J178" s="33">
        <f>IF(AX177&lt;=0,0,ROUND(AX177+ROUND(AX177*AD$3/12,2),2))</f>
      </c>
      <c r="K178" s="33">
        <f>IF(AY177&lt;=0,0,ROUND(AY177+ROUND(AY177*AE$3/12,2),2))</f>
      </c>
      <c r="L178" s="33">
        <f>ROUND(MIN(MAX(0,N('Your debts'!$E$6)),B178),2)</f>
      </c>
      <c r="M178" s="33">
        <f>ROUND(MIN(MAX(0,N('Your debts'!$E$7)),C178),2)</f>
      </c>
      <c r="N178" s="33">
        <f>ROUND(MIN(MAX(0,N('Your debts'!$E$8)),D178),2)</f>
      </c>
      <c r="O178" s="33">
        <f>ROUND(MIN(MAX(0,N('Your debts'!$E$9)),E178),2)</f>
      </c>
      <c r="P178" s="33">
        <f>ROUND(MIN(MAX(0,N('Your debts'!$E$10)),F178),2)</f>
      </c>
      <c r="Q178" s="33">
        <f>ROUND(MIN(MAX(0,N('Your debts'!$E$11)),G178),2)</f>
      </c>
      <c r="R178" s="33">
        <f>ROUND(MIN(MAX(0,N('Your debts'!$E$12)),H178),2)</f>
      </c>
      <c r="S178" s="33">
        <f>ROUND(MIN(MAX(0,N('Your debts'!$E$13)),I178),2)</f>
      </c>
      <c r="T178" s="33">
        <f>ROUND(MIN(MAX(0,N('Your debts'!$E$14)),J178),2)</f>
      </c>
      <c r="U178" s="33">
        <f>ROUND(MIN(MAX(0,N('Your debts'!$E$15)),K178),2)</f>
      </c>
      <c r="V178" s="33">
        <f>ROUND(B178-L178,2)</f>
      </c>
      <c r="W178" s="33">
        <f>ROUND(C178-M178,2)</f>
      </c>
      <c r="X178" s="33">
        <f>ROUND(D178-N178,2)</f>
      </c>
      <c r="Y178" s="33">
        <f>ROUND(E178-O178,2)</f>
      </c>
      <c r="Z178" s="33">
        <f>ROUND(F178-P178,2)</f>
      </c>
      <c r="AA178" s="33">
        <f>ROUND(G178-Q178,2)</f>
      </c>
      <c r="AB178" s="33">
        <f>ROUND(H178-R178,2)</f>
      </c>
      <c r="AC178" s="33">
        <f>ROUND(I178-S178,2)</f>
      </c>
      <c r="AD178" s="33">
        <f>ROUND(J178-T178,2)</f>
      </c>
      <c r="AE178" s="33">
        <f>ROUND(K178-U178,2)</f>
      </c>
      <c r="AF178" s="33">
        <f>IF(V178&lt;=0,0,MAX(0,MIN(V178,ROUND($AZ178-SUMPRODUCT($V178:$AE178*($V178:$AE178&gt;0)*(($V178:$AE178&lt;V178)+($V178:$AE178=V178)*($V$3:$AE$3&gt;V$3)+($V178:$AE178=V178)*($V$3:$AE$3=V$3)*($V$2:$AE$2&lt;V$2))),2))))</f>
      </c>
      <c r="AG178" s="33">
        <f>IF(W178&lt;=0,0,MAX(0,MIN(W178,ROUND($AZ178-SUMPRODUCT($V178:$AE178*($V178:$AE178&gt;0)*(($V178:$AE178&lt;W178)+($V178:$AE178=W178)*($V$3:$AE$3&gt;W$3)+($V178:$AE178=W178)*($V$3:$AE$3=W$3)*($V$2:$AE$2&lt;W$2))),2))))</f>
      </c>
      <c r="AH178" s="33">
        <f>IF(X178&lt;=0,0,MAX(0,MIN(X178,ROUND($AZ178-SUMPRODUCT($V178:$AE178*($V178:$AE178&gt;0)*(($V178:$AE178&lt;X178)+($V178:$AE178=X178)*($V$3:$AE$3&gt;X$3)+($V178:$AE178=X178)*($V$3:$AE$3=X$3)*($V$2:$AE$2&lt;X$2))),2))))</f>
      </c>
      <c r="AI178" s="33">
        <f>IF(Y178&lt;=0,0,MAX(0,MIN(Y178,ROUND($AZ178-SUMPRODUCT($V178:$AE178*($V178:$AE178&gt;0)*(($V178:$AE178&lt;Y178)+($V178:$AE178=Y178)*($V$3:$AE$3&gt;Y$3)+($V178:$AE178=Y178)*($V$3:$AE$3=Y$3)*($V$2:$AE$2&lt;Y$2))),2))))</f>
      </c>
      <c r="AJ178" s="33">
        <f>IF(Z178&lt;=0,0,MAX(0,MIN(Z178,ROUND($AZ178-SUMPRODUCT($V178:$AE178*($V178:$AE178&gt;0)*(($V178:$AE178&lt;Z178)+($V178:$AE178=Z178)*($V$3:$AE$3&gt;Z$3)+($V178:$AE178=Z178)*($V$3:$AE$3=Z$3)*($V$2:$AE$2&lt;Z$2))),2))))</f>
      </c>
      <c r="AK178" s="33">
        <f>IF(AA178&lt;=0,0,MAX(0,MIN(AA178,ROUND($AZ178-SUMPRODUCT($V178:$AE178*($V178:$AE178&gt;0)*(($V178:$AE178&lt;AA178)+($V178:$AE178=AA178)*($V$3:$AE$3&gt;AA$3)+($V178:$AE178=AA178)*($V$3:$AE$3=AA$3)*($V$2:$AE$2&lt;AA$2))),2))))</f>
      </c>
      <c r="AL178" s="33">
        <f>IF(AB178&lt;=0,0,MAX(0,MIN(AB178,ROUND($AZ178-SUMPRODUCT($V178:$AE178*($V178:$AE178&gt;0)*(($V178:$AE178&lt;AB178)+($V178:$AE178=AB178)*($V$3:$AE$3&gt;AB$3)+($V178:$AE178=AB178)*($V$3:$AE$3=AB$3)*($V$2:$AE$2&lt;AB$2))),2))))</f>
      </c>
      <c r="AM178" s="33">
        <f>IF(AC178&lt;=0,0,MAX(0,MIN(AC178,ROUND($AZ178-SUMPRODUCT($V178:$AE178*($V178:$AE178&gt;0)*(($V178:$AE178&lt;AC178)+($V178:$AE178=AC178)*($V$3:$AE$3&gt;AC$3)+($V178:$AE178=AC178)*($V$3:$AE$3=AC$3)*($V$2:$AE$2&lt;AC$2))),2))))</f>
      </c>
      <c r="AN178" s="33">
        <f>IF(AD178&lt;=0,0,MAX(0,MIN(AD178,ROUND($AZ178-SUMPRODUCT($V178:$AE178*($V178:$AE178&gt;0)*(($V178:$AE178&lt;AD178)+($V178:$AE178=AD178)*($V$3:$AE$3&gt;AD$3)+($V178:$AE178=AD178)*($V$3:$AE$3=AD$3)*($V$2:$AE$2&lt;AD$2))),2))))</f>
      </c>
      <c r="AO178" s="33">
        <f>IF(AE178&lt;=0,0,MAX(0,MIN(AE178,ROUND($AZ178-SUMPRODUCT($V178:$AE178*($V178:$AE178&gt;0)*(($V178:$AE178&lt;AE178)+($V178:$AE178=AE178)*($V$3:$AE$3&gt;AE$3)+($V178:$AE178=AE178)*($V$3:$AE$3=AE$3)*($V$2:$AE$2&lt;AE$2))),2))))</f>
      </c>
      <c r="AP178" s="33">
        <f>ROUND(V178-AF178,2)</f>
      </c>
      <c r="AQ178" s="33">
        <f>ROUND(W178-AG178,2)</f>
      </c>
      <c r="AR178" s="33">
        <f>ROUND(X178-AH178,2)</f>
      </c>
      <c r="AS178" s="33">
        <f>ROUND(Y178-AI178,2)</f>
      </c>
      <c r="AT178" s="33">
        <f>ROUND(Z178-AJ178,2)</f>
      </c>
      <c r="AU178" s="33">
        <f>ROUND(AA178-AK178,2)</f>
      </c>
      <c r="AV178" s="33">
        <f>ROUND(AB178-AL178,2)</f>
      </c>
      <c r="AW178" s="33">
        <f>ROUND(AC178-AM178,2)</f>
      </c>
      <c r="AX178" s="33">
        <f>ROUND(AD178-AN178,2)</f>
      </c>
      <c r="AY178" s="33">
        <f>ROUND(AE178-AO178,2)</f>
      </c>
      <c r="AZ178" s="33">
        <f>ROUND(MAX(0,'Your debts'!$D$22-SUM($L178:$U178)),2)</f>
      </c>
      <c r="BA178" s="33">
        <f>ROUND(SUM($B178:$K178)-SUM($AP177:$AY177),2)</f>
      </c>
      <c r="BB178" s="33">
        <f>SUM($AP178:$AY178)</f>
      </c>
      <c r="BC178" s="33">
        <f>ROUND(SUM($L178:$U178)+SUM($AF178:$AO178),2)</f>
      </c>
    </row>
    <row r="179" spans="1:55" x14ac:dyDescent="0.25">
      <c r="A179">
        <v>172</v>
      </c>
      <c r="B179" s="33">
        <f>IF(AP178&lt;=0,0,ROUND(AP178+ROUND(AP178*V$3/12,2),2))</f>
      </c>
      <c r="C179" s="33">
        <f>IF(AQ178&lt;=0,0,ROUND(AQ178+ROUND(AQ178*W$3/12,2),2))</f>
      </c>
      <c r="D179" s="33">
        <f>IF(AR178&lt;=0,0,ROUND(AR178+ROUND(AR178*X$3/12,2),2))</f>
      </c>
      <c r="E179" s="33">
        <f>IF(AS178&lt;=0,0,ROUND(AS178+ROUND(AS178*Y$3/12,2),2))</f>
      </c>
      <c r="F179" s="33">
        <f>IF(AT178&lt;=0,0,ROUND(AT178+ROUND(AT178*Z$3/12,2),2))</f>
      </c>
      <c r="G179" s="33">
        <f>IF(AU178&lt;=0,0,ROUND(AU178+ROUND(AU178*AA$3/12,2),2))</f>
      </c>
      <c r="H179" s="33">
        <f>IF(AV178&lt;=0,0,ROUND(AV178+ROUND(AV178*AB$3/12,2),2))</f>
      </c>
      <c r="I179" s="33">
        <f>IF(AW178&lt;=0,0,ROUND(AW178+ROUND(AW178*AC$3/12,2),2))</f>
      </c>
      <c r="J179" s="33">
        <f>IF(AX178&lt;=0,0,ROUND(AX178+ROUND(AX178*AD$3/12,2),2))</f>
      </c>
      <c r="K179" s="33">
        <f>IF(AY178&lt;=0,0,ROUND(AY178+ROUND(AY178*AE$3/12,2),2))</f>
      </c>
      <c r="L179" s="33">
        <f>ROUND(MIN(MAX(0,N('Your debts'!$E$6)),B179),2)</f>
      </c>
      <c r="M179" s="33">
        <f>ROUND(MIN(MAX(0,N('Your debts'!$E$7)),C179),2)</f>
      </c>
      <c r="N179" s="33">
        <f>ROUND(MIN(MAX(0,N('Your debts'!$E$8)),D179),2)</f>
      </c>
      <c r="O179" s="33">
        <f>ROUND(MIN(MAX(0,N('Your debts'!$E$9)),E179),2)</f>
      </c>
      <c r="P179" s="33">
        <f>ROUND(MIN(MAX(0,N('Your debts'!$E$10)),F179),2)</f>
      </c>
      <c r="Q179" s="33">
        <f>ROUND(MIN(MAX(0,N('Your debts'!$E$11)),G179),2)</f>
      </c>
      <c r="R179" s="33">
        <f>ROUND(MIN(MAX(0,N('Your debts'!$E$12)),H179),2)</f>
      </c>
      <c r="S179" s="33">
        <f>ROUND(MIN(MAX(0,N('Your debts'!$E$13)),I179),2)</f>
      </c>
      <c r="T179" s="33">
        <f>ROUND(MIN(MAX(0,N('Your debts'!$E$14)),J179),2)</f>
      </c>
      <c r="U179" s="33">
        <f>ROUND(MIN(MAX(0,N('Your debts'!$E$15)),K179),2)</f>
      </c>
      <c r="V179" s="33">
        <f>ROUND(B179-L179,2)</f>
      </c>
      <c r="W179" s="33">
        <f>ROUND(C179-M179,2)</f>
      </c>
      <c r="X179" s="33">
        <f>ROUND(D179-N179,2)</f>
      </c>
      <c r="Y179" s="33">
        <f>ROUND(E179-O179,2)</f>
      </c>
      <c r="Z179" s="33">
        <f>ROUND(F179-P179,2)</f>
      </c>
      <c r="AA179" s="33">
        <f>ROUND(G179-Q179,2)</f>
      </c>
      <c r="AB179" s="33">
        <f>ROUND(H179-R179,2)</f>
      </c>
      <c r="AC179" s="33">
        <f>ROUND(I179-S179,2)</f>
      </c>
      <c r="AD179" s="33">
        <f>ROUND(J179-T179,2)</f>
      </c>
      <c r="AE179" s="33">
        <f>ROUND(K179-U179,2)</f>
      </c>
      <c r="AF179" s="33">
        <f>IF(V179&lt;=0,0,MAX(0,MIN(V179,ROUND($AZ179-SUMPRODUCT($V179:$AE179*($V179:$AE179&gt;0)*(($V179:$AE179&lt;V179)+($V179:$AE179=V179)*($V$3:$AE$3&gt;V$3)+($V179:$AE179=V179)*($V$3:$AE$3=V$3)*($V$2:$AE$2&lt;V$2))),2))))</f>
      </c>
      <c r="AG179" s="33">
        <f>IF(W179&lt;=0,0,MAX(0,MIN(W179,ROUND($AZ179-SUMPRODUCT($V179:$AE179*($V179:$AE179&gt;0)*(($V179:$AE179&lt;W179)+($V179:$AE179=W179)*($V$3:$AE$3&gt;W$3)+($V179:$AE179=W179)*($V$3:$AE$3=W$3)*($V$2:$AE$2&lt;W$2))),2))))</f>
      </c>
      <c r="AH179" s="33">
        <f>IF(X179&lt;=0,0,MAX(0,MIN(X179,ROUND($AZ179-SUMPRODUCT($V179:$AE179*($V179:$AE179&gt;0)*(($V179:$AE179&lt;X179)+($V179:$AE179=X179)*($V$3:$AE$3&gt;X$3)+($V179:$AE179=X179)*($V$3:$AE$3=X$3)*($V$2:$AE$2&lt;X$2))),2))))</f>
      </c>
      <c r="AI179" s="33">
        <f>IF(Y179&lt;=0,0,MAX(0,MIN(Y179,ROUND($AZ179-SUMPRODUCT($V179:$AE179*($V179:$AE179&gt;0)*(($V179:$AE179&lt;Y179)+($V179:$AE179=Y179)*($V$3:$AE$3&gt;Y$3)+($V179:$AE179=Y179)*($V$3:$AE$3=Y$3)*($V$2:$AE$2&lt;Y$2))),2))))</f>
      </c>
      <c r="AJ179" s="33">
        <f>IF(Z179&lt;=0,0,MAX(0,MIN(Z179,ROUND($AZ179-SUMPRODUCT($V179:$AE179*($V179:$AE179&gt;0)*(($V179:$AE179&lt;Z179)+($V179:$AE179=Z179)*($V$3:$AE$3&gt;Z$3)+($V179:$AE179=Z179)*($V$3:$AE$3=Z$3)*($V$2:$AE$2&lt;Z$2))),2))))</f>
      </c>
      <c r="AK179" s="33">
        <f>IF(AA179&lt;=0,0,MAX(0,MIN(AA179,ROUND($AZ179-SUMPRODUCT($V179:$AE179*($V179:$AE179&gt;0)*(($V179:$AE179&lt;AA179)+($V179:$AE179=AA179)*($V$3:$AE$3&gt;AA$3)+($V179:$AE179=AA179)*($V$3:$AE$3=AA$3)*($V$2:$AE$2&lt;AA$2))),2))))</f>
      </c>
      <c r="AL179" s="33">
        <f>IF(AB179&lt;=0,0,MAX(0,MIN(AB179,ROUND($AZ179-SUMPRODUCT($V179:$AE179*($V179:$AE179&gt;0)*(($V179:$AE179&lt;AB179)+($V179:$AE179=AB179)*($V$3:$AE$3&gt;AB$3)+($V179:$AE179=AB179)*($V$3:$AE$3=AB$3)*($V$2:$AE$2&lt;AB$2))),2))))</f>
      </c>
      <c r="AM179" s="33">
        <f>IF(AC179&lt;=0,0,MAX(0,MIN(AC179,ROUND($AZ179-SUMPRODUCT($V179:$AE179*($V179:$AE179&gt;0)*(($V179:$AE179&lt;AC179)+($V179:$AE179=AC179)*($V$3:$AE$3&gt;AC$3)+($V179:$AE179=AC179)*($V$3:$AE$3=AC$3)*($V$2:$AE$2&lt;AC$2))),2))))</f>
      </c>
      <c r="AN179" s="33">
        <f>IF(AD179&lt;=0,0,MAX(0,MIN(AD179,ROUND($AZ179-SUMPRODUCT($V179:$AE179*($V179:$AE179&gt;0)*(($V179:$AE179&lt;AD179)+($V179:$AE179=AD179)*($V$3:$AE$3&gt;AD$3)+($V179:$AE179=AD179)*($V$3:$AE$3=AD$3)*($V$2:$AE$2&lt;AD$2))),2))))</f>
      </c>
      <c r="AO179" s="33">
        <f>IF(AE179&lt;=0,0,MAX(0,MIN(AE179,ROUND($AZ179-SUMPRODUCT($V179:$AE179*($V179:$AE179&gt;0)*(($V179:$AE179&lt;AE179)+($V179:$AE179=AE179)*($V$3:$AE$3&gt;AE$3)+($V179:$AE179=AE179)*($V$3:$AE$3=AE$3)*($V$2:$AE$2&lt;AE$2))),2))))</f>
      </c>
      <c r="AP179" s="33">
        <f>ROUND(V179-AF179,2)</f>
      </c>
      <c r="AQ179" s="33">
        <f>ROUND(W179-AG179,2)</f>
      </c>
      <c r="AR179" s="33">
        <f>ROUND(X179-AH179,2)</f>
      </c>
      <c r="AS179" s="33">
        <f>ROUND(Y179-AI179,2)</f>
      </c>
      <c r="AT179" s="33">
        <f>ROUND(Z179-AJ179,2)</f>
      </c>
      <c r="AU179" s="33">
        <f>ROUND(AA179-AK179,2)</f>
      </c>
      <c r="AV179" s="33">
        <f>ROUND(AB179-AL179,2)</f>
      </c>
      <c r="AW179" s="33">
        <f>ROUND(AC179-AM179,2)</f>
      </c>
      <c r="AX179" s="33">
        <f>ROUND(AD179-AN179,2)</f>
      </c>
      <c r="AY179" s="33">
        <f>ROUND(AE179-AO179,2)</f>
      </c>
      <c r="AZ179" s="33">
        <f>ROUND(MAX(0,'Your debts'!$D$22-SUM($L179:$U179)),2)</f>
      </c>
      <c r="BA179" s="33">
        <f>ROUND(SUM($B179:$K179)-SUM($AP178:$AY178),2)</f>
      </c>
      <c r="BB179" s="33">
        <f>SUM($AP179:$AY179)</f>
      </c>
      <c r="BC179" s="33">
        <f>ROUND(SUM($L179:$U179)+SUM($AF179:$AO179),2)</f>
      </c>
    </row>
    <row r="180" spans="1:55" x14ac:dyDescent="0.25">
      <c r="A180">
        <v>173</v>
      </c>
      <c r="B180" s="33">
        <f>IF(AP179&lt;=0,0,ROUND(AP179+ROUND(AP179*V$3/12,2),2))</f>
      </c>
      <c r="C180" s="33">
        <f>IF(AQ179&lt;=0,0,ROUND(AQ179+ROUND(AQ179*W$3/12,2),2))</f>
      </c>
      <c r="D180" s="33">
        <f>IF(AR179&lt;=0,0,ROUND(AR179+ROUND(AR179*X$3/12,2),2))</f>
      </c>
      <c r="E180" s="33">
        <f>IF(AS179&lt;=0,0,ROUND(AS179+ROUND(AS179*Y$3/12,2),2))</f>
      </c>
      <c r="F180" s="33">
        <f>IF(AT179&lt;=0,0,ROUND(AT179+ROUND(AT179*Z$3/12,2),2))</f>
      </c>
      <c r="G180" s="33">
        <f>IF(AU179&lt;=0,0,ROUND(AU179+ROUND(AU179*AA$3/12,2),2))</f>
      </c>
      <c r="H180" s="33">
        <f>IF(AV179&lt;=0,0,ROUND(AV179+ROUND(AV179*AB$3/12,2),2))</f>
      </c>
      <c r="I180" s="33">
        <f>IF(AW179&lt;=0,0,ROUND(AW179+ROUND(AW179*AC$3/12,2),2))</f>
      </c>
      <c r="J180" s="33">
        <f>IF(AX179&lt;=0,0,ROUND(AX179+ROUND(AX179*AD$3/12,2),2))</f>
      </c>
      <c r="K180" s="33">
        <f>IF(AY179&lt;=0,0,ROUND(AY179+ROUND(AY179*AE$3/12,2),2))</f>
      </c>
      <c r="L180" s="33">
        <f>ROUND(MIN(MAX(0,N('Your debts'!$E$6)),B180),2)</f>
      </c>
      <c r="M180" s="33">
        <f>ROUND(MIN(MAX(0,N('Your debts'!$E$7)),C180),2)</f>
      </c>
      <c r="N180" s="33">
        <f>ROUND(MIN(MAX(0,N('Your debts'!$E$8)),D180),2)</f>
      </c>
      <c r="O180" s="33">
        <f>ROUND(MIN(MAX(0,N('Your debts'!$E$9)),E180),2)</f>
      </c>
      <c r="P180" s="33">
        <f>ROUND(MIN(MAX(0,N('Your debts'!$E$10)),F180),2)</f>
      </c>
      <c r="Q180" s="33">
        <f>ROUND(MIN(MAX(0,N('Your debts'!$E$11)),G180),2)</f>
      </c>
      <c r="R180" s="33">
        <f>ROUND(MIN(MAX(0,N('Your debts'!$E$12)),H180),2)</f>
      </c>
      <c r="S180" s="33">
        <f>ROUND(MIN(MAX(0,N('Your debts'!$E$13)),I180),2)</f>
      </c>
      <c r="T180" s="33">
        <f>ROUND(MIN(MAX(0,N('Your debts'!$E$14)),J180),2)</f>
      </c>
      <c r="U180" s="33">
        <f>ROUND(MIN(MAX(0,N('Your debts'!$E$15)),K180),2)</f>
      </c>
      <c r="V180" s="33">
        <f>ROUND(B180-L180,2)</f>
      </c>
      <c r="W180" s="33">
        <f>ROUND(C180-M180,2)</f>
      </c>
      <c r="X180" s="33">
        <f>ROUND(D180-N180,2)</f>
      </c>
      <c r="Y180" s="33">
        <f>ROUND(E180-O180,2)</f>
      </c>
      <c r="Z180" s="33">
        <f>ROUND(F180-P180,2)</f>
      </c>
      <c r="AA180" s="33">
        <f>ROUND(G180-Q180,2)</f>
      </c>
      <c r="AB180" s="33">
        <f>ROUND(H180-R180,2)</f>
      </c>
      <c r="AC180" s="33">
        <f>ROUND(I180-S180,2)</f>
      </c>
      <c r="AD180" s="33">
        <f>ROUND(J180-T180,2)</f>
      </c>
      <c r="AE180" s="33">
        <f>ROUND(K180-U180,2)</f>
      </c>
      <c r="AF180" s="33">
        <f>IF(V180&lt;=0,0,MAX(0,MIN(V180,ROUND($AZ180-SUMPRODUCT($V180:$AE180*($V180:$AE180&gt;0)*(($V180:$AE180&lt;V180)+($V180:$AE180=V180)*($V$3:$AE$3&gt;V$3)+($V180:$AE180=V180)*($V$3:$AE$3=V$3)*($V$2:$AE$2&lt;V$2))),2))))</f>
      </c>
      <c r="AG180" s="33">
        <f>IF(W180&lt;=0,0,MAX(0,MIN(W180,ROUND($AZ180-SUMPRODUCT($V180:$AE180*($V180:$AE180&gt;0)*(($V180:$AE180&lt;W180)+($V180:$AE180=W180)*($V$3:$AE$3&gt;W$3)+($V180:$AE180=W180)*($V$3:$AE$3=W$3)*($V$2:$AE$2&lt;W$2))),2))))</f>
      </c>
      <c r="AH180" s="33">
        <f>IF(X180&lt;=0,0,MAX(0,MIN(X180,ROUND($AZ180-SUMPRODUCT($V180:$AE180*($V180:$AE180&gt;0)*(($V180:$AE180&lt;X180)+($V180:$AE180=X180)*($V$3:$AE$3&gt;X$3)+($V180:$AE180=X180)*($V$3:$AE$3=X$3)*($V$2:$AE$2&lt;X$2))),2))))</f>
      </c>
      <c r="AI180" s="33">
        <f>IF(Y180&lt;=0,0,MAX(0,MIN(Y180,ROUND($AZ180-SUMPRODUCT($V180:$AE180*($V180:$AE180&gt;0)*(($V180:$AE180&lt;Y180)+($V180:$AE180=Y180)*($V$3:$AE$3&gt;Y$3)+($V180:$AE180=Y180)*($V$3:$AE$3=Y$3)*($V$2:$AE$2&lt;Y$2))),2))))</f>
      </c>
      <c r="AJ180" s="33">
        <f>IF(Z180&lt;=0,0,MAX(0,MIN(Z180,ROUND($AZ180-SUMPRODUCT($V180:$AE180*($V180:$AE180&gt;0)*(($V180:$AE180&lt;Z180)+($V180:$AE180=Z180)*($V$3:$AE$3&gt;Z$3)+($V180:$AE180=Z180)*($V$3:$AE$3=Z$3)*($V$2:$AE$2&lt;Z$2))),2))))</f>
      </c>
      <c r="AK180" s="33">
        <f>IF(AA180&lt;=0,0,MAX(0,MIN(AA180,ROUND($AZ180-SUMPRODUCT($V180:$AE180*($V180:$AE180&gt;0)*(($V180:$AE180&lt;AA180)+($V180:$AE180=AA180)*($V$3:$AE$3&gt;AA$3)+($V180:$AE180=AA180)*($V$3:$AE$3=AA$3)*($V$2:$AE$2&lt;AA$2))),2))))</f>
      </c>
      <c r="AL180" s="33">
        <f>IF(AB180&lt;=0,0,MAX(0,MIN(AB180,ROUND($AZ180-SUMPRODUCT($V180:$AE180*($V180:$AE180&gt;0)*(($V180:$AE180&lt;AB180)+($V180:$AE180=AB180)*($V$3:$AE$3&gt;AB$3)+($V180:$AE180=AB180)*($V$3:$AE$3=AB$3)*($V$2:$AE$2&lt;AB$2))),2))))</f>
      </c>
      <c r="AM180" s="33">
        <f>IF(AC180&lt;=0,0,MAX(0,MIN(AC180,ROUND($AZ180-SUMPRODUCT($V180:$AE180*($V180:$AE180&gt;0)*(($V180:$AE180&lt;AC180)+($V180:$AE180=AC180)*($V$3:$AE$3&gt;AC$3)+($V180:$AE180=AC180)*($V$3:$AE$3=AC$3)*($V$2:$AE$2&lt;AC$2))),2))))</f>
      </c>
      <c r="AN180" s="33">
        <f>IF(AD180&lt;=0,0,MAX(0,MIN(AD180,ROUND($AZ180-SUMPRODUCT($V180:$AE180*($V180:$AE180&gt;0)*(($V180:$AE180&lt;AD180)+($V180:$AE180=AD180)*($V$3:$AE$3&gt;AD$3)+($V180:$AE180=AD180)*($V$3:$AE$3=AD$3)*($V$2:$AE$2&lt;AD$2))),2))))</f>
      </c>
      <c r="AO180" s="33">
        <f>IF(AE180&lt;=0,0,MAX(0,MIN(AE180,ROUND($AZ180-SUMPRODUCT($V180:$AE180*($V180:$AE180&gt;0)*(($V180:$AE180&lt;AE180)+($V180:$AE180=AE180)*($V$3:$AE$3&gt;AE$3)+($V180:$AE180=AE180)*($V$3:$AE$3=AE$3)*($V$2:$AE$2&lt;AE$2))),2))))</f>
      </c>
      <c r="AP180" s="33">
        <f>ROUND(V180-AF180,2)</f>
      </c>
      <c r="AQ180" s="33">
        <f>ROUND(W180-AG180,2)</f>
      </c>
      <c r="AR180" s="33">
        <f>ROUND(X180-AH180,2)</f>
      </c>
      <c r="AS180" s="33">
        <f>ROUND(Y180-AI180,2)</f>
      </c>
      <c r="AT180" s="33">
        <f>ROUND(Z180-AJ180,2)</f>
      </c>
      <c r="AU180" s="33">
        <f>ROUND(AA180-AK180,2)</f>
      </c>
      <c r="AV180" s="33">
        <f>ROUND(AB180-AL180,2)</f>
      </c>
      <c r="AW180" s="33">
        <f>ROUND(AC180-AM180,2)</f>
      </c>
      <c r="AX180" s="33">
        <f>ROUND(AD180-AN180,2)</f>
      </c>
      <c r="AY180" s="33">
        <f>ROUND(AE180-AO180,2)</f>
      </c>
      <c r="AZ180" s="33">
        <f>ROUND(MAX(0,'Your debts'!$D$22-SUM($L180:$U180)),2)</f>
      </c>
      <c r="BA180" s="33">
        <f>ROUND(SUM($B180:$K180)-SUM($AP179:$AY179),2)</f>
      </c>
      <c r="BB180" s="33">
        <f>SUM($AP180:$AY180)</f>
      </c>
      <c r="BC180" s="33">
        <f>ROUND(SUM($L180:$U180)+SUM($AF180:$AO180),2)</f>
      </c>
    </row>
    <row r="181" spans="1:55" x14ac:dyDescent="0.25">
      <c r="A181">
        <v>174</v>
      </c>
      <c r="B181" s="33">
        <f>IF(AP180&lt;=0,0,ROUND(AP180+ROUND(AP180*V$3/12,2),2))</f>
      </c>
      <c r="C181" s="33">
        <f>IF(AQ180&lt;=0,0,ROUND(AQ180+ROUND(AQ180*W$3/12,2),2))</f>
      </c>
      <c r="D181" s="33">
        <f>IF(AR180&lt;=0,0,ROUND(AR180+ROUND(AR180*X$3/12,2),2))</f>
      </c>
      <c r="E181" s="33">
        <f>IF(AS180&lt;=0,0,ROUND(AS180+ROUND(AS180*Y$3/12,2),2))</f>
      </c>
      <c r="F181" s="33">
        <f>IF(AT180&lt;=0,0,ROUND(AT180+ROUND(AT180*Z$3/12,2),2))</f>
      </c>
      <c r="G181" s="33">
        <f>IF(AU180&lt;=0,0,ROUND(AU180+ROUND(AU180*AA$3/12,2),2))</f>
      </c>
      <c r="H181" s="33">
        <f>IF(AV180&lt;=0,0,ROUND(AV180+ROUND(AV180*AB$3/12,2),2))</f>
      </c>
      <c r="I181" s="33">
        <f>IF(AW180&lt;=0,0,ROUND(AW180+ROUND(AW180*AC$3/12,2),2))</f>
      </c>
      <c r="J181" s="33">
        <f>IF(AX180&lt;=0,0,ROUND(AX180+ROUND(AX180*AD$3/12,2),2))</f>
      </c>
      <c r="K181" s="33">
        <f>IF(AY180&lt;=0,0,ROUND(AY180+ROUND(AY180*AE$3/12,2),2))</f>
      </c>
      <c r="L181" s="33">
        <f>ROUND(MIN(MAX(0,N('Your debts'!$E$6)),B181),2)</f>
      </c>
      <c r="M181" s="33">
        <f>ROUND(MIN(MAX(0,N('Your debts'!$E$7)),C181),2)</f>
      </c>
      <c r="N181" s="33">
        <f>ROUND(MIN(MAX(0,N('Your debts'!$E$8)),D181),2)</f>
      </c>
      <c r="O181" s="33">
        <f>ROUND(MIN(MAX(0,N('Your debts'!$E$9)),E181),2)</f>
      </c>
      <c r="P181" s="33">
        <f>ROUND(MIN(MAX(0,N('Your debts'!$E$10)),F181),2)</f>
      </c>
      <c r="Q181" s="33">
        <f>ROUND(MIN(MAX(0,N('Your debts'!$E$11)),G181),2)</f>
      </c>
      <c r="R181" s="33">
        <f>ROUND(MIN(MAX(0,N('Your debts'!$E$12)),H181),2)</f>
      </c>
      <c r="S181" s="33">
        <f>ROUND(MIN(MAX(0,N('Your debts'!$E$13)),I181),2)</f>
      </c>
      <c r="T181" s="33">
        <f>ROUND(MIN(MAX(0,N('Your debts'!$E$14)),J181),2)</f>
      </c>
      <c r="U181" s="33">
        <f>ROUND(MIN(MAX(0,N('Your debts'!$E$15)),K181),2)</f>
      </c>
      <c r="V181" s="33">
        <f>ROUND(B181-L181,2)</f>
      </c>
      <c r="W181" s="33">
        <f>ROUND(C181-M181,2)</f>
      </c>
      <c r="X181" s="33">
        <f>ROUND(D181-N181,2)</f>
      </c>
      <c r="Y181" s="33">
        <f>ROUND(E181-O181,2)</f>
      </c>
      <c r="Z181" s="33">
        <f>ROUND(F181-P181,2)</f>
      </c>
      <c r="AA181" s="33">
        <f>ROUND(G181-Q181,2)</f>
      </c>
      <c r="AB181" s="33">
        <f>ROUND(H181-R181,2)</f>
      </c>
      <c r="AC181" s="33">
        <f>ROUND(I181-S181,2)</f>
      </c>
      <c r="AD181" s="33">
        <f>ROUND(J181-T181,2)</f>
      </c>
      <c r="AE181" s="33">
        <f>ROUND(K181-U181,2)</f>
      </c>
      <c r="AF181" s="33">
        <f>IF(V181&lt;=0,0,MAX(0,MIN(V181,ROUND($AZ181-SUMPRODUCT($V181:$AE181*($V181:$AE181&gt;0)*(($V181:$AE181&lt;V181)+($V181:$AE181=V181)*($V$3:$AE$3&gt;V$3)+($V181:$AE181=V181)*($V$3:$AE$3=V$3)*($V$2:$AE$2&lt;V$2))),2))))</f>
      </c>
      <c r="AG181" s="33">
        <f>IF(W181&lt;=0,0,MAX(0,MIN(W181,ROUND($AZ181-SUMPRODUCT($V181:$AE181*($V181:$AE181&gt;0)*(($V181:$AE181&lt;W181)+($V181:$AE181=W181)*($V$3:$AE$3&gt;W$3)+($V181:$AE181=W181)*($V$3:$AE$3=W$3)*($V$2:$AE$2&lt;W$2))),2))))</f>
      </c>
      <c r="AH181" s="33">
        <f>IF(X181&lt;=0,0,MAX(0,MIN(X181,ROUND($AZ181-SUMPRODUCT($V181:$AE181*($V181:$AE181&gt;0)*(($V181:$AE181&lt;X181)+($V181:$AE181=X181)*($V$3:$AE$3&gt;X$3)+($V181:$AE181=X181)*($V$3:$AE$3=X$3)*($V$2:$AE$2&lt;X$2))),2))))</f>
      </c>
      <c r="AI181" s="33">
        <f>IF(Y181&lt;=0,0,MAX(0,MIN(Y181,ROUND($AZ181-SUMPRODUCT($V181:$AE181*($V181:$AE181&gt;0)*(($V181:$AE181&lt;Y181)+($V181:$AE181=Y181)*($V$3:$AE$3&gt;Y$3)+($V181:$AE181=Y181)*($V$3:$AE$3=Y$3)*($V$2:$AE$2&lt;Y$2))),2))))</f>
      </c>
      <c r="AJ181" s="33">
        <f>IF(Z181&lt;=0,0,MAX(0,MIN(Z181,ROUND($AZ181-SUMPRODUCT($V181:$AE181*($V181:$AE181&gt;0)*(($V181:$AE181&lt;Z181)+($V181:$AE181=Z181)*($V$3:$AE$3&gt;Z$3)+($V181:$AE181=Z181)*($V$3:$AE$3=Z$3)*($V$2:$AE$2&lt;Z$2))),2))))</f>
      </c>
      <c r="AK181" s="33">
        <f>IF(AA181&lt;=0,0,MAX(0,MIN(AA181,ROUND($AZ181-SUMPRODUCT($V181:$AE181*($V181:$AE181&gt;0)*(($V181:$AE181&lt;AA181)+($V181:$AE181=AA181)*($V$3:$AE$3&gt;AA$3)+($V181:$AE181=AA181)*($V$3:$AE$3=AA$3)*($V$2:$AE$2&lt;AA$2))),2))))</f>
      </c>
      <c r="AL181" s="33">
        <f>IF(AB181&lt;=0,0,MAX(0,MIN(AB181,ROUND($AZ181-SUMPRODUCT($V181:$AE181*($V181:$AE181&gt;0)*(($V181:$AE181&lt;AB181)+($V181:$AE181=AB181)*($V$3:$AE$3&gt;AB$3)+($V181:$AE181=AB181)*($V$3:$AE$3=AB$3)*($V$2:$AE$2&lt;AB$2))),2))))</f>
      </c>
      <c r="AM181" s="33">
        <f>IF(AC181&lt;=0,0,MAX(0,MIN(AC181,ROUND($AZ181-SUMPRODUCT($V181:$AE181*($V181:$AE181&gt;0)*(($V181:$AE181&lt;AC181)+($V181:$AE181=AC181)*($V$3:$AE$3&gt;AC$3)+($V181:$AE181=AC181)*($V$3:$AE$3=AC$3)*($V$2:$AE$2&lt;AC$2))),2))))</f>
      </c>
      <c r="AN181" s="33">
        <f>IF(AD181&lt;=0,0,MAX(0,MIN(AD181,ROUND($AZ181-SUMPRODUCT($V181:$AE181*($V181:$AE181&gt;0)*(($V181:$AE181&lt;AD181)+($V181:$AE181=AD181)*($V$3:$AE$3&gt;AD$3)+($V181:$AE181=AD181)*($V$3:$AE$3=AD$3)*($V$2:$AE$2&lt;AD$2))),2))))</f>
      </c>
      <c r="AO181" s="33">
        <f>IF(AE181&lt;=0,0,MAX(0,MIN(AE181,ROUND($AZ181-SUMPRODUCT($V181:$AE181*($V181:$AE181&gt;0)*(($V181:$AE181&lt;AE181)+($V181:$AE181=AE181)*($V$3:$AE$3&gt;AE$3)+($V181:$AE181=AE181)*($V$3:$AE$3=AE$3)*($V$2:$AE$2&lt;AE$2))),2))))</f>
      </c>
      <c r="AP181" s="33">
        <f>ROUND(V181-AF181,2)</f>
      </c>
      <c r="AQ181" s="33">
        <f>ROUND(W181-AG181,2)</f>
      </c>
      <c r="AR181" s="33">
        <f>ROUND(X181-AH181,2)</f>
      </c>
      <c r="AS181" s="33">
        <f>ROUND(Y181-AI181,2)</f>
      </c>
      <c r="AT181" s="33">
        <f>ROUND(Z181-AJ181,2)</f>
      </c>
      <c r="AU181" s="33">
        <f>ROUND(AA181-AK181,2)</f>
      </c>
      <c r="AV181" s="33">
        <f>ROUND(AB181-AL181,2)</f>
      </c>
      <c r="AW181" s="33">
        <f>ROUND(AC181-AM181,2)</f>
      </c>
      <c r="AX181" s="33">
        <f>ROUND(AD181-AN181,2)</f>
      </c>
      <c r="AY181" s="33">
        <f>ROUND(AE181-AO181,2)</f>
      </c>
      <c r="AZ181" s="33">
        <f>ROUND(MAX(0,'Your debts'!$D$22-SUM($L181:$U181)),2)</f>
      </c>
      <c r="BA181" s="33">
        <f>ROUND(SUM($B181:$K181)-SUM($AP180:$AY180),2)</f>
      </c>
      <c r="BB181" s="33">
        <f>SUM($AP181:$AY181)</f>
      </c>
      <c r="BC181" s="33">
        <f>ROUND(SUM($L181:$U181)+SUM($AF181:$AO181),2)</f>
      </c>
    </row>
    <row r="182" spans="1:55" x14ac:dyDescent="0.25">
      <c r="A182">
        <v>175</v>
      </c>
      <c r="B182" s="33">
        <f>IF(AP181&lt;=0,0,ROUND(AP181+ROUND(AP181*V$3/12,2),2))</f>
      </c>
      <c r="C182" s="33">
        <f>IF(AQ181&lt;=0,0,ROUND(AQ181+ROUND(AQ181*W$3/12,2),2))</f>
      </c>
      <c r="D182" s="33">
        <f>IF(AR181&lt;=0,0,ROUND(AR181+ROUND(AR181*X$3/12,2),2))</f>
      </c>
      <c r="E182" s="33">
        <f>IF(AS181&lt;=0,0,ROUND(AS181+ROUND(AS181*Y$3/12,2),2))</f>
      </c>
      <c r="F182" s="33">
        <f>IF(AT181&lt;=0,0,ROUND(AT181+ROUND(AT181*Z$3/12,2),2))</f>
      </c>
      <c r="G182" s="33">
        <f>IF(AU181&lt;=0,0,ROUND(AU181+ROUND(AU181*AA$3/12,2),2))</f>
      </c>
      <c r="H182" s="33">
        <f>IF(AV181&lt;=0,0,ROUND(AV181+ROUND(AV181*AB$3/12,2),2))</f>
      </c>
      <c r="I182" s="33">
        <f>IF(AW181&lt;=0,0,ROUND(AW181+ROUND(AW181*AC$3/12,2),2))</f>
      </c>
      <c r="J182" s="33">
        <f>IF(AX181&lt;=0,0,ROUND(AX181+ROUND(AX181*AD$3/12,2),2))</f>
      </c>
      <c r="K182" s="33">
        <f>IF(AY181&lt;=0,0,ROUND(AY181+ROUND(AY181*AE$3/12,2),2))</f>
      </c>
      <c r="L182" s="33">
        <f>ROUND(MIN(MAX(0,N('Your debts'!$E$6)),B182),2)</f>
      </c>
      <c r="M182" s="33">
        <f>ROUND(MIN(MAX(0,N('Your debts'!$E$7)),C182),2)</f>
      </c>
      <c r="N182" s="33">
        <f>ROUND(MIN(MAX(0,N('Your debts'!$E$8)),D182),2)</f>
      </c>
      <c r="O182" s="33">
        <f>ROUND(MIN(MAX(0,N('Your debts'!$E$9)),E182),2)</f>
      </c>
      <c r="P182" s="33">
        <f>ROUND(MIN(MAX(0,N('Your debts'!$E$10)),F182),2)</f>
      </c>
      <c r="Q182" s="33">
        <f>ROUND(MIN(MAX(0,N('Your debts'!$E$11)),G182),2)</f>
      </c>
      <c r="R182" s="33">
        <f>ROUND(MIN(MAX(0,N('Your debts'!$E$12)),H182),2)</f>
      </c>
      <c r="S182" s="33">
        <f>ROUND(MIN(MAX(0,N('Your debts'!$E$13)),I182),2)</f>
      </c>
      <c r="T182" s="33">
        <f>ROUND(MIN(MAX(0,N('Your debts'!$E$14)),J182),2)</f>
      </c>
      <c r="U182" s="33">
        <f>ROUND(MIN(MAX(0,N('Your debts'!$E$15)),K182),2)</f>
      </c>
      <c r="V182" s="33">
        <f>ROUND(B182-L182,2)</f>
      </c>
      <c r="W182" s="33">
        <f>ROUND(C182-M182,2)</f>
      </c>
      <c r="X182" s="33">
        <f>ROUND(D182-N182,2)</f>
      </c>
      <c r="Y182" s="33">
        <f>ROUND(E182-O182,2)</f>
      </c>
      <c r="Z182" s="33">
        <f>ROUND(F182-P182,2)</f>
      </c>
      <c r="AA182" s="33">
        <f>ROUND(G182-Q182,2)</f>
      </c>
      <c r="AB182" s="33">
        <f>ROUND(H182-R182,2)</f>
      </c>
      <c r="AC182" s="33">
        <f>ROUND(I182-S182,2)</f>
      </c>
      <c r="AD182" s="33">
        <f>ROUND(J182-T182,2)</f>
      </c>
      <c r="AE182" s="33">
        <f>ROUND(K182-U182,2)</f>
      </c>
      <c r="AF182" s="33">
        <f>IF(V182&lt;=0,0,MAX(0,MIN(V182,ROUND($AZ182-SUMPRODUCT($V182:$AE182*($V182:$AE182&gt;0)*(($V182:$AE182&lt;V182)+($V182:$AE182=V182)*($V$3:$AE$3&gt;V$3)+($V182:$AE182=V182)*($V$3:$AE$3=V$3)*($V$2:$AE$2&lt;V$2))),2))))</f>
      </c>
      <c r="AG182" s="33">
        <f>IF(W182&lt;=0,0,MAX(0,MIN(W182,ROUND($AZ182-SUMPRODUCT($V182:$AE182*($V182:$AE182&gt;0)*(($V182:$AE182&lt;W182)+($V182:$AE182=W182)*($V$3:$AE$3&gt;W$3)+($V182:$AE182=W182)*($V$3:$AE$3=W$3)*($V$2:$AE$2&lt;W$2))),2))))</f>
      </c>
      <c r="AH182" s="33">
        <f>IF(X182&lt;=0,0,MAX(0,MIN(X182,ROUND($AZ182-SUMPRODUCT($V182:$AE182*($V182:$AE182&gt;0)*(($V182:$AE182&lt;X182)+($V182:$AE182=X182)*($V$3:$AE$3&gt;X$3)+($V182:$AE182=X182)*($V$3:$AE$3=X$3)*($V$2:$AE$2&lt;X$2))),2))))</f>
      </c>
      <c r="AI182" s="33">
        <f>IF(Y182&lt;=0,0,MAX(0,MIN(Y182,ROUND($AZ182-SUMPRODUCT($V182:$AE182*($V182:$AE182&gt;0)*(($V182:$AE182&lt;Y182)+($V182:$AE182=Y182)*($V$3:$AE$3&gt;Y$3)+($V182:$AE182=Y182)*($V$3:$AE$3=Y$3)*($V$2:$AE$2&lt;Y$2))),2))))</f>
      </c>
      <c r="AJ182" s="33">
        <f>IF(Z182&lt;=0,0,MAX(0,MIN(Z182,ROUND($AZ182-SUMPRODUCT($V182:$AE182*($V182:$AE182&gt;0)*(($V182:$AE182&lt;Z182)+($V182:$AE182=Z182)*($V$3:$AE$3&gt;Z$3)+($V182:$AE182=Z182)*($V$3:$AE$3=Z$3)*($V$2:$AE$2&lt;Z$2))),2))))</f>
      </c>
      <c r="AK182" s="33">
        <f>IF(AA182&lt;=0,0,MAX(0,MIN(AA182,ROUND($AZ182-SUMPRODUCT($V182:$AE182*($V182:$AE182&gt;0)*(($V182:$AE182&lt;AA182)+($V182:$AE182=AA182)*($V$3:$AE$3&gt;AA$3)+($V182:$AE182=AA182)*($V$3:$AE$3=AA$3)*($V$2:$AE$2&lt;AA$2))),2))))</f>
      </c>
      <c r="AL182" s="33">
        <f>IF(AB182&lt;=0,0,MAX(0,MIN(AB182,ROUND($AZ182-SUMPRODUCT($V182:$AE182*($V182:$AE182&gt;0)*(($V182:$AE182&lt;AB182)+($V182:$AE182=AB182)*($V$3:$AE$3&gt;AB$3)+($V182:$AE182=AB182)*($V$3:$AE$3=AB$3)*($V$2:$AE$2&lt;AB$2))),2))))</f>
      </c>
      <c r="AM182" s="33">
        <f>IF(AC182&lt;=0,0,MAX(0,MIN(AC182,ROUND($AZ182-SUMPRODUCT($V182:$AE182*($V182:$AE182&gt;0)*(($V182:$AE182&lt;AC182)+($V182:$AE182=AC182)*($V$3:$AE$3&gt;AC$3)+($V182:$AE182=AC182)*($V$3:$AE$3=AC$3)*($V$2:$AE$2&lt;AC$2))),2))))</f>
      </c>
      <c r="AN182" s="33">
        <f>IF(AD182&lt;=0,0,MAX(0,MIN(AD182,ROUND($AZ182-SUMPRODUCT($V182:$AE182*($V182:$AE182&gt;0)*(($V182:$AE182&lt;AD182)+($V182:$AE182=AD182)*($V$3:$AE$3&gt;AD$3)+($V182:$AE182=AD182)*($V$3:$AE$3=AD$3)*($V$2:$AE$2&lt;AD$2))),2))))</f>
      </c>
      <c r="AO182" s="33">
        <f>IF(AE182&lt;=0,0,MAX(0,MIN(AE182,ROUND($AZ182-SUMPRODUCT($V182:$AE182*($V182:$AE182&gt;0)*(($V182:$AE182&lt;AE182)+($V182:$AE182=AE182)*($V$3:$AE$3&gt;AE$3)+($V182:$AE182=AE182)*($V$3:$AE$3=AE$3)*($V$2:$AE$2&lt;AE$2))),2))))</f>
      </c>
      <c r="AP182" s="33">
        <f>ROUND(V182-AF182,2)</f>
      </c>
      <c r="AQ182" s="33">
        <f>ROUND(W182-AG182,2)</f>
      </c>
      <c r="AR182" s="33">
        <f>ROUND(X182-AH182,2)</f>
      </c>
      <c r="AS182" s="33">
        <f>ROUND(Y182-AI182,2)</f>
      </c>
      <c r="AT182" s="33">
        <f>ROUND(Z182-AJ182,2)</f>
      </c>
      <c r="AU182" s="33">
        <f>ROUND(AA182-AK182,2)</f>
      </c>
      <c r="AV182" s="33">
        <f>ROUND(AB182-AL182,2)</f>
      </c>
      <c r="AW182" s="33">
        <f>ROUND(AC182-AM182,2)</f>
      </c>
      <c r="AX182" s="33">
        <f>ROUND(AD182-AN182,2)</f>
      </c>
      <c r="AY182" s="33">
        <f>ROUND(AE182-AO182,2)</f>
      </c>
      <c r="AZ182" s="33">
        <f>ROUND(MAX(0,'Your debts'!$D$22-SUM($L182:$U182)),2)</f>
      </c>
      <c r="BA182" s="33">
        <f>ROUND(SUM($B182:$K182)-SUM($AP181:$AY181),2)</f>
      </c>
      <c r="BB182" s="33">
        <f>SUM($AP182:$AY182)</f>
      </c>
      <c r="BC182" s="33">
        <f>ROUND(SUM($L182:$U182)+SUM($AF182:$AO182),2)</f>
      </c>
    </row>
    <row r="183" spans="1:55" x14ac:dyDescent="0.25">
      <c r="A183">
        <v>176</v>
      </c>
      <c r="B183" s="33">
        <f>IF(AP182&lt;=0,0,ROUND(AP182+ROUND(AP182*V$3/12,2),2))</f>
      </c>
      <c r="C183" s="33">
        <f>IF(AQ182&lt;=0,0,ROUND(AQ182+ROUND(AQ182*W$3/12,2),2))</f>
      </c>
      <c r="D183" s="33">
        <f>IF(AR182&lt;=0,0,ROUND(AR182+ROUND(AR182*X$3/12,2),2))</f>
      </c>
      <c r="E183" s="33">
        <f>IF(AS182&lt;=0,0,ROUND(AS182+ROUND(AS182*Y$3/12,2),2))</f>
      </c>
      <c r="F183" s="33">
        <f>IF(AT182&lt;=0,0,ROUND(AT182+ROUND(AT182*Z$3/12,2),2))</f>
      </c>
      <c r="G183" s="33">
        <f>IF(AU182&lt;=0,0,ROUND(AU182+ROUND(AU182*AA$3/12,2),2))</f>
      </c>
      <c r="H183" s="33">
        <f>IF(AV182&lt;=0,0,ROUND(AV182+ROUND(AV182*AB$3/12,2),2))</f>
      </c>
      <c r="I183" s="33">
        <f>IF(AW182&lt;=0,0,ROUND(AW182+ROUND(AW182*AC$3/12,2),2))</f>
      </c>
      <c r="J183" s="33">
        <f>IF(AX182&lt;=0,0,ROUND(AX182+ROUND(AX182*AD$3/12,2),2))</f>
      </c>
      <c r="K183" s="33">
        <f>IF(AY182&lt;=0,0,ROUND(AY182+ROUND(AY182*AE$3/12,2),2))</f>
      </c>
      <c r="L183" s="33">
        <f>ROUND(MIN(MAX(0,N('Your debts'!$E$6)),B183),2)</f>
      </c>
      <c r="M183" s="33">
        <f>ROUND(MIN(MAX(0,N('Your debts'!$E$7)),C183),2)</f>
      </c>
      <c r="N183" s="33">
        <f>ROUND(MIN(MAX(0,N('Your debts'!$E$8)),D183),2)</f>
      </c>
      <c r="O183" s="33">
        <f>ROUND(MIN(MAX(0,N('Your debts'!$E$9)),E183),2)</f>
      </c>
      <c r="P183" s="33">
        <f>ROUND(MIN(MAX(0,N('Your debts'!$E$10)),F183),2)</f>
      </c>
      <c r="Q183" s="33">
        <f>ROUND(MIN(MAX(0,N('Your debts'!$E$11)),G183),2)</f>
      </c>
      <c r="R183" s="33">
        <f>ROUND(MIN(MAX(0,N('Your debts'!$E$12)),H183),2)</f>
      </c>
      <c r="S183" s="33">
        <f>ROUND(MIN(MAX(0,N('Your debts'!$E$13)),I183),2)</f>
      </c>
      <c r="T183" s="33">
        <f>ROUND(MIN(MAX(0,N('Your debts'!$E$14)),J183),2)</f>
      </c>
      <c r="U183" s="33">
        <f>ROUND(MIN(MAX(0,N('Your debts'!$E$15)),K183),2)</f>
      </c>
      <c r="V183" s="33">
        <f>ROUND(B183-L183,2)</f>
      </c>
      <c r="W183" s="33">
        <f>ROUND(C183-M183,2)</f>
      </c>
      <c r="X183" s="33">
        <f>ROUND(D183-N183,2)</f>
      </c>
      <c r="Y183" s="33">
        <f>ROUND(E183-O183,2)</f>
      </c>
      <c r="Z183" s="33">
        <f>ROUND(F183-P183,2)</f>
      </c>
      <c r="AA183" s="33">
        <f>ROUND(G183-Q183,2)</f>
      </c>
      <c r="AB183" s="33">
        <f>ROUND(H183-R183,2)</f>
      </c>
      <c r="AC183" s="33">
        <f>ROUND(I183-S183,2)</f>
      </c>
      <c r="AD183" s="33">
        <f>ROUND(J183-T183,2)</f>
      </c>
      <c r="AE183" s="33">
        <f>ROUND(K183-U183,2)</f>
      </c>
      <c r="AF183" s="33">
        <f>IF(V183&lt;=0,0,MAX(0,MIN(V183,ROUND($AZ183-SUMPRODUCT($V183:$AE183*($V183:$AE183&gt;0)*(($V183:$AE183&lt;V183)+($V183:$AE183=V183)*($V$3:$AE$3&gt;V$3)+($V183:$AE183=V183)*($V$3:$AE$3=V$3)*($V$2:$AE$2&lt;V$2))),2))))</f>
      </c>
      <c r="AG183" s="33">
        <f>IF(W183&lt;=0,0,MAX(0,MIN(W183,ROUND($AZ183-SUMPRODUCT($V183:$AE183*($V183:$AE183&gt;0)*(($V183:$AE183&lt;W183)+($V183:$AE183=W183)*($V$3:$AE$3&gt;W$3)+($V183:$AE183=W183)*($V$3:$AE$3=W$3)*($V$2:$AE$2&lt;W$2))),2))))</f>
      </c>
      <c r="AH183" s="33">
        <f>IF(X183&lt;=0,0,MAX(0,MIN(X183,ROUND($AZ183-SUMPRODUCT($V183:$AE183*($V183:$AE183&gt;0)*(($V183:$AE183&lt;X183)+($V183:$AE183=X183)*($V$3:$AE$3&gt;X$3)+($V183:$AE183=X183)*($V$3:$AE$3=X$3)*($V$2:$AE$2&lt;X$2))),2))))</f>
      </c>
      <c r="AI183" s="33">
        <f>IF(Y183&lt;=0,0,MAX(0,MIN(Y183,ROUND($AZ183-SUMPRODUCT($V183:$AE183*($V183:$AE183&gt;0)*(($V183:$AE183&lt;Y183)+($V183:$AE183=Y183)*($V$3:$AE$3&gt;Y$3)+($V183:$AE183=Y183)*($V$3:$AE$3=Y$3)*($V$2:$AE$2&lt;Y$2))),2))))</f>
      </c>
      <c r="AJ183" s="33">
        <f>IF(Z183&lt;=0,0,MAX(0,MIN(Z183,ROUND($AZ183-SUMPRODUCT($V183:$AE183*($V183:$AE183&gt;0)*(($V183:$AE183&lt;Z183)+($V183:$AE183=Z183)*($V$3:$AE$3&gt;Z$3)+($V183:$AE183=Z183)*($V$3:$AE$3=Z$3)*($V$2:$AE$2&lt;Z$2))),2))))</f>
      </c>
      <c r="AK183" s="33">
        <f>IF(AA183&lt;=0,0,MAX(0,MIN(AA183,ROUND($AZ183-SUMPRODUCT($V183:$AE183*($V183:$AE183&gt;0)*(($V183:$AE183&lt;AA183)+($V183:$AE183=AA183)*($V$3:$AE$3&gt;AA$3)+($V183:$AE183=AA183)*($V$3:$AE$3=AA$3)*($V$2:$AE$2&lt;AA$2))),2))))</f>
      </c>
      <c r="AL183" s="33">
        <f>IF(AB183&lt;=0,0,MAX(0,MIN(AB183,ROUND($AZ183-SUMPRODUCT($V183:$AE183*($V183:$AE183&gt;0)*(($V183:$AE183&lt;AB183)+($V183:$AE183=AB183)*($V$3:$AE$3&gt;AB$3)+($V183:$AE183=AB183)*($V$3:$AE$3=AB$3)*($V$2:$AE$2&lt;AB$2))),2))))</f>
      </c>
      <c r="AM183" s="33">
        <f>IF(AC183&lt;=0,0,MAX(0,MIN(AC183,ROUND($AZ183-SUMPRODUCT($V183:$AE183*($V183:$AE183&gt;0)*(($V183:$AE183&lt;AC183)+($V183:$AE183=AC183)*($V$3:$AE$3&gt;AC$3)+($V183:$AE183=AC183)*($V$3:$AE$3=AC$3)*($V$2:$AE$2&lt;AC$2))),2))))</f>
      </c>
      <c r="AN183" s="33">
        <f>IF(AD183&lt;=0,0,MAX(0,MIN(AD183,ROUND($AZ183-SUMPRODUCT($V183:$AE183*($V183:$AE183&gt;0)*(($V183:$AE183&lt;AD183)+($V183:$AE183=AD183)*($V$3:$AE$3&gt;AD$3)+($V183:$AE183=AD183)*($V$3:$AE$3=AD$3)*($V$2:$AE$2&lt;AD$2))),2))))</f>
      </c>
      <c r="AO183" s="33">
        <f>IF(AE183&lt;=0,0,MAX(0,MIN(AE183,ROUND($AZ183-SUMPRODUCT($V183:$AE183*($V183:$AE183&gt;0)*(($V183:$AE183&lt;AE183)+($V183:$AE183=AE183)*($V$3:$AE$3&gt;AE$3)+($V183:$AE183=AE183)*($V$3:$AE$3=AE$3)*($V$2:$AE$2&lt;AE$2))),2))))</f>
      </c>
      <c r="AP183" s="33">
        <f>ROUND(V183-AF183,2)</f>
      </c>
      <c r="AQ183" s="33">
        <f>ROUND(W183-AG183,2)</f>
      </c>
      <c r="AR183" s="33">
        <f>ROUND(X183-AH183,2)</f>
      </c>
      <c r="AS183" s="33">
        <f>ROUND(Y183-AI183,2)</f>
      </c>
      <c r="AT183" s="33">
        <f>ROUND(Z183-AJ183,2)</f>
      </c>
      <c r="AU183" s="33">
        <f>ROUND(AA183-AK183,2)</f>
      </c>
      <c r="AV183" s="33">
        <f>ROUND(AB183-AL183,2)</f>
      </c>
      <c r="AW183" s="33">
        <f>ROUND(AC183-AM183,2)</f>
      </c>
      <c r="AX183" s="33">
        <f>ROUND(AD183-AN183,2)</f>
      </c>
      <c r="AY183" s="33">
        <f>ROUND(AE183-AO183,2)</f>
      </c>
      <c r="AZ183" s="33">
        <f>ROUND(MAX(0,'Your debts'!$D$22-SUM($L183:$U183)),2)</f>
      </c>
      <c r="BA183" s="33">
        <f>ROUND(SUM($B183:$K183)-SUM($AP182:$AY182),2)</f>
      </c>
      <c r="BB183" s="33">
        <f>SUM($AP183:$AY183)</f>
      </c>
      <c r="BC183" s="33">
        <f>ROUND(SUM($L183:$U183)+SUM($AF183:$AO183),2)</f>
      </c>
    </row>
    <row r="184" spans="1:55" x14ac:dyDescent="0.25">
      <c r="A184">
        <v>177</v>
      </c>
      <c r="B184" s="33">
        <f>IF(AP183&lt;=0,0,ROUND(AP183+ROUND(AP183*V$3/12,2),2))</f>
      </c>
      <c r="C184" s="33">
        <f>IF(AQ183&lt;=0,0,ROUND(AQ183+ROUND(AQ183*W$3/12,2),2))</f>
      </c>
      <c r="D184" s="33">
        <f>IF(AR183&lt;=0,0,ROUND(AR183+ROUND(AR183*X$3/12,2),2))</f>
      </c>
      <c r="E184" s="33">
        <f>IF(AS183&lt;=0,0,ROUND(AS183+ROUND(AS183*Y$3/12,2),2))</f>
      </c>
      <c r="F184" s="33">
        <f>IF(AT183&lt;=0,0,ROUND(AT183+ROUND(AT183*Z$3/12,2),2))</f>
      </c>
      <c r="G184" s="33">
        <f>IF(AU183&lt;=0,0,ROUND(AU183+ROUND(AU183*AA$3/12,2),2))</f>
      </c>
      <c r="H184" s="33">
        <f>IF(AV183&lt;=0,0,ROUND(AV183+ROUND(AV183*AB$3/12,2),2))</f>
      </c>
      <c r="I184" s="33">
        <f>IF(AW183&lt;=0,0,ROUND(AW183+ROUND(AW183*AC$3/12,2),2))</f>
      </c>
      <c r="J184" s="33">
        <f>IF(AX183&lt;=0,0,ROUND(AX183+ROUND(AX183*AD$3/12,2),2))</f>
      </c>
      <c r="K184" s="33">
        <f>IF(AY183&lt;=0,0,ROUND(AY183+ROUND(AY183*AE$3/12,2),2))</f>
      </c>
      <c r="L184" s="33">
        <f>ROUND(MIN(MAX(0,N('Your debts'!$E$6)),B184),2)</f>
      </c>
      <c r="M184" s="33">
        <f>ROUND(MIN(MAX(0,N('Your debts'!$E$7)),C184),2)</f>
      </c>
      <c r="N184" s="33">
        <f>ROUND(MIN(MAX(0,N('Your debts'!$E$8)),D184),2)</f>
      </c>
      <c r="O184" s="33">
        <f>ROUND(MIN(MAX(0,N('Your debts'!$E$9)),E184),2)</f>
      </c>
      <c r="P184" s="33">
        <f>ROUND(MIN(MAX(0,N('Your debts'!$E$10)),F184),2)</f>
      </c>
      <c r="Q184" s="33">
        <f>ROUND(MIN(MAX(0,N('Your debts'!$E$11)),G184),2)</f>
      </c>
      <c r="R184" s="33">
        <f>ROUND(MIN(MAX(0,N('Your debts'!$E$12)),H184),2)</f>
      </c>
      <c r="S184" s="33">
        <f>ROUND(MIN(MAX(0,N('Your debts'!$E$13)),I184),2)</f>
      </c>
      <c r="T184" s="33">
        <f>ROUND(MIN(MAX(0,N('Your debts'!$E$14)),J184),2)</f>
      </c>
      <c r="U184" s="33">
        <f>ROUND(MIN(MAX(0,N('Your debts'!$E$15)),K184),2)</f>
      </c>
      <c r="V184" s="33">
        <f>ROUND(B184-L184,2)</f>
      </c>
      <c r="W184" s="33">
        <f>ROUND(C184-M184,2)</f>
      </c>
      <c r="X184" s="33">
        <f>ROUND(D184-N184,2)</f>
      </c>
      <c r="Y184" s="33">
        <f>ROUND(E184-O184,2)</f>
      </c>
      <c r="Z184" s="33">
        <f>ROUND(F184-P184,2)</f>
      </c>
      <c r="AA184" s="33">
        <f>ROUND(G184-Q184,2)</f>
      </c>
      <c r="AB184" s="33">
        <f>ROUND(H184-R184,2)</f>
      </c>
      <c r="AC184" s="33">
        <f>ROUND(I184-S184,2)</f>
      </c>
      <c r="AD184" s="33">
        <f>ROUND(J184-T184,2)</f>
      </c>
      <c r="AE184" s="33">
        <f>ROUND(K184-U184,2)</f>
      </c>
      <c r="AF184" s="33">
        <f>IF(V184&lt;=0,0,MAX(0,MIN(V184,ROUND($AZ184-SUMPRODUCT($V184:$AE184*($V184:$AE184&gt;0)*(($V184:$AE184&lt;V184)+($V184:$AE184=V184)*($V$3:$AE$3&gt;V$3)+($V184:$AE184=V184)*($V$3:$AE$3=V$3)*($V$2:$AE$2&lt;V$2))),2))))</f>
      </c>
      <c r="AG184" s="33">
        <f>IF(W184&lt;=0,0,MAX(0,MIN(W184,ROUND($AZ184-SUMPRODUCT($V184:$AE184*($V184:$AE184&gt;0)*(($V184:$AE184&lt;W184)+($V184:$AE184=W184)*($V$3:$AE$3&gt;W$3)+($V184:$AE184=W184)*($V$3:$AE$3=W$3)*($V$2:$AE$2&lt;W$2))),2))))</f>
      </c>
      <c r="AH184" s="33">
        <f>IF(X184&lt;=0,0,MAX(0,MIN(X184,ROUND($AZ184-SUMPRODUCT($V184:$AE184*($V184:$AE184&gt;0)*(($V184:$AE184&lt;X184)+($V184:$AE184=X184)*($V$3:$AE$3&gt;X$3)+($V184:$AE184=X184)*($V$3:$AE$3=X$3)*($V$2:$AE$2&lt;X$2))),2))))</f>
      </c>
      <c r="AI184" s="33">
        <f>IF(Y184&lt;=0,0,MAX(0,MIN(Y184,ROUND($AZ184-SUMPRODUCT($V184:$AE184*($V184:$AE184&gt;0)*(($V184:$AE184&lt;Y184)+($V184:$AE184=Y184)*($V$3:$AE$3&gt;Y$3)+($V184:$AE184=Y184)*($V$3:$AE$3=Y$3)*($V$2:$AE$2&lt;Y$2))),2))))</f>
      </c>
      <c r="AJ184" s="33">
        <f>IF(Z184&lt;=0,0,MAX(0,MIN(Z184,ROUND($AZ184-SUMPRODUCT($V184:$AE184*($V184:$AE184&gt;0)*(($V184:$AE184&lt;Z184)+($V184:$AE184=Z184)*($V$3:$AE$3&gt;Z$3)+($V184:$AE184=Z184)*($V$3:$AE$3=Z$3)*($V$2:$AE$2&lt;Z$2))),2))))</f>
      </c>
      <c r="AK184" s="33">
        <f>IF(AA184&lt;=0,0,MAX(0,MIN(AA184,ROUND($AZ184-SUMPRODUCT($V184:$AE184*($V184:$AE184&gt;0)*(($V184:$AE184&lt;AA184)+($V184:$AE184=AA184)*($V$3:$AE$3&gt;AA$3)+($V184:$AE184=AA184)*($V$3:$AE$3=AA$3)*($V$2:$AE$2&lt;AA$2))),2))))</f>
      </c>
      <c r="AL184" s="33">
        <f>IF(AB184&lt;=0,0,MAX(0,MIN(AB184,ROUND($AZ184-SUMPRODUCT($V184:$AE184*($V184:$AE184&gt;0)*(($V184:$AE184&lt;AB184)+($V184:$AE184=AB184)*($V$3:$AE$3&gt;AB$3)+($V184:$AE184=AB184)*($V$3:$AE$3=AB$3)*($V$2:$AE$2&lt;AB$2))),2))))</f>
      </c>
      <c r="AM184" s="33">
        <f>IF(AC184&lt;=0,0,MAX(0,MIN(AC184,ROUND($AZ184-SUMPRODUCT($V184:$AE184*($V184:$AE184&gt;0)*(($V184:$AE184&lt;AC184)+($V184:$AE184=AC184)*($V$3:$AE$3&gt;AC$3)+($V184:$AE184=AC184)*($V$3:$AE$3=AC$3)*($V$2:$AE$2&lt;AC$2))),2))))</f>
      </c>
      <c r="AN184" s="33">
        <f>IF(AD184&lt;=0,0,MAX(0,MIN(AD184,ROUND($AZ184-SUMPRODUCT($V184:$AE184*($V184:$AE184&gt;0)*(($V184:$AE184&lt;AD184)+($V184:$AE184=AD184)*($V$3:$AE$3&gt;AD$3)+($V184:$AE184=AD184)*($V$3:$AE$3=AD$3)*($V$2:$AE$2&lt;AD$2))),2))))</f>
      </c>
      <c r="AO184" s="33">
        <f>IF(AE184&lt;=0,0,MAX(0,MIN(AE184,ROUND($AZ184-SUMPRODUCT($V184:$AE184*($V184:$AE184&gt;0)*(($V184:$AE184&lt;AE184)+($V184:$AE184=AE184)*($V$3:$AE$3&gt;AE$3)+($V184:$AE184=AE184)*($V$3:$AE$3=AE$3)*($V$2:$AE$2&lt;AE$2))),2))))</f>
      </c>
      <c r="AP184" s="33">
        <f>ROUND(V184-AF184,2)</f>
      </c>
      <c r="AQ184" s="33">
        <f>ROUND(W184-AG184,2)</f>
      </c>
      <c r="AR184" s="33">
        <f>ROUND(X184-AH184,2)</f>
      </c>
      <c r="AS184" s="33">
        <f>ROUND(Y184-AI184,2)</f>
      </c>
      <c r="AT184" s="33">
        <f>ROUND(Z184-AJ184,2)</f>
      </c>
      <c r="AU184" s="33">
        <f>ROUND(AA184-AK184,2)</f>
      </c>
      <c r="AV184" s="33">
        <f>ROUND(AB184-AL184,2)</f>
      </c>
      <c r="AW184" s="33">
        <f>ROUND(AC184-AM184,2)</f>
      </c>
      <c r="AX184" s="33">
        <f>ROUND(AD184-AN184,2)</f>
      </c>
      <c r="AY184" s="33">
        <f>ROUND(AE184-AO184,2)</f>
      </c>
      <c r="AZ184" s="33">
        <f>ROUND(MAX(0,'Your debts'!$D$22-SUM($L184:$U184)),2)</f>
      </c>
      <c r="BA184" s="33">
        <f>ROUND(SUM($B184:$K184)-SUM($AP183:$AY183),2)</f>
      </c>
      <c r="BB184" s="33">
        <f>SUM($AP184:$AY184)</f>
      </c>
      <c r="BC184" s="33">
        <f>ROUND(SUM($L184:$U184)+SUM($AF184:$AO184),2)</f>
      </c>
    </row>
    <row r="185" spans="1:55" x14ac:dyDescent="0.25">
      <c r="A185">
        <v>178</v>
      </c>
      <c r="B185" s="33">
        <f>IF(AP184&lt;=0,0,ROUND(AP184+ROUND(AP184*V$3/12,2),2))</f>
      </c>
      <c r="C185" s="33">
        <f>IF(AQ184&lt;=0,0,ROUND(AQ184+ROUND(AQ184*W$3/12,2),2))</f>
      </c>
      <c r="D185" s="33">
        <f>IF(AR184&lt;=0,0,ROUND(AR184+ROUND(AR184*X$3/12,2),2))</f>
      </c>
      <c r="E185" s="33">
        <f>IF(AS184&lt;=0,0,ROUND(AS184+ROUND(AS184*Y$3/12,2),2))</f>
      </c>
      <c r="F185" s="33">
        <f>IF(AT184&lt;=0,0,ROUND(AT184+ROUND(AT184*Z$3/12,2),2))</f>
      </c>
      <c r="G185" s="33">
        <f>IF(AU184&lt;=0,0,ROUND(AU184+ROUND(AU184*AA$3/12,2),2))</f>
      </c>
      <c r="H185" s="33">
        <f>IF(AV184&lt;=0,0,ROUND(AV184+ROUND(AV184*AB$3/12,2),2))</f>
      </c>
      <c r="I185" s="33">
        <f>IF(AW184&lt;=0,0,ROUND(AW184+ROUND(AW184*AC$3/12,2),2))</f>
      </c>
      <c r="J185" s="33">
        <f>IF(AX184&lt;=0,0,ROUND(AX184+ROUND(AX184*AD$3/12,2),2))</f>
      </c>
      <c r="K185" s="33">
        <f>IF(AY184&lt;=0,0,ROUND(AY184+ROUND(AY184*AE$3/12,2),2))</f>
      </c>
      <c r="L185" s="33">
        <f>ROUND(MIN(MAX(0,N('Your debts'!$E$6)),B185),2)</f>
      </c>
      <c r="M185" s="33">
        <f>ROUND(MIN(MAX(0,N('Your debts'!$E$7)),C185),2)</f>
      </c>
      <c r="N185" s="33">
        <f>ROUND(MIN(MAX(0,N('Your debts'!$E$8)),D185),2)</f>
      </c>
      <c r="O185" s="33">
        <f>ROUND(MIN(MAX(0,N('Your debts'!$E$9)),E185),2)</f>
      </c>
      <c r="P185" s="33">
        <f>ROUND(MIN(MAX(0,N('Your debts'!$E$10)),F185),2)</f>
      </c>
      <c r="Q185" s="33">
        <f>ROUND(MIN(MAX(0,N('Your debts'!$E$11)),G185),2)</f>
      </c>
      <c r="R185" s="33">
        <f>ROUND(MIN(MAX(0,N('Your debts'!$E$12)),H185),2)</f>
      </c>
      <c r="S185" s="33">
        <f>ROUND(MIN(MAX(0,N('Your debts'!$E$13)),I185),2)</f>
      </c>
      <c r="T185" s="33">
        <f>ROUND(MIN(MAX(0,N('Your debts'!$E$14)),J185),2)</f>
      </c>
      <c r="U185" s="33">
        <f>ROUND(MIN(MAX(0,N('Your debts'!$E$15)),K185),2)</f>
      </c>
      <c r="V185" s="33">
        <f>ROUND(B185-L185,2)</f>
      </c>
      <c r="W185" s="33">
        <f>ROUND(C185-M185,2)</f>
      </c>
      <c r="X185" s="33">
        <f>ROUND(D185-N185,2)</f>
      </c>
      <c r="Y185" s="33">
        <f>ROUND(E185-O185,2)</f>
      </c>
      <c r="Z185" s="33">
        <f>ROUND(F185-P185,2)</f>
      </c>
      <c r="AA185" s="33">
        <f>ROUND(G185-Q185,2)</f>
      </c>
      <c r="AB185" s="33">
        <f>ROUND(H185-R185,2)</f>
      </c>
      <c r="AC185" s="33">
        <f>ROUND(I185-S185,2)</f>
      </c>
      <c r="AD185" s="33">
        <f>ROUND(J185-T185,2)</f>
      </c>
      <c r="AE185" s="33">
        <f>ROUND(K185-U185,2)</f>
      </c>
      <c r="AF185" s="33">
        <f>IF(V185&lt;=0,0,MAX(0,MIN(V185,ROUND($AZ185-SUMPRODUCT($V185:$AE185*($V185:$AE185&gt;0)*(($V185:$AE185&lt;V185)+($V185:$AE185=V185)*($V$3:$AE$3&gt;V$3)+($V185:$AE185=V185)*($V$3:$AE$3=V$3)*($V$2:$AE$2&lt;V$2))),2))))</f>
      </c>
      <c r="AG185" s="33">
        <f>IF(W185&lt;=0,0,MAX(0,MIN(W185,ROUND($AZ185-SUMPRODUCT($V185:$AE185*($V185:$AE185&gt;0)*(($V185:$AE185&lt;W185)+($V185:$AE185=W185)*($V$3:$AE$3&gt;W$3)+($V185:$AE185=W185)*($V$3:$AE$3=W$3)*($V$2:$AE$2&lt;W$2))),2))))</f>
      </c>
      <c r="AH185" s="33">
        <f>IF(X185&lt;=0,0,MAX(0,MIN(X185,ROUND($AZ185-SUMPRODUCT($V185:$AE185*($V185:$AE185&gt;0)*(($V185:$AE185&lt;X185)+($V185:$AE185=X185)*($V$3:$AE$3&gt;X$3)+($V185:$AE185=X185)*($V$3:$AE$3=X$3)*($V$2:$AE$2&lt;X$2))),2))))</f>
      </c>
      <c r="AI185" s="33">
        <f>IF(Y185&lt;=0,0,MAX(0,MIN(Y185,ROUND($AZ185-SUMPRODUCT($V185:$AE185*($V185:$AE185&gt;0)*(($V185:$AE185&lt;Y185)+($V185:$AE185=Y185)*($V$3:$AE$3&gt;Y$3)+($V185:$AE185=Y185)*($V$3:$AE$3=Y$3)*($V$2:$AE$2&lt;Y$2))),2))))</f>
      </c>
      <c r="AJ185" s="33">
        <f>IF(Z185&lt;=0,0,MAX(0,MIN(Z185,ROUND($AZ185-SUMPRODUCT($V185:$AE185*($V185:$AE185&gt;0)*(($V185:$AE185&lt;Z185)+($V185:$AE185=Z185)*($V$3:$AE$3&gt;Z$3)+($V185:$AE185=Z185)*($V$3:$AE$3=Z$3)*($V$2:$AE$2&lt;Z$2))),2))))</f>
      </c>
      <c r="AK185" s="33">
        <f>IF(AA185&lt;=0,0,MAX(0,MIN(AA185,ROUND($AZ185-SUMPRODUCT($V185:$AE185*($V185:$AE185&gt;0)*(($V185:$AE185&lt;AA185)+($V185:$AE185=AA185)*($V$3:$AE$3&gt;AA$3)+($V185:$AE185=AA185)*($V$3:$AE$3=AA$3)*($V$2:$AE$2&lt;AA$2))),2))))</f>
      </c>
      <c r="AL185" s="33">
        <f>IF(AB185&lt;=0,0,MAX(0,MIN(AB185,ROUND($AZ185-SUMPRODUCT($V185:$AE185*($V185:$AE185&gt;0)*(($V185:$AE185&lt;AB185)+($V185:$AE185=AB185)*($V$3:$AE$3&gt;AB$3)+($V185:$AE185=AB185)*($V$3:$AE$3=AB$3)*($V$2:$AE$2&lt;AB$2))),2))))</f>
      </c>
      <c r="AM185" s="33">
        <f>IF(AC185&lt;=0,0,MAX(0,MIN(AC185,ROUND($AZ185-SUMPRODUCT($V185:$AE185*($V185:$AE185&gt;0)*(($V185:$AE185&lt;AC185)+($V185:$AE185=AC185)*($V$3:$AE$3&gt;AC$3)+($V185:$AE185=AC185)*($V$3:$AE$3=AC$3)*($V$2:$AE$2&lt;AC$2))),2))))</f>
      </c>
      <c r="AN185" s="33">
        <f>IF(AD185&lt;=0,0,MAX(0,MIN(AD185,ROUND($AZ185-SUMPRODUCT($V185:$AE185*($V185:$AE185&gt;0)*(($V185:$AE185&lt;AD185)+($V185:$AE185=AD185)*($V$3:$AE$3&gt;AD$3)+($V185:$AE185=AD185)*($V$3:$AE$3=AD$3)*($V$2:$AE$2&lt;AD$2))),2))))</f>
      </c>
      <c r="AO185" s="33">
        <f>IF(AE185&lt;=0,0,MAX(0,MIN(AE185,ROUND($AZ185-SUMPRODUCT($V185:$AE185*($V185:$AE185&gt;0)*(($V185:$AE185&lt;AE185)+($V185:$AE185=AE185)*($V$3:$AE$3&gt;AE$3)+($V185:$AE185=AE185)*($V$3:$AE$3=AE$3)*($V$2:$AE$2&lt;AE$2))),2))))</f>
      </c>
      <c r="AP185" s="33">
        <f>ROUND(V185-AF185,2)</f>
      </c>
      <c r="AQ185" s="33">
        <f>ROUND(W185-AG185,2)</f>
      </c>
      <c r="AR185" s="33">
        <f>ROUND(X185-AH185,2)</f>
      </c>
      <c r="AS185" s="33">
        <f>ROUND(Y185-AI185,2)</f>
      </c>
      <c r="AT185" s="33">
        <f>ROUND(Z185-AJ185,2)</f>
      </c>
      <c r="AU185" s="33">
        <f>ROUND(AA185-AK185,2)</f>
      </c>
      <c r="AV185" s="33">
        <f>ROUND(AB185-AL185,2)</f>
      </c>
      <c r="AW185" s="33">
        <f>ROUND(AC185-AM185,2)</f>
      </c>
      <c r="AX185" s="33">
        <f>ROUND(AD185-AN185,2)</f>
      </c>
      <c r="AY185" s="33">
        <f>ROUND(AE185-AO185,2)</f>
      </c>
      <c r="AZ185" s="33">
        <f>ROUND(MAX(0,'Your debts'!$D$22-SUM($L185:$U185)),2)</f>
      </c>
      <c r="BA185" s="33">
        <f>ROUND(SUM($B185:$K185)-SUM($AP184:$AY184),2)</f>
      </c>
      <c r="BB185" s="33">
        <f>SUM($AP185:$AY185)</f>
      </c>
      <c r="BC185" s="33">
        <f>ROUND(SUM($L185:$U185)+SUM($AF185:$AO185),2)</f>
      </c>
    </row>
    <row r="186" spans="1:55" x14ac:dyDescent="0.25">
      <c r="A186">
        <v>179</v>
      </c>
      <c r="B186" s="33">
        <f>IF(AP185&lt;=0,0,ROUND(AP185+ROUND(AP185*V$3/12,2),2))</f>
      </c>
      <c r="C186" s="33">
        <f>IF(AQ185&lt;=0,0,ROUND(AQ185+ROUND(AQ185*W$3/12,2),2))</f>
      </c>
      <c r="D186" s="33">
        <f>IF(AR185&lt;=0,0,ROUND(AR185+ROUND(AR185*X$3/12,2),2))</f>
      </c>
      <c r="E186" s="33">
        <f>IF(AS185&lt;=0,0,ROUND(AS185+ROUND(AS185*Y$3/12,2),2))</f>
      </c>
      <c r="F186" s="33">
        <f>IF(AT185&lt;=0,0,ROUND(AT185+ROUND(AT185*Z$3/12,2),2))</f>
      </c>
      <c r="G186" s="33">
        <f>IF(AU185&lt;=0,0,ROUND(AU185+ROUND(AU185*AA$3/12,2),2))</f>
      </c>
      <c r="H186" s="33">
        <f>IF(AV185&lt;=0,0,ROUND(AV185+ROUND(AV185*AB$3/12,2),2))</f>
      </c>
      <c r="I186" s="33">
        <f>IF(AW185&lt;=0,0,ROUND(AW185+ROUND(AW185*AC$3/12,2),2))</f>
      </c>
      <c r="J186" s="33">
        <f>IF(AX185&lt;=0,0,ROUND(AX185+ROUND(AX185*AD$3/12,2),2))</f>
      </c>
      <c r="K186" s="33">
        <f>IF(AY185&lt;=0,0,ROUND(AY185+ROUND(AY185*AE$3/12,2),2))</f>
      </c>
      <c r="L186" s="33">
        <f>ROUND(MIN(MAX(0,N('Your debts'!$E$6)),B186),2)</f>
      </c>
      <c r="M186" s="33">
        <f>ROUND(MIN(MAX(0,N('Your debts'!$E$7)),C186),2)</f>
      </c>
      <c r="N186" s="33">
        <f>ROUND(MIN(MAX(0,N('Your debts'!$E$8)),D186),2)</f>
      </c>
      <c r="O186" s="33">
        <f>ROUND(MIN(MAX(0,N('Your debts'!$E$9)),E186),2)</f>
      </c>
      <c r="P186" s="33">
        <f>ROUND(MIN(MAX(0,N('Your debts'!$E$10)),F186),2)</f>
      </c>
      <c r="Q186" s="33">
        <f>ROUND(MIN(MAX(0,N('Your debts'!$E$11)),G186),2)</f>
      </c>
      <c r="R186" s="33">
        <f>ROUND(MIN(MAX(0,N('Your debts'!$E$12)),H186),2)</f>
      </c>
      <c r="S186" s="33">
        <f>ROUND(MIN(MAX(0,N('Your debts'!$E$13)),I186),2)</f>
      </c>
      <c r="T186" s="33">
        <f>ROUND(MIN(MAX(0,N('Your debts'!$E$14)),J186),2)</f>
      </c>
      <c r="U186" s="33">
        <f>ROUND(MIN(MAX(0,N('Your debts'!$E$15)),K186),2)</f>
      </c>
      <c r="V186" s="33">
        <f>ROUND(B186-L186,2)</f>
      </c>
      <c r="W186" s="33">
        <f>ROUND(C186-M186,2)</f>
      </c>
      <c r="X186" s="33">
        <f>ROUND(D186-N186,2)</f>
      </c>
      <c r="Y186" s="33">
        <f>ROUND(E186-O186,2)</f>
      </c>
      <c r="Z186" s="33">
        <f>ROUND(F186-P186,2)</f>
      </c>
      <c r="AA186" s="33">
        <f>ROUND(G186-Q186,2)</f>
      </c>
      <c r="AB186" s="33">
        <f>ROUND(H186-R186,2)</f>
      </c>
      <c r="AC186" s="33">
        <f>ROUND(I186-S186,2)</f>
      </c>
      <c r="AD186" s="33">
        <f>ROUND(J186-T186,2)</f>
      </c>
      <c r="AE186" s="33">
        <f>ROUND(K186-U186,2)</f>
      </c>
      <c r="AF186" s="33">
        <f>IF(V186&lt;=0,0,MAX(0,MIN(V186,ROUND($AZ186-SUMPRODUCT($V186:$AE186*($V186:$AE186&gt;0)*(($V186:$AE186&lt;V186)+($V186:$AE186=V186)*($V$3:$AE$3&gt;V$3)+($V186:$AE186=V186)*($V$3:$AE$3=V$3)*($V$2:$AE$2&lt;V$2))),2))))</f>
      </c>
      <c r="AG186" s="33">
        <f>IF(W186&lt;=0,0,MAX(0,MIN(W186,ROUND($AZ186-SUMPRODUCT($V186:$AE186*($V186:$AE186&gt;0)*(($V186:$AE186&lt;W186)+($V186:$AE186=W186)*($V$3:$AE$3&gt;W$3)+($V186:$AE186=W186)*($V$3:$AE$3=W$3)*($V$2:$AE$2&lt;W$2))),2))))</f>
      </c>
      <c r="AH186" s="33">
        <f>IF(X186&lt;=0,0,MAX(0,MIN(X186,ROUND($AZ186-SUMPRODUCT($V186:$AE186*($V186:$AE186&gt;0)*(($V186:$AE186&lt;X186)+($V186:$AE186=X186)*($V$3:$AE$3&gt;X$3)+($V186:$AE186=X186)*($V$3:$AE$3=X$3)*($V$2:$AE$2&lt;X$2))),2))))</f>
      </c>
      <c r="AI186" s="33">
        <f>IF(Y186&lt;=0,0,MAX(0,MIN(Y186,ROUND($AZ186-SUMPRODUCT($V186:$AE186*($V186:$AE186&gt;0)*(($V186:$AE186&lt;Y186)+($V186:$AE186=Y186)*($V$3:$AE$3&gt;Y$3)+($V186:$AE186=Y186)*($V$3:$AE$3=Y$3)*($V$2:$AE$2&lt;Y$2))),2))))</f>
      </c>
      <c r="AJ186" s="33">
        <f>IF(Z186&lt;=0,0,MAX(0,MIN(Z186,ROUND($AZ186-SUMPRODUCT($V186:$AE186*($V186:$AE186&gt;0)*(($V186:$AE186&lt;Z186)+($V186:$AE186=Z186)*($V$3:$AE$3&gt;Z$3)+($V186:$AE186=Z186)*($V$3:$AE$3=Z$3)*($V$2:$AE$2&lt;Z$2))),2))))</f>
      </c>
      <c r="AK186" s="33">
        <f>IF(AA186&lt;=0,0,MAX(0,MIN(AA186,ROUND($AZ186-SUMPRODUCT($V186:$AE186*($V186:$AE186&gt;0)*(($V186:$AE186&lt;AA186)+($V186:$AE186=AA186)*($V$3:$AE$3&gt;AA$3)+($V186:$AE186=AA186)*($V$3:$AE$3=AA$3)*($V$2:$AE$2&lt;AA$2))),2))))</f>
      </c>
      <c r="AL186" s="33">
        <f>IF(AB186&lt;=0,0,MAX(0,MIN(AB186,ROUND($AZ186-SUMPRODUCT($V186:$AE186*($V186:$AE186&gt;0)*(($V186:$AE186&lt;AB186)+($V186:$AE186=AB186)*($V$3:$AE$3&gt;AB$3)+($V186:$AE186=AB186)*($V$3:$AE$3=AB$3)*($V$2:$AE$2&lt;AB$2))),2))))</f>
      </c>
      <c r="AM186" s="33">
        <f>IF(AC186&lt;=0,0,MAX(0,MIN(AC186,ROUND($AZ186-SUMPRODUCT($V186:$AE186*($V186:$AE186&gt;0)*(($V186:$AE186&lt;AC186)+($V186:$AE186=AC186)*($V$3:$AE$3&gt;AC$3)+($V186:$AE186=AC186)*($V$3:$AE$3=AC$3)*($V$2:$AE$2&lt;AC$2))),2))))</f>
      </c>
      <c r="AN186" s="33">
        <f>IF(AD186&lt;=0,0,MAX(0,MIN(AD186,ROUND($AZ186-SUMPRODUCT($V186:$AE186*($V186:$AE186&gt;0)*(($V186:$AE186&lt;AD186)+($V186:$AE186=AD186)*($V$3:$AE$3&gt;AD$3)+($V186:$AE186=AD186)*($V$3:$AE$3=AD$3)*($V$2:$AE$2&lt;AD$2))),2))))</f>
      </c>
      <c r="AO186" s="33">
        <f>IF(AE186&lt;=0,0,MAX(0,MIN(AE186,ROUND($AZ186-SUMPRODUCT($V186:$AE186*($V186:$AE186&gt;0)*(($V186:$AE186&lt;AE186)+($V186:$AE186=AE186)*($V$3:$AE$3&gt;AE$3)+($V186:$AE186=AE186)*($V$3:$AE$3=AE$3)*($V$2:$AE$2&lt;AE$2))),2))))</f>
      </c>
      <c r="AP186" s="33">
        <f>ROUND(V186-AF186,2)</f>
      </c>
      <c r="AQ186" s="33">
        <f>ROUND(W186-AG186,2)</f>
      </c>
      <c r="AR186" s="33">
        <f>ROUND(X186-AH186,2)</f>
      </c>
      <c r="AS186" s="33">
        <f>ROUND(Y186-AI186,2)</f>
      </c>
      <c r="AT186" s="33">
        <f>ROUND(Z186-AJ186,2)</f>
      </c>
      <c r="AU186" s="33">
        <f>ROUND(AA186-AK186,2)</f>
      </c>
      <c r="AV186" s="33">
        <f>ROUND(AB186-AL186,2)</f>
      </c>
      <c r="AW186" s="33">
        <f>ROUND(AC186-AM186,2)</f>
      </c>
      <c r="AX186" s="33">
        <f>ROUND(AD186-AN186,2)</f>
      </c>
      <c r="AY186" s="33">
        <f>ROUND(AE186-AO186,2)</f>
      </c>
      <c r="AZ186" s="33">
        <f>ROUND(MAX(0,'Your debts'!$D$22-SUM($L186:$U186)),2)</f>
      </c>
      <c r="BA186" s="33">
        <f>ROUND(SUM($B186:$K186)-SUM($AP185:$AY185),2)</f>
      </c>
      <c r="BB186" s="33">
        <f>SUM($AP186:$AY186)</f>
      </c>
      <c r="BC186" s="33">
        <f>ROUND(SUM($L186:$U186)+SUM($AF186:$AO186),2)</f>
      </c>
    </row>
    <row r="187" spans="1:55" x14ac:dyDescent="0.25">
      <c r="A187">
        <v>180</v>
      </c>
      <c r="B187" s="33">
        <f>IF(AP186&lt;=0,0,ROUND(AP186+ROUND(AP186*V$3/12,2),2))</f>
      </c>
      <c r="C187" s="33">
        <f>IF(AQ186&lt;=0,0,ROUND(AQ186+ROUND(AQ186*W$3/12,2),2))</f>
      </c>
      <c r="D187" s="33">
        <f>IF(AR186&lt;=0,0,ROUND(AR186+ROUND(AR186*X$3/12,2),2))</f>
      </c>
      <c r="E187" s="33">
        <f>IF(AS186&lt;=0,0,ROUND(AS186+ROUND(AS186*Y$3/12,2),2))</f>
      </c>
      <c r="F187" s="33">
        <f>IF(AT186&lt;=0,0,ROUND(AT186+ROUND(AT186*Z$3/12,2),2))</f>
      </c>
      <c r="G187" s="33">
        <f>IF(AU186&lt;=0,0,ROUND(AU186+ROUND(AU186*AA$3/12,2),2))</f>
      </c>
      <c r="H187" s="33">
        <f>IF(AV186&lt;=0,0,ROUND(AV186+ROUND(AV186*AB$3/12,2),2))</f>
      </c>
      <c r="I187" s="33">
        <f>IF(AW186&lt;=0,0,ROUND(AW186+ROUND(AW186*AC$3/12,2),2))</f>
      </c>
      <c r="J187" s="33">
        <f>IF(AX186&lt;=0,0,ROUND(AX186+ROUND(AX186*AD$3/12,2),2))</f>
      </c>
      <c r="K187" s="33">
        <f>IF(AY186&lt;=0,0,ROUND(AY186+ROUND(AY186*AE$3/12,2),2))</f>
      </c>
      <c r="L187" s="33">
        <f>ROUND(MIN(MAX(0,N('Your debts'!$E$6)),B187),2)</f>
      </c>
      <c r="M187" s="33">
        <f>ROUND(MIN(MAX(0,N('Your debts'!$E$7)),C187),2)</f>
      </c>
      <c r="N187" s="33">
        <f>ROUND(MIN(MAX(0,N('Your debts'!$E$8)),D187),2)</f>
      </c>
      <c r="O187" s="33">
        <f>ROUND(MIN(MAX(0,N('Your debts'!$E$9)),E187),2)</f>
      </c>
      <c r="P187" s="33">
        <f>ROUND(MIN(MAX(0,N('Your debts'!$E$10)),F187),2)</f>
      </c>
      <c r="Q187" s="33">
        <f>ROUND(MIN(MAX(0,N('Your debts'!$E$11)),G187),2)</f>
      </c>
      <c r="R187" s="33">
        <f>ROUND(MIN(MAX(0,N('Your debts'!$E$12)),H187),2)</f>
      </c>
      <c r="S187" s="33">
        <f>ROUND(MIN(MAX(0,N('Your debts'!$E$13)),I187),2)</f>
      </c>
      <c r="T187" s="33">
        <f>ROUND(MIN(MAX(0,N('Your debts'!$E$14)),J187),2)</f>
      </c>
      <c r="U187" s="33">
        <f>ROUND(MIN(MAX(0,N('Your debts'!$E$15)),K187),2)</f>
      </c>
      <c r="V187" s="33">
        <f>ROUND(B187-L187,2)</f>
      </c>
      <c r="W187" s="33">
        <f>ROUND(C187-M187,2)</f>
      </c>
      <c r="X187" s="33">
        <f>ROUND(D187-N187,2)</f>
      </c>
      <c r="Y187" s="33">
        <f>ROUND(E187-O187,2)</f>
      </c>
      <c r="Z187" s="33">
        <f>ROUND(F187-P187,2)</f>
      </c>
      <c r="AA187" s="33">
        <f>ROUND(G187-Q187,2)</f>
      </c>
      <c r="AB187" s="33">
        <f>ROUND(H187-R187,2)</f>
      </c>
      <c r="AC187" s="33">
        <f>ROUND(I187-S187,2)</f>
      </c>
      <c r="AD187" s="33">
        <f>ROUND(J187-T187,2)</f>
      </c>
      <c r="AE187" s="33">
        <f>ROUND(K187-U187,2)</f>
      </c>
      <c r="AF187" s="33">
        <f>IF(V187&lt;=0,0,MAX(0,MIN(V187,ROUND($AZ187-SUMPRODUCT($V187:$AE187*($V187:$AE187&gt;0)*(($V187:$AE187&lt;V187)+($V187:$AE187=V187)*($V$3:$AE$3&gt;V$3)+($V187:$AE187=V187)*($V$3:$AE$3=V$3)*($V$2:$AE$2&lt;V$2))),2))))</f>
      </c>
      <c r="AG187" s="33">
        <f>IF(W187&lt;=0,0,MAX(0,MIN(W187,ROUND($AZ187-SUMPRODUCT($V187:$AE187*($V187:$AE187&gt;0)*(($V187:$AE187&lt;W187)+($V187:$AE187=W187)*($V$3:$AE$3&gt;W$3)+($V187:$AE187=W187)*($V$3:$AE$3=W$3)*($V$2:$AE$2&lt;W$2))),2))))</f>
      </c>
      <c r="AH187" s="33">
        <f>IF(X187&lt;=0,0,MAX(0,MIN(X187,ROUND($AZ187-SUMPRODUCT($V187:$AE187*($V187:$AE187&gt;0)*(($V187:$AE187&lt;X187)+($V187:$AE187=X187)*($V$3:$AE$3&gt;X$3)+($V187:$AE187=X187)*($V$3:$AE$3=X$3)*($V$2:$AE$2&lt;X$2))),2))))</f>
      </c>
      <c r="AI187" s="33">
        <f>IF(Y187&lt;=0,0,MAX(0,MIN(Y187,ROUND($AZ187-SUMPRODUCT($V187:$AE187*($V187:$AE187&gt;0)*(($V187:$AE187&lt;Y187)+($V187:$AE187=Y187)*($V$3:$AE$3&gt;Y$3)+($V187:$AE187=Y187)*($V$3:$AE$3=Y$3)*($V$2:$AE$2&lt;Y$2))),2))))</f>
      </c>
      <c r="AJ187" s="33">
        <f>IF(Z187&lt;=0,0,MAX(0,MIN(Z187,ROUND($AZ187-SUMPRODUCT($V187:$AE187*($V187:$AE187&gt;0)*(($V187:$AE187&lt;Z187)+($V187:$AE187=Z187)*($V$3:$AE$3&gt;Z$3)+($V187:$AE187=Z187)*($V$3:$AE$3=Z$3)*($V$2:$AE$2&lt;Z$2))),2))))</f>
      </c>
      <c r="AK187" s="33">
        <f>IF(AA187&lt;=0,0,MAX(0,MIN(AA187,ROUND($AZ187-SUMPRODUCT($V187:$AE187*($V187:$AE187&gt;0)*(($V187:$AE187&lt;AA187)+($V187:$AE187=AA187)*($V$3:$AE$3&gt;AA$3)+($V187:$AE187=AA187)*($V$3:$AE$3=AA$3)*($V$2:$AE$2&lt;AA$2))),2))))</f>
      </c>
      <c r="AL187" s="33">
        <f>IF(AB187&lt;=0,0,MAX(0,MIN(AB187,ROUND($AZ187-SUMPRODUCT($V187:$AE187*($V187:$AE187&gt;0)*(($V187:$AE187&lt;AB187)+($V187:$AE187=AB187)*($V$3:$AE$3&gt;AB$3)+($V187:$AE187=AB187)*($V$3:$AE$3=AB$3)*($V$2:$AE$2&lt;AB$2))),2))))</f>
      </c>
      <c r="AM187" s="33">
        <f>IF(AC187&lt;=0,0,MAX(0,MIN(AC187,ROUND($AZ187-SUMPRODUCT($V187:$AE187*($V187:$AE187&gt;0)*(($V187:$AE187&lt;AC187)+($V187:$AE187=AC187)*($V$3:$AE$3&gt;AC$3)+($V187:$AE187=AC187)*($V$3:$AE$3=AC$3)*($V$2:$AE$2&lt;AC$2))),2))))</f>
      </c>
      <c r="AN187" s="33">
        <f>IF(AD187&lt;=0,0,MAX(0,MIN(AD187,ROUND($AZ187-SUMPRODUCT($V187:$AE187*($V187:$AE187&gt;0)*(($V187:$AE187&lt;AD187)+($V187:$AE187=AD187)*($V$3:$AE$3&gt;AD$3)+($V187:$AE187=AD187)*($V$3:$AE$3=AD$3)*($V$2:$AE$2&lt;AD$2))),2))))</f>
      </c>
      <c r="AO187" s="33">
        <f>IF(AE187&lt;=0,0,MAX(0,MIN(AE187,ROUND($AZ187-SUMPRODUCT($V187:$AE187*($V187:$AE187&gt;0)*(($V187:$AE187&lt;AE187)+($V187:$AE187=AE187)*($V$3:$AE$3&gt;AE$3)+($V187:$AE187=AE187)*($V$3:$AE$3=AE$3)*($V$2:$AE$2&lt;AE$2))),2))))</f>
      </c>
      <c r="AP187" s="33">
        <f>ROUND(V187-AF187,2)</f>
      </c>
      <c r="AQ187" s="33">
        <f>ROUND(W187-AG187,2)</f>
      </c>
      <c r="AR187" s="33">
        <f>ROUND(X187-AH187,2)</f>
      </c>
      <c r="AS187" s="33">
        <f>ROUND(Y187-AI187,2)</f>
      </c>
      <c r="AT187" s="33">
        <f>ROUND(Z187-AJ187,2)</f>
      </c>
      <c r="AU187" s="33">
        <f>ROUND(AA187-AK187,2)</f>
      </c>
      <c r="AV187" s="33">
        <f>ROUND(AB187-AL187,2)</f>
      </c>
      <c r="AW187" s="33">
        <f>ROUND(AC187-AM187,2)</f>
      </c>
      <c r="AX187" s="33">
        <f>ROUND(AD187-AN187,2)</f>
      </c>
      <c r="AY187" s="33">
        <f>ROUND(AE187-AO187,2)</f>
      </c>
      <c r="AZ187" s="33">
        <f>ROUND(MAX(0,'Your debts'!$D$22-SUM($L187:$U187)),2)</f>
      </c>
      <c r="BA187" s="33">
        <f>ROUND(SUM($B187:$K187)-SUM($AP186:$AY186),2)</f>
      </c>
      <c r="BB187" s="33">
        <f>SUM($AP187:$AY187)</f>
      </c>
      <c r="BC187" s="33">
        <f>ROUND(SUM($L187:$U187)+SUM($AF187:$AO187),2)</f>
      </c>
    </row>
    <row r="188" spans="1:55" x14ac:dyDescent="0.25">
      <c r="A188">
        <v>181</v>
      </c>
      <c r="B188" s="33">
        <f>IF(AP187&lt;=0,0,ROUND(AP187+ROUND(AP187*V$3/12,2),2))</f>
      </c>
      <c r="C188" s="33">
        <f>IF(AQ187&lt;=0,0,ROUND(AQ187+ROUND(AQ187*W$3/12,2),2))</f>
      </c>
      <c r="D188" s="33">
        <f>IF(AR187&lt;=0,0,ROUND(AR187+ROUND(AR187*X$3/12,2),2))</f>
      </c>
      <c r="E188" s="33">
        <f>IF(AS187&lt;=0,0,ROUND(AS187+ROUND(AS187*Y$3/12,2),2))</f>
      </c>
      <c r="F188" s="33">
        <f>IF(AT187&lt;=0,0,ROUND(AT187+ROUND(AT187*Z$3/12,2),2))</f>
      </c>
      <c r="G188" s="33">
        <f>IF(AU187&lt;=0,0,ROUND(AU187+ROUND(AU187*AA$3/12,2),2))</f>
      </c>
      <c r="H188" s="33">
        <f>IF(AV187&lt;=0,0,ROUND(AV187+ROUND(AV187*AB$3/12,2),2))</f>
      </c>
      <c r="I188" s="33">
        <f>IF(AW187&lt;=0,0,ROUND(AW187+ROUND(AW187*AC$3/12,2),2))</f>
      </c>
      <c r="J188" s="33">
        <f>IF(AX187&lt;=0,0,ROUND(AX187+ROUND(AX187*AD$3/12,2),2))</f>
      </c>
      <c r="K188" s="33">
        <f>IF(AY187&lt;=0,0,ROUND(AY187+ROUND(AY187*AE$3/12,2),2))</f>
      </c>
      <c r="L188" s="33">
        <f>ROUND(MIN(MAX(0,N('Your debts'!$E$6)),B188),2)</f>
      </c>
      <c r="M188" s="33">
        <f>ROUND(MIN(MAX(0,N('Your debts'!$E$7)),C188),2)</f>
      </c>
      <c r="N188" s="33">
        <f>ROUND(MIN(MAX(0,N('Your debts'!$E$8)),D188),2)</f>
      </c>
      <c r="O188" s="33">
        <f>ROUND(MIN(MAX(0,N('Your debts'!$E$9)),E188),2)</f>
      </c>
      <c r="P188" s="33">
        <f>ROUND(MIN(MAX(0,N('Your debts'!$E$10)),F188),2)</f>
      </c>
      <c r="Q188" s="33">
        <f>ROUND(MIN(MAX(0,N('Your debts'!$E$11)),G188),2)</f>
      </c>
      <c r="R188" s="33">
        <f>ROUND(MIN(MAX(0,N('Your debts'!$E$12)),H188),2)</f>
      </c>
      <c r="S188" s="33">
        <f>ROUND(MIN(MAX(0,N('Your debts'!$E$13)),I188),2)</f>
      </c>
      <c r="T188" s="33">
        <f>ROUND(MIN(MAX(0,N('Your debts'!$E$14)),J188),2)</f>
      </c>
      <c r="U188" s="33">
        <f>ROUND(MIN(MAX(0,N('Your debts'!$E$15)),K188),2)</f>
      </c>
      <c r="V188" s="33">
        <f>ROUND(B188-L188,2)</f>
      </c>
      <c r="W188" s="33">
        <f>ROUND(C188-M188,2)</f>
      </c>
      <c r="X188" s="33">
        <f>ROUND(D188-N188,2)</f>
      </c>
      <c r="Y188" s="33">
        <f>ROUND(E188-O188,2)</f>
      </c>
      <c r="Z188" s="33">
        <f>ROUND(F188-P188,2)</f>
      </c>
      <c r="AA188" s="33">
        <f>ROUND(G188-Q188,2)</f>
      </c>
      <c r="AB188" s="33">
        <f>ROUND(H188-R188,2)</f>
      </c>
      <c r="AC188" s="33">
        <f>ROUND(I188-S188,2)</f>
      </c>
      <c r="AD188" s="33">
        <f>ROUND(J188-T188,2)</f>
      </c>
      <c r="AE188" s="33">
        <f>ROUND(K188-U188,2)</f>
      </c>
      <c r="AF188" s="33">
        <f>IF(V188&lt;=0,0,MAX(0,MIN(V188,ROUND($AZ188-SUMPRODUCT($V188:$AE188*($V188:$AE188&gt;0)*(($V188:$AE188&lt;V188)+($V188:$AE188=V188)*($V$3:$AE$3&gt;V$3)+($V188:$AE188=V188)*($V$3:$AE$3=V$3)*($V$2:$AE$2&lt;V$2))),2))))</f>
      </c>
      <c r="AG188" s="33">
        <f>IF(W188&lt;=0,0,MAX(0,MIN(W188,ROUND($AZ188-SUMPRODUCT($V188:$AE188*($V188:$AE188&gt;0)*(($V188:$AE188&lt;W188)+($V188:$AE188=W188)*($V$3:$AE$3&gt;W$3)+($V188:$AE188=W188)*($V$3:$AE$3=W$3)*($V$2:$AE$2&lt;W$2))),2))))</f>
      </c>
      <c r="AH188" s="33">
        <f>IF(X188&lt;=0,0,MAX(0,MIN(X188,ROUND($AZ188-SUMPRODUCT($V188:$AE188*($V188:$AE188&gt;0)*(($V188:$AE188&lt;X188)+($V188:$AE188=X188)*($V$3:$AE$3&gt;X$3)+($V188:$AE188=X188)*($V$3:$AE$3=X$3)*($V$2:$AE$2&lt;X$2))),2))))</f>
      </c>
      <c r="AI188" s="33">
        <f>IF(Y188&lt;=0,0,MAX(0,MIN(Y188,ROUND($AZ188-SUMPRODUCT($V188:$AE188*($V188:$AE188&gt;0)*(($V188:$AE188&lt;Y188)+($V188:$AE188=Y188)*($V$3:$AE$3&gt;Y$3)+($V188:$AE188=Y188)*($V$3:$AE$3=Y$3)*($V$2:$AE$2&lt;Y$2))),2))))</f>
      </c>
      <c r="AJ188" s="33">
        <f>IF(Z188&lt;=0,0,MAX(0,MIN(Z188,ROUND($AZ188-SUMPRODUCT($V188:$AE188*($V188:$AE188&gt;0)*(($V188:$AE188&lt;Z188)+($V188:$AE188=Z188)*($V$3:$AE$3&gt;Z$3)+($V188:$AE188=Z188)*($V$3:$AE$3=Z$3)*($V$2:$AE$2&lt;Z$2))),2))))</f>
      </c>
      <c r="AK188" s="33">
        <f>IF(AA188&lt;=0,0,MAX(0,MIN(AA188,ROUND($AZ188-SUMPRODUCT($V188:$AE188*($V188:$AE188&gt;0)*(($V188:$AE188&lt;AA188)+($V188:$AE188=AA188)*($V$3:$AE$3&gt;AA$3)+($V188:$AE188=AA188)*($V$3:$AE$3=AA$3)*($V$2:$AE$2&lt;AA$2))),2))))</f>
      </c>
      <c r="AL188" s="33">
        <f>IF(AB188&lt;=0,0,MAX(0,MIN(AB188,ROUND($AZ188-SUMPRODUCT($V188:$AE188*($V188:$AE188&gt;0)*(($V188:$AE188&lt;AB188)+($V188:$AE188=AB188)*($V$3:$AE$3&gt;AB$3)+($V188:$AE188=AB188)*($V$3:$AE$3=AB$3)*($V$2:$AE$2&lt;AB$2))),2))))</f>
      </c>
      <c r="AM188" s="33">
        <f>IF(AC188&lt;=0,0,MAX(0,MIN(AC188,ROUND($AZ188-SUMPRODUCT($V188:$AE188*($V188:$AE188&gt;0)*(($V188:$AE188&lt;AC188)+($V188:$AE188=AC188)*($V$3:$AE$3&gt;AC$3)+($V188:$AE188=AC188)*($V$3:$AE$3=AC$3)*($V$2:$AE$2&lt;AC$2))),2))))</f>
      </c>
      <c r="AN188" s="33">
        <f>IF(AD188&lt;=0,0,MAX(0,MIN(AD188,ROUND($AZ188-SUMPRODUCT($V188:$AE188*($V188:$AE188&gt;0)*(($V188:$AE188&lt;AD188)+($V188:$AE188=AD188)*($V$3:$AE$3&gt;AD$3)+($V188:$AE188=AD188)*($V$3:$AE$3=AD$3)*($V$2:$AE$2&lt;AD$2))),2))))</f>
      </c>
      <c r="AO188" s="33">
        <f>IF(AE188&lt;=0,0,MAX(0,MIN(AE188,ROUND($AZ188-SUMPRODUCT($V188:$AE188*($V188:$AE188&gt;0)*(($V188:$AE188&lt;AE188)+($V188:$AE188=AE188)*($V$3:$AE$3&gt;AE$3)+($V188:$AE188=AE188)*($V$3:$AE$3=AE$3)*($V$2:$AE$2&lt;AE$2))),2))))</f>
      </c>
      <c r="AP188" s="33">
        <f>ROUND(V188-AF188,2)</f>
      </c>
      <c r="AQ188" s="33">
        <f>ROUND(W188-AG188,2)</f>
      </c>
      <c r="AR188" s="33">
        <f>ROUND(X188-AH188,2)</f>
      </c>
      <c r="AS188" s="33">
        <f>ROUND(Y188-AI188,2)</f>
      </c>
      <c r="AT188" s="33">
        <f>ROUND(Z188-AJ188,2)</f>
      </c>
      <c r="AU188" s="33">
        <f>ROUND(AA188-AK188,2)</f>
      </c>
      <c r="AV188" s="33">
        <f>ROUND(AB188-AL188,2)</f>
      </c>
      <c r="AW188" s="33">
        <f>ROUND(AC188-AM188,2)</f>
      </c>
      <c r="AX188" s="33">
        <f>ROUND(AD188-AN188,2)</f>
      </c>
      <c r="AY188" s="33">
        <f>ROUND(AE188-AO188,2)</f>
      </c>
      <c r="AZ188" s="33">
        <f>ROUND(MAX(0,'Your debts'!$D$22-SUM($L188:$U188)),2)</f>
      </c>
      <c r="BA188" s="33">
        <f>ROUND(SUM($B188:$K188)-SUM($AP187:$AY187),2)</f>
      </c>
      <c r="BB188" s="33">
        <f>SUM($AP188:$AY188)</f>
      </c>
      <c r="BC188" s="33">
        <f>ROUND(SUM($L188:$U188)+SUM($AF188:$AO188),2)</f>
      </c>
    </row>
    <row r="189" spans="1:55" x14ac:dyDescent="0.25">
      <c r="A189">
        <v>182</v>
      </c>
      <c r="B189" s="33">
        <f>IF(AP188&lt;=0,0,ROUND(AP188+ROUND(AP188*V$3/12,2),2))</f>
      </c>
      <c r="C189" s="33">
        <f>IF(AQ188&lt;=0,0,ROUND(AQ188+ROUND(AQ188*W$3/12,2),2))</f>
      </c>
      <c r="D189" s="33">
        <f>IF(AR188&lt;=0,0,ROUND(AR188+ROUND(AR188*X$3/12,2),2))</f>
      </c>
      <c r="E189" s="33">
        <f>IF(AS188&lt;=0,0,ROUND(AS188+ROUND(AS188*Y$3/12,2),2))</f>
      </c>
      <c r="F189" s="33">
        <f>IF(AT188&lt;=0,0,ROUND(AT188+ROUND(AT188*Z$3/12,2),2))</f>
      </c>
      <c r="G189" s="33">
        <f>IF(AU188&lt;=0,0,ROUND(AU188+ROUND(AU188*AA$3/12,2),2))</f>
      </c>
      <c r="H189" s="33">
        <f>IF(AV188&lt;=0,0,ROUND(AV188+ROUND(AV188*AB$3/12,2),2))</f>
      </c>
      <c r="I189" s="33">
        <f>IF(AW188&lt;=0,0,ROUND(AW188+ROUND(AW188*AC$3/12,2),2))</f>
      </c>
      <c r="J189" s="33">
        <f>IF(AX188&lt;=0,0,ROUND(AX188+ROUND(AX188*AD$3/12,2),2))</f>
      </c>
      <c r="K189" s="33">
        <f>IF(AY188&lt;=0,0,ROUND(AY188+ROUND(AY188*AE$3/12,2),2))</f>
      </c>
      <c r="L189" s="33">
        <f>ROUND(MIN(MAX(0,N('Your debts'!$E$6)),B189),2)</f>
      </c>
      <c r="M189" s="33">
        <f>ROUND(MIN(MAX(0,N('Your debts'!$E$7)),C189),2)</f>
      </c>
      <c r="N189" s="33">
        <f>ROUND(MIN(MAX(0,N('Your debts'!$E$8)),D189),2)</f>
      </c>
      <c r="O189" s="33">
        <f>ROUND(MIN(MAX(0,N('Your debts'!$E$9)),E189),2)</f>
      </c>
      <c r="P189" s="33">
        <f>ROUND(MIN(MAX(0,N('Your debts'!$E$10)),F189),2)</f>
      </c>
      <c r="Q189" s="33">
        <f>ROUND(MIN(MAX(0,N('Your debts'!$E$11)),G189),2)</f>
      </c>
      <c r="R189" s="33">
        <f>ROUND(MIN(MAX(0,N('Your debts'!$E$12)),H189),2)</f>
      </c>
      <c r="S189" s="33">
        <f>ROUND(MIN(MAX(0,N('Your debts'!$E$13)),I189),2)</f>
      </c>
      <c r="T189" s="33">
        <f>ROUND(MIN(MAX(0,N('Your debts'!$E$14)),J189),2)</f>
      </c>
      <c r="U189" s="33">
        <f>ROUND(MIN(MAX(0,N('Your debts'!$E$15)),K189),2)</f>
      </c>
      <c r="V189" s="33">
        <f>ROUND(B189-L189,2)</f>
      </c>
      <c r="W189" s="33">
        <f>ROUND(C189-M189,2)</f>
      </c>
      <c r="X189" s="33">
        <f>ROUND(D189-N189,2)</f>
      </c>
      <c r="Y189" s="33">
        <f>ROUND(E189-O189,2)</f>
      </c>
      <c r="Z189" s="33">
        <f>ROUND(F189-P189,2)</f>
      </c>
      <c r="AA189" s="33">
        <f>ROUND(G189-Q189,2)</f>
      </c>
      <c r="AB189" s="33">
        <f>ROUND(H189-R189,2)</f>
      </c>
      <c r="AC189" s="33">
        <f>ROUND(I189-S189,2)</f>
      </c>
      <c r="AD189" s="33">
        <f>ROUND(J189-T189,2)</f>
      </c>
      <c r="AE189" s="33">
        <f>ROUND(K189-U189,2)</f>
      </c>
      <c r="AF189" s="33">
        <f>IF(V189&lt;=0,0,MAX(0,MIN(V189,ROUND($AZ189-SUMPRODUCT($V189:$AE189*($V189:$AE189&gt;0)*(($V189:$AE189&lt;V189)+($V189:$AE189=V189)*($V$3:$AE$3&gt;V$3)+($V189:$AE189=V189)*($V$3:$AE$3=V$3)*($V$2:$AE$2&lt;V$2))),2))))</f>
      </c>
      <c r="AG189" s="33">
        <f>IF(W189&lt;=0,0,MAX(0,MIN(W189,ROUND($AZ189-SUMPRODUCT($V189:$AE189*($V189:$AE189&gt;0)*(($V189:$AE189&lt;W189)+($V189:$AE189=W189)*($V$3:$AE$3&gt;W$3)+($V189:$AE189=W189)*($V$3:$AE$3=W$3)*($V$2:$AE$2&lt;W$2))),2))))</f>
      </c>
      <c r="AH189" s="33">
        <f>IF(X189&lt;=0,0,MAX(0,MIN(X189,ROUND($AZ189-SUMPRODUCT($V189:$AE189*($V189:$AE189&gt;0)*(($V189:$AE189&lt;X189)+($V189:$AE189=X189)*($V$3:$AE$3&gt;X$3)+($V189:$AE189=X189)*($V$3:$AE$3=X$3)*($V$2:$AE$2&lt;X$2))),2))))</f>
      </c>
      <c r="AI189" s="33">
        <f>IF(Y189&lt;=0,0,MAX(0,MIN(Y189,ROUND($AZ189-SUMPRODUCT($V189:$AE189*($V189:$AE189&gt;0)*(($V189:$AE189&lt;Y189)+($V189:$AE189=Y189)*($V$3:$AE$3&gt;Y$3)+($V189:$AE189=Y189)*($V$3:$AE$3=Y$3)*($V$2:$AE$2&lt;Y$2))),2))))</f>
      </c>
      <c r="AJ189" s="33">
        <f>IF(Z189&lt;=0,0,MAX(0,MIN(Z189,ROUND($AZ189-SUMPRODUCT($V189:$AE189*($V189:$AE189&gt;0)*(($V189:$AE189&lt;Z189)+($V189:$AE189=Z189)*($V$3:$AE$3&gt;Z$3)+($V189:$AE189=Z189)*($V$3:$AE$3=Z$3)*($V$2:$AE$2&lt;Z$2))),2))))</f>
      </c>
      <c r="AK189" s="33">
        <f>IF(AA189&lt;=0,0,MAX(0,MIN(AA189,ROUND($AZ189-SUMPRODUCT($V189:$AE189*($V189:$AE189&gt;0)*(($V189:$AE189&lt;AA189)+($V189:$AE189=AA189)*($V$3:$AE$3&gt;AA$3)+($V189:$AE189=AA189)*($V$3:$AE$3=AA$3)*($V$2:$AE$2&lt;AA$2))),2))))</f>
      </c>
      <c r="AL189" s="33">
        <f>IF(AB189&lt;=0,0,MAX(0,MIN(AB189,ROUND($AZ189-SUMPRODUCT($V189:$AE189*($V189:$AE189&gt;0)*(($V189:$AE189&lt;AB189)+($V189:$AE189=AB189)*($V$3:$AE$3&gt;AB$3)+($V189:$AE189=AB189)*($V$3:$AE$3=AB$3)*($V$2:$AE$2&lt;AB$2))),2))))</f>
      </c>
      <c r="AM189" s="33">
        <f>IF(AC189&lt;=0,0,MAX(0,MIN(AC189,ROUND($AZ189-SUMPRODUCT($V189:$AE189*($V189:$AE189&gt;0)*(($V189:$AE189&lt;AC189)+($V189:$AE189=AC189)*($V$3:$AE$3&gt;AC$3)+($V189:$AE189=AC189)*($V$3:$AE$3=AC$3)*($V$2:$AE$2&lt;AC$2))),2))))</f>
      </c>
      <c r="AN189" s="33">
        <f>IF(AD189&lt;=0,0,MAX(0,MIN(AD189,ROUND($AZ189-SUMPRODUCT($V189:$AE189*($V189:$AE189&gt;0)*(($V189:$AE189&lt;AD189)+($V189:$AE189=AD189)*($V$3:$AE$3&gt;AD$3)+($V189:$AE189=AD189)*($V$3:$AE$3=AD$3)*($V$2:$AE$2&lt;AD$2))),2))))</f>
      </c>
      <c r="AO189" s="33">
        <f>IF(AE189&lt;=0,0,MAX(0,MIN(AE189,ROUND($AZ189-SUMPRODUCT($V189:$AE189*($V189:$AE189&gt;0)*(($V189:$AE189&lt;AE189)+($V189:$AE189=AE189)*($V$3:$AE$3&gt;AE$3)+($V189:$AE189=AE189)*($V$3:$AE$3=AE$3)*($V$2:$AE$2&lt;AE$2))),2))))</f>
      </c>
      <c r="AP189" s="33">
        <f>ROUND(V189-AF189,2)</f>
      </c>
      <c r="AQ189" s="33">
        <f>ROUND(W189-AG189,2)</f>
      </c>
      <c r="AR189" s="33">
        <f>ROUND(X189-AH189,2)</f>
      </c>
      <c r="AS189" s="33">
        <f>ROUND(Y189-AI189,2)</f>
      </c>
      <c r="AT189" s="33">
        <f>ROUND(Z189-AJ189,2)</f>
      </c>
      <c r="AU189" s="33">
        <f>ROUND(AA189-AK189,2)</f>
      </c>
      <c r="AV189" s="33">
        <f>ROUND(AB189-AL189,2)</f>
      </c>
      <c r="AW189" s="33">
        <f>ROUND(AC189-AM189,2)</f>
      </c>
      <c r="AX189" s="33">
        <f>ROUND(AD189-AN189,2)</f>
      </c>
      <c r="AY189" s="33">
        <f>ROUND(AE189-AO189,2)</f>
      </c>
      <c r="AZ189" s="33">
        <f>ROUND(MAX(0,'Your debts'!$D$22-SUM($L189:$U189)),2)</f>
      </c>
      <c r="BA189" s="33">
        <f>ROUND(SUM($B189:$K189)-SUM($AP188:$AY188),2)</f>
      </c>
      <c r="BB189" s="33">
        <f>SUM($AP189:$AY189)</f>
      </c>
      <c r="BC189" s="33">
        <f>ROUND(SUM($L189:$U189)+SUM($AF189:$AO189),2)</f>
      </c>
    </row>
    <row r="190" spans="1:55" x14ac:dyDescent="0.25">
      <c r="A190">
        <v>183</v>
      </c>
      <c r="B190" s="33">
        <f>IF(AP189&lt;=0,0,ROUND(AP189+ROUND(AP189*V$3/12,2),2))</f>
      </c>
      <c r="C190" s="33">
        <f>IF(AQ189&lt;=0,0,ROUND(AQ189+ROUND(AQ189*W$3/12,2),2))</f>
      </c>
      <c r="D190" s="33">
        <f>IF(AR189&lt;=0,0,ROUND(AR189+ROUND(AR189*X$3/12,2),2))</f>
      </c>
      <c r="E190" s="33">
        <f>IF(AS189&lt;=0,0,ROUND(AS189+ROUND(AS189*Y$3/12,2),2))</f>
      </c>
      <c r="F190" s="33">
        <f>IF(AT189&lt;=0,0,ROUND(AT189+ROUND(AT189*Z$3/12,2),2))</f>
      </c>
      <c r="G190" s="33">
        <f>IF(AU189&lt;=0,0,ROUND(AU189+ROUND(AU189*AA$3/12,2),2))</f>
      </c>
      <c r="H190" s="33">
        <f>IF(AV189&lt;=0,0,ROUND(AV189+ROUND(AV189*AB$3/12,2),2))</f>
      </c>
      <c r="I190" s="33">
        <f>IF(AW189&lt;=0,0,ROUND(AW189+ROUND(AW189*AC$3/12,2),2))</f>
      </c>
      <c r="J190" s="33">
        <f>IF(AX189&lt;=0,0,ROUND(AX189+ROUND(AX189*AD$3/12,2),2))</f>
      </c>
      <c r="K190" s="33">
        <f>IF(AY189&lt;=0,0,ROUND(AY189+ROUND(AY189*AE$3/12,2),2))</f>
      </c>
      <c r="L190" s="33">
        <f>ROUND(MIN(MAX(0,N('Your debts'!$E$6)),B190),2)</f>
      </c>
      <c r="M190" s="33">
        <f>ROUND(MIN(MAX(0,N('Your debts'!$E$7)),C190),2)</f>
      </c>
      <c r="N190" s="33">
        <f>ROUND(MIN(MAX(0,N('Your debts'!$E$8)),D190),2)</f>
      </c>
      <c r="O190" s="33">
        <f>ROUND(MIN(MAX(0,N('Your debts'!$E$9)),E190),2)</f>
      </c>
      <c r="P190" s="33">
        <f>ROUND(MIN(MAX(0,N('Your debts'!$E$10)),F190),2)</f>
      </c>
      <c r="Q190" s="33">
        <f>ROUND(MIN(MAX(0,N('Your debts'!$E$11)),G190),2)</f>
      </c>
      <c r="R190" s="33">
        <f>ROUND(MIN(MAX(0,N('Your debts'!$E$12)),H190),2)</f>
      </c>
      <c r="S190" s="33">
        <f>ROUND(MIN(MAX(0,N('Your debts'!$E$13)),I190),2)</f>
      </c>
      <c r="T190" s="33">
        <f>ROUND(MIN(MAX(0,N('Your debts'!$E$14)),J190),2)</f>
      </c>
      <c r="U190" s="33">
        <f>ROUND(MIN(MAX(0,N('Your debts'!$E$15)),K190),2)</f>
      </c>
      <c r="V190" s="33">
        <f>ROUND(B190-L190,2)</f>
      </c>
      <c r="W190" s="33">
        <f>ROUND(C190-M190,2)</f>
      </c>
      <c r="X190" s="33">
        <f>ROUND(D190-N190,2)</f>
      </c>
      <c r="Y190" s="33">
        <f>ROUND(E190-O190,2)</f>
      </c>
      <c r="Z190" s="33">
        <f>ROUND(F190-P190,2)</f>
      </c>
      <c r="AA190" s="33">
        <f>ROUND(G190-Q190,2)</f>
      </c>
      <c r="AB190" s="33">
        <f>ROUND(H190-R190,2)</f>
      </c>
      <c r="AC190" s="33">
        <f>ROUND(I190-S190,2)</f>
      </c>
      <c r="AD190" s="33">
        <f>ROUND(J190-T190,2)</f>
      </c>
      <c r="AE190" s="33">
        <f>ROUND(K190-U190,2)</f>
      </c>
      <c r="AF190" s="33">
        <f>IF(V190&lt;=0,0,MAX(0,MIN(V190,ROUND($AZ190-SUMPRODUCT($V190:$AE190*($V190:$AE190&gt;0)*(($V190:$AE190&lt;V190)+($V190:$AE190=V190)*($V$3:$AE$3&gt;V$3)+($V190:$AE190=V190)*($V$3:$AE$3=V$3)*($V$2:$AE$2&lt;V$2))),2))))</f>
      </c>
      <c r="AG190" s="33">
        <f>IF(W190&lt;=0,0,MAX(0,MIN(W190,ROUND($AZ190-SUMPRODUCT($V190:$AE190*($V190:$AE190&gt;0)*(($V190:$AE190&lt;W190)+($V190:$AE190=W190)*($V$3:$AE$3&gt;W$3)+($V190:$AE190=W190)*($V$3:$AE$3=W$3)*($V$2:$AE$2&lt;W$2))),2))))</f>
      </c>
      <c r="AH190" s="33">
        <f>IF(X190&lt;=0,0,MAX(0,MIN(X190,ROUND($AZ190-SUMPRODUCT($V190:$AE190*($V190:$AE190&gt;0)*(($V190:$AE190&lt;X190)+($V190:$AE190=X190)*($V$3:$AE$3&gt;X$3)+($V190:$AE190=X190)*($V$3:$AE$3=X$3)*($V$2:$AE$2&lt;X$2))),2))))</f>
      </c>
      <c r="AI190" s="33">
        <f>IF(Y190&lt;=0,0,MAX(0,MIN(Y190,ROUND($AZ190-SUMPRODUCT($V190:$AE190*($V190:$AE190&gt;0)*(($V190:$AE190&lt;Y190)+($V190:$AE190=Y190)*($V$3:$AE$3&gt;Y$3)+($V190:$AE190=Y190)*($V$3:$AE$3=Y$3)*($V$2:$AE$2&lt;Y$2))),2))))</f>
      </c>
      <c r="AJ190" s="33">
        <f>IF(Z190&lt;=0,0,MAX(0,MIN(Z190,ROUND($AZ190-SUMPRODUCT($V190:$AE190*($V190:$AE190&gt;0)*(($V190:$AE190&lt;Z190)+($V190:$AE190=Z190)*($V$3:$AE$3&gt;Z$3)+($V190:$AE190=Z190)*($V$3:$AE$3=Z$3)*($V$2:$AE$2&lt;Z$2))),2))))</f>
      </c>
      <c r="AK190" s="33">
        <f>IF(AA190&lt;=0,0,MAX(0,MIN(AA190,ROUND($AZ190-SUMPRODUCT($V190:$AE190*($V190:$AE190&gt;0)*(($V190:$AE190&lt;AA190)+($V190:$AE190=AA190)*($V$3:$AE$3&gt;AA$3)+($V190:$AE190=AA190)*($V$3:$AE$3=AA$3)*($V$2:$AE$2&lt;AA$2))),2))))</f>
      </c>
      <c r="AL190" s="33">
        <f>IF(AB190&lt;=0,0,MAX(0,MIN(AB190,ROUND($AZ190-SUMPRODUCT($V190:$AE190*($V190:$AE190&gt;0)*(($V190:$AE190&lt;AB190)+($V190:$AE190=AB190)*($V$3:$AE$3&gt;AB$3)+($V190:$AE190=AB190)*($V$3:$AE$3=AB$3)*($V$2:$AE$2&lt;AB$2))),2))))</f>
      </c>
      <c r="AM190" s="33">
        <f>IF(AC190&lt;=0,0,MAX(0,MIN(AC190,ROUND($AZ190-SUMPRODUCT($V190:$AE190*($V190:$AE190&gt;0)*(($V190:$AE190&lt;AC190)+($V190:$AE190=AC190)*($V$3:$AE$3&gt;AC$3)+($V190:$AE190=AC190)*($V$3:$AE$3=AC$3)*($V$2:$AE$2&lt;AC$2))),2))))</f>
      </c>
      <c r="AN190" s="33">
        <f>IF(AD190&lt;=0,0,MAX(0,MIN(AD190,ROUND($AZ190-SUMPRODUCT($V190:$AE190*($V190:$AE190&gt;0)*(($V190:$AE190&lt;AD190)+($V190:$AE190=AD190)*($V$3:$AE$3&gt;AD$3)+($V190:$AE190=AD190)*($V$3:$AE$3=AD$3)*($V$2:$AE$2&lt;AD$2))),2))))</f>
      </c>
      <c r="AO190" s="33">
        <f>IF(AE190&lt;=0,0,MAX(0,MIN(AE190,ROUND($AZ190-SUMPRODUCT($V190:$AE190*($V190:$AE190&gt;0)*(($V190:$AE190&lt;AE190)+($V190:$AE190=AE190)*($V$3:$AE$3&gt;AE$3)+($V190:$AE190=AE190)*($V$3:$AE$3=AE$3)*($V$2:$AE$2&lt;AE$2))),2))))</f>
      </c>
      <c r="AP190" s="33">
        <f>ROUND(V190-AF190,2)</f>
      </c>
      <c r="AQ190" s="33">
        <f>ROUND(W190-AG190,2)</f>
      </c>
      <c r="AR190" s="33">
        <f>ROUND(X190-AH190,2)</f>
      </c>
      <c r="AS190" s="33">
        <f>ROUND(Y190-AI190,2)</f>
      </c>
      <c r="AT190" s="33">
        <f>ROUND(Z190-AJ190,2)</f>
      </c>
      <c r="AU190" s="33">
        <f>ROUND(AA190-AK190,2)</f>
      </c>
      <c r="AV190" s="33">
        <f>ROUND(AB190-AL190,2)</f>
      </c>
      <c r="AW190" s="33">
        <f>ROUND(AC190-AM190,2)</f>
      </c>
      <c r="AX190" s="33">
        <f>ROUND(AD190-AN190,2)</f>
      </c>
      <c r="AY190" s="33">
        <f>ROUND(AE190-AO190,2)</f>
      </c>
      <c r="AZ190" s="33">
        <f>ROUND(MAX(0,'Your debts'!$D$22-SUM($L190:$U190)),2)</f>
      </c>
      <c r="BA190" s="33">
        <f>ROUND(SUM($B190:$K190)-SUM($AP189:$AY189),2)</f>
      </c>
      <c r="BB190" s="33">
        <f>SUM($AP190:$AY190)</f>
      </c>
      <c r="BC190" s="33">
        <f>ROUND(SUM($L190:$U190)+SUM($AF190:$AO190),2)</f>
      </c>
    </row>
    <row r="191" spans="1:55" x14ac:dyDescent="0.25">
      <c r="A191">
        <v>184</v>
      </c>
      <c r="B191" s="33">
        <f>IF(AP190&lt;=0,0,ROUND(AP190+ROUND(AP190*V$3/12,2),2))</f>
      </c>
      <c r="C191" s="33">
        <f>IF(AQ190&lt;=0,0,ROUND(AQ190+ROUND(AQ190*W$3/12,2),2))</f>
      </c>
      <c r="D191" s="33">
        <f>IF(AR190&lt;=0,0,ROUND(AR190+ROUND(AR190*X$3/12,2),2))</f>
      </c>
      <c r="E191" s="33">
        <f>IF(AS190&lt;=0,0,ROUND(AS190+ROUND(AS190*Y$3/12,2),2))</f>
      </c>
      <c r="F191" s="33">
        <f>IF(AT190&lt;=0,0,ROUND(AT190+ROUND(AT190*Z$3/12,2),2))</f>
      </c>
      <c r="G191" s="33">
        <f>IF(AU190&lt;=0,0,ROUND(AU190+ROUND(AU190*AA$3/12,2),2))</f>
      </c>
      <c r="H191" s="33">
        <f>IF(AV190&lt;=0,0,ROUND(AV190+ROUND(AV190*AB$3/12,2),2))</f>
      </c>
      <c r="I191" s="33">
        <f>IF(AW190&lt;=0,0,ROUND(AW190+ROUND(AW190*AC$3/12,2),2))</f>
      </c>
      <c r="J191" s="33">
        <f>IF(AX190&lt;=0,0,ROUND(AX190+ROUND(AX190*AD$3/12,2),2))</f>
      </c>
      <c r="K191" s="33">
        <f>IF(AY190&lt;=0,0,ROUND(AY190+ROUND(AY190*AE$3/12,2),2))</f>
      </c>
      <c r="L191" s="33">
        <f>ROUND(MIN(MAX(0,N('Your debts'!$E$6)),B191),2)</f>
      </c>
      <c r="M191" s="33">
        <f>ROUND(MIN(MAX(0,N('Your debts'!$E$7)),C191),2)</f>
      </c>
      <c r="N191" s="33">
        <f>ROUND(MIN(MAX(0,N('Your debts'!$E$8)),D191),2)</f>
      </c>
      <c r="O191" s="33">
        <f>ROUND(MIN(MAX(0,N('Your debts'!$E$9)),E191),2)</f>
      </c>
      <c r="P191" s="33">
        <f>ROUND(MIN(MAX(0,N('Your debts'!$E$10)),F191),2)</f>
      </c>
      <c r="Q191" s="33">
        <f>ROUND(MIN(MAX(0,N('Your debts'!$E$11)),G191),2)</f>
      </c>
      <c r="R191" s="33">
        <f>ROUND(MIN(MAX(0,N('Your debts'!$E$12)),H191),2)</f>
      </c>
      <c r="S191" s="33">
        <f>ROUND(MIN(MAX(0,N('Your debts'!$E$13)),I191),2)</f>
      </c>
      <c r="T191" s="33">
        <f>ROUND(MIN(MAX(0,N('Your debts'!$E$14)),J191),2)</f>
      </c>
      <c r="U191" s="33">
        <f>ROUND(MIN(MAX(0,N('Your debts'!$E$15)),K191),2)</f>
      </c>
      <c r="V191" s="33">
        <f>ROUND(B191-L191,2)</f>
      </c>
      <c r="W191" s="33">
        <f>ROUND(C191-M191,2)</f>
      </c>
      <c r="X191" s="33">
        <f>ROUND(D191-N191,2)</f>
      </c>
      <c r="Y191" s="33">
        <f>ROUND(E191-O191,2)</f>
      </c>
      <c r="Z191" s="33">
        <f>ROUND(F191-P191,2)</f>
      </c>
      <c r="AA191" s="33">
        <f>ROUND(G191-Q191,2)</f>
      </c>
      <c r="AB191" s="33">
        <f>ROUND(H191-R191,2)</f>
      </c>
      <c r="AC191" s="33">
        <f>ROUND(I191-S191,2)</f>
      </c>
      <c r="AD191" s="33">
        <f>ROUND(J191-T191,2)</f>
      </c>
      <c r="AE191" s="33">
        <f>ROUND(K191-U191,2)</f>
      </c>
      <c r="AF191" s="33">
        <f>IF(V191&lt;=0,0,MAX(0,MIN(V191,ROUND($AZ191-SUMPRODUCT($V191:$AE191*($V191:$AE191&gt;0)*(($V191:$AE191&lt;V191)+($V191:$AE191=V191)*($V$3:$AE$3&gt;V$3)+($V191:$AE191=V191)*($V$3:$AE$3=V$3)*($V$2:$AE$2&lt;V$2))),2))))</f>
      </c>
      <c r="AG191" s="33">
        <f>IF(W191&lt;=0,0,MAX(0,MIN(W191,ROUND($AZ191-SUMPRODUCT($V191:$AE191*($V191:$AE191&gt;0)*(($V191:$AE191&lt;W191)+($V191:$AE191=W191)*($V$3:$AE$3&gt;W$3)+($V191:$AE191=W191)*($V$3:$AE$3=W$3)*($V$2:$AE$2&lt;W$2))),2))))</f>
      </c>
      <c r="AH191" s="33">
        <f>IF(X191&lt;=0,0,MAX(0,MIN(X191,ROUND($AZ191-SUMPRODUCT($V191:$AE191*($V191:$AE191&gt;0)*(($V191:$AE191&lt;X191)+($V191:$AE191=X191)*($V$3:$AE$3&gt;X$3)+($V191:$AE191=X191)*($V$3:$AE$3=X$3)*($V$2:$AE$2&lt;X$2))),2))))</f>
      </c>
      <c r="AI191" s="33">
        <f>IF(Y191&lt;=0,0,MAX(0,MIN(Y191,ROUND($AZ191-SUMPRODUCT($V191:$AE191*($V191:$AE191&gt;0)*(($V191:$AE191&lt;Y191)+($V191:$AE191=Y191)*($V$3:$AE$3&gt;Y$3)+($V191:$AE191=Y191)*($V$3:$AE$3=Y$3)*($V$2:$AE$2&lt;Y$2))),2))))</f>
      </c>
      <c r="AJ191" s="33">
        <f>IF(Z191&lt;=0,0,MAX(0,MIN(Z191,ROUND($AZ191-SUMPRODUCT($V191:$AE191*($V191:$AE191&gt;0)*(($V191:$AE191&lt;Z191)+($V191:$AE191=Z191)*($V$3:$AE$3&gt;Z$3)+($V191:$AE191=Z191)*($V$3:$AE$3=Z$3)*($V$2:$AE$2&lt;Z$2))),2))))</f>
      </c>
      <c r="AK191" s="33">
        <f>IF(AA191&lt;=0,0,MAX(0,MIN(AA191,ROUND($AZ191-SUMPRODUCT($V191:$AE191*($V191:$AE191&gt;0)*(($V191:$AE191&lt;AA191)+($V191:$AE191=AA191)*($V$3:$AE$3&gt;AA$3)+($V191:$AE191=AA191)*($V$3:$AE$3=AA$3)*($V$2:$AE$2&lt;AA$2))),2))))</f>
      </c>
      <c r="AL191" s="33">
        <f>IF(AB191&lt;=0,0,MAX(0,MIN(AB191,ROUND($AZ191-SUMPRODUCT($V191:$AE191*($V191:$AE191&gt;0)*(($V191:$AE191&lt;AB191)+($V191:$AE191=AB191)*($V$3:$AE$3&gt;AB$3)+($V191:$AE191=AB191)*($V$3:$AE$3=AB$3)*($V$2:$AE$2&lt;AB$2))),2))))</f>
      </c>
      <c r="AM191" s="33">
        <f>IF(AC191&lt;=0,0,MAX(0,MIN(AC191,ROUND($AZ191-SUMPRODUCT($V191:$AE191*($V191:$AE191&gt;0)*(($V191:$AE191&lt;AC191)+($V191:$AE191=AC191)*($V$3:$AE$3&gt;AC$3)+($V191:$AE191=AC191)*($V$3:$AE$3=AC$3)*($V$2:$AE$2&lt;AC$2))),2))))</f>
      </c>
      <c r="AN191" s="33">
        <f>IF(AD191&lt;=0,0,MAX(0,MIN(AD191,ROUND($AZ191-SUMPRODUCT($V191:$AE191*($V191:$AE191&gt;0)*(($V191:$AE191&lt;AD191)+($V191:$AE191=AD191)*($V$3:$AE$3&gt;AD$3)+($V191:$AE191=AD191)*($V$3:$AE$3=AD$3)*($V$2:$AE$2&lt;AD$2))),2))))</f>
      </c>
      <c r="AO191" s="33">
        <f>IF(AE191&lt;=0,0,MAX(0,MIN(AE191,ROUND($AZ191-SUMPRODUCT($V191:$AE191*($V191:$AE191&gt;0)*(($V191:$AE191&lt;AE191)+($V191:$AE191=AE191)*($V$3:$AE$3&gt;AE$3)+($V191:$AE191=AE191)*($V$3:$AE$3=AE$3)*($V$2:$AE$2&lt;AE$2))),2))))</f>
      </c>
      <c r="AP191" s="33">
        <f>ROUND(V191-AF191,2)</f>
      </c>
      <c r="AQ191" s="33">
        <f>ROUND(W191-AG191,2)</f>
      </c>
      <c r="AR191" s="33">
        <f>ROUND(X191-AH191,2)</f>
      </c>
      <c r="AS191" s="33">
        <f>ROUND(Y191-AI191,2)</f>
      </c>
      <c r="AT191" s="33">
        <f>ROUND(Z191-AJ191,2)</f>
      </c>
      <c r="AU191" s="33">
        <f>ROUND(AA191-AK191,2)</f>
      </c>
      <c r="AV191" s="33">
        <f>ROUND(AB191-AL191,2)</f>
      </c>
      <c r="AW191" s="33">
        <f>ROUND(AC191-AM191,2)</f>
      </c>
      <c r="AX191" s="33">
        <f>ROUND(AD191-AN191,2)</f>
      </c>
      <c r="AY191" s="33">
        <f>ROUND(AE191-AO191,2)</f>
      </c>
      <c r="AZ191" s="33">
        <f>ROUND(MAX(0,'Your debts'!$D$22-SUM($L191:$U191)),2)</f>
      </c>
      <c r="BA191" s="33">
        <f>ROUND(SUM($B191:$K191)-SUM($AP190:$AY190),2)</f>
      </c>
      <c r="BB191" s="33">
        <f>SUM($AP191:$AY191)</f>
      </c>
      <c r="BC191" s="33">
        <f>ROUND(SUM($L191:$U191)+SUM($AF191:$AO191),2)</f>
      </c>
    </row>
    <row r="192" spans="1:55" x14ac:dyDescent="0.25">
      <c r="A192">
        <v>185</v>
      </c>
      <c r="B192" s="33">
        <f>IF(AP191&lt;=0,0,ROUND(AP191+ROUND(AP191*V$3/12,2),2))</f>
      </c>
      <c r="C192" s="33">
        <f>IF(AQ191&lt;=0,0,ROUND(AQ191+ROUND(AQ191*W$3/12,2),2))</f>
      </c>
      <c r="D192" s="33">
        <f>IF(AR191&lt;=0,0,ROUND(AR191+ROUND(AR191*X$3/12,2),2))</f>
      </c>
      <c r="E192" s="33">
        <f>IF(AS191&lt;=0,0,ROUND(AS191+ROUND(AS191*Y$3/12,2),2))</f>
      </c>
      <c r="F192" s="33">
        <f>IF(AT191&lt;=0,0,ROUND(AT191+ROUND(AT191*Z$3/12,2),2))</f>
      </c>
      <c r="G192" s="33">
        <f>IF(AU191&lt;=0,0,ROUND(AU191+ROUND(AU191*AA$3/12,2),2))</f>
      </c>
      <c r="H192" s="33">
        <f>IF(AV191&lt;=0,0,ROUND(AV191+ROUND(AV191*AB$3/12,2),2))</f>
      </c>
      <c r="I192" s="33">
        <f>IF(AW191&lt;=0,0,ROUND(AW191+ROUND(AW191*AC$3/12,2),2))</f>
      </c>
      <c r="J192" s="33">
        <f>IF(AX191&lt;=0,0,ROUND(AX191+ROUND(AX191*AD$3/12,2),2))</f>
      </c>
      <c r="K192" s="33">
        <f>IF(AY191&lt;=0,0,ROUND(AY191+ROUND(AY191*AE$3/12,2),2))</f>
      </c>
      <c r="L192" s="33">
        <f>ROUND(MIN(MAX(0,N('Your debts'!$E$6)),B192),2)</f>
      </c>
      <c r="M192" s="33">
        <f>ROUND(MIN(MAX(0,N('Your debts'!$E$7)),C192),2)</f>
      </c>
      <c r="N192" s="33">
        <f>ROUND(MIN(MAX(0,N('Your debts'!$E$8)),D192),2)</f>
      </c>
      <c r="O192" s="33">
        <f>ROUND(MIN(MAX(0,N('Your debts'!$E$9)),E192),2)</f>
      </c>
      <c r="P192" s="33">
        <f>ROUND(MIN(MAX(0,N('Your debts'!$E$10)),F192),2)</f>
      </c>
      <c r="Q192" s="33">
        <f>ROUND(MIN(MAX(0,N('Your debts'!$E$11)),G192),2)</f>
      </c>
      <c r="R192" s="33">
        <f>ROUND(MIN(MAX(0,N('Your debts'!$E$12)),H192),2)</f>
      </c>
      <c r="S192" s="33">
        <f>ROUND(MIN(MAX(0,N('Your debts'!$E$13)),I192),2)</f>
      </c>
      <c r="T192" s="33">
        <f>ROUND(MIN(MAX(0,N('Your debts'!$E$14)),J192),2)</f>
      </c>
      <c r="U192" s="33">
        <f>ROUND(MIN(MAX(0,N('Your debts'!$E$15)),K192),2)</f>
      </c>
      <c r="V192" s="33">
        <f>ROUND(B192-L192,2)</f>
      </c>
      <c r="W192" s="33">
        <f>ROUND(C192-M192,2)</f>
      </c>
      <c r="X192" s="33">
        <f>ROUND(D192-N192,2)</f>
      </c>
      <c r="Y192" s="33">
        <f>ROUND(E192-O192,2)</f>
      </c>
      <c r="Z192" s="33">
        <f>ROUND(F192-P192,2)</f>
      </c>
      <c r="AA192" s="33">
        <f>ROUND(G192-Q192,2)</f>
      </c>
      <c r="AB192" s="33">
        <f>ROUND(H192-R192,2)</f>
      </c>
      <c r="AC192" s="33">
        <f>ROUND(I192-S192,2)</f>
      </c>
      <c r="AD192" s="33">
        <f>ROUND(J192-T192,2)</f>
      </c>
      <c r="AE192" s="33">
        <f>ROUND(K192-U192,2)</f>
      </c>
      <c r="AF192" s="33">
        <f>IF(V192&lt;=0,0,MAX(0,MIN(V192,ROUND($AZ192-SUMPRODUCT($V192:$AE192*($V192:$AE192&gt;0)*(($V192:$AE192&lt;V192)+($V192:$AE192=V192)*($V$3:$AE$3&gt;V$3)+($V192:$AE192=V192)*($V$3:$AE$3=V$3)*($V$2:$AE$2&lt;V$2))),2))))</f>
      </c>
      <c r="AG192" s="33">
        <f>IF(W192&lt;=0,0,MAX(0,MIN(W192,ROUND($AZ192-SUMPRODUCT($V192:$AE192*($V192:$AE192&gt;0)*(($V192:$AE192&lt;W192)+($V192:$AE192=W192)*($V$3:$AE$3&gt;W$3)+($V192:$AE192=W192)*($V$3:$AE$3=W$3)*($V$2:$AE$2&lt;W$2))),2))))</f>
      </c>
      <c r="AH192" s="33">
        <f>IF(X192&lt;=0,0,MAX(0,MIN(X192,ROUND($AZ192-SUMPRODUCT($V192:$AE192*($V192:$AE192&gt;0)*(($V192:$AE192&lt;X192)+($V192:$AE192=X192)*($V$3:$AE$3&gt;X$3)+($V192:$AE192=X192)*($V$3:$AE$3=X$3)*($V$2:$AE$2&lt;X$2))),2))))</f>
      </c>
      <c r="AI192" s="33">
        <f>IF(Y192&lt;=0,0,MAX(0,MIN(Y192,ROUND($AZ192-SUMPRODUCT($V192:$AE192*($V192:$AE192&gt;0)*(($V192:$AE192&lt;Y192)+($V192:$AE192=Y192)*($V$3:$AE$3&gt;Y$3)+($V192:$AE192=Y192)*($V$3:$AE$3=Y$3)*($V$2:$AE$2&lt;Y$2))),2))))</f>
      </c>
      <c r="AJ192" s="33">
        <f>IF(Z192&lt;=0,0,MAX(0,MIN(Z192,ROUND($AZ192-SUMPRODUCT($V192:$AE192*($V192:$AE192&gt;0)*(($V192:$AE192&lt;Z192)+($V192:$AE192=Z192)*($V$3:$AE$3&gt;Z$3)+($V192:$AE192=Z192)*($V$3:$AE$3=Z$3)*($V$2:$AE$2&lt;Z$2))),2))))</f>
      </c>
      <c r="AK192" s="33">
        <f>IF(AA192&lt;=0,0,MAX(0,MIN(AA192,ROUND($AZ192-SUMPRODUCT($V192:$AE192*($V192:$AE192&gt;0)*(($V192:$AE192&lt;AA192)+($V192:$AE192=AA192)*($V$3:$AE$3&gt;AA$3)+($V192:$AE192=AA192)*($V$3:$AE$3=AA$3)*($V$2:$AE$2&lt;AA$2))),2))))</f>
      </c>
      <c r="AL192" s="33">
        <f>IF(AB192&lt;=0,0,MAX(0,MIN(AB192,ROUND($AZ192-SUMPRODUCT($V192:$AE192*($V192:$AE192&gt;0)*(($V192:$AE192&lt;AB192)+($V192:$AE192=AB192)*($V$3:$AE$3&gt;AB$3)+($V192:$AE192=AB192)*($V$3:$AE$3=AB$3)*($V$2:$AE$2&lt;AB$2))),2))))</f>
      </c>
      <c r="AM192" s="33">
        <f>IF(AC192&lt;=0,0,MAX(0,MIN(AC192,ROUND($AZ192-SUMPRODUCT($V192:$AE192*($V192:$AE192&gt;0)*(($V192:$AE192&lt;AC192)+($V192:$AE192=AC192)*($V$3:$AE$3&gt;AC$3)+($V192:$AE192=AC192)*($V$3:$AE$3=AC$3)*($V$2:$AE$2&lt;AC$2))),2))))</f>
      </c>
      <c r="AN192" s="33">
        <f>IF(AD192&lt;=0,0,MAX(0,MIN(AD192,ROUND($AZ192-SUMPRODUCT($V192:$AE192*($V192:$AE192&gt;0)*(($V192:$AE192&lt;AD192)+($V192:$AE192=AD192)*($V$3:$AE$3&gt;AD$3)+($V192:$AE192=AD192)*($V$3:$AE$3=AD$3)*($V$2:$AE$2&lt;AD$2))),2))))</f>
      </c>
      <c r="AO192" s="33">
        <f>IF(AE192&lt;=0,0,MAX(0,MIN(AE192,ROUND($AZ192-SUMPRODUCT($V192:$AE192*($V192:$AE192&gt;0)*(($V192:$AE192&lt;AE192)+($V192:$AE192=AE192)*($V$3:$AE$3&gt;AE$3)+($V192:$AE192=AE192)*($V$3:$AE$3=AE$3)*($V$2:$AE$2&lt;AE$2))),2))))</f>
      </c>
      <c r="AP192" s="33">
        <f>ROUND(V192-AF192,2)</f>
      </c>
      <c r="AQ192" s="33">
        <f>ROUND(W192-AG192,2)</f>
      </c>
      <c r="AR192" s="33">
        <f>ROUND(X192-AH192,2)</f>
      </c>
      <c r="AS192" s="33">
        <f>ROUND(Y192-AI192,2)</f>
      </c>
      <c r="AT192" s="33">
        <f>ROUND(Z192-AJ192,2)</f>
      </c>
      <c r="AU192" s="33">
        <f>ROUND(AA192-AK192,2)</f>
      </c>
      <c r="AV192" s="33">
        <f>ROUND(AB192-AL192,2)</f>
      </c>
      <c r="AW192" s="33">
        <f>ROUND(AC192-AM192,2)</f>
      </c>
      <c r="AX192" s="33">
        <f>ROUND(AD192-AN192,2)</f>
      </c>
      <c r="AY192" s="33">
        <f>ROUND(AE192-AO192,2)</f>
      </c>
      <c r="AZ192" s="33">
        <f>ROUND(MAX(0,'Your debts'!$D$22-SUM($L192:$U192)),2)</f>
      </c>
      <c r="BA192" s="33">
        <f>ROUND(SUM($B192:$K192)-SUM($AP191:$AY191),2)</f>
      </c>
      <c r="BB192" s="33">
        <f>SUM($AP192:$AY192)</f>
      </c>
      <c r="BC192" s="33">
        <f>ROUND(SUM($L192:$U192)+SUM($AF192:$AO192),2)</f>
      </c>
    </row>
    <row r="193" spans="1:55" x14ac:dyDescent="0.25">
      <c r="A193">
        <v>186</v>
      </c>
      <c r="B193" s="33">
        <f>IF(AP192&lt;=0,0,ROUND(AP192+ROUND(AP192*V$3/12,2),2))</f>
      </c>
      <c r="C193" s="33">
        <f>IF(AQ192&lt;=0,0,ROUND(AQ192+ROUND(AQ192*W$3/12,2),2))</f>
      </c>
      <c r="D193" s="33">
        <f>IF(AR192&lt;=0,0,ROUND(AR192+ROUND(AR192*X$3/12,2),2))</f>
      </c>
      <c r="E193" s="33">
        <f>IF(AS192&lt;=0,0,ROUND(AS192+ROUND(AS192*Y$3/12,2),2))</f>
      </c>
      <c r="F193" s="33">
        <f>IF(AT192&lt;=0,0,ROUND(AT192+ROUND(AT192*Z$3/12,2),2))</f>
      </c>
      <c r="G193" s="33">
        <f>IF(AU192&lt;=0,0,ROUND(AU192+ROUND(AU192*AA$3/12,2),2))</f>
      </c>
      <c r="H193" s="33">
        <f>IF(AV192&lt;=0,0,ROUND(AV192+ROUND(AV192*AB$3/12,2),2))</f>
      </c>
      <c r="I193" s="33">
        <f>IF(AW192&lt;=0,0,ROUND(AW192+ROUND(AW192*AC$3/12,2),2))</f>
      </c>
      <c r="J193" s="33">
        <f>IF(AX192&lt;=0,0,ROUND(AX192+ROUND(AX192*AD$3/12,2),2))</f>
      </c>
      <c r="K193" s="33">
        <f>IF(AY192&lt;=0,0,ROUND(AY192+ROUND(AY192*AE$3/12,2),2))</f>
      </c>
      <c r="L193" s="33">
        <f>ROUND(MIN(MAX(0,N('Your debts'!$E$6)),B193),2)</f>
      </c>
      <c r="M193" s="33">
        <f>ROUND(MIN(MAX(0,N('Your debts'!$E$7)),C193),2)</f>
      </c>
      <c r="N193" s="33">
        <f>ROUND(MIN(MAX(0,N('Your debts'!$E$8)),D193),2)</f>
      </c>
      <c r="O193" s="33">
        <f>ROUND(MIN(MAX(0,N('Your debts'!$E$9)),E193),2)</f>
      </c>
      <c r="P193" s="33">
        <f>ROUND(MIN(MAX(0,N('Your debts'!$E$10)),F193),2)</f>
      </c>
      <c r="Q193" s="33">
        <f>ROUND(MIN(MAX(0,N('Your debts'!$E$11)),G193),2)</f>
      </c>
      <c r="R193" s="33">
        <f>ROUND(MIN(MAX(0,N('Your debts'!$E$12)),H193),2)</f>
      </c>
      <c r="S193" s="33">
        <f>ROUND(MIN(MAX(0,N('Your debts'!$E$13)),I193),2)</f>
      </c>
      <c r="T193" s="33">
        <f>ROUND(MIN(MAX(0,N('Your debts'!$E$14)),J193),2)</f>
      </c>
      <c r="U193" s="33">
        <f>ROUND(MIN(MAX(0,N('Your debts'!$E$15)),K193),2)</f>
      </c>
      <c r="V193" s="33">
        <f>ROUND(B193-L193,2)</f>
      </c>
      <c r="W193" s="33">
        <f>ROUND(C193-M193,2)</f>
      </c>
      <c r="X193" s="33">
        <f>ROUND(D193-N193,2)</f>
      </c>
      <c r="Y193" s="33">
        <f>ROUND(E193-O193,2)</f>
      </c>
      <c r="Z193" s="33">
        <f>ROUND(F193-P193,2)</f>
      </c>
      <c r="AA193" s="33">
        <f>ROUND(G193-Q193,2)</f>
      </c>
      <c r="AB193" s="33">
        <f>ROUND(H193-R193,2)</f>
      </c>
      <c r="AC193" s="33">
        <f>ROUND(I193-S193,2)</f>
      </c>
      <c r="AD193" s="33">
        <f>ROUND(J193-T193,2)</f>
      </c>
      <c r="AE193" s="33">
        <f>ROUND(K193-U193,2)</f>
      </c>
      <c r="AF193" s="33">
        <f>IF(V193&lt;=0,0,MAX(0,MIN(V193,ROUND($AZ193-SUMPRODUCT($V193:$AE193*($V193:$AE193&gt;0)*(($V193:$AE193&lt;V193)+($V193:$AE193=V193)*($V$3:$AE$3&gt;V$3)+($V193:$AE193=V193)*($V$3:$AE$3=V$3)*($V$2:$AE$2&lt;V$2))),2))))</f>
      </c>
      <c r="AG193" s="33">
        <f>IF(W193&lt;=0,0,MAX(0,MIN(W193,ROUND($AZ193-SUMPRODUCT($V193:$AE193*($V193:$AE193&gt;0)*(($V193:$AE193&lt;W193)+($V193:$AE193=W193)*($V$3:$AE$3&gt;W$3)+($V193:$AE193=W193)*($V$3:$AE$3=W$3)*($V$2:$AE$2&lt;W$2))),2))))</f>
      </c>
      <c r="AH193" s="33">
        <f>IF(X193&lt;=0,0,MAX(0,MIN(X193,ROUND($AZ193-SUMPRODUCT($V193:$AE193*($V193:$AE193&gt;0)*(($V193:$AE193&lt;X193)+($V193:$AE193=X193)*($V$3:$AE$3&gt;X$3)+($V193:$AE193=X193)*($V$3:$AE$3=X$3)*($V$2:$AE$2&lt;X$2))),2))))</f>
      </c>
      <c r="AI193" s="33">
        <f>IF(Y193&lt;=0,0,MAX(0,MIN(Y193,ROUND($AZ193-SUMPRODUCT($V193:$AE193*($V193:$AE193&gt;0)*(($V193:$AE193&lt;Y193)+($V193:$AE193=Y193)*($V$3:$AE$3&gt;Y$3)+($V193:$AE193=Y193)*($V$3:$AE$3=Y$3)*($V$2:$AE$2&lt;Y$2))),2))))</f>
      </c>
      <c r="AJ193" s="33">
        <f>IF(Z193&lt;=0,0,MAX(0,MIN(Z193,ROUND($AZ193-SUMPRODUCT($V193:$AE193*($V193:$AE193&gt;0)*(($V193:$AE193&lt;Z193)+($V193:$AE193=Z193)*($V$3:$AE$3&gt;Z$3)+($V193:$AE193=Z193)*($V$3:$AE$3=Z$3)*($V$2:$AE$2&lt;Z$2))),2))))</f>
      </c>
      <c r="AK193" s="33">
        <f>IF(AA193&lt;=0,0,MAX(0,MIN(AA193,ROUND($AZ193-SUMPRODUCT($V193:$AE193*($V193:$AE193&gt;0)*(($V193:$AE193&lt;AA193)+($V193:$AE193=AA193)*($V$3:$AE$3&gt;AA$3)+($V193:$AE193=AA193)*($V$3:$AE$3=AA$3)*($V$2:$AE$2&lt;AA$2))),2))))</f>
      </c>
      <c r="AL193" s="33">
        <f>IF(AB193&lt;=0,0,MAX(0,MIN(AB193,ROUND($AZ193-SUMPRODUCT($V193:$AE193*($V193:$AE193&gt;0)*(($V193:$AE193&lt;AB193)+($V193:$AE193=AB193)*($V$3:$AE$3&gt;AB$3)+($V193:$AE193=AB193)*($V$3:$AE$3=AB$3)*($V$2:$AE$2&lt;AB$2))),2))))</f>
      </c>
      <c r="AM193" s="33">
        <f>IF(AC193&lt;=0,0,MAX(0,MIN(AC193,ROUND($AZ193-SUMPRODUCT($V193:$AE193*($V193:$AE193&gt;0)*(($V193:$AE193&lt;AC193)+($V193:$AE193=AC193)*($V$3:$AE$3&gt;AC$3)+($V193:$AE193=AC193)*($V$3:$AE$3=AC$3)*($V$2:$AE$2&lt;AC$2))),2))))</f>
      </c>
      <c r="AN193" s="33">
        <f>IF(AD193&lt;=0,0,MAX(0,MIN(AD193,ROUND($AZ193-SUMPRODUCT($V193:$AE193*($V193:$AE193&gt;0)*(($V193:$AE193&lt;AD193)+($V193:$AE193=AD193)*($V$3:$AE$3&gt;AD$3)+($V193:$AE193=AD193)*($V$3:$AE$3=AD$3)*($V$2:$AE$2&lt;AD$2))),2))))</f>
      </c>
      <c r="AO193" s="33">
        <f>IF(AE193&lt;=0,0,MAX(0,MIN(AE193,ROUND($AZ193-SUMPRODUCT($V193:$AE193*($V193:$AE193&gt;0)*(($V193:$AE193&lt;AE193)+($V193:$AE193=AE193)*($V$3:$AE$3&gt;AE$3)+($V193:$AE193=AE193)*($V$3:$AE$3=AE$3)*($V$2:$AE$2&lt;AE$2))),2))))</f>
      </c>
      <c r="AP193" s="33">
        <f>ROUND(V193-AF193,2)</f>
      </c>
      <c r="AQ193" s="33">
        <f>ROUND(W193-AG193,2)</f>
      </c>
      <c r="AR193" s="33">
        <f>ROUND(X193-AH193,2)</f>
      </c>
      <c r="AS193" s="33">
        <f>ROUND(Y193-AI193,2)</f>
      </c>
      <c r="AT193" s="33">
        <f>ROUND(Z193-AJ193,2)</f>
      </c>
      <c r="AU193" s="33">
        <f>ROUND(AA193-AK193,2)</f>
      </c>
      <c r="AV193" s="33">
        <f>ROUND(AB193-AL193,2)</f>
      </c>
      <c r="AW193" s="33">
        <f>ROUND(AC193-AM193,2)</f>
      </c>
      <c r="AX193" s="33">
        <f>ROUND(AD193-AN193,2)</f>
      </c>
      <c r="AY193" s="33">
        <f>ROUND(AE193-AO193,2)</f>
      </c>
      <c r="AZ193" s="33">
        <f>ROUND(MAX(0,'Your debts'!$D$22-SUM($L193:$U193)),2)</f>
      </c>
      <c r="BA193" s="33">
        <f>ROUND(SUM($B193:$K193)-SUM($AP192:$AY192),2)</f>
      </c>
      <c r="BB193" s="33">
        <f>SUM($AP193:$AY193)</f>
      </c>
      <c r="BC193" s="33">
        <f>ROUND(SUM($L193:$U193)+SUM($AF193:$AO193),2)</f>
      </c>
    </row>
    <row r="194" spans="1:55" x14ac:dyDescent="0.25">
      <c r="A194">
        <v>187</v>
      </c>
      <c r="B194" s="33">
        <f>IF(AP193&lt;=0,0,ROUND(AP193+ROUND(AP193*V$3/12,2),2))</f>
      </c>
      <c r="C194" s="33">
        <f>IF(AQ193&lt;=0,0,ROUND(AQ193+ROUND(AQ193*W$3/12,2),2))</f>
      </c>
      <c r="D194" s="33">
        <f>IF(AR193&lt;=0,0,ROUND(AR193+ROUND(AR193*X$3/12,2),2))</f>
      </c>
      <c r="E194" s="33">
        <f>IF(AS193&lt;=0,0,ROUND(AS193+ROUND(AS193*Y$3/12,2),2))</f>
      </c>
      <c r="F194" s="33">
        <f>IF(AT193&lt;=0,0,ROUND(AT193+ROUND(AT193*Z$3/12,2),2))</f>
      </c>
      <c r="G194" s="33">
        <f>IF(AU193&lt;=0,0,ROUND(AU193+ROUND(AU193*AA$3/12,2),2))</f>
      </c>
      <c r="H194" s="33">
        <f>IF(AV193&lt;=0,0,ROUND(AV193+ROUND(AV193*AB$3/12,2),2))</f>
      </c>
      <c r="I194" s="33">
        <f>IF(AW193&lt;=0,0,ROUND(AW193+ROUND(AW193*AC$3/12,2),2))</f>
      </c>
      <c r="J194" s="33">
        <f>IF(AX193&lt;=0,0,ROUND(AX193+ROUND(AX193*AD$3/12,2),2))</f>
      </c>
      <c r="K194" s="33">
        <f>IF(AY193&lt;=0,0,ROUND(AY193+ROUND(AY193*AE$3/12,2),2))</f>
      </c>
      <c r="L194" s="33">
        <f>ROUND(MIN(MAX(0,N('Your debts'!$E$6)),B194),2)</f>
      </c>
      <c r="M194" s="33">
        <f>ROUND(MIN(MAX(0,N('Your debts'!$E$7)),C194),2)</f>
      </c>
      <c r="N194" s="33">
        <f>ROUND(MIN(MAX(0,N('Your debts'!$E$8)),D194),2)</f>
      </c>
      <c r="O194" s="33">
        <f>ROUND(MIN(MAX(0,N('Your debts'!$E$9)),E194),2)</f>
      </c>
      <c r="P194" s="33">
        <f>ROUND(MIN(MAX(0,N('Your debts'!$E$10)),F194),2)</f>
      </c>
      <c r="Q194" s="33">
        <f>ROUND(MIN(MAX(0,N('Your debts'!$E$11)),G194),2)</f>
      </c>
      <c r="R194" s="33">
        <f>ROUND(MIN(MAX(0,N('Your debts'!$E$12)),H194),2)</f>
      </c>
      <c r="S194" s="33">
        <f>ROUND(MIN(MAX(0,N('Your debts'!$E$13)),I194),2)</f>
      </c>
      <c r="T194" s="33">
        <f>ROUND(MIN(MAX(0,N('Your debts'!$E$14)),J194),2)</f>
      </c>
      <c r="U194" s="33">
        <f>ROUND(MIN(MAX(0,N('Your debts'!$E$15)),K194),2)</f>
      </c>
      <c r="V194" s="33">
        <f>ROUND(B194-L194,2)</f>
      </c>
      <c r="W194" s="33">
        <f>ROUND(C194-M194,2)</f>
      </c>
      <c r="X194" s="33">
        <f>ROUND(D194-N194,2)</f>
      </c>
      <c r="Y194" s="33">
        <f>ROUND(E194-O194,2)</f>
      </c>
      <c r="Z194" s="33">
        <f>ROUND(F194-P194,2)</f>
      </c>
      <c r="AA194" s="33">
        <f>ROUND(G194-Q194,2)</f>
      </c>
      <c r="AB194" s="33">
        <f>ROUND(H194-R194,2)</f>
      </c>
      <c r="AC194" s="33">
        <f>ROUND(I194-S194,2)</f>
      </c>
      <c r="AD194" s="33">
        <f>ROUND(J194-T194,2)</f>
      </c>
      <c r="AE194" s="33">
        <f>ROUND(K194-U194,2)</f>
      </c>
      <c r="AF194" s="33">
        <f>IF(V194&lt;=0,0,MAX(0,MIN(V194,ROUND($AZ194-SUMPRODUCT($V194:$AE194*($V194:$AE194&gt;0)*(($V194:$AE194&lt;V194)+($V194:$AE194=V194)*($V$3:$AE$3&gt;V$3)+($V194:$AE194=V194)*($V$3:$AE$3=V$3)*($V$2:$AE$2&lt;V$2))),2))))</f>
      </c>
      <c r="AG194" s="33">
        <f>IF(W194&lt;=0,0,MAX(0,MIN(W194,ROUND($AZ194-SUMPRODUCT($V194:$AE194*($V194:$AE194&gt;0)*(($V194:$AE194&lt;W194)+($V194:$AE194=W194)*($V$3:$AE$3&gt;W$3)+($V194:$AE194=W194)*($V$3:$AE$3=W$3)*($V$2:$AE$2&lt;W$2))),2))))</f>
      </c>
      <c r="AH194" s="33">
        <f>IF(X194&lt;=0,0,MAX(0,MIN(X194,ROUND($AZ194-SUMPRODUCT($V194:$AE194*($V194:$AE194&gt;0)*(($V194:$AE194&lt;X194)+($V194:$AE194=X194)*($V$3:$AE$3&gt;X$3)+($V194:$AE194=X194)*($V$3:$AE$3=X$3)*($V$2:$AE$2&lt;X$2))),2))))</f>
      </c>
      <c r="AI194" s="33">
        <f>IF(Y194&lt;=0,0,MAX(0,MIN(Y194,ROUND($AZ194-SUMPRODUCT($V194:$AE194*($V194:$AE194&gt;0)*(($V194:$AE194&lt;Y194)+($V194:$AE194=Y194)*($V$3:$AE$3&gt;Y$3)+($V194:$AE194=Y194)*($V$3:$AE$3=Y$3)*($V$2:$AE$2&lt;Y$2))),2))))</f>
      </c>
      <c r="AJ194" s="33">
        <f>IF(Z194&lt;=0,0,MAX(0,MIN(Z194,ROUND($AZ194-SUMPRODUCT($V194:$AE194*($V194:$AE194&gt;0)*(($V194:$AE194&lt;Z194)+($V194:$AE194=Z194)*($V$3:$AE$3&gt;Z$3)+($V194:$AE194=Z194)*($V$3:$AE$3=Z$3)*($V$2:$AE$2&lt;Z$2))),2))))</f>
      </c>
      <c r="AK194" s="33">
        <f>IF(AA194&lt;=0,0,MAX(0,MIN(AA194,ROUND($AZ194-SUMPRODUCT($V194:$AE194*($V194:$AE194&gt;0)*(($V194:$AE194&lt;AA194)+($V194:$AE194=AA194)*($V$3:$AE$3&gt;AA$3)+($V194:$AE194=AA194)*($V$3:$AE$3=AA$3)*($V$2:$AE$2&lt;AA$2))),2))))</f>
      </c>
      <c r="AL194" s="33">
        <f>IF(AB194&lt;=0,0,MAX(0,MIN(AB194,ROUND($AZ194-SUMPRODUCT($V194:$AE194*($V194:$AE194&gt;0)*(($V194:$AE194&lt;AB194)+($V194:$AE194=AB194)*($V$3:$AE$3&gt;AB$3)+($V194:$AE194=AB194)*($V$3:$AE$3=AB$3)*($V$2:$AE$2&lt;AB$2))),2))))</f>
      </c>
      <c r="AM194" s="33">
        <f>IF(AC194&lt;=0,0,MAX(0,MIN(AC194,ROUND($AZ194-SUMPRODUCT($V194:$AE194*($V194:$AE194&gt;0)*(($V194:$AE194&lt;AC194)+($V194:$AE194=AC194)*($V$3:$AE$3&gt;AC$3)+($V194:$AE194=AC194)*($V$3:$AE$3=AC$3)*($V$2:$AE$2&lt;AC$2))),2))))</f>
      </c>
      <c r="AN194" s="33">
        <f>IF(AD194&lt;=0,0,MAX(0,MIN(AD194,ROUND($AZ194-SUMPRODUCT($V194:$AE194*($V194:$AE194&gt;0)*(($V194:$AE194&lt;AD194)+($V194:$AE194=AD194)*($V$3:$AE$3&gt;AD$3)+($V194:$AE194=AD194)*($V$3:$AE$3=AD$3)*($V$2:$AE$2&lt;AD$2))),2))))</f>
      </c>
      <c r="AO194" s="33">
        <f>IF(AE194&lt;=0,0,MAX(0,MIN(AE194,ROUND($AZ194-SUMPRODUCT($V194:$AE194*($V194:$AE194&gt;0)*(($V194:$AE194&lt;AE194)+($V194:$AE194=AE194)*($V$3:$AE$3&gt;AE$3)+($V194:$AE194=AE194)*($V$3:$AE$3=AE$3)*($V$2:$AE$2&lt;AE$2))),2))))</f>
      </c>
      <c r="AP194" s="33">
        <f>ROUND(V194-AF194,2)</f>
      </c>
      <c r="AQ194" s="33">
        <f>ROUND(W194-AG194,2)</f>
      </c>
      <c r="AR194" s="33">
        <f>ROUND(X194-AH194,2)</f>
      </c>
      <c r="AS194" s="33">
        <f>ROUND(Y194-AI194,2)</f>
      </c>
      <c r="AT194" s="33">
        <f>ROUND(Z194-AJ194,2)</f>
      </c>
      <c r="AU194" s="33">
        <f>ROUND(AA194-AK194,2)</f>
      </c>
      <c r="AV194" s="33">
        <f>ROUND(AB194-AL194,2)</f>
      </c>
      <c r="AW194" s="33">
        <f>ROUND(AC194-AM194,2)</f>
      </c>
      <c r="AX194" s="33">
        <f>ROUND(AD194-AN194,2)</f>
      </c>
      <c r="AY194" s="33">
        <f>ROUND(AE194-AO194,2)</f>
      </c>
      <c r="AZ194" s="33">
        <f>ROUND(MAX(0,'Your debts'!$D$22-SUM($L194:$U194)),2)</f>
      </c>
      <c r="BA194" s="33">
        <f>ROUND(SUM($B194:$K194)-SUM($AP193:$AY193),2)</f>
      </c>
      <c r="BB194" s="33">
        <f>SUM($AP194:$AY194)</f>
      </c>
      <c r="BC194" s="33">
        <f>ROUND(SUM($L194:$U194)+SUM($AF194:$AO194),2)</f>
      </c>
    </row>
    <row r="195" spans="1:55" x14ac:dyDescent="0.25">
      <c r="A195">
        <v>188</v>
      </c>
      <c r="B195" s="33">
        <f>IF(AP194&lt;=0,0,ROUND(AP194+ROUND(AP194*V$3/12,2),2))</f>
      </c>
      <c r="C195" s="33">
        <f>IF(AQ194&lt;=0,0,ROUND(AQ194+ROUND(AQ194*W$3/12,2),2))</f>
      </c>
      <c r="D195" s="33">
        <f>IF(AR194&lt;=0,0,ROUND(AR194+ROUND(AR194*X$3/12,2),2))</f>
      </c>
      <c r="E195" s="33">
        <f>IF(AS194&lt;=0,0,ROUND(AS194+ROUND(AS194*Y$3/12,2),2))</f>
      </c>
      <c r="F195" s="33">
        <f>IF(AT194&lt;=0,0,ROUND(AT194+ROUND(AT194*Z$3/12,2),2))</f>
      </c>
      <c r="G195" s="33">
        <f>IF(AU194&lt;=0,0,ROUND(AU194+ROUND(AU194*AA$3/12,2),2))</f>
      </c>
      <c r="H195" s="33">
        <f>IF(AV194&lt;=0,0,ROUND(AV194+ROUND(AV194*AB$3/12,2),2))</f>
      </c>
      <c r="I195" s="33">
        <f>IF(AW194&lt;=0,0,ROUND(AW194+ROUND(AW194*AC$3/12,2),2))</f>
      </c>
      <c r="J195" s="33">
        <f>IF(AX194&lt;=0,0,ROUND(AX194+ROUND(AX194*AD$3/12,2),2))</f>
      </c>
      <c r="K195" s="33">
        <f>IF(AY194&lt;=0,0,ROUND(AY194+ROUND(AY194*AE$3/12,2),2))</f>
      </c>
      <c r="L195" s="33">
        <f>ROUND(MIN(MAX(0,N('Your debts'!$E$6)),B195),2)</f>
      </c>
      <c r="M195" s="33">
        <f>ROUND(MIN(MAX(0,N('Your debts'!$E$7)),C195),2)</f>
      </c>
      <c r="N195" s="33">
        <f>ROUND(MIN(MAX(0,N('Your debts'!$E$8)),D195),2)</f>
      </c>
      <c r="O195" s="33">
        <f>ROUND(MIN(MAX(0,N('Your debts'!$E$9)),E195),2)</f>
      </c>
      <c r="P195" s="33">
        <f>ROUND(MIN(MAX(0,N('Your debts'!$E$10)),F195),2)</f>
      </c>
      <c r="Q195" s="33">
        <f>ROUND(MIN(MAX(0,N('Your debts'!$E$11)),G195),2)</f>
      </c>
      <c r="R195" s="33">
        <f>ROUND(MIN(MAX(0,N('Your debts'!$E$12)),H195),2)</f>
      </c>
      <c r="S195" s="33">
        <f>ROUND(MIN(MAX(0,N('Your debts'!$E$13)),I195),2)</f>
      </c>
      <c r="T195" s="33">
        <f>ROUND(MIN(MAX(0,N('Your debts'!$E$14)),J195),2)</f>
      </c>
      <c r="U195" s="33">
        <f>ROUND(MIN(MAX(0,N('Your debts'!$E$15)),K195),2)</f>
      </c>
      <c r="V195" s="33">
        <f>ROUND(B195-L195,2)</f>
      </c>
      <c r="W195" s="33">
        <f>ROUND(C195-M195,2)</f>
      </c>
      <c r="X195" s="33">
        <f>ROUND(D195-N195,2)</f>
      </c>
      <c r="Y195" s="33">
        <f>ROUND(E195-O195,2)</f>
      </c>
      <c r="Z195" s="33">
        <f>ROUND(F195-P195,2)</f>
      </c>
      <c r="AA195" s="33">
        <f>ROUND(G195-Q195,2)</f>
      </c>
      <c r="AB195" s="33">
        <f>ROUND(H195-R195,2)</f>
      </c>
      <c r="AC195" s="33">
        <f>ROUND(I195-S195,2)</f>
      </c>
      <c r="AD195" s="33">
        <f>ROUND(J195-T195,2)</f>
      </c>
      <c r="AE195" s="33">
        <f>ROUND(K195-U195,2)</f>
      </c>
      <c r="AF195" s="33">
        <f>IF(V195&lt;=0,0,MAX(0,MIN(V195,ROUND($AZ195-SUMPRODUCT($V195:$AE195*($V195:$AE195&gt;0)*(($V195:$AE195&lt;V195)+($V195:$AE195=V195)*($V$3:$AE$3&gt;V$3)+($V195:$AE195=V195)*($V$3:$AE$3=V$3)*($V$2:$AE$2&lt;V$2))),2))))</f>
      </c>
      <c r="AG195" s="33">
        <f>IF(W195&lt;=0,0,MAX(0,MIN(W195,ROUND($AZ195-SUMPRODUCT($V195:$AE195*($V195:$AE195&gt;0)*(($V195:$AE195&lt;W195)+($V195:$AE195=W195)*($V$3:$AE$3&gt;W$3)+($V195:$AE195=W195)*($V$3:$AE$3=W$3)*($V$2:$AE$2&lt;W$2))),2))))</f>
      </c>
      <c r="AH195" s="33">
        <f>IF(X195&lt;=0,0,MAX(0,MIN(X195,ROUND($AZ195-SUMPRODUCT($V195:$AE195*($V195:$AE195&gt;0)*(($V195:$AE195&lt;X195)+($V195:$AE195=X195)*($V$3:$AE$3&gt;X$3)+($V195:$AE195=X195)*($V$3:$AE$3=X$3)*($V$2:$AE$2&lt;X$2))),2))))</f>
      </c>
      <c r="AI195" s="33">
        <f>IF(Y195&lt;=0,0,MAX(0,MIN(Y195,ROUND($AZ195-SUMPRODUCT($V195:$AE195*($V195:$AE195&gt;0)*(($V195:$AE195&lt;Y195)+($V195:$AE195=Y195)*($V$3:$AE$3&gt;Y$3)+($V195:$AE195=Y195)*($V$3:$AE$3=Y$3)*($V$2:$AE$2&lt;Y$2))),2))))</f>
      </c>
      <c r="AJ195" s="33">
        <f>IF(Z195&lt;=0,0,MAX(0,MIN(Z195,ROUND($AZ195-SUMPRODUCT($V195:$AE195*($V195:$AE195&gt;0)*(($V195:$AE195&lt;Z195)+($V195:$AE195=Z195)*($V$3:$AE$3&gt;Z$3)+($V195:$AE195=Z195)*($V$3:$AE$3=Z$3)*($V$2:$AE$2&lt;Z$2))),2))))</f>
      </c>
      <c r="AK195" s="33">
        <f>IF(AA195&lt;=0,0,MAX(0,MIN(AA195,ROUND($AZ195-SUMPRODUCT($V195:$AE195*($V195:$AE195&gt;0)*(($V195:$AE195&lt;AA195)+($V195:$AE195=AA195)*($V$3:$AE$3&gt;AA$3)+($V195:$AE195=AA195)*($V$3:$AE$3=AA$3)*($V$2:$AE$2&lt;AA$2))),2))))</f>
      </c>
      <c r="AL195" s="33">
        <f>IF(AB195&lt;=0,0,MAX(0,MIN(AB195,ROUND($AZ195-SUMPRODUCT($V195:$AE195*($V195:$AE195&gt;0)*(($V195:$AE195&lt;AB195)+($V195:$AE195=AB195)*($V$3:$AE$3&gt;AB$3)+($V195:$AE195=AB195)*($V$3:$AE$3=AB$3)*($V$2:$AE$2&lt;AB$2))),2))))</f>
      </c>
      <c r="AM195" s="33">
        <f>IF(AC195&lt;=0,0,MAX(0,MIN(AC195,ROUND($AZ195-SUMPRODUCT($V195:$AE195*($V195:$AE195&gt;0)*(($V195:$AE195&lt;AC195)+($V195:$AE195=AC195)*($V$3:$AE$3&gt;AC$3)+($V195:$AE195=AC195)*($V$3:$AE$3=AC$3)*($V$2:$AE$2&lt;AC$2))),2))))</f>
      </c>
      <c r="AN195" s="33">
        <f>IF(AD195&lt;=0,0,MAX(0,MIN(AD195,ROUND($AZ195-SUMPRODUCT($V195:$AE195*($V195:$AE195&gt;0)*(($V195:$AE195&lt;AD195)+($V195:$AE195=AD195)*($V$3:$AE$3&gt;AD$3)+($V195:$AE195=AD195)*($V$3:$AE$3=AD$3)*($V$2:$AE$2&lt;AD$2))),2))))</f>
      </c>
      <c r="AO195" s="33">
        <f>IF(AE195&lt;=0,0,MAX(0,MIN(AE195,ROUND($AZ195-SUMPRODUCT($V195:$AE195*($V195:$AE195&gt;0)*(($V195:$AE195&lt;AE195)+($V195:$AE195=AE195)*($V$3:$AE$3&gt;AE$3)+($V195:$AE195=AE195)*($V$3:$AE$3=AE$3)*($V$2:$AE$2&lt;AE$2))),2))))</f>
      </c>
      <c r="AP195" s="33">
        <f>ROUND(V195-AF195,2)</f>
      </c>
      <c r="AQ195" s="33">
        <f>ROUND(W195-AG195,2)</f>
      </c>
      <c r="AR195" s="33">
        <f>ROUND(X195-AH195,2)</f>
      </c>
      <c r="AS195" s="33">
        <f>ROUND(Y195-AI195,2)</f>
      </c>
      <c r="AT195" s="33">
        <f>ROUND(Z195-AJ195,2)</f>
      </c>
      <c r="AU195" s="33">
        <f>ROUND(AA195-AK195,2)</f>
      </c>
      <c r="AV195" s="33">
        <f>ROUND(AB195-AL195,2)</f>
      </c>
      <c r="AW195" s="33">
        <f>ROUND(AC195-AM195,2)</f>
      </c>
      <c r="AX195" s="33">
        <f>ROUND(AD195-AN195,2)</f>
      </c>
      <c r="AY195" s="33">
        <f>ROUND(AE195-AO195,2)</f>
      </c>
      <c r="AZ195" s="33">
        <f>ROUND(MAX(0,'Your debts'!$D$22-SUM($L195:$U195)),2)</f>
      </c>
      <c r="BA195" s="33">
        <f>ROUND(SUM($B195:$K195)-SUM($AP194:$AY194),2)</f>
      </c>
      <c r="BB195" s="33">
        <f>SUM($AP195:$AY195)</f>
      </c>
      <c r="BC195" s="33">
        <f>ROUND(SUM($L195:$U195)+SUM($AF195:$AO195),2)</f>
      </c>
    </row>
    <row r="196" spans="1:55" x14ac:dyDescent="0.25">
      <c r="A196">
        <v>189</v>
      </c>
      <c r="B196" s="33">
        <f>IF(AP195&lt;=0,0,ROUND(AP195+ROUND(AP195*V$3/12,2),2))</f>
      </c>
      <c r="C196" s="33">
        <f>IF(AQ195&lt;=0,0,ROUND(AQ195+ROUND(AQ195*W$3/12,2),2))</f>
      </c>
      <c r="D196" s="33">
        <f>IF(AR195&lt;=0,0,ROUND(AR195+ROUND(AR195*X$3/12,2),2))</f>
      </c>
      <c r="E196" s="33">
        <f>IF(AS195&lt;=0,0,ROUND(AS195+ROUND(AS195*Y$3/12,2),2))</f>
      </c>
      <c r="F196" s="33">
        <f>IF(AT195&lt;=0,0,ROUND(AT195+ROUND(AT195*Z$3/12,2),2))</f>
      </c>
      <c r="G196" s="33">
        <f>IF(AU195&lt;=0,0,ROUND(AU195+ROUND(AU195*AA$3/12,2),2))</f>
      </c>
      <c r="H196" s="33">
        <f>IF(AV195&lt;=0,0,ROUND(AV195+ROUND(AV195*AB$3/12,2),2))</f>
      </c>
      <c r="I196" s="33">
        <f>IF(AW195&lt;=0,0,ROUND(AW195+ROUND(AW195*AC$3/12,2),2))</f>
      </c>
      <c r="J196" s="33">
        <f>IF(AX195&lt;=0,0,ROUND(AX195+ROUND(AX195*AD$3/12,2),2))</f>
      </c>
      <c r="K196" s="33">
        <f>IF(AY195&lt;=0,0,ROUND(AY195+ROUND(AY195*AE$3/12,2),2))</f>
      </c>
      <c r="L196" s="33">
        <f>ROUND(MIN(MAX(0,N('Your debts'!$E$6)),B196),2)</f>
      </c>
      <c r="M196" s="33">
        <f>ROUND(MIN(MAX(0,N('Your debts'!$E$7)),C196),2)</f>
      </c>
      <c r="N196" s="33">
        <f>ROUND(MIN(MAX(0,N('Your debts'!$E$8)),D196),2)</f>
      </c>
      <c r="O196" s="33">
        <f>ROUND(MIN(MAX(0,N('Your debts'!$E$9)),E196),2)</f>
      </c>
      <c r="P196" s="33">
        <f>ROUND(MIN(MAX(0,N('Your debts'!$E$10)),F196),2)</f>
      </c>
      <c r="Q196" s="33">
        <f>ROUND(MIN(MAX(0,N('Your debts'!$E$11)),G196),2)</f>
      </c>
      <c r="R196" s="33">
        <f>ROUND(MIN(MAX(0,N('Your debts'!$E$12)),H196),2)</f>
      </c>
      <c r="S196" s="33">
        <f>ROUND(MIN(MAX(0,N('Your debts'!$E$13)),I196),2)</f>
      </c>
      <c r="T196" s="33">
        <f>ROUND(MIN(MAX(0,N('Your debts'!$E$14)),J196),2)</f>
      </c>
      <c r="U196" s="33">
        <f>ROUND(MIN(MAX(0,N('Your debts'!$E$15)),K196),2)</f>
      </c>
      <c r="V196" s="33">
        <f>ROUND(B196-L196,2)</f>
      </c>
      <c r="W196" s="33">
        <f>ROUND(C196-M196,2)</f>
      </c>
      <c r="X196" s="33">
        <f>ROUND(D196-N196,2)</f>
      </c>
      <c r="Y196" s="33">
        <f>ROUND(E196-O196,2)</f>
      </c>
      <c r="Z196" s="33">
        <f>ROUND(F196-P196,2)</f>
      </c>
      <c r="AA196" s="33">
        <f>ROUND(G196-Q196,2)</f>
      </c>
      <c r="AB196" s="33">
        <f>ROUND(H196-R196,2)</f>
      </c>
      <c r="AC196" s="33">
        <f>ROUND(I196-S196,2)</f>
      </c>
      <c r="AD196" s="33">
        <f>ROUND(J196-T196,2)</f>
      </c>
      <c r="AE196" s="33">
        <f>ROUND(K196-U196,2)</f>
      </c>
      <c r="AF196" s="33">
        <f>IF(V196&lt;=0,0,MAX(0,MIN(V196,ROUND($AZ196-SUMPRODUCT($V196:$AE196*($V196:$AE196&gt;0)*(($V196:$AE196&lt;V196)+($V196:$AE196=V196)*($V$3:$AE$3&gt;V$3)+($V196:$AE196=V196)*($V$3:$AE$3=V$3)*($V$2:$AE$2&lt;V$2))),2))))</f>
      </c>
      <c r="AG196" s="33">
        <f>IF(W196&lt;=0,0,MAX(0,MIN(W196,ROUND($AZ196-SUMPRODUCT($V196:$AE196*($V196:$AE196&gt;0)*(($V196:$AE196&lt;W196)+($V196:$AE196=W196)*($V$3:$AE$3&gt;W$3)+($V196:$AE196=W196)*($V$3:$AE$3=W$3)*($V$2:$AE$2&lt;W$2))),2))))</f>
      </c>
      <c r="AH196" s="33">
        <f>IF(X196&lt;=0,0,MAX(0,MIN(X196,ROUND($AZ196-SUMPRODUCT($V196:$AE196*($V196:$AE196&gt;0)*(($V196:$AE196&lt;X196)+($V196:$AE196=X196)*($V$3:$AE$3&gt;X$3)+($V196:$AE196=X196)*($V$3:$AE$3=X$3)*($V$2:$AE$2&lt;X$2))),2))))</f>
      </c>
      <c r="AI196" s="33">
        <f>IF(Y196&lt;=0,0,MAX(0,MIN(Y196,ROUND($AZ196-SUMPRODUCT($V196:$AE196*($V196:$AE196&gt;0)*(($V196:$AE196&lt;Y196)+($V196:$AE196=Y196)*($V$3:$AE$3&gt;Y$3)+($V196:$AE196=Y196)*($V$3:$AE$3=Y$3)*($V$2:$AE$2&lt;Y$2))),2))))</f>
      </c>
      <c r="AJ196" s="33">
        <f>IF(Z196&lt;=0,0,MAX(0,MIN(Z196,ROUND($AZ196-SUMPRODUCT($V196:$AE196*($V196:$AE196&gt;0)*(($V196:$AE196&lt;Z196)+($V196:$AE196=Z196)*($V$3:$AE$3&gt;Z$3)+($V196:$AE196=Z196)*($V$3:$AE$3=Z$3)*($V$2:$AE$2&lt;Z$2))),2))))</f>
      </c>
      <c r="AK196" s="33">
        <f>IF(AA196&lt;=0,0,MAX(0,MIN(AA196,ROUND($AZ196-SUMPRODUCT($V196:$AE196*($V196:$AE196&gt;0)*(($V196:$AE196&lt;AA196)+($V196:$AE196=AA196)*($V$3:$AE$3&gt;AA$3)+($V196:$AE196=AA196)*($V$3:$AE$3=AA$3)*($V$2:$AE$2&lt;AA$2))),2))))</f>
      </c>
      <c r="AL196" s="33">
        <f>IF(AB196&lt;=0,0,MAX(0,MIN(AB196,ROUND($AZ196-SUMPRODUCT($V196:$AE196*($V196:$AE196&gt;0)*(($V196:$AE196&lt;AB196)+($V196:$AE196=AB196)*($V$3:$AE$3&gt;AB$3)+($V196:$AE196=AB196)*($V$3:$AE$3=AB$3)*($V$2:$AE$2&lt;AB$2))),2))))</f>
      </c>
      <c r="AM196" s="33">
        <f>IF(AC196&lt;=0,0,MAX(0,MIN(AC196,ROUND($AZ196-SUMPRODUCT($V196:$AE196*($V196:$AE196&gt;0)*(($V196:$AE196&lt;AC196)+($V196:$AE196=AC196)*($V$3:$AE$3&gt;AC$3)+($V196:$AE196=AC196)*($V$3:$AE$3=AC$3)*($V$2:$AE$2&lt;AC$2))),2))))</f>
      </c>
      <c r="AN196" s="33">
        <f>IF(AD196&lt;=0,0,MAX(0,MIN(AD196,ROUND($AZ196-SUMPRODUCT($V196:$AE196*($V196:$AE196&gt;0)*(($V196:$AE196&lt;AD196)+($V196:$AE196=AD196)*($V$3:$AE$3&gt;AD$3)+($V196:$AE196=AD196)*($V$3:$AE$3=AD$3)*($V$2:$AE$2&lt;AD$2))),2))))</f>
      </c>
      <c r="AO196" s="33">
        <f>IF(AE196&lt;=0,0,MAX(0,MIN(AE196,ROUND($AZ196-SUMPRODUCT($V196:$AE196*($V196:$AE196&gt;0)*(($V196:$AE196&lt;AE196)+($V196:$AE196=AE196)*($V$3:$AE$3&gt;AE$3)+($V196:$AE196=AE196)*($V$3:$AE$3=AE$3)*($V$2:$AE$2&lt;AE$2))),2))))</f>
      </c>
      <c r="AP196" s="33">
        <f>ROUND(V196-AF196,2)</f>
      </c>
      <c r="AQ196" s="33">
        <f>ROUND(W196-AG196,2)</f>
      </c>
      <c r="AR196" s="33">
        <f>ROUND(X196-AH196,2)</f>
      </c>
      <c r="AS196" s="33">
        <f>ROUND(Y196-AI196,2)</f>
      </c>
      <c r="AT196" s="33">
        <f>ROUND(Z196-AJ196,2)</f>
      </c>
      <c r="AU196" s="33">
        <f>ROUND(AA196-AK196,2)</f>
      </c>
      <c r="AV196" s="33">
        <f>ROUND(AB196-AL196,2)</f>
      </c>
      <c r="AW196" s="33">
        <f>ROUND(AC196-AM196,2)</f>
      </c>
      <c r="AX196" s="33">
        <f>ROUND(AD196-AN196,2)</f>
      </c>
      <c r="AY196" s="33">
        <f>ROUND(AE196-AO196,2)</f>
      </c>
      <c r="AZ196" s="33">
        <f>ROUND(MAX(0,'Your debts'!$D$22-SUM($L196:$U196)),2)</f>
      </c>
      <c r="BA196" s="33">
        <f>ROUND(SUM($B196:$K196)-SUM($AP195:$AY195),2)</f>
      </c>
      <c r="BB196" s="33">
        <f>SUM($AP196:$AY196)</f>
      </c>
      <c r="BC196" s="33">
        <f>ROUND(SUM($L196:$U196)+SUM($AF196:$AO196),2)</f>
      </c>
    </row>
    <row r="197" spans="1:55" x14ac:dyDescent="0.25">
      <c r="A197">
        <v>190</v>
      </c>
      <c r="B197" s="33">
        <f>IF(AP196&lt;=0,0,ROUND(AP196+ROUND(AP196*V$3/12,2),2))</f>
      </c>
      <c r="C197" s="33">
        <f>IF(AQ196&lt;=0,0,ROUND(AQ196+ROUND(AQ196*W$3/12,2),2))</f>
      </c>
      <c r="D197" s="33">
        <f>IF(AR196&lt;=0,0,ROUND(AR196+ROUND(AR196*X$3/12,2),2))</f>
      </c>
      <c r="E197" s="33">
        <f>IF(AS196&lt;=0,0,ROUND(AS196+ROUND(AS196*Y$3/12,2),2))</f>
      </c>
      <c r="F197" s="33">
        <f>IF(AT196&lt;=0,0,ROUND(AT196+ROUND(AT196*Z$3/12,2),2))</f>
      </c>
      <c r="G197" s="33">
        <f>IF(AU196&lt;=0,0,ROUND(AU196+ROUND(AU196*AA$3/12,2),2))</f>
      </c>
      <c r="H197" s="33">
        <f>IF(AV196&lt;=0,0,ROUND(AV196+ROUND(AV196*AB$3/12,2),2))</f>
      </c>
      <c r="I197" s="33">
        <f>IF(AW196&lt;=0,0,ROUND(AW196+ROUND(AW196*AC$3/12,2),2))</f>
      </c>
      <c r="J197" s="33">
        <f>IF(AX196&lt;=0,0,ROUND(AX196+ROUND(AX196*AD$3/12,2),2))</f>
      </c>
      <c r="K197" s="33">
        <f>IF(AY196&lt;=0,0,ROUND(AY196+ROUND(AY196*AE$3/12,2),2))</f>
      </c>
      <c r="L197" s="33">
        <f>ROUND(MIN(MAX(0,N('Your debts'!$E$6)),B197),2)</f>
      </c>
      <c r="M197" s="33">
        <f>ROUND(MIN(MAX(0,N('Your debts'!$E$7)),C197),2)</f>
      </c>
      <c r="N197" s="33">
        <f>ROUND(MIN(MAX(0,N('Your debts'!$E$8)),D197),2)</f>
      </c>
      <c r="O197" s="33">
        <f>ROUND(MIN(MAX(0,N('Your debts'!$E$9)),E197),2)</f>
      </c>
      <c r="P197" s="33">
        <f>ROUND(MIN(MAX(0,N('Your debts'!$E$10)),F197),2)</f>
      </c>
      <c r="Q197" s="33">
        <f>ROUND(MIN(MAX(0,N('Your debts'!$E$11)),G197),2)</f>
      </c>
      <c r="R197" s="33">
        <f>ROUND(MIN(MAX(0,N('Your debts'!$E$12)),H197),2)</f>
      </c>
      <c r="S197" s="33">
        <f>ROUND(MIN(MAX(0,N('Your debts'!$E$13)),I197),2)</f>
      </c>
      <c r="T197" s="33">
        <f>ROUND(MIN(MAX(0,N('Your debts'!$E$14)),J197),2)</f>
      </c>
      <c r="U197" s="33">
        <f>ROUND(MIN(MAX(0,N('Your debts'!$E$15)),K197),2)</f>
      </c>
      <c r="V197" s="33">
        <f>ROUND(B197-L197,2)</f>
      </c>
      <c r="W197" s="33">
        <f>ROUND(C197-M197,2)</f>
      </c>
      <c r="X197" s="33">
        <f>ROUND(D197-N197,2)</f>
      </c>
      <c r="Y197" s="33">
        <f>ROUND(E197-O197,2)</f>
      </c>
      <c r="Z197" s="33">
        <f>ROUND(F197-P197,2)</f>
      </c>
      <c r="AA197" s="33">
        <f>ROUND(G197-Q197,2)</f>
      </c>
      <c r="AB197" s="33">
        <f>ROUND(H197-R197,2)</f>
      </c>
      <c r="AC197" s="33">
        <f>ROUND(I197-S197,2)</f>
      </c>
      <c r="AD197" s="33">
        <f>ROUND(J197-T197,2)</f>
      </c>
      <c r="AE197" s="33">
        <f>ROUND(K197-U197,2)</f>
      </c>
      <c r="AF197" s="33">
        <f>IF(V197&lt;=0,0,MAX(0,MIN(V197,ROUND($AZ197-SUMPRODUCT($V197:$AE197*($V197:$AE197&gt;0)*(($V197:$AE197&lt;V197)+($V197:$AE197=V197)*($V$3:$AE$3&gt;V$3)+($V197:$AE197=V197)*($V$3:$AE$3=V$3)*($V$2:$AE$2&lt;V$2))),2))))</f>
      </c>
      <c r="AG197" s="33">
        <f>IF(W197&lt;=0,0,MAX(0,MIN(W197,ROUND($AZ197-SUMPRODUCT($V197:$AE197*($V197:$AE197&gt;0)*(($V197:$AE197&lt;W197)+($V197:$AE197=W197)*($V$3:$AE$3&gt;W$3)+($V197:$AE197=W197)*($V$3:$AE$3=W$3)*($V$2:$AE$2&lt;W$2))),2))))</f>
      </c>
      <c r="AH197" s="33">
        <f>IF(X197&lt;=0,0,MAX(0,MIN(X197,ROUND($AZ197-SUMPRODUCT($V197:$AE197*($V197:$AE197&gt;0)*(($V197:$AE197&lt;X197)+($V197:$AE197=X197)*($V$3:$AE$3&gt;X$3)+($V197:$AE197=X197)*($V$3:$AE$3=X$3)*($V$2:$AE$2&lt;X$2))),2))))</f>
      </c>
      <c r="AI197" s="33">
        <f>IF(Y197&lt;=0,0,MAX(0,MIN(Y197,ROUND($AZ197-SUMPRODUCT($V197:$AE197*($V197:$AE197&gt;0)*(($V197:$AE197&lt;Y197)+($V197:$AE197=Y197)*($V$3:$AE$3&gt;Y$3)+($V197:$AE197=Y197)*($V$3:$AE$3=Y$3)*($V$2:$AE$2&lt;Y$2))),2))))</f>
      </c>
      <c r="AJ197" s="33">
        <f>IF(Z197&lt;=0,0,MAX(0,MIN(Z197,ROUND($AZ197-SUMPRODUCT($V197:$AE197*($V197:$AE197&gt;0)*(($V197:$AE197&lt;Z197)+($V197:$AE197=Z197)*($V$3:$AE$3&gt;Z$3)+($V197:$AE197=Z197)*($V$3:$AE$3=Z$3)*($V$2:$AE$2&lt;Z$2))),2))))</f>
      </c>
      <c r="AK197" s="33">
        <f>IF(AA197&lt;=0,0,MAX(0,MIN(AA197,ROUND($AZ197-SUMPRODUCT($V197:$AE197*($V197:$AE197&gt;0)*(($V197:$AE197&lt;AA197)+($V197:$AE197=AA197)*($V$3:$AE$3&gt;AA$3)+($V197:$AE197=AA197)*($V$3:$AE$3=AA$3)*($V$2:$AE$2&lt;AA$2))),2))))</f>
      </c>
      <c r="AL197" s="33">
        <f>IF(AB197&lt;=0,0,MAX(0,MIN(AB197,ROUND($AZ197-SUMPRODUCT($V197:$AE197*($V197:$AE197&gt;0)*(($V197:$AE197&lt;AB197)+($V197:$AE197=AB197)*($V$3:$AE$3&gt;AB$3)+($V197:$AE197=AB197)*($V$3:$AE$3=AB$3)*($V$2:$AE$2&lt;AB$2))),2))))</f>
      </c>
      <c r="AM197" s="33">
        <f>IF(AC197&lt;=0,0,MAX(0,MIN(AC197,ROUND($AZ197-SUMPRODUCT($V197:$AE197*($V197:$AE197&gt;0)*(($V197:$AE197&lt;AC197)+($V197:$AE197=AC197)*($V$3:$AE$3&gt;AC$3)+($V197:$AE197=AC197)*($V$3:$AE$3=AC$3)*($V$2:$AE$2&lt;AC$2))),2))))</f>
      </c>
      <c r="AN197" s="33">
        <f>IF(AD197&lt;=0,0,MAX(0,MIN(AD197,ROUND($AZ197-SUMPRODUCT($V197:$AE197*($V197:$AE197&gt;0)*(($V197:$AE197&lt;AD197)+($V197:$AE197=AD197)*($V$3:$AE$3&gt;AD$3)+($V197:$AE197=AD197)*($V$3:$AE$3=AD$3)*($V$2:$AE$2&lt;AD$2))),2))))</f>
      </c>
      <c r="AO197" s="33">
        <f>IF(AE197&lt;=0,0,MAX(0,MIN(AE197,ROUND($AZ197-SUMPRODUCT($V197:$AE197*($V197:$AE197&gt;0)*(($V197:$AE197&lt;AE197)+($V197:$AE197=AE197)*($V$3:$AE$3&gt;AE$3)+($V197:$AE197=AE197)*($V$3:$AE$3=AE$3)*($V$2:$AE$2&lt;AE$2))),2))))</f>
      </c>
      <c r="AP197" s="33">
        <f>ROUND(V197-AF197,2)</f>
      </c>
      <c r="AQ197" s="33">
        <f>ROUND(W197-AG197,2)</f>
      </c>
      <c r="AR197" s="33">
        <f>ROUND(X197-AH197,2)</f>
      </c>
      <c r="AS197" s="33">
        <f>ROUND(Y197-AI197,2)</f>
      </c>
      <c r="AT197" s="33">
        <f>ROUND(Z197-AJ197,2)</f>
      </c>
      <c r="AU197" s="33">
        <f>ROUND(AA197-AK197,2)</f>
      </c>
      <c r="AV197" s="33">
        <f>ROUND(AB197-AL197,2)</f>
      </c>
      <c r="AW197" s="33">
        <f>ROUND(AC197-AM197,2)</f>
      </c>
      <c r="AX197" s="33">
        <f>ROUND(AD197-AN197,2)</f>
      </c>
      <c r="AY197" s="33">
        <f>ROUND(AE197-AO197,2)</f>
      </c>
      <c r="AZ197" s="33">
        <f>ROUND(MAX(0,'Your debts'!$D$22-SUM($L197:$U197)),2)</f>
      </c>
      <c r="BA197" s="33">
        <f>ROUND(SUM($B197:$K197)-SUM($AP196:$AY196),2)</f>
      </c>
      <c r="BB197" s="33">
        <f>SUM($AP197:$AY197)</f>
      </c>
      <c r="BC197" s="33">
        <f>ROUND(SUM($L197:$U197)+SUM($AF197:$AO197),2)</f>
      </c>
    </row>
    <row r="198" spans="1:55" x14ac:dyDescent="0.25">
      <c r="A198">
        <v>191</v>
      </c>
      <c r="B198" s="33">
        <f>IF(AP197&lt;=0,0,ROUND(AP197+ROUND(AP197*V$3/12,2),2))</f>
      </c>
      <c r="C198" s="33">
        <f>IF(AQ197&lt;=0,0,ROUND(AQ197+ROUND(AQ197*W$3/12,2),2))</f>
      </c>
      <c r="D198" s="33">
        <f>IF(AR197&lt;=0,0,ROUND(AR197+ROUND(AR197*X$3/12,2),2))</f>
      </c>
      <c r="E198" s="33">
        <f>IF(AS197&lt;=0,0,ROUND(AS197+ROUND(AS197*Y$3/12,2),2))</f>
      </c>
      <c r="F198" s="33">
        <f>IF(AT197&lt;=0,0,ROUND(AT197+ROUND(AT197*Z$3/12,2),2))</f>
      </c>
      <c r="G198" s="33">
        <f>IF(AU197&lt;=0,0,ROUND(AU197+ROUND(AU197*AA$3/12,2),2))</f>
      </c>
      <c r="H198" s="33">
        <f>IF(AV197&lt;=0,0,ROUND(AV197+ROUND(AV197*AB$3/12,2),2))</f>
      </c>
      <c r="I198" s="33">
        <f>IF(AW197&lt;=0,0,ROUND(AW197+ROUND(AW197*AC$3/12,2),2))</f>
      </c>
      <c r="J198" s="33">
        <f>IF(AX197&lt;=0,0,ROUND(AX197+ROUND(AX197*AD$3/12,2),2))</f>
      </c>
      <c r="K198" s="33">
        <f>IF(AY197&lt;=0,0,ROUND(AY197+ROUND(AY197*AE$3/12,2),2))</f>
      </c>
      <c r="L198" s="33">
        <f>ROUND(MIN(MAX(0,N('Your debts'!$E$6)),B198),2)</f>
      </c>
      <c r="M198" s="33">
        <f>ROUND(MIN(MAX(0,N('Your debts'!$E$7)),C198),2)</f>
      </c>
      <c r="N198" s="33">
        <f>ROUND(MIN(MAX(0,N('Your debts'!$E$8)),D198),2)</f>
      </c>
      <c r="O198" s="33">
        <f>ROUND(MIN(MAX(0,N('Your debts'!$E$9)),E198),2)</f>
      </c>
      <c r="P198" s="33">
        <f>ROUND(MIN(MAX(0,N('Your debts'!$E$10)),F198),2)</f>
      </c>
      <c r="Q198" s="33">
        <f>ROUND(MIN(MAX(0,N('Your debts'!$E$11)),G198),2)</f>
      </c>
      <c r="R198" s="33">
        <f>ROUND(MIN(MAX(0,N('Your debts'!$E$12)),H198),2)</f>
      </c>
      <c r="S198" s="33">
        <f>ROUND(MIN(MAX(0,N('Your debts'!$E$13)),I198),2)</f>
      </c>
      <c r="T198" s="33">
        <f>ROUND(MIN(MAX(0,N('Your debts'!$E$14)),J198),2)</f>
      </c>
      <c r="U198" s="33">
        <f>ROUND(MIN(MAX(0,N('Your debts'!$E$15)),K198),2)</f>
      </c>
      <c r="V198" s="33">
        <f>ROUND(B198-L198,2)</f>
      </c>
      <c r="W198" s="33">
        <f>ROUND(C198-M198,2)</f>
      </c>
      <c r="X198" s="33">
        <f>ROUND(D198-N198,2)</f>
      </c>
      <c r="Y198" s="33">
        <f>ROUND(E198-O198,2)</f>
      </c>
      <c r="Z198" s="33">
        <f>ROUND(F198-P198,2)</f>
      </c>
      <c r="AA198" s="33">
        <f>ROUND(G198-Q198,2)</f>
      </c>
      <c r="AB198" s="33">
        <f>ROUND(H198-R198,2)</f>
      </c>
      <c r="AC198" s="33">
        <f>ROUND(I198-S198,2)</f>
      </c>
      <c r="AD198" s="33">
        <f>ROUND(J198-T198,2)</f>
      </c>
      <c r="AE198" s="33">
        <f>ROUND(K198-U198,2)</f>
      </c>
      <c r="AF198" s="33">
        <f>IF(V198&lt;=0,0,MAX(0,MIN(V198,ROUND($AZ198-SUMPRODUCT($V198:$AE198*($V198:$AE198&gt;0)*(($V198:$AE198&lt;V198)+($V198:$AE198=V198)*($V$3:$AE$3&gt;V$3)+($V198:$AE198=V198)*($V$3:$AE$3=V$3)*($V$2:$AE$2&lt;V$2))),2))))</f>
      </c>
      <c r="AG198" s="33">
        <f>IF(W198&lt;=0,0,MAX(0,MIN(W198,ROUND($AZ198-SUMPRODUCT($V198:$AE198*($V198:$AE198&gt;0)*(($V198:$AE198&lt;W198)+($V198:$AE198=W198)*($V$3:$AE$3&gt;W$3)+($V198:$AE198=W198)*($V$3:$AE$3=W$3)*($V$2:$AE$2&lt;W$2))),2))))</f>
      </c>
      <c r="AH198" s="33">
        <f>IF(X198&lt;=0,0,MAX(0,MIN(X198,ROUND($AZ198-SUMPRODUCT($V198:$AE198*($V198:$AE198&gt;0)*(($V198:$AE198&lt;X198)+($V198:$AE198=X198)*($V$3:$AE$3&gt;X$3)+($V198:$AE198=X198)*($V$3:$AE$3=X$3)*($V$2:$AE$2&lt;X$2))),2))))</f>
      </c>
      <c r="AI198" s="33">
        <f>IF(Y198&lt;=0,0,MAX(0,MIN(Y198,ROUND($AZ198-SUMPRODUCT($V198:$AE198*($V198:$AE198&gt;0)*(($V198:$AE198&lt;Y198)+($V198:$AE198=Y198)*($V$3:$AE$3&gt;Y$3)+($V198:$AE198=Y198)*($V$3:$AE$3=Y$3)*($V$2:$AE$2&lt;Y$2))),2))))</f>
      </c>
      <c r="AJ198" s="33">
        <f>IF(Z198&lt;=0,0,MAX(0,MIN(Z198,ROUND($AZ198-SUMPRODUCT($V198:$AE198*($V198:$AE198&gt;0)*(($V198:$AE198&lt;Z198)+($V198:$AE198=Z198)*($V$3:$AE$3&gt;Z$3)+($V198:$AE198=Z198)*($V$3:$AE$3=Z$3)*($V$2:$AE$2&lt;Z$2))),2))))</f>
      </c>
      <c r="AK198" s="33">
        <f>IF(AA198&lt;=0,0,MAX(0,MIN(AA198,ROUND($AZ198-SUMPRODUCT($V198:$AE198*($V198:$AE198&gt;0)*(($V198:$AE198&lt;AA198)+($V198:$AE198=AA198)*($V$3:$AE$3&gt;AA$3)+($V198:$AE198=AA198)*($V$3:$AE$3=AA$3)*($V$2:$AE$2&lt;AA$2))),2))))</f>
      </c>
      <c r="AL198" s="33">
        <f>IF(AB198&lt;=0,0,MAX(0,MIN(AB198,ROUND($AZ198-SUMPRODUCT($V198:$AE198*($V198:$AE198&gt;0)*(($V198:$AE198&lt;AB198)+($V198:$AE198=AB198)*($V$3:$AE$3&gt;AB$3)+($V198:$AE198=AB198)*($V$3:$AE$3=AB$3)*($V$2:$AE$2&lt;AB$2))),2))))</f>
      </c>
      <c r="AM198" s="33">
        <f>IF(AC198&lt;=0,0,MAX(0,MIN(AC198,ROUND($AZ198-SUMPRODUCT($V198:$AE198*($V198:$AE198&gt;0)*(($V198:$AE198&lt;AC198)+($V198:$AE198=AC198)*($V$3:$AE$3&gt;AC$3)+($V198:$AE198=AC198)*($V$3:$AE$3=AC$3)*($V$2:$AE$2&lt;AC$2))),2))))</f>
      </c>
      <c r="AN198" s="33">
        <f>IF(AD198&lt;=0,0,MAX(0,MIN(AD198,ROUND($AZ198-SUMPRODUCT($V198:$AE198*($V198:$AE198&gt;0)*(($V198:$AE198&lt;AD198)+($V198:$AE198=AD198)*($V$3:$AE$3&gt;AD$3)+($V198:$AE198=AD198)*($V$3:$AE$3=AD$3)*($V$2:$AE$2&lt;AD$2))),2))))</f>
      </c>
      <c r="AO198" s="33">
        <f>IF(AE198&lt;=0,0,MAX(0,MIN(AE198,ROUND($AZ198-SUMPRODUCT($V198:$AE198*($V198:$AE198&gt;0)*(($V198:$AE198&lt;AE198)+($V198:$AE198=AE198)*($V$3:$AE$3&gt;AE$3)+($V198:$AE198=AE198)*($V$3:$AE$3=AE$3)*($V$2:$AE$2&lt;AE$2))),2))))</f>
      </c>
      <c r="AP198" s="33">
        <f>ROUND(V198-AF198,2)</f>
      </c>
      <c r="AQ198" s="33">
        <f>ROUND(W198-AG198,2)</f>
      </c>
      <c r="AR198" s="33">
        <f>ROUND(X198-AH198,2)</f>
      </c>
      <c r="AS198" s="33">
        <f>ROUND(Y198-AI198,2)</f>
      </c>
      <c r="AT198" s="33">
        <f>ROUND(Z198-AJ198,2)</f>
      </c>
      <c r="AU198" s="33">
        <f>ROUND(AA198-AK198,2)</f>
      </c>
      <c r="AV198" s="33">
        <f>ROUND(AB198-AL198,2)</f>
      </c>
      <c r="AW198" s="33">
        <f>ROUND(AC198-AM198,2)</f>
      </c>
      <c r="AX198" s="33">
        <f>ROUND(AD198-AN198,2)</f>
      </c>
      <c r="AY198" s="33">
        <f>ROUND(AE198-AO198,2)</f>
      </c>
      <c r="AZ198" s="33">
        <f>ROUND(MAX(0,'Your debts'!$D$22-SUM($L198:$U198)),2)</f>
      </c>
      <c r="BA198" s="33">
        <f>ROUND(SUM($B198:$K198)-SUM($AP197:$AY197),2)</f>
      </c>
      <c r="BB198" s="33">
        <f>SUM($AP198:$AY198)</f>
      </c>
      <c r="BC198" s="33">
        <f>ROUND(SUM($L198:$U198)+SUM($AF198:$AO198),2)</f>
      </c>
    </row>
    <row r="199" spans="1:55" x14ac:dyDescent="0.25">
      <c r="A199">
        <v>192</v>
      </c>
      <c r="B199" s="33">
        <f>IF(AP198&lt;=0,0,ROUND(AP198+ROUND(AP198*V$3/12,2),2))</f>
      </c>
      <c r="C199" s="33">
        <f>IF(AQ198&lt;=0,0,ROUND(AQ198+ROUND(AQ198*W$3/12,2),2))</f>
      </c>
      <c r="D199" s="33">
        <f>IF(AR198&lt;=0,0,ROUND(AR198+ROUND(AR198*X$3/12,2),2))</f>
      </c>
      <c r="E199" s="33">
        <f>IF(AS198&lt;=0,0,ROUND(AS198+ROUND(AS198*Y$3/12,2),2))</f>
      </c>
      <c r="F199" s="33">
        <f>IF(AT198&lt;=0,0,ROUND(AT198+ROUND(AT198*Z$3/12,2),2))</f>
      </c>
      <c r="G199" s="33">
        <f>IF(AU198&lt;=0,0,ROUND(AU198+ROUND(AU198*AA$3/12,2),2))</f>
      </c>
      <c r="H199" s="33">
        <f>IF(AV198&lt;=0,0,ROUND(AV198+ROUND(AV198*AB$3/12,2),2))</f>
      </c>
      <c r="I199" s="33">
        <f>IF(AW198&lt;=0,0,ROUND(AW198+ROUND(AW198*AC$3/12,2),2))</f>
      </c>
      <c r="J199" s="33">
        <f>IF(AX198&lt;=0,0,ROUND(AX198+ROUND(AX198*AD$3/12,2),2))</f>
      </c>
      <c r="K199" s="33">
        <f>IF(AY198&lt;=0,0,ROUND(AY198+ROUND(AY198*AE$3/12,2),2))</f>
      </c>
      <c r="L199" s="33">
        <f>ROUND(MIN(MAX(0,N('Your debts'!$E$6)),B199),2)</f>
      </c>
      <c r="M199" s="33">
        <f>ROUND(MIN(MAX(0,N('Your debts'!$E$7)),C199),2)</f>
      </c>
      <c r="N199" s="33">
        <f>ROUND(MIN(MAX(0,N('Your debts'!$E$8)),D199),2)</f>
      </c>
      <c r="O199" s="33">
        <f>ROUND(MIN(MAX(0,N('Your debts'!$E$9)),E199),2)</f>
      </c>
      <c r="P199" s="33">
        <f>ROUND(MIN(MAX(0,N('Your debts'!$E$10)),F199),2)</f>
      </c>
      <c r="Q199" s="33">
        <f>ROUND(MIN(MAX(0,N('Your debts'!$E$11)),G199),2)</f>
      </c>
      <c r="R199" s="33">
        <f>ROUND(MIN(MAX(0,N('Your debts'!$E$12)),H199),2)</f>
      </c>
      <c r="S199" s="33">
        <f>ROUND(MIN(MAX(0,N('Your debts'!$E$13)),I199),2)</f>
      </c>
      <c r="T199" s="33">
        <f>ROUND(MIN(MAX(0,N('Your debts'!$E$14)),J199),2)</f>
      </c>
      <c r="U199" s="33">
        <f>ROUND(MIN(MAX(0,N('Your debts'!$E$15)),K199),2)</f>
      </c>
      <c r="V199" s="33">
        <f>ROUND(B199-L199,2)</f>
      </c>
      <c r="W199" s="33">
        <f>ROUND(C199-M199,2)</f>
      </c>
      <c r="X199" s="33">
        <f>ROUND(D199-N199,2)</f>
      </c>
      <c r="Y199" s="33">
        <f>ROUND(E199-O199,2)</f>
      </c>
      <c r="Z199" s="33">
        <f>ROUND(F199-P199,2)</f>
      </c>
      <c r="AA199" s="33">
        <f>ROUND(G199-Q199,2)</f>
      </c>
      <c r="AB199" s="33">
        <f>ROUND(H199-R199,2)</f>
      </c>
      <c r="AC199" s="33">
        <f>ROUND(I199-S199,2)</f>
      </c>
      <c r="AD199" s="33">
        <f>ROUND(J199-T199,2)</f>
      </c>
      <c r="AE199" s="33">
        <f>ROUND(K199-U199,2)</f>
      </c>
      <c r="AF199" s="33">
        <f>IF(V199&lt;=0,0,MAX(0,MIN(V199,ROUND($AZ199-SUMPRODUCT($V199:$AE199*($V199:$AE199&gt;0)*(($V199:$AE199&lt;V199)+($V199:$AE199=V199)*($V$3:$AE$3&gt;V$3)+($V199:$AE199=V199)*($V$3:$AE$3=V$3)*($V$2:$AE$2&lt;V$2))),2))))</f>
      </c>
      <c r="AG199" s="33">
        <f>IF(W199&lt;=0,0,MAX(0,MIN(W199,ROUND($AZ199-SUMPRODUCT($V199:$AE199*($V199:$AE199&gt;0)*(($V199:$AE199&lt;W199)+($V199:$AE199=W199)*($V$3:$AE$3&gt;W$3)+($V199:$AE199=W199)*($V$3:$AE$3=W$3)*($V$2:$AE$2&lt;W$2))),2))))</f>
      </c>
      <c r="AH199" s="33">
        <f>IF(X199&lt;=0,0,MAX(0,MIN(X199,ROUND($AZ199-SUMPRODUCT($V199:$AE199*($V199:$AE199&gt;0)*(($V199:$AE199&lt;X199)+($V199:$AE199=X199)*($V$3:$AE$3&gt;X$3)+($V199:$AE199=X199)*($V$3:$AE$3=X$3)*($V$2:$AE$2&lt;X$2))),2))))</f>
      </c>
      <c r="AI199" s="33">
        <f>IF(Y199&lt;=0,0,MAX(0,MIN(Y199,ROUND($AZ199-SUMPRODUCT($V199:$AE199*($V199:$AE199&gt;0)*(($V199:$AE199&lt;Y199)+($V199:$AE199=Y199)*($V$3:$AE$3&gt;Y$3)+($V199:$AE199=Y199)*($V$3:$AE$3=Y$3)*($V$2:$AE$2&lt;Y$2))),2))))</f>
      </c>
      <c r="AJ199" s="33">
        <f>IF(Z199&lt;=0,0,MAX(0,MIN(Z199,ROUND($AZ199-SUMPRODUCT($V199:$AE199*($V199:$AE199&gt;0)*(($V199:$AE199&lt;Z199)+($V199:$AE199=Z199)*($V$3:$AE$3&gt;Z$3)+($V199:$AE199=Z199)*($V$3:$AE$3=Z$3)*($V$2:$AE$2&lt;Z$2))),2))))</f>
      </c>
      <c r="AK199" s="33">
        <f>IF(AA199&lt;=0,0,MAX(0,MIN(AA199,ROUND($AZ199-SUMPRODUCT($V199:$AE199*($V199:$AE199&gt;0)*(($V199:$AE199&lt;AA199)+($V199:$AE199=AA199)*($V$3:$AE$3&gt;AA$3)+($V199:$AE199=AA199)*($V$3:$AE$3=AA$3)*($V$2:$AE$2&lt;AA$2))),2))))</f>
      </c>
      <c r="AL199" s="33">
        <f>IF(AB199&lt;=0,0,MAX(0,MIN(AB199,ROUND($AZ199-SUMPRODUCT($V199:$AE199*($V199:$AE199&gt;0)*(($V199:$AE199&lt;AB199)+($V199:$AE199=AB199)*($V$3:$AE$3&gt;AB$3)+($V199:$AE199=AB199)*($V$3:$AE$3=AB$3)*($V$2:$AE$2&lt;AB$2))),2))))</f>
      </c>
      <c r="AM199" s="33">
        <f>IF(AC199&lt;=0,0,MAX(0,MIN(AC199,ROUND($AZ199-SUMPRODUCT($V199:$AE199*($V199:$AE199&gt;0)*(($V199:$AE199&lt;AC199)+($V199:$AE199=AC199)*($V$3:$AE$3&gt;AC$3)+($V199:$AE199=AC199)*($V$3:$AE$3=AC$3)*($V$2:$AE$2&lt;AC$2))),2))))</f>
      </c>
      <c r="AN199" s="33">
        <f>IF(AD199&lt;=0,0,MAX(0,MIN(AD199,ROUND($AZ199-SUMPRODUCT($V199:$AE199*($V199:$AE199&gt;0)*(($V199:$AE199&lt;AD199)+($V199:$AE199=AD199)*($V$3:$AE$3&gt;AD$3)+($V199:$AE199=AD199)*($V$3:$AE$3=AD$3)*($V$2:$AE$2&lt;AD$2))),2))))</f>
      </c>
      <c r="AO199" s="33">
        <f>IF(AE199&lt;=0,0,MAX(0,MIN(AE199,ROUND($AZ199-SUMPRODUCT($V199:$AE199*($V199:$AE199&gt;0)*(($V199:$AE199&lt;AE199)+($V199:$AE199=AE199)*($V$3:$AE$3&gt;AE$3)+($V199:$AE199=AE199)*($V$3:$AE$3=AE$3)*($V$2:$AE$2&lt;AE$2))),2))))</f>
      </c>
      <c r="AP199" s="33">
        <f>ROUND(V199-AF199,2)</f>
      </c>
      <c r="AQ199" s="33">
        <f>ROUND(W199-AG199,2)</f>
      </c>
      <c r="AR199" s="33">
        <f>ROUND(X199-AH199,2)</f>
      </c>
      <c r="AS199" s="33">
        <f>ROUND(Y199-AI199,2)</f>
      </c>
      <c r="AT199" s="33">
        <f>ROUND(Z199-AJ199,2)</f>
      </c>
      <c r="AU199" s="33">
        <f>ROUND(AA199-AK199,2)</f>
      </c>
      <c r="AV199" s="33">
        <f>ROUND(AB199-AL199,2)</f>
      </c>
      <c r="AW199" s="33">
        <f>ROUND(AC199-AM199,2)</f>
      </c>
      <c r="AX199" s="33">
        <f>ROUND(AD199-AN199,2)</f>
      </c>
      <c r="AY199" s="33">
        <f>ROUND(AE199-AO199,2)</f>
      </c>
      <c r="AZ199" s="33">
        <f>ROUND(MAX(0,'Your debts'!$D$22-SUM($L199:$U199)),2)</f>
      </c>
      <c r="BA199" s="33">
        <f>ROUND(SUM($B199:$K199)-SUM($AP198:$AY198),2)</f>
      </c>
      <c r="BB199" s="33">
        <f>SUM($AP199:$AY199)</f>
      </c>
      <c r="BC199" s="33">
        <f>ROUND(SUM($L199:$U199)+SUM($AF199:$AO199),2)</f>
      </c>
    </row>
    <row r="200" spans="1:55" x14ac:dyDescent="0.25">
      <c r="A200">
        <v>193</v>
      </c>
      <c r="B200" s="33">
        <f>IF(AP199&lt;=0,0,ROUND(AP199+ROUND(AP199*V$3/12,2),2))</f>
      </c>
      <c r="C200" s="33">
        <f>IF(AQ199&lt;=0,0,ROUND(AQ199+ROUND(AQ199*W$3/12,2),2))</f>
      </c>
      <c r="D200" s="33">
        <f>IF(AR199&lt;=0,0,ROUND(AR199+ROUND(AR199*X$3/12,2),2))</f>
      </c>
      <c r="E200" s="33">
        <f>IF(AS199&lt;=0,0,ROUND(AS199+ROUND(AS199*Y$3/12,2),2))</f>
      </c>
      <c r="F200" s="33">
        <f>IF(AT199&lt;=0,0,ROUND(AT199+ROUND(AT199*Z$3/12,2),2))</f>
      </c>
      <c r="G200" s="33">
        <f>IF(AU199&lt;=0,0,ROUND(AU199+ROUND(AU199*AA$3/12,2),2))</f>
      </c>
      <c r="H200" s="33">
        <f>IF(AV199&lt;=0,0,ROUND(AV199+ROUND(AV199*AB$3/12,2),2))</f>
      </c>
      <c r="I200" s="33">
        <f>IF(AW199&lt;=0,0,ROUND(AW199+ROUND(AW199*AC$3/12,2),2))</f>
      </c>
      <c r="J200" s="33">
        <f>IF(AX199&lt;=0,0,ROUND(AX199+ROUND(AX199*AD$3/12,2),2))</f>
      </c>
      <c r="K200" s="33">
        <f>IF(AY199&lt;=0,0,ROUND(AY199+ROUND(AY199*AE$3/12,2),2))</f>
      </c>
      <c r="L200" s="33">
        <f>ROUND(MIN(MAX(0,N('Your debts'!$E$6)),B200),2)</f>
      </c>
      <c r="M200" s="33">
        <f>ROUND(MIN(MAX(0,N('Your debts'!$E$7)),C200),2)</f>
      </c>
      <c r="N200" s="33">
        <f>ROUND(MIN(MAX(0,N('Your debts'!$E$8)),D200),2)</f>
      </c>
      <c r="O200" s="33">
        <f>ROUND(MIN(MAX(0,N('Your debts'!$E$9)),E200),2)</f>
      </c>
      <c r="P200" s="33">
        <f>ROUND(MIN(MAX(0,N('Your debts'!$E$10)),F200),2)</f>
      </c>
      <c r="Q200" s="33">
        <f>ROUND(MIN(MAX(0,N('Your debts'!$E$11)),G200),2)</f>
      </c>
      <c r="R200" s="33">
        <f>ROUND(MIN(MAX(0,N('Your debts'!$E$12)),H200),2)</f>
      </c>
      <c r="S200" s="33">
        <f>ROUND(MIN(MAX(0,N('Your debts'!$E$13)),I200),2)</f>
      </c>
      <c r="T200" s="33">
        <f>ROUND(MIN(MAX(0,N('Your debts'!$E$14)),J200),2)</f>
      </c>
      <c r="U200" s="33">
        <f>ROUND(MIN(MAX(0,N('Your debts'!$E$15)),K200),2)</f>
      </c>
      <c r="V200" s="33">
        <f>ROUND(B200-L200,2)</f>
      </c>
      <c r="W200" s="33">
        <f>ROUND(C200-M200,2)</f>
      </c>
      <c r="X200" s="33">
        <f>ROUND(D200-N200,2)</f>
      </c>
      <c r="Y200" s="33">
        <f>ROUND(E200-O200,2)</f>
      </c>
      <c r="Z200" s="33">
        <f>ROUND(F200-P200,2)</f>
      </c>
      <c r="AA200" s="33">
        <f>ROUND(G200-Q200,2)</f>
      </c>
      <c r="AB200" s="33">
        <f>ROUND(H200-R200,2)</f>
      </c>
      <c r="AC200" s="33">
        <f>ROUND(I200-S200,2)</f>
      </c>
      <c r="AD200" s="33">
        <f>ROUND(J200-T200,2)</f>
      </c>
      <c r="AE200" s="33">
        <f>ROUND(K200-U200,2)</f>
      </c>
      <c r="AF200" s="33">
        <f>IF(V200&lt;=0,0,MAX(0,MIN(V200,ROUND($AZ200-SUMPRODUCT($V200:$AE200*($V200:$AE200&gt;0)*(($V200:$AE200&lt;V200)+($V200:$AE200=V200)*($V$3:$AE$3&gt;V$3)+($V200:$AE200=V200)*($V$3:$AE$3=V$3)*($V$2:$AE$2&lt;V$2))),2))))</f>
      </c>
      <c r="AG200" s="33">
        <f>IF(W200&lt;=0,0,MAX(0,MIN(W200,ROUND($AZ200-SUMPRODUCT($V200:$AE200*($V200:$AE200&gt;0)*(($V200:$AE200&lt;W200)+($V200:$AE200=W200)*($V$3:$AE$3&gt;W$3)+($V200:$AE200=W200)*($V$3:$AE$3=W$3)*($V$2:$AE$2&lt;W$2))),2))))</f>
      </c>
      <c r="AH200" s="33">
        <f>IF(X200&lt;=0,0,MAX(0,MIN(X200,ROUND($AZ200-SUMPRODUCT($V200:$AE200*($V200:$AE200&gt;0)*(($V200:$AE200&lt;X200)+($V200:$AE200=X200)*($V$3:$AE$3&gt;X$3)+($V200:$AE200=X200)*($V$3:$AE$3=X$3)*($V$2:$AE$2&lt;X$2))),2))))</f>
      </c>
      <c r="AI200" s="33">
        <f>IF(Y200&lt;=0,0,MAX(0,MIN(Y200,ROUND($AZ200-SUMPRODUCT($V200:$AE200*($V200:$AE200&gt;0)*(($V200:$AE200&lt;Y200)+($V200:$AE200=Y200)*($V$3:$AE$3&gt;Y$3)+($V200:$AE200=Y200)*($V$3:$AE$3=Y$3)*($V$2:$AE$2&lt;Y$2))),2))))</f>
      </c>
      <c r="AJ200" s="33">
        <f>IF(Z200&lt;=0,0,MAX(0,MIN(Z200,ROUND($AZ200-SUMPRODUCT($V200:$AE200*($V200:$AE200&gt;0)*(($V200:$AE200&lt;Z200)+($V200:$AE200=Z200)*($V$3:$AE$3&gt;Z$3)+($V200:$AE200=Z200)*($V$3:$AE$3=Z$3)*($V$2:$AE$2&lt;Z$2))),2))))</f>
      </c>
      <c r="AK200" s="33">
        <f>IF(AA200&lt;=0,0,MAX(0,MIN(AA200,ROUND($AZ200-SUMPRODUCT($V200:$AE200*($V200:$AE200&gt;0)*(($V200:$AE200&lt;AA200)+($V200:$AE200=AA200)*($V$3:$AE$3&gt;AA$3)+($V200:$AE200=AA200)*($V$3:$AE$3=AA$3)*($V$2:$AE$2&lt;AA$2))),2))))</f>
      </c>
      <c r="AL200" s="33">
        <f>IF(AB200&lt;=0,0,MAX(0,MIN(AB200,ROUND($AZ200-SUMPRODUCT($V200:$AE200*($V200:$AE200&gt;0)*(($V200:$AE200&lt;AB200)+($V200:$AE200=AB200)*($V$3:$AE$3&gt;AB$3)+($V200:$AE200=AB200)*($V$3:$AE$3=AB$3)*($V$2:$AE$2&lt;AB$2))),2))))</f>
      </c>
      <c r="AM200" s="33">
        <f>IF(AC200&lt;=0,0,MAX(0,MIN(AC200,ROUND($AZ200-SUMPRODUCT($V200:$AE200*($V200:$AE200&gt;0)*(($V200:$AE200&lt;AC200)+($V200:$AE200=AC200)*($V$3:$AE$3&gt;AC$3)+($V200:$AE200=AC200)*($V$3:$AE$3=AC$3)*($V$2:$AE$2&lt;AC$2))),2))))</f>
      </c>
      <c r="AN200" s="33">
        <f>IF(AD200&lt;=0,0,MAX(0,MIN(AD200,ROUND($AZ200-SUMPRODUCT($V200:$AE200*($V200:$AE200&gt;0)*(($V200:$AE200&lt;AD200)+($V200:$AE200=AD200)*($V$3:$AE$3&gt;AD$3)+($V200:$AE200=AD200)*($V$3:$AE$3=AD$3)*($V$2:$AE$2&lt;AD$2))),2))))</f>
      </c>
      <c r="AO200" s="33">
        <f>IF(AE200&lt;=0,0,MAX(0,MIN(AE200,ROUND($AZ200-SUMPRODUCT($V200:$AE200*($V200:$AE200&gt;0)*(($V200:$AE200&lt;AE200)+($V200:$AE200=AE200)*($V$3:$AE$3&gt;AE$3)+($V200:$AE200=AE200)*($V$3:$AE$3=AE$3)*($V$2:$AE$2&lt;AE$2))),2))))</f>
      </c>
      <c r="AP200" s="33">
        <f>ROUND(V200-AF200,2)</f>
      </c>
      <c r="AQ200" s="33">
        <f>ROUND(W200-AG200,2)</f>
      </c>
      <c r="AR200" s="33">
        <f>ROUND(X200-AH200,2)</f>
      </c>
      <c r="AS200" s="33">
        <f>ROUND(Y200-AI200,2)</f>
      </c>
      <c r="AT200" s="33">
        <f>ROUND(Z200-AJ200,2)</f>
      </c>
      <c r="AU200" s="33">
        <f>ROUND(AA200-AK200,2)</f>
      </c>
      <c r="AV200" s="33">
        <f>ROUND(AB200-AL200,2)</f>
      </c>
      <c r="AW200" s="33">
        <f>ROUND(AC200-AM200,2)</f>
      </c>
      <c r="AX200" s="33">
        <f>ROUND(AD200-AN200,2)</f>
      </c>
      <c r="AY200" s="33">
        <f>ROUND(AE200-AO200,2)</f>
      </c>
      <c r="AZ200" s="33">
        <f>ROUND(MAX(0,'Your debts'!$D$22-SUM($L200:$U200)),2)</f>
      </c>
      <c r="BA200" s="33">
        <f>ROUND(SUM($B200:$K200)-SUM($AP199:$AY199),2)</f>
      </c>
      <c r="BB200" s="33">
        <f>SUM($AP200:$AY200)</f>
      </c>
      <c r="BC200" s="33">
        <f>ROUND(SUM($L200:$U200)+SUM($AF200:$AO200),2)</f>
      </c>
    </row>
    <row r="201" spans="1:55" x14ac:dyDescent="0.25">
      <c r="A201">
        <v>194</v>
      </c>
      <c r="B201" s="33">
        <f>IF(AP200&lt;=0,0,ROUND(AP200+ROUND(AP200*V$3/12,2),2))</f>
      </c>
      <c r="C201" s="33">
        <f>IF(AQ200&lt;=0,0,ROUND(AQ200+ROUND(AQ200*W$3/12,2),2))</f>
      </c>
      <c r="D201" s="33">
        <f>IF(AR200&lt;=0,0,ROUND(AR200+ROUND(AR200*X$3/12,2),2))</f>
      </c>
      <c r="E201" s="33">
        <f>IF(AS200&lt;=0,0,ROUND(AS200+ROUND(AS200*Y$3/12,2),2))</f>
      </c>
      <c r="F201" s="33">
        <f>IF(AT200&lt;=0,0,ROUND(AT200+ROUND(AT200*Z$3/12,2),2))</f>
      </c>
      <c r="G201" s="33">
        <f>IF(AU200&lt;=0,0,ROUND(AU200+ROUND(AU200*AA$3/12,2),2))</f>
      </c>
      <c r="H201" s="33">
        <f>IF(AV200&lt;=0,0,ROUND(AV200+ROUND(AV200*AB$3/12,2),2))</f>
      </c>
      <c r="I201" s="33">
        <f>IF(AW200&lt;=0,0,ROUND(AW200+ROUND(AW200*AC$3/12,2),2))</f>
      </c>
      <c r="J201" s="33">
        <f>IF(AX200&lt;=0,0,ROUND(AX200+ROUND(AX200*AD$3/12,2),2))</f>
      </c>
      <c r="K201" s="33">
        <f>IF(AY200&lt;=0,0,ROUND(AY200+ROUND(AY200*AE$3/12,2),2))</f>
      </c>
      <c r="L201" s="33">
        <f>ROUND(MIN(MAX(0,N('Your debts'!$E$6)),B201),2)</f>
      </c>
      <c r="M201" s="33">
        <f>ROUND(MIN(MAX(0,N('Your debts'!$E$7)),C201),2)</f>
      </c>
      <c r="N201" s="33">
        <f>ROUND(MIN(MAX(0,N('Your debts'!$E$8)),D201),2)</f>
      </c>
      <c r="O201" s="33">
        <f>ROUND(MIN(MAX(0,N('Your debts'!$E$9)),E201),2)</f>
      </c>
      <c r="P201" s="33">
        <f>ROUND(MIN(MAX(0,N('Your debts'!$E$10)),F201),2)</f>
      </c>
      <c r="Q201" s="33">
        <f>ROUND(MIN(MAX(0,N('Your debts'!$E$11)),G201),2)</f>
      </c>
      <c r="R201" s="33">
        <f>ROUND(MIN(MAX(0,N('Your debts'!$E$12)),H201),2)</f>
      </c>
      <c r="S201" s="33">
        <f>ROUND(MIN(MAX(0,N('Your debts'!$E$13)),I201),2)</f>
      </c>
      <c r="T201" s="33">
        <f>ROUND(MIN(MAX(0,N('Your debts'!$E$14)),J201),2)</f>
      </c>
      <c r="U201" s="33">
        <f>ROUND(MIN(MAX(0,N('Your debts'!$E$15)),K201),2)</f>
      </c>
      <c r="V201" s="33">
        <f>ROUND(B201-L201,2)</f>
      </c>
      <c r="W201" s="33">
        <f>ROUND(C201-M201,2)</f>
      </c>
      <c r="X201" s="33">
        <f>ROUND(D201-N201,2)</f>
      </c>
      <c r="Y201" s="33">
        <f>ROUND(E201-O201,2)</f>
      </c>
      <c r="Z201" s="33">
        <f>ROUND(F201-P201,2)</f>
      </c>
      <c r="AA201" s="33">
        <f>ROUND(G201-Q201,2)</f>
      </c>
      <c r="AB201" s="33">
        <f>ROUND(H201-R201,2)</f>
      </c>
      <c r="AC201" s="33">
        <f>ROUND(I201-S201,2)</f>
      </c>
      <c r="AD201" s="33">
        <f>ROUND(J201-T201,2)</f>
      </c>
      <c r="AE201" s="33">
        <f>ROUND(K201-U201,2)</f>
      </c>
      <c r="AF201" s="33">
        <f>IF(V201&lt;=0,0,MAX(0,MIN(V201,ROUND($AZ201-SUMPRODUCT($V201:$AE201*($V201:$AE201&gt;0)*(($V201:$AE201&lt;V201)+($V201:$AE201=V201)*($V$3:$AE$3&gt;V$3)+($V201:$AE201=V201)*($V$3:$AE$3=V$3)*($V$2:$AE$2&lt;V$2))),2))))</f>
      </c>
      <c r="AG201" s="33">
        <f>IF(W201&lt;=0,0,MAX(0,MIN(W201,ROUND($AZ201-SUMPRODUCT($V201:$AE201*($V201:$AE201&gt;0)*(($V201:$AE201&lt;W201)+($V201:$AE201=W201)*($V$3:$AE$3&gt;W$3)+($V201:$AE201=W201)*($V$3:$AE$3=W$3)*($V$2:$AE$2&lt;W$2))),2))))</f>
      </c>
      <c r="AH201" s="33">
        <f>IF(X201&lt;=0,0,MAX(0,MIN(X201,ROUND($AZ201-SUMPRODUCT($V201:$AE201*($V201:$AE201&gt;0)*(($V201:$AE201&lt;X201)+($V201:$AE201=X201)*($V$3:$AE$3&gt;X$3)+($V201:$AE201=X201)*($V$3:$AE$3=X$3)*($V$2:$AE$2&lt;X$2))),2))))</f>
      </c>
      <c r="AI201" s="33">
        <f>IF(Y201&lt;=0,0,MAX(0,MIN(Y201,ROUND($AZ201-SUMPRODUCT($V201:$AE201*($V201:$AE201&gt;0)*(($V201:$AE201&lt;Y201)+($V201:$AE201=Y201)*($V$3:$AE$3&gt;Y$3)+($V201:$AE201=Y201)*($V$3:$AE$3=Y$3)*($V$2:$AE$2&lt;Y$2))),2))))</f>
      </c>
      <c r="AJ201" s="33">
        <f>IF(Z201&lt;=0,0,MAX(0,MIN(Z201,ROUND($AZ201-SUMPRODUCT($V201:$AE201*($V201:$AE201&gt;0)*(($V201:$AE201&lt;Z201)+($V201:$AE201=Z201)*($V$3:$AE$3&gt;Z$3)+($V201:$AE201=Z201)*($V$3:$AE$3=Z$3)*($V$2:$AE$2&lt;Z$2))),2))))</f>
      </c>
      <c r="AK201" s="33">
        <f>IF(AA201&lt;=0,0,MAX(0,MIN(AA201,ROUND($AZ201-SUMPRODUCT($V201:$AE201*($V201:$AE201&gt;0)*(($V201:$AE201&lt;AA201)+($V201:$AE201=AA201)*($V$3:$AE$3&gt;AA$3)+($V201:$AE201=AA201)*($V$3:$AE$3=AA$3)*($V$2:$AE$2&lt;AA$2))),2))))</f>
      </c>
      <c r="AL201" s="33">
        <f>IF(AB201&lt;=0,0,MAX(0,MIN(AB201,ROUND($AZ201-SUMPRODUCT($V201:$AE201*($V201:$AE201&gt;0)*(($V201:$AE201&lt;AB201)+($V201:$AE201=AB201)*($V$3:$AE$3&gt;AB$3)+($V201:$AE201=AB201)*($V$3:$AE$3=AB$3)*($V$2:$AE$2&lt;AB$2))),2))))</f>
      </c>
      <c r="AM201" s="33">
        <f>IF(AC201&lt;=0,0,MAX(0,MIN(AC201,ROUND($AZ201-SUMPRODUCT($V201:$AE201*($V201:$AE201&gt;0)*(($V201:$AE201&lt;AC201)+($V201:$AE201=AC201)*($V$3:$AE$3&gt;AC$3)+($V201:$AE201=AC201)*($V$3:$AE$3=AC$3)*($V$2:$AE$2&lt;AC$2))),2))))</f>
      </c>
      <c r="AN201" s="33">
        <f>IF(AD201&lt;=0,0,MAX(0,MIN(AD201,ROUND($AZ201-SUMPRODUCT($V201:$AE201*($V201:$AE201&gt;0)*(($V201:$AE201&lt;AD201)+($V201:$AE201=AD201)*($V$3:$AE$3&gt;AD$3)+($V201:$AE201=AD201)*($V$3:$AE$3=AD$3)*($V$2:$AE$2&lt;AD$2))),2))))</f>
      </c>
      <c r="AO201" s="33">
        <f>IF(AE201&lt;=0,0,MAX(0,MIN(AE201,ROUND($AZ201-SUMPRODUCT($V201:$AE201*($V201:$AE201&gt;0)*(($V201:$AE201&lt;AE201)+($V201:$AE201=AE201)*($V$3:$AE$3&gt;AE$3)+($V201:$AE201=AE201)*($V$3:$AE$3=AE$3)*($V$2:$AE$2&lt;AE$2))),2))))</f>
      </c>
      <c r="AP201" s="33">
        <f>ROUND(V201-AF201,2)</f>
      </c>
      <c r="AQ201" s="33">
        <f>ROUND(W201-AG201,2)</f>
      </c>
      <c r="AR201" s="33">
        <f>ROUND(X201-AH201,2)</f>
      </c>
      <c r="AS201" s="33">
        <f>ROUND(Y201-AI201,2)</f>
      </c>
      <c r="AT201" s="33">
        <f>ROUND(Z201-AJ201,2)</f>
      </c>
      <c r="AU201" s="33">
        <f>ROUND(AA201-AK201,2)</f>
      </c>
      <c r="AV201" s="33">
        <f>ROUND(AB201-AL201,2)</f>
      </c>
      <c r="AW201" s="33">
        <f>ROUND(AC201-AM201,2)</f>
      </c>
      <c r="AX201" s="33">
        <f>ROUND(AD201-AN201,2)</f>
      </c>
      <c r="AY201" s="33">
        <f>ROUND(AE201-AO201,2)</f>
      </c>
      <c r="AZ201" s="33">
        <f>ROUND(MAX(0,'Your debts'!$D$22-SUM($L201:$U201)),2)</f>
      </c>
      <c r="BA201" s="33">
        <f>ROUND(SUM($B201:$K201)-SUM($AP200:$AY200),2)</f>
      </c>
      <c r="BB201" s="33">
        <f>SUM($AP201:$AY201)</f>
      </c>
      <c r="BC201" s="33">
        <f>ROUND(SUM($L201:$U201)+SUM($AF201:$AO201),2)</f>
      </c>
    </row>
    <row r="202" spans="1:55" x14ac:dyDescent="0.25">
      <c r="A202">
        <v>195</v>
      </c>
      <c r="B202" s="33">
        <f>IF(AP201&lt;=0,0,ROUND(AP201+ROUND(AP201*V$3/12,2),2))</f>
      </c>
      <c r="C202" s="33">
        <f>IF(AQ201&lt;=0,0,ROUND(AQ201+ROUND(AQ201*W$3/12,2),2))</f>
      </c>
      <c r="D202" s="33">
        <f>IF(AR201&lt;=0,0,ROUND(AR201+ROUND(AR201*X$3/12,2),2))</f>
      </c>
      <c r="E202" s="33">
        <f>IF(AS201&lt;=0,0,ROUND(AS201+ROUND(AS201*Y$3/12,2),2))</f>
      </c>
      <c r="F202" s="33">
        <f>IF(AT201&lt;=0,0,ROUND(AT201+ROUND(AT201*Z$3/12,2),2))</f>
      </c>
      <c r="G202" s="33">
        <f>IF(AU201&lt;=0,0,ROUND(AU201+ROUND(AU201*AA$3/12,2),2))</f>
      </c>
      <c r="H202" s="33">
        <f>IF(AV201&lt;=0,0,ROUND(AV201+ROUND(AV201*AB$3/12,2),2))</f>
      </c>
      <c r="I202" s="33">
        <f>IF(AW201&lt;=0,0,ROUND(AW201+ROUND(AW201*AC$3/12,2),2))</f>
      </c>
      <c r="J202" s="33">
        <f>IF(AX201&lt;=0,0,ROUND(AX201+ROUND(AX201*AD$3/12,2),2))</f>
      </c>
      <c r="K202" s="33">
        <f>IF(AY201&lt;=0,0,ROUND(AY201+ROUND(AY201*AE$3/12,2),2))</f>
      </c>
      <c r="L202" s="33">
        <f>ROUND(MIN(MAX(0,N('Your debts'!$E$6)),B202),2)</f>
      </c>
      <c r="M202" s="33">
        <f>ROUND(MIN(MAX(0,N('Your debts'!$E$7)),C202),2)</f>
      </c>
      <c r="N202" s="33">
        <f>ROUND(MIN(MAX(0,N('Your debts'!$E$8)),D202),2)</f>
      </c>
      <c r="O202" s="33">
        <f>ROUND(MIN(MAX(0,N('Your debts'!$E$9)),E202),2)</f>
      </c>
      <c r="P202" s="33">
        <f>ROUND(MIN(MAX(0,N('Your debts'!$E$10)),F202),2)</f>
      </c>
      <c r="Q202" s="33">
        <f>ROUND(MIN(MAX(0,N('Your debts'!$E$11)),G202),2)</f>
      </c>
      <c r="R202" s="33">
        <f>ROUND(MIN(MAX(0,N('Your debts'!$E$12)),H202),2)</f>
      </c>
      <c r="S202" s="33">
        <f>ROUND(MIN(MAX(0,N('Your debts'!$E$13)),I202),2)</f>
      </c>
      <c r="T202" s="33">
        <f>ROUND(MIN(MAX(0,N('Your debts'!$E$14)),J202),2)</f>
      </c>
      <c r="U202" s="33">
        <f>ROUND(MIN(MAX(0,N('Your debts'!$E$15)),K202),2)</f>
      </c>
      <c r="V202" s="33">
        <f>ROUND(B202-L202,2)</f>
      </c>
      <c r="W202" s="33">
        <f>ROUND(C202-M202,2)</f>
      </c>
      <c r="X202" s="33">
        <f>ROUND(D202-N202,2)</f>
      </c>
      <c r="Y202" s="33">
        <f>ROUND(E202-O202,2)</f>
      </c>
      <c r="Z202" s="33">
        <f>ROUND(F202-P202,2)</f>
      </c>
      <c r="AA202" s="33">
        <f>ROUND(G202-Q202,2)</f>
      </c>
      <c r="AB202" s="33">
        <f>ROUND(H202-R202,2)</f>
      </c>
      <c r="AC202" s="33">
        <f>ROUND(I202-S202,2)</f>
      </c>
      <c r="AD202" s="33">
        <f>ROUND(J202-T202,2)</f>
      </c>
      <c r="AE202" s="33">
        <f>ROUND(K202-U202,2)</f>
      </c>
      <c r="AF202" s="33">
        <f>IF(V202&lt;=0,0,MAX(0,MIN(V202,ROUND($AZ202-SUMPRODUCT($V202:$AE202*($V202:$AE202&gt;0)*(($V202:$AE202&lt;V202)+($V202:$AE202=V202)*($V$3:$AE$3&gt;V$3)+($V202:$AE202=V202)*($V$3:$AE$3=V$3)*($V$2:$AE$2&lt;V$2))),2))))</f>
      </c>
      <c r="AG202" s="33">
        <f>IF(W202&lt;=0,0,MAX(0,MIN(W202,ROUND($AZ202-SUMPRODUCT($V202:$AE202*($V202:$AE202&gt;0)*(($V202:$AE202&lt;W202)+($V202:$AE202=W202)*($V$3:$AE$3&gt;W$3)+($V202:$AE202=W202)*($V$3:$AE$3=W$3)*($V$2:$AE$2&lt;W$2))),2))))</f>
      </c>
      <c r="AH202" s="33">
        <f>IF(X202&lt;=0,0,MAX(0,MIN(X202,ROUND($AZ202-SUMPRODUCT($V202:$AE202*($V202:$AE202&gt;0)*(($V202:$AE202&lt;X202)+($V202:$AE202=X202)*($V$3:$AE$3&gt;X$3)+($V202:$AE202=X202)*($V$3:$AE$3=X$3)*($V$2:$AE$2&lt;X$2))),2))))</f>
      </c>
      <c r="AI202" s="33">
        <f>IF(Y202&lt;=0,0,MAX(0,MIN(Y202,ROUND($AZ202-SUMPRODUCT($V202:$AE202*($V202:$AE202&gt;0)*(($V202:$AE202&lt;Y202)+($V202:$AE202=Y202)*($V$3:$AE$3&gt;Y$3)+($V202:$AE202=Y202)*($V$3:$AE$3=Y$3)*($V$2:$AE$2&lt;Y$2))),2))))</f>
      </c>
      <c r="AJ202" s="33">
        <f>IF(Z202&lt;=0,0,MAX(0,MIN(Z202,ROUND($AZ202-SUMPRODUCT($V202:$AE202*($V202:$AE202&gt;0)*(($V202:$AE202&lt;Z202)+($V202:$AE202=Z202)*($V$3:$AE$3&gt;Z$3)+($V202:$AE202=Z202)*($V$3:$AE$3=Z$3)*($V$2:$AE$2&lt;Z$2))),2))))</f>
      </c>
      <c r="AK202" s="33">
        <f>IF(AA202&lt;=0,0,MAX(0,MIN(AA202,ROUND($AZ202-SUMPRODUCT($V202:$AE202*($V202:$AE202&gt;0)*(($V202:$AE202&lt;AA202)+($V202:$AE202=AA202)*($V$3:$AE$3&gt;AA$3)+($V202:$AE202=AA202)*($V$3:$AE$3=AA$3)*($V$2:$AE$2&lt;AA$2))),2))))</f>
      </c>
      <c r="AL202" s="33">
        <f>IF(AB202&lt;=0,0,MAX(0,MIN(AB202,ROUND($AZ202-SUMPRODUCT($V202:$AE202*($V202:$AE202&gt;0)*(($V202:$AE202&lt;AB202)+($V202:$AE202=AB202)*($V$3:$AE$3&gt;AB$3)+($V202:$AE202=AB202)*($V$3:$AE$3=AB$3)*($V$2:$AE$2&lt;AB$2))),2))))</f>
      </c>
      <c r="AM202" s="33">
        <f>IF(AC202&lt;=0,0,MAX(0,MIN(AC202,ROUND($AZ202-SUMPRODUCT($V202:$AE202*($V202:$AE202&gt;0)*(($V202:$AE202&lt;AC202)+($V202:$AE202=AC202)*($V$3:$AE$3&gt;AC$3)+($V202:$AE202=AC202)*($V$3:$AE$3=AC$3)*($V$2:$AE$2&lt;AC$2))),2))))</f>
      </c>
      <c r="AN202" s="33">
        <f>IF(AD202&lt;=0,0,MAX(0,MIN(AD202,ROUND($AZ202-SUMPRODUCT($V202:$AE202*($V202:$AE202&gt;0)*(($V202:$AE202&lt;AD202)+($V202:$AE202=AD202)*($V$3:$AE$3&gt;AD$3)+($V202:$AE202=AD202)*($V$3:$AE$3=AD$3)*($V$2:$AE$2&lt;AD$2))),2))))</f>
      </c>
      <c r="AO202" s="33">
        <f>IF(AE202&lt;=0,0,MAX(0,MIN(AE202,ROUND($AZ202-SUMPRODUCT($V202:$AE202*($V202:$AE202&gt;0)*(($V202:$AE202&lt;AE202)+($V202:$AE202=AE202)*($V$3:$AE$3&gt;AE$3)+($V202:$AE202=AE202)*($V$3:$AE$3=AE$3)*($V$2:$AE$2&lt;AE$2))),2))))</f>
      </c>
      <c r="AP202" s="33">
        <f>ROUND(V202-AF202,2)</f>
      </c>
      <c r="AQ202" s="33">
        <f>ROUND(W202-AG202,2)</f>
      </c>
      <c r="AR202" s="33">
        <f>ROUND(X202-AH202,2)</f>
      </c>
      <c r="AS202" s="33">
        <f>ROUND(Y202-AI202,2)</f>
      </c>
      <c r="AT202" s="33">
        <f>ROUND(Z202-AJ202,2)</f>
      </c>
      <c r="AU202" s="33">
        <f>ROUND(AA202-AK202,2)</f>
      </c>
      <c r="AV202" s="33">
        <f>ROUND(AB202-AL202,2)</f>
      </c>
      <c r="AW202" s="33">
        <f>ROUND(AC202-AM202,2)</f>
      </c>
      <c r="AX202" s="33">
        <f>ROUND(AD202-AN202,2)</f>
      </c>
      <c r="AY202" s="33">
        <f>ROUND(AE202-AO202,2)</f>
      </c>
      <c r="AZ202" s="33">
        <f>ROUND(MAX(0,'Your debts'!$D$22-SUM($L202:$U202)),2)</f>
      </c>
      <c r="BA202" s="33">
        <f>ROUND(SUM($B202:$K202)-SUM($AP201:$AY201),2)</f>
      </c>
      <c r="BB202" s="33">
        <f>SUM($AP202:$AY202)</f>
      </c>
      <c r="BC202" s="33">
        <f>ROUND(SUM($L202:$U202)+SUM($AF202:$AO202),2)</f>
      </c>
    </row>
    <row r="203" spans="1:55" x14ac:dyDescent="0.25">
      <c r="A203">
        <v>196</v>
      </c>
      <c r="B203" s="33">
        <f>IF(AP202&lt;=0,0,ROUND(AP202+ROUND(AP202*V$3/12,2),2))</f>
      </c>
      <c r="C203" s="33">
        <f>IF(AQ202&lt;=0,0,ROUND(AQ202+ROUND(AQ202*W$3/12,2),2))</f>
      </c>
      <c r="D203" s="33">
        <f>IF(AR202&lt;=0,0,ROUND(AR202+ROUND(AR202*X$3/12,2),2))</f>
      </c>
      <c r="E203" s="33">
        <f>IF(AS202&lt;=0,0,ROUND(AS202+ROUND(AS202*Y$3/12,2),2))</f>
      </c>
      <c r="F203" s="33">
        <f>IF(AT202&lt;=0,0,ROUND(AT202+ROUND(AT202*Z$3/12,2),2))</f>
      </c>
      <c r="G203" s="33">
        <f>IF(AU202&lt;=0,0,ROUND(AU202+ROUND(AU202*AA$3/12,2),2))</f>
      </c>
      <c r="H203" s="33">
        <f>IF(AV202&lt;=0,0,ROUND(AV202+ROUND(AV202*AB$3/12,2),2))</f>
      </c>
      <c r="I203" s="33">
        <f>IF(AW202&lt;=0,0,ROUND(AW202+ROUND(AW202*AC$3/12,2),2))</f>
      </c>
      <c r="J203" s="33">
        <f>IF(AX202&lt;=0,0,ROUND(AX202+ROUND(AX202*AD$3/12,2),2))</f>
      </c>
      <c r="K203" s="33">
        <f>IF(AY202&lt;=0,0,ROUND(AY202+ROUND(AY202*AE$3/12,2),2))</f>
      </c>
      <c r="L203" s="33">
        <f>ROUND(MIN(MAX(0,N('Your debts'!$E$6)),B203),2)</f>
      </c>
      <c r="M203" s="33">
        <f>ROUND(MIN(MAX(0,N('Your debts'!$E$7)),C203),2)</f>
      </c>
      <c r="N203" s="33">
        <f>ROUND(MIN(MAX(0,N('Your debts'!$E$8)),D203),2)</f>
      </c>
      <c r="O203" s="33">
        <f>ROUND(MIN(MAX(0,N('Your debts'!$E$9)),E203),2)</f>
      </c>
      <c r="P203" s="33">
        <f>ROUND(MIN(MAX(0,N('Your debts'!$E$10)),F203),2)</f>
      </c>
      <c r="Q203" s="33">
        <f>ROUND(MIN(MAX(0,N('Your debts'!$E$11)),G203),2)</f>
      </c>
      <c r="R203" s="33">
        <f>ROUND(MIN(MAX(0,N('Your debts'!$E$12)),H203),2)</f>
      </c>
      <c r="S203" s="33">
        <f>ROUND(MIN(MAX(0,N('Your debts'!$E$13)),I203),2)</f>
      </c>
      <c r="T203" s="33">
        <f>ROUND(MIN(MAX(0,N('Your debts'!$E$14)),J203),2)</f>
      </c>
      <c r="U203" s="33">
        <f>ROUND(MIN(MAX(0,N('Your debts'!$E$15)),K203),2)</f>
      </c>
      <c r="V203" s="33">
        <f>ROUND(B203-L203,2)</f>
      </c>
      <c r="W203" s="33">
        <f>ROUND(C203-M203,2)</f>
      </c>
      <c r="X203" s="33">
        <f>ROUND(D203-N203,2)</f>
      </c>
      <c r="Y203" s="33">
        <f>ROUND(E203-O203,2)</f>
      </c>
      <c r="Z203" s="33">
        <f>ROUND(F203-P203,2)</f>
      </c>
      <c r="AA203" s="33">
        <f>ROUND(G203-Q203,2)</f>
      </c>
      <c r="AB203" s="33">
        <f>ROUND(H203-R203,2)</f>
      </c>
      <c r="AC203" s="33">
        <f>ROUND(I203-S203,2)</f>
      </c>
      <c r="AD203" s="33">
        <f>ROUND(J203-T203,2)</f>
      </c>
      <c r="AE203" s="33">
        <f>ROUND(K203-U203,2)</f>
      </c>
      <c r="AF203" s="33">
        <f>IF(V203&lt;=0,0,MAX(0,MIN(V203,ROUND($AZ203-SUMPRODUCT($V203:$AE203*($V203:$AE203&gt;0)*(($V203:$AE203&lt;V203)+($V203:$AE203=V203)*($V$3:$AE$3&gt;V$3)+($V203:$AE203=V203)*($V$3:$AE$3=V$3)*($V$2:$AE$2&lt;V$2))),2))))</f>
      </c>
      <c r="AG203" s="33">
        <f>IF(W203&lt;=0,0,MAX(0,MIN(W203,ROUND($AZ203-SUMPRODUCT($V203:$AE203*($V203:$AE203&gt;0)*(($V203:$AE203&lt;W203)+($V203:$AE203=W203)*($V$3:$AE$3&gt;W$3)+($V203:$AE203=W203)*($V$3:$AE$3=W$3)*($V$2:$AE$2&lt;W$2))),2))))</f>
      </c>
      <c r="AH203" s="33">
        <f>IF(X203&lt;=0,0,MAX(0,MIN(X203,ROUND($AZ203-SUMPRODUCT($V203:$AE203*($V203:$AE203&gt;0)*(($V203:$AE203&lt;X203)+($V203:$AE203=X203)*($V$3:$AE$3&gt;X$3)+($V203:$AE203=X203)*($V$3:$AE$3=X$3)*($V$2:$AE$2&lt;X$2))),2))))</f>
      </c>
      <c r="AI203" s="33">
        <f>IF(Y203&lt;=0,0,MAX(0,MIN(Y203,ROUND($AZ203-SUMPRODUCT($V203:$AE203*($V203:$AE203&gt;0)*(($V203:$AE203&lt;Y203)+($V203:$AE203=Y203)*($V$3:$AE$3&gt;Y$3)+($V203:$AE203=Y203)*($V$3:$AE$3=Y$3)*($V$2:$AE$2&lt;Y$2))),2))))</f>
      </c>
      <c r="AJ203" s="33">
        <f>IF(Z203&lt;=0,0,MAX(0,MIN(Z203,ROUND($AZ203-SUMPRODUCT($V203:$AE203*($V203:$AE203&gt;0)*(($V203:$AE203&lt;Z203)+($V203:$AE203=Z203)*($V$3:$AE$3&gt;Z$3)+($V203:$AE203=Z203)*($V$3:$AE$3=Z$3)*($V$2:$AE$2&lt;Z$2))),2))))</f>
      </c>
      <c r="AK203" s="33">
        <f>IF(AA203&lt;=0,0,MAX(0,MIN(AA203,ROUND($AZ203-SUMPRODUCT($V203:$AE203*($V203:$AE203&gt;0)*(($V203:$AE203&lt;AA203)+($V203:$AE203=AA203)*($V$3:$AE$3&gt;AA$3)+($V203:$AE203=AA203)*($V$3:$AE$3=AA$3)*($V$2:$AE$2&lt;AA$2))),2))))</f>
      </c>
      <c r="AL203" s="33">
        <f>IF(AB203&lt;=0,0,MAX(0,MIN(AB203,ROUND($AZ203-SUMPRODUCT($V203:$AE203*($V203:$AE203&gt;0)*(($V203:$AE203&lt;AB203)+($V203:$AE203=AB203)*($V$3:$AE$3&gt;AB$3)+($V203:$AE203=AB203)*($V$3:$AE$3=AB$3)*($V$2:$AE$2&lt;AB$2))),2))))</f>
      </c>
      <c r="AM203" s="33">
        <f>IF(AC203&lt;=0,0,MAX(0,MIN(AC203,ROUND($AZ203-SUMPRODUCT($V203:$AE203*($V203:$AE203&gt;0)*(($V203:$AE203&lt;AC203)+($V203:$AE203=AC203)*($V$3:$AE$3&gt;AC$3)+($V203:$AE203=AC203)*($V$3:$AE$3=AC$3)*($V$2:$AE$2&lt;AC$2))),2))))</f>
      </c>
      <c r="AN203" s="33">
        <f>IF(AD203&lt;=0,0,MAX(0,MIN(AD203,ROUND($AZ203-SUMPRODUCT($V203:$AE203*($V203:$AE203&gt;0)*(($V203:$AE203&lt;AD203)+($V203:$AE203=AD203)*($V$3:$AE$3&gt;AD$3)+($V203:$AE203=AD203)*($V$3:$AE$3=AD$3)*($V$2:$AE$2&lt;AD$2))),2))))</f>
      </c>
      <c r="AO203" s="33">
        <f>IF(AE203&lt;=0,0,MAX(0,MIN(AE203,ROUND($AZ203-SUMPRODUCT($V203:$AE203*($V203:$AE203&gt;0)*(($V203:$AE203&lt;AE203)+($V203:$AE203=AE203)*($V$3:$AE$3&gt;AE$3)+($V203:$AE203=AE203)*($V$3:$AE$3=AE$3)*($V$2:$AE$2&lt;AE$2))),2))))</f>
      </c>
      <c r="AP203" s="33">
        <f>ROUND(V203-AF203,2)</f>
      </c>
      <c r="AQ203" s="33">
        <f>ROUND(W203-AG203,2)</f>
      </c>
      <c r="AR203" s="33">
        <f>ROUND(X203-AH203,2)</f>
      </c>
      <c r="AS203" s="33">
        <f>ROUND(Y203-AI203,2)</f>
      </c>
      <c r="AT203" s="33">
        <f>ROUND(Z203-AJ203,2)</f>
      </c>
      <c r="AU203" s="33">
        <f>ROUND(AA203-AK203,2)</f>
      </c>
      <c r="AV203" s="33">
        <f>ROUND(AB203-AL203,2)</f>
      </c>
      <c r="AW203" s="33">
        <f>ROUND(AC203-AM203,2)</f>
      </c>
      <c r="AX203" s="33">
        <f>ROUND(AD203-AN203,2)</f>
      </c>
      <c r="AY203" s="33">
        <f>ROUND(AE203-AO203,2)</f>
      </c>
      <c r="AZ203" s="33">
        <f>ROUND(MAX(0,'Your debts'!$D$22-SUM($L203:$U203)),2)</f>
      </c>
      <c r="BA203" s="33">
        <f>ROUND(SUM($B203:$K203)-SUM($AP202:$AY202),2)</f>
      </c>
      <c r="BB203" s="33">
        <f>SUM($AP203:$AY203)</f>
      </c>
      <c r="BC203" s="33">
        <f>ROUND(SUM($L203:$U203)+SUM($AF203:$AO203),2)</f>
      </c>
    </row>
    <row r="204" spans="1:55" x14ac:dyDescent="0.25">
      <c r="A204">
        <v>197</v>
      </c>
      <c r="B204" s="33">
        <f>IF(AP203&lt;=0,0,ROUND(AP203+ROUND(AP203*V$3/12,2),2))</f>
      </c>
      <c r="C204" s="33">
        <f>IF(AQ203&lt;=0,0,ROUND(AQ203+ROUND(AQ203*W$3/12,2),2))</f>
      </c>
      <c r="D204" s="33">
        <f>IF(AR203&lt;=0,0,ROUND(AR203+ROUND(AR203*X$3/12,2),2))</f>
      </c>
      <c r="E204" s="33">
        <f>IF(AS203&lt;=0,0,ROUND(AS203+ROUND(AS203*Y$3/12,2),2))</f>
      </c>
      <c r="F204" s="33">
        <f>IF(AT203&lt;=0,0,ROUND(AT203+ROUND(AT203*Z$3/12,2),2))</f>
      </c>
      <c r="G204" s="33">
        <f>IF(AU203&lt;=0,0,ROUND(AU203+ROUND(AU203*AA$3/12,2),2))</f>
      </c>
      <c r="H204" s="33">
        <f>IF(AV203&lt;=0,0,ROUND(AV203+ROUND(AV203*AB$3/12,2),2))</f>
      </c>
      <c r="I204" s="33">
        <f>IF(AW203&lt;=0,0,ROUND(AW203+ROUND(AW203*AC$3/12,2),2))</f>
      </c>
      <c r="J204" s="33">
        <f>IF(AX203&lt;=0,0,ROUND(AX203+ROUND(AX203*AD$3/12,2),2))</f>
      </c>
      <c r="K204" s="33">
        <f>IF(AY203&lt;=0,0,ROUND(AY203+ROUND(AY203*AE$3/12,2),2))</f>
      </c>
      <c r="L204" s="33">
        <f>ROUND(MIN(MAX(0,N('Your debts'!$E$6)),B204),2)</f>
      </c>
      <c r="M204" s="33">
        <f>ROUND(MIN(MAX(0,N('Your debts'!$E$7)),C204),2)</f>
      </c>
      <c r="N204" s="33">
        <f>ROUND(MIN(MAX(0,N('Your debts'!$E$8)),D204),2)</f>
      </c>
      <c r="O204" s="33">
        <f>ROUND(MIN(MAX(0,N('Your debts'!$E$9)),E204),2)</f>
      </c>
      <c r="P204" s="33">
        <f>ROUND(MIN(MAX(0,N('Your debts'!$E$10)),F204),2)</f>
      </c>
      <c r="Q204" s="33">
        <f>ROUND(MIN(MAX(0,N('Your debts'!$E$11)),G204),2)</f>
      </c>
      <c r="R204" s="33">
        <f>ROUND(MIN(MAX(0,N('Your debts'!$E$12)),H204),2)</f>
      </c>
      <c r="S204" s="33">
        <f>ROUND(MIN(MAX(0,N('Your debts'!$E$13)),I204),2)</f>
      </c>
      <c r="T204" s="33">
        <f>ROUND(MIN(MAX(0,N('Your debts'!$E$14)),J204),2)</f>
      </c>
      <c r="U204" s="33">
        <f>ROUND(MIN(MAX(0,N('Your debts'!$E$15)),K204),2)</f>
      </c>
      <c r="V204" s="33">
        <f>ROUND(B204-L204,2)</f>
      </c>
      <c r="W204" s="33">
        <f>ROUND(C204-M204,2)</f>
      </c>
      <c r="X204" s="33">
        <f>ROUND(D204-N204,2)</f>
      </c>
      <c r="Y204" s="33">
        <f>ROUND(E204-O204,2)</f>
      </c>
      <c r="Z204" s="33">
        <f>ROUND(F204-P204,2)</f>
      </c>
      <c r="AA204" s="33">
        <f>ROUND(G204-Q204,2)</f>
      </c>
      <c r="AB204" s="33">
        <f>ROUND(H204-R204,2)</f>
      </c>
      <c r="AC204" s="33">
        <f>ROUND(I204-S204,2)</f>
      </c>
      <c r="AD204" s="33">
        <f>ROUND(J204-T204,2)</f>
      </c>
      <c r="AE204" s="33">
        <f>ROUND(K204-U204,2)</f>
      </c>
      <c r="AF204" s="33">
        <f>IF(V204&lt;=0,0,MAX(0,MIN(V204,ROUND($AZ204-SUMPRODUCT($V204:$AE204*($V204:$AE204&gt;0)*(($V204:$AE204&lt;V204)+($V204:$AE204=V204)*($V$3:$AE$3&gt;V$3)+($V204:$AE204=V204)*($V$3:$AE$3=V$3)*($V$2:$AE$2&lt;V$2))),2))))</f>
      </c>
      <c r="AG204" s="33">
        <f>IF(W204&lt;=0,0,MAX(0,MIN(W204,ROUND($AZ204-SUMPRODUCT($V204:$AE204*($V204:$AE204&gt;0)*(($V204:$AE204&lt;W204)+($V204:$AE204=W204)*($V$3:$AE$3&gt;W$3)+($V204:$AE204=W204)*($V$3:$AE$3=W$3)*($V$2:$AE$2&lt;W$2))),2))))</f>
      </c>
      <c r="AH204" s="33">
        <f>IF(X204&lt;=0,0,MAX(0,MIN(X204,ROUND($AZ204-SUMPRODUCT($V204:$AE204*($V204:$AE204&gt;0)*(($V204:$AE204&lt;X204)+($V204:$AE204=X204)*($V$3:$AE$3&gt;X$3)+($V204:$AE204=X204)*($V$3:$AE$3=X$3)*($V$2:$AE$2&lt;X$2))),2))))</f>
      </c>
      <c r="AI204" s="33">
        <f>IF(Y204&lt;=0,0,MAX(0,MIN(Y204,ROUND($AZ204-SUMPRODUCT($V204:$AE204*($V204:$AE204&gt;0)*(($V204:$AE204&lt;Y204)+($V204:$AE204=Y204)*($V$3:$AE$3&gt;Y$3)+($V204:$AE204=Y204)*($V$3:$AE$3=Y$3)*($V$2:$AE$2&lt;Y$2))),2))))</f>
      </c>
      <c r="AJ204" s="33">
        <f>IF(Z204&lt;=0,0,MAX(0,MIN(Z204,ROUND($AZ204-SUMPRODUCT($V204:$AE204*($V204:$AE204&gt;0)*(($V204:$AE204&lt;Z204)+($V204:$AE204=Z204)*($V$3:$AE$3&gt;Z$3)+($V204:$AE204=Z204)*($V$3:$AE$3=Z$3)*($V$2:$AE$2&lt;Z$2))),2))))</f>
      </c>
      <c r="AK204" s="33">
        <f>IF(AA204&lt;=0,0,MAX(0,MIN(AA204,ROUND($AZ204-SUMPRODUCT($V204:$AE204*($V204:$AE204&gt;0)*(($V204:$AE204&lt;AA204)+($V204:$AE204=AA204)*($V$3:$AE$3&gt;AA$3)+($V204:$AE204=AA204)*($V$3:$AE$3=AA$3)*($V$2:$AE$2&lt;AA$2))),2))))</f>
      </c>
      <c r="AL204" s="33">
        <f>IF(AB204&lt;=0,0,MAX(0,MIN(AB204,ROUND($AZ204-SUMPRODUCT($V204:$AE204*($V204:$AE204&gt;0)*(($V204:$AE204&lt;AB204)+($V204:$AE204=AB204)*($V$3:$AE$3&gt;AB$3)+($V204:$AE204=AB204)*($V$3:$AE$3=AB$3)*($V$2:$AE$2&lt;AB$2))),2))))</f>
      </c>
      <c r="AM204" s="33">
        <f>IF(AC204&lt;=0,0,MAX(0,MIN(AC204,ROUND($AZ204-SUMPRODUCT($V204:$AE204*($V204:$AE204&gt;0)*(($V204:$AE204&lt;AC204)+($V204:$AE204=AC204)*($V$3:$AE$3&gt;AC$3)+($V204:$AE204=AC204)*($V$3:$AE$3=AC$3)*($V$2:$AE$2&lt;AC$2))),2))))</f>
      </c>
      <c r="AN204" s="33">
        <f>IF(AD204&lt;=0,0,MAX(0,MIN(AD204,ROUND($AZ204-SUMPRODUCT($V204:$AE204*($V204:$AE204&gt;0)*(($V204:$AE204&lt;AD204)+($V204:$AE204=AD204)*($V$3:$AE$3&gt;AD$3)+($V204:$AE204=AD204)*($V$3:$AE$3=AD$3)*($V$2:$AE$2&lt;AD$2))),2))))</f>
      </c>
      <c r="AO204" s="33">
        <f>IF(AE204&lt;=0,0,MAX(0,MIN(AE204,ROUND($AZ204-SUMPRODUCT($V204:$AE204*($V204:$AE204&gt;0)*(($V204:$AE204&lt;AE204)+($V204:$AE204=AE204)*($V$3:$AE$3&gt;AE$3)+($V204:$AE204=AE204)*($V$3:$AE$3=AE$3)*($V$2:$AE$2&lt;AE$2))),2))))</f>
      </c>
      <c r="AP204" s="33">
        <f>ROUND(V204-AF204,2)</f>
      </c>
      <c r="AQ204" s="33">
        <f>ROUND(W204-AG204,2)</f>
      </c>
      <c r="AR204" s="33">
        <f>ROUND(X204-AH204,2)</f>
      </c>
      <c r="AS204" s="33">
        <f>ROUND(Y204-AI204,2)</f>
      </c>
      <c r="AT204" s="33">
        <f>ROUND(Z204-AJ204,2)</f>
      </c>
      <c r="AU204" s="33">
        <f>ROUND(AA204-AK204,2)</f>
      </c>
      <c r="AV204" s="33">
        <f>ROUND(AB204-AL204,2)</f>
      </c>
      <c r="AW204" s="33">
        <f>ROUND(AC204-AM204,2)</f>
      </c>
      <c r="AX204" s="33">
        <f>ROUND(AD204-AN204,2)</f>
      </c>
      <c r="AY204" s="33">
        <f>ROUND(AE204-AO204,2)</f>
      </c>
      <c r="AZ204" s="33">
        <f>ROUND(MAX(0,'Your debts'!$D$22-SUM($L204:$U204)),2)</f>
      </c>
      <c r="BA204" s="33">
        <f>ROUND(SUM($B204:$K204)-SUM($AP203:$AY203),2)</f>
      </c>
      <c r="BB204" s="33">
        <f>SUM($AP204:$AY204)</f>
      </c>
      <c r="BC204" s="33">
        <f>ROUND(SUM($L204:$U204)+SUM($AF204:$AO204),2)</f>
      </c>
    </row>
    <row r="205" spans="1:55" x14ac:dyDescent="0.25">
      <c r="A205">
        <v>198</v>
      </c>
      <c r="B205" s="33">
        <f>IF(AP204&lt;=0,0,ROUND(AP204+ROUND(AP204*V$3/12,2),2))</f>
      </c>
      <c r="C205" s="33">
        <f>IF(AQ204&lt;=0,0,ROUND(AQ204+ROUND(AQ204*W$3/12,2),2))</f>
      </c>
      <c r="D205" s="33">
        <f>IF(AR204&lt;=0,0,ROUND(AR204+ROUND(AR204*X$3/12,2),2))</f>
      </c>
      <c r="E205" s="33">
        <f>IF(AS204&lt;=0,0,ROUND(AS204+ROUND(AS204*Y$3/12,2),2))</f>
      </c>
      <c r="F205" s="33">
        <f>IF(AT204&lt;=0,0,ROUND(AT204+ROUND(AT204*Z$3/12,2),2))</f>
      </c>
      <c r="G205" s="33">
        <f>IF(AU204&lt;=0,0,ROUND(AU204+ROUND(AU204*AA$3/12,2),2))</f>
      </c>
      <c r="H205" s="33">
        <f>IF(AV204&lt;=0,0,ROUND(AV204+ROUND(AV204*AB$3/12,2),2))</f>
      </c>
      <c r="I205" s="33">
        <f>IF(AW204&lt;=0,0,ROUND(AW204+ROUND(AW204*AC$3/12,2),2))</f>
      </c>
      <c r="J205" s="33">
        <f>IF(AX204&lt;=0,0,ROUND(AX204+ROUND(AX204*AD$3/12,2),2))</f>
      </c>
      <c r="K205" s="33">
        <f>IF(AY204&lt;=0,0,ROUND(AY204+ROUND(AY204*AE$3/12,2),2))</f>
      </c>
      <c r="L205" s="33">
        <f>ROUND(MIN(MAX(0,N('Your debts'!$E$6)),B205),2)</f>
      </c>
      <c r="M205" s="33">
        <f>ROUND(MIN(MAX(0,N('Your debts'!$E$7)),C205),2)</f>
      </c>
      <c r="N205" s="33">
        <f>ROUND(MIN(MAX(0,N('Your debts'!$E$8)),D205),2)</f>
      </c>
      <c r="O205" s="33">
        <f>ROUND(MIN(MAX(0,N('Your debts'!$E$9)),E205),2)</f>
      </c>
      <c r="P205" s="33">
        <f>ROUND(MIN(MAX(0,N('Your debts'!$E$10)),F205),2)</f>
      </c>
      <c r="Q205" s="33">
        <f>ROUND(MIN(MAX(0,N('Your debts'!$E$11)),G205),2)</f>
      </c>
      <c r="R205" s="33">
        <f>ROUND(MIN(MAX(0,N('Your debts'!$E$12)),H205),2)</f>
      </c>
      <c r="S205" s="33">
        <f>ROUND(MIN(MAX(0,N('Your debts'!$E$13)),I205),2)</f>
      </c>
      <c r="T205" s="33">
        <f>ROUND(MIN(MAX(0,N('Your debts'!$E$14)),J205),2)</f>
      </c>
      <c r="U205" s="33">
        <f>ROUND(MIN(MAX(0,N('Your debts'!$E$15)),K205),2)</f>
      </c>
      <c r="V205" s="33">
        <f>ROUND(B205-L205,2)</f>
      </c>
      <c r="W205" s="33">
        <f>ROUND(C205-M205,2)</f>
      </c>
      <c r="X205" s="33">
        <f>ROUND(D205-N205,2)</f>
      </c>
      <c r="Y205" s="33">
        <f>ROUND(E205-O205,2)</f>
      </c>
      <c r="Z205" s="33">
        <f>ROUND(F205-P205,2)</f>
      </c>
      <c r="AA205" s="33">
        <f>ROUND(G205-Q205,2)</f>
      </c>
      <c r="AB205" s="33">
        <f>ROUND(H205-R205,2)</f>
      </c>
      <c r="AC205" s="33">
        <f>ROUND(I205-S205,2)</f>
      </c>
      <c r="AD205" s="33">
        <f>ROUND(J205-T205,2)</f>
      </c>
      <c r="AE205" s="33">
        <f>ROUND(K205-U205,2)</f>
      </c>
      <c r="AF205" s="33">
        <f>IF(V205&lt;=0,0,MAX(0,MIN(V205,ROUND($AZ205-SUMPRODUCT($V205:$AE205*($V205:$AE205&gt;0)*(($V205:$AE205&lt;V205)+($V205:$AE205=V205)*($V$3:$AE$3&gt;V$3)+($V205:$AE205=V205)*($V$3:$AE$3=V$3)*($V$2:$AE$2&lt;V$2))),2))))</f>
      </c>
      <c r="AG205" s="33">
        <f>IF(W205&lt;=0,0,MAX(0,MIN(W205,ROUND($AZ205-SUMPRODUCT($V205:$AE205*($V205:$AE205&gt;0)*(($V205:$AE205&lt;W205)+($V205:$AE205=W205)*($V$3:$AE$3&gt;W$3)+($V205:$AE205=W205)*($V$3:$AE$3=W$3)*($V$2:$AE$2&lt;W$2))),2))))</f>
      </c>
      <c r="AH205" s="33">
        <f>IF(X205&lt;=0,0,MAX(0,MIN(X205,ROUND($AZ205-SUMPRODUCT($V205:$AE205*($V205:$AE205&gt;0)*(($V205:$AE205&lt;X205)+($V205:$AE205=X205)*($V$3:$AE$3&gt;X$3)+($V205:$AE205=X205)*($V$3:$AE$3=X$3)*($V$2:$AE$2&lt;X$2))),2))))</f>
      </c>
      <c r="AI205" s="33">
        <f>IF(Y205&lt;=0,0,MAX(0,MIN(Y205,ROUND($AZ205-SUMPRODUCT($V205:$AE205*($V205:$AE205&gt;0)*(($V205:$AE205&lt;Y205)+($V205:$AE205=Y205)*($V$3:$AE$3&gt;Y$3)+($V205:$AE205=Y205)*($V$3:$AE$3=Y$3)*($V$2:$AE$2&lt;Y$2))),2))))</f>
      </c>
      <c r="AJ205" s="33">
        <f>IF(Z205&lt;=0,0,MAX(0,MIN(Z205,ROUND($AZ205-SUMPRODUCT($V205:$AE205*($V205:$AE205&gt;0)*(($V205:$AE205&lt;Z205)+($V205:$AE205=Z205)*($V$3:$AE$3&gt;Z$3)+($V205:$AE205=Z205)*($V$3:$AE$3=Z$3)*($V$2:$AE$2&lt;Z$2))),2))))</f>
      </c>
      <c r="AK205" s="33">
        <f>IF(AA205&lt;=0,0,MAX(0,MIN(AA205,ROUND($AZ205-SUMPRODUCT($V205:$AE205*($V205:$AE205&gt;0)*(($V205:$AE205&lt;AA205)+($V205:$AE205=AA205)*($V$3:$AE$3&gt;AA$3)+($V205:$AE205=AA205)*($V$3:$AE$3=AA$3)*($V$2:$AE$2&lt;AA$2))),2))))</f>
      </c>
      <c r="AL205" s="33">
        <f>IF(AB205&lt;=0,0,MAX(0,MIN(AB205,ROUND($AZ205-SUMPRODUCT($V205:$AE205*($V205:$AE205&gt;0)*(($V205:$AE205&lt;AB205)+($V205:$AE205=AB205)*($V$3:$AE$3&gt;AB$3)+($V205:$AE205=AB205)*($V$3:$AE$3=AB$3)*($V$2:$AE$2&lt;AB$2))),2))))</f>
      </c>
      <c r="AM205" s="33">
        <f>IF(AC205&lt;=0,0,MAX(0,MIN(AC205,ROUND($AZ205-SUMPRODUCT($V205:$AE205*($V205:$AE205&gt;0)*(($V205:$AE205&lt;AC205)+($V205:$AE205=AC205)*($V$3:$AE$3&gt;AC$3)+($V205:$AE205=AC205)*($V$3:$AE$3=AC$3)*($V$2:$AE$2&lt;AC$2))),2))))</f>
      </c>
      <c r="AN205" s="33">
        <f>IF(AD205&lt;=0,0,MAX(0,MIN(AD205,ROUND($AZ205-SUMPRODUCT($V205:$AE205*($V205:$AE205&gt;0)*(($V205:$AE205&lt;AD205)+($V205:$AE205=AD205)*($V$3:$AE$3&gt;AD$3)+($V205:$AE205=AD205)*($V$3:$AE$3=AD$3)*($V$2:$AE$2&lt;AD$2))),2))))</f>
      </c>
      <c r="AO205" s="33">
        <f>IF(AE205&lt;=0,0,MAX(0,MIN(AE205,ROUND($AZ205-SUMPRODUCT($V205:$AE205*($V205:$AE205&gt;0)*(($V205:$AE205&lt;AE205)+($V205:$AE205=AE205)*($V$3:$AE$3&gt;AE$3)+($V205:$AE205=AE205)*($V$3:$AE$3=AE$3)*($V$2:$AE$2&lt;AE$2))),2))))</f>
      </c>
      <c r="AP205" s="33">
        <f>ROUND(V205-AF205,2)</f>
      </c>
      <c r="AQ205" s="33">
        <f>ROUND(W205-AG205,2)</f>
      </c>
      <c r="AR205" s="33">
        <f>ROUND(X205-AH205,2)</f>
      </c>
      <c r="AS205" s="33">
        <f>ROUND(Y205-AI205,2)</f>
      </c>
      <c r="AT205" s="33">
        <f>ROUND(Z205-AJ205,2)</f>
      </c>
      <c r="AU205" s="33">
        <f>ROUND(AA205-AK205,2)</f>
      </c>
      <c r="AV205" s="33">
        <f>ROUND(AB205-AL205,2)</f>
      </c>
      <c r="AW205" s="33">
        <f>ROUND(AC205-AM205,2)</f>
      </c>
      <c r="AX205" s="33">
        <f>ROUND(AD205-AN205,2)</f>
      </c>
      <c r="AY205" s="33">
        <f>ROUND(AE205-AO205,2)</f>
      </c>
      <c r="AZ205" s="33">
        <f>ROUND(MAX(0,'Your debts'!$D$22-SUM($L205:$U205)),2)</f>
      </c>
      <c r="BA205" s="33">
        <f>ROUND(SUM($B205:$K205)-SUM($AP204:$AY204),2)</f>
      </c>
      <c r="BB205" s="33">
        <f>SUM($AP205:$AY205)</f>
      </c>
      <c r="BC205" s="33">
        <f>ROUND(SUM($L205:$U205)+SUM($AF205:$AO205),2)</f>
      </c>
    </row>
    <row r="206" spans="1:55" x14ac:dyDescent="0.25">
      <c r="A206">
        <v>199</v>
      </c>
      <c r="B206" s="33">
        <f>IF(AP205&lt;=0,0,ROUND(AP205+ROUND(AP205*V$3/12,2),2))</f>
      </c>
      <c r="C206" s="33">
        <f>IF(AQ205&lt;=0,0,ROUND(AQ205+ROUND(AQ205*W$3/12,2),2))</f>
      </c>
      <c r="D206" s="33">
        <f>IF(AR205&lt;=0,0,ROUND(AR205+ROUND(AR205*X$3/12,2),2))</f>
      </c>
      <c r="E206" s="33">
        <f>IF(AS205&lt;=0,0,ROUND(AS205+ROUND(AS205*Y$3/12,2),2))</f>
      </c>
      <c r="F206" s="33">
        <f>IF(AT205&lt;=0,0,ROUND(AT205+ROUND(AT205*Z$3/12,2),2))</f>
      </c>
      <c r="G206" s="33">
        <f>IF(AU205&lt;=0,0,ROUND(AU205+ROUND(AU205*AA$3/12,2),2))</f>
      </c>
      <c r="H206" s="33">
        <f>IF(AV205&lt;=0,0,ROUND(AV205+ROUND(AV205*AB$3/12,2),2))</f>
      </c>
      <c r="I206" s="33">
        <f>IF(AW205&lt;=0,0,ROUND(AW205+ROUND(AW205*AC$3/12,2),2))</f>
      </c>
      <c r="J206" s="33">
        <f>IF(AX205&lt;=0,0,ROUND(AX205+ROUND(AX205*AD$3/12,2),2))</f>
      </c>
      <c r="K206" s="33">
        <f>IF(AY205&lt;=0,0,ROUND(AY205+ROUND(AY205*AE$3/12,2),2))</f>
      </c>
      <c r="L206" s="33">
        <f>ROUND(MIN(MAX(0,N('Your debts'!$E$6)),B206),2)</f>
      </c>
      <c r="M206" s="33">
        <f>ROUND(MIN(MAX(0,N('Your debts'!$E$7)),C206),2)</f>
      </c>
      <c r="N206" s="33">
        <f>ROUND(MIN(MAX(0,N('Your debts'!$E$8)),D206),2)</f>
      </c>
      <c r="O206" s="33">
        <f>ROUND(MIN(MAX(0,N('Your debts'!$E$9)),E206),2)</f>
      </c>
      <c r="P206" s="33">
        <f>ROUND(MIN(MAX(0,N('Your debts'!$E$10)),F206),2)</f>
      </c>
      <c r="Q206" s="33">
        <f>ROUND(MIN(MAX(0,N('Your debts'!$E$11)),G206),2)</f>
      </c>
      <c r="R206" s="33">
        <f>ROUND(MIN(MAX(0,N('Your debts'!$E$12)),H206),2)</f>
      </c>
      <c r="S206" s="33">
        <f>ROUND(MIN(MAX(0,N('Your debts'!$E$13)),I206),2)</f>
      </c>
      <c r="T206" s="33">
        <f>ROUND(MIN(MAX(0,N('Your debts'!$E$14)),J206),2)</f>
      </c>
      <c r="U206" s="33">
        <f>ROUND(MIN(MAX(0,N('Your debts'!$E$15)),K206),2)</f>
      </c>
      <c r="V206" s="33">
        <f>ROUND(B206-L206,2)</f>
      </c>
      <c r="W206" s="33">
        <f>ROUND(C206-M206,2)</f>
      </c>
      <c r="X206" s="33">
        <f>ROUND(D206-N206,2)</f>
      </c>
      <c r="Y206" s="33">
        <f>ROUND(E206-O206,2)</f>
      </c>
      <c r="Z206" s="33">
        <f>ROUND(F206-P206,2)</f>
      </c>
      <c r="AA206" s="33">
        <f>ROUND(G206-Q206,2)</f>
      </c>
      <c r="AB206" s="33">
        <f>ROUND(H206-R206,2)</f>
      </c>
      <c r="AC206" s="33">
        <f>ROUND(I206-S206,2)</f>
      </c>
      <c r="AD206" s="33">
        <f>ROUND(J206-T206,2)</f>
      </c>
      <c r="AE206" s="33">
        <f>ROUND(K206-U206,2)</f>
      </c>
      <c r="AF206" s="33">
        <f>IF(V206&lt;=0,0,MAX(0,MIN(V206,ROUND($AZ206-SUMPRODUCT($V206:$AE206*($V206:$AE206&gt;0)*(($V206:$AE206&lt;V206)+($V206:$AE206=V206)*($V$3:$AE$3&gt;V$3)+($V206:$AE206=V206)*($V$3:$AE$3=V$3)*($V$2:$AE$2&lt;V$2))),2))))</f>
      </c>
      <c r="AG206" s="33">
        <f>IF(W206&lt;=0,0,MAX(0,MIN(W206,ROUND($AZ206-SUMPRODUCT($V206:$AE206*($V206:$AE206&gt;0)*(($V206:$AE206&lt;W206)+($V206:$AE206=W206)*($V$3:$AE$3&gt;W$3)+($V206:$AE206=W206)*($V$3:$AE$3=W$3)*($V$2:$AE$2&lt;W$2))),2))))</f>
      </c>
      <c r="AH206" s="33">
        <f>IF(X206&lt;=0,0,MAX(0,MIN(X206,ROUND($AZ206-SUMPRODUCT($V206:$AE206*($V206:$AE206&gt;0)*(($V206:$AE206&lt;X206)+($V206:$AE206=X206)*($V$3:$AE$3&gt;X$3)+($V206:$AE206=X206)*($V$3:$AE$3=X$3)*($V$2:$AE$2&lt;X$2))),2))))</f>
      </c>
      <c r="AI206" s="33">
        <f>IF(Y206&lt;=0,0,MAX(0,MIN(Y206,ROUND($AZ206-SUMPRODUCT($V206:$AE206*($V206:$AE206&gt;0)*(($V206:$AE206&lt;Y206)+($V206:$AE206=Y206)*($V$3:$AE$3&gt;Y$3)+($V206:$AE206=Y206)*($V$3:$AE$3=Y$3)*($V$2:$AE$2&lt;Y$2))),2))))</f>
      </c>
      <c r="AJ206" s="33">
        <f>IF(Z206&lt;=0,0,MAX(0,MIN(Z206,ROUND($AZ206-SUMPRODUCT($V206:$AE206*($V206:$AE206&gt;0)*(($V206:$AE206&lt;Z206)+($V206:$AE206=Z206)*($V$3:$AE$3&gt;Z$3)+($V206:$AE206=Z206)*($V$3:$AE$3=Z$3)*($V$2:$AE$2&lt;Z$2))),2))))</f>
      </c>
      <c r="AK206" s="33">
        <f>IF(AA206&lt;=0,0,MAX(0,MIN(AA206,ROUND($AZ206-SUMPRODUCT($V206:$AE206*($V206:$AE206&gt;0)*(($V206:$AE206&lt;AA206)+($V206:$AE206=AA206)*($V$3:$AE$3&gt;AA$3)+($V206:$AE206=AA206)*($V$3:$AE$3=AA$3)*($V$2:$AE$2&lt;AA$2))),2))))</f>
      </c>
      <c r="AL206" s="33">
        <f>IF(AB206&lt;=0,0,MAX(0,MIN(AB206,ROUND($AZ206-SUMPRODUCT($V206:$AE206*($V206:$AE206&gt;0)*(($V206:$AE206&lt;AB206)+($V206:$AE206=AB206)*($V$3:$AE$3&gt;AB$3)+($V206:$AE206=AB206)*($V$3:$AE$3=AB$3)*($V$2:$AE$2&lt;AB$2))),2))))</f>
      </c>
      <c r="AM206" s="33">
        <f>IF(AC206&lt;=0,0,MAX(0,MIN(AC206,ROUND($AZ206-SUMPRODUCT($V206:$AE206*($V206:$AE206&gt;0)*(($V206:$AE206&lt;AC206)+($V206:$AE206=AC206)*($V$3:$AE$3&gt;AC$3)+($V206:$AE206=AC206)*($V$3:$AE$3=AC$3)*($V$2:$AE$2&lt;AC$2))),2))))</f>
      </c>
      <c r="AN206" s="33">
        <f>IF(AD206&lt;=0,0,MAX(0,MIN(AD206,ROUND($AZ206-SUMPRODUCT($V206:$AE206*($V206:$AE206&gt;0)*(($V206:$AE206&lt;AD206)+($V206:$AE206=AD206)*($V$3:$AE$3&gt;AD$3)+($V206:$AE206=AD206)*($V$3:$AE$3=AD$3)*($V$2:$AE$2&lt;AD$2))),2))))</f>
      </c>
      <c r="AO206" s="33">
        <f>IF(AE206&lt;=0,0,MAX(0,MIN(AE206,ROUND($AZ206-SUMPRODUCT($V206:$AE206*($V206:$AE206&gt;0)*(($V206:$AE206&lt;AE206)+($V206:$AE206=AE206)*($V$3:$AE$3&gt;AE$3)+($V206:$AE206=AE206)*($V$3:$AE$3=AE$3)*($V$2:$AE$2&lt;AE$2))),2))))</f>
      </c>
      <c r="AP206" s="33">
        <f>ROUND(V206-AF206,2)</f>
      </c>
      <c r="AQ206" s="33">
        <f>ROUND(W206-AG206,2)</f>
      </c>
      <c r="AR206" s="33">
        <f>ROUND(X206-AH206,2)</f>
      </c>
      <c r="AS206" s="33">
        <f>ROUND(Y206-AI206,2)</f>
      </c>
      <c r="AT206" s="33">
        <f>ROUND(Z206-AJ206,2)</f>
      </c>
      <c r="AU206" s="33">
        <f>ROUND(AA206-AK206,2)</f>
      </c>
      <c r="AV206" s="33">
        <f>ROUND(AB206-AL206,2)</f>
      </c>
      <c r="AW206" s="33">
        <f>ROUND(AC206-AM206,2)</f>
      </c>
      <c r="AX206" s="33">
        <f>ROUND(AD206-AN206,2)</f>
      </c>
      <c r="AY206" s="33">
        <f>ROUND(AE206-AO206,2)</f>
      </c>
      <c r="AZ206" s="33">
        <f>ROUND(MAX(0,'Your debts'!$D$22-SUM($L206:$U206)),2)</f>
      </c>
      <c r="BA206" s="33">
        <f>ROUND(SUM($B206:$K206)-SUM($AP205:$AY205),2)</f>
      </c>
      <c r="BB206" s="33">
        <f>SUM($AP206:$AY206)</f>
      </c>
      <c r="BC206" s="33">
        <f>ROUND(SUM($L206:$U206)+SUM($AF206:$AO206),2)</f>
      </c>
    </row>
    <row r="207" spans="1:55" x14ac:dyDescent="0.25">
      <c r="A207">
        <v>200</v>
      </c>
      <c r="B207" s="33">
        <f>IF(AP206&lt;=0,0,ROUND(AP206+ROUND(AP206*V$3/12,2),2))</f>
      </c>
      <c r="C207" s="33">
        <f>IF(AQ206&lt;=0,0,ROUND(AQ206+ROUND(AQ206*W$3/12,2),2))</f>
      </c>
      <c r="D207" s="33">
        <f>IF(AR206&lt;=0,0,ROUND(AR206+ROUND(AR206*X$3/12,2),2))</f>
      </c>
      <c r="E207" s="33">
        <f>IF(AS206&lt;=0,0,ROUND(AS206+ROUND(AS206*Y$3/12,2),2))</f>
      </c>
      <c r="F207" s="33">
        <f>IF(AT206&lt;=0,0,ROUND(AT206+ROUND(AT206*Z$3/12,2),2))</f>
      </c>
      <c r="G207" s="33">
        <f>IF(AU206&lt;=0,0,ROUND(AU206+ROUND(AU206*AA$3/12,2),2))</f>
      </c>
      <c r="H207" s="33">
        <f>IF(AV206&lt;=0,0,ROUND(AV206+ROUND(AV206*AB$3/12,2),2))</f>
      </c>
      <c r="I207" s="33">
        <f>IF(AW206&lt;=0,0,ROUND(AW206+ROUND(AW206*AC$3/12,2),2))</f>
      </c>
      <c r="J207" s="33">
        <f>IF(AX206&lt;=0,0,ROUND(AX206+ROUND(AX206*AD$3/12,2),2))</f>
      </c>
      <c r="K207" s="33">
        <f>IF(AY206&lt;=0,0,ROUND(AY206+ROUND(AY206*AE$3/12,2),2))</f>
      </c>
      <c r="L207" s="33">
        <f>ROUND(MIN(MAX(0,N('Your debts'!$E$6)),B207),2)</f>
      </c>
      <c r="M207" s="33">
        <f>ROUND(MIN(MAX(0,N('Your debts'!$E$7)),C207),2)</f>
      </c>
      <c r="N207" s="33">
        <f>ROUND(MIN(MAX(0,N('Your debts'!$E$8)),D207),2)</f>
      </c>
      <c r="O207" s="33">
        <f>ROUND(MIN(MAX(0,N('Your debts'!$E$9)),E207),2)</f>
      </c>
      <c r="P207" s="33">
        <f>ROUND(MIN(MAX(0,N('Your debts'!$E$10)),F207),2)</f>
      </c>
      <c r="Q207" s="33">
        <f>ROUND(MIN(MAX(0,N('Your debts'!$E$11)),G207),2)</f>
      </c>
      <c r="R207" s="33">
        <f>ROUND(MIN(MAX(0,N('Your debts'!$E$12)),H207),2)</f>
      </c>
      <c r="S207" s="33">
        <f>ROUND(MIN(MAX(0,N('Your debts'!$E$13)),I207),2)</f>
      </c>
      <c r="T207" s="33">
        <f>ROUND(MIN(MAX(0,N('Your debts'!$E$14)),J207),2)</f>
      </c>
      <c r="U207" s="33">
        <f>ROUND(MIN(MAX(0,N('Your debts'!$E$15)),K207),2)</f>
      </c>
      <c r="V207" s="33">
        <f>ROUND(B207-L207,2)</f>
      </c>
      <c r="W207" s="33">
        <f>ROUND(C207-M207,2)</f>
      </c>
      <c r="X207" s="33">
        <f>ROUND(D207-N207,2)</f>
      </c>
      <c r="Y207" s="33">
        <f>ROUND(E207-O207,2)</f>
      </c>
      <c r="Z207" s="33">
        <f>ROUND(F207-P207,2)</f>
      </c>
      <c r="AA207" s="33">
        <f>ROUND(G207-Q207,2)</f>
      </c>
      <c r="AB207" s="33">
        <f>ROUND(H207-R207,2)</f>
      </c>
      <c r="AC207" s="33">
        <f>ROUND(I207-S207,2)</f>
      </c>
      <c r="AD207" s="33">
        <f>ROUND(J207-T207,2)</f>
      </c>
      <c r="AE207" s="33">
        <f>ROUND(K207-U207,2)</f>
      </c>
      <c r="AF207" s="33">
        <f>IF(V207&lt;=0,0,MAX(0,MIN(V207,ROUND($AZ207-SUMPRODUCT($V207:$AE207*($V207:$AE207&gt;0)*(($V207:$AE207&lt;V207)+($V207:$AE207=V207)*($V$3:$AE$3&gt;V$3)+($V207:$AE207=V207)*($V$3:$AE$3=V$3)*($V$2:$AE$2&lt;V$2))),2))))</f>
      </c>
      <c r="AG207" s="33">
        <f>IF(W207&lt;=0,0,MAX(0,MIN(W207,ROUND($AZ207-SUMPRODUCT($V207:$AE207*($V207:$AE207&gt;0)*(($V207:$AE207&lt;W207)+($V207:$AE207=W207)*($V$3:$AE$3&gt;W$3)+($V207:$AE207=W207)*($V$3:$AE$3=W$3)*($V$2:$AE$2&lt;W$2))),2))))</f>
      </c>
      <c r="AH207" s="33">
        <f>IF(X207&lt;=0,0,MAX(0,MIN(X207,ROUND($AZ207-SUMPRODUCT($V207:$AE207*($V207:$AE207&gt;0)*(($V207:$AE207&lt;X207)+($V207:$AE207=X207)*($V$3:$AE$3&gt;X$3)+($V207:$AE207=X207)*($V$3:$AE$3=X$3)*($V$2:$AE$2&lt;X$2))),2))))</f>
      </c>
      <c r="AI207" s="33">
        <f>IF(Y207&lt;=0,0,MAX(0,MIN(Y207,ROUND($AZ207-SUMPRODUCT($V207:$AE207*($V207:$AE207&gt;0)*(($V207:$AE207&lt;Y207)+($V207:$AE207=Y207)*($V$3:$AE$3&gt;Y$3)+($V207:$AE207=Y207)*($V$3:$AE$3=Y$3)*($V$2:$AE$2&lt;Y$2))),2))))</f>
      </c>
      <c r="AJ207" s="33">
        <f>IF(Z207&lt;=0,0,MAX(0,MIN(Z207,ROUND($AZ207-SUMPRODUCT($V207:$AE207*($V207:$AE207&gt;0)*(($V207:$AE207&lt;Z207)+($V207:$AE207=Z207)*($V$3:$AE$3&gt;Z$3)+($V207:$AE207=Z207)*($V$3:$AE$3=Z$3)*($V$2:$AE$2&lt;Z$2))),2))))</f>
      </c>
      <c r="AK207" s="33">
        <f>IF(AA207&lt;=0,0,MAX(0,MIN(AA207,ROUND($AZ207-SUMPRODUCT($V207:$AE207*($V207:$AE207&gt;0)*(($V207:$AE207&lt;AA207)+($V207:$AE207=AA207)*($V$3:$AE$3&gt;AA$3)+($V207:$AE207=AA207)*($V$3:$AE$3=AA$3)*($V$2:$AE$2&lt;AA$2))),2))))</f>
      </c>
      <c r="AL207" s="33">
        <f>IF(AB207&lt;=0,0,MAX(0,MIN(AB207,ROUND($AZ207-SUMPRODUCT($V207:$AE207*($V207:$AE207&gt;0)*(($V207:$AE207&lt;AB207)+($V207:$AE207=AB207)*($V$3:$AE$3&gt;AB$3)+($V207:$AE207=AB207)*($V$3:$AE$3=AB$3)*($V$2:$AE$2&lt;AB$2))),2))))</f>
      </c>
      <c r="AM207" s="33">
        <f>IF(AC207&lt;=0,0,MAX(0,MIN(AC207,ROUND($AZ207-SUMPRODUCT($V207:$AE207*($V207:$AE207&gt;0)*(($V207:$AE207&lt;AC207)+($V207:$AE207=AC207)*($V$3:$AE$3&gt;AC$3)+($V207:$AE207=AC207)*($V$3:$AE$3=AC$3)*($V$2:$AE$2&lt;AC$2))),2))))</f>
      </c>
      <c r="AN207" s="33">
        <f>IF(AD207&lt;=0,0,MAX(0,MIN(AD207,ROUND($AZ207-SUMPRODUCT($V207:$AE207*($V207:$AE207&gt;0)*(($V207:$AE207&lt;AD207)+($V207:$AE207=AD207)*($V$3:$AE$3&gt;AD$3)+($V207:$AE207=AD207)*($V$3:$AE$3=AD$3)*($V$2:$AE$2&lt;AD$2))),2))))</f>
      </c>
      <c r="AO207" s="33">
        <f>IF(AE207&lt;=0,0,MAX(0,MIN(AE207,ROUND($AZ207-SUMPRODUCT($V207:$AE207*($V207:$AE207&gt;0)*(($V207:$AE207&lt;AE207)+($V207:$AE207=AE207)*($V$3:$AE$3&gt;AE$3)+($V207:$AE207=AE207)*($V$3:$AE$3=AE$3)*($V$2:$AE$2&lt;AE$2))),2))))</f>
      </c>
      <c r="AP207" s="33">
        <f>ROUND(V207-AF207,2)</f>
      </c>
      <c r="AQ207" s="33">
        <f>ROUND(W207-AG207,2)</f>
      </c>
      <c r="AR207" s="33">
        <f>ROUND(X207-AH207,2)</f>
      </c>
      <c r="AS207" s="33">
        <f>ROUND(Y207-AI207,2)</f>
      </c>
      <c r="AT207" s="33">
        <f>ROUND(Z207-AJ207,2)</f>
      </c>
      <c r="AU207" s="33">
        <f>ROUND(AA207-AK207,2)</f>
      </c>
      <c r="AV207" s="33">
        <f>ROUND(AB207-AL207,2)</f>
      </c>
      <c r="AW207" s="33">
        <f>ROUND(AC207-AM207,2)</f>
      </c>
      <c r="AX207" s="33">
        <f>ROUND(AD207-AN207,2)</f>
      </c>
      <c r="AY207" s="33">
        <f>ROUND(AE207-AO207,2)</f>
      </c>
      <c r="AZ207" s="33">
        <f>ROUND(MAX(0,'Your debts'!$D$22-SUM($L207:$U207)),2)</f>
      </c>
      <c r="BA207" s="33">
        <f>ROUND(SUM($B207:$K207)-SUM($AP206:$AY206),2)</f>
      </c>
      <c r="BB207" s="33">
        <f>SUM($AP207:$AY207)</f>
      </c>
      <c r="BC207" s="33">
        <f>ROUND(SUM($L207:$U207)+SUM($AF207:$AO207),2)</f>
      </c>
    </row>
    <row r="208" spans="1:55" x14ac:dyDescent="0.25">
      <c r="A208">
        <v>201</v>
      </c>
      <c r="B208" s="33">
        <f>IF(AP207&lt;=0,0,ROUND(AP207+ROUND(AP207*V$3/12,2),2))</f>
      </c>
      <c r="C208" s="33">
        <f>IF(AQ207&lt;=0,0,ROUND(AQ207+ROUND(AQ207*W$3/12,2),2))</f>
      </c>
      <c r="D208" s="33">
        <f>IF(AR207&lt;=0,0,ROUND(AR207+ROUND(AR207*X$3/12,2),2))</f>
      </c>
      <c r="E208" s="33">
        <f>IF(AS207&lt;=0,0,ROUND(AS207+ROUND(AS207*Y$3/12,2),2))</f>
      </c>
      <c r="F208" s="33">
        <f>IF(AT207&lt;=0,0,ROUND(AT207+ROUND(AT207*Z$3/12,2),2))</f>
      </c>
      <c r="G208" s="33">
        <f>IF(AU207&lt;=0,0,ROUND(AU207+ROUND(AU207*AA$3/12,2),2))</f>
      </c>
      <c r="H208" s="33">
        <f>IF(AV207&lt;=0,0,ROUND(AV207+ROUND(AV207*AB$3/12,2),2))</f>
      </c>
      <c r="I208" s="33">
        <f>IF(AW207&lt;=0,0,ROUND(AW207+ROUND(AW207*AC$3/12,2),2))</f>
      </c>
      <c r="J208" s="33">
        <f>IF(AX207&lt;=0,0,ROUND(AX207+ROUND(AX207*AD$3/12,2),2))</f>
      </c>
      <c r="K208" s="33">
        <f>IF(AY207&lt;=0,0,ROUND(AY207+ROUND(AY207*AE$3/12,2),2))</f>
      </c>
      <c r="L208" s="33">
        <f>ROUND(MIN(MAX(0,N('Your debts'!$E$6)),B208),2)</f>
      </c>
      <c r="M208" s="33">
        <f>ROUND(MIN(MAX(0,N('Your debts'!$E$7)),C208),2)</f>
      </c>
      <c r="N208" s="33">
        <f>ROUND(MIN(MAX(0,N('Your debts'!$E$8)),D208),2)</f>
      </c>
      <c r="O208" s="33">
        <f>ROUND(MIN(MAX(0,N('Your debts'!$E$9)),E208),2)</f>
      </c>
      <c r="P208" s="33">
        <f>ROUND(MIN(MAX(0,N('Your debts'!$E$10)),F208),2)</f>
      </c>
      <c r="Q208" s="33">
        <f>ROUND(MIN(MAX(0,N('Your debts'!$E$11)),G208),2)</f>
      </c>
      <c r="R208" s="33">
        <f>ROUND(MIN(MAX(0,N('Your debts'!$E$12)),H208),2)</f>
      </c>
      <c r="S208" s="33">
        <f>ROUND(MIN(MAX(0,N('Your debts'!$E$13)),I208),2)</f>
      </c>
      <c r="T208" s="33">
        <f>ROUND(MIN(MAX(0,N('Your debts'!$E$14)),J208),2)</f>
      </c>
      <c r="U208" s="33">
        <f>ROUND(MIN(MAX(0,N('Your debts'!$E$15)),K208),2)</f>
      </c>
      <c r="V208" s="33">
        <f>ROUND(B208-L208,2)</f>
      </c>
      <c r="W208" s="33">
        <f>ROUND(C208-M208,2)</f>
      </c>
      <c r="X208" s="33">
        <f>ROUND(D208-N208,2)</f>
      </c>
      <c r="Y208" s="33">
        <f>ROUND(E208-O208,2)</f>
      </c>
      <c r="Z208" s="33">
        <f>ROUND(F208-P208,2)</f>
      </c>
      <c r="AA208" s="33">
        <f>ROUND(G208-Q208,2)</f>
      </c>
      <c r="AB208" s="33">
        <f>ROUND(H208-R208,2)</f>
      </c>
      <c r="AC208" s="33">
        <f>ROUND(I208-S208,2)</f>
      </c>
      <c r="AD208" s="33">
        <f>ROUND(J208-T208,2)</f>
      </c>
      <c r="AE208" s="33">
        <f>ROUND(K208-U208,2)</f>
      </c>
      <c r="AF208" s="33">
        <f>IF(V208&lt;=0,0,MAX(0,MIN(V208,ROUND($AZ208-SUMPRODUCT($V208:$AE208*($V208:$AE208&gt;0)*(($V208:$AE208&lt;V208)+($V208:$AE208=V208)*($V$3:$AE$3&gt;V$3)+($V208:$AE208=V208)*($V$3:$AE$3=V$3)*($V$2:$AE$2&lt;V$2))),2))))</f>
      </c>
      <c r="AG208" s="33">
        <f>IF(W208&lt;=0,0,MAX(0,MIN(W208,ROUND($AZ208-SUMPRODUCT($V208:$AE208*($V208:$AE208&gt;0)*(($V208:$AE208&lt;W208)+($V208:$AE208=W208)*($V$3:$AE$3&gt;W$3)+($V208:$AE208=W208)*($V$3:$AE$3=W$3)*($V$2:$AE$2&lt;W$2))),2))))</f>
      </c>
      <c r="AH208" s="33">
        <f>IF(X208&lt;=0,0,MAX(0,MIN(X208,ROUND($AZ208-SUMPRODUCT($V208:$AE208*($V208:$AE208&gt;0)*(($V208:$AE208&lt;X208)+($V208:$AE208=X208)*($V$3:$AE$3&gt;X$3)+($V208:$AE208=X208)*($V$3:$AE$3=X$3)*($V$2:$AE$2&lt;X$2))),2))))</f>
      </c>
      <c r="AI208" s="33">
        <f>IF(Y208&lt;=0,0,MAX(0,MIN(Y208,ROUND($AZ208-SUMPRODUCT($V208:$AE208*($V208:$AE208&gt;0)*(($V208:$AE208&lt;Y208)+($V208:$AE208=Y208)*($V$3:$AE$3&gt;Y$3)+($V208:$AE208=Y208)*($V$3:$AE$3=Y$3)*($V$2:$AE$2&lt;Y$2))),2))))</f>
      </c>
      <c r="AJ208" s="33">
        <f>IF(Z208&lt;=0,0,MAX(0,MIN(Z208,ROUND($AZ208-SUMPRODUCT($V208:$AE208*($V208:$AE208&gt;0)*(($V208:$AE208&lt;Z208)+($V208:$AE208=Z208)*($V$3:$AE$3&gt;Z$3)+($V208:$AE208=Z208)*($V$3:$AE$3=Z$3)*($V$2:$AE$2&lt;Z$2))),2))))</f>
      </c>
      <c r="AK208" s="33">
        <f>IF(AA208&lt;=0,0,MAX(0,MIN(AA208,ROUND($AZ208-SUMPRODUCT($V208:$AE208*($V208:$AE208&gt;0)*(($V208:$AE208&lt;AA208)+($V208:$AE208=AA208)*($V$3:$AE$3&gt;AA$3)+($V208:$AE208=AA208)*($V$3:$AE$3=AA$3)*($V$2:$AE$2&lt;AA$2))),2))))</f>
      </c>
      <c r="AL208" s="33">
        <f>IF(AB208&lt;=0,0,MAX(0,MIN(AB208,ROUND($AZ208-SUMPRODUCT($V208:$AE208*($V208:$AE208&gt;0)*(($V208:$AE208&lt;AB208)+($V208:$AE208=AB208)*($V$3:$AE$3&gt;AB$3)+($V208:$AE208=AB208)*($V$3:$AE$3=AB$3)*($V$2:$AE$2&lt;AB$2))),2))))</f>
      </c>
      <c r="AM208" s="33">
        <f>IF(AC208&lt;=0,0,MAX(0,MIN(AC208,ROUND($AZ208-SUMPRODUCT($V208:$AE208*($V208:$AE208&gt;0)*(($V208:$AE208&lt;AC208)+($V208:$AE208=AC208)*($V$3:$AE$3&gt;AC$3)+($V208:$AE208=AC208)*($V$3:$AE$3=AC$3)*($V$2:$AE$2&lt;AC$2))),2))))</f>
      </c>
      <c r="AN208" s="33">
        <f>IF(AD208&lt;=0,0,MAX(0,MIN(AD208,ROUND($AZ208-SUMPRODUCT($V208:$AE208*($V208:$AE208&gt;0)*(($V208:$AE208&lt;AD208)+($V208:$AE208=AD208)*($V$3:$AE$3&gt;AD$3)+($V208:$AE208=AD208)*($V$3:$AE$3=AD$3)*($V$2:$AE$2&lt;AD$2))),2))))</f>
      </c>
      <c r="AO208" s="33">
        <f>IF(AE208&lt;=0,0,MAX(0,MIN(AE208,ROUND($AZ208-SUMPRODUCT($V208:$AE208*($V208:$AE208&gt;0)*(($V208:$AE208&lt;AE208)+($V208:$AE208=AE208)*($V$3:$AE$3&gt;AE$3)+($V208:$AE208=AE208)*($V$3:$AE$3=AE$3)*($V$2:$AE$2&lt;AE$2))),2))))</f>
      </c>
      <c r="AP208" s="33">
        <f>ROUND(V208-AF208,2)</f>
      </c>
      <c r="AQ208" s="33">
        <f>ROUND(W208-AG208,2)</f>
      </c>
      <c r="AR208" s="33">
        <f>ROUND(X208-AH208,2)</f>
      </c>
      <c r="AS208" s="33">
        <f>ROUND(Y208-AI208,2)</f>
      </c>
      <c r="AT208" s="33">
        <f>ROUND(Z208-AJ208,2)</f>
      </c>
      <c r="AU208" s="33">
        <f>ROUND(AA208-AK208,2)</f>
      </c>
      <c r="AV208" s="33">
        <f>ROUND(AB208-AL208,2)</f>
      </c>
      <c r="AW208" s="33">
        <f>ROUND(AC208-AM208,2)</f>
      </c>
      <c r="AX208" s="33">
        <f>ROUND(AD208-AN208,2)</f>
      </c>
      <c r="AY208" s="33">
        <f>ROUND(AE208-AO208,2)</f>
      </c>
      <c r="AZ208" s="33">
        <f>ROUND(MAX(0,'Your debts'!$D$22-SUM($L208:$U208)),2)</f>
      </c>
      <c r="BA208" s="33">
        <f>ROUND(SUM($B208:$K208)-SUM($AP207:$AY207),2)</f>
      </c>
      <c r="BB208" s="33">
        <f>SUM($AP208:$AY208)</f>
      </c>
      <c r="BC208" s="33">
        <f>ROUND(SUM($L208:$U208)+SUM($AF208:$AO208),2)</f>
      </c>
    </row>
    <row r="209" spans="1:55" x14ac:dyDescent="0.25">
      <c r="A209">
        <v>202</v>
      </c>
      <c r="B209" s="33">
        <f>IF(AP208&lt;=0,0,ROUND(AP208+ROUND(AP208*V$3/12,2),2))</f>
      </c>
      <c r="C209" s="33">
        <f>IF(AQ208&lt;=0,0,ROUND(AQ208+ROUND(AQ208*W$3/12,2),2))</f>
      </c>
      <c r="D209" s="33">
        <f>IF(AR208&lt;=0,0,ROUND(AR208+ROUND(AR208*X$3/12,2),2))</f>
      </c>
      <c r="E209" s="33">
        <f>IF(AS208&lt;=0,0,ROUND(AS208+ROUND(AS208*Y$3/12,2),2))</f>
      </c>
      <c r="F209" s="33">
        <f>IF(AT208&lt;=0,0,ROUND(AT208+ROUND(AT208*Z$3/12,2),2))</f>
      </c>
      <c r="G209" s="33">
        <f>IF(AU208&lt;=0,0,ROUND(AU208+ROUND(AU208*AA$3/12,2),2))</f>
      </c>
      <c r="H209" s="33">
        <f>IF(AV208&lt;=0,0,ROUND(AV208+ROUND(AV208*AB$3/12,2),2))</f>
      </c>
      <c r="I209" s="33">
        <f>IF(AW208&lt;=0,0,ROUND(AW208+ROUND(AW208*AC$3/12,2),2))</f>
      </c>
      <c r="J209" s="33">
        <f>IF(AX208&lt;=0,0,ROUND(AX208+ROUND(AX208*AD$3/12,2),2))</f>
      </c>
      <c r="K209" s="33">
        <f>IF(AY208&lt;=0,0,ROUND(AY208+ROUND(AY208*AE$3/12,2),2))</f>
      </c>
      <c r="L209" s="33">
        <f>ROUND(MIN(MAX(0,N('Your debts'!$E$6)),B209),2)</f>
      </c>
      <c r="M209" s="33">
        <f>ROUND(MIN(MAX(0,N('Your debts'!$E$7)),C209),2)</f>
      </c>
      <c r="N209" s="33">
        <f>ROUND(MIN(MAX(0,N('Your debts'!$E$8)),D209),2)</f>
      </c>
      <c r="O209" s="33">
        <f>ROUND(MIN(MAX(0,N('Your debts'!$E$9)),E209),2)</f>
      </c>
      <c r="P209" s="33">
        <f>ROUND(MIN(MAX(0,N('Your debts'!$E$10)),F209),2)</f>
      </c>
      <c r="Q209" s="33">
        <f>ROUND(MIN(MAX(0,N('Your debts'!$E$11)),G209),2)</f>
      </c>
      <c r="R209" s="33">
        <f>ROUND(MIN(MAX(0,N('Your debts'!$E$12)),H209),2)</f>
      </c>
      <c r="S209" s="33">
        <f>ROUND(MIN(MAX(0,N('Your debts'!$E$13)),I209),2)</f>
      </c>
      <c r="T209" s="33">
        <f>ROUND(MIN(MAX(0,N('Your debts'!$E$14)),J209),2)</f>
      </c>
      <c r="U209" s="33">
        <f>ROUND(MIN(MAX(0,N('Your debts'!$E$15)),K209),2)</f>
      </c>
      <c r="V209" s="33">
        <f>ROUND(B209-L209,2)</f>
      </c>
      <c r="W209" s="33">
        <f>ROUND(C209-M209,2)</f>
      </c>
      <c r="X209" s="33">
        <f>ROUND(D209-N209,2)</f>
      </c>
      <c r="Y209" s="33">
        <f>ROUND(E209-O209,2)</f>
      </c>
      <c r="Z209" s="33">
        <f>ROUND(F209-P209,2)</f>
      </c>
      <c r="AA209" s="33">
        <f>ROUND(G209-Q209,2)</f>
      </c>
      <c r="AB209" s="33">
        <f>ROUND(H209-R209,2)</f>
      </c>
      <c r="AC209" s="33">
        <f>ROUND(I209-S209,2)</f>
      </c>
      <c r="AD209" s="33">
        <f>ROUND(J209-T209,2)</f>
      </c>
      <c r="AE209" s="33">
        <f>ROUND(K209-U209,2)</f>
      </c>
      <c r="AF209" s="33">
        <f>IF(V209&lt;=0,0,MAX(0,MIN(V209,ROUND($AZ209-SUMPRODUCT($V209:$AE209*($V209:$AE209&gt;0)*(($V209:$AE209&lt;V209)+($V209:$AE209=V209)*($V$3:$AE$3&gt;V$3)+($V209:$AE209=V209)*($V$3:$AE$3=V$3)*($V$2:$AE$2&lt;V$2))),2))))</f>
      </c>
      <c r="AG209" s="33">
        <f>IF(W209&lt;=0,0,MAX(0,MIN(W209,ROUND($AZ209-SUMPRODUCT($V209:$AE209*($V209:$AE209&gt;0)*(($V209:$AE209&lt;W209)+($V209:$AE209=W209)*($V$3:$AE$3&gt;W$3)+($V209:$AE209=W209)*($V$3:$AE$3=W$3)*($V$2:$AE$2&lt;W$2))),2))))</f>
      </c>
      <c r="AH209" s="33">
        <f>IF(X209&lt;=0,0,MAX(0,MIN(X209,ROUND($AZ209-SUMPRODUCT($V209:$AE209*($V209:$AE209&gt;0)*(($V209:$AE209&lt;X209)+($V209:$AE209=X209)*($V$3:$AE$3&gt;X$3)+($V209:$AE209=X209)*($V$3:$AE$3=X$3)*($V$2:$AE$2&lt;X$2))),2))))</f>
      </c>
      <c r="AI209" s="33">
        <f>IF(Y209&lt;=0,0,MAX(0,MIN(Y209,ROUND($AZ209-SUMPRODUCT($V209:$AE209*($V209:$AE209&gt;0)*(($V209:$AE209&lt;Y209)+($V209:$AE209=Y209)*($V$3:$AE$3&gt;Y$3)+($V209:$AE209=Y209)*($V$3:$AE$3=Y$3)*($V$2:$AE$2&lt;Y$2))),2))))</f>
      </c>
      <c r="AJ209" s="33">
        <f>IF(Z209&lt;=0,0,MAX(0,MIN(Z209,ROUND($AZ209-SUMPRODUCT($V209:$AE209*($V209:$AE209&gt;0)*(($V209:$AE209&lt;Z209)+($V209:$AE209=Z209)*($V$3:$AE$3&gt;Z$3)+($V209:$AE209=Z209)*($V$3:$AE$3=Z$3)*($V$2:$AE$2&lt;Z$2))),2))))</f>
      </c>
      <c r="AK209" s="33">
        <f>IF(AA209&lt;=0,0,MAX(0,MIN(AA209,ROUND($AZ209-SUMPRODUCT($V209:$AE209*($V209:$AE209&gt;0)*(($V209:$AE209&lt;AA209)+($V209:$AE209=AA209)*($V$3:$AE$3&gt;AA$3)+($V209:$AE209=AA209)*($V$3:$AE$3=AA$3)*($V$2:$AE$2&lt;AA$2))),2))))</f>
      </c>
      <c r="AL209" s="33">
        <f>IF(AB209&lt;=0,0,MAX(0,MIN(AB209,ROUND($AZ209-SUMPRODUCT($V209:$AE209*($V209:$AE209&gt;0)*(($V209:$AE209&lt;AB209)+($V209:$AE209=AB209)*($V$3:$AE$3&gt;AB$3)+($V209:$AE209=AB209)*($V$3:$AE$3=AB$3)*($V$2:$AE$2&lt;AB$2))),2))))</f>
      </c>
      <c r="AM209" s="33">
        <f>IF(AC209&lt;=0,0,MAX(0,MIN(AC209,ROUND($AZ209-SUMPRODUCT($V209:$AE209*($V209:$AE209&gt;0)*(($V209:$AE209&lt;AC209)+($V209:$AE209=AC209)*($V$3:$AE$3&gt;AC$3)+($V209:$AE209=AC209)*($V$3:$AE$3=AC$3)*($V$2:$AE$2&lt;AC$2))),2))))</f>
      </c>
      <c r="AN209" s="33">
        <f>IF(AD209&lt;=0,0,MAX(0,MIN(AD209,ROUND($AZ209-SUMPRODUCT($V209:$AE209*($V209:$AE209&gt;0)*(($V209:$AE209&lt;AD209)+($V209:$AE209=AD209)*($V$3:$AE$3&gt;AD$3)+($V209:$AE209=AD209)*($V$3:$AE$3=AD$3)*($V$2:$AE$2&lt;AD$2))),2))))</f>
      </c>
      <c r="AO209" s="33">
        <f>IF(AE209&lt;=0,0,MAX(0,MIN(AE209,ROUND($AZ209-SUMPRODUCT($V209:$AE209*($V209:$AE209&gt;0)*(($V209:$AE209&lt;AE209)+($V209:$AE209=AE209)*($V$3:$AE$3&gt;AE$3)+($V209:$AE209=AE209)*($V$3:$AE$3=AE$3)*($V$2:$AE$2&lt;AE$2))),2))))</f>
      </c>
      <c r="AP209" s="33">
        <f>ROUND(V209-AF209,2)</f>
      </c>
      <c r="AQ209" s="33">
        <f>ROUND(W209-AG209,2)</f>
      </c>
      <c r="AR209" s="33">
        <f>ROUND(X209-AH209,2)</f>
      </c>
      <c r="AS209" s="33">
        <f>ROUND(Y209-AI209,2)</f>
      </c>
      <c r="AT209" s="33">
        <f>ROUND(Z209-AJ209,2)</f>
      </c>
      <c r="AU209" s="33">
        <f>ROUND(AA209-AK209,2)</f>
      </c>
      <c r="AV209" s="33">
        <f>ROUND(AB209-AL209,2)</f>
      </c>
      <c r="AW209" s="33">
        <f>ROUND(AC209-AM209,2)</f>
      </c>
      <c r="AX209" s="33">
        <f>ROUND(AD209-AN209,2)</f>
      </c>
      <c r="AY209" s="33">
        <f>ROUND(AE209-AO209,2)</f>
      </c>
      <c r="AZ209" s="33">
        <f>ROUND(MAX(0,'Your debts'!$D$22-SUM($L209:$U209)),2)</f>
      </c>
      <c r="BA209" s="33">
        <f>ROUND(SUM($B209:$K209)-SUM($AP208:$AY208),2)</f>
      </c>
      <c r="BB209" s="33">
        <f>SUM($AP209:$AY209)</f>
      </c>
      <c r="BC209" s="33">
        <f>ROUND(SUM($L209:$U209)+SUM($AF209:$AO209),2)</f>
      </c>
    </row>
    <row r="210" spans="1:55" x14ac:dyDescent="0.25">
      <c r="A210">
        <v>203</v>
      </c>
      <c r="B210" s="33">
        <f>IF(AP209&lt;=0,0,ROUND(AP209+ROUND(AP209*V$3/12,2),2))</f>
      </c>
      <c r="C210" s="33">
        <f>IF(AQ209&lt;=0,0,ROUND(AQ209+ROUND(AQ209*W$3/12,2),2))</f>
      </c>
      <c r="D210" s="33">
        <f>IF(AR209&lt;=0,0,ROUND(AR209+ROUND(AR209*X$3/12,2),2))</f>
      </c>
      <c r="E210" s="33">
        <f>IF(AS209&lt;=0,0,ROUND(AS209+ROUND(AS209*Y$3/12,2),2))</f>
      </c>
      <c r="F210" s="33">
        <f>IF(AT209&lt;=0,0,ROUND(AT209+ROUND(AT209*Z$3/12,2),2))</f>
      </c>
      <c r="G210" s="33">
        <f>IF(AU209&lt;=0,0,ROUND(AU209+ROUND(AU209*AA$3/12,2),2))</f>
      </c>
      <c r="H210" s="33">
        <f>IF(AV209&lt;=0,0,ROUND(AV209+ROUND(AV209*AB$3/12,2),2))</f>
      </c>
      <c r="I210" s="33">
        <f>IF(AW209&lt;=0,0,ROUND(AW209+ROUND(AW209*AC$3/12,2),2))</f>
      </c>
      <c r="J210" s="33">
        <f>IF(AX209&lt;=0,0,ROUND(AX209+ROUND(AX209*AD$3/12,2),2))</f>
      </c>
      <c r="K210" s="33">
        <f>IF(AY209&lt;=0,0,ROUND(AY209+ROUND(AY209*AE$3/12,2),2))</f>
      </c>
      <c r="L210" s="33">
        <f>ROUND(MIN(MAX(0,N('Your debts'!$E$6)),B210),2)</f>
      </c>
      <c r="M210" s="33">
        <f>ROUND(MIN(MAX(0,N('Your debts'!$E$7)),C210),2)</f>
      </c>
      <c r="N210" s="33">
        <f>ROUND(MIN(MAX(0,N('Your debts'!$E$8)),D210),2)</f>
      </c>
      <c r="O210" s="33">
        <f>ROUND(MIN(MAX(0,N('Your debts'!$E$9)),E210),2)</f>
      </c>
      <c r="P210" s="33">
        <f>ROUND(MIN(MAX(0,N('Your debts'!$E$10)),F210),2)</f>
      </c>
      <c r="Q210" s="33">
        <f>ROUND(MIN(MAX(0,N('Your debts'!$E$11)),G210),2)</f>
      </c>
      <c r="R210" s="33">
        <f>ROUND(MIN(MAX(0,N('Your debts'!$E$12)),H210),2)</f>
      </c>
      <c r="S210" s="33">
        <f>ROUND(MIN(MAX(0,N('Your debts'!$E$13)),I210),2)</f>
      </c>
      <c r="T210" s="33">
        <f>ROUND(MIN(MAX(0,N('Your debts'!$E$14)),J210),2)</f>
      </c>
      <c r="U210" s="33">
        <f>ROUND(MIN(MAX(0,N('Your debts'!$E$15)),K210),2)</f>
      </c>
      <c r="V210" s="33">
        <f>ROUND(B210-L210,2)</f>
      </c>
      <c r="W210" s="33">
        <f>ROUND(C210-M210,2)</f>
      </c>
      <c r="X210" s="33">
        <f>ROUND(D210-N210,2)</f>
      </c>
      <c r="Y210" s="33">
        <f>ROUND(E210-O210,2)</f>
      </c>
      <c r="Z210" s="33">
        <f>ROUND(F210-P210,2)</f>
      </c>
      <c r="AA210" s="33">
        <f>ROUND(G210-Q210,2)</f>
      </c>
      <c r="AB210" s="33">
        <f>ROUND(H210-R210,2)</f>
      </c>
      <c r="AC210" s="33">
        <f>ROUND(I210-S210,2)</f>
      </c>
      <c r="AD210" s="33">
        <f>ROUND(J210-T210,2)</f>
      </c>
      <c r="AE210" s="33">
        <f>ROUND(K210-U210,2)</f>
      </c>
      <c r="AF210" s="33">
        <f>IF(V210&lt;=0,0,MAX(0,MIN(V210,ROUND($AZ210-SUMPRODUCT($V210:$AE210*($V210:$AE210&gt;0)*(($V210:$AE210&lt;V210)+($V210:$AE210=V210)*($V$3:$AE$3&gt;V$3)+($V210:$AE210=V210)*($V$3:$AE$3=V$3)*($V$2:$AE$2&lt;V$2))),2))))</f>
      </c>
      <c r="AG210" s="33">
        <f>IF(W210&lt;=0,0,MAX(0,MIN(W210,ROUND($AZ210-SUMPRODUCT($V210:$AE210*($V210:$AE210&gt;0)*(($V210:$AE210&lt;W210)+($V210:$AE210=W210)*($V$3:$AE$3&gt;W$3)+($V210:$AE210=W210)*($V$3:$AE$3=W$3)*($V$2:$AE$2&lt;W$2))),2))))</f>
      </c>
      <c r="AH210" s="33">
        <f>IF(X210&lt;=0,0,MAX(0,MIN(X210,ROUND($AZ210-SUMPRODUCT($V210:$AE210*($V210:$AE210&gt;0)*(($V210:$AE210&lt;X210)+($V210:$AE210=X210)*($V$3:$AE$3&gt;X$3)+($V210:$AE210=X210)*($V$3:$AE$3=X$3)*($V$2:$AE$2&lt;X$2))),2))))</f>
      </c>
      <c r="AI210" s="33">
        <f>IF(Y210&lt;=0,0,MAX(0,MIN(Y210,ROUND($AZ210-SUMPRODUCT($V210:$AE210*($V210:$AE210&gt;0)*(($V210:$AE210&lt;Y210)+($V210:$AE210=Y210)*($V$3:$AE$3&gt;Y$3)+($V210:$AE210=Y210)*($V$3:$AE$3=Y$3)*($V$2:$AE$2&lt;Y$2))),2))))</f>
      </c>
      <c r="AJ210" s="33">
        <f>IF(Z210&lt;=0,0,MAX(0,MIN(Z210,ROUND($AZ210-SUMPRODUCT($V210:$AE210*($V210:$AE210&gt;0)*(($V210:$AE210&lt;Z210)+($V210:$AE210=Z210)*($V$3:$AE$3&gt;Z$3)+($V210:$AE210=Z210)*($V$3:$AE$3=Z$3)*($V$2:$AE$2&lt;Z$2))),2))))</f>
      </c>
      <c r="AK210" s="33">
        <f>IF(AA210&lt;=0,0,MAX(0,MIN(AA210,ROUND($AZ210-SUMPRODUCT($V210:$AE210*($V210:$AE210&gt;0)*(($V210:$AE210&lt;AA210)+($V210:$AE210=AA210)*($V$3:$AE$3&gt;AA$3)+($V210:$AE210=AA210)*($V$3:$AE$3=AA$3)*($V$2:$AE$2&lt;AA$2))),2))))</f>
      </c>
      <c r="AL210" s="33">
        <f>IF(AB210&lt;=0,0,MAX(0,MIN(AB210,ROUND($AZ210-SUMPRODUCT($V210:$AE210*($V210:$AE210&gt;0)*(($V210:$AE210&lt;AB210)+($V210:$AE210=AB210)*($V$3:$AE$3&gt;AB$3)+($V210:$AE210=AB210)*($V$3:$AE$3=AB$3)*($V$2:$AE$2&lt;AB$2))),2))))</f>
      </c>
      <c r="AM210" s="33">
        <f>IF(AC210&lt;=0,0,MAX(0,MIN(AC210,ROUND($AZ210-SUMPRODUCT($V210:$AE210*($V210:$AE210&gt;0)*(($V210:$AE210&lt;AC210)+($V210:$AE210=AC210)*($V$3:$AE$3&gt;AC$3)+($V210:$AE210=AC210)*($V$3:$AE$3=AC$3)*($V$2:$AE$2&lt;AC$2))),2))))</f>
      </c>
      <c r="AN210" s="33">
        <f>IF(AD210&lt;=0,0,MAX(0,MIN(AD210,ROUND($AZ210-SUMPRODUCT($V210:$AE210*($V210:$AE210&gt;0)*(($V210:$AE210&lt;AD210)+($V210:$AE210=AD210)*($V$3:$AE$3&gt;AD$3)+($V210:$AE210=AD210)*($V$3:$AE$3=AD$3)*($V$2:$AE$2&lt;AD$2))),2))))</f>
      </c>
      <c r="AO210" s="33">
        <f>IF(AE210&lt;=0,0,MAX(0,MIN(AE210,ROUND($AZ210-SUMPRODUCT($V210:$AE210*($V210:$AE210&gt;0)*(($V210:$AE210&lt;AE210)+($V210:$AE210=AE210)*($V$3:$AE$3&gt;AE$3)+($V210:$AE210=AE210)*($V$3:$AE$3=AE$3)*($V$2:$AE$2&lt;AE$2))),2))))</f>
      </c>
      <c r="AP210" s="33">
        <f>ROUND(V210-AF210,2)</f>
      </c>
      <c r="AQ210" s="33">
        <f>ROUND(W210-AG210,2)</f>
      </c>
      <c r="AR210" s="33">
        <f>ROUND(X210-AH210,2)</f>
      </c>
      <c r="AS210" s="33">
        <f>ROUND(Y210-AI210,2)</f>
      </c>
      <c r="AT210" s="33">
        <f>ROUND(Z210-AJ210,2)</f>
      </c>
      <c r="AU210" s="33">
        <f>ROUND(AA210-AK210,2)</f>
      </c>
      <c r="AV210" s="33">
        <f>ROUND(AB210-AL210,2)</f>
      </c>
      <c r="AW210" s="33">
        <f>ROUND(AC210-AM210,2)</f>
      </c>
      <c r="AX210" s="33">
        <f>ROUND(AD210-AN210,2)</f>
      </c>
      <c r="AY210" s="33">
        <f>ROUND(AE210-AO210,2)</f>
      </c>
      <c r="AZ210" s="33">
        <f>ROUND(MAX(0,'Your debts'!$D$22-SUM($L210:$U210)),2)</f>
      </c>
      <c r="BA210" s="33">
        <f>ROUND(SUM($B210:$K210)-SUM($AP209:$AY209),2)</f>
      </c>
      <c r="BB210" s="33">
        <f>SUM($AP210:$AY210)</f>
      </c>
      <c r="BC210" s="33">
        <f>ROUND(SUM($L210:$U210)+SUM($AF210:$AO210),2)</f>
      </c>
    </row>
    <row r="211" spans="1:55" x14ac:dyDescent="0.25">
      <c r="A211">
        <v>204</v>
      </c>
      <c r="B211" s="33">
        <f>IF(AP210&lt;=0,0,ROUND(AP210+ROUND(AP210*V$3/12,2),2))</f>
      </c>
      <c r="C211" s="33">
        <f>IF(AQ210&lt;=0,0,ROUND(AQ210+ROUND(AQ210*W$3/12,2),2))</f>
      </c>
      <c r="D211" s="33">
        <f>IF(AR210&lt;=0,0,ROUND(AR210+ROUND(AR210*X$3/12,2),2))</f>
      </c>
      <c r="E211" s="33">
        <f>IF(AS210&lt;=0,0,ROUND(AS210+ROUND(AS210*Y$3/12,2),2))</f>
      </c>
      <c r="F211" s="33">
        <f>IF(AT210&lt;=0,0,ROUND(AT210+ROUND(AT210*Z$3/12,2),2))</f>
      </c>
      <c r="G211" s="33">
        <f>IF(AU210&lt;=0,0,ROUND(AU210+ROUND(AU210*AA$3/12,2),2))</f>
      </c>
      <c r="H211" s="33">
        <f>IF(AV210&lt;=0,0,ROUND(AV210+ROUND(AV210*AB$3/12,2),2))</f>
      </c>
      <c r="I211" s="33">
        <f>IF(AW210&lt;=0,0,ROUND(AW210+ROUND(AW210*AC$3/12,2),2))</f>
      </c>
      <c r="J211" s="33">
        <f>IF(AX210&lt;=0,0,ROUND(AX210+ROUND(AX210*AD$3/12,2),2))</f>
      </c>
      <c r="K211" s="33">
        <f>IF(AY210&lt;=0,0,ROUND(AY210+ROUND(AY210*AE$3/12,2),2))</f>
      </c>
      <c r="L211" s="33">
        <f>ROUND(MIN(MAX(0,N('Your debts'!$E$6)),B211),2)</f>
      </c>
      <c r="M211" s="33">
        <f>ROUND(MIN(MAX(0,N('Your debts'!$E$7)),C211),2)</f>
      </c>
      <c r="N211" s="33">
        <f>ROUND(MIN(MAX(0,N('Your debts'!$E$8)),D211),2)</f>
      </c>
      <c r="O211" s="33">
        <f>ROUND(MIN(MAX(0,N('Your debts'!$E$9)),E211),2)</f>
      </c>
      <c r="P211" s="33">
        <f>ROUND(MIN(MAX(0,N('Your debts'!$E$10)),F211),2)</f>
      </c>
      <c r="Q211" s="33">
        <f>ROUND(MIN(MAX(0,N('Your debts'!$E$11)),G211),2)</f>
      </c>
      <c r="R211" s="33">
        <f>ROUND(MIN(MAX(0,N('Your debts'!$E$12)),H211),2)</f>
      </c>
      <c r="S211" s="33">
        <f>ROUND(MIN(MAX(0,N('Your debts'!$E$13)),I211),2)</f>
      </c>
      <c r="T211" s="33">
        <f>ROUND(MIN(MAX(0,N('Your debts'!$E$14)),J211),2)</f>
      </c>
      <c r="U211" s="33">
        <f>ROUND(MIN(MAX(0,N('Your debts'!$E$15)),K211),2)</f>
      </c>
      <c r="V211" s="33">
        <f>ROUND(B211-L211,2)</f>
      </c>
      <c r="W211" s="33">
        <f>ROUND(C211-M211,2)</f>
      </c>
      <c r="X211" s="33">
        <f>ROUND(D211-N211,2)</f>
      </c>
      <c r="Y211" s="33">
        <f>ROUND(E211-O211,2)</f>
      </c>
      <c r="Z211" s="33">
        <f>ROUND(F211-P211,2)</f>
      </c>
      <c r="AA211" s="33">
        <f>ROUND(G211-Q211,2)</f>
      </c>
      <c r="AB211" s="33">
        <f>ROUND(H211-R211,2)</f>
      </c>
      <c r="AC211" s="33">
        <f>ROUND(I211-S211,2)</f>
      </c>
      <c r="AD211" s="33">
        <f>ROUND(J211-T211,2)</f>
      </c>
      <c r="AE211" s="33">
        <f>ROUND(K211-U211,2)</f>
      </c>
      <c r="AF211" s="33">
        <f>IF(V211&lt;=0,0,MAX(0,MIN(V211,ROUND($AZ211-SUMPRODUCT($V211:$AE211*($V211:$AE211&gt;0)*(($V211:$AE211&lt;V211)+($V211:$AE211=V211)*($V$3:$AE$3&gt;V$3)+($V211:$AE211=V211)*($V$3:$AE$3=V$3)*($V$2:$AE$2&lt;V$2))),2))))</f>
      </c>
      <c r="AG211" s="33">
        <f>IF(W211&lt;=0,0,MAX(0,MIN(W211,ROUND($AZ211-SUMPRODUCT($V211:$AE211*($V211:$AE211&gt;0)*(($V211:$AE211&lt;W211)+($V211:$AE211=W211)*($V$3:$AE$3&gt;W$3)+($V211:$AE211=W211)*($V$3:$AE$3=W$3)*($V$2:$AE$2&lt;W$2))),2))))</f>
      </c>
      <c r="AH211" s="33">
        <f>IF(X211&lt;=0,0,MAX(0,MIN(X211,ROUND($AZ211-SUMPRODUCT($V211:$AE211*($V211:$AE211&gt;0)*(($V211:$AE211&lt;X211)+($V211:$AE211=X211)*($V$3:$AE$3&gt;X$3)+($V211:$AE211=X211)*($V$3:$AE$3=X$3)*($V$2:$AE$2&lt;X$2))),2))))</f>
      </c>
      <c r="AI211" s="33">
        <f>IF(Y211&lt;=0,0,MAX(0,MIN(Y211,ROUND($AZ211-SUMPRODUCT($V211:$AE211*($V211:$AE211&gt;0)*(($V211:$AE211&lt;Y211)+($V211:$AE211=Y211)*($V$3:$AE$3&gt;Y$3)+($V211:$AE211=Y211)*($V$3:$AE$3=Y$3)*($V$2:$AE$2&lt;Y$2))),2))))</f>
      </c>
      <c r="AJ211" s="33">
        <f>IF(Z211&lt;=0,0,MAX(0,MIN(Z211,ROUND($AZ211-SUMPRODUCT($V211:$AE211*($V211:$AE211&gt;0)*(($V211:$AE211&lt;Z211)+($V211:$AE211=Z211)*($V$3:$AE$3&gt;Z$3)+($V211:$AE211=Z211)*($V$3:$AE$3=Z$3)*($V$2:$AE$2&lt;Z$2))),2))))</f>
      </c>
      <c r="AK211" s="33">
        <f>IF(AA211&lt;=0,0,MAX(0,MIN(AA211,ROUND($AZ211-SUMPRODUCT($V211:$AE211*($V211:$AE211&gt;0)*(($V211:$AE211&lt;AA211)+($V211:$AE211=AA211)*($V$3:$AE$3&gt;AA$3)+($V211:$AE211=AA211)*($V$3:$AE$3=AA$3)*($V$2:$AE$2&lt;AA$2))),2))))</f>
      </c>
      <c r="AL211" s="33">
        <f>IF(AB211&lt;=0,0,MAX(0,MIN(AB211,ROUND($AZ211-SUMPRODUCT($V211:$AE211*($V211:$AE211&gt;0)*(($V211:$AE211&lt;AB211)+($V211:$AE211=AB211)*($V$3:$AE$3&gt;AB$3)+($V211:$AE211=AB211)*($V$3:$AE$3=AB$3)*($V$2:$AE$2&lt;AB$2))),2))))</f>
      </c>
      <c r="AM211" s="33">
        <f>IF(AC211&lt;=0,0,MAX(0,MIN(AC211,ROUND($AZ211-SUMPRODUCT($V211:$AE211*($V211:$AE211&gt;0)*(($V211:$AE211&lt;AC211)+($V211:$AE211=AC211)*($V$3:$AE$3&gt;AC$3)+($V211:$AE211=AC211)*($V$3:$AE$3=AC$3)*($V$2:$AE$2&lt;AC$2))),2))))</f>
      </c>
      <c r="AN211" s="33">
        <f>IF(AD211&lt;=0,0,MAX(0,MIN(AD211,ROUND($AZ211-SUMPRODUCT($V211:$AE211*($V211:$AE211&gt;0)*(($V211:$AE211&lt;AD211)+($V211:$AE211=AD211)*($V$3:$AE$3&gt;AD$3)+($V211:$AE211=AD211)*($V$3:$AE$3=AD$3)*($V$2:$AE$2&lt;AD$2))),2))))</f>
      </c>
      <c r="AO211" s="33">
        <f>IF(AE211&lt;=0,0,MAX(0,MIN(AE211,ROUND($AZ211-SUMPRODUCT($V211:$AE211*($V211:$AE211&gt;0)*(($V211:$AE211&lt;AE211)+($V211:$AE211=AE211)*($V$3:$AE$3&gt;AE$3)+($V211:$AE211=AE211)*($V$3:$AE$3=AE$3)*($V$2:$AE$2&lt;AE$2))),2))))</f>
      </c>
      <c r="AP211" s="33">
        <f>ROUND(V211-AF211,2)</f>
      </c>
      <c r="AQ211" s="33">
        <f>ROUND(W211-AG211,2)</f>
      </c>
      <c r="AR211" s="33">
        <f>ROUND(X211-AH211,2)</f>
      </c>
      <c r="AS211" s="33">
        <f>ROUND(Y211-AI211,2)</f>
      </c>
      <c r="AT211" s="33">
        <f>ROUND(Z211-AJ211,2)</f>
      </c>
      <c r="AU211" s="33">
        <f>ROUND(AA211-AK211,2)</f>
      </c>
      <c r="AV211" s="33">
        <f>ROUND(AB211-AL211,2)</f>
      </c>
      <c r="AW211" s="33">
        <f>ROUND(AC211-AM211,2)</f>
      </c>
      <c r="AX211" s="33">
        <f>ROUND(AD211-AN211,2)</f>
      </c>
      <c r="AY211" s="33">
        <f>ROUND(AE211-AO211,2)</f>
      </c>
      <c r="AZ211" s="33">
        <f>ROUND(MAX(0,'Your debts'!$D$22-SUM($L211:$U211)),2)</f>
      </c>
      <c r="BA211" s="33">
        <f>ROUND(SUM($B211:$K211)-SUM($AP210:$AY210),2)</f>
      </c>
      <c r="BB211" s="33">
        <f>SUM($AP211:$AY211)</f>
      </c>
      <c r="BC211" s="33">
        <f>ROUND(SUM($L211:$U211)+SUM($AF211:$AO211),2)</f>
      </c>
    </row>
    <row r="212" spans="1:55" x14ac:dyDescent="0.25">
      <c r="A212">
        <v>205</v>
      </c>
      <c r="B212" s="33">
        <f>IF(AP211&lt;=0,0,ROUND(AP211+ROUND(AP211*V$3/12,2),2))</f>
      </c>
      <c r="C212" s="33">
        <f>IF(AQ211&lt;=0,0,ROUND(AQ211+ROUND(AQ211*W$3/12,2),2))</f>
      </c>
      <c r="D212" s="33">
        <f>IF(AR211&lt;=0,0,ROUND(AR211+ROUND(AR211*X$3/12,2),2))</f>
      </c>
      <c r="E212" s="33">
        <f>IF(AS211&lt;=0,0,ROUND(AS211+ROUND(AS211*Y$3/12,2),2))</f>
      </c>
      <c r="F212" s="33">
        <f>IF(AT211&lt;=0,0,ROUND(AT211+ROUND(AT211*Z$3/12,2),2))</f>
      </c>
      <c r="G212" s="33">
        <f>IF(AU211&lt;=0,0,ROUND(AU211+ROUND(AU211*AA$3/12,2),2))</f>
      </c>
      <c r="H212" s="33">
        <f>IF(AV211&lt;=0,0,ROUND(AV211+ROUND(AV211*AB$3/12,2),2))</f>
      </c>
      <c r="I212" s="33">
        <f>IF(AW211&lt;=0,0,ROUND(AW211+ROUND(AW211*AC$3/12,2),2))</f>
      </c>
      <c r="J212" s="33">
        <f>IF(AX211&lt;=0,0,ROUND(AX211+ROUND(AX211*AD$3/12,2),2))</f>
      </c>
      <c r="K212" s="33">
        <f>IF(AY211&lt;=0,0,ROUND(AY211+ROUND(AY211*AE$3/12,2),2))</f>
      </c>
      <c r="L212" s="33">
        <f>ROUND(MIN(MAX(0,N('Your debts'!$E$6)),B212),2)</f>
      </c>
      <c r="M212" s="33">
        <f>ROUND(MIN(MAX(0,N('Your debts'!$E$7)),C212),2)</f>
      </c>
      <c r="N212" s="33">
        <f>ROUND(MIN(MAX(0,N('Your debts'!$E$8)),D212),2)</f>
      </c>
      <c r="O212" s="33">
        <f>ROUND(MIN(MAX(0,N('Your debts'!$E$9)),E212),2)</f>
      </c>
      <c r="P212" s="33">
        <f>ROUND(MIN(MAX(0,N('Your debts'!$E$10)),F212),2)</f>
      </c>
      <c r="Q212" s="33">
        <f>ROUND(MIN(MAX(0,N('Your debts'!$E$11)),G212),2)</f>
      </c>
      <c r="R212" s="33">
        <f>ROUND(MIN(MAX(0,N('Your debts'!$E$12)),H212),2)</f>
      </c>
      <c r="S212" s="33">
        <f>ROUND(MIN(MAX(0,N('Your debts'!$E$13)),I212),2)</f>
      </c>
      <c r="T212" s="33">
        <f>ROUND(MIN(MAX(0,N('Your debts'!$E$14)),J212),2)</f>
      </c>
      <c r="U212" s="33">
        <f>ROUND(MIN(MAX(0,N('Your debts'!$E$15)),K212),2)</f>
      </c>
      <c r="V212" s="33">
        <f>ROUND(B212-L212,2)</f>
      </c>
      <c r="W212" s="33">
        <f>ROUND(C212-M212,2)</f>
      </c>
      <c r="X212" s="33">
        <f>ROUND(D212-N212,2)</f>
      </c>
      <c r="Y212" s="33">
        <f>ROUND(E212-O212,2)</f>
      </c>
      <c r="Z212" s="33">
        <f>ROUND(F212-P212,2)</f>
      </c>
      <c r="AA212" s="33">
        <f>ROUND(G212-Q212,2)</f>
      </c>
      <c r="AB212" s="33">
        <f>ROUND(H212-R212,2)</f>
      </c>
      <c r="AC212" s="33">
        <f>ROUND(I212-S212,2)</f>
      </c>
      <c r="AD212" s="33">
        <f>ROUND(J212-T212,2)</f>
      </c>
      <c r="AE212" s="33">
        <f>ROUND(K212-U212,2)</f>
      </c>
      <c r="AF212" s="33">
        <f>IF(V212&lt;=0,0,MAX(0,MIN(V212,ROUND($AZ212-SUMPRODUCT($V212:$AE212*($V212:$AE212&gt;0)*(($V212:$AE212&lt;V212)+($V212:$AE212=V212)*($V$3:$AE$3&gt;V$3)+($V212:$AE212=V212)*($V$3:$AE$3=V$3)*($V$2:$AE$2&lt;V$2))),2))))</f>
      </c>
      <c r="AG212" s="33">
        <f>IF(W212&lt;=0,0,MAX(0,MIN(W212,ROUND($AZ212-SUMPRODUCT($V212:$AE212*($V212:$AE212&gt;0)*(($V212:$AE212&lt;W212)+($V212:$AE212=W212)*($V$3:$AE$3&gt;W$3)+($V212:$AE212=W212)*($V$3:$AE$3=W$3)*($V$2:$AE$2&lt;W$2))),2))))</f>
      </c>
      <c r="AH212" s="33">
        <f>IF(X212&lt;=0,0,MAX(0,MIN(X212,ROUND($AZ212-SUMPRODUCT($V212:$AE212*($V212:$AE212&gt;0)*(($V212:$AE212&lt;X212)+($V212:$AE212=X212)*($V$3:$AE$3&gt;X$3)+($V212:$AE212=X212)*($V$3:$AE$3=X$3)*($V$2:$AE$2&lt;X$2))),2))))</f>
      </c>
      <c r="AI212" s="33">
        <f>IF(Y212&lt;=0,0,MAX(0,MIN(Y212,ROUND($AZ212-SUMPRODUCT($V212:$AE212*($V212:$AE212&gt;0)*(($V212:$AE212&lt;Y212)+($V212:$AE212=Y212)*($V$3:$AE$3&gt;Y$3)+($V212:$AE212=Y212)*($V$3:$AE$3=Y$3)*($V$2:$AE$2&lt;Y$2))),2))))</f>
      </c>
      <c r="AJ212" s="33">
        <f>IF(Z212&lt;=0,0,MAX(0,MIN(Z212,ROUND($AZ212-SUMPRODUCT($V212:$AE212*($V212:$AE212&gt;0)*(($V212:$AE212&lt;Z212)+($V212:$AE212=Z212)*($V$3:$AE$3&gt;Z$3)+($V212:$AE212=Z212)*($V$3:$AE$3=Z$3)*($V$2:$AE$2&lt;Z$2))),2))))</f>
      </c>
      <c r="AK212" s="33">
        <f>IF(AA212&lt;=0,0,MAX(0,MIN(AA212,ROUND($AZ212-SUMPRODUCT($V212:$AE212*($V212:$AE212&gt;0)*(($V212:$AE212&lt;AA212)+($V212:$AE212=AA212)*($V$3:$AE$3&gt;AA$3)+($V212:$AE212=AA212)*($V$3:$AE$3=AA$3)*($V$2:$AE$2&lt;AA$2))),2))))</f>
      </c>
      <c r="AL212" s="33">
        <f>IF(AB212&lt;=0,0,MAX(0,MIN(AB212,ROUND($AZ212-SUMPRODUCT($V212:$AE212*($V212:$AE212&gt;0)*(($V212:$AE212&lt;AB212)+($V212:$AE212=AB212)*($V$3:$AE$3&gt;AB$3)+($V212:$AE212=AB212)*($V$3:$AE$3=AB$3)*($V$2:$AE$2&lt;AB$2))),2))))</f>
      </c>
      <c r="AM212" s="33">
        <f>IF(AC212&lt;=0,0,MAX(0,MIN(AC212,ROUND($AZ212-SUMPRODUCT($V212:$AE212*($V212:$AE212&gt;0)*(($V212:$AE212&lt;AC212)+($V212:$AE212=AC212)*($V$3:$AE$3&gt;AC$3)+($V212:$AE212=AC212)*($V$3:$AE$3=AC$3)*($V$2:$AE$2&lt;AC$2))),2))))</f>
      </c>
      <c r="AN212" s="33">
        <f>IF(AD212&lt;=0,0,MAX(0,MIN(AD212,ROUND($AZ212-SUMPRODUCT($V212:$AE212*($V212:$AE212&gt;0)*(($V212:$AE212&lt;AD212)+($V212:$AE212=AD212)*($V$3:$AE$3&gt;AD$3)+($V212:$AE212=AD212)*($V$3:$AE$3=AD$3)*($V$2:$AE$2&lt;AD$2))),2))))</f>
      </c>
      <c r="AO212" s="33">
        <f>IF(AE212&lt;=0,0,MAX(0,MIN(AE212,ROUND($AZ212-SUMPRODUCT($V212:$AE212*($V212:$AE212&gt;0)*(($V212:$AE212&lt;AE212)+($V212:$AE212=AE212)*($V$3:$AE$3&gt;AE$3)+($V212:$AE212=AE212)*($V$3:$AE$3=AE$3)*($V$2:$AE$2&lt;AE$2))),2))))</f>
      </c>
      <c r="AP212" s="33">
        <f>ROUND(V212-AF212,2)</f>
      </c>
      <c r="AQ212" s="33">
        <f>ROUND(W212-AG212,2)</f>
      </c>
      <c r="AR212" s="33">
        <f>ROUND(X212-AH212,2)</f>
      </c>
      <c r="AS212" s="33">
        <f>ROUND(Y212-AI212,2)</f>
      </c>
      <c r="AT212" s="33">
        <f>ROUND(Z212-AJ212,2)</f>
      </c>
      <c r="AU212" s="33">
        <f>ROUND(AA212-AK212,2)</f>
      </c>
      <c r="AV212" s="33">
        <f>ROUND(AB212-AL212,2)</f>
      </c>
      <c r="AW212" s="33">
        <f>ROUND(AC212-AM212,2)</f>
      </c>
      <c r="AX212" s="33">
        <f>ROUND(AD212-AN212,2)</f>
      </c>
      <c r="AY212" s="33">
        <f>ROUND(AE212-AO212,2)</f>
      </c>
      <c r="AZ212" s="33">
        <f>ROUND(MAX(0,'Your debts'!$D$22-SUM($L212:$U212)),2)</f>
      </c>
      <c r="BA212" s="33">
        <f>ROUND(SUM($B212:$K212)-SUM($AP211:$AY211),2)</f>
      </c>
      <c r="BB212" s="33">
        <f>SUM($AP212:$AY212)</f>
      </c>
      <c r="BC212" s="33">
        <f>ROUND(SUM($L212:$U212)+SUM($AF212:$AO212),2)</f>
      </c>
    </row>
    <row r="213" spans="1:55" x14ac:dyDescent="0.25">
      <c r="A213">
        <v>206</v>
      </c>
      <c r="B213" s="33">
        <f>IF(AP212&lt;=0,0,ROUND(AP212+ROUND(AP212*V$3/12,2),2))</f>
      </c>
      <c r="C213" s="33">
        <f>IF(AQ212&lt;=0,0,ROUND(AQ212+ROUND(AQ212*W$3/12,2),2))</f>
      </c>
      <c r="D213" s="33">
        <f>IF(AR212&lt;=0,0,ROUND(AR212+ROUND(AR212*X$3/12,2),2))</f>
      </c>
      <c r="E213" s="33">
        <f>IF(AS212&lt;=0,0,ROUND(AS212+ROUND(AS212*Y$3/12,2),2))</f>
      </c>
      <c r="F213" s="33">
        <f>IF(AT212&lt;=0,0,ROUND(AT212+ROUND(AT212*Z$3/12,2),2))</f>
      </c>
      <c r="G213" s="33">
        <f>IF(AU212&lt;=0,0,ROUND(AU212+ROUND(AU212*AA$3/12,2),2))</f>
      </c>
      <c r="H213" s="33">
        <f>IF(AV212&lt;=0,0,ROUND(AV212+ROUND(AV212*AB$3/12,2),2))</f>
      </c>
      <c r="I213" s="33">
        <f>IF(AW212&lt;=0,0,ROUND(AW212+ROUND(AW212*AC$3/12,2),2))</f>
      </c>
      <c r="J213" s="33">
        <f>IF(AX212&lt;=0,0,ROUND(AX212+ROUND(AX212*AD$3/12,2),2))</f>
      </c>
      <c r="K213" s="33">
        <f>IF(AY212&lt;=0,0,ROUND(AY212+ROUND(AY212*AE$3/12,2),2))</f>
      </c>
      <c r="L213" s="33">
        <f>ROUND(MIN(MAX(0,N('Your debts'!$E$6)),B213),2)</f>
      </c>
      <c r="M213" s="33">
        <f>ROUND(MIN(MAX(0,N('Your debts'!$E$7)),C213),2)</f>
      </c>
      <c r="N213" s="33">
        <f>ROUND(MIN(MAX(0,N('Your debts'!$E$8)),D213),2)</f>
      </c>
      <c r="O213" s="33">
        <f>ROUND(MIN(MAX(0,N('Your debts'!$E$9)),E213),2)</f>
      </c>
      <c r="P213" s="33">
        <f>ROUND(MIN(MAX(0,N('Your debts'!$E$10)),F213),2)</f>
      </c>
      <c r="Q213" s="33">
        <f>ROUND(MIN(MAX(0,N('Your debts'!$E$11)),G213),2)</f>
      </c>
      <c r="R213" s="33">
        <f>ROUND(MIN(MAX(0,N('Your debts'!$E$12)),H213),2)</f>
      </c>
      <c r="S213" s="33">
        <f>ROUND(MIN(MAX(0,N('Your debts'!$E$13)),I213),2)</f>
      </c>
      <c r="T213" s="33">
        <f>ROUND(MIN(MAX(0,N('Your debts'!$E$14)),J213),2)</f>
      </c>
      <c r="U213" s="33">
        <f>ROUND(MIN(MAX(0,N('Your debts'!$E$15)),K213),2)</f>
      </c>
      <c r="V213" s="33">
        <f>ROUND(B213-L213,2)</f>
      </c>
      <c r="W213" s="33">
        <f>ROUND(C213-M213,2)</f>
      </c>
      <c r="X213" s="33">
        <f>ROUND(D213-N213,2)</f>
      </c>
      <c r="Y213" s="33">
        <f>ROUND(E213-O213,2)</f>
      </c>
      <c r="Z213" s="33">
        <f>ROUND(F213-P213,2)</f>
      </c>
      <c r="AA213" s="33">
        <f>ROUND(G213-Q213,2)</f>
      </c>
      <c r="AB213" s="33">
        <f>ROUND(H213-R213,2)</f>
      </c>
      <c r="AC213" s="33">
        <f>ROUND(I213-S213,2)</f>
      </c>
      <c r="AD213" s="33">
        <f>ROUND(J213-T213,2)</f>
      </c>
      <c r="AE213" s="33">
        <f>ROUND(K213-U213,2)</f>
      </c>
      <c r="AF213" s="33">
        <f>IF(V213&lt;=0,0,MAX(0,MIN(V213,ROUND($AZ213-SUMPRODUCT($V213:$AE213*($V213:$AE213&gt;0)*(($V213:$AE213&lt;V213)+($V213:$AE213=V213)*($V$3:$AE$3&gt;V$3)+($V213:$AE213=V213)*($V$3:$AE$3=V$3)*($V$2:$AE$2&lt;V$2))),2))))</f>
      </c>
      <c r="AG213" s="33">
        <f>IF(W213&lt;=0,0,MAX(0,MIN(W213,ROUND($AZ213-SUMPRODUCT($V213:$AE213*($V213:$AE213&gt;0)*(($V213:$AE213&lt;W213)+($V213:$AE213=W213)*($V$3:$AE$3&gt;W$3)+($V213:$AE213=W213)*($V$3:$AE$3=W$3)*($V$2:$AE$2&lt;W$2))),2))))</f>
      </c>
      <c r="AH213" s="33">
        <f>IF(X213&lt;=0,0,MAX(0,MIN(X213,ROUND($AZ213-SUMPRODUCT($V213:$AE213*($V213:$AE213&gt;0)*(($V213:$AE213&lt;X213)+($V213:$AE213=X213)*($V$3:$AE$3&gt;X$3)+($V213:$AE213=X213)*($V$3:$AE$3=X$3)*($V$2:$AE$2&lt;X$2))),2))))</f>
      </c>
      <c r="AI213" s="33">
        <f>IF(Y213&lt;=0,0,MAX(0,MIN(Y213,ROUND($AZ213-SUMPRODUCT($V213:$AE213*($V213:$AE213&gt;0)*(($V213:$AE213&lt;Y213)+($V213:$AE213=Y213)*($V$3:$AE$3&gt;Y$3)+($V213:$AE213=Y213)*($V$3:$AE$3=Y$3)*($V$2:$AE$2&lt;Y$2))),2))))</f>
      </c>
      <c r="AJ213" s="33">
        <f>IF(Z213&lt;=0,0,MAX(0,MIN(Z213,ROUND($AZ213-SUMPRODUCT($V213:$AE213*($V213:$AE213&gt;0)*(($V213:$AE213&lt;Z213)+($V213:$AE213=Z213)*($V$3:$AE$3&gt;Z$3)+($V213:$AE213=Z213)*($V$3:$AE$3=Z$3)*($V$2:$AE$2&lt;Z$2))),2))))</f>
      </c>
      <c r="AK213" s="33">
        <f>IF(AA213&lt;=0,0,MAX(0,MIN(AA213,ROUND($AZ213-SUMPRODUCT($V213:$AE213*($V213:$AE213&gt;0)*(($V213:$AE213&lt;AA213)+($V213:$AE213=AA213)*($V$3:$AE$3&gt;AA$3)+($V213:$AE213=AA213)*($V$3:$AE$3=AA$3)*($V$2:$AE$2&lt;AA$2))),2))))</f>
      </c>
      <c r="AL213" s="33">
        <f>IF(AB213&lt;=0,0,MAX(0,MIN(AB213,ROUND($AZ213-SUMPRODUCT($V213:$AE213*($V213:$AE213&gt;0)*(($V213:$AE213&lt;AB213)+($V213:$AE213=AB213)*($V$3:$AE$3&gt;AB$3)+($V213:$AE213=AB213)*($V$3:$AE$3=AB$3)*($V$2:$AE$2&lt;AB$2))),2))))</f>
      </c>
      <c r="AM213" s="33">
        <f>IF(AC213&lt;=0,0,MAX(0,MIN(AC213,ROUND($AZ213-SUMPRODUCT($V213:$AE213*($V213:$AE213&gt;0)*(($V213:$AE213&lt;AC213)+($V213:$AE213=AC213)*($V$3:$AE$3&gt;AC$3)+($V213:$AE213=AC213)*($V$3:$AE$3=AC$3)*($V$2:$AE$2&lt;AC$2))),2))))</f>
      </c>
      <c r="AN213" s="33">
        <f>IF(AD213&lt;=0,0,MAX(0,MIN(AD213,ROUND($AZ213-SUMPRODUCT($V213:$AE213*($V213:$AE213&gt;0)*(($V213:$AE213&lt;AD213)+($V213:$AE213=AD213)*($V$3:$AE$3&gt;AD$3)+($V213:$AE213=AD213)*($V$3:$AE$3=AD$3)*($V$2:$AE$2&lt;AD$2))),2))))</f>
      </c>
      <c r="AO213" s="33">
        <f>IF(AE213&lt;=0,0,MAX(0,MIN(AE213,ROUND($AZ213-SUMPRODUCT($V213:$AE213*($V213:$AE213&gt;0)*(($V213:$AE213&lt;AE213)+($V213:$AE213=AE213)*($V$3:$AE$3&gt;AE$3)+($V213:$AE213=AE213)*($V$3:$AE$3=AE$3)*($V$2:$AE$2&lt;AE$2))),2))))</f>
      </c>
      <c r="AP213" s="33">
        <f>ROUND(V213-AF213,2)</f>
      </c>
      <c r="AQ213" s="33">
        <f>ROUND(W213-AG213,2)</f>
      </c>
      <c r="AR213" s="33">
        <f>ROUND(X213-AH213,2)</f>
      </c>
      <c r="AS213" s="33">
        <f>ROUND(Y213-AI213,2)</f>
      </c>
      <c r="AT213" s="33">
        <f>ROUND(Z213-AJ213,2)</f>
      </c>
      <c r="AU213" s="33">
        <f>ROUND(AA213-AK213,2)</f>
      </c>
      <c r="AV213" s="33">
        <f>ROUND(AB213-AL213,2)</f>
      </c>
      <c r="AW213" s="33">
        <f>ROUND(AC213-AM213,2)</f>
      </c>
      <c r="AX213" s="33">
        <f>ROUND(AD213-AN213,2)</f>
      </c>
      <c r="AY213" s="33">
        <f>ROUND(AE213-AO213,2)</f>
      </c>
      <c r="AZ213" s="33">
        <f>ROUND(MAX(0,'Your debts'!$D$22-SUM($L213:$U213)),2)</f>
      </c>
      <c r="BA213" s="33">
        <f>ROUND(SUM($B213:$K213)-SUM($AP212:$AY212),2)</f>
      </c>
      <c r="BB213" s="33">
        <f>SUM($AP213:$AY213)</f>
      </c>
      <c r="BC213" s="33">
        <f>ROUND(SUM($L213:$U213)+SUM($AF213:$AO213),2)</f>
      </c>
    </row>
    <row r="214" spans="1:55" x14ac:dyDescent="0.25">
      <c r="A214">
        <v>207</v>
      </c>
      <c r="B214" s="33">
        <f>IF(AP213&lt;=0,0,ROUND(AP213+ROUND(AP213*V$3/12,2),2))</f>
      </c>
      <c r="C214" s="33">
        <f>IF(AQ213&lt;=0,0,ROUND(AQ213+ROUND(AQ213*W$3/12,2),2))</f>
      </c>
      <c r="D214" s="33">
        <f>IF(AR213&lt;=0,0,ROUND(AR213+ROUND(AR213*X$3/12,2),2))</f>
      </c>
      <c r="E214" s="33">
        <f>IF(AS213&lt;=0,0,ROUND(AS213+ROUND(AS213*Y$3/12,2),2))</f>
      </c>
      <c r="F214" s="33">
        <f>IF(AT213&lt;=0,0,ROUND(AT213+ROUND(AT213*Z$3/12,2),2))</f>
      </c>
      <c r="G214" s="33">
        <f>IF(AU213&lt;=0,0,ROUND(AU213+ROUND(AU213*AA$3/12,2),2))</f>
      </c>
      <c r="H214" s="33">
        <f>IF(AV213&lt;=0,0,ROUND(AV213+ROUND(AV213*AB$3/12,2),2))</f>
      </c>
      <c r="I214" s="33">
        <f>IF(AW213&lt;=0,0,ROUND(AW213+ROUND(AW213*AC$3/12,2),2))</f>
      </c>
      <c r="J214" s="33">
        <f>IF(AX213&lt;=0,0,ROUND(AX213+ROUND(AX213*AD$3/12,2),2))</f>
      </c>
      <c r="K214" s="33">
        <f>IF(AY213&lt;=0,0,ROUND(AY213+ROUND(AY213*AE$3/12,2),2))</f>
      </c>
      <c r="L214" s="33">
        <f>ROUND(MIN(MAX(0,N('Your debts'!$E$6)),B214),2)</f>
      </c>
      <c r="M214" s="33">
        <f>ROUND(MIN(MAX(0,N('Your debts'!$E$7)),C214),2)</f>
      </c>
      <c r="N214" s="33">
        <f>ROUND(MIN(MAX(0,N('Your debts'!$E$8)),D214),2)</f>
      </c>
      <c r="O214" s="33">
        <f>ROUND(MIN(MAX(0,N('Your debts'!$E$9)),E214),2)</f>
      </c>
      <c r="P214" s="33">
        <f>ROUND(MIN(MAX(0,N('Your debts'!$E$10)),F214),2)</f>
      </c>
      <c r="Q214" s="33">
        <f>ROUND(MIN(MAX(0,N('Your debts'!$E$11)),G214),2)</f>
      </c>
      <c r="R214" s="33">
        <f>ROUND(MIN(MAX(0,N('Your debts'!$E$12)),H214),2)</f>
      </c>
      <c r="S214" s="33">
        <f>ROUND(MIN(MAX(0,N('Your debts'!$E$13)),I214),2)</f>
      </c>
      <c r="T214" s="33">
        <f>ROUND(MIN(MAX(0,N('Your debts'!$E$14)),J214),2)</f>
      </c>
      <c r="U214" s="33">
        <f>ROUND(MIN(MAX(0,N('Your debts'!$E$15)),K214),2)</f>
      </c>
      <c r="V214" s="33">
        <f>ROUND(B214-L214,2)</f>
      </c>
      <c r="W214" s="33">
        <f>ROUND(C214-M214,2)</f>
      </c>
      <c r="X214" s="33">
        <f>ROUND(D214-N214,2)</f>
      </c>
      <c r="Y214" s="33">
        <f>ROUND(E214-O214,2)</f>
      </c>
      <c r="Z214" s="33">
        <f>ROUND(F214-P214,2)</f>
      </c>
      <c r="AA214" s="33">
        <f>ROUND(G214-Q214,2)</f>
      </c>
      <c r="AB214" s="33">
        <f>ROUND(H214-R214,2)</f>
      </c>
      <c r="AC214" s="33">
        <f>ROUND(I214-S214,2)</f>
      </c>
      <c r="AD214" s="33">
        <f>ROUND(J214-T214,2)</f>
      </c>
      <c r="AE214" s="33">
        <f>ROUND(K214-U214,2)</f>
      </c>
      <c r="AF214" s="33">
        <f>IF(V214&lt;=0,0,MAX(0,MIN(V214,ROUND($AZ214-SUMPRODUCT($V214:$AE214*($V214:$AE214&gt;0)*(($V214:$AE214&lt;V214)+($V214:$AE214=V214)*($V$3:$AE$3&gt;V$3)+($V214:$AE214=V214)*($V$3:$AE$3=V$3)*($V$2:$AE$2&lt;V$2))),2))))</f>
      </c>
      <c r="AG214" s="33">
        <f>IF(W214&lt;=0,0,MAX(0,MIN(W214,ROUND($AZ214-SUMPRODUCT($V214:$AE214*($V214:$AE214&gt;0)*(($V214:$AE214&lt;W214)+($V214:$AE214=W214)*($V$3:$AE$3&gt;W$3)+($V214:$AE214=W214)*($V$3:$AE$3=W$3)*($V$2:$AE$2&lt;W$2))),2))))</f>
      </c>
      <c r="AH214" s="33">
        <f>IF(X214&lt;=0,0,MAX(0,MIN(X214,ROUND($AZ214-SUMPRODUCT($V214:$AE214*($V214:$AE214&gt;0)*(($V214:$AE214&lt;X214)+($V214:$AE214=X214)*($V$3:$AE$3&gt;X$3)+($V214:$AE214=X214)*($V$3:$AE$3=X$3)*($V$2:$AE$2&lt;X$2))),2))))</f>
      </c>
      <c r="AI214" s="33">
        <f>IF(Y214&lt;=0,0,MAX(0,MIN(Y214,ROUND($AZ214-SUMPRODUCT($V214:$AE214*($V214:$AE214&gt;0)*(($V214:$AE214&lt;Y214)+($V214:$AE214=Y214)*($V$3:$AE$3&gt;Y$3)+($V214:$AE214=Y214)*($V$3:$AE$3=Y$3)*($V$2:$AE$2&lt;Y$2))),2))))</f>
      </c>
      <c r="AJ214" s="33">
        <f>IF(Z214&lt;=0,0,MAX(0,MIN(Z214,ROUND($AZ214-SUMPRODUCT($V214:$AE214*($V214:$AE214&gt;0)*(($V214:$AE214&lt;Z214)+($V214:$AE214=Z214)*($V$3:$AE$3&gt;Z$3)+($V214:$AE214=Z214)*($V$3:$AE$3=Z$3)*($V$2:$AE$2&lt;Z$2))),2))))</f>
      </c>
      <c r="AK214" s="33">
        <f>IF(AA214&lt;=0,0,MAX(0,MIN(AA214,ROUND($AZ214-SUMPRODUCT($V214:$AE214*($V214:$AE214&gt;0)*(($V214:$AE214&lt;AA214)+($V214:$AE214=AA214)*($V$3:$AE$3&gt;AA$3)+($V214:$AE214=AA214)*($V$3:$AE$3=AA$3)*($V$2:$AE$2&lt;AA$2))),2))))</f>
      </c>
      <c r="AL214" s="33">
        <f>IF(AB214&lt;=0,0,MAX(0,MIN(AB214,ROUND($AZ214-SUMPRODUCT($V214:$AE214*($V214:$AE214&gt;0)*(($V214:$AE214&lt;AB214)+($V214:$AE214=AB214)*($V$3:$AE$3&gt;AB$3)+($V214:$AE214=AB214)*($V$3:$AE$3=AB$3)*($V$2:$AE$2&lt;AB$2))),2))))</f>
      </c>
      <c r="AM214" s="33">
        <f>IF(AC214&lt;=0,0,MAX(0,MIN(AC214,ROUND($AZ214-SUMPRODUCT($V214:$AE214*($V214:$AE214&gt;0)*(($V214:$AE214&lt;AC214)+($V214:$AE214=AC214)*($V$3:$AE$3&gt;AC$3)+($V214:$AE214=AC214)*($V$3:$AE$3=AC$3)*($V$2:$AE$2&lt;AC$2))),2))))</f>
      </c>
      <c r="AN214" s="33">
        <f>IF(AD214&lt;=0,0,MAX(0,MIN(AD214,ROUND($AZ214-SUMPRODUCT($V214:$AE214*($V214:$AE214&gt;0)*(($V214:$AE214&lt;AD214)+($V214:$AE214=AD214)*($V$3:$AE$3&gt;AD$3)+($V214:$AE214=AD214)*($V$3:$AE$3=AD$3)*($V$2:$AE$2&lt;AD$2))),2))))</f>
      </c>
      <c r="AO214" s="33">
        <f>IF(AE214&lt;=0,0,MAX(0,MIN(AE214,ROUND($AZ214-SUMPRODUCT($V214:$AE214*($V214:$AE214&gt;0)*(($V214:$AE214&lt;AE214)+($V214:$AE214=AE214)*($V$3:$AE$3&gt;AE$3)+($V214:$AE214=AE214)*($V$3:$AE$3=AE$3)*($V$2:$AE$2&lt;AE$2))),2))))</f>
      </c>
      <c r="AP214" s="33">
        <f>ROUND(V214-AF214,2)</f>
      </c>
      <c r="AQ214" s="33">
        <f>ROUND(W214-AG214,2)</f>
      </c>
      <c r="AR214" s="33">
        <f>ROUND(X214-AH214,2)</f>
      </c>
      <c r="AS214" s="33">
        <f>ROUND(Y214-AI214,2)</f>
      </c>
      <c r="AT214" s="33">
        <f>ROUND(Z214-AJ214,2)</f>
      </c>
      <c r="AU214" s="33">
        <f>ROUND(AA214-AK214,2)</f>
      </c>
      <c r="AV214" s="33">
        <f>ROUND(AB214-AL214,2)</f>
      </c>
      <c r="AW214" s="33">
        <f>ROUND(AC214-AM214,2)</f>
      </c>
      <c r="AX214" s="33">
        <f>ROUND(AD214-AN214,2)</f>
      </c>
      <c r="AY214" s="33">
        <f>ROUND(AE214-AO214,2)</f>
      </c>
      <c r="AZ214" s="33">
        <f>ROUND(MAX(0,'Your debts'!$D$22-SUM($L214:$U214)),2)</f>
      </c>
      <c r="BA214" s="33">
        <f>ROUND(SUM($B214:$K214)-SUM($AP213:$AY213),2)</f>
      </c>
      <c r="BB214" s="33">
        <f>SUM($AP214:$AY214)</f>
      </c>
      <c r="BC214" s="33">
        <f>ROUND(SUM($L214:$U214)+SUM($AF214:$AO214),2)</f>
      </c>
    </row>
    <row r="215" spans="1:55" x14ac:dyDescent="0.25">
      <c r="A215">
        <v>208</v>
      </c>
      <c r="B215" s="33">
        <f>IF(AP214&lt;=0,0,ROUND(AP214+ROUND(AP214*V$3/12,2),2))</f>
      </c>
      <c r="C215" s="33">
        <f>IF(AQ214&lt;=0,0,ROUND(AQ214+ROUND(AQ214*W$3/12,2),2))</f>
      </c>
      <c r="D215" s="33">
        <f>IF(AR214&lt;=0,0,ROUND(AR214+ROUND(AR214*X$3/12,2),2))</f>
      </c>
      <c r="E215" s="33">
        <f>IF(AS214&lt;=0,0,ROUND(AS214+ROUND(AS214*Y$3/12,2),2))</f>
      </c>
      <c r="F215" s="33">
        <f>IF(AT214&lt;=0,0,ROUND(AT214+ROUND(AT214*Z$3/12,2),2))</f>
      </c>
      <c r="G215" s="33">
        <f>IF(AU214&lt;=0,0,ROUND(AU214+ROUND(AU214*AA$3/12,2),2))</f>
      </c>
      <c r="H215" s="33">
        <f>IF(AV214&lt;=0,0,ROUND(AV214+ROUND(AV214*AB$3/12,2),2))</f>
      </c>
      <c r="I215" s="33">
        <f>IF(AW214&lt;=0,0,ROUND(AW214+ROUND(AW214*AC$3/12,2),2))</f>
      </c>
      <c r="J215" s="33">
        <f>IF(AX214&lt;=0,0,ROUND(AX214+ROUND(AX214*AD$3/12,2),2))</f>
      </c>
      <c r="K215" s="33">
        <f>IF(AY214&lt;=0,0,ROUND(AY214+ROUND(AY214*AE$3/12,2),2))</f>
      </c>
      <c r="L215" s="33">
        <f>ROUND(MIN(MAX(0,N('Your debts'!$E$6)),B215),2)</f>
      </c>
      <c r="M215" s="33">
        <f>ROUND(MIN(MAX(0,N('Your debts'!$E$7)),C215),2)</f>
      </c>
      <c r="N215" s="33">
        <f>ROUND(MIN(MAX(0,N('Your debts'!$E$8)),D215),2)</f>
      </c>
      <c r="O215" s="33">
        <f>ROUND(MIN(MAX(0,N('Your debts'!$E$9)),E215),2)</f>
      </c>
      <c r="P215" s="33">
        <f>ROUND(MIN(MAX(0,N('Your debts'!$E$10)),F215),2)</f>
      </c>
      <c r="Q215" s="33">
        <f>ROUND(MIN(MAX(0,N('Your debts'!$E$11)),G215),2)</f>
      </c>
      <c r="R215" s="33">
        <f>ROUND(MIN(MAX(0,N('Your debts'!$E$12)),H215),2)</f>
      </c>
      <c r="S215" s="33">
        <f>ROUND(MIN(MAX(0,N('Your debts'!$E$13)),I215),2)</f>
      </c>
      <c r="T215" s="33">
        <f>ROUND(MIN(MAX(0,N('Your debts'!$E$14)),J215),2)</f>
      </c>
      <c r="U215" s="33">
        <f>ROUND(MIN(MAX(0,N('Your debts'!$E$15)),K215),2)</f>
      </c>
      <c r="V215" s="33">
        <f>ROUND(B215-L215,2)</f>
      </c>
      <c r="W215" s="33">
        <f>ROUND(C215-M215,2)</f>
      </c>
      <c r="X215" s="33">
        <f>ROUND(D215-N215,2)</f>
      </c>
      <c r="Y215" s="33">
        <f>ROUND(E215-O215,2)</f>
      </c>
      <c r="Z215" s="33">
        <f>ROUND(F215-P215,2)</f>
      </c>
      <c r="AA215" s="33">
        <f>ROUND(G215-Q215,2)</f>
      </c>
      <c r="AB215" s="33">
        <f>ROUND(H215-R215,2)</f>
      </c>
      <c r="AC215" s="33">
        <f>ROUND(I215-S215,2)</f>
      </c>
      <c r="AD215" s="33">
        <f>ROUND(J215-T215,2)</f>
      </c>
      <c r="AE215" s="33">
        <f>ROUND(K215-U215,2)</f>
      </c>
      <c r="AF215" s="33">
        <f>IF(V215&lt;=0,0,MAX(0,MIN(V215,ROUND($AZ215-SUMPRODUCT($V215:$AE215*($V215:$AE215&gt;0)*(($V215:$AE215&lt;V215)+($V215:$AE215=V215)*($V$3:$AE$3&gt;V$3)+($V215:$AE215=V215)*($V$3:$AE$3=V$3)*($V$2:$AE$2&lt;V$2))),2))))</f>
      </c>
      <c r="AG215" s="33">
        <f>IF(W215&lt;=0,0,MAX(0,MIN(W215,ROUND($AZ215-SUMPRODUCT($V215:$AE215*($V215:$AE215&gt;0)*(($V215:$AE215&lt;W215)+($V215:$AE215=W215)*($V$3:$AE$3&gt;W$3)+($V215:$AE215=W215)*($V$3:$AE$3=W$3)*($V$2:$AE$2&lt;W$2))),2))))</f>
      </c>
      <c r="AH215" s="33">
        <f>IF(X215&lt;=0,0,MAX(0,MIN(X215,ROUND($AZ215-SUMPRODUCT($V215:$AE215*($V215:$AE215&gt;0)*(($V215:$AE215&lt;X215)+($V215:$AE215=X215)*($V$3:$AE$3&gt;X$3)+($V215:$AE215=X215)*($V$3:$AE$3=X$3)*($V$2:$AE$2&lt;X$2))),2))))</f>
      </c>
      <c r="AI215" s="33">
        <f>IF(Y215&lt;=0,0,MAX(0,MIN(Y215,ROUND($AZ215-SUMPRODUCT($V215:$AE215*($V215:$AE215&gt;0)*(($V215:$AE215&lt;Y215)+($V215:$AE215=Y215)*($V$3:$AE$3&gt;Y$3)+($V215:$AE215=Y215)*($V$3:$AE$3=Y$3)*($V$2:$AE$2&lt;Y$2))),2))))</f>
      </c>
      <c r="AJ215" s="33">
        <f>IF(Z215&lt;=0,0,MAX(0,MIN(Z215,ROUND($AZ215-SUMPRODUCT($V215:$AE215*($V215:$AE215&gt;0)*(($V215:$AE215&lt;Z215)+($V215:$AE215=Z215)*($V$3:$AE$3&gt;Z$3)+($V215:$AE215=Z215)*($V$3:$AE$3=Z$3)*($V$2:$AE$2&lt;Z$2))),2))))</f>
      </c>
      <c r="AK215" s="33">
        <f>IF(AA215&lt;=0,0,MAX(0,MIN(AA215,ROUND($AZ215-SUMPRODUCT($V215:$AE215*($V215:$AE215&gt;0)*(($V215:$AE215&lt;AA215)+($V215:$AE215=AA215)*($V$3:$AE$3&gt;AA$3)+($V215:$AE215=AA215)*($V$3:$AE$3=AA$3)*($V$2:$AE$2&lt;AA$2))),2))))</f>
      </c>
      <c r="AL215" s="33">
        <f>IF(AB215&lt;=0,0,MAX(0,MIN(AB215,ROUND($AZ215-SUMPRODUCT($V215:$AE215*($V215:$AE215&gt;0)*(($V215:$AE215&lt;AB215)+($V215:$AE215=AB215)*($V$3:$AE$3&gt;AB$3)+($V215:$AE215=AB215)*($V$3:$AE$3=AB$3)*($V$2:$AE$2&lt;AB$2))),2))))</f>
      </c>
      <c r="AM215" s="33">
        <f>IF(AC215&lt;=0,0,MAX(0,MIN(AC215,ROUND($AZ215-SUMPRODUCT($V215:$AE215*($V215:$AE215&gt;0)*(($V215:$AE215&lt;AC215)+($V215:$AE215=AC215)*($V$3:$AE$3&gt;AC$3)+($V215:$AE215=AC215)*($V$3:$AE$3=AC$3)*($V$2:$AE$2&lt;AC$2))),2))))</f>
      </c>
      <c r="AN215" s="33">
        <f>IF(AD215&lt;=0,0,MAX(0,MIN(AD215,ROUND($AZ215-SUMPRODUCT($V215:$AE215*($V215:$AE215&gt;0)*(($V215:$AE215&lt;AD215)+($V215:$AE215=AD215)*($V$3:$AE$3&gt;AD$3)+($V215:$AE215=AD215)*($V$3:$AE$3=AD$3)*($V$2:$AE$2&lt;AD$2))),2))))</f>
      </c>
      <c r="AO215" s="33">
        <f>IF(AE215&lt;=0,0,MAX(0,MIN(AE215,ROUND($AZ215-SUMPRODUCT($V215:$AE215*($V215:$AE215&gt;0)*(($V215:$AE215&lt;AE215)+($V215:$AE215=AE215)*($V$3:$AE$3&gt;AE$3)+($V215:$AE215=AE215)*($V$3:$AE$3=AE$3)*($V$2:$AE$2&lt;AE$2))),2))))</f>
      </c>
      <c r="AP215" s="33">
        <f>ROUND(V215-AF215,2)</f>
      </c>
      <c r="AQ215" s="33">
        <f>ROUND(W215-AG215,2)</f>
      </c>
      <c r="AR215" s="33">
        <f>ROUND(X215-AH215,2)</f>
      </c>
      <c r="AS215" s="33">
        <f>ROUND(Y215-AI215,2)</f>
      </c>
      <c r="AT215" s="33">
        <f>ROUND(Z215-AJ215,2)</f>
      </c>
      <c r="AU215" s="33">
        <f>ROUND(AA215-AK215,2)</f>
      </c>
      <c r="AV215" s="33">
        <f>ROUND(AB215-AL215,2)</f>
      </c>
      <c r="AW215" s="33">
        <f>ROUND(AC215-AM215,2)</f>
      </c>
      <c r="AX215" s="33">
        <f>ROUND(AD215-AN215,2)</f>
      </c>
      <c r="AY215" s="33">
        <f>ROUND(AE215-AO215,2)</f>
      </c>
      <c r="AZ215" s="33">
        <f>ROUND(MAX(0,'Your debts'!$D$22-SUM($L215:$U215)),2)</f>
      </c>
      <c r="BA215" s="33">
        <f>ROUND(SUM($B215:$K215)-SUM($AP214:$AY214),2)</f>
      </c>
      <c r="BB215" s="33">
        <f>SUM($AP215:$AY215)</f>
      </c>
      <c r="BC215" s="33">
        <f>ROUND(SUM($L215:$U215)+SUM($AF215:$AO215),2)</f>
      </c>
    </row>
    <row r="216" spans="1:55" x14ac:dyDescent="0.25">
      <c r="A216">
        <v>209</v>
      </c>
      <c r="B216" s="33">
        <f>IF(AP215&lt;=0,0,ROUND(AP215+ROUND(AP215*V$3/12,2),2))</f>
      </c>
      <c r="C216" s="33">
        <f>IF(AQ215&lt;=0,0,ROUND(AQ215+ROUND(AQ215*W$3/12,2),2))</f>
      </c>
      <c r="D216" s="33">
        <f>IF(AR215&lt;=0,0,ROUND(AR215+ROUND(AR215*X$3/12,2),2))</f>
      </c>
      <c r="E216" s="33">
        <f>IF(AS215&lt;=0,0,ROUND(AS215+ROUND(AS215*Y$3/12,2),2))</f>
      </c>
      <c r="F216" s="33">
        <f>IF(AT215&lt;=0,0,ROUND(AT215+ROUND(AT215*Z$3/12,2),2))</f>
      </c>
      <c r="G216" s="33">
        <f>IF(AU215&lt;=0,0,ROUND(AU215+ROUND(AU215*AA$3/12,2),2))</f>
      </c>
      <c r="H216" s="33">
        <f>IF(AV215&lt;=0,0,ROUND(AV215+ROUND(AV215*AB$3/12,2),2))</f>
      </c>
      <c r="I216" s="33">
        <f>IF(AW215&lt;=0,0,ROUND(AW215+ROUND(AW215*AC$3/12,2),2))</f>
      </c>
      <c r="J216" s="33">
        <f>IF(AX215&lt;=0,0,ROUND(AX215+ROUND(AX215*AD$3/12,2),2))</f>
      </c>
      <c r="K216" s="33">
        <f>IF(AY215&lt;=0,0,ROUND(AY215+ROUND(AY215*AE$3/12,2),2))</f>
      </c>
      <c r="L216" s="33">
        <f>ROUND(MIN(MAX(0,N('Your debts'!$E$6)),B216),2)</f>
      </c>
      <c r="M216" s="33">
        <f>ROUND(MIN(MAX(0,N('Your debts'!$E$7)),C216),2)</f>
      </c>
      <c r="N216" s="33">
        <f>ROUND(MIN(MAX(0,N('Your debts'!$E$8)),D216),2)</f>
      </c>
      <c r="O216" s="33">
        <f>ROUND(MIN(MAX(0,N('Your debts'!$E$9)),E216),2)</f>
      </c>
      <c r="P216" s="33">
        <f>ROUND(MIN(MAX(0,N('Your debts'!$E$10)),F216),2)</f>
      </c>
      <c r="Q216" s="33">
        <f>ROUND(MIN(MAX(0,N('Your debts'!$E$11)),G216),2)</f>
      </c>
      <c r="R216" s="33">
        <f>ROUND(MIN(MAX(0,N('Your debts'!$E$12)),H216),2)</f>
      </c>
      <c r="S216" s="33">
        <f>ROUND(MIN(MAX(0,N('Your debts'!$E$13)),I216),2)</f>
      </c>
      <c r="T216" s="33">
        <f>ROUND(MIN(MAX(0,N('Your debts'!$E$14)),J216),2)</f>
      </c>
      <c r="U216" s="33">
        <f>ROUND(MIN(MAX(0,N('Your debts'!$E$15)),K216),2)</f>
      </c>
      <c r="V216" s="33">
        <f>ROUND(B216-L216,2)</f>
      </c>
      <c r="W216" s="33">
        <f>ROUND(C216-M216,2)</f>
      </c>
      <c r="X216" s="33">
        <f>ROUND(D216-N216,2)</f>
      </c>
      <c r="Y216" s="33">
        <f>ROUND(E216-O216,2)</f>
      </c>
      <c r="Z216" s="33">
        <f>ROUND(F216-P216,2)</f>
      </c>
      <c r="AA216" s="33">
        <f>ROUND(G216-Q216,2)</f>
      </c>
      <c r="AB216" s="33">
        <f>ROUND(H216-R216,2)</f>
      </c>
      <c r="AC216" s="33">
        <f>ROUND(I216-S216,2)</f>
      </c>
      <c r="AD216" s="33">
        <f>ROUND(J216-T216,2)</f>
      </c>
      <c r="AE216" s="33">
        <f>ROUND(K216-U216,2)</f>
      </c>
      <c r="AF216" s="33">
        <f>IF(V216&lt;=0,0,MAX(0,MIN(V216,ROUND($AZ216-SUMPRODUCT($V216:$AE216*($V216:$AE216&gt;0)*(($V216:$AE216&lt;V216)+($V216:$AE216=V216)*($V$3:$AE$3&gt;V$3)+($V216:$AE216=V216)*($V$3:$AE$3=V$3)*($V$2:$AE$2&lt;V$2))),2))))</f>
      </c>
      <c r="AG216" s="33">
        <f>IF(W216&lt;=0,0,MAX(0,MIN(W216,ROUND($AZ216-SUMPRODUCT($V216:$AE216*($V216:$AE216&gt;0)*(($V216:$AE216&lt;W216)+($V216:$AE216=W216)*($V$3:$AE$3&gt;W$3)+($V216:$AE216=W216)*($V$3:$AE$3=W$3)*($V$2:$AE$2&lt;W$2))),2))))</f>
      </c>
      <c r="AH216" s="33">
        <f>IF(X216&lt;=0,0,MAX(0,MIN(X216,ROUND($AZ216-SUMPRODUCT($V216:$AE216*($V216:$AE216&gt;0)*(($V216:$AE216&lt;X216)+($V216:$AE216=X216)*($V$3:$AE$3&gt;X$3)+($V216:$AE216=X216)*($V$3:$AE$3=X$3)*($V$2:$AE$2&lt;X$2))),2))))</f>
      </c>
      <c r="AI216" s="33">
        <f>IF(Y216&lt;=0,0,MAX(0,MIN(Y216,ROUND($AZ216-SUMPRODUCT($V216:$AE216*($V216:$AE216&gt;0)*(($V216:$AE216&lt;Y216)+($V216:$AE216=Y216)*($V$3:$AE$3&gt;Y$3)+($V216:$AE216=Y216)*($V$3:$AE$3=Y$3)*($V$2:$AE$2&lt;Y$2))),2))))</f>
      </c>
      <c r="AJ216" s="33">
        <f>IF(Z216&lt;=0,0,MAX(0,MIN(Z216,ROUND($AZ216-SUMPRODUCT($V216:$AE216*($V216:$AE216&gt;0)*(($V216:$AE216&lt;Z216)+($V216:$AE216=Z216)*($V$3:$AE$3&gt;Z$3)+($V216:$AE216=Z216)*($V$3:$AE$3=Z$3)*($V$2:$AE$2&lt;Z$2))),2))))</f>
      </c>
      <c r="AK216" s="33">
        <f>IF(AA216&lt;=0,0,MAX(0,MIN(AA216,ROUND($AZ216-SUMPRODUCT($V216:$AE216*($V216:$AE216&gt;0)*(($V216:$AE216&lt;AA216)+($V216:$AE216=AA216)*($V$3:$AE$3&gt;AA$3)+($V216:$AE216=AA216)*($V$3:$AE$3=AA$3)*($V$2:$AE$2&lt;AA$2))),2))))</f>
      </c>
      <c r="AL216" s="33">
        <f>IF(AB216&lt;=0,0,MAX(0,MIN(AB216,ROUND($AZ216-SUMPRODUCT($V216:$AE216*($V216:$AE216&gt;0)*(($V216:$AE216&lt;AB216)+($V216:$AE216=AB216)*($V$3:$AE$3&gt;AB$3)+($V216:$AE216=AB216)*($V$3:$AE$3=AB$3)*($V$2:$AE$2&lt;AB$2))),2))))</f>
      </c>
      <c r="AM216" s="33">
        <f>IF(AC216&lt;=0,0,MAX(0,MIN(AC216,ROUND($AZ216-SUMPRODUCT($V216:$AE216*($V216:$AE216&gt;0)*(($V216:$AE216&lt;AC216)+($V216:$AE216=AC216)*($V$3:$AE$3&gt;AC$3)+($V216:$AE216=AC216)*($V$3:$AE$3=AC$3)*($V$2:$AE$2&lt;AC$2))),2))))</f>
      </c>
      <c r="AN216" s="33">
        <f>IF(AD216&lt;=0,0,MAX(0,MIN(AD216,ROUND($AZ216-SUMPRODUCT($V216:$AE216*($V216:$AE216&gt;0)*(($V216:$AE216&lt;AD216)+($V216:$AE216=AD216)*($V$3:$AE$3&gt;AD$3)+($V216:$AE216=AD216)*($V$3:$AE$3=AD$3)*($V$2:$AE$2&lt;AD$2))),2))))</f>
      </c>
      <c r="AO216" s="33">
        <f>IF(AE216&lt;=0,0,MAX(0,MIN(AE216,ROUND($AZ216-SUMPRODUCT($V216:$AE216*($V216:$AE216&gt;0)*(($V216:$AE216&lt;AE216)+($V216:$AE216=AE216)*($V$3:$AE$3&gt;AE$3)+($V216:$AE216=AE216)*($V$3:$AE$3=AE$3)*($V$2:$AE$2&lt;AE$2))),2))))</f>
      </c>
      <c r="AP216" s="33">
        <f>ROUND(V216-AF216,2)</f>
      </c>
      <c r="AQ216" s="33">
        <f>ROUND(W216-AG216,2)</f>
      </c>
      <c r="AR216" s="33">
        <f>ROUND(X216-AH216,2)</f>
      </c>
      <c r="AS216" s="33">
        <f>ROUND(Y216-AI216,2)</f>
      </c>
      <c r="AT216" s="33">
        <f>ROUND(Z216-AJ216,2)</f>
      </c>
      <c r="AU216" s="33">
        <f>ROUND(AA216-AK216,2)</f>
      </c>
      <c r="AV216" s="33">
        <f>ROUND(AB216-AL216,2)</f>
      </c>
      <c r="AW216" s="33">
        <f>ROUND(AC216-AM216,2)</f>
      </c>
      <c r="AX216" s="33">
        <f>ROUND(AD216-AN216,2)</f>
      </c>
      <c r="AY216" s="33">
        <f>ROUND(AE216-AO216,2)</f>
      </c>
      <c r="AZ216" s="33">
        <f>ROUND(MAX(0,'Your debts'!$D$22-SUM($L216:$U216)),2)</f>
      </c>
      <c r="BA216" s="33">
        <f>ROUND(SUM($B216:$K216)-SUM($AP215:$AY215),2)</f>
      </c>
      <c r="BB216" s="33">
        <f>SUM($AP216:$AY216)</f>
      </c>
      <c r="BC216" s="33">
        <f>ROUND(SUM($L216:$U216)+SUM($AF216:$AO216),2)</f>
      </c>
    </row>
    <row r="217" spans="1:55" x14ac:dyDescent="0.25">
      <c r="A217">
        <v>210</v>
      </c>
      <c r="B217" s="33">
        <f>IF(AP216&lt;=0,0,ROUND(AP216+ROUND(AP216*V$3/12,2),2))</f>
      </c>
      <c r="C217" s="33">
        <f>IF(AQ216&lt;=0,0,ROUND(AQ216+ROUND(AQ216*W$3/12,2),2))</f>
      </c>
      <c r="D217" s="33">
        <f>IF(AR216&lt;=0,0,ROUND(AR216+ROUND(AR216*X$3/12,2),2))</f>
      </c>
      <c r="E217" s="33">
        <f>IF(AS216&lt;=0,0,ROUND(AS216+ROUND(AS216*Y$3/12,2),2))</f>
      </c>
      <c r="F217" s="33">
        <f>IF(AT216&lt;=0,0,ROUND(AT216+ROUND(AT216*Z$3/12,2),2))</f>
      </c>
      <c r="G217" s="33">
        <f>IF(AU216&lt;=0,0,ROUND(AU216+ROUND(AU216*AA$3/12,2),2))</f>
      </c>
      <c r="H217" s="33">
        <f>IF(AV216&lt;=0,0,ROUND(AV216+ROUND(AV216*AB$3/12,2),2))</f>
      </c>
      <c r="I217" s="33">
        <f>IF(AW216&lt;=0,0,ROUND(AW216+ROUND(AW216*AC$3/12,2),2))</f>
      </c>
      <c r="J217" s="33">
        <f>IF(AX216&lt;=0,0,ROUND(AX216+ROUND(AX216*AD$3/12,2),2))</f>
      </c>
      <c r="K217" s="33">
        <f>IF(AY216&lt;=0,0,ROUND(AY216+ROUND(AY216*AE$3/12,2),2))</f>
      </c>
      <c r="L217" s="33">
        <f>ROUND(MIN(MAX(0,N('Your debts'!$E$6)),B217),2)</f>
      </c>
      <c r="M217" s="33">
        <f>ROUND(MIN(MAX(0,N('Your debts'!$E$7)),C217),2)</f>
      </c>
      <c r="N217" s="33">
        <f>ROUND(MIN(MAX(0,N('Your debts'!$E$8)),D217),2)</f>
      </c>
      <c r="O217" s="33">
        <f>ROUND(MIN(MAX(0,N('Your debts'!$E$9)),E217),2)</f>
      </c>
      <c r="P217" s="33">
        <f>ROUND(MIN(MAX(0,N('Your debts'!$E$10)),F217),2)</f>
      </c>
      <c r="Q217" s="33">
        <f>ROUND(MIN(MAX(0,N('Your debts'!$E$11)),G217),2)</f>
      </c>
      <c r="R217" s="33">
        <f>ROUND(MIN(MAX(0,N('Your debts'!$E$12)),H217),2)</f>
      </c>
      <c r="S217" s="33">
        <f>ROUND(MIN(MAX(0,N('Your debts'!$E$13)),I217),2)</f>
      </c>
      <c r="T217" s="33">
        <f>ROUND(MIN(MAX(0,N('Your debts'!$E$14)),J217),2)</f>
      </c>
      <c r="U217" s="33">
        <f>ROUND(MIN(MAX(0,N('Your debts'!$E$15)),K217),2)</f>
      </c>
      <c r="V217" s="33">
        <f>ROUND(B217-L217,2)</f>
      </c>
      <c r="W217" s="33">
        <f>ROUND(C217-M217,2)</f>
      </c>
      <c r="X217" s="33">
        <f>ROUND(D217-N217,2)</f>
      </c>
      <c r="Y217" s="33">
        <f>ROUND(E217-O217,2)</f>
      </c>
      <c r="Z217" s="33">
        <f>ROUND(F217-P217,2)</f>
      </c>
      <c r="AA217" s="33">
        <f>ROUND(G217-Q217,2)</f>
      </c>
      <c r="AB217" s="33">
        <f>ROUND(H217-R217,2)</f>
      </c>
      <c r="AC217" s="33">
        <f>ROUND(I217-S217,2)</f>
      </c>
      <c r="AD217" s="33">
        <f>ROUND(J217-T217,2)</f>
      </c>
      <c r="AE217" s="33">
        <f>ROUND(K217-U217,2)</f>
      </c>
      <c r="AF217" s="33">
        <f>IF(V217&lt;=0,0,MAX(0,MIN(V217,ROUND($AZ217-SUMPRODUCT($V217:$AE217*($V217:$AE217&gt;0)*(($V217:$AE217&lt;V217)+($V217:$AE217=V217)*($V$3:$AE$3&gt;V$3)+($V217:$AE217=V217)*($V$3:$AE$3=V$3)*($V$2:$AE$2&lt;V$2))),2))))</f>
      </c>
      <c r="AG217" s="33">
        <f>IF(W217&lt;=0,0,MAX(0,MIN(W217,ROUND($AZ217-SUMPRODUCT($V217:$AE217*($V217:$AE217&gt;0)*(($V217:$AE217&lt;W217)+($V217:$AE217=W217)*($V$3:$AE$3&gt;W$3)+($V217:$AE217=W217)*($V$3:$AE$3=W$3)*($V$2:$AE$2&lt;W$2))),2))))</f>
      </c>
      <c r="AH217" s="33">
        <f>IF(X217&lt;=0,0,MAX(0,MIN(X217,ROUND($AZ217-SUMPRODUCT($V217:$AE217*($V217:$AE217&gt;0)*(($V217:$AE217&lt;X217)+($V217:$AE217=X217)*($V$3:$AE$3&gt;X$3)+($V217:$AE217=X217)*($V$3:$AE$3=X$3)*($V$2:$AE$2&lt;X$2))),2))))</f>
      </c>
      <c r="AI217" s="33">
        <f>IF(Y217&lt;=0,0,MAX(0,MIN(Y217,ROUND($AZ217-SUMPRODUCT($V217:$AE217*($V217:$AE217&gt;0)*(($V217:$AE217&lt;Y217)+($V217:$AE217=Y217)*($V$3:$AE$3&gt;Y$3)+($V217:$AE217=Y217)*($V$3:$AE$3=Y$3)*($V$2:$AE$2&lt;Y$2))),2))))</f>
      </c>
      <c r="AJ217" s="33">
        <f>IF(Z217&lt;=0,0,MAX(0,MIN(Z217,ROUND($AZ217-SUMPRODUCT($V217:$AE217*($V217:$AE217&gt;0)*(($V217:$AE217&lt;Z217)+($V217:$AE217=Z217)*($V$3:$AE$3&gt;Z$3)+($V217:$AE217=Z217)*($V$3:$AE$3=Z$3)*($V$2:$AE$2&lt;Z$2))),2))))</f>
      </c>
      <c r="AK217" s="33">
        <f>IF(AA217&lt;=0,0,MAX(0,MIN(AA217,ROUND($AZ217-SUMPRODUCT($V217:$AE217*($V217:$AE217&gt;0)*(($V217:$AE217&lt;AA217)+($V217:$AE217=AA217)*($V$3:$AE$3&gt;AA$3)+($V217:$AE217=AA217)*($V$3:$AE$3=AA$3)*($V$2:$AE$2&lt;AA$2))),2))))</f>
      </c>
      <c r="AL217" s="33">
        <f>IF(AB217&lt;=0,0,MAX(0,MIN(AB217,ROUND($AZ217-SUMPRODUCT($V217:$AE217*($V217:$AE217&gt;0)*(($V217:$AE217&lt;AB217)+($V217:$AE217=AB217)*($V$3:$AE$3&gt;AB$3)+($V217:$AE217=AB217)*($V$3:$AE$3=AB$3)*($V$2:$AE$2&lt;AB$2))),2))))</f>
      </c>
      <c r="AM217" s="33">
        <f>IF(AC217&lt;=0,0,MAX(0,MIN(AC217,ROUND($AZ217-SUMPRODUCT($V217:$AE217*($V217:$AE217&gt;0)*(($V217:$AE217&lt;AC217)+($V217:$AE217=AC217)*($V$3:$AE$3&gt;AC$3)+($V217:$AE217=AC217)*($V$3:$AE$3=AC$3)*($V$2:$AE$2&lt;AC$2))),2))))</f>
      </c>
      <c r="AN217" s="33">
        <f>IF(AD217&lt;=0,0,MAX(0,MIN(AD217,ROUND($AZ217-SUMPRODUCT($V217:$AE217*($V217:$AE217&gt;0)*(($V217:$AE217&lt;AD217)+($V217:$AE217=AD217)*($V$3:$AE$3&gt;AD$3)+($V217:$AE217=AD217)*($V$3:$AE$3=AD$3)*($V$2:$AE$2&lt;AD$2))),2))))</f>
      </c>
      <c r="AO217" s="33">
        <f>IF(AE217&lt;=0,0,MAX(0,MIN(AE217,ROUND($AZ217-SUMPRODUCT($V217:$AE217*($V217:$AE217&gt;0)*(($V217:$AE217&lt;AE217)+($V217:$AE217=AE217)*($V$3:$AE$3&gt;AE$3)+($V217:$AE217=AE217)*($V$3:$AE$3=AE$3)*($V$2:$AE$2&lt;AE$2))),2))))</f>
      </c>
      <c r="AP217" s="33">
        <f>ROUND(V217-AF217,2)</f>
      </c>
      <c r="AQ217" s="33">
        <f>ROUND(W217-AG217,2)</f>
      </c>
      <c r="AR217" s="33">
        <f>ROUND(X217-AH217,2)</f>
      </c>
      <c r="AS217" s="33">
        <f>ROUND(Y217-AI217,2)</f>
      </c>
      <c r="AT217" s="33">
        <f>ROUND(Z217-AJ217,2)</f>
      </c>
      <c r="AU217" s="33">
        <f>ROUND(AA217-AK217,2)</f>
      </c>
      <c r="AV217" s="33">
        <f>ROUND(AB217-AL217,2)</f>
      </c>
      <c r="AW217" s="33">
        <f>ROUND(AC217-AM217,2)</f>
      </c>
      <c r="AX217" s="33">
        <f>ROUND(AD217-AN217,2)</f>
      </c>
      <c r="AY217" s="33">
        <f>ROUND(AE217-AO217,2)</f>
      </c>
      <c r="AZ217" s="33">
        <f>ROUND(MAX(0,'Your debts'!$D$22-SUM($L217:$U217)),2)</f>
      </c>
      <c r="BA217" s="33">
        <f>ROUND(SUM($B217:$K217)-SUM($AP216:$AY216),2)</f>
      </c>
      <c r="BB217" s="33">
        <f>SUM($AP217:$AY217)</f>
      </c>
      <c r="BC217" s="33">
        <f>ROUND(SUM($L217:$U217)+SUM($AF217:$AO217),2)</f>
      </c>
    </row>
    <row r="218" spans="1:55" x14ac:dyDescent="0.25">
      <c r="A218">
        <v>211</v>
      </c>
      <c r="B218" s="33">
        <f>IF(AP217&lt;=0,0,ROUND(AP217+ROUND(AP217*V$3/12,2),2))</f>
      </c>
      <c r="C218" s="33">
        <f>IF(AQ217&lt;=0,0,ROUND(AQ217+ROUND(AQ217*W$3/12,2),2))</f>
      </c>
      <c r="D218" s="33">
        <f>IF(AR217&lt;=0,0,ROUND(AR217+ROUND(AR217*X$3/12,2),2))</f>
      </c>
      <c r="E218" s="33">
        <f>IF(AS217&lt;=0,0,ROUND(AS217+ROUND(AS217*Y$3/12,2),2))</f>
      </c>
      <c r="F218" s="33">
        <f>IF(AT217&lt;=0,0,ROUND(AT217+ROUND(AT217*Z$3/12,2),2))</f>
      </c>
      <c r="G218" s="33">
        <f>IF(AU217&lt;=0,0,ROUND(AU217+ROUND(AU217*AA$3/12,2),2))</f>
      </c>
      <c r="H218" s="33">
        <f>IF(AV217&lt;=0,0,ROUND(AV217+ROUND(AV217*AB$3/12,2),2))</f>
      </c>
      <c r="I218" s="33">
        <f>IF(AW217&lt;=0,0,ROUND(AW217+ROUND(AW217*AC$3/12,2),2))</f>
      </c>
      <c r="J218" s="33">
        <f>IF(AX217&lt;=0,0,ROUND(AX217+ROUND(AX217*AD$3/12,2),2))</f>
      </c>
      <c r="K218" s="33">
        <f>IF(AY217&lt;=0,0,ROUND(AY217+ROUND(AY217*AE$3/12,2),2))</f>
      </c>
      <c r="L218" s="33">
        <f>ROUND(MIN(MAX(0,N('Your debts'!$E$6)),B218),2)</f>
      </c>
      <c r="M218" s="33">
        <f>ROUND(MIN(MAX(0,N('Your debts'!$E$7)),C218),2)</f>
      </c>
      <c r="N218" s="33">
        <f>ROUND(MIN(MAX(0,N('Your debts'!$E$8)),D218),2)</f>
      </c>
      <c r="O218" s="33">
        <f>ROUND(MIN(MAX(0,N('Your debts'!$E$9)),E218),2)</f>
      </c>
      <c r="P218" s="33">
        <f>ROUND(MIN(MAX(0,N('Your debts'!$E$10)),F218),2)</f>
      </c>
      <c r="Q218" s="33">
        <f>ROUND(MIN(MAX(0,N('Your debts'!$E$11)),G218),2)</f>
      </c>
      <c r="R218" s="33">
        <f>ROUND(MIN(MAX(0,N('Your debts'!$E$12)),H218),2)</f>
      </c>
      <c r="S218" s="33">
        <f>ROUND(MIN(MAX(0,N('Your debts'!$E$13)),I218),2)</f>
      </c>
      <c r="T218" s="33">
        <f>ROUND(MIN(MAX(0,N('Your debts'!$E$14)),J218),2)</f>
      </c>
      <c r="U218" s="33">
        <f>ROUND(MIN(MAX(0,N('Your debts'!$E$15)),K218),2)</f>
      </c>
      <c r="V218" s="33">
        <f>ROUND(B218-L218,2)</f>
      </c>
      <c r="W218" s="33">
        <f>ROUND(C218-M218,2)</f>
      </c>
      <c r="X218" s="33">
        <f>ROUND(D218-N218,2)</f>
      </c>
      <c r="Y218" s="33">
        <f>ROUND(E218-O218,2)</f>
      </c>
      <c r="Z218" s="33">
        <f>ROUND(F218-P218,2)</f>
      </c>
      <c r="AA218" s="33">
        <f>ROUND(G218-Q218,2)</f>
      </c>
      <c r="AB218" s="33">
        <f>ROUND(H218-R218,2)</f>
      </c>
      <c r="AC218" s="33">
        <f>ROUND(I218-S218,2)</f>
      </c>
      <c r="AD218" s="33">
        <f>ROUND(J218-T218,2)</f>
      </c>
      <c r="AE218" s="33">
        <f>ROUND(K218-U218,2)</f>
      </c>
      <c r="AF218" s="33">
        <f>IF(V218&lt;=0,0,MAX(0,MIN(V218,ROUND($AZ218-SUMPRODUCT($V218:$AE218*($V218:$AE218&gt;0)*(($V218:$AE218&lt;V218)+($V218:$AE218=V218)*($V$3:$AE$3&gt;V$3)+($V218:$AE218=V218)*($V$3:$AE$3=V$3)*($V$2:$AE$2&lt;V$2))),2))))</f>
      </c>
      <c r="AG218" s="33">
        <f>IF(W218&lt;=0,0,MAX(0,MIN(W218,ROUND($AZ218-SUMPRODUCT($V218:$AE218*($V218:$AE218&gt;0)*(($V218:$AE218&lt;W218)+($V218:$AE218=W218)*($V$3:$AE$3&gt;W$3)+($V218:$AE218=W218)*($V$3:$AE$3=W$3)*($V$2:$AE$2&lt;W$2))),2))))</f>
      </c>
      <c r="AH218" s="33">
        <f>IF(X218&lt;=0,0,MAX(0,MIN(X218,ROUND($AZ218-SUMPRODUCT($V218:$AE218*($V218:$AE218&gt;0)*(($V218:$AE218&lt;X218)+($V218:$AE218=X218)*($V$3:$AE$3&gt;X$3)+($V218:$AE218=X218)*($V$3:$AE$3=X$3)*($V$2:$AE$2&lt;X$2))),2))))</f>
      </c>
      <c r="AI218" s="33">
        <f>IF(Y218&lt;=0,0,MAX(0,MIN(Y218,ROUND($AZ218-SUMPRODUCT($V218:$AE218*($V218:$AE218&gt;0)*(($V218:$AE218&lt;Y218)+($V218:$AE218=Y218)*($V$3:$AE$3&gt;Y$3)+($V218:$AE218=Y218)*($V$3:$AE$3=Y$3)*($V$2:$AE$2&lt;Y$2))),2))))</f>
      </c>
      <c r="AJ218" s="33">
        <f>IF(Z218&lt;=0,0,MAX(0,MIN(Z218,ROUND($AZ218-SUMPRODUCT($V218:$AE218*($V218:$AE218&gt;0)*(($V218:$AE218&lt;Z218)+($V218:$AE218=Z218)*($V$3:$AE$3&gt;Z$3)+($V218:$AE218=Z218)*($V$3:$AE$3=Z$3)*($V$2:$AE$2&lt;Z$2))),2))))</f>
      </c>
      <c r="AK218" s="33">
        <f>IF(AA218&lt;=0,0,MAX(0,MIN(AA218,ROUND($AZ218-SUMPRODUCT($V218:$AE218*($V218:$AE218&gt;0)*(($V218:$AE218&lt;AA218)+($V218:$AE218=AA218)*($V$3:$AE$3&gt;AA$3)+($V218:$AE218=AA218)*($V$3:$AE$3=AA$3)*($V$2:$AE$2&lt;AA$2))),2))))</f>
      </c>
      <c r="AL218" s="33">
        <f>IF(AB218&lt;=0,0,MAX(0,MIN(AB218,ROUND($AZ218-SUMPRODUCT($V218:$AE218*($V218:$AE218&gt;0)*(($V218:$AE218&lt;AB218)+($V218:$AE218=AB218)*($V$3:$AE$3&gt;AB$3)+($V218:$AE218=AB218)*($V$3:$AE$3=AB$3)*($V$2:$AE$2&lt;AB$2))),2))))</f>
      </c>
      <c r="AM218" s="33">
        <f>IF(AC218&lt;=0,0,MAX(0,MIN(AC218,ROUND($AZ218-SUMPRODUCT($V218:$AE218*($V218:$AE218&gt;0)*(($V218:$AE218&lt;AC218)+($V218:$AE218=AC218)*($V$3:$AE$3&gt;AC$3)+($V218:$AE218=AC218)*($V$3:$AE$3=AC$3)*($V$2:$AE$2&lt;AC$2))),2))))</f>
      </c>
      <c r="AN218" s="33">
        <f>IF(AD218&lt;=0,0,MAX(0,MIN(AD218,ROUND($AZ218-SUMPRODUCT($V218:$AE218*($V218:$AE218&gt;0)*(($V218:$AE218&lt;AD218)+($V218:$AE218=AD218)*($V$3:$AE$3&gt;AD$3)+($V218:$AE218=AD218)*($V$3:$AE$3=AD$3)*($V$2:$AE$2&lt;AD$2))),2))))</f>
      </c>
      <c r="AO218" s="33">
        <f>IF(AE218&lt;=0,0,MAX(0,MIN(AE218,ROUND($AZ218-SUMPRODUCT($V218:$AE218*($V218:$AE218&gt;0)*(($V218:$AE218&lt;AE218)+($V218:$AE218=AE218)*($V$3:$AE$3&gt;AE$3)+($V218:$AE218=AE218)*($V$3:$AE$3=AE$3)*($V$2:$AE$2&lt;AE$2))),2))))</f>
      </c>
      <c r="AP218" s="33">
        <f>ROUND(V218-AF218,2)</f>
      </c>
      <c r="AQ218" s="33">
        <f>ROUND(W218-AG218,2)</f>
      </c>
      <c r="AR218" s="33">
        <f>ROUND(X218-AH218,2)</f>
      </c>
      <c r="AS218" s="33">
        <f>ROUND(Y218-AI218,2)</f>
      </c>
      <c r="AT218" s="33">
        <f>ROUND(Z218-AJ218,2)</f>
      </c>
      <c r="AU218" s="33">
        <f>ROUND(AA218-AK218,2)</f>
      </c>
      <c r="AV218" s="33">
        <f>ROUND(AB218-AL218,2)</f>
      </c>
      <c r="AW218" s="33">
        <f>ROUND(AC218-AM218,2)</f>
      </c>
      <c r="AX218" s="33">
        <f>ROUND(AD218-AN218,2)</f>
      </c>
      <c r="AY218" s="33">
        <f>ROUND(AE218-AO218,2)</f>
      </c>
      <c r="AZ218" s="33">
        <f>ROUND(MAX(0,'Your debts'!$D$22-SUM($L218:$U218)),2)</f>
      </c>
      <c r="BA218" s="33">
        <f>ROUND(SUM($B218:$K218)-SUM($AP217:$AY217),2)</f>
      </c>
      <c r="BB218" s="33">
        <f>SUM($AP218:$AY218)</f>
      </c>
      <c r="BC218" s="33">
        <f>ROUND(SUM($L218:$U218)+SUM($AF218:$AO218),2)</f>
      </c>
    </row>
    <row r="219" spans="1:55" x14ac:dyDescent="0.25">
      <c r="A219">
        <v>212</v>
      </c>
      <c r="B219" s="33">
        <f>IF(AP218&lt;=0,0,ROUND(AP218+ROUND(AP218*V$3/12,2),2))</f>
      </c>
      <c r="C219" s="33">
        <f>IF(AQ218&lt;=0,0,ROUND(AQ218+ROUND(AQ218*W$3/12,2),2))</f>
      </c>
      <c r="D219" s="33">
        <f>IF(AR218&lt;=0,0,ROUND(AR218+ROUND(AR218*X$3/12,2),2))</f>
      </c>
      <c r="E219" s="33">
        <f>IF(AS218&lt;=0,0,ROUND(AS218+ROUND(AS218*Y$3/12,2),2))</f>
      </c>
      <c r="F219" s="33">
        <f>IF(AT218&lt;=0,0,ROUND(AT218+ROUND(AT218*Z$3/12,2),2))</f>
      </c>
      <c r="G219" s="33">
        <f>IF(AU218&lt;=0,0,ROUND(AU218+ROUND(AU218*AA$3/12,2),2))</f>
      </c>
      <c r="H219" s="33">
        <f>IF(AV218&lt;=0,0,ROUND(AV218+ROUND(AV218*AB$3/12,2),2))</f>
      </c>
      <c r="I219" s="33">
        <f>IF(AW218&lt;=0,0,ROUND(AW218+ROUND(AW218*AC$3/12,2),2))</f>
      </c>
      <c r="J219" s="33">
        <f>IF(AX218&lt;=0,0,ROUND(AX218+ROUND(AX218*AD$3/12,2),2))</f>
      </c>
      <c r="K219" s="33">
        <f>IF(AY218&lt;=0,0,ROUND(AY218+ROUND(AY218*AE$3/12,2),2))</f>
      </c>
      <c r="L219" s="33">
        <f>ROUND(MIN(MAX(0,N('Your debts'!$E$6)),B219),2)</f>
      </c>
      <c r="M219" s="33">
        <f>ROUND(MIN(MAX(0,N('Your debts'!$E$7)),C219),2)</f>
      </c>
      <c r="N219" s="33">
        <f>ROUND(MIN(MAX(0,N('Your debts'!$E$8)),D219),2)</f>
      </c>
      <c r="O219" s="33">
        <f>ROUND(MIN(MAX(0,N('Your debts'!$E$9)),E219),2)</f>
      </c>
      <c r="P219" s="33">
        <f>ROUND(MIN(MAX(0,N('Your debts'!$E$10)),F219),2)</f>
      </c>
      <c r="Q219" s="33">
        <f>ROUND(MIN(MAX(0,N('Your debts'!$E$11)),G219),2)</f>
      </c>
      <c r="R219" s="33">
        <f>ROUND(MIN(MAX(0,N('Your debts'!$E$12)),H219),2)</f>
      </c>
      <c r="S219" s="33">
        <f>ROUND(MIN(MAX(0,N('Your debts'!$E$13)),I219),2)</f>
      </c>
      <c r="T219" s="33">
        <f>ROUND(MIN(MAX(0,N('Your debts'!$E$14)),J219),2)</f>
      </c>
      <c r="U219" s="33">
        <f>ROUND(MIN(MAX(0,N('Your debts'!$E$15)),K219),2)</f>
      </c>
      <c r="V219" s="33">
        <f>ROUND(B219-L219,2)</f>
      </c>
      <c r="W219" s="33">
        <f>ROUND(C219-M219,2)</f>
      </c>
      <c r="X219" s="33">
        <f>ROUND(D219-N219,2)</f>
      </c>
      <c r="Y219" s="33">
        <f>ROUND(E219-O219,2)</f>
      </c>
      <c r="Z219" s="33">
        <f>ROUND(F219-P219,2)</f>
      </c>
      <c r="AA219" s="33">
        <f>ROUND(G219-Q219,2)</f>
      </c>
      <c r="AB219" s="33">
        <f>ROUND(H219-R219,2)</f>
      </c>
      <c r="AC219" s="33">
        <f>ROUND(I219-S219,2)</f>
      </c>
      <c r="AD219" s="33">
        <f>ROUND(J219-T219,2)</f>
      </c>
      <c r="AE219" s="33">
        <f>ROUND(K219-U219,2)</f>
      </c>
      <c r="AF219" s="33">
        <f>IF(V219&lt;=0,0,MAX(0,MIN(V219,ROUND($AZ219-SUMPRODUCT($V219:$AE219*($V219:$AE219&gt;0)*(($V219:$AE219&lt;V219)+($V219:$AE219=V219)*($V$3:$AE$3&gt;V$3)+($V219:$AE219=V219)*($V$3:$AE$3=V$3)*($V$2:$AE$2&lt;V$2))),2))))</f>
      </c>
      <c r="AG219" s="33">
        <f>IF(W219&lt;=0,0,MAX(0,MIN(W219,ROUND($AZ219-SUMPRODUCT($V219:$AE219*($V219:$AE219&gt;0)*(($V219:$AE219&lt;W219)+($V219:$AE219=W219)*($V$3:$AE$3&gt;W$3)+($V219:$AE219=W219)*($V$3:$AE$3=W$3)*($V$2:$AE$2&lt;W$2))),2))))</f>
      </c>
      <c r="AH219" s="33">
        <f>IF(X219&lt;=0,0,MAX(0,MIN(X219,ROUND($AZ219-SUMPRODUCT($V219:$AE219*($V219:$AE219&gt;0)*(($V219:$AE219&lt;X219)+($V219:$AE219=X219)*($V$3:$AE$3&gt;X$3)+($V219:$AE219=X219)*($V$3:$AE$3=X$3)*($V$2:$AE$2&lt;X$2))),2))))</f>
      </c>
      <c r="AI219" s="33">
        <f>IF(Y219&lt;=0,0,MAX(0,MIN(Y219,ROUND($AZ219-SUMPRODUCT($V219:$AE219*($V219:$AE219&gt;0)*(($V219:$AE219&lt;Y219)+($V219:$AE219=Y219)*($V$3:$AE$3&gt;Y$3)+($V219:$AE219=Y219)*($V$3:$AE$3=Y$3)*($V$2:$AE$2&lt;Y$2))),2))))</f>
      </c>
      <c r="AJ219" s="33">
        <f>IF(Z219&lt;=0,0,MAX(0,MIN(Z219,ROUND($AZ219-SUMPRODUCT($V219:$AE219*($V219:$AE219&gt;0)*(($V219:$AE219&lt;Z219)+($V219:$AE219=Z219)*($V$3:$AE$3&gt;Z$3)+($V219:$AE219=Z219)*($V$3:$AE$3=Z$3)*($V$2:$AE$2&lt;Z$2))),2))))</f>
      </c>
      <c r="AK219" s="33">
        <f>IF(AA219&lt;=0,0,MAX(0,MIN(AA219,ROUND($AZ219-SUMPRODUCT($V219:$AE219*($V219:$AE219&gt;0)*(($V219:$AE219&lt;AA219)+($V219:$AE219=AA219)*($V$3:$AE$3&gt;AA$3)+($V219:$AE219=AA219)*($V$3:$AE$3=AA$3)*($V$2:$AE$2&lt;AA$2))),2))))</f>
      </c>
      <c r="AL219" s="33">
        <f>IF(AB219&lt;=0,0,MAX(0,MIN(AB219,ROUND($AZ219-SUMPRODUCT($V219:$AE219*($V219:$AE219&gt;0)*(($V219:$AE219&lt;AB219)+($V219:$AE219=AB219)*($V$3:$AE$3&gt;AB$3)+($V219:$AE219=AB219)*($V$3:$AE$3=AB$3)*($V$2:$AE$2&lt;AB$2))),2))))</f>
      </c>
      <c r="AM219" s="33">
        <f>IF(AC219&lt;=0,0,MAX(0,MIN(AC219,ROUND($AZ219-SUMPRODUCT($V219:$AE219*($V219:$AE219&gt;0)*(($V219:$AE219&lt;AC219)+($V219:$AE219=AC219)*($V$3:$AE$3&gt;AC$3)+($V219:$AE219=AC219)*($V$3:$AE$3=AC$3)*($V$2:$AE$2&lt;AC$2))),2))))</f>
      </c>
      <c r="AN219" s="33">
        <f>IF(AD219&lt;=0,0,MAX(0,MIN(AD219,ROUND($AZ219-SUMPRODUCT($V219:$AE219*($V219:$AE219&gt;0)*(($V219:$AE219&lt;AD219)+($V219:$AE219=AD219)*($V$3:$AE$3&gt;AD$3)+($V219:$AE219=AD219)*($V$3:$AE$3=AD$3)*($V$2:$AE$2&lt;AD$2))),2))))</f>
      </c>
      <c r="AO219" s="33">
        <f>IF(AE219&lt;=0,0,MAX(0,MIN(AE219,ROUND($AZ219-SUMPRODUCT($V219:$AE219*($V219:$AE219&gt;0)*(($V219:$AE219&lt;AE219)+($V219:$AE219=AE219)*($V$3:$AE$3&gt;AE$3)+($V219:$AE219=AE219)*($V$3:$AE$3=AE$3)*($V$2:$AE$2&lt;AE$2))),2))))</f>
      </c>
      <c r="AP219" s="33">
        <f>ROUND(V219-AF219,2)</f>
      </c>
      <c r="AQ219" s="33">
        <f>ROUND(W219-AG219,2)</f>
      </c>
      <c r="AR219" s="33">
        <f>ROUND(X219-AH219,2)</f>
      </c>
      <c r="AS219" s="33">
        <f>ROUND(Y219-AI219,2)</f>
      </c>
      <c r="AT219" s="33">
        <f>ROUND(Z219-AJ219,2)</f>
      </c>
      <c r="AU219" s="33">
        <f>ROUND(AA219-AK219,2)</f>
      </c>
      <c r="AV219" s="33">
        <f>ROUND(AB219-AL219,2)</f>
      </c>
      <c r="AW219" s="33">
        <f>ROUND(AC219-AM219,2)</f>
      </c>
      <c r="AX219" s="33">
        <f>ROUND(AD219-AN219,2)</f>
      </c>
      <c r="AY219" s="33">
        <f>ROUND(AE219-AO219,2)</f>
      </c>
      <c r="AZ219" s="33">
        <f>ROUND(MAX(0,'Your debts'!$D$22-SUM($L219:$U219)),2)</f>
      </c>
      <c r="BA219" s="33">
        <f>ROUND(SUM($B219:$K219)-SUM($AP218:$AY218),2)</f>
      </c>
      <c r="BB219" s="33">
        <f>SUM($AP219:$AY219)</f>
      </c>
      <c r="BC219" s="33">
        <f>ROUND(SUM($L219:$U219)+SUM($AF219:$AO219),2)</f>
      </c>
    </row>
    <row r="220" spans="1:55" x14ac:dyDescent="0.25">
      <c r="A220">
        <v>213</v>
      </c>
      <c r="B220" s="33">
        <f>IF(AP219&lt;=0,0,ROUND(AP219+ROUND(AP219*V$3/12,2),2))</f>
      </c>
      <c r="C220" s="33">
        <f>IF(AQ219&lt;=0,0,ROUND(AQ219+ROUND(AQ219*W$3/12,2),2))</f>
      </c>
      <c r="D220" s="33">
        <f>IF(AR219&lt;=0,0,ROUND(AR219+ROUND(AR219*X$3/12,2),2))</f>
      </c>
      <c r="E220" s="33">
        <f>IF(AS219&lt;=0,0,ROUND(AS219+ROUND(AS219*Y$3/12,2),2))</f>
      </c>
      <c r="F220" s="33">
        <f>IF(AT219&lt;=0,0,ROUND(AT219+ROUND(AT219*Z$3/12,2),2))</f>
      </c>
      <c r="G220" s="33">
        <f>IF(AU219&lt;=0,0,ROUND(AU219+ROUND(AU219*AA$3/12,2),2))</f>
      </c>
      <c r="H220" s="33">
        <f>IF(AV219&lt;=0,0,ROUND(AV219+ROUND(AV219*AB$3/12,2),2))</f>
      </c>
      <c r="I220" s="33">
        <f>IF(AW219&lt;=0,0,ROUND(AW219+ROUND(AW219*AC$3/12,2),2))</f>
      </c>
      <c r="J220" s="33">
        <f>IF(AX219&lt;=0,0,ROUND(AX219+ROUND(AX219*AD$3/12,2),2))</f>
      </c>
      <c r="K220" s="33">
        <f>IF(AY219&lt;=0,0,ROUND(AY219+ROUND(AY219*AE$3/12,2),2))</f>
      </c>
      <c r="L220" s="33">
        <f>ROUND(MIN(MAX(0,N('Your debts'!$E$6)),B220),2)</f>
      </c>
      <c r="M220" s="33">
        <f>ROUND(MIN(MAX(0,N('Your debts'!$E$7)),C220),2)</f>
      </c>
      <c r="N220" s="33">
        <f>ROUND(MIN(MAX(0,N('Your debts'!$E$8)),D220),2)</f>
      </c>
      <c r="O220" s="33">
        <f>ROUND(MIN(MAX(0,N('Your debts'!$E$9)),E220),2)</f>
      </c>
      <c r="P220" s="33">
        <f>ROUND(MIN(MAX(0,N('Your debts'!$E$10)),F220),2)</f>
      </c>
      <c r="Q220" s="33">
        <f>ROUND(MIN(MAX(0,N('Your debts'!$E$11)),G220),2)</f>
      </c>
      <c r="R220" s="33">
        <f>ROUND(MIN(MAX(0,N('Your debts'!$E$12)),H220),2)</f>
      </c>
      <c r="S220" s="33">
        <f>ROUND(MIN(MAX(0,N('Your debts'!$E$13)),I220),2)</f>
      </c>
      <c r="T220" s="33">
        <f>ROUND(MIN(MAX(0,N('Your debts'!$E$14)),J220),2)</f>
      </c>
      <c r="U220" s="33">
        <f>ROUND(MIN(MAX(0,N('Your debts'!$E$15)),K220),2)</f>
      </c>
      <c r="V220" s="33">
        <f>ROUND(B220-L220,2)</f>
      </c>
      <c r="W220" s="33">
        <f>ROUND(C220-M220,2)</f>
      </c>
      <c r="X220" s="33">
        <f>ROUND(D220-N220,2)</f>
      </c>
      <c r="Y220" s="33">
        <f>ROUND(E220-O220,2)</f>
      </c>
      <c r="Z220" s="33">
        <f>ROUND(F220-P220,2)</f>
      </c>
      <c r="AA220" s="33">
        <f>ROUND(G220-Q220,2)</f>
      </c>
      <c r="AB220" s="33">
        <f>ROUND(H220-R220,2)</f>
      </c>
      <c r="AC220" s="33">
        <f>ROUND(I220-S220,2)</f>
      </c>
      <c r="AD220" s="33">
        <f>ROUND(J220-T220,2)</f>
      </c>
      <c r="AE220" s="33">
        <f>ROUND(K220-U220,2)</f>
      </c>
      <c r="AF220" s="33">
        <f>IF(V220&lt;=0,0,MAX(0,MIN(V220,ROUND($AZ220-SUMPRODUCT($V220:$AE220*($V220:$AE220&gt;0)*(($V220:$AE220&lt;V220)+($V220:$AE220=V220)*($V$3:$AE$3&gt;V$3)+($V220:$AE220=V220)*($V$3:$AE$3=V$3)*($V$2:$AE$2&lt;V$2))),2))))</f>
      </c>
      <c r="AG220" s="33">
        <f>IF(W220&lt;=0,0,MAX(0,MIN(W220,ROUND($AZ220-SUMPRODUCT($V220:$AE220*($V220:$AE220&gt;0)*(($V220:$AE220&lt;W220)+($V220:$AE220=W220)*($V$3:$AE$3&gt;W$3)+($V220:$AE220=W220)*($V$3:$AE$3=W$3)*($V$2:$AE$2&lt;W$2))),2))))</f>
      </c>
      <c r="AH220" s="33">
        <f>IF(X220&lt;=0,0,MAX(0,MIN(X220,ROUND($AZ220-SUMPRODUCT($V220:$AE220*($V220:$AE220&gt;0)*(($V220:$AE220&lt;X220)+($V220:$AE220=X220)*($V$3:$AE$3&gt;X$3)+($V220:$AE220=X220)*($V$3:$AE$3=X$3)*($V$2:$AE$2&lt;X$2))),2))))</f>
      </c>
      <c r="AI220" s="33">
        <f>IF(Y220&lt;=0,0,MAX(0,MIN(Y220,ROUND($AZ220-SUMPRODUCT($V220:$AE220*($V220:$AE220&gt;0)*(($V220:$AE220&lt;Y220)+($V220:$AE220=Y220)*($V$3:$AE$3&gt;Y$3)+($V220:$AE220=Y220)*($V$3:$AE$3=Y$3)*($V$2:$AE$2&lt;Y$2))),2))))</f>
      </c>
      <c r="AJ220" s="33">
        <f>IF(Z220&lt;=0,0,MAX(0,MIN(Z220,ROUND($AZ220-SUMPRODUCT($V220:$AE220*($V220:$AE220&gt;0)*(($V220:$AE220&lt;Z220)+($V220:$AE220=Z220)*($V$3:$AE$3&gt;Z$3)+($V220:$AE220=Z220)*($V$3:$AE$3=Z$3)*($V$2:$AE$2&lt;Z$2))),2))))</f>
      </c>
      <c r="AK220" s="33">
        <f>IF(AA220&lt;=0,0,MAX(0,MIN(AA220,ROUND($AZ220-SUMPRODUCT($V220:$AE220*($V220:$AE220&gt;0)*(($V220:$AE220&lt;AA220)+($V220:$AE220=AA220)*($V$3:$AE$3&gt;AA$3)+($V220:$AE220=AA220)*($V$3:$AE$3=AA$3)*($V$2:$AE$2&lt;AA$2))),2))))</f>
      </c>
      <c r="AL220" s="33">
        <f>IF(AB220&lt;=0,0,MAX(0,MIN(AB220,ROUND($AZ220-SUMPRODUCT($V220:$AE220*($V220:$AE220&gt;0)*(($V220:$AE220&lt;AB220)+($V220:$AE220=AB220)*($V$3:$AE$3&gt;AB$3)+($V220:$AE220=AB220)*($V$3:$AE$3=AB$3)*($V$2:$AE$2&lt;AB$2))),2))))</f>
      </c>
      <c r="AM220" s="33">
        <f>IF(AC220&lt;=0,0,MAX(0,MIN(AC220,ROUND($AZ220-SUMPRODUCT($V220:$AE220*($V220:$AE220&gt;0)*(($V220:$AE220&lt;AC220)+($V220:$AE220=AC220)*($V$3:$AE$3&gt;AC$3)+($V220:$AE220=AC220)*($V$3:$AE$3=AC$3)*($V$2:$AE$2&lt;AC$2))),2))))</f>
      </c>
      <c r="AN220" s="33">
        <f>IF(AD220&lt;=0,0,MAX(0,MIN(AD220,ROUND($AZ220-SUMPRODUCT($V220:$AE220*($V220:$AE220&gt;0)*(($V220:$AE220&lt;AD220)+($V220:$AE220=AD220)*($V$3:$AE$3&gt;AD$3)+($V220:$AE220=AD220)*($V$3:$AE$3=AD$3)*($V$2:$AE$2&lt;AD$2))),2))))</f>
      </c>
      <c r="AO220" s="33">
        <f>IF(AE220&lt;=0,0,MAX(0,MIN(AE220,ROUND($AZ220-SUMPRODUCT($V220:$AE220*($V220:$AE220&gt;0)*(($V220:$AE220&lt;AE220)+($V220:$AE220=AE220)*($V$3:$AE$3&gt;AE$3)+($V220:$AE220=AE220)*($V$3:$AE$3=AE$3)*($V$2:$AE$2&lt;AE$2))),2))))</f>
      </c>
      <c r="AP220" s="33">
        <f>ROUND(V220-AF220,2)</f>
      </c>
      <c r="AQ220" s="33">
        <f>ROUND(W220-AG220,2)</f>
      </c>
      <c r="AR220" s="33">
        <f>ROUND(X220-AH220,2)</f>
      </c>
      <c r="AS220" s="33">
        <f>ROUND(Y220-AI220,2)</f>
      </c>
      <c r="AT220" s="33">
        <f>ROUND(Z220-AJ220,2)</f>
      </c>
      <c r="AU220" s="33">
        <f>ROUND(AA220-AK220,2)</f>
      </c>
      <c r="AV220" s="33">
        <f>ROUND(AB220-AL220,2)</f>
      </c>
      <c r="AW220" s="33">
        <f>ROUND(AC220-AM220,2)</f>
      </c>
      <c r="AX220" s="33">
        <f>ROUND(AD220-AN220,2)</f>
      </c>
      <c r="AY220" s="33">
        <f>ROUND(AE220-AO220,2)</f>
      </c>
      <c r="AZ220" s="33">
        <f>ROUND(MAX(0,'Your debts'!$D$22-SUM($L220:$U220)),2)</f>
      </c>
      <c r="BA220" s="33">
        <f>ROUND(SUM($B220:$K220)-SUM($AP219:$AY219),2)</f>
      </c>
      <c r="BB220" s="33">
        <f>SUM($AP220:$AY220)</f>
      </c>
      <c r="BC220" s="33">
        <f>ROUND(SUM($L220:$U220)+SUM($AF220:$AO220),2)</f>
      </c>
    </row>
    <row r="221" spans="1:55" x14ac:dyDescent="0.25">
      <c r="A221">
        <v>214</v>
      </c>
      <c r="B221" s="33">
        <f>IF(AP220&lt;=0,0,ROUND(AP220+ROUND(AP220*V$3/12,2),2))</f>
      </c>
      <c r="C221" s="33">
        <f>IF(AQ220&lt;=0,0,ROUND(AQ220+ROUND(AQ220*W$3/12,2),2))</f>
      </c>
      <c r="D221" s="33">
        <f>IF(AR220&lt;=0,0,ROUND(AR220+ROUND(AR220*X$3/12,2),2))</f>
      </c>
      <c r="E221" s="33">
        <f>IF(AS220&lt;=0,0,ROUND(AS220+ROUND(AS220*Y$3/12,2),2))</f>
      </c>
      <c r="F221" s="33">
        <f>IF(AT220&lt;=0,0,ROUND(AT220+ROUND(AT220*Z$3/12,2),2))</f>
      </c>
      <c r="G221" s="33">
        <f>IF(AU220&lt;=0,0,ROUND(AU220+ROUND(AU220*AA$3/12,2),2))</f>
      </c>
      <c r="H221" s="33">
        <f>IF(AV220&lt;=0,0,ROUND(AV220+ROUND(AV220*AB$3/12,2),2))</f>
      </c>
      <c r="I221" s="33">
        <f>IF(AW220&lt;=0,0,ROUND(AW220+ROUND(AW220*AC$3/12,2),2))</f>
      </c>
      <c r="J221" s="33">
        <f>IF(AX220&lt;=0,0,ROUND(AX220+ROUND(AX220*AD$3/12,2),2))</f>
      </c>
      <c r="K221" s="33">
        <f>IF(AY220&lt;=0,0,ROUND(AY220+ROUND(AY220*AE$3/12,2),2))</f>
      </c>
      <c r="L221" s="33">
        <f>ROUND(MIN(MAX(0,N('Your debts'!$E$6)),B221),2)</f>
      </c>
      <c r="M221" s="33">
        <f>ROUND(MIN(MAX(0,N('Your debts'!$E$7)),C221),2)</f>
      </c>
      <c r="N221" s="33">
        <f>ROUND(MIN(MAX(0,N('Your debts'!$E$8)),D221),2)</f>
      </c>
      <c r="O221" s="33">
        <f>ROUND(MIN(MAX(0,N('Your debts'!$E$9)),E221),2)</f>
      </c>
      <c r="P221" s="33">
        <f>ROUND(MIN(MAX(0,N('Your debts'!$E$10)),F221),2)</f>
      </c>
      <c r="Q221" s="33">
        <f>ROUND(MIN(MAX(0,N('Your debts'!$E$11)),G221),2)</f>
      </c>
      <c r="R221" s="33">
        <f>ROUND(MIN(MAX(0,N('Your debts'!$E$12)),H221),2)</f>
      </c>
      <c r="S221" s="33">
        <f>ROUND(MIN(MAX(0,N('Your debts'!$E$13)),I221),2)</f>
      </c>
      <c r="T221" s="33">
        <f>ROUND(MIN(MAX(0,N('Your debts'!$E$14)),J221),2)</f>
      </c>
      <c r="U221" s="33">
        <f>ROUND(MIN(MAX(0,N('Your debts'!$E$15)),K221),2)</f>
      </c>
      <c r="V221" s="33">
        <f>ROUND(B221-L221,2)</f>
      </c>
      <c r="W221" s="33">
        <f>ROUND(C221-M221,2)</f>
      </c>
      <c r="X221" s="33">
        <f>ROUND(D221-N221,2)</f>
      </c>
      <c r="Y221" s="33">
        <f>ROUND(E221-O221,2)</f>
      </c>
      <c r="Z221" s="33">
        <f>ROUND(F221-P221,2)</f>
      </c>
      <c r="AA221" s="33">
        <f>ROUND(G221-Q221,2)</f>
      </c>
      <c r="AB221" s="33">
        <f>ROUND(H221-R221,2)</f>
      </c>
      <c r="AC221" s="33">
        <f>ROUND(I221-S221,2)</f>
      </c>
      <c r="AD221" s="33">
        <f>ROUND(J221-T221,2)</f>
      </c>
      <c r="AE221" s="33">
        <f>ROUND(K221-U221,2)</f>
      </c>
      <c r="AF221" s="33">
        <f>IF(V221&lt;=0,0,MAX(0,MIN(V221,ROUND($AZ221-SUMPRODUCT($V221:$AE221*($V221:$AE221&gt;0)*(($V221:$AE221&lt;V221)+($V221:$AE221=V221)*($V$3:$AE$3&gt;V$3)+($V221:$AE221=V221)*($V$3:$AE$3=V$3)*($V$2:$AE$2&lt;V$2))),2))))</f>
      </c>
      <c r="AG221" s="33">
        <f>IF(W221&lt;=0,0,MAX(0,MIN(W221,ROUND($AZ221-SUMPRODUCT($V221:$AE221*($V221:$AE221&gt;0)*(($V221:$AE221&lt;W221)+($V221:$AE221=W221)*($V$3:$AE$3&gt;W$3)+($V221:$AE221=W221)*($V$3:$AE$3=W$3)*($V$2:$AE$2&lt;W$2))),2))))</f>
      </c>
      <c r="AH221" s="33">
        <f>IF(X221&lt;=0,0,MAX(0,MIN(X221,ROUND($AZ221-SUMPRODUCT($V221:$AE221*($V221:$AE221&gt;0)*(($V221:$AE221&lt;X221)+($V221:$AE221=X221)*($V$3:$AE$3&gt;X$3)+($V221:$AE221=X221)*($V$3:$AE$3=X$3)*($V$2:$AE$2&lt;X$2))),2))))</f>
      </c>
      <c r="AI221" s="33">
        <f>IF(Y221&lt;=0,0,MAX(0,MIN(Y221,ROUND($AZ221-SUMPRODUCT($V221:$AE221*($V221:$AE221&gt;0)*(($V221:$AE221&lt;Y221)+($V221:$AE221=Y221)*($V$3:$AE$3&gt;Y$3)+($V221:$AE221=Y221)*($V$3:$AE$3=Y$3)*($V$2:$AE$2&lt;Y$2))),2))))</f>
      </c>
      <c r="AJ221" s="33">
        <f>IF(Z221&lt;=0,0,MAX(0,MIN(Z221,ROUND($AZ221-SUMPRODUCT($V221:$AE221*($V221:$AE221&gt;0)*(($V221:$AE221&lt;Z221)+($V221:$AE221=Z221)*($V$3:$AE$3&gt;Z$3)+($V221:$AE221=Z221)*($V$3:$AE$3=Z$3)*($V$2:$AE$2&lt;Z$2))),2))))</f>
      </c>
      <c r="AK221" s="33">
        <f>IF(AA221&lt;=0,0,MAX(0,MIN(AA221,ROUND($AZ221-SUMPRODUCT($V221:$AE221*($V221:$AE221&gt;0)*(($V221:$AE221&lt;AA221)+($V221:$AE221=AA221)*($V$3:$AE$3&gt;AA$3)+($V221:$AE221=AA221)*($V$3:$AE$3=AA$3)*($V$2:$AE$2&lt;AA$2))),2))))</f>
      </c>
      <c r="AL221" s="33">
        <f>IF(AB221&lt;=0,0,MAX(0,MIN(AB221,ROUND($AZ221-SUMPRODUCT($V221:$AE221*($V221:$AE221&gt;0)*(($V221:$AE221&lt;AB221)+($V221:$AE221=AB221)*($V$3:$AE$3&gt;AB$3)+($V221:$AE221=AB221)*($V$3:$AE$3=AB$3)*($V$2:$AE$2&lt;AB$2))),2))))</f>
      </c>
      <c r="AM221" s="33">
        <f>IF(AC221&lt;=0,0,MAX(0,MIN(AC221,ROUND($AZ221-SUMPRODUCT($V221:$AE221*($V221:$AE221&gt;0)*(($V221:$AE221&lt;AC221)+($V221:$AE221=AC221)*($V$3:$AE$3&gt;AC$3)+($V221:$AE221=AC221)*($V$3:$AE$3=AC$3)*($V$2:$AE$2&lt;AC$2))),2))))</f>
      </c>
      <c r="AN221" s="33">
        <f>IF(AD221&lt;=0,0,MAX(0,MIN(AD221,ROUND($AZ221-SUMPRODUCT($V221:$AE221*($V221:$AE221&gt;0)*(($V221:$AE221&lt;AD221)+($V221:$AE221=AD221)*($V$3:$AE$3&gt;AD$3)+($V221:$AE221=AD221)*($V$3:$AE$3=AD$3)*($V$2:$AE$2&lt;AD$2))),2))))</f>
      </c>
      <c r="AO221" s="33">
        <f>IF(AE221&lt;=0,0,MAX(0,MIN(AE221,ROUND($AZ221-SUMPRODUCT($V221:$AE221*($V221:$AE221&gt;0)*(($V221:$AE221&lt;AE221)+($V221:$AE221=AE221)*($V$3:$AE$3&gt;AE$3)+($V221:$AE221=AE221)*($V$3:$AE$3=AE$3)*($V$2:$AE$2&lt;AE$2))),2))))</f>
      </c>
      <c r="AP221" s="33">
        <f>ROUND(V221-AF221,2)</f>
      </c>
      <c r="AQ221" s="33">
        <f>ROUND(W221-AG221,2)</f>
      </c>
      <c r="AR221" s="33">
        <f>ROUND(X221-AH221,2)</f>
      </c>
      <c r="AS221" s="33">
        <f>ROUND(Y221-AI221,2)</f>
      </c>
      <c r="AT221" s="33">
        <f>ROUND(Z221-AJ221,2)</f>
      </c>
      <c r="AU221" s="33">
        <f>ROUND(AA221-AK221,2)</f>
      </c>
      <c r="AV221" s="33">
        <f>ROUND(AB221-AL221,2)</f>
      </c>
      <c r="AW221" s="33">
        <f>ROUND(AC221-AM221,2)</f>
      </c>
      <c r="AX221" s="33">
        <f>ROUND(AD221-AN221,2)</f>
      </c>
      <c r="AY221" s="33">
        <f>ROUND(AE221-AO221,2)</f>
      </c>
      <c r="AZ221" s="33">
        <f>ROUND(MAX(0,'Your debts'!$D$22-SUM($L221:$U221)),2)</f>
      </c>
      <c r="BA221" s="33">
        <f>ROUND(SUM($B221:$K221)-SUM($AP220:$AY220),2)</f>
      </c>
      <c r="BB221" s="33">
        <f>SUM($AP221:$AY221)</f>
      </c>
      <c r="BC221" s="33">
        <f>ROUND(SUM($L221:$U221)+SUM($AF221:$AO221),2)</f>
      </c>
    </row>
    <row r="222" spans="1:55" x14ac:dyDescent="0.25">
      <c r="A222">
        <v>215</v>
      </c>
      <c r="B222" s="33">
        <f>IF(AP221&lt;=0,0,ROUND(AP221+ROUND(AP221*V$3/12,2),2))</f>
      </c>
      <c r="C222" s="33">
        <f>IF(AQ221&lt;=0,0,ROUND(AQ221+ROUND(AQ221*W$3/12,2),2))</f>
      </c>
      <c r="D222" s="33">
        <f>IF(AR221&lt;=0,0,ROUND(AR221+ROUND(AR221*X$3/12,2),2))</f>
      </c>
      <c r="E222" s="33">
        <f>IF(AS221&lt;=0,0,ROUND(AS221+ROUND(AS221*Y$3/12,2),2))</f>
      </c>
      <c r="F222" s="33">
        <f>IF(AT221&lt;=0,0,ROUND(AT221+ROUND(AT221*Z$3/12,2),2))</f>
      </c>
      <c r="G222" s="33">
        <f>IF(AU221&lt;=0,0,ROUND(AU221+ROUND(AU221*AA$3/12,2),2))</f>
      </c>
      <c r="H222" s="33">
        <f>IF(AV221&lt;=0,0,ROUND(AV221+ROUND(AV221*AB$3/12,2),2))</f>
      </c>
      <c r="I222" s="33">
        <f>IF(AW221&lt;=0,0,ROUND(AW221+ROUND(AW221*AC$3/12,2),2))</f>
      </c>
      <c r="J222" s="33">
        <f>IF(AX221&lt;=0,0,ROUND(AX221+ROUND(AX221*AD$3/12,2),2))</f>
      </c>
      <c r="K222" s="33">
        <f>IF(AY221&lt;=0,0,ROUND(AY221+ROUND(AY221*AE$3/12,2),2))</f>
      </c>
      <c r="L222" s="33">
        <f>ROUND(MIN(MAX(0,N('Your debts'!$E$6)),B222),2)</f>
      </c>
      <c r="M222" s="33">
        <f>ROUND(MIN(MAX(0,N('Your debts'!$E$7)),C222),2)</f>
      </c>
      <c r="N222" s="33">
        <f>ROUND(MIN(MAX(0,N('Your debts'!$E$8)),D222),2)</f>
      </c>
      <c r="O222" s="33">
        <f>ROUND(MIN(MAX(0,N('Your debts'!$E$9)),E222),2)</f>
      </c>
      <c r="P222" s="33">
        <f>ROUND(MIN(MAX(0,N('Your debts'!$E$10)),F222),2)</f>
      </c>
      <c r="Q222" s="33">
        <f>ROUND(MIN(MAX(0,N('Your debts'!$E$11)),G222),2)</f>
      </c>
      <c r="R222" s="33">
        <f>ROUND(MIN(MAX(0,N('Your debts'!$E$12)),H222),2)</f>
      </c>
      <c r="S222" s="33">
        <f>ROUND(MIN(MAX(0,N('Your debts'!$E$13)),I222),2)</f>
      </c>
      <c r="T222" s="33">
        <f>ROUND(MIN(MAX(0,N('Your debts'!$E$14)),J222),2)</f>
      </c>
      <c r="U222" s="33">
        <f>ROUND(MIN(MAX(0,N('Your debts'!$E$15)),K222),2)</f>
      </c>
      <c r="V222" s="33">
        <f>ROUND(B222-L222,2)</f>
      </c>
      <c r="W222" s="33">
        <f>ROUND(C222-M222,2)</f>
      </c>
      <c r="X222" s="33">
        <f>ROUND(D222-N222,2)</f>
      </c>
      <c r="Y222" s="33">
        <f>ROUND(E222-O222,2)</f>
      </c>
      <c r="Z222" s="33">
        <f>ROUND(F222-P222,2)</f>
      </c>
      <c r="AA222" s="33">
        <f>ROUND(G222-Q222,2)</f>
      </c>
      <c r="AB222" s="33">
        <f>ROUND(H222-R222,2)</f>
      </c>
      <c r="AC222" s="33">
        <f>ROUND(I222-S222,2)</f>
      </c>
      <c r="AD222" s="33">
        <f>ROUND(J222-T222,2)</f>
      </c>
      <c r="AE222" s="33">
        <f>ROUND(K222-U222,2)</f>
      </c>
      <c r="AF222" s="33">
        <f>IF(V222&lt;=0,0,MAX(0,MIN(V222,ROUND($AZ222-SUMPRODUCT($V222:$AE222*($V222:$AE222&gt;0)*(($V222:$AE222&lt;V222)+($V222:$AE222=V222)*($V$3:$AE$3&gt;V$3)+($V222:$AE222=V222)*($V$3:$AE$3=V$3)*($V$2:$AE$2&lt;V$2))),2))))</f>
      </c>
      <c r="AG222" s="33">
        <f>IF(W222&lt;=0,0,MAX(0,MIN(W222,ROUND($AZ222-SUMPRODUCT($V222:$AE222*($V222:$AE222&gt;0)*(($V222:$AE222&lt;W222)+($V222:$AE222=W222)*($V$3:$AE$3&gt;W$3)+($V222:$AE222=W222)*($V$3:$AE$3=W$3)*($V$2:$AE$2&lt;W$2))),2))))</f>
      </c>
      <c r="AH222" s="33">
        <f>IF(X222&lt;=0,0,MAX(0,MIN(X222,ROUND($AZ222-SUMPRODUCT($V222:$AE222*($V222:$AE222&gt;0)*(($V222:$AE222&lt;X222)+($V222:$AE222=X222)*($V$3:$AE$3&gt;X$3)+($V222:$AE222=X222)*($V$3:$AE$3=X$3)*($V$2:$AE$2&lt;X$2))),2))))</f>
      </c>
      <c r="AI222" s="33">
        <f>IF(Y222&lt;=0,0,MAX(0,MIN(Y222,ROUND($AZ222-SUMPRODUCT($V222:$AE222*($V222:$AE222&gt;0)*(($V222:$AE222&lt;Y222)+($V222:$AE222=Y222)*($V$3:$AE$3&gt;Y$3)+($V222:$AE222=Y222)*($V$3:$AE$3=Y$3)*($V$2:$AE$2&lt;Y$2))),2))))</f>
      </c>
      <c r="AJ222" s="33">
        <f>IF(Z222&lt;=0,0,MAX(0,MIN(Z222,ROUND($AZ222-SUMPRODUCT($V222:$AE222*($V222:$AE222&gt;0)*(($V222:$AE222&lt;Z222)+($V222:$AE222=Z222)*($V$3:$AE$3&gt;Z$3)+($V222:$AE222=Z222)*($V$3:$AE$3=Z$3)*($V$2:$AE$2&lt;Z$2))),2))))</f>
      </c>
      <c r="AK222" s="33">
        <f>IF(AA222&lt;=0,0,MAX(0,MIN(AA222,ROUND($AZ222-SUMPRODUCT($V222:$AE222*($V222:$AE222&gt;0)*(($V222:$AE222&lt;AA222)+($V222:$AE222=AA222)*($V$3:$AE$3&gt;AA$3)+($V222:$AE222=AA222)*($V$3:$AE$3=AA$3)*($V$2:$AE$2&lt;AA$2))),2))))</f>
      </c>
      <c r="AL222" s="33">
        <f>IF(AB222&lt;=0,0,MAX(0,MIN(AB222,ROUND($AZ222-SUMPRODUCT($V222:$AE222*($V222:$AE222&gt;0)*(($V222:$AE222&lt;AB222)+($V222:$AE222=AB222)*($V$3:$AE$3&gt;AB$3)+($V222:$AE222=AB222)*($V$3:$AE$3=AB$3)*($V$2:$AE$2&lt;AB$2))),2))))</f>
      </c>
      <c r="AM222" s="33">
        <f>IF(AC222&lt;=0,0,MAX(0,MIN(AC222,ROUND($AZ222-SUMPRODUCT($V222:$AE222*($V222:$AE222&gt;0)*(($V222:$AE222&lt;AC222)+($V222:$AE222=AC222)*($V$3:$AE$3&gt;AC$3)+($V222:$AE222=AC222)*($V$3:$AE$3=AC$3)*($V$2:$AE$2&lt;AC$2))),2))))</f>
      </c>
      <c r="AN222" s="33">
        <f>IF(AD222&lt;=0,0,MAX(0,MIN(AD222,ROUND($AZ222-SUMPRODUCT($V222:$AE222*($V222:$AE222&gt;0)*(($V222:$AE222&lt;AD222)+($V222:$AE222=AD222)*($V$3:$AE$3&gt;AD$3)+($V222:$AE222=AD222)*($V$3:$AE$3=AD$3)*($V$2:$AE$2&lt;AD$2))),2))))</f>
      </c>
      <c r="AO222" s="33">
        <f>IF(AE222&lt;=0,0,MAX(0,MIN(AE222,ROUND($AZ222-SUMPRODUCT($V222:$AE222*($V222:$AE222&gt;0)*(($V222:$AE222&lt;AE222)+($V222:$AE222=AE222)*($V$3:$AE$3&gt;AE$3)+($V222:$AE222=AE222)*($V$3:$AE$3=AE$3)*($V$2:$AE$2&lt;AE$2))),2))))</f>
      </c>
      <c r="AP222" s="33">
        <f>ROUND(V222-AF222,2)</f>
      </c>
      <c r="AQ222" s="33">
        <f>ROUND(W222-AG222,2)</f>
      </c>
      <c r="AR222" s="33">
        <f>ROUND(X222-AH222,2)</f>
      </c>
      <c r="AS222" s="33">
        <f>ROUND(Y222-AI222,2)</f>
      </c>
      <c r="AT222" s="33">
        <f>ROUND(Z222-AJ222,2)</f>
      </c>
      <c r="AU222" s="33">
        <f>ROUND(AA222-AK222,2)</f>
      </c>
      <c r="AV222" s="33">
        <f>ROUND(AB222-AL222,2)</f>
      </c>
      <c r="AW222" s="33">
        <f>ROUND(AC222-AM222,2)</f>
      </c>
      <c r="AX222" s="33">
        <f>ROUND(AD222-AN222,2)</f>
      </c>
      <c r="AY222" s="33">
        <f>ROUND(AE222-AO222,2)</f>
      </c>
      <c r="AZ222" s="33">
        <f>ROUND(MAX(0,'Your debts'!$D$22-SUM($L222:$U222)),2)</f>
      </c>
      <c r="BA222" s="33">
        <f>ROUND(SUM($B222:$K222)-SUM($AP221:$AY221),2)</f>
      </c>
      <c r="BB222" s="33">
        <f>SUM($AP222:$AY222)</f>
      </c>
      <c r="BC222" s="33">
        <f>ROUND(SUM($L222:$U222)+SUM($AF222:$AO222),2)</f>
      </c>
    </row>
    <row r="223" spans="1:55" x14ac:dyDescent="0.25">
      <c r="A223">
        <v>216</v>
      </c>
      <c r="B223" s="33">
        <f>IF(AP222&lt;=0,0,ROUND(AP222+ROUND(AP222*V$3/12,2),2))</f>
      </c>
      <c r="C223" s="33">
        <f>IF(AQ222&lt;=0,0,ROUND(AQ222+ROUND(AQ222*W$3/12,2),2))</f>
      </c>
      <c r="D223" s="33">
        <f>IF(AR222&lt;=0,0,ROUND(AR222+ROUND(AR222*X$3/12,2),2))</f>
      </c>
      <c r="E223" s="33">
        <f>IF(AS222&lt;=0,0,ROUND(AS222+ROUND(AS222*Y$3/12,2),2))</f>
      </c>
      <c r="F223" s="33">
        <f>IF(AT222&lt;=0,0,ROUND(AT222+ROUND(AT222*Z$3/12,2),2))</f>
      </c>
      <c r="G223" s="33">
        <f>IF(AU222&lt;=0,0,ROUND(AU222+ROUND(AU222*AA$3/12,2),2))</f>
      </c>
      <c r="H223" s="33">
        <f>IF(AV222&lt;=0,0,ROUND(AV222+ROUND(AV222*AB$3/12,2),2))</f>
      </c>
      <c r="I223" s="33">
        <f>IF(AW222&lt;=0,0,ROUND(AW222+ROUND(AW222*AC$3/12,2),2))</f>
      </c>
      <c r="J223" s="33">
        <f>IF(AX222&lt;=0,0,ROUND(AX222+ROUND(AX222*AD$3/12,2),2))</f>
      </c>
      <c r="K223" s="33">
        <f>IF(AY222&lt;=0,0,ROUND(AY222+ROUND(AY222*AE$3/12,2),2))</f>
      </c>
      <c r="L223" s="33">
        <f>ROUND(MIN(MAX(0,N('Your debts'!$E$6)),B223),2)</f>
      </c>
      <c r="M223" s="33">
        <f>ROUND(MIN(MAX(0,N('Your debts'!$E$7)),C223),2)</f>
      </c>
      <c r="N223" s="33">
        <f>ROUND(MIN(MAX(0,N('Your debts'!$E$8)),D223),2)</f>
      </c>
      <c r="O223" s="33">
        <f>ROUND(MIN(MAX(0,N('Your debts'!$E$9)),E223),2)</f>
      </c>
      <c r="P223" s="33">
        <f>ROUND(MIN(MAX(0,N('Your debts'!$E$10)),F223),2)</f>
      </c>
      <c r="Q223" s="33">
        <f>ROUND(MIN(MAX(0,N('Your debts'!$E$11)),G223),2)</f>
      </c>
      <c r="R223" s="33">
        <f>ROUND(MIN(MAX(0,N('Your debts'!$E$12)),H223),2)</f>
      </c>
      <c r="S223" s="33">
        <f>ROUND(MIN(MAX(0,N('Your debts'!$E$13)),I223),2)</f>
      </c>
      <c r="T223" s="33">
        <f>ROUND(MIN(MAX(0,N('Your debts'!$E$14)),J223),2)</f>
      </c>
      <c r="U223" s="33">
        <f>ROUND(MIN(MAX(0,N('Your debts'!$E$15)),K223),2)</f>
      </c>
      <c r="V223" s="33">
        <f>ROUND(B223-L223,2)</f>
      </c>
      <c r="W223" s="33">
        <f>ROUND(C223-M223,2)</f>
      </c>
      <c r="X223" s="33">
        <f>ROUND(D223-N223,2)</f>
      </c>
      <c r="Y223" s="33">
        <f>ROUND(E223-O223,2)</f>
      </c>
      <c r="Z223" s="33">
        <f>ROUND(F223-P223,2)</f>
      </c>
      <c r="AA223" s="33">
        <f>ROUND(G223-Q223,2)</f>
      </c>
      <c r="AB223" s="33">
        <f>ROUND(H223-R223,2)</f>
      </c>
      <c r="AC223" s="33">
        <f>ROUND(I223-S223,2)</f>
      </c>
      <c r="AD223" s="33">
        <f>ROUND(J223-T223,2)</f>
      </c>
      <c r="AE223" s="33">
        <f>ROUND(K223-U223,2)</f>
      </c>
      <c r="AF223" s="33">
        <f>IF(V223&lt;=0,0,MAX(0,MIN(V223,ROUND($AZ223-SUMPRODUCT($V223:$AE223*($V223:$AE223&gt;0)*(($V223:$AE223&lt;V223)+($V223:$AE223=V223)*($V$3:$AE$3&gt;V$3)+($V223:$AE223=V223)*($V$3:$AE$3=V$3)*($V$2:$AE$2&lt;V$2))),2))))</f>
      </c>
      <c r="AG223" s="33">
        <f>IF(W223&lt;=0,0,MAX(0,MIN(W223,ROUND($AZ223-SUMPRODUCT($V223:$AE223*($V223:$AE223&gt;0)*(($V223:$AE223&lt;W223)+($V223:$AE223=W223)*($V$3:$AE$3&gt;W$3)+($V223:$AE223=W223)*($V$3:$AE$3=W$3)*($V$2:$AE$2&lt;W$2))),2))))</f>
      </c>
      <c r="AH223" s="33">
        <f>IF(X223&lt;=0,0,MAX(0,MIN(X223,ROUND($AZ223-SUMPRODUCT($V223:$AE223*($V223:$AE223&gt;0)*(($V223:$AE223&lt;X223)+($V223:$AE223=X223)*($V$3:$AE$3&gt;X$3)+($V223:$AE223=X223)*($V$3:$AE$3=X$3)*($V$2:$AE$2&lt;X$2))),2))))</f>
      </c>
      <c r="AI223" s="33">
        <f>IF(Y223&lt;=0,0,MAX(0,MIN(Y223,ROUND($AZ223-SUMPRODUCT($V223:$AE223*($V223:$AE223&gt;0)*(($V223:$AE223&lt;Y223)+($V223:$AE223=Y223)*($V$3:$AE$3&gt;Y$3)+($V223:$AE223=Y223)*($V$3:$AE$3=Y$3)*($V$2:$AE$2&lt;Y$2))),2))))</f>
      </c>
      <c r="AJ223" s="33">
        <f>IF(Z223&lt;=0,0,MAX(0,MIN(Z223,ROUND($AZ223-SUMPRODUCT($V223:$AE223*($V223:$AE223&gt;0)*(($V223:$AE223&lt;Z223)+($V223:$AE223=Z223)*($V$3:$AE$3&gt;Z$3)+($V223:$AE223=Z223)*($V$3:$AE$3=Z$3)*($V$2:$AE$2&lt;Z$2))),2))))</f>
      </c>
      <c r="AK223" s="33">
        <f>IF(AA223&lt;=0,0,MAX(0,MIN(AA223,ROUND($AZ223-SUMPRODUCT($V223:$AE223*($V223:$AE223&gt;0)*(($V223:$AE223&lt;AA223)+($V223:$AE223=AA223)*($V$3:$AE$3&gt;AA$3)+($V223:$AE223=AA223)*($V$3:$AE$3=AA$3)*($V$2:$AE$2&lt;AA$2))),2))))</f>
      </c>
      <c r="AL223" s="33">
        <f>IF(AB223&lt;=0,0,MAX(0,MIN(AB223,ROUND($AZ223-SUMPRODUCT($V223:$AE223*($V223:$AE223&gt;0)*(($V223:$AE223&lt;AB223)+($V223:$AE223=AB223)*($V$3:$AE$3&gt;AB$3)+($V223:$AE223=AB223)*($V$3:$AE$3=AB$3)*($V$2:$AE$2&lt;AB$2))),2))))</f>
      </c>
      <c r="AM223" s="33">
        <f>IF(AC223&lt;=0,0,MAX(0,MIN(AC223,ROUND($AZ223-SUMPRODUCT($V223:$AE223*($V223:$AE223&gt;0)*(($V223:$AE223&lt;AC223)+($V223:$AE223=AC223)*($V$3:$AE$3&gt;AC$3)+($V223:$AE223=AC223)*($V$3:$AE$3=AC$3)*($V$2:$AE$2&lt;AC$2))),2))))</f>
      </c>
      <c r="AN223" s="33">
        <f>IF(AD223&lt;=0,0,MAX(0,MIN(AD223,ROUND($AZ223-SUMPRODUCT($V223:$AE223*($V223:$AE223&gt;0)*(($V223:$AE223&lt;AD223)+($V223:$AE223=AD223)*($V$3:$AE$3&gt;AD$3)+($V223:$AE223=AD223)*($V$3:$AE$3=AD$3)*($V$2:$AE$2&lt;AD$2))),2))))</f>
      </c>
      <c r="AO223" s="33">
        <f>IF(AE223&lt;=0,0,MAX(0,MIN(AE223,ROUND($AZ223-SUMPRODUCT($V223:$AE223*($V223:$AE223&gt;0)*(($V223:$AE223&lt;AE223)+($V223:$AE223=AE223)*($V$3:$AE$3&gt;AE$3)+($V223:$AE223=AE223)*($V$3:$AE$3=AE$3)*($V$2:$AE$2&lt;AE$2))),2))))</f>
      </c>
      <c r="AP223" s="33">
        <f>ROUND(V223-AF223,2)</f>
      </c>
      <c r="AQ223" s="33">
        <f>ROUND(W223-AG223,2)</f>
      </c>
      <c r="AR223" s="33">
        <f>ROUND(X223-AH223,2)</f>
      </c>
      <c r="AS223" s="33">
        <f>ROUND(Y223-AI223,2)</f>
      </c>
      <c r="AT223" s="33">
        <f>ROUND(Z223-AJ223,2)</f>
      </c>
      <c r="AU223" s="33">
        <f>ROUND(AA223-AK223,2)</f>
      </c>
      <c r="AV223" s="33">
        <f>ROUND(AB223-AL223,2)</f>
      </c>
      <c r="AW223" s="33">
        <f>ROUND(AC223-AM223,2)</f>
      </c>
      <c r="AX223" s="33">
        <f>ROUND(AD223-AN223,2)</f>
      </c>
      <c r="AY223" s="33">
        <f>ROUND(AE223-AO223,2)</f>
      </c>
      <c r="AZ223" s="33">
        <f>ROUND(MAX(0,'Your debts'!$D$22-SUM($L223:$U223)),2)</f>
      </c>
      <c r="BA223" s="33">
        <f>ROUND(SUM($B223:$K223)-SUM($AP222:$AY222),2)</f>
      </c>
      <c r="BB223" s="33">
        <f>SUM($AP223:$AY223)</f>
      </c>
      <c r="BC223" s="33">
        <f>ROUND(SUM($L223:$U223)+SUM($AF223:$AO223),2)</f>
      </c>
    </row>
    <row r="224" spans="1:55" x14ac:dyDescent="0.25">
      <c r="A224">
        <v>217</v>
      </c>
      <c r="B224" s="33">
        <f>IF(AP223&lt;=0,0,ROUND(AP223+ROUND(AP223*V$3/12,2),2))</f>
      </c>
      <c r="C224" s="33">
        <f>IF(AQ223&lt;=0,0,ROUND(AQ223+ROUND(AQ223*W$3/12,2),2))</f>
      </c>
      <c r="D224" s="33">
        <f>IF(AR223&lt;=0,0,ROUND(AR223+ROUND(AR223*X$3/12,2),2))</f>
      </c>
      <c r="E224" s="33">
        <f>IF(AS223&lt;=0,0,ROUND(AS223+ROUND(AS223*Y$3/12,2),2))</f>
      </c>
      <c r="F224" s="33">
        <f>IF(AT223&lt;=0,0,ROUND(AT223+ROUND(AT223*Z$3/12,2),2))</f>
      </c>
      <c r="G224" s="33">
        <f>IF(AU223&lt;=0,0,ROUND(AU223+ROUND(AU223*AA$3/12,2),2))</f>
      </c>
      <c r="H224" s="33">
        <f>IF(AV223&lt;=0,0,ROUND(AV223+ROUND(AV223*AB$3/12,2),2))</f>
      </c>
      <c r="I224" s="33">
        <f>IF(AW223&lt;=0,0,ROUND(AW223+ROUND(AW223*AC$3/12,2),2))</f>
      </c>
      <c r="J224" s="33">
        <f>IF(AX223&lt;=0,0,ROUND(AX223+ROUND(AX223*AD$3/12,2),2))</f>
      </c>
      <c r="K224" s="33">
        <f>IF(AY223&lt;=0,0,ROUND(AY223+ROUND(AY223*AE$3/12,2),2))</f>
      </c>
      <c r="L224" s="33">
        <f>ROUND(MIN(MAX(0,N('Your debts'!$E$6)),B224),2)</f>
      </c>
      <c r="M224" s="33">
        <f>ROUND(MIN(MAX(0,N('Your debts'!$E$7)),C224),2)</f>
      </c>
      <c r="N224" s="33">
        <f>ROUND(MIN(MAX(0,N('Your debts'!$E$8)),D224),2)</f>
      </c>
      <c r="O224" s="33">
        <f>ROUND(MIN(MAX(0,N('Your debts'!$E$9)),E224),2)</f>
      </c>
      <c r="P224" s="33">
        <f>ROUND(MIN(MAX(0,N('Your debts'!$E$10)),F224),2)</f>
      </c>
      <c r="Q224" s="33">
        <f>ROUND(MIN(MAX(0,N('Your debts'!$E$11)),G224),2)</f>
      </c>
      <c r="R224" s="33">
        <f>ROUND(MIN(MAX(0,N('Your debts'!$E$12)),H224),2)</f>
      </c>
      <c r="S224" s="33">
        <f>ROUND(MIN(MAX(0,N('Your debts'!$E$13)),I224),2)</f>
      </c>
      <c r="T224" s="33">
        <f>ROUND(MIN(MAX(0,N('Your debts'!$E$14)),J224),2)</f>
      </c>
      <c r="U224" s="33">
        <f>ROUND(MIN(MAX(0,N('Your debts'!$E$15)),K224),2)</f>
      </c>
      <c r="V224" s="33">
        <f>ROUND(B224-L224,2)</f>
      </c>
      <c r="W224" s="33">
        <f>ROUND(C224-M224,2)</f>
      </c>
      <c r="X224" s="33">
        <f>ROUND(D224-N224,2)</f>
      </c>
      <c r="Y224" s="33">
        <f>ROUND(E224-O224,2)</f>
      </c>
      <c r="Z224" s="33">
        <f>ROUND(F224-P224,2)</f>
      </c>
      <c r="AA224" s="33">
        <f>ROUND(G224-Q224,2)</f>
      </c>
      <c r="AB224" s="33">
        <f>ROUND(H224-R224,2)</f>
      </c>
      <c r="AC224" s="33">
        <f>ROUND(I224-S224,2)</f>
      </c>
      <c r="AD224" s="33">
        <f>ROUND(J224-T224,2)</f>
      </c>
      <c r="AE224" s="33">
        <f>ROUND(K224-U224,2)</f>
      </c>
      <c r="AF224" s="33">
        <f>IF(V224&lt;=0,0,MAX(0,MIN(V224,ROUND($AZ224-SUMPRODUCT($V224:$AE224*($V224:$AE224&gt;0)*(($V224:$AE224&lt;V224)+($V224:$AE224=V224)*($V$3:$AE$3&gt;V$3)+($V224:$AE224=V224)*($V$3:$AE$3=V$3)*($V$2:$AE$2&lt;V$2))),2))))</f>
      </c>
      <c r="AG224" s="33">
        <f>IF(W224&lt;=0,0,MAX(0,MIN(W224,ROUND($AZ224-SUMPRODUCT($V224:$AE224*($V224:$AE224&gt;0)*(($V224:$AE224&lt;W224)+($V224:$AE224=W224)*($V$3:$AE$3&gt;W$3)+($V224:$AE224=W224)*($V$3:$AE$3=W$3)*($V$2:$AE$2&lt;W$2))),2))))</f>
      </c>
      <c r="AH224" s="33">
        <f>IF(X224&lt;=0,0,MAX(0,MIN(X224,ROUND($AZ224-SUMPRODUCT($V224:$AE224*($V224:$AE224&gt;0)*(($V224:$AE224&lt;X224)+($V224:$AE224=X224)*($V$3:$AE$3&gt;X$3)+($V224:$AE224=X224)*($V$3:$AE$3=X$3)*($V$2:$AE$2&lt;X$2))),2))))</f>
      </c>
      <c r="AI224" s="33">
        <f>IF(Y224&lt;=0,0,MAX(0,MIN(Y224,ROUND($AZ224-SUMPRODUCT($V224:$AE224*($V224:$AE224&gt;0)*(($V224:$AE224&lt;Y224)+($V224:$AE224=Y224)*($V$3:$AE$3&gt;Y$3)+($V224:$AE224=Y224)*($V$3:$AE$3=Y$3)*($V$2:$AE$2&lt;Y$2))),2))))</f>
      </c>
      <c r="AJ224" s="33">
        <f>IF(Z224&lt;=0,0,MAX(0,MIN(Z224,ROUND($AZ224-SUMPRODUCT($V224:$AE224*($V224:$AE224&gt;0)*(($V224:$AE224&lt;Z224)+($V224:$AE224=Z224)*($V$3:$AE$3&gt;Z$3)+($V224:$AE224=Z224)*($V$3:$AE$3=Z$3)*($V$2:$AE$2&lt;Z$2))),2))))</f>
      </c>
      <c r="AK224" s="33">
        <f>IF(AA224&lt;=0,0,MAX(0,MIN(AA224,ROUND($AZ224-SUMPRODUCT($V224:$AE224*($V224:$AE224&gt;0)*(($V224:$AE224&lt;AA224)+($V224:$AE224=AA224)*($V$3:$AE$3&gt;AA$3)+($V224:$AE224=AA224)*($V$3:$AE$3=AA$3)*($V$2:$AE$2&lt;AA$2))),2))))</f>
      </c>
      <c r="AL224" s="33">
        <f>IF(AB224&lt;=0,0,MAX(0,MIN(AB224,ROUND($AZ224-SUMPRODUCT($V224:$AE224*($V224:$AE224&gt;0)*(($V224:$AE224&lt;AB224)+($V224:$AE224=AB224)*($V$3:$AE$3&gt;AB$3)+($V224:$AE224=AB224)*($V$3:$AE$3=AB$3)*($V$2:$AE$2&lt;AB$2))),2))))</f>
      </c>
      <c r="AM224" s="33">
        <f>IF(AC224&lt;=0,0,MAX(0,MIN(AC224,ROUND($AZ224-SUMPRODUCT($V224:$AE224*($V224:$AE224&gt;0)*(($V224:$AE224&lt;AC224)+($V224:$AE224=AC224)*($V$3:$AE$3&gt;AC$3)+($V224:$AE224=AC224)*($V$3:$AE$3=AC$3)*($V$2:$AE$2&lt;AC$2))),2))))</f>
      </c>
      <c r="AN224" s="33">
        <f>IF(AD224&lt;=0,0,MAX(0,MIN(AD224,ROUND($AZ224-SUMPRODUCT($V224:$AE224*($V224:$AE224&gt;0)*(($V224:$AE224&lt;AD224)+($V224:$AE224=AD224)*($V$3:$AE$3&gt;AD$3)+($V224:$AE224=AD224)*($V$3:$AE$3=AD$3)*($V$2:$AE$2&lt;AD$2))),2))))</f>
      </c>
      <c r="AO224" s="33">
        <f>IF(AE224&lt;=0,0,MAX(0,MIN(AE224,ROUND($AZ224-SUMPRODUCT($V224:$AE224*($V224:$AE224&gt;0)*(($V224:$AE224&lt;AE224)+($V224:$AE224=AE224)*($V$3:$AE$3&gt;AE$3)+($V224:$AE224=AE224)*($V$3:$AE$3=AE$3)*($V$2:$AE$2&lt;AE$2))),2))))</f>
      </c>
      <c r="AP224" s="33">
        <f>ROUND(V224-AF224,2)</f>
      </c>
      <c r="AQ224" s="33">
        <f>ROUND(W224-AG224,2)</f>
      </c>
      <c r="AR224" s="33">
        <f>ROUND(X224-AH224,2)</f>
      </c>
      <c r="AS224" s="33">
        <f>ROUND(Y224-AI224,2)</f>
      </c>
      <c r="AT224" s="33">
        <f>ROUND(Z224-AJ224,2)</f>
      </c>
      <c r="AU224" s="33">
        <f>ROUND(AA224-AK224,2)</f>
      </c>
      <c r="AV224" s="33">
        <f>ROUND(AB224-AL224,2)</f>
      </c>
      <c r="AW224" s="33">
        <f>ROUND(AC224-AM224,2)</f>
      </c>
      <c r="AX224" s="33">
        <f>ROUND(AD224-AN224,2)</f>
      </c>
      <c r="AY224" s="33">
        <f>ROUND(AE224-AO224,2)</f>
      </c>
      <c r="AZ224" s="33">
        <f>ROUND(MAX(0,'Your debts'!$D$22-SUM($L224:$U224)),2)</f>
      </c>
      <c r="BA224" s="33">
        <f>ROUND(SUM($B224:$K224)-SUM($AP223:$AY223),2)</f>
      </c>
      <c r="BB224" s="33">
        <f>SUM($AP224:$AY224)</f>
      </c>
      <c r="BC224" s="33">
        <f>ROUND(SUM($L224:$U224)+SUM($AF224:$AO224),2)</f>
      </c>
    </row>
    <row r="225" spans="1:55" x14ac:dyDescent="0.25">
      <c r="A225">
        <v>218</v>
      </c>
      <c r="B225" s="33">
        <f>IF(AP224&lt;=0,0,ROUND(AP224+ROUND(AP224*V$3/12,2),2))</f>
      </c>
      <c r="C225" s="33">
        <f>IF(AQ224&lt;=0,0,ROUND(AQ224+ROUND(AQ224*W$3/12,2),2))</f>
      </c>
      <c r="D225" s="33">
        <f>IF(AR224&lt;=0,0,ROUND(AR224+ROUND(AR224*X$3/12,2),2))</f>
      </c>
      <c r="E225" s="33">
        <f>IF(AS224&lt;=0,0,ROUND(AS224+ROUND(AS224*Y$3/12,2),2))</f>
      </c>
      <c r="F225" s="33">
        <f>IF(AT224&lt;=0,0,ROUND(AT224+ROUND(AT224*Z$3/12,2),2))</f>
      </c>
      <c r="G225" s="33">
        <f>IF(AU224&lt;=0,0,ROUND(AU224+ROUND(AU224*AA$3/12,2),2))</f>
      </c>
      <c r="H225" s="33">
        <f>IF(AV224&lt;=0,0,ROUND(AV224+ROUND(AV224*AB$3/12,2),2))</f>
      </c>
      <c r="I225" s="33">
        <f>IF(AW224&lt;=0,0,ROUND(AW224+ROUND(AW224*AC$3/12,2),2))</f>
      </c>
      <c r="J225" s="33">
        <f>IF(AX224&lt;=0,0,ROUND(AX224+ROUND(AX224*AD$3/12,2),2))</f>
      </c>
      <c r="K225" s="33">
        <f>IF(AY224&lt;=0,0,ROUND(AY224+ROUND(AY224*AE$3/12,2),2))</f>
      </c>
      <c r="L225" s="33">
        <f>ROUND(MIN(MAX(0,N('Your debts'!$E$6)),B225),2)</f>
      </c>
      <c r="M225" s="33">
        <f>ROUND(MIN(MAX(0,N('Your debts'!$E$7)),C225),2)</f>
      </c>
      <c r="N225" s="33">
        <f>ROUND(MIN(MAX(0,N('Your debts'!$E$8)),D225),2)</f>
      </c>
      <c r="O225" s="33">
        <f>ROUND(MIN(MAX(0,N('Your debts'!$E$9)),E225),2)</f>
      </c>
      <c r="P225" s="33">
        <f>ROUND(MIN(MAX(0,N('Your debts'!$E$10)),F225),2)</f>
      </c>
      <c r="Q225" s="33">
        <f>ROUND(MIN(MAX(0,N('Your debts'!$E$11)),G225),2)</f>
      </c>
      <c r="R225" s="33">
        <f>ROUND(MIN(MAX(0,N('Your debts'!$E$12)),H225),2)</f>
      </c>
      <c r="S225" s="33">
        <f>ROUND(MIN(MAX(0,N('Your debts'!$E$13)),I225),2)</f>
      </c>
      <c r="T225" s="33">
        <f>ROUND(MIN(MAX(0,N('Your debts'!$E$14)),J225),2)</f>
      </c>
      <c r="U225" s="33">
        <f>ROUND(MIN(MAX(0,N('Your debts'!$E$15)),K225),2)</f>
      </c>
      <c r="V225" s="33">
        <f>ROUND(B225-L225,2)</f>
      </c>
      <c r="W225" s="33">
        <f>ROUND(C225-M225,2)</f>
      </c>
      <c r="X225" s="33">
        <f>ROUND(D225-N225,2)</f>
      </c>
      <c r="Y225" s="33">
        <f>ROUND(E225-O225,2)</f>
      </c>
      <c r="Z225" s="33">
        <f>ROUND(F225-P225,2)</f>
      </c>
      <c r="AA225" s="33">
        <f>ROUND(G225-Q225,2)</f>
      </c>
      <c r="AB225" s="33">
        <f>ROUND(H225-R225,2)</f>
      </c>
      <c r="AC225" s="33">
        <f>ROUND(I225-S225,2)</f>
      </c>
      <c r="AD225" s="33">
        <f>ROUND(J225-T225,2)</f>
      </c>
      <c r="AE225" s="33">
        <f>ROUND(K225-U225,2)</f>
      </c>
      <c r="AF225" s="33">
        <f>IF(V225&lt;=0,0,MAX(0,MIN(V225,ROUND($AZ225-SUMPRODUCT($V225:$AE225*($V225:$AE225&gt;0)*(($V225:$AE225&lt;V225)+($V225:$AE225=V225)*($V$3:$AE$3&gt;V$3)+($V225:$AE225=V225)*($V$3:$AE$3=V$3)*($V$2:$AE$2&lt;V$2))),2))))</f>
      </c>
      <c r="AG225" s="33">
        <f>IF(W225&lt;=0,0,MAX(0,MIN(W225,ROUND($AZ225-SUMPRODUCT($V225:$AE225*($V225:$AE225&gt;0)*(($V225:$AE225&lt;W225)+($V225:$AE225=W225)*($V$3:$AE$3&gt;W$3)+($V225:$AE225=W225)*($V$3:$AE$3=W$3)*($V$2:$AE$2&lt;W$2))),2))))</f>
      </c>
      <c r="AH225" s="33">
        <f>IF(X225&lt;=0,0,MAX(0,MIN(X225,ROUND($AZ225-SUMPRODUCT($V225:$AE225*($V225:$AE225&gt;0)*(($V225:$AE225&lt;X225)+($V225:$AE225=X225)*($V$3:$AE$3&gt;X$3)+($V225:$AE225=X225)*($V$3:$AE$3=X$3)*($V$2:$AE$2&lt;X$2))),2))))</f>
      </c>
      <c r="AI225" s="33">
        <f>IF(Y225&lt;=0,0,MAX(0,MIN(Y225,ROUND($AZ225-SUMPRODUCT($V225:$AE225*($V225:$AE225&gt;0)*(($V225:$AE225&lt;Y225)+($V225:$AE225=Y225)*($V$3:$AE$3&gt;Y$3)+($V225:$AE225=Y225)*($V$3:$AE$3=Y$3)*($V$2:$AE$2&lt;Y$2))),2))))</f>
      </c>
      <c r="AJ225" s="33">
        <f>IF(Z225&lt;=0,0,MAX(0,MIN(Z225,ROUND($AZ225-SUMPRODUCT($V225:$AE225*($V225:$AE225&gt;0)*(($V225:$AE225&lt;Z225)+($V225:$AE225=Z225)*($V$3:$AE$3&gt;Z$3)+($V225:$AE225=Z225)*($V$3:$AE$3=Z$3)*($V$2:$AE$2&lt;Z$2))),2))))</f>
      </c>
      <c r="AK225" s="33">
        <f>IF(AA225&lt;=0,0,MAX(0,MIN(AA225,ROUND($AZ225-SUMPRODUCT($V225:$AE225*($V225:$AE225&gt;0)*(($V225:$AE225&lt;AA225)+($V225:$AE225=AA225)*($V$3:$AE$3&gt;AA$3)+($V225:$AE225=AA225)*($V$3:$AE$3=AA$3)*($V$2:$AE$2&lt;AA$2))),2))))</f>
      </c>
      <c r="AL225" s="33">
        <f>IF(AB225&lt;=0,0,MAX(0,MIN(AB225,ROUND($AZ225-SUMPRODUCT($V225:$AE225*($V225:$AE225&gt;0)*(($V225:$AE225&lt;AB225)+($V225:$AE225=AB225)*($V$3:$AE$3&gt;AB$3)+($V225:$AE225=AB225)*($V$3:$AE$3=AB$3)*($V$2:$AE$2&lt;AB$2))),2))))</f>
      </c>
      <c r="AM225" s="33">
        <f>IF(AC225&lt;=0,0,MAX(0,MIN(AC225,ROUND($AZ225-SUMPRODUCT($V225:$AE225*($V225:$AE225&gt;0)*(($V225:$AE225&lt;AC225)+($V225:$AE225=AC225)*($V$3:$AE$3&gt;AC$3)+($V225:$AE225=AC225)*($V$3:$AE$3=AC$3)*($V$2:$AE$2&lt;AC$2))),2))))</f>
      </c>
      <c r="AN225" s="33">
        <f>IF(AD225&lt;=0,0,MAX(0,MIN(AD225,ROUND($AZ225-SUMPRODUCT($V225:$AE225*($V225:$AE225&gt;0)*(($V225:$AE225&lt;AD225)+($V225:$AE225=AD225)*($V$3:$AE$3&gt;AD$3)+($V225:$AE225=AD225)*($V$3:$AE$3=AD$3)*($V$2:$AE$2&lt;AD$2))),2))))</f>
      </c>
      <c r="AO225" s="33">
        <f>IF(AE225&lt;=0,0,MAX(0,MIN(AE225,ROUND($AZ225-SUMPRODUCT($V225:$AE225*($V225:$AE225&gt;0)*(($V225:$AE225&lt;AE225)+($V225:$AE225=AE225)*($V$3:$AE$3&gt;AE$3)+($V225:$AE225=AE225)*($V$3:$AE$3=AE$3)*($V$2:$AE$2&lt;AE$2))),2))))</f>
      </c>
      <c r="AP225" s="33">
        <f>ROUND(V225-AF225,2)</f>
      </c>
      <c r="AQ225" s="33">
        <f>ROUND(W225-AG225,2)</f>
      </c>
      <c r="AR225" s="33">
        <f>ROUND(X225-AH225,2)</f>
      </c>
      <c r="AS225" s="33">
        <f>ROUND(Y225-AI225,2)</f>
      </c>
      <c r="AT225" s="33">
        <f>ROUND(Z225-AJ225,2)</f>
      </c>
      <c r="AU225" s="33">
        <f>ROUND(AA225-AK225,2)</f>
      </c>
      <c r="AV225" s="33">
        <f>ROUND(AB225-AL225,2)</f>
      </c>
      <c r="AW225" s="33">
        <f>ROUND(AC225-AM225,2)</f>
      </c>
      <c r="AX225" s="33">
        <f>ROUND(AD225-AN225,2)</f>
      </c>
      <c r="AY225" s="33">
        <f>ROUND(AE225-AO225,2)</f>
      </c>
      <c r="AZ225" s="33">
        <f>ROUND(MAX(0,'Your debts'!$D$22-SUM($L225:$U225)),2)</f>
      </c>
      <c r="BA225" s="33">
        <f>ROUND(SUM($B225:$K225)-SUM($AP224:$AY224),2)</f>
      </c>
      <c r="BB225" s="33">
        <f>SUM($AP225:$AY225)</f>
      </c>
      <c r="BC225" s="33">
        <f>ROUND(SUM($L225:$U225)+SUM($AF225:$AO225),2)</f>
      </c>
    </row>
    <row r="226" spans="1:55" x14ac:dyDescent="0.25">
      <c r="A226">
        <v>219</v>
      </c>
      <c r="B226" s="33">
        <f>IF(AP225&lt;=0,0,ROUND(AP225+ROUND(AP225*V$3/12,2),2))</f>
      </c>
      <c r="C226" s="33">
        <f>IF(AQ225&lt;=0,0,ROUND(AQ225+ROUND(AQ225*W$3/12,2),2))</f>
      </c>
      <c r="D226" s="33">
        <f>IF(AR225&lt;=0,0,ROUND(AR225+ROUND(AR225*X$3/12,2),2))</f>
      </c>
      <c r="E226" s="33">
        <f>IF(AS225&lt;=0,0,ROUND(AS225+ROUND(AS225*Y$3/12,2),2))</f>
      </c>
      <c r="F226" s="33">
        <f>IF(AT225&lt;=0,0,ROUND(AT225+ROUND(AT225*Z$3/12,2),2))</f>
      </c>
      <c r="G226" s="33">
        <f>IF(AU225&lt;=0,0,ROUND(AU225+ROUND(AU225*AA$3/12,2),2))</f>
      </c>
      <c r="H226" s="33">
        <f>IF(AV225&lt;=0,0,ROUND(AV225+ROUND(AV225*AB$3/12,2),2))</f>
      </c>
      <c r="I226" s="33">
        <f>IF(AW225&lt;=0,0,ROUND(AW225+ROUND(AW225*AC$3/12,2),2))</f>
      </c>
      <c r="J226" s="33">
        <f>IF(AX225&lt;=0,0,ROUND(AX225+ROUND(AX225*AD$3/12,2),2))</f>
      </c>
      <c r="K226" s="33">
        <f>IF(AY225&lt;=0,0,ROUND(AY225+ROUND(AY225*AE$3/12,2),2))</f>
      </c>
      <c r="L226" s="33">
        <f>ROUND(MIN(MAX(0,N('Your debts'!$E$6)),B226),2)</f>
      </c>
      <c r="M226" s="33">
        <f>ROUND(MIN(MAX(0,N('Your debts'!$E$7)),C226),2)</f>
      </c>
      <c r="N226" s="33">
        <f>ROUND(MIN(MAX(0,N('Your debts'!$E$8)),D226),2)</f>
      </c>
      <c r="O226" s="33">
        <f>ROUND(MIN(MAX(0,N('Your debts'!$E$9)),E226),2)</f>
      </c>
      <c r="P226" s="33">
        <f>ROUND(MIN(MAX(0,N('Your debts'!$E$10)),F226),2)</f>
      </c>
      <c r="Q226" s="33">
        <f>ROUND(MIN(MAX(0,N('Your debts'!$E$11)),G226),2)</f>
      </c>
      <c r="R226" s="33">
        <f>ROUND(MIN(MAX(0,N('Your debts'!$E$12)),H226),2)</f>
      </c>
      <c r="S226" s="33">
        <f>ROUND(MIN(MAX(0,N('Your debts'!$E$13)),I226),2)</f>
      </c>
      <c r="T226" s="33">
        <f>ROUND(MIN(MAX(0,N('Your debts'!$E$14)),J226),2)</f>
      </c>
      <c r="U226" s="33">
        <f>ROUND(MIN(MAX(0,N('Your debts'!$E$15)),K226),2)</f>
      </c>
      <c r="V226" s="33">
        <f>ROUND(B226-L226,2)</f>
      </c>
      <c r="W226" s="33">
        <f>ROUND(C226-M226,2)</f>
      </c>
      <c r="X226" s="33">
        <f>ROUND(D226-N226,2)</f>
      </c>
      <c r="Y226" s="33">
        <f>ROUND(E226-O226,2)</f>
      </c>
      <c r="Z226" s="33">
        <f>ROUND(F226-P226,2)</f>
      </c>
      <c r="AA226" s="33">
        <f>ROUND(G226-Q226,2)</f>
      </c>
      <c r="AB226" s="33">
        <f>ROUND(H226-R226,2)</f>
      </c>
      <c r="AC226" s="33">
        <f>ROUND(I226-S226,2)</f>
      </c>
      <c r="AD226" s="33">
        <f>ROUND(J226-T226,2)</f>
      </c>
      <c r="AE226" s="33">
        <f>ROUND(K226-U226,2)</f>
      </c>
      <c r="AF226" s="33">
        <f>IF(V226&lt;=0,0,MAX(0,MIN(V226,ROUND($AZ226-SUMPRODUCT($V226:$AE226*($V226:$AE226&gt;0)*(($V226:$AE226&lt;V226)+($V226:$AE226=V226)*($V$3:$AE$3&gt;V$3)+($V226:$AE226=V226)*($V$3:$AE$3=V$3)*($V$2:$AE$2&lt;V$2))),2))))</f>
      </c>
      <c r="AG226" s="33">
        <f>IF(W226&lt;=0,0,MAX(0,MIN(W226,ROUND($AZ226-SUMPRODUCT($V226:$AE226*($V226:$AE226&gt;0)*(($V226:$AE226&lt;W226)+($V226:$AE226=W226)*($V$3:$AE$3&gt;W$3)+($V226:$AE226=W226)*($V$3:$AE$3=W$3)*($V$2:$AE$2&lt;W$2))),2))))</f>
      </c>
      <c r="AH226" s="33">
        <f>IF(X226&lt;=0,0,MAX(0,MIN(X226,ROUND($AZ226-SUMPRODUCT($V226:$AE226*($V226:$AE226&gt;0)*(($V226:$AE226&lt;X226)+($V226:$AE226=X226)*($V$3:$AE$3&gt;X$3)+($V226:$AE226=X226)*($V$3:$AE$3=X$3)*($V$2:$AE$2&lt;X$2))),2))))</f>
      </c>
      <c r="AI226" s="33">
        <f>IF(Y226&lt;=0,0,MAX(0,MIN(Y226,ROUND($AZ226-SUMPRODUCT($V226:$AE226*($V226:$AE226&gt;0)*(($V226:$AE226&lt;Y226)+($V226:$AE226=Y226)*($V$3:$AE$3&gt;Y$3)+($V226:$AE226=Y226)*($V$3:$AE$3=Y$3)*($V$2:$AE$2&lt;Y$2))),2))))</f>
      </c>
      <c r="AJ226" s="33">
        <f>IF(Z226&lt;=0,0,MAX(0,MIN(Z226,ROUND($AZ226-SUMPRODUCT($V226:$AE226*($V226:$AE226&gt;0)*(($V226:$AE226&lt;Z226)+($V226:$AE226=Z226)*($V$3:$AE$3&gt;Z$3)+($V226:$AE226=Z226)*($V$3:$AE$3=Z$3)*($V$2:$AE$2&lt;Z$2))),2))))</f>
      </c>
      <c r="AK226" s="33">
        <f>IF(AA226&lt;=0,0,MAX(0,MIN(AA226,ROUND($AZ226-SUMPRODUCT($V226:$AE226*($V226:$AE226&gt;0)*(($V226:$AE226&lt;AA226)+($V226:$AE226=AA226)*($V$3:$AE$3&gt;AA$3)+($V226:$AE226=AA226)*($V$3:$AE$3=AA$3)*($V$2:$AE$2&lt;AA$2))),2))))</f>
      </c>
      <c r="AL226" s="33">
        <f>IF(AB226&lt;=0,0,MAX(0,MIN(AB226,ROUND($AZ226-SUMPRODUCT($V226:$AE226*($V226:$AE226&gt;0)*(($V226:$AE226&lt;AB226)+($V226:$AE226=AB226)*($V$3:$AE$3&gt;AB$3)+($V226:$AE226=AB226)*($V$3:$AE$3=AB$3)*($V$2:$AE$2&lt;AB$2))),2))))</f>
      </c>
      <c r="AM226" s="33">
        <f>IF(AC226&lt;=0,0,MAX(0,MIN(AC226,ROUND($AZ226-SUMPRODUCT($V226:$AE226*($V226:$AE226&gt;0)*(($V226:$AE226&lt;AC226)+($V226:$AE226=AC226)*($V$3:$AE$3&gt;AC$3)+($V226:$AE226=AC226)*($V$3:$AE$3=AC$3)*($V$2:$AE$2&lt;AC$2))),2))))</f>
      </c>
      <c r="AN226" s="33">
        <f>IF(AD226&lt;=0,0,MAX(0,MIN(AD226,ROUND($AZ226-SUMPRODUCT($V226:$AE226*($V226:$AE226&gt;0)*(($V226:$AE226&lt;AD226)+($V226:$AE226=AD226)*($V$3:$AE$3&gt;AD$3)+($V226:$AE226=AD226)*($V$3:$AE$3=AD$3)*($V$2:$AE$2&lt;AD$2))),2))))</f>
      </c>
      <c r="AO226" s="33">
        <f>IF(AE226&lt;=0,0,MAX(0,MIN(AE226,ROUND($AZ226-SUMPRODUCT($V226:$AE226*($V226:$AE226&gt;0)*(($V226:$AE226&lt;AE226)+($V226:$AE226=AE226)*($V$3:$AE$3&gt;AE$3)+($V226:$AE226=AE226)*($V$3:$AE$3=AE$3)*($V$2:$AE$2&lt;AE$2))),2))))</f>
      </c>
      <c r="AP226" s="33">
        <f>ROUND(V226-AF226,2)</f>
      </c>
      <c r="AQ226" s="33">
        <f>ROUND(W226-AG226,2)</f>
      </c>
      <c r="AR226" s="33">
        <f>ROUND(X226-AH226,2)</f>
      </c>
      <c r="AS226" s="33">
        <f>ROUND(Y226-AI226,2)</f>
      </c>
      <c r="AT226" s="33">
        <f>ROUND(Z226-AJ226,2)</f>
      </c>
      <c r="AU226" s="33">
        <f>ROUND(AA226-AK226,2)</f>
      </c>
      <c r="AV226" s="33">
        <f>ROUND(AB226-AL226,2)</f>
      </c>
      <c r="AW226" s="33">
        <f>ROUND(AC226-AM226,2)</f>
      </c>
      <c r="AX226" s="33">
        <f>ROUND(AD226-AN226,2)</f>
      </c>
      <c r="AY226" s="33">
        <f>ROUND(AE226-AO226,2)</f>
      </c>
      <c r="AZ226" s="33">
        <f>ROUND(MAX(0,'Your debts'!$D$22-SUM($L226:$U226)),2)</f>
      </c>
      <c r="BA226" s="33">
        <f>ROUND(SUM($B226:$K226)-SUM($AP225:$AY225),2)</f>
      </c>
      <c r="BB226" s="33">
        <f>SUM($AP226:$AY226)</f>
      </c>
      <c r="BC226" s="33">
        <f>ROUND(SUM($L226:$U226)+SUM($AF226:$AO226),2)</f>
      </c>
    </row>
    <row r="227" spans="1:55" x14ac:dyDescent="0.25">
      <c r="A227">
        <v>220</v>
      </c>
      <c r="B227" s="33">
        <f>IF(AP226&lt;=0,0,ROUND(AP226+ROUND(AP226*V$3/12,2),2))</f>
      </c>
      <c r="C227" s="33">
        <f>IF(AQ226&lt;=0,0,ROUND(AQ226+ROUND(AQ226*W$3/12,2),2))</f>
      </c>
      <c r="D227" s="33">
        <f>IF(AR226&lt;=0,0,ROUND(AR226+ROUND(AR226*X$3/12,2),2))</f>
      </c>
      <c r="E227" s="33">
        <f>IF(AS226&lt;=0,0,ROUND(AS226+ROUND(AS226*Y$3/12,2),2))</f>
      </c>
      <c r="F227" s="33">
        <f>IF(AT226&lt;=0,0,ROUND(AT226+ROUND(AT226*Z$3/12,2),2))</f>
      </c>
      <c r="G227" s="33">
        <f>IF(AU226&lt;=0,0,ROUND(AU226+ROUND(AU226*AA$3/12,2),2))</f>
      </c>
      <c r="H227" s="33">
        <f>IF(AV226&lt;=0,0,ROUND(AV226+ROUND(AV226*AB$3/12,2),2))</f>
      </c>
      <c r="I227" s="33">
        <f>IF(AW226&lt;=0,0,ROUND(AW226+ROUND(AW226*AC$3/12,2),2))</f>
      </c>
      <c r="J227" s="33">
        <f>IF(AX226&lt;=0,0,ROUND(AX226+ROUND(AX226*AD$3/12,2),2))</f>
      </c>
      <c r="K227" s="33">
        <f>IF(AY226&lt;=0,0,ROUND(AY226+ROUND(AY226*AE$3/12,2),2))</f>
      </c>
      <c r="L227" s="33">
        <f>ROUND(MIN(MAX(0,N('Your debts'!$E$6)),B227),2)</f>
      </c>
      <c r="M227" s="33">
        <f>ROUND(MIN(MAX(0,N('Your debts'!$E$7)),C227),2)</f>
      </c>
      <c r="N227" s="33">
        <f>ROUND(MIN(MAX(0,N('Your debts'!$E$8)),D227),2)</f>
      </c>
      <c r="O227" s="33">
        <f>ROUND(MIN(MAX(0,N('Your debts'!$E$9)),E227),2)</f>
      </c>
      <c r="P227" s="33">
        <f>ROUND(MIN(MAX(0,N('Your debts'!$E$10)),F227),2)</f>
      </c>
      <c r="Q227" s="33">
        <f>ROUND(MIN(MAX(0,N('Your debts'!$E$11)),G227),2)</f>
      </c>
      <c r="R227" s="33">
        <f>ROUND(MIN(MAX(0,N('Your debts'!$E$12)),H227),2)</f>
      </c>
      <c r="S227" s="33">
        <f>ROUND(MIN(MAX(0,N('Your debts'!$E$13)),I227),2)</f>
      </c>
      <c r="T227" s="33">
        <f>ROUND(MIN(MAX(0,N('Your debts'!$E$14)),J227),2)</f>
      </c>
      <c r="U227" s="33">
        <f>ROUND(MIN(MAX(0,N('Your debts'!$E$15)),K227),2)</f>
      </c>
      <c r="V227" s="33">
        <f>ROUND(B227-L227,2)</f>
      </c>
      <c r="W227" s="33">
        <f>ROUND(C227-M227,2)</f>
      </c>
      <c r="X227" s="33">
        <f>ROUND(D227-N227,2)</f>
      </c>
      <c r="Y227" s="33">
        <f>ROUND(E227-O227,2)</f>
      </c>
      <c r="Z227" s="33">
        <f>ROUND(F227-P227,2)</f>
      </c>
      <c r="AA227" s="33">
        <f>ROUND(G227-Q227,2)</f>
      </c>
      <c r="AB227" s="33">
        <f>ROUND(H227-R227,2)</f>
      </c>
      <c r="AC227" s="33">
        <f>ROUND(I227-S227,2)</f>
      </c>
      <c r="AD227" s="33">
        <f>ROUND(J227-T227,2)</f>
      </c>
      <c r="AE227" s="33">
        <f>ROUND(K227-U227,2)</f>
      </c>
      <c r="AF227" s="33">
        <f>IF(V227&lt;=0,0,MAX(0,MIN(V227,ROUND($AZ227-SUMPRODUCT($V227:$AE227*($V227:$AE227&gt;0)*(($V227:$AE227&lt;V227)+($V227:$AE227=V227)*($V$3:$AE$3&gt;V$3)+($V227:$AE227=V227)*($V$3:$AE$3=V$3)*($V$2:$AE$2&lt;V$2))),2))))</f>
      </c>
      <c r="AG227" s="33">
        <f>IF(W227&lt;=0,0,MAX(0,MIN(W227,ROUND($AZ227-SUMPRODUCT($V227:$AE227*($V227:$AE227&gt;0)*(($V227:$AE227&lt;W227)+($V227:$AE227=W227)*($V$3:$AE$3&gt;W$3)+($V227:$AE227=W227)*($V$3:$AE$3=W$3)*($V$2:$AE$2&lt;W$2))),2))))</f>
      </c>
      <c r="AH227" s="33">
        <f>IF(X227&lt;=0,0,MAX(0,MIN(X227,ROUND($AZ227-SUMPRODUCT($V227:$AE227*($V227:$AE227&gt;0)*(($V227:$AE227&lt;X227)+($V227:$AE227=X227)*($V$3:$AE$3&gt;X$3)+($V227:$AE227=X227)*($V$3:$AE$3=X$3)*($V$2:$AE$2&lt;X$2))),2))))</f>
      </c>
      <c r="AI227" s="33">
        <f>IF(Y227&lt;=0,0,MAX(0,MIN(Y227,ROUND($AZ227-SUMPRODUCT($V227:$AE227*($V227:$AE227&gt;0)*(($V227:$AE227&lt;Y227)+($V227:$AE227=Y227)*($V$3:$AE$3&gt;Y$3)+($V227:$AE227=Y227)*($V$3:$AE$3=Y$3)*($V$2:$AE$2&lt;Y$2))),2))))</f>
      </c>
      <c r="AJ227" s="33">
        <f>IF(Z227&lt;=0,0,MAX(0,MIN(Z227,ROUND($AZ227-SUMPRODUCT($V227:$AE227*($V227:$AE227&gt;0)*(($V227:$AE227&lt;Z227)+($V227:$AE227=Z227)*($V$3:$AE$3&gt;Z$3)+($V227:$AE227=Z227)*($V$3:$AE$3=Z$3)*($V$2:$AE$2&lt;Z$2))),2))))</f>
      </c>
      <c r="AK227" s="33">
        <f>IF(AA227&lt;=0,0,MAX(0,MIN(AA227,ROUND($AZ227-SUMPRODUCT($V227:$AE227*($V227:$AE227&gt;0)*(($V227:$AE227&lt;AA227)+($V227:$AE227=AA227)*($V$3:$AE$3&gt;AA$3)+($V227:$AE227=AA227)*($V$3:$AE$3=AA$3)*($V$2:$AE$2&lt;AA$2))),2))))</f>
      </c>
      <c r="AL227" s="33">
        <f>IF(AB227&lt;=0,0,MAX(0,MIN(AB227,ROUND($AZ227-SUMPRODUCT($V227:$AE227*($V227:$AE227&gt;0)*(($V227:$AE227&lt;AB227)+($V227:$AE227=AB227)*($V$3:$AE$3&gt;AB$3)+($V227:$AE227=AB227)*($V$3:$AE$3=AB$3)*($V$2:$AE$2&lt;AB$2))),2))))</f>
      </c>
      <c r="AM227" s="33">
        <f>IF(AC227&lt;=0,0,MAX(0,MIN(AC227,ROUND($AZ227-SUMPRODUCT($V227:$AE227*($V227:$AE227&gt;0)*(($V227:$AE227&lt;AC227)+($V227:$AE227=AC227)*($V$3:$AE$3&gt;AC$3)+($V227:$AE227=AC227)*($V$3:$AE$3=AC$3)*($V$2:$AE$2&lt;AC$2))),2))))</f>
      </c>
      <c r="AN227" s="33">
        <f>IF(AD227&lt;=0,0,MAX(0,MIN(AD227,ROUND($AZ227-SUMPRODUCT($V227:$AE227*($V227:$AE227&gt;0)*(($V227:$AE227&lt;AD227)+($V227:$AE227=AD227)*($V$3:$AE$3&gt;AD$3)+($V227:$AE227=AD227)*($V$3:$AE$3=AD$3)*($V$2:$AE$2&lt;AD$2))),2))))</f>
      </c>
      <c r="AO227" s="33">
        <f>IF(AE227&lt;=0,0,MAX(0,MIN(AE227,ROUND($AZ227-SUMPRODUCT($V227:$AE227*($V227:$AE227&gt;0)*(($V227:$AE227&lt;AE227)+($V227:$AE227=AE227)*($V$3:$AE$3&gt;AE$3)+($V227:$AE227=AE227)*($V$3:$AE$3=AE$3)*($V$2:$AE$2&lt;AE$2))),2))))</f>
      </c>
      <c r="AP227" s="33">
        <f>ROUND(V227-AF227,2)</f>
      </c>
      <c r="AQ227" s="33">
        <f>ROUND(W227-AG227,2)</f>
      </c>
      <c r="AR227" s="33">
        <f>ROUND(X227-AH227,2)</f>
      </c>
      <c r="AS227" s="33">
        <f>ROUND(Y227-AI227,2)</f>
      </c>
      <c r="AT227" s="33">
        <f>ROUND(Z227-AJ227,2)</f>
      </c>
      <c r="AU227" s="33">
        <f>ROUND(AA227-AK227,2)</f>
      </c>
      <c r="AV227" s="33">
        <f>ROUND(AB227-AL227,2)</f>
      </c>
      <c r="AW227" s="33">
        <f>ROUND(AC227-AM227,2)</f>
      </c>
      <c r="AX227" s="33">
        <f>ROUND(AD227-AN227,2)</f>
      </c>
      <c r="AY227" s="33">
        <f>ROUND(AE227-AO227,2)</f>
      </c>
      <c r="AZ227" s="33">
        <f>ROUND(MAX(0,'Your debts'!$D$22-SUM($L227:$U227)),2)</f>
      </c>
      <c r="BA227" s="33">
        <f>ROUND(SUM($B227:$K227)-SUM($AP226:$AY226),2)</f>
      </c>
      <c r="BB227" s="33">
        <f>SUM($AP227:$AY227)</f>
      </c>
      <c r="BC227" s="33">
        <f>ROUND(SUM($L227:$U227)+SUM($AF227:$AO227),2)</f>
      </c>
    </row>
    <row r="228" spans="1:55" x14ac:dyDescent="0.25">
      <c r="A228">
        <v>221</v>
      </c>
      <c r="B228" s="33">
        <f>IF(AP227&lt;=0,0,ROUND(AP227+ROUND(AP227*V$3/12,2),2))</f>
      </c>
      <c r="C228" s="33">
        <f>IF(AQ227&lt;=0,0,ROUND(AQ227+ROUND(AQ227*W$3/12,2),2))</f>
      </c>
      <c r="D228" s="33">
        <f>IF(AR227&lt;=0,0,ROUND(AR227+ROUND(AR227*X$3/12,2),2))</f>
      </c>
      <c r="E228" s="33">
        <f>IF(AS227&lt;=0,0,ROUND(AS227+ROUND(AS227*Y$3/12,2),2))</f>
      </c>
      <c r="F228" s="33">
        <f>IF(AT227&lt;=0,0,ROUND(AT227+ROUND(AT227*Z$3/12,2),2))</f>
      </c>
      <c r="G228" s="33">
        <f>IF(AU227&lt;=0,0,ROUND(AU227+ROUND(AU227*AA$3/12,2),2))</f>
      </c>
      <c r="H228" s="33">
        <f>IF(AV227&lt;=0,0,ROUND(AV227+ROUND(AV227*AB$3/12,2),2))</f>
      </c>
      <c r="I228" s="33">
        <f>IF(AW227&lt;=0,0,ROUND(AW227+ROUND(AW227*AC$3/12,2),2))</f>
      </c>
      <c r="J228" s="33">
        <f>IF(AX227&lt;=0,0,ROUND(AX227+ROUND(AX227*AD$3/12,2),2))</f>
      </c>
      <c r="K228" s="33">
        <f>IF(AY227&lt;=0,0,ROUND(AY227+ROUND(AY227*AE$3/12,2),2))</f>
      </c>
      <c r="L228" s="33">
        <f>ROUND(MIN(MAX(0,N('Your debts'!$E$6)),B228),2)</f>
      </c>
      <c r="M228" s="33">
        <f>ROUND(MIN(MAX(0,N('Your debts'!$E$7)),C228),2)</f>
      </c>
      <c r="N228" s="33">
        <f>ROUND(MIN(MAX(0,N('Your debts'!$E$8)),D228),2)</f>
      </c>
      <c r="O228" s="33">
        <f>ROUND(MIN(MAX(0,N('Your debts'!$E$9)),E228),2)</f>
      </c>
      <c r="P228" s="33">
        <f>ROUND(MIN(MAX(0,N('Your debts'!$E$10)),F228),2)</f>
      </c>
      <c r="Q228" s="33">
        <f>ROUND(MIN(MAX(0,N('Your debts'!$E$11)),G228),2)</f>
      </c>
      <c r="R228" s="33">
        <f>ROUND(MIN(MAX(0,N('Your debts'!$E$12)),H228),2)</f>
      </c>
      <c r="S228" s="33">
        <f>ROUND(MIN(MAX(0,N('Your debts'!$E$13)),I228),2)</f>
      </c>
      <c r="T228" s="33">
        <f>ROUND(MIN(MAX(0,N('Your debts'!$E$14)),J228),2)</f>
      </c>
      <c r="U228" s="33">
        <f>ROUND(MIN(MAX(0,N('Your debts'!$E$15)),K228),2)</f>
      </c>
      <c r="V228" s="33">
        <f>ROUND(B228-L228,2)</f>
      </c>
      <c r="W228" s="33">
        <f>ROUND(C228-M228,2)</f>
      </c>
      <c r="X228" s="33">
        <f>ROUND(D228-N228,2)</f>
      </c>
      <c r="Y228" s="33">
        <f>ROUND(E228-O228,2)</f>
      </c>
      <c r="Z228" s="33">
        <f>ROUND(F228-P228,2)</f>
      </c>
      <c r="AA228" s="33">
        <f>ROUND(G228-Q228,2)</f>
      </c>
      <c r="AB228" s="33">
        <f>ROUND(H228-R228,2)</f>
      </c>
      <c r="AC228" s="33">
        <f>ROUND(I228-S228,2)</f>
      </c>
      <c r="AD228" s="33">
        <f>ROUND(J228-T228,2)</f>
      </c>
      <c r="AE228" s="33">
        <f>ROUND(K228-U228,2)</f>
      </c>
      <c r="AF228" s="33">
        <f>IF(V228&lt;=0,0,MAX(0,MIN(V228,ROUND($AZ228-SUMPRODUCT($V228:$AE228*($V228:$AE228&gt;0)*(($V228:$AE228&lt;V228)+($V228:$AE228=V228)*($V$3:$AE$3&gt;V$3)+($V228:$AE228=V228)*($V$3:$AE$3=V$3)*($V$2:$AE$2&lt;V$2))),2))))</f>
      </c>
      <c r="AG228" s="33">
        <f>IF(W228&lt;=0,0,MAX(0,MIN(W228,ROUND($AZ228-SUMPRODUCT($V228:$AE228*($V228:$AE228&gt;0)*(($V228:$AE228&lt;W228)+($V228:$AE228=W228)*($V$3:$AE$3&gt;W$3)+($V228:$AE228=W228)*($V$3:$AE$3=W$3)*($V$2:$AE$2&lt;W$2))),2))))</f>
      </c>
      <c r="AH228" s="33">
        <f>IF(X228&lt;=0,0,MAX(0,MIN(X228,ROUND($AZ228-SUMPRODUCT($V228:$AE228*($V228:$AE228&gt;0)*(($V228:$AE228&lt;X228)+($V228:$AE228=X228)*($V$3:$AE$3&gt;X$3)+($V228:$AE228=X228)*($V$3:$AE$3=X$3)*($V$2:$AE$2&lt;X$2))),2))))</f>
      </c>
      <c r="AI228" s="33">
        <f>IF(Y228&lt;=0,0,MAX(0,MIN(Y228,ROUND($AZ228-SUMPRODUCT($V228:$AE228*($V228:$AE228&gt;0)*(($V228:$AE228&lt;Y228)+($V228:$AE228=Y228)*($V$3:$AE$3&gt;Y$3)+($V228:$AE228=Y228)*($V$3:$AE$3=Y$3)*($V$2:$AE$2&lt;Y$2))),2))))</f>
      </c>
      <c r="AJ228" s="33">
        <f>IF(Z228&lt;=0,0,MAX(0,MIN(Z228,ROUND($AZ228-SUMPRODUCT($V228:$AE228*($V228:$AE228&gt;0)*(($V228:$AE228&lt;Z228)+($V228:$AE228=Z228)*($V$3:$AE$3&gt;Z$3)+($V228:$AE228=Z228)*($V$3:$AE$3=Z$3)*($V$2:$AE$2&lt;Z$2))),2))))</f>
      </c>
      <c r="AK228" s="33">
        <f>IF(AA228&lt;=0,0,MAX(0,MIN(AA228,ROUND($AZ228-SUMPRODUCT($V228:$AE228*($V228:$AE228&gt;0)*(($V228:$AE228&lt;AA228)+($V228:$AE228=AA228)*($V$3:$AE$3&gt;AA$3)+($V228:$AE228=AA228)*($V$3:$AE$3=AA$3)*($V$2:$AE$2&lt;AA$2))),2))))</f>
      </c>
      <c r="AL228" s="33">
        <f>IF(AB228&lt;=0,0,MAX(0,MIN(AB228,ROUND($AZ228-SUMPRODUCT($V228:$AE228*($V228:$AE228&gt;0)*(($V228:$AE228&lt;AB228)+($V228:$AE228=AB228)*($V$3:$AE$3&gt;AB$3)+($V228:$AE228=AB228)*($V$3:$AE$3=AB$3)*($V$2:$AE$2&lt;AB$2))),2))))</f>
      </c>
      <c r="AM228" s="33">
        <f>IF(AC228&lt;=0,0,MAX(0,MIN(AC228,ROUND($AZ228-SUMPRODUCT($V228:$AE228*($V228:$AE228&gt;0)*(($V228:$AE228&lt;AC228)+($V228:$AE228=AC228)*($V$3:$AE$3&gt;AC$3)+($V228:$AE228=AC228)*($V$3:$AE$3=AC$3)*($V$2:$AE$2&lt;AC$2))),2))))</f>
      </c>
      <c r="AN228" s="33">
        <f>IF(AD228&lt;=0,0,MAX(0,MIN(AD228,ROUND($AZ228-SUMPRODUCT($V228:$AE228*($V228:$AE228&gt;0)*(($V228:$AE228&lt;AD228)+($V228:$AE228=AD228)*($V$3:$AE$3&gt;AD$3)+($V228:$AE228=AD228)*($V$3:$AE$3=AD$3)*($V$2:$AE$2&lt;AD$2))),2))))</f>
      </c>
      <c r="AO228" s="33">
        <f>IF(AE228&lt;=0,0,MAX(0,MIN(AE228,ROUND($AZ228-SUMPRODUCT($V228:$AE228*($V228:$AE228&gt;0)*(($V228:$AE228&lt;AE228)+($V228:$AE228=AE228)*($V$3:$AE$3&gt;AE$3)+($V228:$AE228=AE228)*($V$3:$AE$3=AE$3)*($V$2:$AE$2&lt;AE$2))),2))))</f>
      </c>
      <c r="AP228" s="33">
        <f>ROUND(V228-AF228,2)</f>
      </c>
      <c r="AQ228" s="33">
        <f>ROUND(W228-AG228,2)</f>
      </c>
      <c r="AR228" s="33">
        <f>ROUND(X228-AH228,2)</f>
      </c>
      <c r="AS228" s="33">
        <f>ROUND(Y228-AI228,2)</f>
      </c>
      <c r="AT228" s="33">
        <f>ROUND(Z228-AJ228,2)</f>
      </c>
      <c r="AU228" s="33">
        <f>ROUND(AA228-AK228,2)</f>
      </c>
      <c r="AV228" s="33">
        <f>ROUND(AB228-AL228,2)</f>
      </c>
      <c r="AW228" s="33">
        <f>ROUND(AC228-AM228,2)</f>
      </c>
      <c r="AX228" s="33">
        <f>ROUND(AD228-AN228,2)</f>
      </c>
      <c r="AY228" s="33">
        <f>ROUND(AE228-AO228,2)</f>
      </c>
      <c r="AZ228" s="33">
        <f>ROUND(MAX(0,'Your debts'!$D$22-SUM($L228:$U228)),2)</f>
      </c>
      <c r="BA228" s="33">
        <f>ROUND(SUM($B228:$K228)-SUM($AP227:$AY227),2)</f>
      </c>
      <c r="BB228" s="33">
        <f>SUM($AP228:$AY228)</f>
      </c>
      <c r="BC228" s="33">
        <f>ROUND(SUM($L228:$U228)+SUM($AF228:$AO228),2)</f>
      </c>
    </row>
    <row r="229" spans="1:55" x14ac:dyDescent="0.25">
      <c r="A229">
        <v>222</v>
      </c>
      <c r="B229" s="33">
        <f>IF(AP228&lt;=0,0,ROUND(AP228+ROUND(AP228*V$3/12,2),2))</f>
      </c>
      <c r="C229" s="33">
        <f>IF(AQ228&lt;=0,0,ROUND(AQ228+ROUND(AQ228*W$3/12,2),2))</f>
      </c>
      <c r="D229" s="33">
        <f>IF(AR228&lt;=0,0,ROUND(AR228+ROUND(AR228*X$3/12,2),2))</f>
      </c>
      <c r="E229" s="33">
        <f>IF(AS228&lt;=0,0,ROUND(AS228+ROUND(AS228*Y$3/12,2),2))</f>
      </c>
      <c r="F229" s="33">
        <f>IF(AT228&lt;=0,0,ROUND(AT228+ROUND(AT228*Z$3/12,2),2))</f>
      </c>
      <c r="G229" s="33">
        <f>IF(AU228&lt;=0,0,ROUND(AU228+ROUND(AU228*AA$3/12,2),2))</f>
      </c>
      <c r="H229" s="33">
        <f>IF(AV228&lt;=0,0,ROUND(AV228+ROUND(AV228*AB$3/12,2),2))</f>
      </c>
      <c r="I229" s="33">
        <f>IF(AW228&lt;=0,0,ROUND(AW228+ROUND(AW228*AC$3/12,2),2))</f>
      </c>
      <c r="J229" s="33">
        <f>IF(AX228&lt;=0,0,ROUND(AX228+ROUND(AX228*AD$3/12,2),2))</f>
      </c>
      <c r="K229" s="33">
        <f>IF(AY228&lt;=0,0,ROUND(AY228+ROUND(AY228*AE$3/12,2),2))</f>
      </c>
      <c r="L229" s="33">
        <f>ROUND(MIN(MAX(0,N('Your debts'!$E$6)),B229),2)</f>
      </c>
      <c r="M229" s="33">
        <f>ROUND(MIN(MAX(0,N('Your debts'!$E$7)),C229),2)</f>
      </c>
      <c r="N229" s="33">
        <f>ROUND(MIN(MAX(0,N('Your debts'!$E$8)),D229),2)</f>
      </c>
      <c r="O229" s="33">
        <f>ROUND(MIN(MAX(0,N('Your debts'!$E$9)),E229),2)</f>
      </c>
      <c r="P229" s="33">
        <f>ROUND(MIN(MAX(0,N('Your debts'!$E$10)),F229),2)</f>
      </c>
      <c r="Q229" s="33">
        <f>ROUND(MIN(MAX(0,N('Your debts'!$E$11)),G229),2)</f>
      </c>
      <c r="R229" s="33">
        <f>ROUND(MIN(MAX(0,N('Your debts'!$E$12)),H229),2)</f>
      </c>
      <c r="S229" s="33">
        <f>ROUND(MIN(MAX(0,N('Your debts'!$E$13)),I229),2)</f>
      </c>
      <c r="T229" s="33">
        <f>ROUND(MIN(MAX(0,N('Your debts'!$E$14)),J229),2)</f>
      </c>
      <c r="U229" s="33">
        <f>ROUND(MIN(MAX(0,N('Your debts'!$E$15)),K229),2)</f>
      </c>
      <c r="V229" s="33">
        <f>ROUND(B229-L229,2)</f>
      </c>
      <c r="W229" s="33">
        <f>ROUND(C229-M229,2)</f>
      </c>
      <c r="X229" s="33">
        <f>ROUND(D229-N229,2)</f>
      </c>
      <c r="Y229" s="33">
        <f>ROUND(E229-O229,2)</f>
      </c>
      <c r="Z229" s="33">
        <f>ROUND(F229-P229,2)</f>
      </c>
      <c r="AA229" s="33">
        <f>ROUND(G229-Q229,2)</f>
      </c>
      <c r="AB229" s="33">
        <f>ROUND(H229-R229,2)</f>
      </c>
      <c r="AC229" s="33">
        <f>ROUND(I229-S229,2)</f>
      </c>
      <c r="AD229" s="33">
        <f>ROUND(J229-T229,2)</f>
      </c>
      <c r="AE229" s="33">
        <f>ROUND(K229-U229,2)</f>
      </c>
      <c r="AF229" s="33">
        <f>IF(V229&lt;=0,0,MAX(0,MIN(V229,ROUND($AZ229-SUMPRODUCT($V229:$AE229*($V229:$AE229&gt;0)*(($V229:$AE229&lt;V229)+($V229:$AE229=V229)*($V$3:$AE$3&gt;V$3)+($V229:$AE229=V229)*($V$3:$AE$3=V$3)*($V$2:$AE$2&lt;V$2))),2))))</f>
      </c>
      <c r="AG229" s="33">
        <f>IF(W229&lt;=0,0,MAX(0,MIN(W229,ROUND($AZ229-SUMPRODUCT($V229:$AE229*($V229:$AE229&gt;0)*(($V229:$AE229&lt;W229)+($V229:$AE229=W229)*($V$3:$AE$3&gt;W$3)+($V229:$AE229=W229)*($V$3:$AE$3=W$3)*($V$2:$AE$2&lt;W$2))),2))))</f>
      </c>
      <c r="AH229" s="33">
        <f>IF(X229&lt;=0,0,MAX(0,MIN(X229,ROUND($AZ229-SUMPRODUCT($V229:$AE229*($V229:$AE229&gt;0)*(($V229:$AE229&lt;X229)+($V229:$AE229=X229)*($V$3:$AE$3&gt;X$3)+($V229:$AE229=X229)*($V$3:$AE$3=X$3)*($V$2:$AE$2&lt;X$2))),2))))</f>
      </c>
      <c r="AI229" s="33">
        <f>IF(Y229&lt;=0,0,MAX(0,MIN(Y229,ROUND($AZ229-SUMPRODUCT($V229:$AE229*($V229:$AE229&gt;0)*(($V229:$AE229&lt;Y229)+($V229:$AE229=Y229)*($V$3:$AE$3&gt;Y$3)+($V229:$AE229=Y229)*($V$3:$AE$3=Y$3)*($V$2:$AE$2&lt;Y$2))),2))))</f>
      </c>
      <c r="AJ229" s="33">
        <f>IF(Z229&lt;=0,0,MAX(0,MIN(Z229,ROUND($AZ229-SUMPRODUCT($V229:$AE229*($V229:$AE229&gt;0)*(($V229:$AE229&lt;Z229)+($V229:$AE229=Z229)*($V$3:$AE$3&gt;Z$3)+($V229:$AE229=Z229)*($V$3:$AE$3=Z$3)*($V$2:$AE$2&lt;Z$2))),2))))</f>
      </c>
      <c r="AK229" s="33">
        <f>IF(AA229&lt;=0,0,MAX(0,MIN(AA229,ROUND($AZ229-SUMPRODUCT($V229:$AE229*($V229:$AE229&gt;0)*(($V229:$AE229&lt;AA229)+($V229:$AE229=AA229)*($V$3:$AE$3&gt;AA$3)+($V229:$AE229=AA229)*($V$3:$AE$3=AA$3)*($V$2:$AE$2&lt;AA$2))),2))))</f>
      </c>
      <c r="AL229" s="33">
        <f>IF(AB229&lt;=0,0,MAX(0,MIN(AB229,ROUND($AZ229-SUMPRODUCT($V229:$AE229*($V229:$AE229&gt;0)*(($V229:$AE229&lt;AB229)+($V229:$AE229=AB229)*($V$3:$AE$3&gt;AB$3)+($V229:$AE229=AB229)*($V$3:$AE$3=AB$3)*($V$2:$AE$2&lt;AB$2))),2))))</f>
      </c>
      <c r="AM229" s="33">
        <f>IF(AC229&lt;=0,0,MAX(0,MIN(AC229,ROUND($AZ229-SUMPRODUCT($V229:$AE229*($V229:$AE229&gt;0)*(($V229:$AE229&lt;AC229)+($V229:$AE229=AC229)*($V$3:$AE$3&gt;AC$3)+($V229:$AE229=AC229)*($V$3:$AE$3=AC$3)*($V$2:$AE$2&lt;AC$2))),2))))</f>
      </c>
      <c r="AN229" s="33">
        <f>IF(AD229&lt;=0,0,MAX(0,MIN(AD229,ROUND($AZ229-SUMPRODUCT($V229:$AE229*($V229:$AE229&gt;0)*(($V229:$AE229&lt;AD229)+($V229:$AE229=AD229)*($V$3:$AE$3&gt;AD$3)+($V229:$AE229=AD229)*($V$3:$AE$3=AD$3)*($V$2:$AE$2&lt;AD$2))),2))))</f>
      </c>
      <c r="AO229" s="33">
        <f>IF(AE229&lt;=0,0,MAX(0,MIN(AE229,ROUND($AZ229-SUMPRODUCT($V229:$AE229*($V229:$AE229&gt;0)*(($V229:$AE229&lt;AE229)+($V229:$AE229=AE229)*($V$3:$AE$3&gt;AE$3)+($V229:$AE229=AE229)*($V$3:$AE$3=AE$3)*($V$2:$AE$2&lt;AE$2))),2))))</f>
      </c>
      <c r="AP229" s="33">
        <f>ROUND(V229-AF229,2)</f>
      </c>
      <c r="AQ229" s="33">
        <f>ROUND(W229-AG229,2)</f>
      </c>
      <c r="AR229" s="33">
        <f>ROUND(X229-AH229,2)</f>
      </c>
      <c r="AS229" s="33">
        <f>ROUND(Y229-AI229,2)</f>
      </c>
      <c r="AT229" s="33">
        <f>ROUND(Z229-AJ229,2)</f>
      </c>
      <c r="AU229" s="33">
        <f>ROUND(AA229-AK229,2)</f>
      </c>
      <c r="AV229" s="33">
        <f>ROUND(AB229-AL229,2)</f>
      </c>
      <c r="AW229" s="33">
        <f>ROUND(AC229-AM229,2)</f>
      </c>
      <c r="AX229" s="33">
        <f>ROUND(AD229-AN229,2)</f>
      </c>
      <c r="AY229" s="33">
        <f>ROUND(AE229-AO229,2)</f>
      </c>
      <c r="AZ229" s="33">
        <f>ROUND(MAX(0,'Your debts'!$D$22-SUM($L229:$U229)),2)</f>
      </c>
      <c r="BA229" s="33">
        <f>ROUND(SUM($B229:$K229)-SUM($AP228:$AY228),2)</f>
      </c>
      <c r="BB229" s="33">
        <f>SUM($AP229:$AY229)</f>
      </c>
      <c r="BC229" s="33">
        <f>ROUND(SUM($L229:$U229)+SUM($AF229:$AO229),2)</f>
      </c>
    </row>
    <row r="230" spans="1:55" x14ac:dyDescent="0.25">
      <c r="A230">
        <v>223</v>
      </c>
      <c r="B230" s="33">
        <f>IF(AP229&lt;=0,0,ROUND(AP229+ROUND(AP229*V$3/12,2),2))</f>
      </c>
      <c r="C230" s="33">
        <f>IF(AQ229&lt;=0,0,ROUND(AQ229+ROUND(AQ229*W$3/12,2),2))</f>
      </c>
      <c r="D230" s="33">
        <f>IF(AR229&lt;=0,0,ROUND(AR229+ROUND(AR229*X$3/12,2),2))</f>
      </c>
      <c r="E230" s="33">
        <f>IF(AS229&lt;=0,0,ROUND(AS229+ROUND(AS229*Y$3/12,2),2))</f>
      </c>
      <c r="F230" s="33">
        <f>IF(AT229&lt;=0,0,ROUND(AT229+ROUND(AT229*Z$3/12,2),2))</f>
      </c>
      <c r="G230" s="33">
        <f>IF(AU229&lt;=0,0,ROUND(AU229+ROUND(AU229*AA$3/12,2),2))</f>
      </c>
      <c r="H230" s="33">
        <f>IF(AV229&lt;=0,0,ROUND(AV229+ROUND(AV229*AB$3/12,2),2))</f>
      </c>
      <c r="I230" s="33">
        <f>IF(AW229&lt;=0,0,ROUND(AW229+ROUND(AW229*AC$3/12,2),2))</f>
      </c>
      <c r="J230" s="33">
        <f>IF(AX229&lt;=0,0,ROUND(AX229+ROUND(AX229*AD$3/12,2),2))</f>
      </c>
      <c r="K230" s="33">
        <f>IF(AY229&lt;=0,0,ROUND(AY229+ROUND(AY229*AE$3/12,2),2))</f>
      </c>
      <c r="L230" s="33">
        <f>ROUND(MIN(MAX(0,N('Your debts'!$E$6)),B230),2)</f>
      </c>
      <c r="M230" s="33">
        <f>ROUND(MIN(MAX(0,N('Your debts'!$E$7)),C230),2)</f>
      </c>
      <c r="N230" s="33">
        <f>ROUND(MIN(MAX(0,N('Your debts'!$E$8)),D230),2)</f>
      </c>
      <c r="O230" s="33">
        <f>ROUND(MIN(MAX(0,N('Your debts'!$E$9)),E230),2)</f>
      </c>
      <c r="P230" s="33">
        <f>ROUND(MIN(MAX(0,N('Your debts'!$E$10)),F230),2)</f>
      </c>
      <c r="Q230" s="33">
        <f>ROUND(MIN(MAX(0,N('Your debts'!$E$11)),G230),2)</f>
      </c>
      <c r="R230" s="33">
        <f>ROUND(MIN(MAX(0,N('Your debts'!$E$12)),H230),2)</f>
      </c>
      <c r="S230" s="33">
        <f>ROUND(MIN(MAX(0,N('Your debts'!$E$13)),I230),2)</f>
      </c>
      <c r="T230" s="33">
        <f>ROUND(MIN(MAX(0,N('Your debts'!$E$14)),J230),2)</f>
      </c>
      <c r="U230" s="33">
        <f>ROUND(MIN(MAX(0,N('Your debts'!$E$15)),K230),2)</f>
      </c>
      <c r="V230" s="33">
        <f>ROUND(B230-L230,2)</f>
      </c>
      <c r="W230" s="33">
        <f>ROUND(C230-M230,2)</f>
      </c>
      <c r="X230" s="33">
        <f>ROUND(D230-N230,2)</f>
      </c>
      <c r="Y230" s="33">
        <f>ROUND(E230-O230,2)</f>
      </c>
      <c r="Z230" s="33">
        <f>ROUND(F230-P230,2)</f>
      </c>
      <c r="AA230" s="33">
        <f>ROUND(G230-Q230,2)</f>
      </c>
      <c r="AB230" s="33">
        <f>ROUND(H230-R230,2)</f>
      </c>
      <c r="AC230" s="33">
        <f>ROUND(I230-S230,2)</f>
      </c>
      <c r="AD230" s="33">
        <f>ROUND(J230-T230,2)</f>
      </c>
      <c r="AE230" s="33">
        <f>ROUND(K230-U230,2)</f>
      </c>
      <c r="AF230" s="33">
        <f>IF(V230&lt;=0,0,MAX(0,MIN(V230,ROUND($AZ230-SUMPRODUCT($V230:$AE230*($V230:$AE230&gt;0)*(($V230:$AE230&lt;V230)+($V230:$AE230=V230)*($V$3:$AE$3&gt;V$3)+($V230:$AE230=V230)*($V$3:$AE$3=V$3)*($V$2:$AE$2&lt;V$2))),2))))</f>
      </c>
      <c r="AG230" s="33">
        <f>IF(W230&lt;=0,0,MAX(0,MIN(W230,ROUND($AZ230-SUMPRODUCT($V230:$AE230*($V230:$AE230&gt;0)*(($V230:$AE230&lt;W230)+($V230:$AE230=W230)*($V$3:$AE$3&gt;W$3)+($V230:$AE230=W230)*($V$3:$AE$3=W$3)*($V$2:$AE$2&lt;W$2))),2))))</f>
      </c>
      <c r="AH230" s="33">
        <f>IF(X230&lt;=0,0,MAX(0,MIN(X230,ROUND($AZ230-SUMPRODUCT($V230:$AE230*($V230:$AE230&gt;0)*(($V230:$AE230&lt;X230)+($V230:$AE230=X230)*($V$3:$AE$3&gt;X$3)+($V230:$AE230=X230)*($V$3:$AE$3=X$3)*($V$2:$AE$2&lt;X$2))),2))))</f>
      </c>
      <c r="AI230" s="33">
        <f>IF(Y230&lt;=0,0,MAX(0,MIN(Y230,ROUND($AZ230-SUMPRODUCT($V230:$AE230*($V230:$AE230&gt;0)*(($V230:$AE230&lt;Y230)+($V230:$AE230=Y230)*($V$3:$AE$3&gt;Y$3)+($V230:$AE230=Y230)*($V$3:$AE$3=Y$3)*($V$2:$AE$2&lt;Y$2))),2))))</f>
      </c>
      <c r="AJ230" s="33">
        <f>IF(Z230&lt;=0,0,MAX(0,MIN(Z230,ROUND($AZ230-SUMPRODUCT($V230:$AE230*($V230:$AE230&gt;0)*(($V230:$AE230&lt;Z230)+($V230:$AE230=Z230)*($V$3:$AE$3&gt;Z$3)+($V230:$AE230=Z230)*($V$3:$AE$3=Z$3)*($V$2:$AE$2&lt;Z$2))),2))))</f>
      </c>
      <c r="AK230" s="33">
        <f>IF(AA230&lt;=0,0,MAX(0,MIN(AA230,ROUND($AZ230-SUMPRODUCT($V230:$AE230*($V230:$AE230&gt;0)*(($V230:$AE230&lt;AA230)+($V230:$AE230=AA230)*($V$3:$AE$3&gt;AA$3)+($V230:$AE230=AA230)*($V$3:$AE$3=AA$3)*($V$2:$AE$2&lt;AA$2))),2))))</f>
      </c>
      <c r="AL230" s="33">
        <f>IF(AB230&lt;=0,0,MAX(0,MIN(AB230,ROUND($AZ230-SUMPRODUCT($V230:$AE230*($V230:$AE230&gt;0)*(($V230:$AE230&lt;AB230)+($V230:$AE230=AB230)*($V$3:$AE$3&gt;AB$3)+($V230:$AE230=AB230)*($V$3:$AE$3=AB$3)*($V$2:$AE$2&lt;AB$2))),2))))</f>
      </c>
      <c r="AM230" s="33">
        <f>IF(AC230&lt;=0,0,MAX(0,MIN(AC230,ROUND($AZ230-SUMPRODUCT($V230:$AE230*($V230:$AE230&gt;0)*(($V230:$AE230&lt;AC230)+($V230:$AE230=AC230)*($V$3:$AE$3&gt;AC$3)+($V230:$AE230=AC230)*($V$3:$AE$3=AC$3)*($V$2:$AE$2&lt;AC$2))),2))))</f>
      </c>
      <c r="AN230" s="33">
        <f>IF(AD230&lt;=0,0,MAX(0,MIN(AD230,ROUND($AZ230-SUMPRODUCT($V230:$AE230*($V230:$AE230&gt;0)*(($V230:$AE230&lt;AD230)+($V230:$AE230=AD230)*($V$3:$AE$3&gt;AD$3)+($V230:$AE230=AD230)*($V$3:$AE$3=AD$3)*($V$2:$AE$2&lt;AD$2))),2))))</f>
      </c>
      <c r="AO230" s="33">
        <f>IF(AE230&lt;=0,0,MAX(0,MIN(AE230,ROUND($AZ230-SUMPRODUCT($V230:$AE230*($V230:$AE230&gt;0)*(($V230:$AE230&lt;AE230)+($V230:$AE230=AE230)*($V$3:$AE$3&gt;AE$3)+($V230:$AE230=AE230)*($V$3:$AE$3=AE$3)*($V$2:$AE$2&lt;AE$2))),2))))</f>
      </c>
      <c r="AP230" s="33">
        <f>ROUND(V230-AF230,2)</f>
      </c>
      <c r="AQ230" s="33">
        <f>ROUND(W230-AG230,2)</f>
      </c>
      <c r="AR230" s="33">
        <f>ROUND(X230-AH230,2)</f>
      </c>
      <c r="AS230" s="33">
        <f>ROUND(Y230-AI230,2)</f>
      </c>
      <c r="AT230" s="33">
        <f>ROUND(Z230-AJ230,2)</f>
      </c>
      <c r="AU230" s="33">
        <f>ROUND(AA230-AK230,2)</f>
      </c>
      <c r="AV230" s="33">
        <f>ROUND(AB230-AL230,2)</f>
      </c>
      <c r="AW230" s="33">
        <f>ROUND(AC230-AM230,2)</f>
      </c>
      <c r="AX230" s="33">
        <f>ROUND(AD230-AN230,2)</f>
      </c>
      <c r="AY230" s="33">
        <f>ROUND(AE230-AO230,2)</f>
      </c>
      <c r="AZ230" s="33">
        <f>ROUND(MAX(0,'Your debts'!$D$22-SUM($L230:$U230)),2)</f>
      </c>
      <c r="BA230" s="33">
        <f>ROUND(SUM($B230:$K230)-SUM($AP229:$AY229),2)</f>
      </c>
      <c r="BB230" s="33">
        <f>SUM($AP230:$AY230)</f>
      </c>
      <c r="BC230" s="33">
        <f>ROUND(SUM($L230:$U230)+SUM($AF230:$AO230),2)</f>
      </c>
    </row>
    <row r="231" spans="1:55" x14ac:dyDescent="0.25">
      <c r="A231">
        <v>224</v>
      </c>
      <c r="B231" s="33">
        <f>IF(AP230&lt;=0,0,ROUND(AP230+ROUND(AP230*V$3/12,2),2))</f>
      </c>
      <c r="C231" s="33">
        <f>IF(AQ230&lt;=0,0,ROUND(AQ230+ROUND(AQ230*W$3/12,2),2))</f>
      </c>
      <c r="D231" s="33">
        <f>IF(AR230&lt;=0,0,ROUND(AR230+ROUND(AR230*X$3/12,2),2))</f>
      </c>
      <c r="E231" s="33">
        <f>IF(AS230&lt;=0,0,ROUND(AS230+ROUND(AS230*Y$3/12,2),2))</f>
      </c>
      <c r="F231" s="33">
        <f>IF(AT230&lt;=0,0,ROUND(AT230+ROUND(AT230*Z$3/12,2),2))</f>
      </c>
      <c r="G231" s="33">
        <f>IF(AU230&lt;=0,0,ROUND(AU230+ROUND(AU230*AA$3/12,2),2))</f>
      </c>
      <c r="H231" s="33">
        <f>IF(AV230&lt;=0,0,ROUND(AV230+ROUND(AV230*AB$3/12,2),2))</f>
      </c>
      <c r="I231" s="33">
        <f>IF(AW230&lt;=0,0,ROUND(AW230+ROUND(AW230*AC$3/12,2),2))</f>
      </c>
      <c r="J231" s="33">
        <f>IF(AX230&lt;=0,0,ROUND(AX230+ROUND(AX230*AD$3/12,2),2))</f>
      </c>
      <c r="K231" s="33">
        <f>IF(AY230&lt;=0,0,ROUND(AY230+ROUND(AY230*AE$3/12,2),2))</f>
      </c>
      <c r="L231" s="33">
        <f>ROUND(MIN(MAX(0,N('Your debts'!$E$6)),B231),2)</f>
      </c>
      <c r="M231" s="33">
        <f>ROUND(MIN(MAX(0,N('Your debts'!$E$7)),C231),2)</f>
      </c>
      <c r="N231" s="33">
        <f>ROUND(MIN(MAX(0,N('Your debts'!$E$8)),D231),2)</f>
      </c>
      <c r="O231" s="33">
        <f>ROUND(MIN(MAX(0,N('Your debts'!$E$9)),E231),2)</f>
      </c>
      <c r="P231" s="33">
        <f>ROUND(MIN(MAX(0,N('Your debts'!$E$10)),F231),2)</f>
      </c>
      <c r="Q231" s="33">
        <f>ROUND(MIN(MAX(0,N('Your debts'!$E$11)),G231),2)</f>
      </c>
      <c r="R231" s="33">
        <f>ROUND(MIN(MAX(0,N('Your debts'!$E$12)),H231),2)</f>
      </c>
      <c r="S231" s="33">
        <f>ROUND(MIN(MAX(0,N('Your debts'!$E$13)),I231),2)</f>
      </c>
      <c r="T231" s="33">
        <f>ROUND(MIN(MAX(0,N('Your debts'!$E$14)),J231),2)</f>
      </c>
      <c r="U231" s="33">
        <f>ROUND(MIN(MAX(0,N('Your debts'!$E$15)),K231),2)</f>
      </c>
      <c r="V231" s="33">
        <f>ROUND(B231-L231,2)</f>
      </c>
      <c r="W231" s="33">
        <f>ROUND(C231-M231,2)</f>
      </c>
      <c r="X231" s="33">
        <f>ROUND(D231-N231,2)</f>
      </c>
      <c r="Y231" s="33">
        <f>ROUND(E231-O231,2)</f>
      </c>
      <c r="Z231" s="33">
        <f>ROUND(F231-P231,2)</f>
      </c>
      <c r="AA231" s="33">
        <f>ROUND(G231-Q231,2)</f>
      </c>
      <c r="AB231" s="33">
        <f>ROUND(H231-R231,2)</f>
      </c>
      <c r="AC231" s="33">
        <f>ROUND(I231-S231,2)</f>
      </c>
      <c r="AD231" s="33">
        <f>ROUND(J231-T231,2)</f>
      </c>
      <c r="AE231" s="33">
        <f>ROUND(K231-U231,2)</f>
      </c>
      <c r="AF231" s="33">
        <f>IF(V231&lt;=0,0,MAX(0,MIN(V231,ROUND($AZ231-SUMPRODUCT($V231:$AE231*($V231:$AE231&gt;0)*(($V231:$AE231&lt;V231)+($V231:$AE231=V231)*($V$3:$AE$3&gt;V$3)+($V231:$AE231=V231)*($V$3:$AE$3=V$3)*($V$2:$AE$2&lt;V$2))),2))))</f>
      </c>
      <c r="AG231" s="33">
        <f>IF(W231&lt;=0,0,MAX(0,MIN(W231,ROUND($AZ231-SUMPRODUCT($V231:$AE231*($V231:$AE231&gt;0)*(($V231:$AE231&lt;W231)+($V231:$AE231=W231)*($V$3:$AE$3&gt;W$3)+($V231:$AE231=W231)*($V$3:$AE$3=W$3)*($V$2:$AE$2&lt;W$2))),2))))</f>
      </c>
      <c r="AH231" s="33">
        <f>IF(X231&lt;=0,0,MAX(0,MIN(X231,ROUND($AZ231-SUMPRODUCT($V231:$AE231*($V231:$AE231&gt;0)*(($V231:$AE231&lt;X231)+($V231:$AE231=X231)*($V$3:$AE$3&gt;X$3)+($V231:$AE231=X231)*($V$3:$AE$3=X$3)*($V$2:$AE$2&lt;X$2))),2))))</f>
      </c>
      <c r="AI231" s="33">
        <f>IF(Y231&lt;=0,0,MAX(0,MIN(Y231,ROUND($AZ231-SUMPRODUCT($V231:$AE231*($V231:$AE231&gt;0)*(($V231:$AE231&lt;Y231)+($V231:$AE231=Y231)*($V$3:$AE$3&gt;Y$3)+($V231:$AE231=Y231)*($V$3:$AE$3=Y$3)*($V$2:$AE$2&lt;Y$2))),2))))</f>
      </c>
      <c r="AJ231" s="33">
        <f>IF(Z231&lt;=0,0,MAX(0,MIN(Z231,ROUND($AZ231-SUMPRODUCT($V231:$AE231*($V231:$AE231&gt;0)*(($V231:$AE231&lt;Z231)+($V231:$AE231=Z231)*($V$3:$AE$3&gt;Z$3)+($V231:$AE231=Z231)*($V$3:$AE$3=Z$3)*($V$2:$AE$2&lt;Z$2))),2))))</f>
      </c>
      <c r="AK231" s="33">
        <f>IF(AA231&lt;=0,0,MAX(0,MIN(AA231,ROUND($AZ231-SUMPRODUCT($V231:$AE231*($V231:$AE231&gt;0)*(($V231:$AE231&lt;AA231)+($V231:$AE231=AA231)*($V$3:$AE$3&gt;AA$3)+($V231:$AE231=AA231)*($V$3:$AE$3=AA$3)*($V$2:$AE$2&lt;AA$2))),2))))</f>
      </c>
      <c r="AL231" s="33">
        <f>IF(AB231&lt;=0,0,MAX(0,MIN(AB231,ROUND($AZ231-SUMPRODUCT($V231:$AE231*($V231:$AE231&gt;0)*(($V231:$AE231&lt;AB231)+($V231:$AE231=AB231)*($V$3:$AE$3&gt;AB$3)+($V231:$AE231=AB231)*($V$3:$AE$3=AB$3)*($V$2:$AE$2&lt;AB$2))),2))))</f>
      </c>
      <c r="AM231" s="33">
        <f>IF(AC231&lt;=0,0,MAX(0,MIN(AC231,ROUND($AZ231-SUMPRODUCT($V231:$AE231*($V231:$AE231&gt;0)*(($V231:$AE231&lt;AC231)+($V231:$AE231=AC231)*($V$3:$AE$3&gt;AC$3)+($V231:$AE231=AC231)*($V$3:$AE$3=AC$3)*($V$2:$AE$2&lt;AC$2))),2))))</f>
      </c>
      <c r="AN231" s="33">
        <f>IF(AD231&lt;=0,0,MAX(0,MIN(AD231,ROUND($AZ231-SUMPRODUCT($V231:$AE231*($V231:$AE231&gt;0)*(($V231:$AE231&lt;AD231)+($V231:$AE231=AD231)*($V$3:$AE$3&gt;AD$3)+($V231:$AE231=AD231)*($V$3:$AE$3=AD$3)*($V$2:$AE$2&lt;AD$2))),2))))</f>
      </c>
      <c r="AO231" s="33">
        <f>IF(AE231&lt;=0,0,MAX(0,MIN(AE231,ROUND($AZ231-SUMPRODUCT($V231:$AE231*($V231:$AE231&gt;0)*(($V231:$AE231&lt;AE231)+($V231:$AE231=AE231)*($V$3:$AE$3&gt;AE$3)+($V231:$AE231=AE231)*($V$3:$AE$3=AE$3)*($V$2:$AE$2&lt;AE$2))),2))))</f>
      </c>
      <c r="AP231" s="33">
        <f>ROUND(V231-AF231,2)</f>
      </c>
      <c r="AQ231" s="33">
        <f>ROUND(W231-AG231,2)</f>
      </c>
      <c r="AR231" s="33">
        <f>ROUND(X231-AH231,2)</f>
      </c>
      <c r="AS231" s="33">
        <f>ROUND(Y231-AI231,2)</f>
      </c>
      <c r="AT231" s="33">
        <f>ROUND(Z231-AJ231,2)</f>
      </c>
      <c r="AU231" s="33">
        <f>ROUND(AA231-AK231,2)</f>
      </c>
      <c r="AV231" s="33">
        <f>ROUND(AB231-AL231,2)</f>
      </c>
      <c r="AW231" s="33">
        <f>ROUND(AC231-AM231,2)</f>
      </c>
      <c r="AX231" s="33">
        <f>ROUND(AD231-AN231,2)</f>
      </c>
      <c r="AY231" s="33">
        <f>ROUND(AE231-AO231,2)</f>
      </c>
      <c r="AZ231" s="33">
        <f>ROUND(MAX(0,'Your debts'!$D$22-SUM($L231:$U231)),2)</f>
      </c>
      <c r="BA231" s="33">
        <f>ROUND(SUM($B231:$K231)-SUM($AP230:$AY230),2)</f>
      </c>
      <c r="BB231" s="33">
        <f>SUM($AP231:$AY231)</f>
      </c>
      <c r="BC231" s="33">
        <f>ROUND(SUM($L231:$U231)+SUM($AF231:$AO231),2)</f>
      </c>
    </row>
    <row r="232" spans="1:55" x14ac:dyDescent="0.25">
      <c r="A232">
        <v>225</v>
      </c>
      <c r="B232" s="33">
        <f>IF(AP231&lt;=0,0,ROUND(AP231+ROUND(AP231*V$3/12,2),2))</f>
      </c>
      <c r="C232" s="33">
        <f>IF(AQ231&lt;=0,0,ROUND(AQ231+ROUND(AQ231*W$3/12,2),2))</f>
      </c>
      <c r="D232" s="33">
        <f>IF(AR231&lt;=0,0,ROUND(AR231+ROUND(AR231*X$3/12,2),2))</f>
      </c>
      <c r="E232" s="33">
        <f>IF(AS231&lt;=0,0,ROUND(AS231+ROUND(AS231*Y$3/12,2),2))</f>
      </c>
      <c r="F232" s="33">
        <f>IF(AT231&lt;=0,0,ROUND(AT231+ROUND(AT231*Z$3/12,2),2))</f>
      </c>
      <c r="G232" s="33">
        <f>IF(AU231&lt;=0,0,ROUND(AU231+ROUND(AU231*AA$3/12,2),2))</f>
      </c>
      <c r="H232" s="33">
        <f>IF(AV231&lt;=0,0,ROUND(AV231+ROUND(AV231*AB$3/12,2),2))</f>
      </c>
      <c r="I232" s="33">
        <f>IF(AW231&lt;=0,0,ROUND(AW231+ROUND(AW231*AC$3/12,2),2))</f>
      </c>
      <c r="J232" s="33">
        <f>IF(AX231&lt;=0,0,ROUND(AX231+ROUND(AX231*AD$3/12,2),2))</f>
      </c>
      <c r="K232" s="33">
        <f>IF(AY231&lt;=0,0,ROUND(AY231+ROUND(AY231*AE$3/12,2),2))</f>
      </c>
      <c r="L232" s="33">
        <f>ROUND(MIN(MAX(0,N('Your debts'!$E$6)),B232),2)</f>
      </c>
      <c r="M232" s="33">
        <f>ROUND(MIN(MAX(0,N('Your debts'!$E$7)),C232),2)</f>
      </c>
      <c r="N232" s="33">
        <f>ROUND(MIN(MAX(0,N('Your debts'!$E$8)),D232),2)</f>
      </c>
      <c r="O232" s="33">
        <f>ROUND(MIN(MAX(0,N('Your debts'!$E$9)),E232),2)</f>
      </c>
      <c r="P232" s="33">
        <f>ROUND(MIN(MAX(0,N('Your debts'!$E$10)),F232),2)</f>
      </c>
      <c r="Q232" s="33">
        <f>ROUND(MIN(MAX(0,N('Your debts'!$E$11)),G232),2)</f>
      </c>
      <c r="R232" s="33">
        <f>ROUND(MIN(MAX(0,N('Your debts'!$E$12)),H232),2)</f>
      </c>
      <c r="S232" s="33">
        <f>ROUND(MIN(MAX(0,N('Your debts'!$E$13)),I232),2)</f>
      </c>
      <c r="T232" s="33">
        <f>ROUND(MIN(MAX(0,N('Your debts'!$E$14)),J232),2)</f>
      </c>
      <c r="U232" s="33">
        <f>ROUND(MIN(MAX(0,N('Your debts'!$E$15)),K232),2)</f>
      </c>
      <c r="V232" s="33">
        <f>ROUND(B232-L232,2)</f>
      </c>
      <c r="W232" s="33">
        <f>ROUND(C232-M232,2)</f>
      </c>
      <c r="X232" s="33">
        <f>ROUND(D232-N232,2)</f>
      </c>
      <c r="Y232" s="33">
        <f>ROUND(E232-O232,2)</f>
      </c>
      <c r="Z232" s="33">
        <f>ROUND(F232-P232,2)</f>
      </c>
      <c r="AA232" s="33">
        <f>ROUND(G232-Q232,2)</f>
      </c>
      <c r="AB232" s="33">
        <f>ROUND(H232-R232,2)</f>
      </c>
      <c r="AC232" s="33">
        <f>ROUND(I232-S232,2)</f>
      </c>
      <c r="AD232" s="33">
        <f>ROUND(J232-T232,2)</f>
      </c>
      <c r="AE232" s="33">
        <f>ROUND(K232-U232,2)</f>
      </c>
      <c r="AF232" s="33">
        <f>IF(V232&lt;=0,0,MAX(0,MIN(V232,ROUND($AZ232-SUMPRODUCT($V232:$AE232*($V232:$AE232&gt;0)*(($V232:$AE232&lt;V232)+($V232:$AE232=V232)*($V$3:$AE$3&gt;V$3)+($V232:$AE232=V232)*($V$3:$AE$3=V$3)*($V$2:$AE$2&lt;V$2))),2))))</f>
      </c>
      <c r="AG232" s="33">
        <f>IF(W232&lt;=0,0,MAX(0,MIN(W232,ROUND($AZ232-SUMPRODUCT($V232:$AE232*($V232:$AE232&gt;0)*(($V232:$AE232&lt;W232)+($V232:$AE232=W232)*($V$3:$AE$3&gt;W$3)+($V232:$AE232=W232)*($V$3:$AE$3=W$3)*($V$2:$AE$2&lt;W$2))),2))))</f>
      </c>
      <c r="AH232" s="33">
        <f>IF(X232&lt;=0,0,MAX(0,MIN(X232,ROUND($AZ232-SUMPRODUCT($V232:$AE232*($V232:$AE232&gt;0)*(($V232:$AE232&lt;X232)+($V232:$AE232=X232)*($V$3:$AE$3&gt;X$3)+($V232:$AE232=X232)*($V$3:$AE$3=X$3)*($V$2:$AE$2&lt;X$2))),2))))</f>
      </c>
      <c r="AI232" s="33">
        <f>IF(Y232&lt;=0,0,MAX(0,MIN(Y232,ROUND($AZ232-SUMPRODUCT($V232:$AE232*($V232:$AE232&gt;0)*(($V232:$AE232&lt;Y232)+($V232:$AE232=Y232)*($V$3:$AE$3&gt;Y$3)+($V232:$AE232=Y232)*($V$3:$AE$3=Y$3)*($V$2:$AE$2&lt;Y$2))),2))))</f>
      </c>
      <c r="AJ232" s="33">
        <f>IF(Z232&lt;=0,0,MAX(0,MIN(Z232,ROUND($AZ232-SUMPRODUCT($V232:$AE232*($V232:$AE232&gt;0)*(($V232:$AE232&lt;Z232)+($V232:$AE232=Z232)*($V$3:$AE$3&gt;Z$3)+($V232:$AE232=Z232)*($V$3:$AE$3=Z$3)*($V$2:$AE$2&lt;Z$2))),2))))</f>
      </c>
      <c r="AK232" s="33">
        <f>IF(AA232&lt;=0,0,MAX(0,MIN(AA232,ROUND($AZ232-SUMPRODUCT($V232:$AE232*($V232:$AE232&gt;0)*(($V232:$AE232&lt;AA232)+($V232:$AE232=AA232)*($V$3:$AE$3&gt;AA$3)+($V232:$AE232=AA232)*($V$3:$AE$3=AA$3)*($V$2:$AE$2&lt;AA$2))),2))))</f>
      </c>
      <c r="AL232" s="33">
        <f>IF(AB232&lt;=0,0,MAX(0,MIN(AB232,ROUND($AZ232-SUMPRODUCT($V232:$AE232*($V232:$AE232&gt;0)*(($V232:$AE232&lt;AB232)+($V232:$AE232=AB232)*($V$3:$AE$3&gt;AB$3)+($V232:$AE232=AB232)*($V$3:$AE$3=AB$3)*($V$2:$AE$2&lt;AB$2))),2))))</f>
      </c>
      <c r="AM232" s="33">
        <f>IF(AC232&lt;=0,0,MAX(0,MIN(AC232,ROUND($AZ232-SUMPRODUCT($V232:$AE232*($V232:$AE232&gt;0)*(($V232:$AE232&lt;AC232)+($V232:$AE232=AC232)*($V$3:$AE$3&gt;AC$3)+($V232:$AE232=AC232)*($V$3:$AE$3=AC$3)*($V$2:$AE$2&lt;AC$2))),2))))</f>
      </c>
      <c r="AN232" s="33">
        <f>IF(AD232&lt;=0,0,MAX(0,MIN(AD232,ROUND($AZ232-SUMPRODUCT($V232:$AE232*($V232:$AE232&gt;0)*(($V232:$AE232&lt;AD232)+($V232:$AE232=AD232)*($V$3:$AE$3&gt;AD$3)+($V232:$AE232=AD232)*($V$3:$AE$3=AD$3)*($V$2:$AE$2&lt;AD$2))),2))))</f>
      </c>
      <c r="AO232" s="33">
        <f>IF(AE232&lt;=0,0,MAX(0,MIN(AE232,ROUND($AZ232-SUMPRODUCT($V232:$AE232*($V232:$AE232&gt;0)*(($V232:$AE232&lt;AE232)+($V232:$AE232=AE232)*($V$3:$AE$3&gt;AE$3)+($V232:$AE232=AE232)*($V$3:$AE$3=AE$3)*($V$2:$AE$2&lt;AE$2))),2))))</f>
      </c>
      <c r="AP232" s="33">
        <f>ROUND(V232-AF232,2)</f>
      </c>
      <c r="AQ232" s="33">
        <f>ROUND(W232-AG232,2)</f>
      </c>
      <c r="AR232" s="33">
        <f>ROUND(X232-AH232,2)</f>
      </c>
      <c r="AS232" s="33">
        <f>ROUND(Y232-AI232,2)</f>
      </c>
      <c r="AT232" s="33">
        <f>ROUND(Z232-AJ232,2)</f>
      </c>
      <c r="AU232" s="33">
        <f>ROUND(AA232-AK232,2)</f>
      </c>
      <c r="AV232" s="33">
        <f>ROUND(AB232-AL232,2)</f>
      </c>
      <c r="AW232" s="33">
        <f>ROUND(AC232-AM232,2)</f>
      </c>
      <c r="AX232" s="33">
        <f>ROUND(AD232-AN232,2)</f>
      </c>
      <c r="AY232" s="33">
        <f>ROUND(AE232-AO232,2)</f>
      </c>
      <c r="AZ232" s="33">
        <f>ROUND(MAX(0,'Your debts'!$D$22-SUM($L232:$U232)),2)</f>
      </c>
      <c r="BA232" s="33">
        <f>ROUND(SUM($B232:$K232)-SUM($AP231:$AY231),2)</f>
      </c>
      <c r="BB232" s="33">
        <f>SUM($AP232:$AY232)</f>
      </c>
      <c r="BC232" s="33">
        <f>ROUND(SUM($L232:$U232)+SUM($AF232:$AO232),2)</f>
      </c>
    </row>
    <row r="233" spans="1:55" x14ac:dyDescent="0.25">
      <c r="A233">
        <v>226</v>
      </c>
      <c r="B233" s="33">
        <f>IF(AP232&lt;=0,0,ROUND(AP232+ROUND(AP232*V$3/12,2),2))</f>
      </c>
      <c r="C233" s="33">
        <f>IF(AQ232&lt;=0,0,ROUND(AQ232+ROUND(AQ232*W$3/12,2),2))</f>
      </c>
      <c r="D233" s="33">
        <f>IF(AR232&lt;=0,0,ROUND(AR232+ROUND(AR232*X$3/12,2),2))</f>
      </c>
      <c r="E233" s="33">
        <f>IF(AS232&lt;=0,0,ROUND(AS232+ROUND(AS232*Y$3/12,2),2))</f>
      </c>
      <c r="F233" s="33">
        <f>IF(AT232&lt;=0,0,ROUND(AT232+ROUND(AT232*Z$3/12,2),2))</f>
      </c>
      <c r="G233" s="33">
        <f>IF(AU232&lt;=0,0,ROUND(AU232+ROUND(AU232*AA$3/12,2),2))</f>
      </c>
      <c r="H233" s="33">
        <f>IF(AV232&lt;=0,0,ROUND(AV232+ROUND(AV232*AB$3/12,2),2))</f>
      </c>
      <c r="I233" s="33">
        <f>IF(AW232&lt;=0,0,ROUND(AW232+ROUND(AW232*AC$3/12,2),2))</f>
      </c>
      <c r="J233" s="33">
        <f>IF(AX232&lt;=0,0,ROUND(AX232+ROUND(AX232*AD$3/12,2),2))</f>
      </c>
      <c r="K233" s="33">
        <f>IF(AY232&lt;=0,0,ROUND(AY232+ROUND(AY232*AE$3/12,2),2))</f>
      </c>
      <c r="L233" s="33">
        <f>ROUND(MIN(MAX(0,N('Your debts'!$E$6)),B233),2)</f>
      </c>
      <c r="M233" s="33">
        <f>ROUND(MIN(MAX(0,N('Your debts'!$E$7)),C233),2)</f>
      </c>
      <c r="N233" s="33">
        <f>ROUND(MIN(MAX(0,N('Your debts'!$E$8)),D233),2)</f>
      </c>
      <c r="O233" s="33">
        <f>ROUND(MIN(MAX(0,N('Your debts'!$E$9)),E233),2)</f>
      </c>
      <c r="P233" s="33">
        <f>ROUND(MIN(MAX(0,N('Your debts'!$E$10)),F233),2)</f>
      </c>
      <c r="Q233" s="33">
        <f>ROUND(MIN(MAX(0,N('Your debts'!$E$11)),G233),2)</f>
      </c>
      <c r="R233" s="33">
        <f>ROUND(MIN(MAX(0,N('Your debts'!$E$12)),H233),2)</f>
      </c>
      <c r="S233" s="33">
        <f>ROUND(MIN(MAX(0,N('Your debts'!$E$13)),I233),2)</f>
      </c>
      <c r="T233" s="33">
        <f>ROUND(MIN(MAX(0,N('Your debts'!$E$14)),J233),2)</f>
      </c>
      <c r="U233" s="33">
        <f>ROUND(MIN(MAX(0,N('Your debts'!$E$15)),K233),2)</f>
      </c>
      <c r="V233" s="33">
        <f>ROUND(B233-L233,2)</f>
      </c>
      <c r="W233" s="33">
        <f>ROUND(C233-M233,2)</f>
      </c>
      <c r="X233" s="33">
        <f>ROUND(D233-N233,2)</f>
      </c>
      <c r="Y233" s="33">
        <f>ROUND(E233-O233,2)</f>
      </c>
      <c r="Z233" s="33">
        <f>ROUND(F233-P233,2)</f>
      </c>
      <c r="AA233" s="33">
        <f>ROUND(G233-Q233,2)</f>
      </c>
      <c r="AB233" s="33">
        <f>ROUND(H233-R233,2)</f>
      </c>
      <c r="AC233" s="33">
        <f>ROUND(I233-S233,2)</f>
      </c>
      <c r="AD233" s="33">
        <f>ROUND(J233-T233,2)</f>
      </c>
      <c r="AE233" s="33">
        <f>ROUND(K233-U233,2)</f>
      </c>
      <c r="AF233" s="33">
        <f>IF(V233&lt;=0,0,MAX(0,MIN(V233,ROUND($AZ233-SUMPRODUCT($V233:$AE233*($V233:$AE233&gt;0)*(($V233:$AE233&lt;V233)+($V233:$AE233=V233)*($V$3:$AE$3&gt;V$3)+($V233:$AE233=V233)*($V$3:$AE$3=V$3)*($V$2:$AE$2&lt;V$2))),2))))</f>
      </c>
      <c r="AG233" s="33">
        <f>IF(W233&lt;=0,0,MAX(0,MIN(W233,ROUND($AZ233-SUMPRODUCT($V233:$AE233*($V233:$AE233&gt;0)*(($V233:$AE233&lt;W233)+($V233:$AE233=W233)*($V$3:$AE$3&gt;W$3)+($V233:$AE233=W233)*($V$3:$AE$3=W$3)*($V$2:$AE$2&lt;W$2))),2))))</f>
      </c>
      <c r="AH233" s="33">
        <f>IF(X233&lt;=0,0,MAX(0,MIN(X233,ROUND($AZ233-SUMPRODUCT($V233:$AE233*($V233:$AE233&gt;0)*(($V233:$AE233&lt;X233)+($V233:$AE233=X233)*($V$3:$AE$3&gt;X$3)+($V233:$AE233=X233)*($V$3:$AE$3=X$3)*($V$2:$AE$2&lt;X$2))),2))))</f>
      </c>
      <c r="AI233" s="33">
        <f>IF(Y233&lt;=0,0,MAX(0,MIN(Y233,ROUND($AZ233-SUMPRODUCT($V233:$AE233*($V233:$AE233&gt;0)*(($V233:$AE233&lt;Y233)+($V233:$AE233=Y233)*($V$3:$AE$3&gt;Y$3)+($V233:$AE233=Y233)*($V$3:$AE$3=Y$3)*($V$2:$AE$2&lt;Y$2))),2))))</f>
      </c>
      <c r="AJ233" s="33">
        <f>IF(Z233&lt;=0,0,MAX(0,MIN(Z233,ROUND($AZ233-SUMPRODUCT($V233:$AE233*($V233:$AE233&gt;0)*(($V233:$AE233&lt;Z233)+($V233:$AE233=Z233)*($V$3:$AE$3&gt;Z$3)+($V233:$AE233=Z233)*($V$3:$AE$3=Z$3)*($V$2:$AE$2&lt;Z$2))),2))))</f>
      </c>
      <c r="AK233" s="33">
        <f>IF(AA233&lt;=0,0,MAX(0,MIN(AA233,ROUND($AZ233-SUMPRODUCT($V233:$AE233*($V233:$AE233&gt;0)*(($V233:$AE233&lt;AA233)+($V233:$AE233=AA233)*($V$3:$AE$3&gt;AA$3)+($V233:$AE233=AA233)*($V$3:$AE$3=AA$3)*($V$2:$AE$2&lt;AA$2))),2))))</f>
      </c>
      <c r="AL233" s="33">
        <f>IF(AB233&lt;=0,0,MAX(0,MIN(AB233,ROUND($AZ233-SUMPRODUCT($V233:$AE233*($V233:$AE233&gt;0)*(($V233:$AE233&lt;AB233)+($V233:$AE233=AB233)*($V$3:$AE$3&gt;AB$3)+($V233:$AE233=AB233)*($V$3:$AE$3=AB$3)*($V$2:$AE$2&lt;AB$2))),2))))</f>
      </c>
      <c r="AM233" s="33">
        <f>IF(AC233&lt;=0,0,MAX(0,MIN(AC233,ROUND($AZ233-SUMPRODUCT($V233:$AE233*($V233:$AE233&gt;0)*(($V233:$AE233&lt;AC233)+($V233:$AE233=AC233)*($V$3:$AE$3&gt;AC$3)+($V233:$AE233=AC233)*($V$3:$AE$3=AC$3)*($V$2:$AE$2&lt;AC$2))),2))))</f>
      </c>
      <c r="AN233" s="33">
        <f>IF(AD233&lt;=0,0,MAX(0,MIN(AD233,ROUND($AZ233-SUMPRODUCT($V233:$AE233*($V233:$AE233&gt;0)*(($V233:$AE233&lt;AD233)+($V233:$AE233=AD233)*($V$3:$AE$3&gt;AD$3)+($V233:$AE233=AD233)*($V$3:$AE$3=AD$3)*($V$2:$AE$2&lt;AD$2))),2))))</f>
      </c>
      <c r="AO233" s="33">
        <f>IF(AE233&lt;=0,0,MAX(0,MIN(AE233,ROUND($AZ233-SUMPRODUCT($V233:$AE233*($V233:$AE233&gt;0)*(($V233:$AE233&lt;AE233)+($V233:$AE233=AE233)*($V$3:$AE$3&gt;AE$3)+($V233:$AE233=AE233)*($V$3:$AE$3=AE$3)*($V$2:$AE$2&lt;AE$2))),2))))</f>
      </c>
      <c r="AP233" s="33">
        <f>ROUND(V233-AF233,2)</f>
      </c>
      <c r="AQ233" s="33">
        <f>ROUND(W233-AG233,2)</f>
      </c>
      <c r="AR233" s="33">
        <f>ROUND(X233-AH233,2)</f>
      </c>
      <c r="AS233" s="33">
        <f>ROUND(Y233-AI233,2)</f>
      </c>
      <c r="AT233" s="33">
        <f>ROUND(Z233-AJ233,2)</f>
      </c>
      <c r="AU233" s="33">
        <f>ROUND(AA233-AK233,2)</f>
      </c>
      <c r="AV233" s="33">
        <f>ROUND(AB233-AL233,2)</f>
      </c>
      <c r="AW233" s="33">
        <f>ROUND(AC233-AM233,2)</f>
      </c>
      <c r="AX233" s="33">
        <f>ROUND(AD233-AN233,2)</f>
      </c>
      <c r="AY233" s="33">
        <f>ROUND(AE233-AO233,2)</f>
      </c>
      <c r="AZ233" s="33">
        <f>ROUND(MAX(0,'Your debts'!$D$22-SUM($L233:$U233)),2)</f>
      </c>
      <c r="BA233" s="33">
        <f>ROUND(SUM($B233:$K233)-SUM($AP232:$AY232),2)</f>
      </c>
      <c r="BB233" s="33">
        <f>SUM($AP233:$AY233)</f>
      </c>
      <c r="BC233" s="33">
        <f>ROUND(SUM($L233:$U233)+SUM($AF233:$AO233),2)</f>
      </c>
    </row>
    <row r="234" spans="1:55" x14ac:dyDescent="0.25">
      <c r="A234">
        <v>227</v>
      </c>
      <c r="B234" s="33">
        <f>IF(AP233&lt;=0,0,ROUND(AP233+ROUND(AP233*V$3/12,2),2))</f>
      </c>
      <c r="C234" s="33">
        <f>IF(AQ233&lt;=0,0,ROUND(AQ233+ROUND(AQ233*W$3/12,2),2))</f>
      </c>
      <c r="D234" s="33">
        <f>IF(AR233&lt;=0,0,ROUND(AR233+ROUND(AR233*X$3/12,2),2))</f>
      </c>
      <c r="E234" s="33">
        <f>IF(AS233&lt;=0,0,ROUND(AS233+ROUND(AS233*Y$3/12,2),2))</f>
      </c>
      <c r="F234" s="33">
        <f>IF(AT233&lt;=0,0,ROUND(AT233+ROUND(AT233*Z$3/12,2),2))</f>
      </c>
      <c r="G234" s="33">
        <f>IF(AU233&lt;=0,0,ROUND(AU233+ROUND(AU233*AA$3/12,2),2))</f>
      </c>
      <c r="H234" s="33">
        <f>IF(AV233&lt;=0,0,ROUND(AV233+ROUND(AV233*AB$3/12,2),2))</f>
      </c>
      <c r="I234" s="33">
        <f>IF(AW233&lt;=0,0,ROUND(AW233+ROUND(AW233*AC$3/12,2),2))</f>
      </c>
      <c r="J234" s="33">
        <f>IF(AX233&lt;=0,0,ROUND(AX233+ROUND(AX233*AD$3/12,2),2))</f>
      </c>
      <c r="K234" s="33">
        <f>IF(AY233&lt;=0,0,ROUND(AY233+ROUND(AY233*AE$3/12,2),2))</f>
      </c>
      <c r="L234" s="33">
        <f>ROUND(MIN(MAX(0,N('Your debts'!$E$6)),B234),2)</f>
      </c>
      <c r="M234" s="33">
        <f>ROUND(MIN(MAX(0,N('Your debts'!$E$7)),C234),2)</f>
      </c>
      <c r="N234" s="33">
        <f>ROUND(MIN(MAX(0,N('Your debts'!$E$8)),D234),2)</f>
      </c>
      <c r="O234" s="33">
        <f>ROUND(MIN(MAX(0,N('Your debts'!$E$9)),E234),2)</f>
      </c>
      <c r="P234" s="33">
        <f>ROUND(MIN(MAX(0,N('Your debts'!$E$10)),F234),2)</f>
      </c>
      <c r="Q234" s="33">
        <f>ROUND(MIN(MAX(0,N('Your debts'!$E$11)),G234),2)</f>
      </c>
      <c r="R234" s="33">
        <f>ROUND(MIN(MAX(0,N('Your debts'!$E$12)),H234),2)</f>
      </c>
      <c r="S234" s="33">
        <f>ROUND(MIN(MAX(0,N('Your debts'!$E$13)),I234),2)</f>
      </c>
      <c r="T234" s="33">
        <f>ROUND(MIN(MAX(0,N('Your debts'!$E$14)),J234),2)</f>
      </c>
      <c r="U234" s="33">
        <f>ROUND(MIN(MAX(0,N('Your debts'!$E$15)),K234),2)</f>
      </c>
      <c r="V234" s="33">
        <f>ROUND(B234-L234,2)</f>
      </c>
      <c r="W234" s="33">
        <f>ROUND(C234-M234,2)</f>
      </c>
      <c r="X234" s="33">
        <f>ROUND(D234-N234,2)</f>
      </c>
      <c r="Y234" s="33">
        <f>ROUND(E234-O234,2)</f>
      </c>
      <c r="Z234" s="33">
        <f>ROUND(F234-P234,2)</f>
      </c>
      <c r="AA234" s="33">
        <f>ROUND(G234-Q234,2)</f>
      </c>
      <c r="AB234" s="33">
        <f>ROUND(H234-R234,2)</f>
      </c>
      <c r="AC234" s="33">
        <f>ROUND(I234-S234,2)</f>
      </c>
      <c r="AD234" s="33">
        <f>ROUND(J234-T234,2)</f>
      </c>
      <c r="AE234" s="33">
        <f>ROUND(K234-U234,2)</f>
      </c>
      <c r="AF234" s="33">
        <f>IF(V234&lt;=0,0,MAX(0,MIN(V234,ROUND($AZ234-SUMPRODUCT($V234:$AE234*($V234:$AE234&gt;0)*(($V234:$AE234&lt;V234)+($V234:$AE234=V234)*($V$3:$AE$3&gt;V$3)+($V234:$AE234=V234)*($V$3:$AE$3=V$3)*($V$2:$AE$2&lt;V$2))),2))))</f>
      </c>
      <c r="AG234" s="33">
        <f>IF(W234&lt;=0,0,MAX(0,MIN(W234,ROUND($AZ234-SUMPRODUCT($V234:$AE234*($V234:$AE234&gt;0)*(($V234:$AE234&lt;W234)+($V234:$AE234=W234)*($V$3:$AE$3&gt;W$3)+($V234:$AE234=W234)*($V$3:$AE$3=W$3)*($V$2:$AE$2&lt;W$2))),2))))</f>
      </c>
      <c r="AH234" s="33">
        <f>IF(X234&lt;=0,0,MAX(0,MIN(X234,ROUND($AZ234-SUMPRODUCT($V234:$AE234*($V234:$AE234&gt;0)*(($V234:$AE234&lt;X234)+($V234:$AE234=X234)*($V$3:$AE$3&gt;X$3)+($V234:$AE234=X234)*($V$3:$AE$3=X$3)*($V$2:$AE$2&lt;X$2))),2))))</f>
      </c>
      <c r="AI234" s="33">
        <f>IF(Y234&lt;=0,0,MAX(0,MIN(Y234,ROUND($AZ234-SUMPRODUCT($V234:$AE234*($V234:$AE234&gt;0)*(($V234:$AE234&lt;Y234)+($V234:$AE234=Y234)*($V$3:$AE$3&gt;Y$3)+($V234:$AE234=Y234)*($V$3:$AE$3=Y$3)*($V$2:$AE$2&lt;Y$2))),2))))</f>
      </c>
      <c r="AJ234" s="33">
        <f>IF(Z234&lt;=0,0,MAX(0,MIN(Z234,ROUND($AZ234-SUMPRODUCT($V234:$AE234*($V234:$AE234&gt;0)*(($V234:$AE234&lt;Z234)+($V234:$AE234=Z234)*($V$3:$AE$3&gt;Z$3)+($V234:$AE234=Z234)*($V$3:$AE$3=Z$3)*($V$2:$AE$2&lt;Z$2))),2))))</f>
      </c>
      <c r="AK234" s="33">
        <f>IF(AA234&lt;=0,0,MAX(0,MIN(AA234,ROUND($AZ234-SUMPRODUCT($V234:$AE234*($V234:$AE234&gt;0)*(($V234:$AE234&lt;AA234)+($V234:$AE234=AA234)*($V$3:$AE$3&gt;AA$3)+($V234:$AE234=AA234)*($V$3:$AE$3=AA$3)*($V$2:$AE$2&lt;AA$2))),2))))</f>
      </c>
      <c r="AL234" s="33">
        <f>IF(AB234&lt;=0,0,MAX(0,MIN(AB234,ROUND($AZ234-SUMPRODUCT($V234:$AE234*($V234:$AE234&gt;0)*(($V234:$AE234&lt;AB234)+($V234:$AE234=AB234)*($V$3:$AE$3&gt;AB$3)+($V234:$AE234=AB234)*($V$3:$AE$3=AB$3)*($V$2:$AE$2&lt;AB$2))),2))))</f>
      </c>
      <c r="AM234" s="33">
        <f>IF(AC234&lt;=0,0,MAX(0,MIN(AC234,ROUND($AZ234-SUMPRODUCT($V234:$AE234*($V234:$AE234&gt;0)*(($V234:$AE234&lt;AC234)+($V234:$AE234=AC234)*($V$3:$AE$3&gt;AC$3)+($V234:$AE234=AC234)*($V$3:$AE$3=AC$3)*($V$2:$AE$2&lt;AC$2))),2))))</f>
      </c>
      <c r="AN234" s="33">
        <f>IF(AD234&lt;=0,0,MAX(0,MIN(AD234,ROUND($AZ234-SUMPRODUCT($V234:$AE234*($V234:$AE234&gt;0)*(($V234:$AE234&lt;AD234)+($V234:$AE234=AD234)*($V$3:$AE$3&gt;AD$3)+($V234:$AE234=AD234)*($V$3:$AE$3=AD$3)*($V$2:$AE$2&lt;AD$2))),2))))</f>
      </c>
      <c r="AO234" s="33">
        <f>IF(AE234&lt;=0,0,MAX(0,MIN(AE234,ROUND($AZ234-SUMPRODUCT($V234:$AE234*($V234:$AE234&gt;0)*(($V234:$AE234&lt;AE234)+($V234:$AE234=AE234)*($V$3:$AE$3&gt;AE$3)+($V234:$AE234=AE234)*($V$3:$AE$3=AE$3)*($V$2:$AE$2&lt;AE$2))),2))))</f>
      </c>
      <c r="AP234" s="33">
        <f>ROUND(V234-AF234,2)</f>
      </c>
      <c r="AQ234" s="33">
        <f>ROUND(W234-AG234,2)</f>
      </c>
      <c r="AR234" s="33">
        <f>ROUND(X234-AH234,2)</f>
      </c>
      <c r="AS234" s="33">
        <f>ROUND(Y234-AI234,2)</f>
      </c>
      <c r="AT234" s="33">
        <f>ROUND(Z234-AJ234,2)</f>
      </c>
      <c r="AU234" s="33">
        <f>ROUND(AA234-AK234,2)</f>
      </c>
      <c r="AV234" s="33">
        <f>ROUND(AB234-AL234,2)</f>
      </c>
      <c r="AW234" s="33">
        <f>ROUND(AC234-AM234,2)</f>
      </c>
      <c r="AX234" s="33">
        <f>ROUND(AD234-AN234,2)</f>
      </c>
      <c r="AY234" s="33">
        <f>ROUND(AE234-AO234,2)</f>
      </c>
      <c r="AZ234" s="33">
        <f>ROUND(MAX(0,'Your debts'!$D$22-SUM($L234:$U234)),2)</f>
      </c>
      <c r="BA234" s="33">
        <f>ROUND(SUM($B234:$K234)-SUM($AP233:$AY233),2)</f>
      </c>
      <c r="BB234" s="33">
        <f>SUM($AP234:$AY234)</f>
      </c>
      <c r="BC234" s="33">
        <f>ROUND(SUM($L234:$U234)+SUM($AF234:$AO234),2)</f>
      </c>
    </row>
    <row r="235" spans="1:55" x14ac:dyDescent="0.25">
      <c r="A235">
        <v>228</v>
      </c>
      <c r="B235" s="33">
        <f>IF(AP234&lt;=0,0,ROUND(AP234+ROUND(AP234*V$3/12,2),2))</f>
      </c>
      <c r="C235" s="33">
        <f>IF(AQ234&lt;=0,0,ROUND(AQ234+ROUND(AQ234*W$3/12,2),2))</f>
      </c>
      <c r="D235" s="33">
        <f>IF(AR234&lt;=0,0,ROUND(AR234+ROUND(AR234*X$3/12,2),2))</f>
      </c>
      <c r="E235" s="33">
        <f>IF(AS234&lt;=0,0,ROUND(AS234+ROUND(AS234*Y$3/12,2),2))</f>
      </c>
      <c r="F235" s="33">
        <f>IF(AT234&lt;=0,0,ROUND(AT234+ROUND(AT234*Z$3/12,2),2))</f>
      </c>
      <c r="G235" s="33">
        <f>IF(AU234&lt;=0,0,ROUND(AU234+ROUND(AU234*AA$3/12,2),2))</f>
      </c>
      <c r="H235" s="33">
        <f>IF(AV234&lt;=0,0,ROUND(AV234+ROUND(AV234*AB$3/12,2),2))</f>
      </c>
      <c r="I235" s="33">
        <f>IF(AW234&lt;=0,0,ROUND(AW234+ROUND(AW234*AC$3/12,2),2))</f>
      </c>
      <c r="J235" s="33">
        <f>IF(AX234&lt;=0,0,ROUND(AX234+ROUND(AX234*AD$3/12,2),2))</f>
      </c>
      <c r="K235" s="33">
        <f>IF(AY234&lt;=0,0,ROUND(AY234+ROUND(AY234*AE$3/12,2),2))</f>
      </c>
      <c r="L235" s="33">
        <f>ROUND(MIN(MAX(0,N('Your debts'!$E$6)),B235),2)</f>
      </c>
      <c r="M235" s="33">
        <f>ROUND(MIN(MAX(0,N('Your debts'!$E$7)),C235),2)</f>
      </c>
      <c r="N235" s="33">
        <f>ROUND(MIN(MAX(0,N('Your debts'!$E$8)),D235),2)</f>
      </c>
      <c r="O235" s="33">
        <f>ROUND(MIN(MAX(0,N('Your debts'!$E$9)),E235),2)</f>
      </c>
      <c r="P235" s="33">
        <f>ROUND(MIN(MAX(0,N('Your debts'!$E$10)),F235),2)</f>
      </c>
      <c r="Q235" s="33">
        <f>ROUND(MIN(MAX(0,N('Your debts'!$E$11)),G235),2)</f>
      </c>
      <c r="R235" s="33">
        <f>ROUND(MIN(MAX(0,N('Your debts'!$E$12)),H235),2)</f>
      </c>
      <c r="S235" s="33">
        <f>ROUND(MIN(MAX(0,N('Your debts'!$E$13)),I235),2)</f>
      </c>
      <c r="T235" s="33">
        <f>ROUND(MIN(MAX(0,N('Your debts'!$E$14)),J235),2)</f>
      </c>
      <c r="U235" s="33">
        <f>ROUND(MIN(MAX(0,N('Your debts'!$E$15)),K235),2)</f>
      </c>
      <c r="V235" s="33">
        <f>ROUND(B235-L235,2)</f>
      </c>
      <c r="W235" s="33">
        <f>ROUND(C235-M235,2)</f>
      </c>
      <c r="X235" s="33">
        <f>ROUND(D235-N235,2)</f>
      </c>
      <c r="Y235" s="33">
        <f>ROUND(E235-O235,2)</f>
      </c>
      <c r="Z235" s="33">
        <f>ROUND(F235-P235,2)</f>
      </c>
      <c r="AA235" s="33">
        <f>ROUND(G235-Q235,2)</f>
      </c>
      <c r="AB235" s="33">
        <f>ROUND(H235-R235,2)</f>
      </c>
      <c r="AC235" s="33">
        <f>ROUND(I235-S235,2)</f>
      </c>
      <c r="AD235" s="33">
        <f>ROUND(J235-T235,2)</f>
      </c>
      <c r="AE235" s="33">
        <f>ROUND(K235-U235,2)</f>
      </c>
      <c r="AF235" s="33">
        <f>IF(V235&lt;=0,0,MAX(0,MIN(V235,ROUND($AZ235-SUMPRODUCT($V235:$AE235*($V235:$AE235&gt;0)*(($V235:$AE235&lt;V235)+($V235:$AE235=V235)*($V$3:$AE$3&gt;V$3)+($V235:$AE235=V235)*($V$3:$AE$3=V$3)*($V$2:$AE$2&lt;V$2))),2))))</f>
      </c>
      <c r="AG235" s="33">
        <f>IF(W235&lt;=0,0,MAX(0,MIN(W235,ROUND($AZ235-SUMPRODUCT($V235:$AE235*($V235:$AE235&gt;0)*(($V235:$AE235&lt;W235)+($V235:$AE235=W235)*($V$3:$AE$3&gt;W$3)+($V235:$AE235=W235)*($V$3:$AE$3=W$3)*($V$2:$AE$2&lt;W$2))),2))))</f>
      </c>
      <c r="AH235" s="33">
        <f>IF(X235&lt;=0,0,MAX(0,MIN(X235,ROUND($AZ235-SUMPRODUCT($V235:$AE235*($V235:$AE235&gt;0)*(($V235:$AE235&lt;X235)+($V235:$AE235=X235)*($V$3:$AE$3&gt;X$3)+($V235:$AE235=X235)*($V$3:$AE$3=X$3)*($V$2:$AE$2&lt;X$2))),2))))</f>
      </c>
      <c r="AI235" s="33">
        <f>IF(Y235&lt;=0,0,MAX(0,MIN(Y235,ROUND($AZ235-SUMPRODUCT($V235:$AE235*($V235:$AE235&gt;0)*(($V235:$AE235&lt;Y235)+($V235:$AE235=Y235)*($V$3:$AE$3&gt;Y$3)+($V235:$AE235=Y235)*($V$3:$AE$3=Y$3)*($V$2:$AE$2&lt;Y$2))),2))))</f>
      </c>
      <c r="AJ235" s="33">
        <f>IF(Z235&lt;=0,0,MAX(0,MIN(Z235,ROUND($AZ235-SUMPRODUCT($V235:$AE235*($V235:$AE235&gt;0)*(($V235:$AE235&lt;Z235)+($V235:$AE235=Z235)*($V$3:$AE$3&gt;Z$3)+($V235:$AE235=Z235)*($V$3:$AE$3=Z$3)*($V$2:$AE$2&lt;Z$2))),2))))</f>
      </c>
      <c r="AK235" s="33">
        <f>IF(AA235&lt;=0,0,MAX(0,MIN(AA235,ROUND($AZ235-SUMPRODUCT($V235:$AE235*($V235:$AE235&gt;0)*(($V235:$AE235&lt;AA235)+($V235:$AE235=AA235)*($V$3:$AE$3&gt;AA$3)+($V235:$AE235=AA235)*($V$3:$AE$3=AA$3)*($V$2:$AE$2&lt;AA$2))),2))))</f>
      </c>
      <c r="AL235" s="33">
        <f>IF(AB235&lt;=0,0,MAX(0,MIN(AB235,ROUND($AZ235-SUMPRODUCT($V235:$AE235*($V235:$AE235&gt;0)*(($V235:$AE235&lt;AB235)+($V235:$AE235=AB235)*($V$3:$AE$3&gt;AB$3)+($V235:$AE235=AB235)*($V$3:$AE$3=AB$3)*($V$2:$AE$2&lt;AB$2))),2))))</f>
      </c>
      <c r="AM235" s="33">
        <f>IF(AC235&lt;=0,0,MAX(0,MIN(AC235,ROUND($AZ235-SUMPRODUCT($V235:$AE235*($V235:$AE235&gt;0)*(($V235:$AE235&lt;AC235)+($V235:$AE235=AC235)*($V$3:$AE$3&gt;AC$3)+($V235:$AE235=AC235)*($V$3:$AE$3=AC$3)*($V$2:$AE$2&lt;AC$2))),2))))</f>
      </c>
      <c r="AN235" s="33">
        <f>IF(AD235&lt;=0,0,MAX(0,MIN(AD235,ROUND($AZ235-SUMPRODUCT($V235:$AE235*($V235:$AE235&gt;0)*(($V235:$AE235&lt;AD235)+($V235:$AE235=AD235)*($V$3:$AE$3&gt;AD$3)+($V235:$AE235=AD235)*($V$3:$AE$3=AD$3)*($V$2:$AE$2&lt;AD$2))),2))))</f>
      </c>
      <c r="AO235" s="33">
        <f>IF(AE235&lt;=0,0,MAX(0,MIN(AE235,ROUND($AZ235-SUMPRODUCT($V235:$AE235*($V235:$AE235&gt;0)*(($V235:$AE235&lt;AE235)+($V235:$AE235=AE235)*($V$3:$AE$3&gt;AE$3)+($V235:$AE235=AE235)*($V$3:$AE$3=AE$3)*($V$2:$AE$2&lt;AE$2))),2))))</f>
      </c>
      <c r="AP235" s="33">
        <f>ROUND(V235-AF235,2)</f>
      </c>
      <c r="AQ235" s="33">
        <f>ROUND(W235-AG235,2)</f>
      </c>
      <c r="AR235" s="33">
        <f>ROUND(X235-AH235,2)</f>
      </c>
      <c r="AS235" s="33">
        <f>ROUND(Y235-AI235,2)</f>
      </c>
      <c r="AT235" s="33">
        <f>ROUND(Z235-AJ235,2)</f>
      </c>
      <c r="AU235" s="33">
        <f>ROUND(AA235-AK235,2)</f>
      </c>
      <c r="AV235" s="33">
        <f>ROUND(AB235-AL235,2)</f>
      </c>
      <c r="AW235" s="33">
        <f>ROUND(AC235-AM235,2)</f>
      </c>
      <c r="AX235" s="33">
        <f>ROUND(AD235-AN235,2)</f>
      </c>
      <c r="AY235" s="33">
        <f>ROUND(AE235-AO235,2)</f>
      </c>
      <c r="AZ235" s="33">
        <f>ROUND(MAX(0,'Your debts'!$D$22-SUM($L235:$U235)),2)</f>
      </c>
      <c r="BA235" s="33">
        <f>ROUND(SUM($B235:$K235)-SUM($AP234:$AY234),2)</f>
      </c>
      <c r="BB235" s="33">
        <f>SUM($AP235:$AY235)</f>
      </c>
      <c r="BC235" s="33">
        <f>ROUND(SUM($L235:$U235)+SUM($AF235:$AO235),2)</f>
      </c>
    </row>
    <row r="236" spans="1:55" x14ac:dyDescent="0.25">
      <c r="A236">
        <v>229</v>
      </c>
      <c r="B236" s="33">
        <f>IF(AP235&lt;=0,0,ROUND(AP235+ROUND(AP235*V$3/12,2),2))</f>
      </c>
      <c r="C236" s="33">
        <f>IF(AQ235&lt;=0,0,ROUND(AQ235+ROUND(AQ235*W$3/12,2),2))</f>
      </c>
      <c r="D236" s="33">
        <f>IF(AR235&lt;=0,0,ROUND(AR235+ROUND(AR235*X$3/12,2),2))</f>
      </c>
      <c r="E236" s="33">
        <f>IF(AS235&lt;=0,0,ROUND(AS235+ROUND(AS235*Y$3/12,2),2))</f>
      </c>
      <c r="F236" s="33">
        <f>IF(AT235&lt;=0,0,ROUND(AT235+ROUND(AT235*Z$3/12,2),2))</f>
      </c>
      <c r="G236" s="33">
        <f>IF(AU235&lt;=0,0,ROUND(AU235+ROUND(AU235*AA$3/12,2),2))</f>
      </c>
      <c r="H236" s="33">
        <f>IF(AV235&lt;=0,0,ROUND(AV235+ROUND(AV235*AB$3/12,2),2))</f>
      </c>
      <c r="I236" s="33">
        <f>IF(AW235&lt;=0,0,ROUND(AW235+ROUND(AW235*AC$3/12,2),2))</f>
      </c>
      <c r="J236" s="33">
        <f>IF(AX235&lt;=0,0,ROUND(AX235+ROUND(AX235*AD$3/12,2),2))</f>
      </c>
      <c r="K236" s="33">
        <f>IF(AY235&lt;=0,0,ROUND(AY235+ROUND(AY235*AE$3/12,2),2))</f>
      </c>
      <c r="L236" s="33">
        <f>ROUND(MIN(MAX(0,N('Your debts'!$E$6)),B236),2)</f>
      </c>
      <c r="M236" s="33">
        <f>ROUND(MIN(MAX(0,N('Your debts'!$E$7)),C236),2)</f>
      </c>
      <c r="N236" s="33">
        <f>ROUND(MIN(MAX(0,N('Your debts'!$E$8)),D236),2)</f>
      </c>
      <c r="O236" s="33">
        <f>ROUND(MIN(MAX(0,N('Your debts'!$E$9)),E236),2)</f>
      </c>
      <c r="P236" s="33">
        <f>ROUND(MIN(MAX(0,N('Your debts'!$E$10)),F236),2)</f>
      </c>
      <c r="Q236" s="33">
        <f>ROUND(MIN(MAX(0,N('Your debts'!$E$11)),G236),2)</f>
      </c>
      <c r="R236" s="33">
        <f>ROUND(MIN(MAX(0,N('Your debts'!$E$12)),H236),2)</f>
      </c>
      <c r="S236" s="33">
        <f>ROUND(MIN(MAX(0,N('Your debts'!$E$13)),I236),2)</f>
      </c>
      <c r="T236" s="33">
        <f>ROUND(MIN(MAX(0,N('Your debts'!$E$14)),J236),2)</f>
      </c>
      <c r="U236" s="33">
        <f>ROUND(MIN(MAX(0,N('Your debts'!$E$15)),K236),2)</f>
      </c>
      <c r="V236" s="33">
        <f>ROUND(B236-L236,2)</f>
      </c>
      <c r="W236" s="33">
        <f>ROUND(C236-M236,2)</f>
      </c>
      <c r="X236" s="33">
        <f>ROUND(D236-N236,2)</f>
      </c>
      <c r="Y236" s="33">
        <f>ROUND(E236-O236,2)</f>
      </c>
      <c r="Z236" s="33">
        <f>ROUND(F236-P236,2)</f>
      </c>
      <c r="AA236" s="33">
        <f>ROUND(G236-Q236,2)</f>
      </c>
      <c r="AB236" s="33">
        <f>ROUND(H236-R236,2)</f>
      </c>
      <c r="AC236" s="33">
        <f>ROUND(I236-S236,2)</f>
      </c>
      <c r="AD236" s="33">
        <f>ROUND(J236-T236,2)</f>
      </c>
      <c r="AE236" s="33">
        <f>ROUND(K236-U236,2)</f>
      </c>
      <c r="AF236" s="33">
        <f>IF(V236&lt;=0,0,MAX(0,MIN(V236,ROUND($AZ236-SUMPRODUCT($V236:$AE236*($V236:$AE236&gt;0)*(($V236:$AE236&lt;V236)+($V236:$AE236=V236)*($V$3:$AE$3&gt;V$3)+($V236:$AE236=V236)*($V$3:$AE$3=V$3)*($V$2:$AE$2&lt;V$2))),2))))</f>
      </c>
      <c r="AG236" s="33">
        <f>IF(W236&lt;=0,0,MAX(0,MIN(W236,ROUND($AZ236-SUMPRODUCT($V236:$AE236*($V236:$AE236&gt;0)*(($V236:$AE236&lt;W236)+($V236:$AE236=W236)*($V$3:$AE$3&gt;W$3)+($V236:$AE236=W236)*($V$3:$AE$3=W$3)*($V$2:$AE$2&lt;W$2))),2))))</f>
      </c>
      <c r="AH236" s="33">
        <f>IF(X236&lt;=0,0,MAX(0,MIN(X236,ROUND($AZ236-SUMPRODUCT($V236:$AE236*($V236:$AE236&gt;0)*(($V236:$AE236&lt;X236)+($V236:$AE236=X236)*($V$3:$AE$3&gt;X$3)+($V236:$AE236=X236)*($V$3:$AE$3=X$3)*($V$2:$AE$2&lt;X$2))),2))))</f>
      </c>
      <c r="AI236" s="33">
        <f>IF(Y236&lt;=0,0,MAX(0,MIN(Y236,ROUND($AZ236-SUMPRODUCT($V236:$AE236*($V236:$AE236&gt;0)*(($V236:$AE236&lt;Y236)+($V236:$AE236=Y236)*($V$3:$AE$3&gt;Y$3)+($V236:$AE236=Y236)*($V$3:$AE$3=Y$3)*($V$2:$AE$2&lt;Y$2))),2))))</f>
      </c>
      <c r="AJ236" s="33">
        <f>IF(Z236&lt;=0,0,MAX(0,MIN(Z236,ROUND($AZ236-SUMPRODUCT($V236:$AE236*($V236:$AE236&gt;0)*(($V236:$AE236&lt;Z236)+($V236:$AE236=Z236)*($V$3:$AE$3&gt;Z$3)+($V236:$AE236=Z236)*($V$3:$AE$3=Z$3)*($V$2:$AE$2&lt;Z$2))),2))))</f>
      </c>
      <c r="AK236" s="33">
        <f>IF(AA236&lt;=0,0,MAX(0,MIN(AA236,ROUND($AZ236-SUMPRODUCT($V236:$AE236*($V236:$AE236&gt;0)*(($V236:$AE236&lt;AA236)+($V236:$AE236=AA236)*($V$3:$AE$3&gt;AA$3)+($V236:$AE236=AA236)*($V$3:$AE$3=AA$3)*($V$2:$AE$2&lt;AA$2))),2))))</f>
      </c>
      <c r="AL236" s="33">
        <f>IF(AB236&lt;=0,0,MAX(0,MIN(AB236,ROUND($AZ236-SUMPRODUCT($V236:$AE236*($V236:$AE236&gt;0)*(($V236:$AE236&lt;AB236)+($V236:$AE236=AB236)*($V$3:$AE$3&gt;AB$3)+($V236:$AE236=AB236)*($V$3:$AE$3=AB$3)*($V$2:$AE$2&lt;AB$2))),2))))</f>
      </c>
      <c r="AM236" s="33">
        <f>IF(AC236&lt;=0,0,MAX(0,MIN(AC236,ROUND($AZ236-SUMPRODUCT($V236:$AE236*($V236:$AE236&gt;0)*(($V236:$AE236&lt;AC236)+($V236:$AE236=AC236)*($V$3:$AE$3&gt;AC$3)+($V236:$AE236=AC236)*($V$3:$AE$3=AC$3)*($V$2:$AE$2&lt;AC$2))),2))))</f>
      </c>
      <c r="AN236" s="33">
        <f>IF(AD236&lt;=0,0,MAX(0,MIN(AD236,ROUND($AZ236-SUMPRODUCT($V236:$AE236*($V236:$AE236&gt;0)*(($V236:$AE236&lt;AD236)+($V236:$AE236=AD236)*($V$3:$AE$3&gt;AD$3)+($V236:$AE236=AD236)*($V$3:$AE$3=AD$3)*($V$2:$AE$2&lt;AD$2))),2))))</f>
      </c>
      <c r="AO236" s="33">
        <f>IF(AE236&lt;=0,0,MAX(0,MIN(AE236,ROUND($AZ236-SUMPRODUCT($V236:$AE236*($V236:$AE236&gt;0)*(($V236:$AE236&lt;AE236)+($V236:$AE236=AE236)*($V$3:$AE$3&gt;AE$3)+($V236:$AE236=AE236)*($V$3:$AE$3=AE$3)*($V$2:$AE$2&lt;AE$2))),2))))</f>
      </c>
      <c r="AP236" s="33">
        <f>ROUND(V236-AF236,2)</f>
      </c>
      <c r="AQ236" s="33">
        <f>ROUND(W236-AG236,2)</f>
      </c>
      <c r="AR236" s="33">
        <f>ROUND(X236-AH236,2)</f>
      </c>
      <c r="AS236" s="33">
        <f>ROUND(Y236-AI236,2)</f>
      </c>
      <c r="AT236" s="33">
        <f>ROUND(Z236-AJ236,2)</f>
      </c>
      <c r="AU236" s="33">
        <f>ROUND(AA236-AK236,2)</f>
      </c>
      <c r="AV236" s="33">
        <f>ROUND(AB236-AL236,2)</f>
      </c>
      <c r="AW236" s="33">
        <f>ROUND(AC236-AM236,2)</f>
      </c>
      <c r="AX236" s="33">
        <f>ROUND(AD236-AN236,2)</f>
      </c>
      <c r="AY236" s="33">
        <f>ROUND(AE236-AO236,2)</f>
      </c>
      <c r="AZ236" s="33">
        <f>ROUND(MAX(0,'Your debts'!$D$22-SUM($L236:$U236)),2)</f>
      </c>
      <c r="BA236" s="33">
        <f>ROUND(SUM($B236:$K236)-SUM($AP235:$AY235),2)</f>
      </c>
      <c r="BB236" s="33">
        <f>SUM($AP236:$AY236)</f>
      </c>
      <c r="BC236" s="33">
        <f>ROUND(SUM($L236:$U236)+SUM($AF236:$AO236),2)</f>
      </c>
    </row>
    <row r="237" spans="1:55" x14ac:dyDescent="0.25">
      <c r="A237">
        <v>230</v>
      </c>
      <c r="B237" s="33">
        <f>IF(AP236&lt;=0,0,ROUND(AP236+ROUND(AP236*V$3/12,2),2))</f>
      </c>
      <c r="C237" s="33">
        <f>IF(AQ236&lt;=0,0,ROUND(AQ236+ROUND(AQ236*W$3/12,2),2))</f>
      </c>
      <c r="D237" s="33">
        <f>IF(AR236&lt;=0,0,ROUND(AR236+ROUND(AR236*X$3/12,2),2))</f>
      </c>
      <c r="E237" s="33">
        <f>IF(AS236&lt;=0,0,ROUND(AS236+ROUND(AS236*Y$3/12,2),2))</f>
      </c>
      <c r="F237" s="33">
        <f>IF(AT236&lt;=0,0,ROUND(AT236+ROUND(AT236*Z$3/12,2),2))</f>
      </c>
      <c r="G237" s="33">
        <f>IF(AU236&lt;=0,0,ROUND(AU236+ROUND(AU236*AA$3/12,2),2))</f>
      </c>
      <c r="H237" s="33">
        <f>IF(AV236&lt;=0,0,ROUND(AV236+ROUND(AV236*AB$3/12,2),2))</f>
      </c>
      <c r="I237" s="33">
        <f>IF(AW236&lt;=0,0,ROUND(AW236+ROUND(AW236*AC$3/12,2),2))</f>
      </c>
      <c r="J237" s="33">
        <f>IF(AX236&lt;=0,0,ROUND(AX236+ROUND(AX236*AD$3/12,2),2))</f>
      </c>
      <c r="K237" s="33">
        <f>IF(AY236&lt;=0,0,ROUND(AY236+ROUND(AY236*AE$3/12,2),2))</f>
      </c>
      <c r="L237" s="33">
        <f>ROUND(MIN(MAX(0,N('Your debts'!$E$6)),B237),2)</f>
      </c>
      <c r="M237" s="33">
        <f>ROUND(MIN(MAX(0,N('Your debts'!$E$7)),C237),2)</f>
      </c>
      <c r="N237" s="33">
        <f>ROUND(MIN(MAX(0,N('Your debts'!$E$8)),D237),2)</f>
      </c>
      <c r="O237" s="33">
        <f>ROUND(MIN(MAX(0,N('Your debts'!$E$9)),E237),2)</f>
      </c>
      <c r="P237" s="33">
        <f>ROUND(MIN(MAX(0,N('Your debts'!$E$10)),F237),2)</f>
      </c>
      <c r="Q237" s="33">
        <f>ROUND(MIN(MAX(0,N('Your debts'!$E$11)),G237),2)</f>
      </c>
      <c r="R237" s="33">
        <f>ROUND(MIN(MAX(0,N('Your debts'!$E$12)),H237),2)</f>
      </c>
      <c r="S237" s="33">
        <f>ROUND(MIN(MAX(0,N('Your debts'!$E$13)),I237),2)</f>
      </c>
      <c r="T237" s="33">
        <f>ROUND(MIN(MAX(0,N('Your debts'!$E$14)),J237),2)</f>
      </c>
      <c r="U237" s="33">
        <f>ROUND(MIN(MAX(0,N('Your debts'!$E$15)),K237),2)</f>
      </c>
      <c r="V237" s="33">
        <f>ROUND(B237-L237,2)</f>
      </c>
      <c r="W237" s="33">
        <f>ROUND(C237-M237,2)</f>
      </c>
      <c r="X237" s="33">
        <f>ROUND(D237-N237,2)</f>
      </c>
      <c r="Y237" s="33">
        <f>ROUND(E237-O237,2)</f>
      </c>
      <c r="Z237" s="33">
        <f>ROUND(F237-P237,2)</f>
      </c>
      <c r="AA237" s="33">
        <f>ROUND(G237-Q237,2)</f>
      </c>
      <c r="AB237" s="33">
        <f>ROUND(H237-R237,2)</f>
      </c>
      <c r="AC237" s="33">
        <f>ROUND(I237-S237,2)</f>
      </c>
      <c r="AD237" s="33">
        <f>ROUND(J237-T237,2)</f>
      </c>
      <c r="AE237" s="33">
        <f>ROUND(K237-U237,2)</f>
      </c>
      <c r="AF237" s="33">
        <f>IF(V237&lt;=0,0,MAX(0,MIN(V237,ROUND($AZ237-SUMPRODUCT($V237:$AE237*($V237:$AE237&gt;0)*(($V237:$AE237&lt;V237)+($V237:$AE237=V237)*($V$3:$AE$3&gt;V$3)+($V237:$AE237=V237)*($V$3:$AE$3=V$3)*($V$2:$AE$2&lt;V$2))),2))))</f>
      </c>
      <c r="AG237" s="33">
        <f>IF(W237&lt;=0,0,MAX(0,MIN(W237,ROUND($AZ237-SUMPRODUCT($V237:$AE237*($V237:$AE237&gt;0)*(($V237:$AE237&lt;W237)+($V237:$AE237=W237)*($V$3:$AE$3&gt;W$3)+($V237:$AE237=W237)*($V$3:$AE$3=W$3)*($V$2:$AE$2&lt;W$2))),2))))</f>
      </c>
      <c r="AH237" s="33">
        <f>IF(X237&lt;=0,0,MAX(0,MIN(X237,ROUND($AZ237-SUMPRODUCT($V237:$AE237*($V237:$AE237&gt;0)*(($V237:$AE237&lt;X237)+($V237:$AE237=X237)*($V$3:$AE$3&gt;X$3)+($V237:$AE237=X237)*($V$3:$AE$3=X$3)*($V$2:$AE$2&lt;X$2))),2))))</f>
      </c>
      <c r="AI237" s="33">
        <f>IF(Y237&lt;=0,0,MAX(0,MIN(Y237,ROUND($AZ237-SUMPRODUCT($V237:$AE237*($V237:$AE237&gt;0)*(($V237:$AE237&lt;Y237)+($V237:$AE237=Y237)*($V$3:$AE$3&gt;Y$3)+($V237:$AE237=Y237)*($V$3:$AE$3=Y$3)*($V$2:$AE$2&lt;Y$2))),2))))</f>
      </c>
      <c r="AJ237" s="33">
        <f>IF(Z237&lt;=0,0,MAX(0,MIN(Z237,ROUND($AZ237-SUMPRODUCT($V237:$AE237*($V237:$AE237&gt;0)*(($V237:$AE237&lt;Z237)+($V237:$AE237=Z237)*($V$3:$AE$3&gt;Z$3)+($V237:$AE237=Z237)*($V$3:$AE$3=Z$3)*($V$2:$AE$2&lt;Z$2))),2))))</f>
      </c>
      <c r="AK237" s="33">
        <f>IF(AA237&lt;=0,0,MAX(0,MIN(AA237,ROUND($AZ237-SUMPRODUCT($V237:$AE237*($V237:$AE237&gt;0)*(($V237:$AE237&lt;AA237)+($V237:$AE237=AA237)*($V$3:$AE$3&gt;AA$3)+($V237:$AE237=AA237)*($V$3:$AE$3=AA$3)*($V$2:$AE$2&lt;AA$2))),2))))</f>
      </c>
      <c r="AL237" s="33">
        <f>IF(AB237&lt;=0,0,MAX(0,MIN(AB237,ROUND($AZ237-SUMPRODUCT($V237:$AE237*($V237:$AE237&gt;0)*(($V237:$AE237&lt;AB237)+($V237:$AE237=AB237)*($V$3:$AE$3&gt;AB$3)+($V237:$AE237=AB237)*($V$3:$AE$3=AB$3)*($V$2:$AE$2&lt;AB$2))),2))))</f>
      </c>
      <c r="AM237" s="33">
        <f>IF(AC237&lt;=0,0,MAX(0,MIN(AC237,ROUND($AZ237-SUMPRODUCT($V237:$AE237*($V237:$AE237&gt;0)*(($V237:$AE237&lt;AC237)+($V237:$AE237=AC237)*($V$3:$AE$3&gt;AC$3)+($V237:$AE237=AC237)*($V$3:$AE$3=AC$3)*($V$2:$AE$2&lt;AC$2))),2))))</f>
      </c>
      <c r="AN237" s="33">
        <f>IF(AD237&lt;=0,0,MAX(0,MIN(AD237,ROUND($AZ237-SUMPRODUCT($V237:$AE237*($V237:$AE237&gt;0)*(($V237:$AE237&lt;AD237)+($V237:$AE237=AD237)*($V$3:$AE$3&gt;AD$3)+($V237:$AE237=AD237)*($V$3:$AE$3=AD$3)*($V$2:$AE$2&lt;AD$2))),2))))</f>
      </c>
      <c r="AO237" s="33">
        <f>IF(AE237&lt;=0,0,MAX(0,MIN(AE237,ROUND($AZ237-SUMPRODUCT($V237:$AE237*($V237:$AE237&gt;0)*(($V237:$AE237&lt;AE237)+($V237:$AE237=AE237)*($V$3:$AE$3&gt;AE$3)+($V237:$AE237=AE237)*($V$3:$AE$3=AE$3)*($V$2:$AE$2&lt;AE$2))),2))))</f>
      </c>
      <c r="AP237" s="33">
        <f>ROUND(V237-AF237,2)</f>
      </c>
      <c r="AQ237" s="33">
        <f>ROUND(W237-AG237,2)</f>
      </c>
      <c r="AR237" s="33">
        <f>ROUND(X237-AH237,2)</f>
      </c>
      <c r="AS237" s="33">
        <f>ROUND(Y237-AI237,2)</f>
      </c>
      <c r="AT237" s="33">
        <f>ROUND(Z237-AJ237,2)</f>
      </c>
      <c r="AU237" s="33">
        <f>ROUND(AA237-AK237,2)</f>
      </c>
      <c r="AV237" s="33">
        <f>ROUND(AB237-AL237,2)</f>
      </c>
      <c r="AW237" s="33">
        <f>ROUND(AC237-AM237,2)</f>
      </c>
      <c r="AX237" s="33">
        <f>ROUND(AD237-AN237,2)</f>
      </c>
      <c r="AY237" s="33">
        <f>ROUND(AE237-AO237,2)</f>
      </c>
      <c r="AZ237" s="33">
        <f>ROUND(MAX(0,'Your debts'!$D$22-SUM($L237:$U237)),2)</f>
      </c>
      <c r="BA237" s="33">
        <f>ROUND(SUM($B237:$K237)-SUM($AP236:$AY236),2)</f>
      </c>
      <c r="BB237" s="33">
        <f>SUM($AP237:$AY237)</f>
      </c>
      <c r="BC237" s="33">
        <f>ROUND(SUM($L237:$U237)+SUM($AF237:$AO237),2)</f>
      </c>
    </row>
    <row r="238" spans="1:55" x14ac:dyDescent="0.25">
      <c r="A238">
        <v>231</v>
      </c>
      <c r="B238" s="33">
        <f>IF(AP237&lt;=0,0,ROUND(AP237+ROUND(AP237*V$3/12,2),2))</f>
      </c>
      <c r="C238" s="33">
        <f>IF(AQ237&lt;=0,0,ROUND(AQ237+ROUND(AQ237*W$3/12,2),2))</f>
      </c>
      <c r="D238" s="33">
        <f>IF(AR237&lt;=0,0,ROUND(AR237+ROUND(AR237*X$3/12,2),2))</f>
      </c>
      <c r="E238" s="33">
        <f>IF(AS237&lt;=0,0,ROUND(AS237+ROUND(AS237*Y$3/12,2),2))</f>
      </c>
      <c r="F238" s="33">
        <f>IF(AT237&lt;=0,0,ROUND(AT237+ROUND(AT237*Z$3/12,2),2))</f>
      </c>
      <c r="G238" s="33">
        <f>IF(AU237&lt;=0,0,ROUND(AU237+ROUND(AU237*AA$3/12,2),2))</f>
      </c>
      <c r="H238" s="33">
        <f>IF(AV237&lt;=0,0,ROUND(AV237+ROUND(AV237*AB$3/12,2),2))</f>
      </c>
      <c r="I238" s="33">
        <f>IF(AW237&lt;=0,0,ROUND(AW237+ROUND(AW237*AC$3/12,2),2))</f>
      </c>
      <c r="J238" s="33">
        <f>IF(AX237&lt;=0,0,ROUND(AX237+ROUND(AX237*AD$3/12,2),2))</f>
      </c>
      <c r="K238" s="33">
        <f>IF(AY237&lt;=0,0,ROUND(AY237+ROUND(AY237*AE$3/12,2),2))</f>
      </c>
      <c r="L238" s="33">
        <f>ROUND(MIN(MAX(0,N('Your debts'!$E$6)),B238),2)</f>
      </c>
      <c r="M238" s="33">
        <f>ROUND(MIN(MAX(0,N('Your debts'!$E$7)),C238),2)</f>
      </c>
      <c r="N238" s="33">
        <f>ROUND(MIN(MAX(0,N('Your debts'!$E$8)),D238),2)</f>
      </c>
      <c r="O238" s="33">
        <f>ROUND(MIN(MAX(0,N('Your debts'!$E$9)),E238),2)</f>
      </c>
      <c r="P238" s="33">
        <f>ROUND(MIN(MAX(0,N('Your debts'!$E$10)),F238),2)</f>
      </c>
      <c r="Q238" s="33">
        <f>ROUND(MIN(MAX(0,N('Your debts'!$E$11)),G238),2)</f>
      </c>
      <c r="R238" s="33">
        <f>ROUND(MIN(MAX(0,N('Your debts'!$E$12)),H238),2)</f>
      </c>
      <c r="S238" s="33">
        <f>ROUND(MIN(MAX(0,N('Your debts'!$E$13)),I238),2)</f>
      </c>
      <c r="T238" s="33">
        <f>ROUND(MIN(MAX(0,N('Your debts'!$E$14)),J238),2)</f>
      </c>
      <c r="U238" s="33">
        <f>ROUND(MIN(MAX(0,N('Your debts'!$E$15)),K238),2)</f>
      </c>
      <c r="V238" s="33">
        <f>ROUND(B238-L238,2)</f>
      </c>
      <c r="W238" s="33">
        <f>ROUND(C238-M238,2)</f>
      </c>
      <c r="X238" s="33">
        <f>ROUND(D238-N238,2)</f>
      </c>
      <c r="Y238" s="33">
        <f>ROUND(E238-O238,2)</f>
      </c>
      <c r="Z238" s="33">
        <f>ROUND(F238-P238,2)</f>
      </c>
      <c r="AA238" s="33">
        <f>ROUND(G238-Q238,2)</f>
      </c>
      <c r="AB238" s="33">
        <f>ROUND(H238-R238,2)</f>
      </c>
      <c r="AC238" s="33">
        <f>ROUND(I238-S238,2)</f>
      </c>
      <c r="AD238" s="33">
        <f>ROUND(J238-T238,2)</f>
      </c>
      <c r="AE238" s="33">
        <f>ROUND(K238-U238,2)</f>
      </c>
      <c r="AF238" s="33">
        <f>IF(V238&lt;=0,0,MAX(0,MIN(V238,ROUND($AZ238-SUMPRODUCT($V238:$AE238*($V238:$AE238&gt;0)*(($V238:$AE238&lt;V238)+($V238:$AE238=V238)*($V$3:$AE$3&gt;V$3)+($V238:$AE238=V238)*($V$3:$AE$3=V$3)*($V$2:$AE$2&lt;V$2))),2))))</f>
      </c>
      <c r="AG238" s="33">
        <f>IF(W238&lt;=0,0,MAX(0,MIN(W238,ROUND($AZ238-SUMPRODUCT($V238:$AE238*($V238:$AE238&gt;0)*(($V238:$AE238&lt;W238)+($V238:$AE238=W238)*($V$3:$AE$3&gt;W$3)+($V238:$AE238=W238)*($V$3:$AE$3=W$3)*($V$2:$AE$2&lt;W$2))),2))))</f>
      </c>
      <c r="AH238" s="33">
        <f>IF(X238&lt;=0,0,MAX(0,MIN(X238,ROUND($AZ238-SUMPRODUCT($V238:$AE238*($V238:$AE238&gt;0)*(($V238:$AE238&lt;X238)+($V238:$AE238=X238)*($V$3:$AE$3&gt;X$3)+($V238:$AE238=X238)*($V$3:$AE$3=X$3)*($V$2:$AE$2&lt;X$2))),2))))</f>
      </c>
      <c r="AI238" s="33">
        <f>IF(Y238&lt;=0,0,MAX(0,MIN(Y238,ROUND($AZ238-SUMPRODUCT($V238:$AE238*($V238:$AE238&gt;0)*(($V238:$AE238&lt;Y238)+($V238:$AE238=Y238)*($V$3:$AE$3&gt;Y$3)+($V238:$AE238=Y238)*($V$3:$AE$3=Y$3)*($V$2:$AE$2&lt;Y$2))),2))))</f>
      </c>
      <c r="AJ238" s="33">
        <f>IF(Z238&lt;=0,0,MAX(0,MIN(Z238,ROUND($AZ238-SUMPRODUCT($V238:$AE238*($V238:$AE238&gt;0)*(($V238:$AE238&lt;Z238)+($V238:$AE238=Z238)*($V$3:$AE$3&gt;Z$3)+($V238:$AE238=Z238)*($V$3:$AE$3=Z$3)*($V$2:$AE$2&lt;Z$2))),2))))</f>
      </c>
      <c r="AK238" s="33">
        <f>IF(AA238&lt;=0,0,MAX(0,MIN(AA238,ROUND($AZ238-SUMPRODUCT($V238:$AE238*($V238:$AE238&gt;0)*(($V238:$AE238&lt;AA238)+($V238:$AE238=AA238)*($V$3:$AE$3&gt;AA$3)+($V238:$AE238=AA238)*($V$3:$AE$3=AA$3)*($V$2:$AE$2&lt;AA$2))),2))))</f>
      </c>
      <c r="AL238" s="33">
        <f>IF(AB238&lt;=0,0,MAX(0,MIN(AB238,ROUND($AZ238-SUMPRODUCT($V238:$AE238*($V238:$AE238&gt;0)*(($V238:$AE238&lt;AB238)+($V238:$AE238=AB238)*($V$3:$AE$3&gt;AB$3)+($V238:$AE238=AB238)*($V$3:$AE$3=AB$3)*($V$2:$AE$2&lt;AB$2))),2))))</f>
      </c>
      <c r="AM238" s="33">
        <f>IF(AC238&lt;=0,0,MAX(0,MIN(AC238,ROUND($AZ238-SUMPRODUCT($V238:$AE238*($V238:$AE238&gt;0)*(($V238:$AE238&lt;AC238)+($V238:$AE238=AC238)*($V$3:$AE$3&gt;AC$3)+($V238:$AE238=AC238)*($V$3:$AE$3=AC$3)*($V$2:$AE$2&lt;AC$2))),2))))</f>
      </c>
      <c r="AN238" s="33">
        <f>IF(AD238&lt;=0,0,MAX(0,MIN(AD238,ROUND($AZ238-SUMPRODUCT($V238:$AE238*($V238:$AE238&gt;0)*(($V238:$AE238&lt;AD238)+($V238:$AE238=AD238)*($V$3:$AE$3&gt;AD$3)+($V238:$AE238=AD238)*($V$3:$AE$3=AD$3)*($V$2:$AE$2&lt;AD$2))),2))))</f>
      </c>
      <c r="AO238" s="33">
        <f>IF(AE238&lt;=0,0,MAX(0,MIN(AE238,ROUND($AZ238-SUMPRODUCT($V238:$AE238*($V238:$AE238&gt;0)*(($V238:$AE238&lt;AE238)+($V238:$AE238=AE238)*($V$3:$AE$3&gt;AE$3)+($V238:$AE238=AE238)*($V$3:$AE$3=AE$3)*($V$2:$AE$2&lt;AE$2))),2))))</f>
      </c>
      <c r="AP238" s="33">
        <f>ROUND(V238-AF238,2)</f>
      </c>
      <c r="AQ238" s="33">
        <f>ROUND(W238-AG238,2)</f>
      </c>
      <c r="AR238" s="33">
        <f>ROUND(X238-AH238,2)</f>
      </c>
      <c r="AS238" s="33">
        <f>ROUND(Y238-AI238,2)</f>
      </c>
      <c r="AT238" s="33">
        <f>ROUND(Z238-AJ238,2)</f>
      </c>
      <c r="AU238" s="33">
        <f>ROUND(AA238-AK238,2)</f>
      </c>
      <c r="AV238" s="33">
        <f>ROUND(AB238-AL238,2)</f>
      </c>
      <c r="AW238" s="33">
        <f>ROUND(AC238-AM238,2)</f>
      </c>
      <c r="AX238" s="33">
        <f>ROUND(AD238-AN238,2)</f>
      </c>
      <c r="AY238" s="33">
        <f>ROUND(AE238-AO238,2)</f>
      </c>
      <c r="AZ238" s="33">
        <f>ROUND(MAX(0,'Your debts'!$D$22-SUM($L238:$U238)),2)</f>
      </c>
      <c r="BA238" s="33">
        <f>ROUND(SUM($B238:$K238)-SUM($AP237:$AY237),2)</f>
      </c>
      <c r="BB238" s="33">
        <f>SUM($AP238:$AY238)</f>
      </c>
      <c r="BC238" s="33">
        <f>ROUND(SUM($L238:$U238)+SUM($AF238:$AO238),2)</f>
      </c>
    </row>
    <row r="239" spans="1:55" x14ac:dyDescent="0.25">
      <c r="A239">
        <v>232</v>
      </c>
      <c r="B239" s="33">
        <f>IF(AP238&lt;=0,0,ROUND(AP238+ROUND(AP238*V$3/12,2),2))</f>
      </c>
      <c r="C239" s="33">
        <f>IF(AQ238&lt;=0,0,ROUND(AQ238+ROUND(AQ238*W$3/12,2),2))</f>
      </c>
      <c r="D239" s="33">
        <f>IF(AR238&lt;=0,0,ROUND(AR238+ROUND(AR238*X$3/12,2),2))</f>
      </c>
      <c r="E239" s="33">
        <f>IF(AS238&lt;=0,0,ROUND(AS238+ROUND(AS238*Y$3/12,2),2))</f>
      </c>
      <c r="F239" s="33">
        <f>IF(AT238&lt;=0,0,ROUND(AT238+ROUND(AT238*Z$3/12,2),2))</f>
      </c>
      <c r="G239" s="33">
        <f>IF(AU238&lt;=0,0,ROUND(AU238+ROUND(AU238*AA$3/12,2),2))</f>
      </c>
      <c r="H239" s="33">
        <f>IF(AV238&lt;=0,0,ROUND(AV238+ROUND(AV238*AB$3/12,2),2))</f>
      </c>
      <c r="I239" s="33">
        <f>IF(AW238&lt;=0,0,ROUND(AW238+ROUND(AW238*AC$3/12,2),2))</f>
      </c>
      <c r="J239" s="33">
        <f>IF(AX238&lt;=0,0,ROUND(AX238+ROUND(AX238*AD$3/12,2),2))</f>
      </c>
      <c r="K239" s="33">
        <f>IF(AY238&lt;=0,0,ROUND(AY238+ROUND(AY238*AE$3/12,2),2))</f>
      </c>
      <c r="L239" s="33">
        <f>ROUND(MIN(MAX(0,N('Your debts'!$E$6)),B239),2)</f>
      </c>
      <c r="M239" s="33">
        <f>ROUND(MIN(MAX(0,N('Your debts'!$E$7)),C239),2)</f>
      </c>
      <c r="N239" s="33">
        <f>ROUND(MIN(MAX(0,N('Your debts'!$E$8)),D239),2)</f>
      </c>
      <c r="O239" s="33">
        <f>ROUND(MIN(MAX(0,N('Your debts'!$E$9)),E239),2)</f>
      </c>
      <c r="P239" s="33">
        <f>ROUND(MIN(MAX(0,N('Your debts'!$E$10)),F239),2)</f>
      </c>
      <c r="Q239" s="33">
        <f>ROUND(MIN(MAX(0,N('Your debts'!$E$11)),G239),2)</f>
      </c>
      <c r="R239" s="33">
        <f>ROUND(MIN(MAX(0,N('Your debts'!$E$12)),H239),2)</f>
      </c>
      <c r="S239" s="33">
        <f>ROUND(MIN(MAX(0,N('Your debts'!$E$13)),I239),2)</f>
      </c>
      <c r="T239" s="33">
        <f>ROUND(MIN(MAX(0,N('Your debts'!$E$14)),J239),2)</f>
      </c>
      <c r="U239" s="33">
        <f>ROUND(MIN(MAX(0,N('Your debts'!$E$15)),K239),2)</f>
      </c>
      <c r="V239" s="33">
        <f>ROUND(B239-L239,2)</f>
      </c>
      <c r="W239" s="33">
        <f>ROUND(C239-M239,2)</f>
      </c>
      <c r="X239" s="33">
        <f>ROUND(D239-N239,2)</f>
      </c>
      <c r="Y239" s="33">
        <f>ROUND(E239-O239,2)</f>
      </c>
      <c r="Z239" s="33">
        <f>ROUND(F239-P239,2)</f>
      </c>
      <c r="AA239" s="33">
        <f>ROUND(G239-Q239,2)</f>
      </c>
      <c r="AB239" s="33">
        <f>ROUND(H239-R239,2)</f>
      </c>
      <c r="AC239" s="33">
        <f>ROUND(I239-S239,2)</f>
      </c>
      <c r="AD239" s="33">
        <f>ROUND(J239-T239,2)</f>
      </c>
      <c r="AE239" s="33">
        <f>ROUND(K239-U239,2)</f>
      </c>
      <c r="AF239" s="33">
        <f>IF(V239&lt;=0,0,MAX(0,MIN(V239,ROUND($AZ239-SUMPRODUCT($V239:$AE239*($V239:$AE239&gt;0)*(($V239:$AE239&lt;V239)+($V239:$AE239=V239)*($V$3:$AE$3&gt;V$3)+($V239:$AE239=V239)*($V$3:$AE$3=V$3)*($V$2:$AE$2&lt;V$2))),2))))</f>
      </c>
      <c r="AG239" s="33">
        <f>IF(W239&lt;=0,0,MAX(0,MIN(W239,ROUND($AZ239-SUMPRODUCT($V239:$AE239*($V239:$AE239&gt;0)*(($V239:$AE239&lt;W239)+($V239:$AE239=W239)*($V$3:$AE$3&gt;W$3)+($V239:$AE239=W239)*($V$3:$AE$3=W$3)*($V$2:$AE$2&lt;W$2))),2))))</f>
      </c>
      <c r="AH239" s="33">
        <f>IF(X239&lt;=0,0,MAX(0,MIN(X239,ROUND($AZ239-SUMPRODUCT($V239:$AE239*($V239:$AE239&gt;0)*(($V239:$AE239&lt;X239)+($V239:$AE239=X239)*($V$3:$AE$3&gt;X$3)+($V239:$AE239=X239)*($V$3:$AE$3=X$3)*($V$2:$AE$2&lt;X$2))),2))))</f>
      </c>
      <c r="AI239" s="33">
        <f>IF(Y239&lt;=0,0,MAX(0,MIN(Y239,ROUND($AZ239-SUMPRODUCT($V239:$AE239*($V239:$AE239&gt;0)*(($V239:$AE239&lt;Y239)+($V239:$AE239=Y239)*($V$3:$AE$3&gt;Y$3)+($V239:$AE239=Y239)*($V$3:$AE$3=Y$3)*($V$2:$AE$2&lt;Y$2))),2))))</f>
      </c>
      <c r="AJ239" s="33">
        <f>IF(Z239&lt;=0,0,MAX(0,MIN(Z239,ROUND($AZ239-SUMPRODUCT($V239:$AE239*($V239:$AE239&gt;0)*(($V239:$AE239&lt;Z239)+($V239:$AE239=Z239)*($V$3:$AE$3&gt;Z$3)+($V239:$AE239=Z239)*($V$3:$AE$3=Z$3)*($V$2:$AE$2&lt;Z$2))),2))))</f>
      </c>
      <c r="AK239" s="33">
        <f>IF(AA239&lt;=0,0,MAX(0,MIN(AA239,ROUND($AZ239-SUMPRODUCT($V239:$AE239*($V239:$AE239&gt;0)*(($V239:$AE239&lt;AA239)+($V239:$AE239=AA239)*($V$3:$AE$3&gt;AA$3)+($V239:$AE239=AA239)*($V$3:$AE$3=AA$3)*($V$2:$AE$2&lt;AA$2))),2))))</f>
      </c>
      <c r="AL239" s="33">
        <f>IF(AB239&lt;=0,0,MAX(0,MIN(AB239,ROUND($AZ239-SUMPRODUCT($V239:$AE239*($V239:$AE239&gt;0)*(($V239:$AE239&lt;AB239)+($V239:$AE239=AB239)*($V$3:$AE$3&gt;AB$3)+($V239:$AE239=AB239)*($V$3:$AE$3=AB$3)*($V$2:$AE$2&lt;AB$2))),2))))</f>
      </c>
      <c r="AM239" s="33">
        <f>IF(AC239&lt;=0,0,MAX(0,MIN(AC239,ROUND($AZ239-SUMPRODUCT($V239:$AE239*($V239:$AE239&gt;0)*(($V239:$AE239&lt;AC239)+($V239:$AE239=AC239)*($V$3:$AE$3&gt;AC$3)+($V239:$AE239=AC239)*($V$3:$AE$3=AC$3)*($V$2:$AE$2&lt;AC$2))),2))))</f>
      </c>
      <c r="AN239" s="33">
        <f>IF(AD239&lt;=0,0,MAX(0,MIN(AD239,ROUND($AZ239-SUMPRODUCT($V239:$AE239*($V239:$AE239&gt;0)*(($V239:$AE239&lt;AD239)+($V239:$AE239=AD239)*($V$3:$AE$3&gt;AD$3)+($V239:$AE239=AD239)*($V$3:$AE$3=AD$3)*($V$2:$AE$2&lt;AD$2))),2))))</f>
      </c>
      <c r="AO239" s="33">
        <f>IF(AE239&lt;=0,0,MAX(0,MIN(AE239,ROUND($AZ239-SUMPRODUCT($V239:$AE239*($V239:$AE239&gt;0)*(($V239:$AE239&lt;AE239)+($V239:$AE239=AE239)*($V$3:$AE$3&gt;AE$3)+($V239:$AE239=AE239)*($V$3:$AE$3=AE$3)*($V$2:$AE$2&lt;AE$2))),2))))</f>
      </c>
      <c r="AP239" s="33">
        <f>ROUND(V239-AF239,2)</f>
      </c>
      <c r="AQ239" s="33">
        <f>ROUND(W239-AG239,2)</f>
      </c>
      <c r="AR239" s="33">
        <f>ROUND(X239-AH239,2)</f>
      </c>
      <c r="AS239" s="33">
        <f>ROUND(Y239-AI239,2)</f>
      </c>
      <c r="AT239" s="33">
        <f>ROUND(Z239-AJ239,2)</f>
      </c>
      <c r="AU239" s="33">
        <f>ROUND(AA239-AK239,2)</f>
      </c>
      <c r="AV239" s="33">
        <f>ROUND(AB239-AL239,2)</f>
      </c>
      <c r="AW239" s="33">
        <f>ROUND(AC239-AM239,2)</f>
      </c>
      <c r="AX239" s="33">
        <f>ROUND(AD239-AN239,2)</f>
      </c>
      <c r="AY239" s="33">
        <f>ROUND(AE239-AO239,2)</f>
      </c>
      <c r="AZ239" s="33">
        <f>ROUND(MAX(0,'Your debts'!$D$22-SUM($L239:$U239)),2)</f>
      </c>
      <c r="BA239" s="33">
        <f>ROUND(SUM($B239:$K239)-SUM($AP238:$AY238),2)</f>
      </c>
      <c r="BB239" s="33">
        <f>SUM($AP239:$AY239)</f>
      </c>
      <c r="BC239" s="33">
        <f>ROUND(SUM($L239:$U239)+SUM($AF239:$AO239),2)</f>
      </c>
    </row>
    <row r="240" spans="1:55" x14ac:dyDescent="0.25">
      <c r="A240">
        <v>233</v>
      </c>
      <c r="B240" s="33">
        <f>IF(AP239&lt;=0,0,ROUND(AP239+ROUND(AP239*V$3/12,2),2))</f>
      </c>
      <c r="C240" s="33">
        <f>IF(AQ239&lt;=0,0,ROUND(AQ239+ROUND(AQ239*W$3/12,2),2))</f>
      </c>
      <c r="D240" s="33">
        <f>IF(AR239&lt;=0,0,ROUND(AR239+ROUND(AR239*X$3/12,2),2))</f>
      </c>
      <c r="E240" s="33">
        <f>IF(AS239&lt;=0,0,ROUND(AS239+ROUND(AS239*Y$3/12,2),2))</f>
      </c>
      <c r="F240" s="33">
        <f>IF(AT239&lt;=0,0,ROUND(AT239+ROUND(AT239*Z$3/12,2),2))</f>
      </c>
      <c r="G240" s="33">
        <f>IF(AU239&lt;=0,0,ROUND(AU239+ROUND(AU239*AA$3/12,2),2))</f>
      </c>
      <c r="H240" s="33">
        <f>IF(AV239&lt;=0,0,ROUND(AV239+ROUND(AV239*AB$3/12,2),2))</f>
      </c>
      <c r="I240" s="33">
        <f>IF(AW239&lt;=0,0,ROUND(AW239+ROUND(AW239*AC$3/12,2),2))</f>
      </c>
      <c r="J240" s="33">
        <f>IF(AX239&lt;=0,0,ROUND(AX239+ROUND(AX239*AD$3/12,2),2))</f>
      </c>
      <c r="K240" s="33">
        <f>IF(AY239&lt;=0,0,ROUND(AY239+ROUND(AY239*AE$3/12,2),2))</f>
      </c>
      <c r="L240" s="33">
        <f>ROUND(MIN(MAX(0,N('Your debts'!$E$6)),B240),2)</f>
      </c>
      <c r="M240" s="33">
        <f>ROUND(MIN(MAX(0,N('Your debts'!$E$7)),C240),2)</f>
      </c>
      <c r="N240" s="33">
        <f>ROUND(MIN(MAX(0,N('Your debts'!$E$8)),D240),2)</f>
      </c>
      <c r="O240" s="33">
        <f>ROUND(MIN(MAX(0,N('Your debts'!$E$9)),E240),2)</f>
      </c>
      <c r="P240" s="33">
        <f>ROUND(MIN(MAX(0,N('Your debts'!$E$10)),F240),2)</f>
      </c>
      <c r="Q240" s="33">
        <f>ROUND(MIN(MAX(0,N('Your debts'!$E$11)),G240),2)</f>
      </c>
      <c r="R240" s="33">
        <f>ROUND(MIN(MAX(0,N('Your debts'!$E$12)),H240),2)</f>
      </c>
      <c r="S240" s="33">
        <f>ROUND(MIN(MAX(0,N('Your debts'!$E$13)),I240),2)</f>
      </c>
      <c r="T240" s="33">
        <f>ROUND(MIN(MAX(0,N('Your debts'!$E$14)),J240),2)</f>
      </c>
      <c r="U240" s="33">
        <f>ROUND(MIN(MAX(0,N('Your debts'!$E$15)),K240),2)</f>
      </c>
      <c r="V240" s="33">
        <f>ROUND(B240-L240,2)</f>
      </c>
      <c r="W240" s="33">
        <f>ROUND(C240-M240,2)</f>
      </c>
      <c r="X240" s="33">
        <f>ROUND(D240-N240,2)</f>
      </c>
      <c r="Y240" s="33">
        <f>ROUND(E240-O240,2)</f>
      </c>
      <c r="Z240" s="33">
        <f>ROUND(F240-P240,2)</f>
      </c>
      <c r="AA240" s="33">
        <f>ROUND(G240-Q240,2)</f>
      </c>
      <c r="AB240" s="33">
        <f>ROUND(H240-R240,2)</f>
      </c>
      <c r="AC240" s="33">
        <f>ROUND(I240-S240,2)</f>
      </c>
      <c r="AD240" s="33">
        <f>ROUND(J240-T240,2)</f>
      </c>
      <c r="AE240" s="33">
        <f>ROUND(K240-U240,2)</f>
      </c>
      <c r="AF240" s="33">
        <f>IF(V240&lt;=0,0,MAX(0,MIN(V240,ROUND($AZ240-SUMPRODUCT($V240:$AE240*($V240:$AE240&gt;0)*(($V240:$AE240&lt;V240)+($V240:$AE240=V240)*($V$3:$AE$3&gt;V$3)+($V240:$AE240=V240)*($V$3:$AE$3=V$3)*($V$2:$AE$2&lt;V$2))),2))))</f>
      </c>
      <c r="AG240" s="33">
        <f>IF(W240&lt;=0,0,MAX(0,MIN(W240,ROUND($AZ240-SUMPRODUCT($V240:$AE240*($V240:$AE240&gt;0)*(($V240:$AE240&lt;W240)+($V240:$AE240=W240)*($V$3:$AE$3&gt;W$3)+($V240:$AE240=W240)*($V$3:$AE$3=W$3)*($V$2:$AE$2&lt;W$2))),2))))</f>
      </c>
      <c r="AH240" s="33">
        <f>IF(X240&lt;=0,0,MAX(0,MIN(X240,ROUND($AZ240-SUMPRODUCT($V240:$AE240*($V240:$AE240&gt;0)*(($V240:$AE240&lt;X240)+($V240:$AE240=X240)*($V$3:$AE$3&gt;X$3)+($V240:$AE240=X240)*($V$3:$AE$3=X$3)*($V$2:$AE$2&lt;X$2))),2))))</f>
      </c>
      <c r="AI240" s="33">
        <f>IF(Y240&lt;=0,0,MAX(0,MIN(Y240,ROUND($AZ240-SUMPRODUCT($V240:$AE240*($V240:$AE240&gt;0)*(($V240:$AE240&lt;Y240)+($V240:$AE240=Y240)*($V$3:$AE$3&gt;Y$3)+($V240:$AE240=Y240)*($V$3:$AE$3=Y$3)*($V$2:$AE$2&lt;Y$2))),2))))</f>
      </c>
      <c r="AJ240" s="33">
        <f>IF(Z240&lt;=0,0,MAX(0,MIN(Z240,ROUND($AZ240-SUMPRODUCT($V240:$AE240*($V240:$AE240&gt;0)*(($V240:$AE240&lt;Z240)+($V240:$AE240=Z240)*($V$3:$AE$3&gt;Z$3)+($V240:$AE240=Z240)*($V$3:$AE$3=Z$3)*($V$2:$AE$2&lt;Z$2))),2))))</f>
      </c>
      <c r="AK240" s="33">
        <f>IF(AA240&lt;=0,0,MAX(0,MIN(AA240,ROUND($AZ240-SUMPRODUCT($V240:$AE240*($V240:$AE240&gt;0)*(($V240:$AE240&lt;AA240)+($V240:$AE240=AA240)*($V$3:$AE$3&gt;AA$3)+($V240:$AE240=AA240)*($V$3:$AE$3=AA$3)*($V$2:$AE$2&lt;AA$2))),2))))</f>
      </c>
      <c r="AL240" s="33">
        <f>IF(AB240&lt;=0,0,MAX(0,MIN(AB240,ROUND($AZ240-SUMPRODUCT($V240:$AE240*($V240:$AE240&gt;0)*(($V240:$AE240&lt;AB240)+($V240:$AE240=AB240)*($V$3:$AE$3&gt;AB$3)+($V240:$AE240=AB240)*($V$3:$AE$3=AB$3)*($V$2:$AE$2&lt;AB$2))),2))))</f>
      </c>
      <c r="AM240" s="33">
        <f>IF(AC240&lt;=0,0,MAX(0,MIN(AC240,ROUND($AZ240-SUMPRODUCT($V240:$AE240*($V240:$AE240&gt;0)*(($V240:$AE240&lt;AC240)+($V240:$AE240=AC240)*($V$3:$AE$3&gt;AC$3)+($V240:$AE240=AC240)*($V$3:$AE$3=AC$3)*($V$2:$AE$2&lt;AC$2))),2))))</f>
      </c>
      <c r="AN240" s="33">
        <f>IF(AD240&lt;=0,0,MAX(0,MIN(AD240,ROUND($AZ240-SUMPRODUCT($V240:$AE240*($V240:$AE240&gt;0)*(($V240:$AE240&lt;AD240)+($V240:$AE240=AD240)*($V$3:$AE$3&gt;AD$3)+($V240:$AE240=AD240)*($V$3:$AE$3=AD$3)*($V$2:$AE$2&lt;AD$2))),2))))</f>
      </c>
      <c r="AO240" s="33">
        <f>IF(AE240&lt;=0,0,MAX(0,MIN(AE240,ROUND($AZ240-SUMPRODUCT($V240:$AE240*($V240:$AE240&gt;0)*(($V240:$AE240&lt;AE240)+($V240:$AE240=AE240)*($V$3:$AE$3&gt;AE$3)+($V240:$AE240=AE240)*($V$3:$AE$3=AE$3)*($V$2:$AE$2&lt;AE$2))),2))))</f>
      </c>
      <c r="AP240" s="33">
        <f>ROUND(V240-AF240,2)</f>
      </c>
      <c r="AQ240" s="33">
        <f>ROUND(W240-AG240,2)</f>
      </c>
      <c r="AR240" s="33">
        <f>ROUND(X240-AH240,2)</f>
      </c>
      <c r="AS240" s="33">
        <f>ROUND(Y240-AI240,2)</f>
      </c>
      <c r="AT240" s="33">
        <f>ROUND(Z240-AJ240,2)</f>
      </c>
      <c r="AU240" s="33">
        <f>ROUND(AA240-AK240,2)</f>
      </c>
      <c r="AV240" s="33">
        <f>ROUND(AB240-AL240,2)</f>
      </c>
      <c r="AW240" s="33">
        <f>ROUND(AC240-AM240,2)</f>
      </c>
      <c r="AX240" s="33">
        <f>ROUND(AD240-AN240,2)</f>
      </c>
      <c r="AY240" s="33">
        <f>ROUND(AE240-AO240,2)</f>
      </c>
      <c r="AZ240" s="33">
        <f>ROUND(MAX(0,'Your debts'!$D$22-SUM($L240:$U240)),2)</f>
      </c>
      <c r="BA240" s="33">
        <f>ROUND(SUM($B240:$K240)-SUM($AP239:$AY239),2)</f>
      </c>
      <c r="BB240" s="33">
        <f>SUM($AP240:$AY240)</f>
      </c>
      <c r="BC240" s="33">
        <f>ROUND(SUM($L240:$U240)+SUM($AF240:$AO240),2)</f>
      </c>
    </row>
    <row r="241" spans="1:55" x14ac:dyDescent="0.25">
      <c r="A241">
        <v>234</v>
      </c>
      <c r="B241" s="33">
        <f>IF(AP240&lt;=0,0,ROUND(AP240+ROUND(AP240*V$3/12,2),2))</f>
      </c>
      <c r="C241" s="33">
        <f>IF(AQ240&lt;=0,0,ROUND(AQ240+ROUND(AQ240*W$3/12,2),2))</f>
      </c>
      <c r="D241" s="33">
        <f>IF(AR240&lt;=0,0,ROUND(AR240+ROUND(AR240*X$3/12,2),2))</f>
      </c>
      <c r="E241" s="33">
        <f>IF(AS240&lt;=0,0,ROUND(AS240+ROUND(AS240*Y$3/12,2),2))</f>
      </c>
      <c r="F241" s="33">
        <f>IF(AT240&lt;=0,0,ROUND(AT240+ROUND(AT240*Z$3/12,2),2))</f>
      </c>
      <c r="G241" s="33">
        <f>IF(AU240&lt;=0,0,ROUND(AU240+ROUND(AU240*AA$3/12,2),2))</f>
      </c>
      <c r="H241" s="33">
        <f>IF(AV240&lt;=0,0,ROUND(AV240+ROUND(AV240*AB$3/12,2),2))</f>
      </c>
      <c r="I241" s="33">
        <f>IF(AW240&lt;=0,0,ROUND(AW240+ROUND(AW240*AC$3/12,2),2))</f>
      </c>
      <c r="J241" s="33">
        <f>IF(AX240&lt;=0,0,ROUND(AX240+ROUND(AX240*AD$3/12,2),2))</f>
      </c>
      <c r="K241" s="33">
        <f>IF(AY240&lt;=0,0,ROUND(AY240+ROUND(AY240*AE$3/12,2),2))</f>
      </c>
      <c r="L241" s="33">
        <f>ROUND(MIN(MAX(0,N('Your debts'!$E$6)),B241),2)</f>
      </c>
      <c r="M241" s="33">
        <f>ROUND(MIN(MAX(0,N('Your debts'!$E$7)),C241),2)</f>
      </c>
      <c r="N241" s="33">
        <f>ROUND(MIN(MAX(0,N('Your debts'!$E$8)),D241),2)</f>
      </c>
      <c r="O241" s="33">
        <f>ROUND(MIN(MAX(0,N('Your debts'!$E$9)),E241),2)</f>
      </c>
      <c r="P241" s="33">
        <f>ROUND(MIN(MAX(0,N('Your debts'!$E$10)),F241),2)</f>
      </c>
      <c r="Q241" s="33">
        <f>ROUND(MIN(MAX(0,N('Your debts'!$E$11)),G241),2)</f>
      </c>
      <c r="R241" s="33">
        <f>ROUND(MIN(MAX(0,N('Your debts'!$E$12)),H241),2)</f>
      </c>
      <c r="S241" s="33">
        <f>ROUND(MIN(MAX(0,N('Your debts'!$E$13)),I241),2)</f>
      </c>
      <c r="T241" s="33">
        <f>ROUND(MIN(MAX(0,N('Your debts'!$E$14)),J241),2)</f>
      </c>
      <c r="U241" s="33">
        <f>ROUND(MIN(MAX(0,N('Your debts'!$E$15)),K241),2)</f>
      </c>
      <c r="V241" s="33">
        <f>ROUND(B241-L241,2)</f>
      </c>
      <c r="W241" s="33">
        <f>ROUND(C241-M241,2)</f>
      </c>
      <c r="X241" s="33">
        <f>ROUND(D241-N241,2)</f>
      </c>
      <c r="Y241" s="33">
        <f>ROUND(E241-O241,2)</f>
      </c>
      <c r="Z241" s="33">
        <f>ROUND(F241-P241,2)</f>
      </c>
      <c r="AA241" s="33">
        <f>ROUND(G241-Q241,2)</f>
      </c>
      <c r="AB241" s="33">
        <f>ROUND(H241-R241,2)</f>
      </c>
      <c r="AC241" s="33">
        <f>ROUND(I241-S241,2)</f>
      </c>
      <c r="AD241" s="33">
        <f>ROUND(J241-T241,2)</f>
      </c>
      <c r="AE241" s="33">
        <f>ROUND(K241-U241,2)</f>
      </c>
      <c r="AF241" s="33">
        <f>IF(V241&lt;=0,0,MAX(0,MIN(V241,ROUND($AZ241-SUMPRODUCT($V241:$AE241*($V241:$AE241&gt;0)*(($V241:$AE241&lt;V241)+($V241:$AE241=V241)*($V$3:$AE$3&gt;V$3)+($V241:$AE241=V241)*($V$3:$AE$3=V$3)*($V$2:$AE$2&lt;V$2))),2))))</f>
      </c>
      <c r="AG241" s="33">
        <f>IF(W241&lt;=0,0,MAX(0,MIN(W241,ROUND($AZ241-SUMPRODUCT($V241:$AE241*($V241:$AE241&gt;0)*(($V241:$AE241&lt;W241)+($V241:$AE241=W241)*($V$3:$AE$3&gt;W$3)+($V241:$AE241=W241)*($V$3:$AE$3=W$3)*($V$2:$AE$2&lt;W$2))),2))))</f>
      </c>
      <c r="AH241" s="33">
        <f>IF(X241&lt;=0,0,MAX(0,MIN(X241,ROUND($AZ241-SUMPRODUCT($V241:$AE241*($V241:$AE241&gt;0)*(($V241:$AE241&lt;X241)+($V241:$AE241=X241)*($V$3:$AE$3&gt;X$3)+($V241:$AE241=X241)*($V$3:$AE$3=X$3)*($V$2:$AE$2&lt;X$2))),2))))</f>
      </c>
      <c r="AI241" s="33">
        <f>IF(Y241&lt;=0,0,MAX(0,MIN(Y241,ROUND($AZ241-SUMPRODUCT($V241:$AE241*($V241:$AE241&gt;0)*(($V241:$AE241&lt;Y241)+($V241:$AE241=Y241)*($V$3:$AE$3&gt;Y$3)+($V241:$AE241=Y241)*($V$3:$AE$3=Y$3)*($V$2:$AE$2&lt;Y$2))),2))))</f>
      </c>
      <c r="AJ241" s="33">
        <f>IF(Z241&lt;=0,0,MAX(0,MIN(Z241,ROUND($AZ241-SUMPRODUCT($V241:$AE241*($V241:$AE241&gt;0)*(($V241:$AE241&lt;Z241)+($V241:$AE241=Z241)*($V$3:$AE$3&gt;Z$3)+($V241:$AE241=Z241)*($V$3:$AE$3=Z$3)*($V$2:$AE$2&lt;Z$2))),2))))</f>
      </c>
      <c r="AK241" s="33">
        <f>IF(AA241&lt;=0,0,MAX(0,MIN(AA241,ROUND($AZ241-SUMPRODUCT($V241:$AE241*($V241:$AE241&gt;0)*(($V241:$AE241&lt;AA241)+($V241:$AE241=AA241)*($V$3:$AE$3&gt;AA$3)+($V241:$AE241=AA241)*($V$3:$AE$3=AA$3)*($V$2:$AE$2&lt;AA$2))),2))))</f>
      </c>
      <c r="AL241" s="33">
        <f>IF(AB241&lt;=0,0,MAX(0,MIN(AB241,ROUND($AZ241-SUMPRODUCT($V241:$AE241*($V241:$AE241&gt;0)*(($V241:$AE241&lt;AB241)+($V241:$AE241=AB241)*($V$3:$AE$3&gt;AB$3)+($V241:$AE241=AB241)*($V$3:$AE$3=AB$3)*($V$2:$AE$2&lt;AB$2))),2))))</f>
      </c>
      <c r="AM241" s="33">
        <f>IF(AC241&lt;=0,0,MAX(0,MIN(AC241,ROUND($AZ241-SUMPRODUCT($V241:$AE241*($V241:$AE241&gt;0)*(($V241:$AE241&lt;AC241)+($V241:$AE241=AC241)*($V$3:$AE$3&gt;AC$3)+($V241:$AE241=AC241)*($V$3:$AE$3=AC$3)*($V$2:$AE$2&lt;AC$2))),2))))</f>
      </c>
      <c r="AN241" s="33">
        <f>IF(AD241&lt;=0,0,MAX(0,MIN(AD241,ROUND($AZ241-SUMPRODUCT($V241:$AE241*($V241:$AE241&gt;0)*(($V241:$AE241&lt;AD241)+($V241:$AE241=AD241)*($V$3:$AE$3&gt;AD$3)+($V241:$AE241=AD241)*($V$3:$AE$3=AD$3)*($V$2:$AE$2&lt;AD$2))),2))))</f>
      </c>
      <c r="AO241" s="33">
        <f>IF(AE241&lt;=0,0,MAX(0,MIN(AE241,ROUND($AZ241-SUMPRODUCT($V241:$AE241*($V241:$AE241&gt;0)*(($V241:$AE241&lt;AE241)+($V241:$AE241=AE241)*($V$3:$AE$3&gt;AE$3)+($V241:$AE241=AE241)*($V$3:$AE$3=AE$3)*($V$2:$AE$2&lt;AE$2))),2))))</f>
      </c>
      <c r="AP241" s="33">
        <f>ROUND(V241-AF241,2)</f>
      </c>
      <c r="AQ241" s="33">
        <f>ROUND(W241-AG241,2)</f>
      </c>
      <c r="AR241" s="33">
        <f>ROUND(X241-AH241,2)</f>
      </c>
      <c r="AS241" s="33">
        <f>ROUND(Y241-AI241,2)</f>
      </c>
      <c r="AT241" s="33">
        <f>ROUND(Z241-AJ241,2)</f>
      </c>
      <c r="AU241" s="33">
        <f>ROUND(AA241-AK241,2)</f>
      </c>
      <c r="AV241" s="33">
        <f>ROUND(AB241-AL241,2)</f>
      </c>
      <c r="AW241" s="33">
        <f>ROUND(AC241-AM241,2)</f>
      </c>
      <c r="AX241" s="33">
        <f>ROUND(AD241-AN241,2)</f>
      </c>
      <c r="AY241" s="33">
        <f>ROUND(AE241-AO241,2)</f>
      </c>
      <c r="AZ241" s="33">
        <f>ROUND(MAX(0,'Your debts'!$D$22-SUM($L241:$U241)),2)</f>
      </c>
      <c r="BA241" s="33">
        <f>ROUND(SUM($B241:$K241)-SUM($AP240:$AY240),2)</f>
      </c>
      <c r="BB241" s="33">
        <f>SUM($AP241:$AY241)</f>
      </c>
      <c r="BC241" s="33">
        <f>ROUND(SUM($L241:$U241)+SUM($AF241:$AO241),2)</f>
      </c>
    </row>
    <row r="242" spans="1:55" x14ac:dyDescent="0.25">
      <c r="A242">
        <v>235</v>
      </c>
      <c r="B242" s="33">
        <f>IF(AP241&lt;=0,0,ROUND(AP241+ROUND(AP241*V$3/12,2),2))</f>
      </c>
      <c r="C242" s="33">
        <f>IF(AQ241&lt;=0,0,ROUND(AQ241+ROUND(AQ241*W$3/12,2),2))</f>
      </c>
      <c r="D242" s="33">
        <f>IF(AR241&lt;=0,0,ROUND(AR241+ROUND(AR241*X$3/12,2),2))</f>
      </c>
      <c r="E242" s="33">
        <f>IF(AS241&lt;=0,0,ROUND(AS241+ROUND(AS241*Y$3/12,2),2))</f>
      </c>
      <c r="F242" s="33">
        <f>IF(AT241&lt;=0,0,ROUND(AT241+ROUND(AT241*Z$3/12,2),2))</f>
      </c>
      <c r="G242" s="33">
        <f>IF(AU241&lt;=0,0,ROUND(AU241+ROUND(AU241*AA$3/12,2),2))</f>
      </c>
      <c r="H242" s="33">
        <f>IF(AV241&lt;=0,0,ROUND(AV241+ROUND(AV241*AB$3/12,2),2))</f>
      </c>
      <c r="I242" s="33">
        <f>IF(AW241&lt;=0,0,ROUND(AW241+ROUND(AW241*AC$3/12,2),2))</f>
      </c>
      <c r="J242" s="33">
        <f>IF(AX241&lt;=0,0,ROUND(AX241+ROUND(AX241*AD$3/12,2),2))</f>
      </c>
      <c r="K242" s="33">
        <f>IF(AY241&lt;=0,0,ROUND(AY241+ROUND(AY241*AE$3/12,2),2))</f>
      </c>
      <c r="L242" s="33">
        <f>ROUND(MIN(MAX(0,N('Your debts'!$E$6)),B242),2)</f>
      </c>
      <c r="M242" s="33">
        <f>ROUND(MIN(MAX(0,N('Your debts'!$E$7)),C242),2)</f>
      </c>
      <c r="N242" s="33">
        <f>ROUND(MIN(MAX(0,N('Your debts'!$E$8)),D242),2)</f>
      </c>
      <c r="O242" s="33">
        <f>ROUND(MIN(MAX(0,N('Your debts'!$E$9)),E242),2)</f>
      </c>
      <c r="P242" s="33">
        <f>ROUND(MIN(MAX(0,N('Your debts'!$E$10)),F242),2)</f>
      </c>
      <c r="Q242" s="33">
        <f>ROUND(MIN(MAX(0,N('Your debts'!$E$11)),G242),2)</f>
      </c>
      <c r="R242" s="33">
        <f>ROUND(MIN(MAX(0,N('Your debts'!$E$12)),H242),2)</f>
      </c>
      <c r="S242" s="33">
        <f>ROUND(MIN(MAX(0,N('Your debts'!$E$13)),I242),2)</f>
      </c>
      <c r="T242" s="33">
        <f>ROUND(MIN(MAX(0,N('Your debts'!$E$14)),J242),2)</f>
      </c>
      <c r="U242" s="33">
        <f>ROUND(MIN(MAX(0,N('Your debts'!$E$15)),K242),2)</f>
      </c>
      <c r="V242" s="33">
        <f>ROUND(B242-L242,2)</f>
      </c>
      <c r="W242" s="33">
        <f>ROUND(C242-M242,2)</f>
      </c>
      <c r="X242" s="33">
        <f>ROUND(D242-N242,2)</f>
      </c>
      <c r="Y242" s="33">
        <f>ROUND(E242-O242,2)</f>
      </c>
      <c r="Z242" s="33">
        <f>ROUND(F242-P242,2)</f>
      </c>
      <c r="AA242" s="33">
        <f>ROUND(G242-Q242,2)</f>
      </c>
      <c r="AB242" s="33">
        <f>ROUND(H242-R242,2)</f>
      </c>
      <c r="AC242" s="33">
        <f>ROUND(I242-S242,2)</f>
      </c>
      <c r="AD242" s="33">
        <f>ROUND(J242-T242,2)</f>
      </c>
      <c r="AE242" s="33">
        <f>ROUND(K242-U242,2)</f>
      </c>
      <c r="AF242" s="33">
        <f>IF(V242&lt;=0,0,MAX(0,MIN(V242,ROUND($AZ242-SUMPRODUCT($V242:$AE242*($V242:$AE242&gt;0)*(($V242:$AE242&lt;V242)+($V242:$AE242=V242)*($V$3:$AE$3&gt;V$3)+($V242:$AE242=V242)*($V$3:$AE$3=V$3)*($V$2:$AE$2&lt;V$2))),2))))</f>
      </c>
      <c r="AG242" s="33">
        <f>IF(W242&lt;=0,0,MAX(0,MIN(W242,ROUND($AZ242-SUMPRODUCT($V242:$AE242*($V242:$AE242&gt;0)*(($V242:$AE242&lt;W242)+($V242:$AE242=W242)*($V$3:$AE$3&gt;W$3)+($V242:$AE242=W242)*($V$3:$AE$3=W$3)*($V$2:$AE$2&lt;W$2))),2))))</f>
      </c>
      <c r="AH242" s="33">
        <f>IF(X242&lt;=0,0,MAX(0,MIN(X242,ROUND($AZ242-SUMPRODUCT($V242:$AE242*($V242:$AE242&gt;0)*(($V242:$AE242&lt;X242)+($V242:$AE242=X242)*($V$3:$AE$3&gt;X$3)+($V242:$AE242=X242)*($V$3:$AE$3=X$3)*($V$2:$AE$2&lt;X$2))),2))))</f>
      </c>
      <c r="AI242" s="33">
        <f>IF(Y242&lt;=0,0,MAX(0,MIN(Y242,ROUND($AZ242-SUMPRODUCT($V242:$AE242*($V242:$AE242&gt;0)*(($V242:$AE242&lt;Y242)+($V242:$AE242=Y242)*($V$3:$AE$3&gt;Y$3)+($V242:$AE242=Y242)*($V$3:$AE$3=Y$3)*($V$2:$AE$2&lt;Y$2))),2))))</f>
      </c>
      <c r="AJ242" s="33">
        <f>IF(Z242&lt;=0,0,MAX(0,MIN(Z242,ROUND($AZ242-SUMPRODUCT($V242:$AE242*($V242:$AE242&gt;0)*(($V242:$AE242&lt;Z242)+($V242:$AE242=Z242)*($V$3:$AE$3&gt;Z$3)+($V242:$AE242=Z242)*($V$3:$AE$3=Z$3)*($V$2:$AE$2&lt;Z$2))),2))))</f>
      </c>
      <c r="AK242" s="33">
        <f>IF(AA242&lt;=0,0,MAX(0,MIN(AA242,ROUND($AZ242-SUMPRODUCT($V242:$AE242*($V242:$AE242&gt;0)*(($V242:$AE242&lt;AA242)+($V242:$AE242=AA242)*($V$3:$AE$3&gt;AA$3)+($V242:$AE242=AA242)*($V$3:$AE$3=AA$3)*($V$2:$AE$2&lt;AA$2))),2))))</f>
      </c>
      <c r="AL242" s="33">
        <f>IF(AB242&lt;=0,0,MAX(0,MIN(AB242,ROUND($AZ242-SUMPRODUCT($V242:$AE242*($V242:$AE242&gt;0)*(($V242:$AE242&lt;AB242)+($V242:$AE242=AB242)*($V$3:$AE$3&gt;AB$3)+($V242:$AE242=AB242)*($V$3:$AE$3=AB$3)*($V$2:$AE$2&lt;AB$2))),2))))</f>
      </c>
      <c r="AM242" s="33">
        <f>IF(AC242&lt;=0,0,MAX(0,MIN(AC242,ROUND($AZ242-SUMPRODUCT($V242:$AE242*($V242:$AE242&gt;0)*(($V242:$AE242&lt;AC242)+($V242:$AE242=AC242)*($V$3:$AE$3&gt;AC$3)+($V242:$AE242=AC242)*($V$3:$AE$3=AC$3)*($V$2:$AE$2&lt;AC$2))),2))))</f>
      </c>
      <c r="AN242" s="33">
        <f>IF(AD242&lt;=0,0,MAX(0,MIN(AD242,ROUND($AZ242-SUMPRODUCT($V242:$AE242*($V242:$AE242&gt;0)*(($V242:$AE242&lt;AD242)+($V242:$AE242=AD242)*($V$3:$AE$3&gt;AD$3)+($V242:$AE242=AD242)*($V$3:$AE$3=AD$3)*($V$2:$AE$2&lt;AD$2))),2))))</f>
      </c>
      <c r="AO242" s="33">
        <f>IF(AE242&lt;=0,0,MAX(0,MIN(AE242,ROUND($AZ242-SUMPRODUCT($V242:$AE242*($V242:$AE242&gt;0)*(($V242:$AE242&lt;AE242)+($V242:$AE242=AE242)*($V$3:$AE$3&gt;AE$3)+($V242:$AE242=AE242)*($V$3:$AE$3=AE$3)*($V$2:$AE$2&lt;AE$2))),2))))</f>
      </c>
      <c r="AP242" s="33">
        <f>ROUND(V242-AF242,2)</f>
      </c>
      <c r="AQ242" s="33">
        <f>ROUND(W242-AG242,2)</f>
      </c>
      <c r="AR242" s="33">
        <f>ROUND(X242-AH242,2)</f>
      </c>
      <c r="AS242" s="33">
        <f>ROUND(Y242-AI242,2)</f>
      </c>
      <c r="AT242" s="33">
        <f>ROUND(Z242-AJ242,2)</f>
      </c>
      <c r="AU242" s="33">
        <f>ROUND(AA242-AK242,2)</f>
      </c>
      <c r="AV242" s="33">
        <f>ROUND(AB242-AL242,2)</f>
      </c>
      <c r="AW242" s="33">
        <f>ROUND(AC242-AM242,2)</f>
      </c>
      <c r="AX242" s="33">
        <f>ROUND(AD242-AN242,2)</f>
      </c>
      <c r="AY242" s="33">
        <f>ROUND(AE242-AO242,2)</f>
      </c>
      <c r="AZ242" s="33">
        <f>ROUND(MAX(0,'Your debts'!$D$22-SUM($L242:$U242)),2)</f>
      </c>
      <c r="BA242" s="33">
        <f>ROUND(SUM($B242:$K242)-SUM($AP241:$AY241),2)</f>
      </c>
      <c r="BB242" s="33">
        <f>SUM($AP242:$AY242)</f>
      </c>
      <c r="BC242" s="33">
        <f>ROUND(SUM($L242:$U242)+SUM($AF242:$AO242),2)</f>
      </c>
    </row>
    <row r="243" spans="1:55" x14ac:dyDescent="0.25">
      <c r="A243">
        <v>236</v>
      </c>
      <c r="B243" s="33">
        <f>IF(AP242&lt;=0,0,ROUND(AP242+ROUND(AP242*V$3/12,2),2))</f>
      </c>
      <c r="C243" s="33">
        <f>IF(AQ242&lt;=0,0,ROUND(AQ242+ROUND(AQ242*W$3/12,2),2))</f>
      </c>
      <c r="D243" s="33">
        <f>IF(AR242&lt;=0,0,ROUND(AR242+ROUND(AR242*X$3/12,2),2))</f>
      </c>
      <c r="E243" s="33">
        <f>IF(AS242&lt;=0,0,ROUND(AS242+ROUND(AS242*Y$3/12,2),2))</f>
      </c>
      <c r="F243" s="33">
        <f>IF(AT242&lt;=0,0,ROUND(AT242+ROUND(AT242*Z$3/12,2),2))</f>
      </c>
      <c r="G243" s="33">
        <f>IF(AU242&lt;=0,0,ROUND(AU242+ROUND(AU242*AA$3/12,2),2))</f>
      </c>
      <c r="H243" s="33">
        <f>IF(AV242&lt;=0,0,ROUND(AV242+ROUND(AV242*AB$3/12,2),2))</f>
      </c>
      <c r="I243" s="33">
        <f>IF(AW242&lt;=0,0,ROUND(AW242+ROUND(AW242*AC$3/12,2),2))</f>
      </c>
      <c r="J243" s="33">
        <f>IF(AX242&lt;=0,0,ROUND(AX242+ROUND(AX242*AD$3/12,2),2))</f>
      </c>
      <c r="K243" s="33">
        <f>IF(AY242&lt;=0,0,ROUND(AY242+ROUND(AY242*AE$3/12,2),2))</f>
      </c>
      <c r="L243" s="33">
        <f>ROUND(MIN(MAX(0,N('Your debts'!$E$6)),B243),2)</f>
      </c>
      <c r="M243" s="33">
        <f>ROUND(MIN(MAX(0,N('Your debts'!$E$7)),C243),2)</f>
      </c>
      <c r="N243" s="33">
        <f>ROUND(MIN(MAX(0,N('Your debts'!$E$8)),D243),2)</f>
      </c>
      <c r="O243" s="33">
        <f>ROUND(MIN(MAX(0,N('Your debts'!$E$9)),E243),2)</f>
      </c>
      <c r="P243" s="33">
        <f>ROUND(MIN(MAX(0,N('Your debts'!$E$10)),F243),2)</f>
      </c>
      <c r="Q243" s="33">
        <f>ROUND(MIN(MAX(0,N('Your debts'!$E$11)),G243),2)</f>
      </c>
      <c r="R243" s="33">
        <f>ROUND(MIN(MAX(0,N('Your debts'!$E$12)),H243),2)</f>
      </c>
      <c r="S243" s="33">
        <f>ROUND(MIN(MAX(0,N('Your debts'!$E$13)),I243),2)</f>
      </c>
      <c r="T243" s="33">
        <f>ROUND(MIN(MAX(0,N('Your debts'!$E$14)),J243),2)</f>
      </c>
      <c r="U243" s="33">
        <f>ROUND(MIN(MAX(0,N('Your debts'!$E$15)),K243),2)</f>
      </c>
      <c r="V243" s="33">
        <f>ROUND(B243-L243,2)</f>
      </c>
      <c r="W243" s="33">
        <f>ROUND(C243-M243,2)</f>
      </c>
      <c r="X243" s="33">
        <f>ROUND(D243-N243,2)</f>
      </c>
      <c r="Y243" s="33">
        <f>ROUND(E243-O243,2)</f>
      </c>
      <c r="Z243" s="33">
        <f>ROUND(F243-P243,2)</f>
      </c>
      <c r="AA243" s="33">
        <f>ROUND(G243-Q243,2)</f>
      </c>
      <c r="AB243" s="33">
        <f>ROUND(H243-R243,2)</f>
      </c>
      <c r="AC243" s="33">
        <f>ROUND(I243-S243,2)</f>
      </c>
      <c r="AD243" s="33">
        <f>ROUND(J243-T243,2)</f>
      </c>
      <c r="AE243" s="33">
        <f>ROUND(K243-U243,2)</f>
      </c>
      <c r="AF243" s="33">
        <f>IF(V243&lt;=0,0,MAX(0,MIN(V243,ROUND($AZ243-SUMPRODUCT($V243:$AE243*($V243:$AE243&gt;0)*(($V243:$AE243&lt;V243)+($V243:$AE243=V243)*($V$3:$AE$3&gt;V$3)+($V243:$AE243=V243)*($V$3:$AE$3=V$3)*($V$2:$AE$2&lt;V$2))),2))))</f>
      </c>
      <c r="AG243" s="33">
        <f>IF(W243&lt;=0,0,MAX(0,MIN(W243,ROUND($AZ243-SUMPRODUCT($V243:$AE243*($V243:$AE243&gt;0)*(($V243:$AE243&lt;W243)+($V243:$AE243=W243)*($V$3:$AE$3&gt;W$3)+($V243:$AE243=W243)*($V$3:$AE$3=W$3)*($V$2:$AE$2&lt;W$2))),2))))</f>
      </c>
      <c r="AH243" s="33">
        <f>IF(X243&lt;=0,0,MAX(0,MIN(X243,ROUND($AZ243-SUMPRODUCT($V243:$AE243*($V243:$AE243&gt;0)*(($V243:$AE243&lt;X243)+($V243:$AE243=X243)*($V$3:$AE$3&gt;X$3)+($V243:$AE243=X243)*($V$3:$AE$3=X$3)*($V$2:$AE$2&lt;X$2))),2))))</f>
      </c>
      <c r="AI243" s="33">
        <f>IF(Y243&lt;=0,0,MAX(0,MIN(Y243,ROUND($AZ243-SUMPRODUCT($V243:$AE243*($V243:$AE243&gt;0)*(($V243:$AE243&lt;Y243)+($V243:$AE243=Y243)*($V$3:$AE$3&gt;Y$3)+($V243:$AE243=Y243)*($V$3:$AE$3=Y$3)*($V$2:$AE$2&lt;Y$2))),2))))</f>
      </c>
      <c r="AJ243" s="33">
        <f>IF(Z243&lt;=0,0,MAX(0,MIN(Z243,ROUND($AZ243-SUMPRODUCT($V243:$AE243*($V243:$AE243&gt;0)*(($V243:$AE243&lt;Z243)+($V243:$AE243=Z243)*($V$3:$AE$3&gt;Z$3)+($V243:$AE243=Z243)*($V$3:$AE$3=Z$3)*($V$2:$AE$2&lt;Z$2))),2))))</f>
      </c>
      <c r="AK243" s="33">
        <f>IF(AA243&lt;=0,0,MAX(0,MIN(AA243,ROUND($AZ243-SUMPRODUCT($V243:$AE243*($V243:$AE243&gt;0)*(($V243:$AE243&lt;AA243)+($V243:$AE243=AA243)*($V$3:$AE$3&gt;AA$3)+($V243:$AE243=AA243)*($V$3:$AE$3=AA$3)*($V$2:$AE$2&lt;AA$2))),2))))</f>
      </c>
      <c r="AL243" s="33">
        <f>IF(AB243&lt;=0,0,MAX(0,MIN(AB243,ROUND($AZ243-SUMPRODUCT($V243:$AE243*($V243:$AE243&gt;0)*(($V243:$AE243&lt;AB243)+($V243:$AE243=AB243)*($V$3:$AE$3&gt;AB$3)+($V243:$AE243=AB243)*($V$3:$AE$3=AB$3)*($V$2:$AE$2&lt;AB$2))),2))))</f>
      </c>
      <c r="AM243" s="33">
        <f>IF(AC243&lt;=0,0,MAX(0,MIN(AC243,ROUND($AZ243-SUMPRODUCT($V243:$AE243*($V243:$AE243&gt;0)*(($V243:$AE243&lt;AC243)+($V243:$AE243=AC243)*($V$3:$AE$3&gt;AC$3)+($V243:$AE243=AC243)*($V$3:$AE$3=AC$3)*($V$2:$AE$2&lt;AC$2))),2))))</f>
      </c>
      <c r="AN243" s="33">
        <f>IF(AD243&lt;=0,0,MAX(0,MIN(AD243,ROUND($AZ243-SUMPRODUCT($V243:$AE243*($V243:$AE243&gt;0)*(($V243:$AE243&lt;AD243)+($V243:$AE243=AD243)*($V$3:$AE$3&gt;AD$3)+($V243:$AE243=AD243)*($V$3:$AE$3=AD$3)*($V$2:$AE$2&lt;AD$2))),2))))</f>
      </c>
      <c r="AO243" s="33">
        <f>IF(AE243&lt;=0,0,MAX(0,MIN(AE243,ROUND($AZ243-SUMPRODUCT($V243:$AE243*($V243:$AE243&gt;0)*(($V243:$AE243&lt;AE243)+($V243:$AE243=AE243)*($V$3:$AE$3&gt;AE$3)+($V243:$AE243=AE243)*($V$3:$AE$3=AE$3)*($V$2:$AE$2&lt;AE$2))),2))))</f>
      </c>
      <c r="AP243" s="33">
        <f>ROUND(V243-AF243,2)</f>
      </c>
      <c r="AQ243" s="33">
        <f>ROUND(W243-AG243,2)</f>
      </c>
      <c r="AR243" s="33">
        <f>ROUND(X243-AH243,2)</f>
      </c>
      <c r="AS243" s="33">
        <f>ROUND(Y243-AI243,2)</f>
      </c>
      <c r="AT243" s="33">
        <f>ROUND(Z243-AJ243,2)</f>
      </c>
      <c r="AU243" s="33">
        <f>ROUND(AA243-AK243,2)</f>
      </c>
      <c r="AV243" s="33">
        <f>ROUND(AB243-AL243,2)</f>
      </c>
      <c r="AW243" s="33">
        <f>ROUND(AC243-AM243,2)</f>
      </c>
      <c r="AX243" s="33">
        <f>ROUND(AD243-AN243,2)</f>
      </c>
      <c r="AY243" s="33">
        <f>ROUND(AE243-AO243,2)</f>
      </c>
      <c r="AZ243" s="33">
        <f>ROUND(MAX(0,'Your debts'!$D$22-SUM($L243:$U243)),2)</f>
      </c>
      <c r="BA243" s="33">
        <f>ROUND(SUM($B243:$K243)-SUM($AP242:$AY242),2)</f>
      </c>
      <c r="BB243" s="33">
        <f>SUM($AP243:$AY243)</f>
      </c>
      <c r="BC243" s="33">
        <f>ROUND(SUM($L243:$U243)+SUM($AF243:$AO243),2)</f>
      </c>
    </row>
    <row r="244" spans="1:55" x14ac:dyDescent="0.25">
      <c r="A244">
        <v>237</v>
      </c>
      <c r="B244" s="33">
        <f>IF(AP243&lt;=0,0,ROUND(AP243+ROUND(AP243*V$3/12,2),2))</f>
      </c>
      <c r="C244" s="33">
        <f>IF(AQ243&lt;=0,0,ROUND(AQ243+ROUND(AQ243*W$3/12,2),2))</f>
      </c>
      <c r="D244" s="33">
        <f>IF(AR243&lt;=0,0,ROUND(AR243+ROUND(AR243*X$3/12,2),2))</f>
      </c>
      <c r="E244" s="33">
        <f>IF(AS243&lt;=0,0,ROUND(AS243+ROUND(AS243*Y$3/12,2),2))</f>
      </c>
      <c r="F244" s="33">
        <f>IF(AT243&lt;=0,0,ROUND(AT243+ROUND(AT243*Z$3/12,2),2))</f>
      </c>
      <c r="G244" s="33">
        <f>IF(AU243&lt;=0,0,ROUND(AU243+ROUND(AU243*AA$3/12,2),2))</f>
      </c>
      <c r="H244" s="33">
        <f>IF(AV243&lt;=0,0,ROUND(AV243+ROUND(AV243*AB$3/12,2),2))</f>
      </c>
      <c r="I244" s="33">
        <f>IF(AW243&lt;=0,0,ROUND(AW243+ROUND(AW243*AC$3/12,2),2))</f>
      </c>
      <c r="J244" s="33">
        <f>IF(AX243&lt;=0,0,ROUND(AX243+ROUND(AX243*AD$3/12,2),2))</f>
      </c>
      <c r="K244" s="33">
        <f>IF(AY243&lt;=0,0,ROUND(AY243+ROUND(AY243*AE$3/12,2),2))</f>
      </c>
      <c r="L244" s="33">
        <f>ROUND(MIN(MAX(0,N('Your debts'!$E$6)),B244),2)</f>
      </c>
      <c r="M244" s="33">
        <f>ROUND(MIN(MAX(0,N('Your debts'!$E$7)),C244),2)</f>
      </c>
      <c r="N244" s="33">
        <f>ROUND(MIN(MAX(0,N('Your debts'!$E$8)),D244),2)</f>
      </c>
      <c r="O244" s="33">
        <f>ROUND(MIN(MAX(0,N('Your debts'!$E$9)),E244),2)</f>
      </c>
      <c r="P244" s="33">
        <f>ROUND(MIN(MAX(0,N('Your debts'!$E$10)),F244),2)</f>
      </c>
      <c r="Q244" s="33">
        <f>ROUND(MIN(MAX(0,N('Your debts'!$E$11)),G244),2)</f>
      </c>
      <c r="R244" s="33">
        <f>ROUND(MIN(MAX(0,N('Your debts'!$E$12)),H244),2)</f>
      </c>
      <c r="S244" s="33">
        <f>ROUND(MIN(MAX(0,N('Your debts'!$E$13)),I244),2)</f>
      </c>
      <c r="T244" s="33">
        <f>ROUND(MIN(MAX(0,N('Your debts'!$E$14)),J244),2)</f>
      </c>
      <c r="U244" s="33">
        <f>ROUND(MIN(MAX(0,N('Your debts'!$E$15)),K244),2)</f>
      </c>
      <c r="V244" s="33">
        <f>ROUND(B244-L244,2)</f>
      </c>
      <c r="W244" s="33">
        <f>ROUND(C244-M244,2)</f>
      </c>
      <c r="X244" s="33">
        <f>ROUND(D244-N244,2)</f>
      </c>
      <c r="Y244" s="33">
        <f>ROUND(E244-O244,2)</f>
      </c>
      <c r="Z244" s="33">
        <f>ROUND(F244-P244,2)</f>
      </c>
      <c r="AA244" s="33">
        <f>ROUND(G244-Q244,2)</f>
      </c>
      <c r="AB244" s="33">
        <f>ROUND(H244-R244,2)</f>
      </c>
      <c r="AC244" s="33">
        <f>ROUND(I244-S244,2)</f>
      </c>
      <c r="AD244" s="33">
        <f>ROUND(J244-T244,2)</f>
      </c>
      <c r="AE244" s="33">
        <f>ROUND(K244-U244,2)</f>
      </c>
      <c r="AF244" s="33">
        <f>IF(V244&lt;=0,0,MAX(0,MIN(V244,ROUND($AZ244-SUMPRODUCT($V244:$AE244*($V244:$AE244&gt;0)*(($V244:$AE244&lt;V244)+($V244:$AE244=V244)*($V$3:$AE$3&gt;V$3)+($V244:$AE244=V244)*($V$3:$AE$3=V$3)*($V$2:$AE$2&lt;V$2))),2))))</f>
      </c>
      <c r="AG244" s="33">
        <f>IF(W244&lt;=0,0,MAX(0,MIN(W244,ROUND($AZ244-SUMPRODUCT($V244:$AE244*($V244:$AE244&gt;0)*(($V244:$AE244&lt;W244)+($V244:$AE244=W244)*($V$3:$AE$3&gt;W$3)+($V244:$AE244=W244)*($V$3:$AE$3=W$3)*($V$2:$AE$2&lt;W$2))),2))))</f>
      </c>
      <c r="AH244" s="33">
        <f>IF(X244&lt;=0,0,MAX(0,MIN(X244,ROUND($AZ244-SUMPRODUCT($V244:$AE244*($V244:$AE244&gt;0)*(($V244:$AE244&lt;X244)+($V244:$AE244=X244)*($V$3:$AE$3&gt;X$3)+($V244:$AE244=X244)*($V$3:$AE$3=X$3)*($V$2:$AE$2&lt;X$2))),2))))</f>
      </c>
      <c r="AI244" s="33">
        <f>IF(Y244&lt;=0,0,MAX(0,MIN(Y244,ROUND($AZ244-SUMPRODUCT($V244:$AE244*($V244:$AE244&gt;0)*(($V244:$AE244&lt;Y244)+($V244:$AE244=Y244)*($V$3:$AE$3&gt;Y$3)+($V244:$AE244=Y244)*($V$3:$AE$3=Y$3)*($V$2:$AE$2&lt;Y$2))),2))))</f>
      </c>
      <c r="AJ244" s="33">
        <f>IF(Z244&lt;=0,0,MAX(0,MIN(Z244,ROUND($AZ244-SUMPRODUCT($V244:$AE244*($V244:$AE244&gt;0)*(($V244:$AE244&lt;Z244)+($V244:$AE244=Z244)*($V$3:$AE$3&gt;Z$3)+($V244:$AE244=Z244)*($V$3:$AE$3=Z$3)*($V$2:$AE$2&lt;Z$2))),2))))</f>
      </c>
      <c r="AK244" s="33">
        <f>IF(AA244&lt;=0,0,MAX(0,MIN(AA244,ROUND($AZ244-SUMPRODUCT($V244:$AE244*($V244:$AE244&gt;0)*(($V244:$AE244&lt;AA244)+($V244:$AE244=AA244)*($V$3:$AE$3&gt;AA$3)+($V244:$AE244=AA244)*($V$3:$AE$3=AA$3)*($V$2:$AE$2&lt;AA$2))),2))))</f>
      </c>
      <c r="AL244" s="33">
        <f>IF(AB244&lt;=0,0,MAX(0,MIN(AB244,ROUND($AZ244-SUMPRODUCT($V244:$AE244*($V244:$AE244&gt;0)*(($V244:$AE244&lt;AB244)+($V244:$AE244=AB244)*($V$3:$AE$3&gt;AB$3)+($V244:$AE244=AB244)*($V$3:$AE$3=AB$3)*($V$2:$AE$2&lt;AB$2))),2))))</f>
      </c>
      <c r="AM244" s="33">
        <f>IF(AC244&lt;=0,0,MAX(0,MIN(AC244,ROUND($AZ244-SUMPRODUCT($V244:$AE244*($V244:$AE244&gt;0)*(($V244:$AE244&lt;AC244)+($V244:$AE244=AC244)*($V$3:$AE$3&gt;AC$3)+($V244:$AE244=AC244)*($V$3:$AE$3=AC$3)*($V$2:$AE$2&lt;AC$2))),2))))</f>
      </c>
      <c r="AN244" s="33">
        <f>IF(AD244&lt;=0,0,MAX(0,MIN(AD244,ROUND($AZ244-SUMPRODUCT($V244:$AE244*($V244:$AE244&gt;0)*(($V244:$AE244&lt;AD244)+($V244:$AE244=AD244)*($V$3:$AE$3&gt;AD$3)+($V244:$AE244=AD244)*($V$3:$AE$3=AD$3)*($V$2:$AE$2&lt;AD$2))),2))))</f>
      </c>
      <c r="AO244" s="33">
        <f>IF(AE244&lt;=0,0,MAX(0,MIN(AE244,ROUND($AZ244-SUMPRODUCT($V244:$AE244*($V244:$AE244&gt;0)*(($V244:$AE244&lt;AE244)+($V244:$AE244=AE244)*($V$3:$AE$3&gt;AE$3)+($V244:$AE244=AE244)*($V$3:$AE$3=AE$3)*($V$2:$AE$2&lt;AE$2))),2))))</f>
      </c>
      <c r="AP244" s="33">
        <f>ROUND(V244-AF244,2)</f>
      </c>
      <c r="AQ244" s="33">
        <f>ROUND(W244-AG244,2)</f>
      </c>
      <c r="AR244" s="33">
        <f>ROUND(X244-AH244,2)</f>
      </c>
      <c r="AS244" s="33">
        <f>ROUND(Y244-AI244,2)</f>
      </c>
      <c r="AT244" s="33">
        <f>ROUND(Z244-AJ244,2)</f>
      </c>
      <c r="AU244" s="33">
        <f>ROUND(AA244-AK244,2)</f>
      </c>
      <c r="AV244" s="33">
        <f>ROUND(AB244-AL244,2)</f>
      </c>
      <c r="AW244" s="33">
        <f>ROUND(AC244-AM244,2)</f>
      </c>
      <c r="AX244" s="33">
        <f>ROUND(AD244-AN244,2)</f>
      </c>
      <c r="AY244" s="33">
        <f>ROUND(AE244-AO244,2)</f>
      </c>
      <c r="AZ244" s="33">
        <f>ROUND(MAX(0,'Your debts'!$D$22-SUM($L244:$U244)),2)</f>
      </c>
      <c r="BA244" s="33">
        <f>ROUND(SUM($B244:$K244)-SUM($AP243:$AY243),2)</f>
      </c>
      <c r="BB244" s="33">
        <f>SUM($AP244:$AY244)</f>
      </c>
      <c r="BC244" s="33">
        <f>ROUND(SUM($L244:$U244)+SUM($AF244:$AO244),2)</f>
      </c>
    </row>
    <row r="245" spans="1:55" x14ac:dyDescent="0.25">
      <c r="A245">
        <v>238</v>
      </c>
      <c r="B245" s="33">
        <f>IF(AP244&lt;=0,0,ROUND(AP244+ROUND(AP244*V$3/12,2),2))</f>
      </c>
      <c r="C245" s="33">
        <f>IF(AQ244&lt;=0,0,ROUND(AQ244+ROUND(AQ244*W$3/12,2),2))</f>
      </c>
      <c r="D245" s="33">
        <f>IF(AR244&lt;=0,0,ROUND(AR244+ROUND(AR244*X$3/12,2),2))</f>
      </c>
      <c r="E245" s="33">
        <f>IF(AS244&lt;=0,0,ROUND(AS244+ROUND(AS244*Y$3/12,2),2))</f>
      </c>
      <c r="F245" s="33">
        <f>IF(AT244&lt;=0,0,ROUND(AT244+ROUND(AT244*Z$3/12,2),2))</f>
      </c>
      <c r="G245" s="33">
        <f>IF(AU244&lt;=0,0,ROUND(AU244+ROUND(AU244*AA$3/12,2),2))</f>
      </c>
      <c r="H245" s="33">
        <f>IF(AV244&lt;=0,0,ROUND(AV244+ROUND(AV244*AB$3/12,2),2))</f>
      </c>
      <c r="I245" s="33">
        <f>IF(AW244&lt;=0,0,ROUND(AW244+ROUND(AW244*AC$3/12,2),2))</f>
      </c>
      <c r="J245" s="33">
        <f>IF(AX244&lt;=0,0,ROUND(AX244+ROUND(AX244*AD$3/12,2),2))</f>
      </c>
      <c r="K245" s="33">
        <f>IF(AY244&lt;=0,0,ROUND(AY244+ROUND(AY244*AE$3/12,2),2))</f>
      </c>
      <c r="L245" s="33">
        <f>ROUND(MIN(MAX(0,N('Your debts'!$E$6)),B245),2)</f>
      </c>
      <c r="M245" s="33">
        <f>ROUND(MIN(MAX(0,N('Your debts'!$E$7)),C245),2)</f>
      </c>
      <c r="N245" s="33">
        <f>ROUND(MIN(MAX(0,N('Your debts'!$E$8)),D245),2)</f>
      </c>
      <c r="O245" s="33">
        <f>ROUND(MIN(MAX(0,N('Your debts'!$E$9)),E245),2)</f>
      </c>
      <c r="P245" s="33">
        <f>ROUND(MIN(MAX(0,N('Your debts'!$E$10)),F245),2)</f>
      </c>
      <c r="Q245" s="33">
        <f>ROUND(MIN(MAX(0,N('Your debts'!$E$11)),G245),2)</f>
      </c>
      <c r="R245" s="33">
        <f>ROUND(MIN(MAX(0,N('Your debts'!$E$12)),H245),2)</f>
      </c>
      <c r="S245" s="33">
        <f>ROUND(MIN(MAX(0,N('Your debts'!$E$13)),I245),2)</f>
      </c>
      <c r="T245" s="33">
        <f>ROUND(MIN(MAX(0,N('Your debts'!$E$14)),J245),2)</f>
      </c>
      <c r="U245" s="33">
        <f>ROUND(MIN(MAX(0,N('Your debts'!$E$15)),K245),2)</f>
      </c>
      <c r="V245" s="33">
        <f>ROUND(B245-L245,2)</f>
      </c>
      <c r="W245" s="33">
        <f>ROUND(C245-M245,2)</f>
      </c>
      <c r="X245" s="33">
        <f>ROUND(D245-N245,2)</f>
      </c>
      <c r="Y245" s="33">
        <f>ROUND(E245-O245,2)</f>
      </c>
      <c r="Z245" s="33">
        <f>ROUND(F245-P245,2)</f>
      </c>
      <c r="AA245" s="33">
        <f>ROUND(G245-Q245,2)</f>
      </c>
      <c r="AB245" s="33">
        <f>ROUND(H245-R245,2)</f>
      </c>
      <c r="AC245" s="33">
        <f>ROUND(I245-S245,2)</f>
      </c>
      <c r="AD245" s="33">
        <f>ROUND(J245-T245,2)</f>
      </c>
      <c r="AE245" s="33">
        <f>ROUND(K245-U245,2)</f>
      </c>
      <c r="AF245" s="33">
        <f>IF(V245&lt;=0,0,MAX(0,MIN(V245,ROUND($AZ245-SUMPRODUCT($V245:$AE245*($V245:$AE245&gt;0)*(($V245:$AE245&lt;V245)+($V245:$AE245=V245)*($V$3:$AE$3&gt;V$3)+($V245:$AE245=V245)*($V$3:$AE$3=V$3)*($V$2:$AE$2&lt;V$2))),2))))</f>
      </c>
      <c r="AG245" s="33">
        <f>IF(W245&lt;=0,0,MAX(0,MIN(W245,ROUND($AZ245-SUMPRODUCT($V245:$AE245*($V245:$AE245&gt;0)*(($V245:$AE245&lt;W245)+($V245:$AE245=W245)*($V$3:$AE$3&gt;W$3)+($V245:$AE245=W245)*($V$3:$AE$3=W$3)*($V$2:$AE$2&lt;W$2))),2))))</f>
      </c>
      <c r="AH245" s="33">
        <f>IF(X245&lt;=0,0,MAX(0,MIN(X245,ROUND($AZ245-SUMPRODUCT($V245:$AE245*($V245:$AE245&gt;0)*(($V245:$AE245&lt;X245)+($V245:$AE245=X245)*($V$3:$AE$3&gt;X$3)+($V245:$AE245=X245)*($V$3:$AE$3=X$3)*($V$2:$AE$2&lt;X$2))),2))))</f>
      </c>
      <c r="AI245" s="33">
        <f>IF(Y245&lt;=0,0,MAX(0,MIN(Y245,ROUND($AZ245-SUMPRODUCT($V245:$AE245*($V245:$AE245&gt;0)*(($V245:$AE245&lt;Y245)+($V245:$AE245=Y245)*($V$3:$AE$3&gt;Y$3)+($V245:$AE245=Y245)*($V$3:$AE$3=Y$3)*($V$2:$AE$2&lt;Y$2))),2))))</f>
      </c>
      <c r="AJ245" s="33">
        <f>IF(Z245&lt;=0,0,MAX(0,MIN(Z245,ROUND($AZ245-SUMPRODUCT($V245:$AE245*($V245:$AE245&gt;0)*(($V245:$AE245&lt;Z245)+($V245:$AE245=Z245)*($V$3:$AE$3&gt;Z$3)+($V245:$AE245=Z245)*($V$3:$AE$3=Z$3)*($V$2:$AE$2&lt;Z$2))),2))))</f>
      </c>
      <c r="AK245" s="33">
        <f>IF(AA245&lt;=0,0,MAX(0,MIN(AA245,ROUND($AZ245-SUMPRODUCT($V245:$AE245*($V245:$AE245&gt;0)*(($V245:$AE245&lt;AA245)+($V245:$AE245=AA245)*($V$3:$AE$3&gt;AA$3)+($V245:$AE245=AA245)*($V$3:$AE$3=AA$3)*($V$2:$AE$2&lt;AA$2))),2))))</f>
      </c>
      <c r="AL245" s="33">
        <f>IF(AB245&lt;=0,0,MAX(0,MIN(AB245,ROUND($AZ245-SUMPRODUCT($V245:$AE245*($V245:$AE245&gt;0)*(($V245:$AE245&lt;AB245)+($V245:$AE245=AB245)*($V$3:$AE$3&gt;AB$3)+($V245:$AE245=AB245)*($V$3:$AE$3=AB$3)*($V$2:$AE$2&lt;AB$2))),2))))</f>
      </c>
      <c r="AM245" s="33">
        <f>IF(AC245&lt;=0,0,MAX(0,MIN(AC245,ROUND($AZ245-SUMPRODUCT($V245:$AE245*($V245:$AE245&gt;0)*(($V245:$AE245&lt;AC245)+($V245:$AE245=AC245)*($V$3:$AE$3&gt;AC$3)+($V245:$AE245=AC245)*($V$3:$AE$3=AC$3)*($V$2:$AE$2&lt;AC$2))),2))))</f>
      </c>
      <c r="AN245" s="33">
        <f>IF(AD245&lt;=0,0,MAX(0,MIN(AD245,ROUND($AZ245-SUMPRODUCT($V245:$AE245*($V245:$AE245&gt;0)*(($V245:$AE245&lt;AD245)+($V245:$AE245=AD245)*($V$3:$AE$3&gt;AD$3)+($V245:$AE245=AD245)*($V$3:$AE$3=AD$3)*($V$2:$AE$2&lt;AD$2))),2))))</f>
      </c>
      <c r="AO245" s="33">
        <f>IF(AE245&lt;=0,0,MAX(0,MIN(AE245,ROUND($AZ245-SUMPRODUCT($V245:$AE245*($V245:$AE245&gt;0)*(($V245:$AE245&lt;AE245)+($V245:$AE245=AE245)*($V$3:$AE$3&gt;AE$3)+($V245:$AE245=AE245)*($V$3:$AE$3=AE$3)*($V$2:$AE$2&lt;AE$2))),2))))</f>
      </c>
      <c r="AP245" s="33">
        <f>ROUND(V245-AF245,2)</f>
      </c>
      <c r="AQ245" s="33">
        <f>ROUND(W245-AG245,2)</f>
      </c>
      <c r="AR245" s="33">
        <f>ROUND(X245-AH245,2)</f>
      </c>
      <c r="AS245" s="33">
        <f>ROUND(Y245-AI245,2)</f>
      </c>
      <c r="AT245" s="33">
        <f>ROUND(Z245-AJ245,2)</f>
      </c>
      <c r="AU245" s="33">
        <f>ROUND(AA245-AK245,2)</f>
      </c>
      <c r="AV245" s="33">
        <f>ROUND(AB245-AL245,2)</f>
      </c>
      <c r="AW245" s="33">
        <f>ROUND(AC245-AM245,2)</f>
      </c>
      <c r="AX245" s="33">
        <f>ROUND(AD245-AN245,2)</f>
      </c>
      <c r="AY245" s="33">
        <f>ROUND(AE245-AO245,2)</f>
      </c>
      <c r="AZ245" s="33">
        <f>ROUND(MAX(0,'Your debts'!$D$22-SUM($L245:$U245)),2)</f>
      </c>
      <c r="BA245" s="33">
        <f>ROUND(SUM($B245:$K245)-SUM($AP244:$AY244),2)</f>
      </c>
      <c r="BB245" s="33">
        <f>SUM($AP245:$AY245)</f>
      </c>
      <c r="BC245" s="33">
        <f>ROUND(SUM($L245:$U245)+SUM($AF245:$AO245),2)</f>
      </c>
    </row>
    <row r="246" spans="1:55" x14ac:dyDescent="0.25">
      <c r="A246">
        <v>239</v>
      </c>
      <c r="B246" s="33">
        <f>IF(AP245&lt;=0,0,ROUND(AP245+ROUND(AP245*V$3/12,2),2))</f>
      </c>
      <c r="C246" s="33">
        <f>IF(AQ245&lt;=0,0,ROUND(AQ245+ROUND(AQ245*W$3/12,2),2))</f>
      </c>
      <c r="D246" s="33">
        <f>IF(AR245&lt;=0,0,ROUND(AR245+ROUND(AR245*X$3/12,2),2))</f>
      </c>
      <c r="E246" s="33">
        <f>IF(AS245&lt;=0,0,ROUND(AS245+ROUND(AS245*Y$3/12,2),2))</f>
      </c>
      <c r="F246" s="33">
        <f>IF(AT245&lt;=0,0,ROUND(AT245+ROUND(AT245*Z$3/12,2),2))</f>
      </c>
      <c r="G246" s="33">
        <f>IF(AU245&lt;=0,0,ROUND(AU245+ROUND(AU245*AA$3/12,2),2))</f>
      </c>
      <c r="H246" s="33">
        <f>IF(AV245&lt;=0,0,ROUND(AV245+ROUND(AV245*AB$3/12,2),2))</f>
      </c>
      <c r="I246" s="33">
        <f>IF(AW245&lt;=0,0,ROUND(AW245+ROUND(AW245*AC$3/12,2),2))</f>
      </c>
      <c r="J246" s="33">
        <f>IF(AX245&lt;=0,0,ROUND(AX245+ROUND(AX245*AD$3/12,2),2))</f>
      </c>
      <c r="K246" s="33">
        <f>IF(AY245&lt;=0,0,ROUND(AY245+ROUND(AY245*AE$3/12,2),2))</f>
      </c>
      <c r="L246" s="33">
        <f>ROUND(MIN(MAX(0,N('Your debts'!$E$6)),B246),2)</f>
      </c>
      <c r="M246" s="33">
        <f>ROUND(MIN(MAX(0,N('Your debts'!$E$7)),C246),2)</f>
      </c>
      <c r="N246" s="33">
        <f>ROUND(MIN(MAX(0,N('Your debts'!$E$8)),D246),2)</f>
      </c>
      <c r="O246" s="33">
        <f>ROUND(MIN(MAX(0,N('Your debts'!$E$9)),E246),2)</f>
      </c>
      <c r="P246" s="33">
        <f>ROUND(MIN(MAX(0,N('Your debts'!$E$10)),F246),2)</f>
      </c>
      <c r="Q246" s="33">
        <f>ROUND(MIN(MAX(0,N('Your debts'!$E$11)),G246),2)</f>
      </c>
      <c r="R246" s="33">
        <f>ROUND(MIN(MAX(0,N('Your debts'!$E$12)),H246),2)</f>
      </c>
      <c r="S246" s="33">
        <f>ROUND(MIN(MAX(0,N('Your debts'!$E$13)),I246),2)</f>
      </c>
      <c r="T246" s="33">
        <f>ROUND(MIN(MAX(0,N('Your debts'!$E$14)),J246),2)</f>
      </c>
      <c r="U246" s="33">
        <f>ROUND(MIN(MAX(0,N('Your debts'!$E$15)),K246),2)</f>
      </c>
      <c r="V246" s="33">
        <f>ROUND(B246-L246,2)</f>
      </c>
      <c r="W246" s="33">
        <f>ROUND(C246-M246,2)</f>
      </c>
      <c r="X246" s="33">
        <f>ROUND(D246-N246,2)</f>
      </c>
      <c r="Y246" s="33">
        <f>ROUND(E246-O246,2)</f>
      </c>
      <c r="Z246" s="33">
        <f>ROUND(F246-P246,2)</f>
      </c>
      <c r="AA246" s="33">
        <f>ROUND(G246-Q246,2)</f>
      </c>
      <c r="AB246" s="33">
        <f>ROUND(H246-R246,2)</f>
      </c>
      <c r="AC246" s="33">
        <f>ROUND(I246-S246,2)</f>
      </c>
      <c r="AD246" s="33">
        <f>ROUND(J246-T246,2)</f>
      </c>
      <c r="AE246" s="33">
        <f>ROUND(K246-U246,2)</f>
      </c>
      <c r="AF246" s="33">
        <f>IF(V246&lt;=0,0,MAX(0,MIN(V246,ROUND($AZ246-SUMPRODUCT($V246:$AE246*($V246:$AE246&gt;0)*(($V246:$AE246&lt;V246)+($V246:$AE246=V246)*($V$3:$AE$3&gt;V$3)+($V246:$AE246=V246)*($V$3:$AE$3=V$3)*($V$2:$AE$2&lt;V$2))),2))))</f>
      </c>
      <c r="AG246" s="33">
        <f>IF(W246&lt;=0,0,MAX(0,MIN(W246,ROUND($AZ246-SUMPRODUCT($V246:$AE246*($V246:$AE246&gt;0)*(($V246:$AE246&lt;W246)+($V246:$AE246=W246)*($V$3:$AE$3&gt;W$3)+($V246:$AE246=W246)*($V$3:$AE$3=W$3)*($V$2:$AE$2&lt;W$2))),2))))</f>
      </c>
      <c r="AH246" s="33">
        <f>IF(X246&lt;=0,0,MAX(0,MIN(X246,ROUND($AZ246-SUMPRODUCT($V246:$AE246*($V246:$AE246&gt;0)*(($V246:$AE246&lt;X246)+($V246:$AE246=X246)*($V$3:$AE$3&gt;X$3)+($V246:$AE246=X246)*($V$3:$AE$3=X$3)*($V$2:$AE$2&lt;X$2))),2))))</f>
      </c>
      <c r="AI246" s="33">
        <f>IF(Y246&lt;=0,0,MAX(0,MIN(Y246,ROUND($AZ246-SUMPRODUCT($V246:$AE246*($V246:$AE246&gt;0)*(($V246:$AE246&lt;Y246)+($V246:$AE246=Y246)*($V$3:$AE$3&gt;Y$3)+($V246:$AE246=Y246)*($V$3:$AE$3=Y$3)*($V$2:$AE$2&lt;Y$2))),2))))</f>
      </c>
      <c r="AJ246" s="33">
        <f>IF(Z246&lt;=0,0,MAX(0,MIN(Z246,ROUND($AZ246-SUMPRODUCT($V246:$AE246*($V246:$AE246&gt;0)*(($V246:$AE246&lt;Z246)+($V246:$AE246=Z246)*($V$3:$AE$3&gt;Z$3)+($V246:$AE246=Z246)*($V$3:$AE$3=Z$3)*($V$2:$AE$2&lt;Z$2))),2))))</f>
      </c>
      <c r="AK246" s="33">
        <f>IF(AA246&lt;=0,0,MAX(0,MIN(AA246,ROUND($AZ246-SUMPRODUCT($V246:$AE246*($V246:$AE246&gt;0)*(($V246:$AE246&lt;AA246)+($V246:$AE246=AA246)*($V$3:$AE$3&gt;AA$3)+($V246:$AE246=AA246)*($V$3:$AE$3=AA$3)*($V$2:$AE$2&lt;AA$2))),2))))</f>
      </c>
      <c r="AL246" s="33">
        <f>IF(AB246&lt;=0,0,MAX(0,MIN(AB246,ROUND($AZ246-SUMPRODUCT($V246:$AE246*($V246:$AE246&gt;0)*(($V246:$AE246&lt;AB246)+($V246:$AE246=AB246)*($V$3:$AE$3&gt;AB$3)+($V246:$AE246=AB246)*($V$3:$AE$3=AB$3)*($V$2:$AE$2&lt;AB$2))),2))))</f>
      </c>
      <c r="AM246" s="33">
        <f>IF(AC246&lt;=0,0,MAX(0,MIN(AC246,ROUND($AZ246-SUMPRODUCT($V246:$AE246*($V246:$AE246&gt;0)*(($V246:$AE246&lt;AC246)+($V246:$AE246=AC246)*($V$3:$AE$3&gt;AC$3)+($V246:$AE246=AC246)*($V$3:$AE$3=AC$3)*($V$2:$AE$2&lt;AC$2))),2))))</f>
      </c>
      <c r="AN246" s="33">
        <f>IF(AD246&lt;=0,0,MAX(0,MIN(AD246,ROUND($AZ246-SUMPRODUCT($V246:$AE246*($V246:$AE246&gt;0)*(($V246:$AE246&lt;AD246)+($V246:$AE246=AD246)*($V$3:$AE$3&gt;AD$3)+($V246:$AE246=AD246)*($V$3:$AE$3=AD$3)*($V$2:$AE$2&lt;AD$2))),2))))</f>
      </c>
      <c r="AO246" s="33">
        <f>IF(AE246&lt;=0,0,MAX(0,MIN(AE246,ROUND($AZ246-SUMPRODUCT($V246:$AE246*($V246:$AE246&gt;0)*(($V246:$AE246&lt;AE246)+($V246:$AE246=AE246)*($V$3:$AE$3&gt;AE$3)+($V246:$AE246=AE246)*($V$3:$AE$3=AE$3)*($V$2:$AE$2&lt;AE$2))),2))))</f>
      </c>
      <c r="AP246" s="33">
        <f>ROUND(V246-AF246,2)</f>
      </c>
      <c r="AQ246" s="33">
        <f>ROUND(W246-AG246,2)</f>
      </c>
      <c r="AR246" s="33">
        <f>ROUND(X246-AH246,2)</f>
      </c>
      <c r="AS246" s="33">
        <f>ROUND(Y246-AI246,2)</f>
      </c>
      <c r="AT246" s="33">
        <f>ROUND(Z246-AJ246,2)</f>
      </c>
      <c r="AU246" s="33">
        <f>ROUND(AA246-AK246,2)</f>
      </c>
      <c r="AV246" s="33">
        <f>ROUND(AB246-AL246,2)</f>
      </c>
      <c r="AW246" s="33">
        <f>ROUND(AC246-AM246,2)</f>
      </c>
      <c r="AX246" s="33">
        <f>ROUND(AD246-AN246,2)</f>
      </c>
      <c r="AY246" s="33">
        <f>ROUND(AE246-AO246,2)</f>
      </c>
      <c r="AZ246" s="33">
        <f>ROUND(MAX(0,'Your debts'!$D$22-SUM($L246:$U246)),2)</f>
      </c>
      <c r="BA246" s="33">
        <f>ROUND(SUM($B246:$K246)-SUM($AP245:$AY245),2)</f>
      </c>
      <c r="BB246" s="33">
        <f>SUM($AP246:$AY246)</f>
      </c>
      <c r="BC246" s="33">
        <f>ROUND(SUM($L246:$U246)+SUM($AF246:$AO246),2)</f>
      </c>
    </row>
    <row r="247" spans="1:55" x14ac:dyDescent="0.25">
      <c r="A247">
        <v>240</v>
      </c>
      <c r="B247" s="33">
        <f>IF(AP246&lt;=0,0,ROUND(AP246+ROUND(AP246*V$3/12,2),2))</f>
      </c>
      <c r="C247" s="33">
        <f>IF(AQ246&lt;=0,0,ROUND(AQ246+ROUND(AQ246*W$3/12,2),2))</f>
      </c>
      <c r="D247" s="33">
        <f>IF(AR246&lt;=0,0,ROUND(AR246+ROUND(AR246*X$3/12,2),2))</f>
      </c>
      <c r="E247" s="33">
        <f>IF(AS246&lt;=0,0,ROUND(AS246+ROUND(AS246*Y$3/12,2),2))</f>
      </c>
      <c r="F247" s="33">
        <f>IF(AT246&lt;=0,0,ROUND(AT246+ROUND(AT246*Z$3/12,2),2))</f>
      </c>
      <c r="G247" s="33">
        <f>IF(AU246&lt;=0,0,ROUND(AU246+ROUND(AU246*AA$3/12,2),2))</f>
      </c>
      <c r="H247" s="33">
        <f>IF(AV246&lt;=0,0,ROUND(AV246+ROUND(AV246*AB$3/12,2),2))</f>
      </c>
      <c r="I247" s="33">
        <f>IF(AW246&lt;=0,0,ROUND(AW246+ROUND(AW246*AC$3/12,2),2))</f>
      </c>
      <c r="J247" s="33">
        <f>IF(AX246&lt;=0,0,ROUND(AX246+ROUND(AX246*AD$3/12,2),2))</f>
      </c>
      <c r="K247" s="33">
        <f>IF(AY246&lt;=0,0,ROUND(AY246+ROUND(AY246*AE$3/12,2),2))</f>
      </c>
      <c r="L247" s="33">
        <f>ROUND(MIN(MAX(0,N('Your debts'!$E$6)),B247),2)</f>
      </c>
      <c r="M247" s="33">
        <f>ROUND(MIN(MAX(0,N('Your debts'!$E$7)),C247),2)</f>
      </c>
      <c r="N247" s="33">
        <f>ROUND(MIN(MAX(0,N('Your debts'!$E$8)),D247),2)</f>
      </c>
      <c r="O247" s="33">
        <f>ROUND(MIN(MAX(0,N('Your debts'!$E$9)),E247),2)</f>
      </c>
      <c r="P247" s="33">
        <f>ROUND(MIN(MAX(0,N('Your debts'!$E$10)),F247),2)</f>
      </c>
      <c r="Q247" s="33">
        <f>ROUND(MIN(MAX(0,N('Your debts'!$E$11)),G247),2)</f>
      </c>
      <c r="R247" s="33">
        <f>ROUND(MIN(MAX(0,N('Your debts'!$E$12)),H247),2)</f>
      </c>
      <c r="S247" s="33">
        <f>ROUND(MIN(MAX(0,N('Your debts'!$E$13)),I247),2)</f>
      </c>
      <c r="T247" s="33">
        <f>ROUND(MIN(MAX(0,N('Your debts'!$E$14)),J247),2)</f>
      </c>
      <c r="U247" s="33">
        <f>ROUND(MIN(MAX(0,N('Your debts'!$E$15)),K247),2)</f>
      </c>
      <c r="V247" s="33">
        <f>ROUND(B247-L247,2)</f>
      </c>
      <c r="W247" s="33">
        <f>ROUND(C247-M247,2)</f>
      </c>
      <c r="X247" s="33">
        <f>ROUND(D247-N247,2)</f>
      </c>
      <c r="Y247" s="33">
        <f>ROUND(E247-O247,2)</f>
      </c>
      <c r="Z247" s="33">
        <f>ROUND(F247-P247,2)</f>
      </c>
      <c r="AA247" s="33">
        <f>ROUND(G247-Q247,2)</f>
      </c>
      <c r="AB247" s="33">
        <f>ROUND(H247-R247,2)</f>
      </c>
      <c r="AC247" s="33">
        <f>ROUND(I247-S247,2)</f>
      </c>
      <c r="AD247" s="33">
        <f>ROUND(J247-T247,2)</f>
      </c>
      <c r="AE247" s="33">
        <f>ROUND(K247-U247,2)</f>
      </c>
      <c r="AF247" s="33">
        <f>IF(V247&lt;=0,0,MAX(0,MIN(V247,ROUND($AZ247-SUMPRODUCT($V247:$AE247*($V247:$AE247&gt;0)*(($V247:$AE247&lt;V247)+($V247:$AE247=V247)*($V$3:$AE$3&gt;V$3)+($V247:$AE247=V247)*($V$3:$AE$3=V$3)*($V$2:$AE$2&lt;V$2))),2))))</f>
      </c>
      <c r="AG247" s="33">
        <f>IF(W247&lt;=0,0,MAX(0,MIN(W247,ROUND($AZ247-SUMPRODUCT($V247:$AE247*($V247:$AE247&gt;0)*(($V247:$AE247&lt;W247)+($V247:$AE247=W247)*($V$3:$AE$3&gt;W$3)+($V247:$AE247=W247)*($V$3:$AE$3=W$3)*($V$2:$AE$2&lt;W$2))),2))))</f>
      </c>
      <c r="AH247" s="33">
        <f>IF(X247&lt;=0,0,MAX(0,MIN(X247,ROUND($AZ247-SUMPRODUCT($V247:$AE247*($V247:$AE247&gt;0)*(($V247:$AE247&lt;X247)+($V247:$AE247=X247)*($V$3:$AE$3&gt;X$3)+($V247:$AE247=X247)*($V$3:$AE$3=X$3)*($V$2:$AE$2&lt;X$2))),2))))</f>
      </c>
      <c r="AI247" s="33">
        <f>IF(Y247&lt;=0,0,MAX(0,MIN(Y247,ROUND($AZ247-SUMPRODUCT($V247:$AE247*($V247:$AE247&gt;0)*(($V247:$AE247&lt;Y247)+($V247:$AE247=Y247)*($V$3:$AE$3&gt;Y$3)+($V247:$AE247=Y247)*($V$3:$AE$3=Y$3)*($V$2:$AE$2&lt;Y$2))),2))))</f>
      </c>
      <c r="AJ247" s="33">
        <f>IF(Z247&lt;=0,0,MAX(0,MIN(Z247,ROUND($AZ247-SUMPRODUCT($V247:$AE247*($V247:$AE247&gt;0)*(($V247:$AE247&lt;Z247)+($V247:$AE247=Z247)*($V$3:$AE$3&gt;Z$3)+($V247:$AE247=Z247)*($V$3:$AE$3=Z$3)*($V$2:$AE$2&lt;Z$2))),2))))</f>
      </c>
      <c r="AK247" s="33">
        <f>IF(AA247&lt;=0,0,MAX(0,MIN(AA247,ROUND($AZ247-SUMPRODUCT($V247:$AE247*($V247:$AE247&gt;0)*(($V247:$AE247&lt;AA247)+($V247:$AE247=AA247)*($V$3:$AE$3&gt;AA$3)+($V247:$AE247=AA247)*($V$3:$AE$3=AA$3)*($V$2:$AE$2&lt;AA$2))),2))))</f>
      </c>
      <c r="AL247" s="33">
        <f>IF(AB247&lt;=0,0,MAX(0,MIN(AB247,ROUND($AZ247-SUMPRODUCT($V247:$AE247*($V247:$AE247&gt;0)*(($V247:$AE247&lt;AB247)+($V247:$AE247=AB247)*($V$3:$AE$3&gt;AB$3)+($V247:$AE247=AB247)*($V$3:$AE$3=AB$3)*($V$2:$AE$2&lt;AB$2))),2))))</f>
      </c>
      <c r="AM247" s="33">
        <f>IF(AC247&lt;=0,0,MAX(0,MIN(AC247,ROUND($AZ247-SUMPRODUCT($V247:$AE247*($V247:$AE247&gt;0)*(($V247:$AE247&lt;AC247)+($V247:$AE247=AC247)*($V$3:$AE$3&gt;AC$3)+($V247:$AE247=AC247)*($V$3:$AE$3=AC$3)*($V$2:$AE$2&lt;AC$2))),2))))</f>
      </c>
      <c r="AN247" s="33">
        <f>IF(AD247&lt;=0,0,MAX(0,MIN(AD247,ROUND($AZ247-SUMPRODUCT($V247:$AE247*($V247:$AE247&gt;0)*(($V247:$AE247&lt;AD247)+($V247:$AE247=AD247)*($V$3:$AE$3&gt;AD$3)+($V247:$AE247=AD247)*($V$3:$AE$3=AD$3)*($V$2:$AE$2&lt;AD$2))),2))))</f>
      </c>
      <c r="AO247" s="33">
        <f>IF(AE247&lt;=0,0,MAX(0,MIN(AE247,ROUND($AZ247-SUMPRODUCT($V247:$AE247*($V247:$AE247&gt;0)*(($V247:$AE247&lt;AE247)+($V247:$AE247=AE247)*($V$3:$AE$3&gt;AE$3)+($V247:$AE247=AE247)*($V$3:$AE$3=AE$3)*($V$2:$AE$2&lt;AE$2))),2))))</f>
      </c>
      <c r="AP247" s="33">
        <f>ROUND(V247-AF247,2)</f>
      </c>
      <c r="AQ247" s="33">
        <f>ROUND(W247-AG247,2)</f>
      </c>
      <c r="AR247" s="33">
        <f>ROUND(X247-AH247,2)</f>
      </c>
      <c r="AS247" s="33">
        <f>ROUND(Y247-AI247,2)</f>
      </c>
      <c r="AT247" s="33">
        <f>ROUND(Z247-AJ247,2)</f>
      </c>
      <c r="AU247" s="33">
        <f>ROUND(AA247-AK247,2)</f>
      </c>
      <c r="AV247" s="33">
        <f>ROUND(AB247-AL247,2)</f>
      </c>
      <c r="AW247" s="33">
        <f>ROUND(AC247-AM247,2)</f>
      </c>
      <c r="AX247" s="33">
        <f>ROUND(AD247-AN247,2)</f>
      </c>
      <c r="AY247" s="33">
        <f>ROUND(AE247-AO247,2)</f>
      </c>
      <c r="AZ247" s="33">
        <f>ROUND(MAX(0,'Your debts'!$D$22-SUM($L247:$U247)),2)</f>
      </c>
      <c r="BA247" s="33">
        <f>ROUND(SUM($B247:$K247)-SUM($AP246:$AY246),2)</f>
      </c>
      <c r="BB247" s="33">
        <f>SUM($AP247:$AY247)</f>
      </c>
      <c r="BC247" s="33">
        <f>ROUND(SUM($L247:$U247)+SUM($AF247:$AO247),2)</f>
      </c>
    </row>
    <row r="248" spans="1:55" x14ac:dyDescent="0.25">
      <c r="A248">
        <v>241</v>
      </c>
      <c r="B248" s="33">
        <f>IF(AP247&lt;=0,0,ROUND(AP247+ROUND(AP247*V$3/12,2),2))</f>
      </c>
      <c r="C248" s="33">
        <f>IF(AQ247&lt;=0,0,ROUND(AQ247+ROUND(AQ247*W$3/12,2),2))</f>
      </c>
      <c r="D248" s="33">
        <f>IF(AR247&lt;=0,0,ROUND(AR247+ROUND(AR247*X$3/12,2),2))</f>
      </c>
      <c r="E248" s="33">
        <f>IF(AS247&lt;=0,0,ROUND(AS247+ROUND(AS247*Y$3/12,2),2))</f>
      </c>
      <c r="F248" s="33">
        <f>IF(AT247&lt;=0,0,ROUND(AT247+ROUND(AT247*Z$3/12,2),2))</f>
      </c>
      <c r="G248" s="33">
        <f>IF(AU247&lt;=0,0,ROUND(AU247+ROUND(AU247*AA$3/12,2),2))</f>
      </c>
      <c r="H248" s="33">
        <f>IF(AV247&lt;=0,0,ROUND(AV247+ROUND(AV247*AB$3/12,2),2))</f>
      </c>
      <c r="I248" s="33">
        <f>IF(AW247&lt;=0,0,ROUND(AW247+ROUND(AW247*AC$3/12,2),2))</f>
      </c>
      <c r="J248" s="33">
        <f>IF(AX247&lt;=0,0,ROUND(AX247+ROUND(AX247*AD$3/12,2),2))</f>
      </c>
      <c r="K248" s="33">
        <f>IF(AY247&lt;=0,0,ROUND(AY247+ROUND(AY247*AE$3/12,2),2))</f>
      </c>
      <c r="L248" s="33">
        <f>ROUND(MIN(MAX(0,N('Your debts'!$E$6)),B248),2)</f>
      </c>
      <c r="M248" s="33">
        <f>ROUND(MIN(MAX(0,N('Your debts'!$E$7)),C248),2)</f>
      </c>
      <c r="N248" s="33">
        <f>ROUND(MIN(MAX(0,N('Your debts'!$E$8)),D248),2)</f>
      </c>
      <c r="O248" s="33">
        <f>ROUND(MIN(MAX(0,N('Your debts'!$E$9)),E248),2)</f>
      </c>
      <c r="P248" s="33">
        <f>ROUND(MIN(MAX(0,N('Your debts'!$E$10)),F248),2)</f>
      </c>
      <c r="Q248" s="33">
        <f>ROUND(MIN(MAX(0,N('Your debts'!$E$11)),G248),2)</f>
      </c>
      <c r="R248" s="33">
        <f>ROUND(MIN(MAX(0,N('Your debts'!$E$12)),H248),2)</f>
      </c>
      <c r="S248" s="33">
        <f>ROUND(MIN(MAX(0,N('Your debts'!$E$13)),I248),2)</f>
      </c>
      <c r="T248" s="33">
        <f>ROUND(MIN(MAX(0,N('Your debts'!$E$14)),J248),2)</f>
      </c>
      <c r="U248" s="33">
        <f>ROUND(MIN(MAX(0,N('Your debts'!$E$15)),K248),2)</f>
      </c>
      <c r="V248" s="33">
        <f>ROUND(B248-L248,2)</f>
      </c>
      <c r="W248" s="33">
        <f>ROUND(C248-M248,2)</f>
      </c>
      <c r="X248" s="33">
        <f>ROUND(D248-N248,2)</f>
      </c>
      <c r="Y248" s="33">
        <f>ROUND(E248-O248,2)</f>
      </c>
      <c r="Z248" s="33">
        <f>ROUND(F248-P248,2)</f>
      </c>
      <c r="AA248" s="33">
        <f>ROUND(G248-Q248,2)</f>
      </c>
      <c r="AB248" s="33">
        <f>ROUND(H248-R248,2)</f>
      </c>
      <c r="AC248" s="33">
        <f>ROUND(I248-S248,2)</f>
      </c>
      <c r="AD248" s="33">
        <f>ROUND(J248-T248,2)</f>
      </c>
      <c r="AE248" s="33">
        <f>ROUND(K248-U248,2)</f>
      </c>
      <c r="AF248" s="33">
        <f>IF(V248&lt;=0,0,MAX(0,MIN(V248,ROUND($AZ248-SUMPRODUCT($V248:$AE248*($V248:$AE248&gt;0)*(($V248:$AE248&lt;V248)+($V248:$AE248=V248)*($V$3:$AE$3&gt;V$3)+($V248:$AE248=V248)*($V$3:$AE$3=V$3)*($V$2:$AE$2&lt;V$2))),2))))</f>
      </c>
      <c r="AG248" s="33">
        <f>IF(W248&lt;=0,0,MAX(0,MIN(W248,ROUND($AZ248-SUMPRODUCT($V248:$AE248*($V248:$AE248&gt;0)*(($V248:$AE248&lt;W248)+($V248:$AE248=W248)*($V$3:$AE$3&gt;W$3)+($V248:$AE248=W248)*($V$3:$AE$3=W$3)*($V$2:$AE$2&lt;W$2))),2))))</f>
      </c>
      <c r="AH248" s="33">
        <f>IF(X248&lt;=0,0,MAX(0,MIN(X248,ROUND($AZ248-SUMPRODUCT($V248:$AE248*($V248:$AE248&gt;0)*(($V248:$AE248&lt;X248)+($V248:$AE248=X248)*($V$3:$AE$3&gt;X$3)+($V248:$AE248=X248)*($V$3:$AE$3=X$3)*($V$2:$AE$2&lt;X$2))),2))))</f>
      </c>
      <c r="AI248" s="33">
        <f>IF(Y248&lt;=0,0,MAX(0,MIN(Y248,ROUND($AZ248-SUMPRODUCT($V248:$AE248*($V248:$AE248&gt;0)*(($V248:$AE248&lt;Y248)+($V248:$AE248=Y248)*($V$3:$AE$3&gt;Y$3)+($V248:$AE248=Y248)*($V$3:$AE$3=Y$3)*($V$2:$AE$2&lt;Y$2))),2))))</f>
      </c>
      <c r="AJ248" s="33">
        <f>IF(Z248&lt;=0,0,MAX(0,MIN(Z248,ROUND($AZ248-SUMPRODUCT($V248:$AE248*($V248:$AE248&gt;0)*(($V248:$AE248&lt;Z248)+($V248:$AE248=Z248)*($V$3:$AE$3&gt;Z$3)+($V248:$AE248=Z248)*($V$3:$AE$3=Z$3)*($V$2:$AE$2&lt;Z$2))),2))))</f>
      </c>
      <c r="AK248" s="33">
        <f>IF(AA248&lt;=0,0,MAX(0,MIN(AA248,ROUND($AZ248-SUMPRODUCT($V248:$AE248*($V248:$AE248&gt;0)*(($V248:$AE248&lt;AA248)+($V248:$AE248=AA248)*($V$3:$AE$3&gt;AA$3)+($V248:$AE248=AA248)*($V$3:$AE$3=AA$3)*($V$2:$AE$2&lt;AA$2))),2))))</f>
      </c>
      <c r="AL248" s="33">
        <f>IF(AB248&lt;=0,0,MAX(0,MIN(AB248,ROUND($AZ248-SUMPRODUCT($V248:$AE248*($V248:$AE248&gt;0)*(($V248:$AE248&lt;AB248)+($V248:$AE248=AB248)*($V$3:$AE$3&gt;AB$3)+($V248:$AE248=AB248)*($V$3:$AE$3=AB$3)*($V$2:$AE$2&lt;AB$2))),2))))</f>
      </c>
      <c r="AM248" s="33">
        <f>IF(AC248&lt;=0,0,MAX(0,MIN(AC248,ROUND($AZ248-SUMPRODUCT($V248:$AE248*($V248:$AE248&gt;0)*(($V248:$AE248&lt;AC248)+($V248:$AE248=AC248)*($V$3:$AE$3&gt;AC$3)+($V248:$AE248=AC248)*($V$3:$AE$3=AC$3)*($V$2:$AE$2&lt;AC$2))),2))))</f>
      </c>
      <c r="AN248" s="33">
        <f>IF(AD248&lt;=0,0,MAX(0,MIN(AD248,ROUND($AZ248-SUMPRODUCT($V248:$AE248*($V248:$AE248&gt;0)*(($V248:$AE248&lt;AD248)+($V248:$AE248=AD248)*($V$3:$AE$3&gt;AD$3)+($V248:$AE248=AD248)*($V$3:$AE$3=AD$3)*($V$2:$AE$2&lt;AD$2))),2))))</f>
      </c>
      <c r="AO248" s="33">
        <f>IF(AE248&lt;=0,0,MAX(0,MIN(AE248,ROUND($AZ248-SUMPRODUCT($V248:$AE248*($V248:$AE248&gt;0)*(($V248:$AE248&lt;AE248)+($V248:$AE248=AE248)*($V$3:$AE$3&gt;AE$3)+($V248:$AE248=AE248)*($V$3:$AE$3=AE$3)*($V$2:$AE$2&lt;AE$2))),2))))</f>
      </c>
      <c r="AP248" s="33">
        <f>ROUND(V248-AF248,2)</f>
      </c>
      <c r="AQ248" s="33">
        <f>ROUND(W248-AG248,2)</f>
      </c>
      <c r="AR248" s="33">
        <f>ROUND(X248-AH248,2)</f>
      </c>
      <c r="AS248" s="33">
        <f>ROUND(Y248-AI248,2)</f>
      </c>
      <c r="AT248" s="33">
        <f>ROUND(Z248-AJ248,2)</f>
      </c>
      <c r="AU248" s="33">
        <f>ROUND(AA248-AK248,2)</f>
      </c>
      <c r="AV248" s="33">
        <f>ROUND(AB248-AL248,2)</f>
      </c>
      <c r="AW248" s="33">
        <f>ROUND(AC248-AM248,2)</f>
      </c>
      <c r="AX248" s="33">
        <f>ROUND(AD248-AN248,2)</f>
      </c>
      <c r="AY248" s="33">
        <f>ROUND(AE248-AO248,2)</f>
      </c>
      <c r="AZ248" s="33">
        <f>ROUND(MAX(0,'Your debts'!$D$22-SUM($L248:$U248)),2)</f>
      </c>
      <c r="BA248" s="33">
        <f>ROUND(SUM($B248:$K248)-SUM($AP247:$AY247),2)</f>
      </c>
      <c r="BB248" s="33">
        <f>SUM($AP248:$AY248)</f>
      </c>
      <c r="BC248" s="33">
        <f>ROUND(SUM($L248:$U248)+SUM($AF248:$AO248),2)</f>
      </c>
    </row>
    <row r="249" spans="1:55" x14ac:dyDescent="0.25">
      <c r="A249">
        <v>242</v>
      </c>
      <c r="B249" s="33">
        <f>IF(AP248&lt;=0,0,ROUND(AP248+ROUND(AP248*V$3/12,2),2))</f>
      </c>
      <c r="C249" s="33">
        <f>IF(AQ248&lt;=0,0,ROUND(AQ248+ROUND(AQ248*W$3/12,2),2))</f>
      </c>
      <c r="D249" s="33">
        <f>IF(AR248&lt;=0,0,ROUND(AR248+ROUND(AR248*X$3/12,2),2))</f>
      </c>
      <c r="E249" s="33">
        <f>IF(AS248&lt;=0,0,ROUND(AS248+ROUND(AS248*Y$3/12,2),2))</f>
      </c>
      <c r="F249" s="33">
        <f>IF(AT248&lt;=0,0,ROUND(AT248+ROUND(AT248*Z$3/12,2),2))</f>
      </c>
      <c r="G249" s="33">
        <f>IF(AU248&lt;=0,0,ROUND(AU248+ROUND(AU248*AA$3/12,2),2))</f>
      </c>
      <c r="H249" s="33">
        <f>IF(AV248&lt;=0,0,ROUND(AV248+ROUND(AV248*AB$3/12,2),2))</f>
      </c>
      <c r="I249" s="33">
        <f>IF(AW248&lt;=0,0,ROUND(AW248+ROUND(AW248*AC$3/12,2),2))</f>
      </c>
      <c r="J249" s="33">
        <f>IF(AX248&lt;=0,0,ROUND(AX248+ROUND(AX248*AD$3/12,2),2))</f>
      </c>
      <c r="K249" s="33">
        <f>IF(AY248&lt;=0,0,ROUND(AY248+ROUND(AY248*AE$3/12,2),2))</f>
      </c>
      <c r="L249" s="33">
        <f>ROUND(MIN(MAX(0,N('Your debts'!$E$6)),B249),2)</f>
      </c>
      <c r="M249" s="33">
        <f>ROUND(MIN(MAX(0,N('Your debts'!$E$7)),C249),2)</f>
      </c>
      <c r="N249" s="33">
        <f>ROUND(MIN(MAX(0,N('Your debts'!$E$8)),D249),2)</f>
      </c>
      <c r="O249" s="33">
        <f>ROUND(MIN(MAX(0,N('Your debts'!$E$9)),E249),2)</f>
      </c>
      <c r="P249" s="33">
        <f>ROUND(MIN(MAX(0,N('Your debts'!$E$10)),F249),2)</f>
      </c>
      <c r="Q249" s="33">
        <f>ROUND(MIN(MAX(0,N('Your debts'!$E$11)),G249),2)</f>
      </c>
      <c r="R249" s="33">
        <f>ROUND(MIN(MAX(0,N('Your debts'!$E$12)),H249),2)</f>
      </c>
      <c r="S249" s="33">
        <f>ROUND(MIN(MAX(0,N('Your debts'!$E$13)),I249),2)</f>
      </c>
      <c r="T249" s="33">
        <f>ROUND(MIN(MAX(0,N('Your debts'!$E$14)),J249),2)</f>
      </c>
      <c r="U249" s="33">
        <f>ROUND(MIN(MAX(0,N('Your debts'!$E$15)),K249),2)</f>
      </c>
      <c r="V249" s="33">
        <f>ROUND(B249-L249,2)</f>
      </c>
      <c r="W249" s="33">
        <f>ROUND(C249-M249,2)</f>
      </c>
      <c r="X249" s="33">
        <f>ROUND(D249-N249,2)</f>
      </c>
      <c r="Y249" s="33">
        <f>ROUND(E249-O249,2)</f>
      </c>
      <c r="Z249" s="33">
        <f>ROUND(F249-P249,2)</f>
      </c>
      <c r="AA249" s="33">
        <f>ROUND(G249-Q249,2)</f>
      </c>
      <c r="AB249" s="33">
        <f>ROUND(H249-R249,2)</f>
      </c>
      <c r="AC249" s="33">
        <f>ROUND(I249-S249,2)</f>
      </c>
      <c r="AD249" s="33">
        <f>ROUND(J249-T249,2)</f>
      </c>
      <c r="AE249" s="33">
        <f>ROUND(K249-U249,2)</f>
      </c>
      <c r="AF249" s="33">
        <f>IF(V249&lt;=0,0,MAX(0,MIN(V249,ROUND($AZ249-SUMPRODUCT($V249:$AE249*($V249:$AE249&gt;0)*(($V249:$AE249&lt;V249)+($V249:$AE249=V249)*($V$3:$AE$3&gt;V$3)+($V249:$AE249=V249)*($V$3:$AE$3=V$3)*($V$2:$AE$2&lt;V$2))),2))))</f>
      </c>
      <c r="AG249" s="33">
        <f>IF(W249&lt;=0,0,MAX(0,MIN(W249,ROUND($AZ249-SUMPRODUCT($V249:$AE249*($V249:$AE249&gt;0)*(($V249:$AE249&lt;W249)+($V249:$AE249=W249)*($V$3:$AE$3&gt;W$3)+($V249:$AE249=W249)*($V$3:$AE$3=W$3)*($V$2:$AE$2&lt;W$2))),2))))</f>
      </c>
      <c r="AH249" s="33">
        <f>IF(X249&lt;=0,0,MAX(0,MIN(X249,ROUND($AZ249-SUMPRODUCT($V249:$AE249*($V249:$AE249&gt;0)*(($V249:$AE249&lt;X249)+($V249:$AE249=X249)*($V$3:$AE$3&gt;X$3)+($V249:$AE249=X249)*($V$3:$AE$3=X$3)*($V$2:$AE$2&lt;X$2))),2))))</f>
      </c>
      <c r="AI249" s="33">
        <f>IF(Y249&lt;=0,0,MAX(0,MIN(Y249,ROUND($AZ249-SUMPRODUCT($V249:$AE249*($V249:$AE249&gt;0)*(($V249:$AE249&lt;Y249)+($V249:$AE249=Y249)*($V$3:$AE$3&gt;Y$3)+($V249:$AE249=Y249)*($V$3:$AE$3=Y$3)*($V$2:$AE$2&lt;Y$2))),2))))</f>
      </c>
      <c r="AJ249" s="33">
        <f>IF(Z249&lt;=0,0,MAX(0,MIN(Z249,ROUND($AZ249-SUMPRODUCT($V249:$AE249*($V249:$AE249&gt;0)*(($V249:$AE249&lt;Z249)+($V249:$AE249=Z249)*($V$3:$AE$3&gt;Z$3)+($V249:$AE249=Z249)*($V$3:$AE$3=Z$3)*($V$2:$AE$2&lt;Z$2))),2))))</f>
      </c>
      <c r="AK249" s="33">
        <f>IF(AA249&lt;=0,0,MAX(0,MIN(AA249,ROUND($AZ249-SUMPRODUCT($V249:$AE249*($V249:$AE249&gt;0)*(($V249:$AE249&lt;AA249)+($V249:$AE249=AA249)*($V$3:$AE$3&gt;AA$3)+($V249:$AE249=AA249)*($V$3:$AE$3=AA$3)*($V$2:$AE$2&lt;AA$2))),2))))</f>
      </c>
      <c r="AL249" s="33">
        <f>IF(AB249&lt;=0,0,MAX(0,MIN(AB249,ROUND($AZ249-SUMPRODUCT($V249:$AE249*($V249:$AE249&gt;0)*(($V249:$AE249&lt;AB249)+($V249:$AE249=AB249)*($V$3:$AE$3&gt;AB$3)+($V249:$AE249=AB249)*($V$3:$AE$3=AB$3)*($V$2:$AE$2&lt;AB$2))),2))))</f>
      </c>
      <c r="AM249" s="33">
        <f>IF(AC249&lt;=0,0,MAX(0,MIN(AC249,ROUND($AZ249-SUMPRODUCT($V249:$AE249*($V249:$AE249&gt;0)*(($V249:$AE249&lt;AC249)+($V249:$AE249=AC249)*($V$3:$AE$3&gt;AC$3)+($V249:$AE249=AC249)*($V$3:$AE$3=AC$3)*($V$2:$AE$2&lt;AC$2))),2))))</f>
      </c>
      <c r="AN249" s="33">
        <f>IF(AD249&lt;=0,0,MAX(0,MIN(AD249,ROUND($AZ249-SUMPRODUCT($V249:$AE249*($V249:$AE249&gt;0)*(($V249:$AE249&lt;AD249)+($V249:$AE249=AD249)*($V$3:$AE$3&gt;AD$3)+($V249:$AE249=AD249)*($V$3:$AE$3=AD$3)*($V$2:$AE$2&lt;AD$2))),2))))</f>
      </c>
      <c r="AO249" s="33">
        <f>IF(AE249&lt;=0,0,MAX(0,MIN(AE249,ROUND($AZ249-SUMPRODUCT($V249:$AE249*($V249:$AE249&gt;0)*(($V249:$AE249&lt;AE249)+($V249:$AE249=AE249)*($V$3:$AE$3&gt;AE$3)+($V249:$AE249=AE249)*($V$3:$AE$3=AE$3)*($V$2:$AE$2&lt;AE$2))),2))))</f>
      </c>
      <c r="AP249" s="33">
        <f>ROUND(V249-AF249,2)</f>
      </c>
      <c r="AQ249" s="33">
        <f>ROUND(W249-AG249,2)</f>
      </c>
      <c r="AR249" s="33">
        <f>ROUND(X249-AH249,2)</f>
      </c>
      <c r="AS249" s="33">
        <f>ROUND(Y249-AI249,2)</f>
      </c>
      <c r="AT249" s="33">
        <f>ROUND(Z249-AJ249,2)</f>
      </c>
      <c r="AU249" s="33">
        <f>ROUND(AA249-AK249,2)</f>
      </c>
      <c r="AV249" s="33">
        <f>ROUND(AB249-AL249,2)</f>
      </c>
      <c r="AW249" s="33">
        <f>ROUND(AC249-AM249,2)</f>
      </c>
      <c r="AX249" s="33">
        <f>ROUND(AD249-AN249,2)</f>
      </c>
      <c r="AY249" s="33">
        <f>ROUND(AE249-AO249,2)</f>
      </c>
      <c r="AZ249" s="33">
        <f>ROUND(MAX(0,'Your debts'!$D$22-SUM($L249:$U249)),2)</f>
      </c>
      <c r="BA249" s="33">
        <f>ROUND(SUM($B249:$K249)-SUM($AP248:$AY248),2)</f>
      </c>
      <c r="BB249" s="33">
        <f>SUM($AP249:$AY249)</f>
      </c>
      <c r="BC249" s="33">
        <f>ROUND(SUM($L249:$U249)+SUM($AF249:$AO249),2)</f>
      </c>
    </row>
    <row r="250" spans="1:55" x14ac:dyDescent="0.25">
      <c r="A250">
        <v>243</v>
      </c>
      <c r="B250" s="33">
        <f>IF(AP249&lt;=0,0,ROUND(AP249+ROUND(AP249*V$3/12,2),2))</f>
      </c>
      <c r="C250" s="33">
        <f>IF(AQ249&lt;=0,0,ROUND(AQ249+ROUND(AQ249*W$3/12,2),2))</f>
      </c>
      <c r="D250" s="33">
        <f>IF(AR249&lt;=0,0,ROUND(AR249+ROUND(AR249*X$3/12,2),2))</f>
      </c>
      <c r="E250" s="33">
        <f>IF(AS249&lt;=0,0,ROUND(AS249+ROUND(AS249*Y$3/12,2),2))</f>
      </c>
      <c r="F250" s="33">
        <f>IF(AT249&lt;=0,0,ROUND(AT249+ROUND(AT249*Z$3/12,2),2))</f>
      </c>
      <c r="G250" s="33">
        <f>IF(AU249&lt;=0,0,ROUND(AU249+ROUND(AU249*AA$3/12,2),2))</f>
      </c>
      <c r="H250" s="33">
        <f>IF(AV249&lt;=0,0,ROUND(AV249+ROUND(AV249*AB$3/12,2),2))</f>
      </c>
      <c r="I250" s="33">
        <f>IF(AW249&lt;=0,0,ROUND(AW249+ROUND(AW249*AC$3/12,2),2))</f>
      </c>
      <c r="J250" s="33">
        <f>IF(AX249&lt;=0,0,ROUND(AX249+ROUND(AX249*AD$3/12,2),2))</f>
      </c>
      <c r="K250" s="33">
        <f>IF(AY249&lt;=0,0,ROUND(AY249+ROUND(AY249*AE$3/12,2),2))</f>
      </c>
      <c r="L250" s="33">
        <f>ROUND(MIN(MAX(0,N('Your debts'!$E$6)),B250),2)</f>
      </c>
      <c r="M250" s="33">
        <f>ROUND(MIN(MAX(0,N('Your debts'!$E$7)),C250),2)</f>
      </c>
      <c r="N250" s="33">
        <f>ROUND(MIN(MAX(0,N('Your debts'!$E$8)),D250),2)</f>
      </c>
      <c r="O250" s="33">
        <f>ROUND(MIN(MAX(0,N('Your debts'!$E$9)),E250),2)</f>
      </c>
      <c r="P250" s="33">
        <f>ROUND(MIN(MAX(0,N('Your debts'!$E$10)),F250),2)</f>
      </c>
      <c r="Q250" s="33">
        <f>ROUND(MIN(MAX(0,N('Your debts'!$E$11)),G250),2)</f>
      </c>
      <c r="R250" s="33">
        <f>ROUND(MIN(MAX(0,N('Your debts'!$E$12)),H250),2)</f>
      </c>
      <c r="S250" s="33">
        <f>ROUND(MIN(MAX(0,N('Your debts'!$E$13)),I250),2)</f>
      </c>
      <c r="T250" s="33">
        <f>ROUND(MIN(MAX(0,N('Your debts'!$E$14)),J250),2)</f>
      </c>
      <c r="U250" s="33">
        <f>ROUND(MIN(MAX(0,N('Your debts'!$E$15)),K250),2)</f>
      </c>
      <c r="V250" s="33">
        <f>ROUND(B250-L250,2)</f>
      </c>
      <c r="W250" s="33">
        <f>ROUND(C250-M250,2)</f>
      </c>
      <c r="X250" s="33">
        <f>ROUND(D250-N250,2)</f>
      </c>
      <c r="Y250" s="33">
        <f>ROUND(E250-O250,2)</f>
      </c>
      <c r="Z250" s="33">
        <f>ROUND(F250-P250,2)</f>
      </c>
      <c r="AA250" s="33">
        <f>ROUND(G250-Q250,2)</f>
      </c>
      <c r="AB250" s="33">
        <f>ROUND(H250-R250,2)</f>
      </c>
      <c r="AC250" s="33">
        <f>ROUND(I250-S250,2)</f>
      </c>
      <c r="AD250" s="33">
        <f>ROUND(J250-T250,2)</f>
      </c>
      <c r="AE250" s="33">
        <f>ROUND(K250-U250,2)</f>
      </c>
      <c r="AF250" s="33">
        <f>IF(V250&lt;=0,0,MAX(0,MIN(V250,ROUND($AZ250-SUMPRODUCT($V250:$AE250*($V250:$AE250&gt;0)*(($V250:$AE250&lt;V250)+($V250:$AE250=V250)*($V$3:$AE$3&gt;V$3)+($V250:$AE250=V250)*($V$3:$AE$3=V$3)*($V$2:$AE$2&lt;V$2))),2))))</f>
      </c>
      <c r="AG250" s="33">
        <f>IF(W250&lt;=0,0,MAX(0,MIN(W250,ROUND($AZ250-SUMPRODUCT($V250:$AE250*($V250:$AE250&gt;0)*(($V250:$AE250&lt;W250)+($V250:$AE250=W250)*($V$3:$AE$3&gt;W$3)+($V250:$AE250=W250)*($V$3:$AE$3=W$3)*($V$2:$AE$2&lt;W$2))),2))))</f>
      </c>
      <c r="AH250" s="33">
        <f>IF(X250&lt;=0,0,MAX(0,MIN(X250,ROUND($AZ250-SUMPRODUCT($V250:$AE250*($V250:$AE250&gt;0)*(($V250:$AE250&lt;X250)+($V250:$AE250=X250)*($V$3:$AE$3&gt;X$3)+($V250:$AE250=X250)*($V$3:$AE$3=X$3)*($V$2:$AE$2&lt;X$2))),2))))</f>
      </c>
      <c r="AI250" s="33">
        <f>IF(Y250&lt;=0,0,MAX(0,MIN(Y250,ROUND($AZ250-SUMPRODUCT($V250:$AE250*($V250:$AE250&gt;0)*(($V250:$AE250&lt;Y250)+($V250:$AE250=Y250)*($V$3:$AE$3&gt;Y$3)+($V250:$AE250=Y250)*($V$3:$AE$3=Y$3)*($V$2:$AE$2&lt;Y$2))),2))))</f>
      </c>
      <c r="AJ250" s="33">
        <f>IF(Z250&lt;=0,0,MAX(0,MIN(Z250,ROUND($AZ250-SUMPRODUCT($V250:$AE250*($V250:$AE250&gt;0)*(($V250:$AE250&lt;Z250)+($V250:$AE250=Z250)*($V$3:$AE$3&gt;Z$3)+($V250:$AE250=Z250)*($V$3:$AE$3=Z$3)*($V$2:$AE$2&lt;Z$2))),2))))</f>
      </c>
      <c r="AK250" s="33">
        <f>IF(AA250&lt;=0,0,MAX(0,MIN(AA250,ROUND($AZ250-SUMPRODUCT($V250:$AE250*($V250:$AE250&gt;0)*(($V250:$AE250&lt;AA250)+($V250:$AE250=AA250)*($V$3:$AE$3&gt;AA$3)+($V250:$AE250=AA250)*($V$3:$AE$3=AA$3)*($V$2:$AE$2&lt;AA$2))),2))))</f>
      </c>
      <c r="AL250" s="33">
        <f>IF(AB250&lt;=0,0,MAX(0,MIN(AB250,ROUND($AZ250-SUMPRODUCT($V250:$AE250*($V250:$AE250&gt;0)*(($V250:$AE250&lt;AB250)+($V250:$AE250=AB250)*($V$3:$AE$3&gt;AB$3)+($V250:$AE250=AB250)*($V$3:$AE$3=AB$3)*($V$2:$AE$2&lt;AB$2))),2))))</f>
      </c>
      <c r="AM250" s="33">
        <f>IF(AC250&lt;=0,0,MAX(0,MIN(AC250,ROUND($AZ250-SUMPRODUCT($V250:$AE250*($V250:$AE250&gt;0)*(($V250:$AE250&lt;AC250)+($V250:$AE250=AC250)*($V$3:$AE$3&gt;AC$3)+($V250:$AE250=AC250)*($V$3:$AE$3=AC$3)*($V$2:$AE$2&lt;AC$2))),2))))</f>
      </c>
      <c r="AN250" s="33">
        <f>IF(AD250&lt;=0,0,MAX(0,MIN(AD250,ROUND($AZ250-SUMPRODUCT($V250:$AE250*($V250:$AE250&gt;0)*(($V250:$AE250&lt;AD250)+($V250:$AE250=AD250)*($V$3:$AE$3&gt;AD$3)+($V250:$AE250=AD250)*($V$3:$AE$3=AD$3)*($V$2:$AE$2&lt;AD$2))),2))))</f>
      </c>
      <c r="AO250" s="33">
        <f>IF(AE250&lt;=0,0,MAX(0,MIN(AE250,ROUND($AZ250-SUMPRODUCT($V250:$AE250*($V250:$AE250&gt;0)*(($V250:$AE250&lt;AE250)+($V250:$AE250=AE250)*($V$3:$AE$3&gt;AE$3)+($V250:$AE250=AE250)*($V$3:$AE$3=AE$3)*($V$2:$AE$2&lt;AE$2))),2))))</f>
      </c>
      <c r="AP250" s="33">
        <f>ROUND(V250-AF250,2)</f>
      </c>
      <c r="AQ250" s="33">
        <f>ROUND(W250-AG250,2)</f>
      </c>
      <c r="AR250" s="33">
        <f>ROUND(X250-AH250,2)</f>
      </c>
      <c r="AS250" s="33">
        <f>ROUND(Y250-AI250,2)</f>
      </c>
      <c r="AT250" s="33">
        <f>ROUND(Z250-AJ250,2)</f>
      </c>
      <c r="AU250" s="33">
        <f>ROUND(AA250-AK250,2)</f>
      </c>
      <c r="AV250" s="33">
        <f>ROUND(AB250-AL250,2)</f>
      </c>
      <c r="AW250" s="33">
        <f>ROUND(AC250-AM250,2)</f>
      </c>
      <c r="AX250" s="33">
        <f>ROUND(AD250-AN250,2)</f>
      </c>
      <c r="AY250" s="33">
        <f>ROUND(AE250-AO250,2)</f>
      </c>
      <c r="AZ250" s="33">
        <f>ROUND(MAX(0,'Your debts'!$D$22-SUM($L250:$U250)),2)</f>
      </c>
      <c r="BA250" s="33">
        <f>ROUND(SUM($B250:$K250)-SUM($AP249:$AY249),2)</f>
      </c>
      <c r="BB250" s="33">
        <f>SUM($AP250:$AY250)</f>
      </c>
      <c r="BC250" s="33">
        <f>ROUND(SUM($L250:$U250)+SUM($AF250:$AO250),2)</f>
      </c>
    </row>
    <row r="251" spans="1:55" x14ac:dyDescent="0.25">
      <c r="A251">
        <v>244</v>
      </c>
      <c r="B251" s="33">
        <f>IF(AP250&lt;=0,0,ROUND(AP250+ROUND(AP250*V$3/12,2),2))</f>
      </c>
      <c r="C251" s="33">
        <f>IF(AQ250&lt;=0,0,ROUND(AQ250+ROUND(AQ250*W$3/12,2),2))</f>
      </c>
      <c r="D251" s="33">
        <f>IF(AR250&lt;=0,0,ROUND(AR250+ROUND(AR250*X$3/12,2),2))</f>
      </c>
      <c r="E251" s="33">
        <f>IF(AS250&lt;=0,0,ROUND(AS250+ROUND(AS250*Y$3/12,2),2))</f>
      </c>
      <c r="F251" s="33">
        <f>IF(AT250&lt;=0,0,ROUND(AT250+ROUND(AT250*Z$3/12,2),2))</f>
      </c>
      <c r="G251" s="33">
        <f>IF(AU250&lt;=0,0,ROUND(AU250+ROUND(AU250*AA$3/12,2),2))</f>
      </c>
      <c r="H251" s="33">
        <f>IF(AV250&lt;=0,0,ROUND(AV250+ROUND(AV250*AB$3/12,2),2))</f>
      </c>
      <c r="I251" s="33">
        <f>IF(AW250&lt;=0,0,ROUND(AW250+ROUND(AW250*AC$3/12,2),2))</f>
      </c>
      <c r="J251" s="33">
        <f>IF(AX250&lt;=0,0,ROUND(AX250+ROUND(AX250*AD$3/12,2),2))</f>
      </c>
      <c r="K251" s="33">
        <f>IF(AY250&lt;=0,0,ROUND(AY250+ROUND(AY250*AE$3/12,2),2))</f>
      </c>
      <c r="L251" s="33">
        <f>ROUND(MIN(MAX(0,N('Your debts'!$E$6)),B251),2)</f>
      </c>
      <c r="M251" s="33">
        <f>ROUND(MIN(MAX(0,N('Your debts'!$E$7)),C251),2)</f>
      </c>
      <c r="N251" s="33">
        <f>ROUND(MIN(MAX(0,N('Your debts'!$E$8)),D251),2)</f>
      </c>
      <c r="O251" s="33">
        <f>ROUND(MIN(MAX(0,N('Your debts'!$E$9)),E251),2)</f>
      </c>
      <c r="P251" s="33">
        <f>ROUND(MIN(MAX(0,N('Your debts'!$E$10)),F251),2)</f>
      </c>
      <c r="Q251" s="33">
        <f>ROUND(MIN(MAX(0,N('Your debts'!$E$11)),G251),2)</f>
      </c>
      <c r="R251" s="33">
        <f>ROUND(MIN(MAX(0,N('Your debts'!$E$12)),H251),2)</f>
      </c>
      <c r="S251" s="33">
        <f>ROUND(MIN(MAX(0,N('Your debts'!$E$13)),I251),2)</f>
      </c>
      <c r="T251" s="33">
        <f>ROUND(MIN(MAX(0,N('Your debts'!$E$14)),J251),2)</f>
      </c>
      <c r="U251" s="33">
        <f>ROUND(MIN(MAX(0,N('Your debts'!$E$15)),K251),2)</f>
      </c>
      <c r="V251" s="33">
        <f>ROUND(B251-L251,2)</f>
      </c>
      <c r="W251" s="33">
        <f>ROUND(C251-M251,2)</f>
      </c>
      <c r="X251" s="33">
        <f>ROUND(D251-N251,2)</f>
      </c>
      <c r="Y251" s="33">
        <f>ROUND(E251-O251,2)</f>
      </c>
      <c r="Z251" s="33">
        <f>ROUND(F251-P251,2)</f>
      </c>
      <c r="AA251" s="33">
        <f>ROUND(G251-Q251,2)</f>
      </c>
      <c r="AB251" s="33">
        <f>ROUND(H251-R251,2)</f>
      </c>
      <c r="AC251" s="33">
        <f>ROUND(I251-S251,2)</f>
      </c>
      <c r="AD251" s="33">
        <f>ROUND(J251-T251,2)</f>
      </c>
      <c r="AE251" s="33">
        <f>ROUND(K251-U251,2)</f>
      </c>
      <c r="AF251" s="33">
        <f>IF(V251&lt;=0,0,MAX(0,MIN(V251,ROUND($AZ251-SUMPRODUCT($V251:$AE251*($V251:$AE251&gt;0)*(($V251:$AE251&lt;V251)+($V251:$AE251=V251)*($V$3:$AE$3&gt;V$3)+($V251:$AE251=V251)*($V$3:$AE$3=V$3)*($V$2:$AE$2&lt;V$2))),2))))</f>
      </c>
      <c r="AG251" s="33">
        <f>IF(W251&lt;=0,0,MAX(0,MIN(W251,ROUND($AZ251-SUMPRODUCT($V251:$AE251*($V251:$AE251&gt;0)*(($V251:$AE251&lt;W251)+($V251:$AE251=W251)*($V$3:$AE$3&gt;W$3)+($V251:$AE251=W251)*($V$3:$AE$3=W$3)*($V$2:$AE$2&lt;W$2))),2))))</f>
      </c>
      <c r="AH251" s="33">
        <f>IF(X251&lt;=0,0,MAX(0,MIN(X251,ROUND($AZ251-SUMPRODUCT($V251:$AE251*($V251:$AE251&gt;0)*(($V251:$AE251&lt;X251)+($V251:$AE251=X251)*($V$3:$AE$3&gt;X$3)+($V251:$AE251=X251)*($V$3:$AE$3=X$3)*($V$2:$AE$2&lt;X$2))),2))))</f>
      </c>
      <c r="AI251" s="33">
        <f>IF(Y251&lt;=0,0,MAX(0,MIN(Y251,ROUND($AZ251-SUMPRODUCT($V251:$AE251*($V251:$AE251&gt;0)*(($V251:$AE251&lt;Y251)+($V251:$AE251=Y251)*($V$3:$AE$3&gt;Y$3)+($V251:$AE251=Y251)*($V$3:$AE$3=Y$3)*($V$2:$AE$2&lt;Y$2))),2))))</f>
      </c>
      <c r="AJ251" s="33">
        <f>IF(Z251&lt;=0,0,MAX(0,MIN(Z251,ROUND($AZ251-SUMPRODUCT($V251:$AE251*($V251:$AE251&gt;0)*(($V251:$AE251&lt;Z251)+($V251:$AE251=Z251)*($V$3:$AE$3&gt;Z$3)+($V251:$AE251=Z251)*($V$3:$AE$3=Z$3)*($V$2:$AE$2&lt;Z$2))),2))))</f>
      </c>
      <c r="AK251" s="33">
        <f>IF(AA251&lt;=0,0,MAX(0,MIN(AA251,ROUND($AZ251-SUMPRODUCT($V251:$AE251*($V251:$AE251&gt;0)*(($V251:$AE251&lt;AA251)+($V251:$AE251=AA251)*($V$3:$AE$3&gt;AA$3)+($V251:$AE251=AA251)*($V$3:$AE$3=AA$3)*($V$2:$AE$2&lt;AA$2))),2))))</f>
      </c>
      <c r="AL251" s="33">
        <f>IF(AB251&lt;=0,0,MAX(0,MIN(AB251,ROUND($AZ251-SUMPRODUCT($V251:$AE251*($V251:$AE251&gt;0)*(($V251:$AE251&lt;AB251)+($V251:$AE251=AB251)*($V$3:$AE$3&gt;AB$3)+($V251:$AE251=AB251)*($V$3:$AE$3=AB$3)*($V$2:$AE$2&lt;AB$2))),2))))</f>
      </c>
      <c r="AM251" s="33">
        <f>IF(AC251&lt;=0,0,MAX(0,MIN(AC251,ROUND($AZ251-SUMPRODUCT($V251:$AE251*($V251:$AE251&gt;0)*(($V251:$AE251&lt;AC251)+($V251:$AE251=AC251)*($V$3:$AE$3&gt;AC$3)+($V251:$AE251=AC251)*($V$3:$AE$3=AC$3)*($V$2:$AE$2&lt;AC$2))),2))))</f>
      </c>
      <c r="AN251" s="33">
        <f>IF(AD251&lt;=0,0,MAX(0,MIN(AD251,ROUND($AZ251-SUMPRODUCT($V251:$AE251*($V251:$AE251&gt;0)*(($V251:$AE251&lt;AD251)+($V251:$AE251=AD251)*($V$3:$AE$3&gt;AD$3)+($V251:$AE251=AD251)*($V$3:$AE$3=AD$3)*($V$2:$AE$2&lt;AD$2))),2))))</f>
      </c>
      <c r="AO251" s="33">
        <f>IF(AE251&lt;=0,0,MAX(0,MIN(AE251,ROUND($AZ251-SUMPRODUCT($V251:$AE251*($V251:$AE251&gt;0)*(($V251:$AE251&lt;AE251)+($V251:$AE251=AE251)*($V$3:$AE$3&gt;AE$3)+($V251:$AE251=AE251)*($V$3:$AE$3=AE$3)*($V$2:$AE$2&lt;AE$2))),2))))</f>
      </c>
      <c r="AP251" s="33">
        <f>ROUND(V251-AF251,2)</f>
      </c>
      <c r="AQ251" s="33">
        <f>ROUND(W251-AG251,2)</f>
      </c>
      <c r="AR251" s="33">
        <f>ROUND(X251-AH251,2)</f>
      </c>
      <c r="AS251" s="33">
        <f>ROUND(Y251-AI251,2)</f>
      </c>
      <c r="AT251" s="33">
        <f>ROUND(Z251-AJ251,2)</f>
      </c>
      <c r="AU251" s="33">
        <f>ROUND(AA251-AK251,2)</f>
      </c>
      <c r="AV251" s="33">
        <f>ROUND(AB251-AL251,2)</f>
      </c>
      <c r="AW251" s="33">
        <f>ROUND(AC251-AM251,2)</f>
      </c>
      <c r="AX251" s="33">
        <f>ROUND(AD251-AN251,2)</f>
      </c>
      <c r="AY251" s="33">
        <f>ROUND(AE251-AO251,2)</f>
      </c>
      <c r="AZ251" s="33">
        <f>ROUND(MAX(0,'Your debts'!$D$22-SUM($L251:$U251)),2)</f>
      </c>
      <c r="BA251" s="33">
        <f>ROUND(SUM($B251:$K251)-SUM($AP250:$AY250),2)</f>
      </c>
      <c r="BB251" s="33">
        <f>SUM($AP251:$AY251)</f>
      </c>
      <c r="BC251" s="33">
        <f>ROUND(SUM($L251:$U251)+SUM($AF251:$AO251),2)</f>
      </c>
    </row>
    <row r="252" spans="1:55" x14ac:dyDescent="0.25">
      <c r="A252">
        <v>245</v>
      </c>
      <c r="B252" s="33">
        <f>IF(AP251&lt;=0,0,ROUND(AP251+ROUND(AP251*V$3/12,2),2))</f>
      </c>
      <c r="C252" s="33">
        <f>IF(AQ251&lt;=0,0,ROUND(AQ251+ROUND(AQ251*W$3/12,2),2))</f>
      </c>
      <c r="D252" s="33">
        <f>IF(AR251&lt;=0,0,ROUND(AR251+ROUND(AR251*X$3/12,2),2))</f>
      </c>
      <c r="E252" s="33">
        <f>IF(AS251&lt;=0,0,ROUND(AS251+ROUND(AS251*Y$3/12,2),2))</f>
      </c>
      <c r="F252" s="33">
        <f>IF(AT251&lt;=0,0,ROUND(AT251+ROUND(AT251*Z$3/12,2),2))</f>
      </c>
      <c r="G252" s="33">
        <f>IF(AU251&lt;=0,0,ROUND(AU251+ROUND(AU251*AA$3/12,2),2))</f>
      </c>
      <c r="H252" s="33">
        <f>IF(AV251&lt;=0,0,ROUND(AV251+ROUND(AV251*AB$3/12,2),2))</f>
      </c>
      <c r="I252" s="33">
        <f>IF(AW251&lt;=0,0,ROUND(AW251+ROUND(AW251*AC$3/12,2),2))</f>
      </c>
      <c r="J252" s="33">
        <f>IF(AX251&lt;=0,0,ROUND(AX251+ROUND(AX251*AD$3/12,2),2))</f>
      </c>
      <c r="K252" s="33">
        <f>IF(AY251&lt;=0,0,ROUND(AY251+ROUND(AY251*AE$3/12,2),2))</f>
      </c>
      <c r="L252" s="33">
        <f>ROUND(MIN(MAX(0,N('Your debts'!$E$6)),B252),2)</f>
      </c>
      <c r="M252" s="33">
        <f>ROUND(MIN(MAX(0,N('Your debts'!$E$7)),C252),2)</f>
      </c>
      <c r="N252" s="33">
        <f>ROUND(MIN(MAX(0,N('Your debts'!$E$8)),D252),2)</f>
      </c>
      <c r="O252" s="33">
        <f>ROUND(MIN(MAX(0,N('Your debts'!$E$9)),E252),2)</f>
      </c>
      <c r="P252" s="33">
        <f>ROUND(MIN(MAX(0,N('Your debts'!$E$10)),F252),2)</f>
      </c>
      <c r="Q252" s="33">
        <f>ROUND(MIN(MAX(0,N('Your debts'!$E$11)),G252),2)</f>
      </c>
      <c r="R252" s="33">
        <f>ROUND(MIN(MAX(0,N('Your debts'!$E$12)),H252),2)</f>
      </c>
      <c r="S252" s="33">
        <f>ROUND(MIN(MAX(0,N('Your debts'!$E$13)),I252),2)</f>
      </c>
      <c r="T252" s="33">
        <f>ROUND(MIN(MAX(0,N('Your debts'!$E$14)),J252),2)</f>
      </c>
      <c r="U252" s="33">
        <f>ROUND(MIN(MAX(0,N('Your debts'!$E$15)),K252),2)</f>
      </c>
      <c r="V252" s="33">
        <f>ROUND(B252-L252,2)</f>
      </c>
      <c r="W252" s="33">
        <f>ROUND(C252-M252,2)</f>
      </c>
      <c r="X252" s="33">
        <f>ROUND(D252-N252,2)</f>
      </c>
      <c r="Y252" s="33">
        <f>ROUND(E252-O252,2)</f>
      </c>
      <c r="Z252" s="33">
        <f>ROUND(F252-P252,2)</f>
      </c>
      <c r="AA252" s="33">
        <f>ROUND(G252-Q252,2)</f>
      </c>
      <c r="AB252" s="33">
        <f>ROUND(H252-R252,2)</f>
      </c>
      <c r="AC252" s="33">
        <f>ROUND(I252-S252,2)</f>
      </c>
      <c r="AD252" s="33">
        <f>ROUND(J252-T252,2)</f>
      </c>
      <c r="AE252" s="33">
        <f>ROUND(K252-U252,2)</f>
      </c>
      <c r="AF252" s="33">
        <f>IF(V252&lt;=0,0,MAX(0,MIN(V252,ROUND($AZ252-SUMPRODUCT($V252:$AE252*($V252:$AE252&gt;0)*(($V252:$AE252&lt;V252)+($V252:$AE252=V252)*($V$3:$AE$3&gt;V$3)+($V252:$AE252=V252)*($V$3:$AE$3=V$3)*($V$2:$AE$2&lt;V$2))),2))))</f>
      </c>
      <c r="AG252" s="33">
        <f>IF(W252&lt;=0,0,MAX(0,MIN(W252,ROUND($AZ252-SUMPRODUCT($V252:$AE252*($V252:$AE252&gt;0)*(($V252:$AE252&lt;W252)+($V252:$AE252=W252)*($V$3:$AE$3&gt;W$3)+($V252:$AE252=W252)*($V$3:$AE$3=W$3)*($V$2:$AE$2&lt;W$2))),2))))</f>
      </c>
      <c r="AH252" s="33">
        <f>IF(X252&lt;=0,0,MAX(0,MIN(X252,ROUND($AZ252-SUMPRODUCT($V252:$AE252*($V252:$AE252&gt;0)*(($V252:$AE252&lt;X252)+($V252:$AE252=X252)*($V$3:$AE$3&gt;X$3)+($V252:$AE252=X252)*($V$3:$AE$3=X$3)*($V$2:$AE$2&lt;X$2))),2))))</f>
      </c>
      <c r="AI252" s="33">
        <f>IF(Y252&lt;=0,0,MAX(0,MIN(Y252,ROUND($AZ252-SUMPRODUCT($V252:$AE252*($V252:$AE252&gt;0)*(($V252:$AE252&lt;Y252)+($V252:$AE252=Y252)*($V$3:$AE$3&gt;Y$3)+($V252:$AE252=Y252)*($V$3:$AE$3=Y$3)*($V$2:$AE$2&lt;Y$2))),2))))</f>
      </c>
      <c r="AJ252" s="33">
        <f>IF(Z252&lt;=0,0,MAX(0,MIN(Z252,ROUND($AZ252-SUMPRODUCT($V252:$AE252*($V252:$AE252&gt;0)*(($V252:$AE252&lt;Z252)+($V252:$AE252=Z252)*($V$3:$AE$3&gt;Z$3)+($V252:$AE252=Z252)*($V$3:$AE$3=Z$3)*($V$2:$AE$2&lt;Z$2))),2))))</f>
      </c>
      <c r="AK252" s="33">
        <f>IF(AA252&lt;=0,0,MAX(0,MIN(AA252,ROUND($AZ252-SUMPRODUCT($V252:$AE252*($V252:$AE252&gt;0)*(($V252:$AE252&lt;AA252)+($V252:$AE252=AA252)*($V$3:$AE$3&gt;AA$3)+($V252:$AE252=AA252)*($V$3:$AE$3=AA$3)*($V$2:$AE$2&lt;AA$2))),2))))</f>
      </c>
      <c r="AL252" s="33">
        <f>IF(AB252&lt;=0,0,MAX(0,MIN(AB252,ROUND($AZ252-SUMPRODUCT($V252:$AE252*($V252:$AE252&gt;0)*(($V252:$AE252&lt;AB252)+($V252:$AE252=AB252)*($V$3:$AE$3&gt;AB$3)+($V252:$AE252=AB252)*($V$3:$AE$3=AB$3)*($V$2:$AE$2&lt;AB$2))),2))))</f>
      </c>
      <c r="AM252" s="33">
        <f>IF(AC252&lt;=0,0,MAX(0,MIN(AC252,ROUND($AZ252-SUMPRODUCT($V252:$AE252*($V252:$AE252&gt;0)*(($V252:$AE252&lt;AC252)+($V252:$AE252=AC252)*($V$3:$AE$3&gt;AC$3)+($V252:$AE252=AC252)*($V$3:$AE$3=AC$3)*($V$2:$AE$2&lt;AC$2))),2))))</f>
      </c>
      <c r="AN252" s="33">
        <f>IF(AD252&lt;=0,0,MAX(0,MIN(AD252,ROUND($AZ252-SUMPRODUCT($V252:$AE252*($V252:$AE252&gt;0)*(($V252:$AE252&lt;AD252)+($V252:$AE252=AD252)*($V$3:$AE$3&gt;AD$3)+($V252:$AE252=AD252)*($V$3:$AE$3=AD$3)*($V$2:$AE$2&lt;AD$2))),2))))</f>
      </c>
      <c r="AO252" s="33">
        <f>IF(AE252&lt;=0,0,MAX(0,MIN(AE252,ROUND($AZ252-SUMPRODUCT($V252:$AE252*($V252:$AE252&gt;0)*(($V252:$AE252&lt;AE252)+($V252:$AE252=AE252)*($V$3:$AE$3&gt;AE$3)+($V252:$AE252=AE252)*($V$3:$AE$3=AE$3)*($V$2:$AE$2&lt;AE$2))),2))))</f>
      </c>
      <c r="AP252" s="33">
        <f>ROUND(V252-AF252,2)</f>
      </c>
      <c r="AQ252" s="33">
        <f>ROUND(W252-AG252,2)</f>
      </c>
      <c r="AR252" s="33">
        <f>ROUND(X252-AH252,2)</f>
      </c>
      <c r="AS252" s="33">
        <f>ROUND(Y252-AI252,2)</f>
      </c>
      <c r="AT252" s="33">
        <f>ROUND(Z252-AJ252,2)</f>
      </c>
      <c r="AU252" s="33">
        <f>ROUND(AA252-AK252,2)</f>
      </c>
      <c r="AV252" s="33">
        <f>ROUND(AB252-AL252,2)</f>
      </c>
      <c r="AW252" s="33">
        <f>ROUND(AC252-AM252,2)</f>
      </c>
      <c r="AX252" s="33">
        <f>ROUND(AD252-AN252,2)</f>
      </c>
      <c r="AY252" s="33">
        <f>ROUND(AE252-AO252,2)</f>
      </c>
      <c r="AZ252" s="33">
        <f>ROUND(MAX(0,'Your debts'!$D$22-SUM($L252:$U252)),2)</f>
      </c>
      <c r="BA252" s="33">
        <f>ROUND(SUM($B252:$K252)-SUM($AP251:$AY251),2)</f>
      </c>
      <c r="BB252" s="33">
        <f>SUM($AP252:$AY252)</f>
      </c>
      <c r="BC252" s="33">
        <f>ROUND(SUM($L252:$U252)+SUM($AF252:$AO252),2)</f>
      </c>
    </row>
    <row r="253" spans="1:55" x14ac:dyDescent="0.25">
      <c r="A253">
        <v>246</v>
      </c>
      <c r="B253" s="33">
        <f>IF(AP252&lt;=0,0,ROUND(AP252+ROUND(AP252*V$3/12,2),2))</f>
      </c>
      <c r="C253" s="33">
        <f>IF(AQ252&lt;=0,0,ROUND(AQ252+ROUND(AQ252*W$3/12,2),2))</f>
      </c>
      <c r="D253" s="33">
        <f>IF(AR252&lt;=0,0,ROUND(AR252+ROUND(AR252*X$3/12,2),2))</f>
      </c>
      <c r="E253" s="33">
        <f>IF(AS252&lt;=0,0,ROUND(AS252+ROUND(AS252*Y$3/12,2),2))</f>
      </c>
      <c r="F253" s="33">
        <f>IF(AT252&lt;=0,0,ROUND(AT252+ROUND(AT252*Z$3/12,2),2))</f>
      </c>
      <c r="G253" s="33">
        <f>IF(AU252&lt;=0,0,ROUND(AU252+ROUND(AU252*AA$3/12,2),2))</f>
      </c>
      <c r="H253" s="33">
        <f>IF(AV252&lt;=0,0,ROUND(AV252+ROUND(AV252*AB$3/12,2),2))</f>
      </c>
      <c r="I253" s="33">
        <f>IF(AW252&lt;=0,0,ROUND(AW252+ROUND(AW252*AC$3/12,2),2))</f>
      </c>
      <c r="J253" s="33">
        <f>IF(AX252&lt;=0,0,ROUND(AX252+ROUND(AX252*AD$3/12,2),2))</f>
      </c>
      <c r="K253" s="33">
        <f>IF(AY252&lt;=0,0,ROUND(AY252+ROUND(AY252*AE$3/12,2),2))</f>
      </c>
      <c r="L253" s="33">
        <f>ROUND(MIN(MAX(0,N('Your debts'!$E$6)),B253),2)</f>
      </c>
      <c r="M253" s="33">
        <f>ROUND(MIN(MAX(0,N('Your debts'!$E$7)),C253),2)</f>
      </c>
      <c r="N253" s="33">
        <f>ROUND(MIN(MAX(0,N('Your debts'!$E$8)),D253),2)</f>
      </c>
      <c r="O253" s="33">
        <f>ROUND(MIN(MAX(0,N('Your debts'!$E$9)),E253),2)</f>
      </c>
      <c r="P253" s="33">
        <f>ROUND(MIN(MAX(0,N('Your debts'!$E$10)),F253),2)</f>
      </c>
      <c r="Q253" s="33">
        <f>ROUND(MIN(MAX(0,N('Your debts'!$E$11)),G253),2)</f>
      </c>
      <c r="R253" s="33">
        <f>ROUND(MIN(MAX(0,N('Your debts'!$E$12)),H253),2)</f>
      </c>
      <c r="S253" s="33">
        <f>ROUND(MIN(MAX(0,N('Your debts'!$E$13)),I253),2)</f>
      </c>
      <c r="T253" s="33">
        <f>ROUND(MIN(MAX(0,N('Your debts'!$E$14)),J253),2)</f>
      </c>
      <c r="U253" s="33">
        <f>ROUND(MIN(MAX(0,N('Your debts'!$E$15)),K253),2)</f>
      </c>
      <c r="V253" s="33">
        <f>ROUND(B253-L253,2)</f>
      </c>
      <c r="W253" s="33">
        <f>ROUND(C253-M253,2)</f>
      </c>
      <c r="X253" s="33">
        <f>ROUND(D253-N253,2)</f>
      </c>
      <c r="Y253" s="33">
        <f>ROUND(E253-O253,2)</f>
      </c>
      <c r="Z253" s="33">
        <f>ROUND(F253-P253,2)</f>
      </c>
      <c r="AA253" s="33">
        <f>ROUND(G253-Q253,2)</f>
      </c>
      <c r="AB253" s="33">
        <f>ROUND(H253-R253,2)</f>
      </c>
      <c r="AC253" s="33">
        <f>ROUND(I253-S253,2)</f>
      </c>
      <c r="AD253" s="33">
        <f>ROUND(J253-T253,2)</f>
      </c>
      <c r="AE253" s="33">
        <f>ROUND(K253-U253,2)</f>
      </c>
      <c r="AF253" s="33">
        <f>IF(V253&lt;=0,0,MAX(0,MIN(V253,ROUND($AZ253-SUMPRODUCT($V253:$AE253*($V253:$AE253&gt;0)*(($V253:$AE253&lt;V253)+($V253:$AE253=V253)*($V$3:$AE$3&gt;V$3)+($V253:$AE253=V253)*($V$3:$AE$3=V$3)*($V$2:$AE$2&lt;V$2))),2))))</f>
      </c>
      <c r="AG253" s="33">
        <f>IF(W253&lt;=0,0,MAX(0,MIN(W253,ROUND($AZ253-SUMPRODUCT($V253:$AE253*($V253:$AE253&gt;0)*(($V253:$AE253&lt;W253)+($V253:$AE253=W253)*($V$3:$AE$3&gt;W$3)+($V253:$AE253=W253)*($V$3:$AE$3=W$3)*($V$2:$AE$2&lt;W$2))),2))))</f>
      </c>
      <c r="AH253" s="33">
        <f>IF(X253&lt;=0,0,MAX(0,MIN(X253,ROUND($AZ253-SUMPRODUCT($V253:$AE253*($V253:$AE253&gt;0)*(($V253:$AE253&lt;X253)+($V253:$AE253=X253)*($V$3:$AE$3&gt;X$3)+($V253:$AE253=X253)*($V$3:$AE$3=X$3)*($V$2:$AE$2&lt;X$2))),2))))</f>
      </c>
      <c r="AI253" s="33">
        <f>IF(Y253&lt;=0,0,MAX(0,MIN(Y253,ROUND($AZ253-SUMPRODUCT($V253:$AE253*($V253:$AE253&gt;0)*(($V253:$AE253&lt;Y253)+($V253:$AE253=Y253)*($V$3:$AE$3&gt;Y$3)+($V253:$AE253=Y253)*($V$3:$AE$3=Y$3)*($V$2:$AE$2&lt;Y$2))),2))))</f>
      </c>
      <c r="AJ253" s="33">
        <f>IF(Z253&lt;=0,0,MAX(0,MIN(Z253,ROUND($AZ253-SUMPRODUCT($V253:$AE253*($V253:$AE253&gt;0)*(($V253:$AE253&lt;Z253)+($V253:$AE253=Z253)*($V$3:$AE$3&gt;Z$3)+($V253:$AE253=Z253)*($V$3:$AE$3=Z$3)*($V$2:$AE$2&lt;Z$2))),2))))</f>
      </c>
      <c r="AK253" s="33">
        <f>IF(AA253&lt;=0,0,MAX(0,MIN(AA253,ROUND($AZ253-SUMPRODUCT($V253:$AE253*($V253:$AE253&gt;0)*(($V253:$AE253&lt;AA253)+($V253:$AE253=AA253)*($V$3:$AE$3&gt;AA$3)+($V253:$AE253=AA253)*($V$3:$AE$3=AA$3)*($V$2:$AE$2&lt;AA$2))),2))))</f>
      </c>
      <c r="AL253" s="33">
        <f>IF(AB253&lt;=0,0,MAX(0,MIN(AB253,ROUND($AZ253-SUMPRODUCT($V253:$AE253*($V253:$AE253&gt;0)*(($V253:$AE253&lt;AB253)+($V253:$AE253=AB253)*($V$3:$AE$3&gt;AB$3)+($V253:$AE253=AB253)*($V$3:$AE$3=AB$3)*($V$2:$AE$2&lt;AB$2))),2))))</f>
      </c>
      <c r="AM253" s="33">
        <f>IF(AC253&lt;=0,0,MAX(0,MIN(AC253,ROUND($AZ253-SUMPRODUCT($V253:$AE253*($V253:$AE253&gt;0)*(($V253:$AE253&lt;AC253)+($V253:$AE253=AC253)*($V$3:$AE$3&gt;AC$3)+($V253:$AE253=AC253)*($V$3:$AE$3=AC$3)*($V$2:$AE$2&lt;AC$2))),2))))</f>
      </c>
      <c r="AN253" s="33">
        <f>IF(AD253&lt;=0,0,MAX(0,MIN(AD253,ROUND($AZ253-SUMPRODUCT($V253:$AE253*($V253:$AE253&gt;0)*(($V253:$AE253&lt;AD253)+($V253:$AE253=AD253)*($V$3:$AE$3&gt;AD$3)+($V253:$AE253=AD253)*($V$3:$AE$3=AD$3)*($V$2:$AE$2&lt;AD$2))),2))))</f>
      </c>
      <c r="AO253" s="33">
        <f>IF(AE253&lt;=0,0,MAX(0,MIN(AE253,ROUND($AZ253-SUMPRODUCT($V253:$AE253*($V253:$AE253&gt;0)*(($V253:$AE253&lt;AE253)+($V253:$AE253=AE253)*($V$3:$AE$3&gt;AE$3)+($V253:$AE253=AE253)*($V$3:$AE$3=AE$3)*($V$2:$AE$2&lt;AE$2))),2))))</f>
      </c>
      <c r="AP253" s="33">
        <f>ROUND(V253-AF253,2)</f>
      </c>
      <c r="AQ253" s="33">
        <f>ROUND(W253-AG253,2)</f>
      </c>
      <c r="AR253" s="33">
        <f>ROUND(X253-AH253,2)</f>
      </c>
      <c r="AS253" s="33">
        <f>ROUND(Y253-AI253,2)</f>
      </c>
      <c r="AT253" s="33">
        <f>ROUND(Z253-AJ253,2)</f>
      </c>
      <c r="AU253" s="33">
        <f>ROUND(AA253-AK253,2)</f>
      </c>
      <c r="AV253" s="33">
        <f>ROUND(AB253-AL253,2)</f>
      </c>
      <c r="AW253" s="33">
        <f>ROUND(AC253-AM253,2)</f>
      </c>
      <c r="AX253" s="33">
        <f>ROUND(AD253-AN253,2)</f>
      </c>
      <c r="AY253" s="33">
        <f>ROUND(AE253-AO253,2)</f>
      </c>
      <c r="AZ253" s="33">
        <f>ROUND(MAX(0,'Your debts'!$D$22-SUM($L253:$U253)),2)</f>
      </c>
      <c r="BA253" s="33">
        <f>ROUND(SUM($B253:$K253)-SUM($AP252:$AY252),2)</f>
      </c>
      <c r="BB253" s="33">
        <f>SUM($AP253:$AY253)</f>
      </c>
      <c r="BC253" s="33">
        <f>ROUND(SUM($L253:$U253)+SUM($AF253:$AO253),2)</f>
      </c>
    </row>
    <row r="254" spans="1:55" x14ac:dyDescent="0.25">
      <c r="A254">
        <v>247</v>
      </c>
      <c r="B254" s="33">
        <f>IF(AP253&lt;=0,0,ROUND(AP253+ROUND(AP253*V$3/12,2),2))</f>
      </c>
      <c r="C254" s="33">
        <f>IF(AQ253&lt;=0,0,ROUND(AQ253+ROUND(AQ253*W$3/12,2),2))</f>
      </c>
      <c r="D254" s="33">
        <f>IF(AR253&lt;=0,0,ROUND(AR253+ROUND(AR253*X$3/12,2),2))</f>
      </c>
      <c r="E254" s="33">
        <f>IF(AS253&lt;=0,0,ROUND(AS253+ROUND(AS253*Y$3/12,2),2))</f>
      </c>
      <c r="F254" s="33">
        <f>IF(AT253&lt;=0,0,ROUND(AT253+ROUND(AT253*Z$3/12,2),2))</f>
      </c>
      <c r="G254" s="33">
        <f>IF(AU253&lt;=0,0,ROUND(AU253+ROUND(AU253*AA$3/12,2),2))</f>
      </c>
      <c r="H254" s="33">
        <f>IF(AV253&lt;=0,0,ROUND(AV253+ROUND(AV253*AB$3/12,2),2))</f>
      </c>
      <c r="I254" s="33">
        <f>IF(AW253&lt;=0,0,ROUND(AW253+ROUND(AW253*AC$3/12,2),2))</f>
      </c>
      <c r="J254" s="33">
        <f>IF(AX253&lt;=0,0,ROUND(AX253+ROUND(AX253*AD$3/12,2),2))</f>
      </c>
      <c r="K254" s="33">
        <f>IF(AY253&lt;=0,0,ROUND(AY253+ROUND(AY253*AE$3/12,2),2))</f>
      </c>
      <c r="L254" s="33">
        <f>ROUND(MIN(MAX(0,N('Your debts'!$E$6)),B254),2)</f>
      </c>
      <c r="M254" s="33">
        <f>ROUND(MIN(MAX(0,N('Your debts'!$E$7)),C254),2)</f>
      </c>
      <c r="N254" s="33">
        <f>ROUND(MIN(MAX(0,N('Your debts'!$E$8)),D254),2)</f>
      </c>
      <c r="O254" s="33">
        <f>ROUND(MIN(MAX(0,N('Your debts'!$E$9)),E254),2)</f>
      </c>
      <c r="P254" s="33">
        <f>ROUND(MIN(MAX(0,N('Your debts'!$E$10)),F254),2)</f>
      </c>
      <c r="Q254" s="33">
        <f>ROUND(MIN(MAX(0,N('Your debts'!$E$11)),G254),2)</f>
      </c>
      <c r="R254" s="33">
        <f>ROUND(MIN(MAX(0,N('Your debts'!$E$12)),H254),2)</f>
      </c>
      <c r="S254" s="33">
        <f>ROUND(MIN(MAX(0,N('Your debts'!$E$13)),I254),2)</f>
      </c>
      <c r="T254" s="33">
        <f>ROUND(MIN(MAX(0,N('Your debts'!$E$14)),J254),2)</f>
      </c>
      <c r="U254" s="33">
        <f>ROUND(MIN(MAX(0,N('Your debts'!$E$15)),K254),2)</f>
      </c>
      <c r="V254" s="33">
        <f>ROUND(B254-L254,2)</f>
      </c>
      <c r="W254" s="33">
        <f>ROUND(C254-M254,2)</f>
      </c>
      <c r="X254" s="33">
        <f>ROUND(D254-N254,2)</f>
      </c>
      <c r="Y254" s="33">
        <f>ROUND(E254-O254,2)</f>
      </c>
      <c r="Z254" s="33">
        <f>ROUND(F254-P254,2)</f>
      </c>
      <c r="AA254" s="33">
        <f>ROUND(G254-Q254,2)</f>
      </c>
      <c r="AB254" s="33">
        <f>ROUND(H254-R254,2)</f>
      </c>
      <c r="AC254" s="33">
        <f>ROUND(I254-S254,2)</f>
      </c>
      <c r="AD254" s="33">
        <f>ROUND(J254-T254,2)</f>
      </c>
      <c r="AE254" s="33">
        <f>ROUND(K254-U254,2)</f>
      </c>
      <c r="AF254" s="33">
        <f>IF(V254&lt;=0,0,MAX(0,MIN(V254,ROUND($AZ254-SUMPRODUCT($V254:$AE254*($V254:$AE254&gt;0)*(($V254:$AE254&lt;V254)+($V254:$AE254=V254)*($V$3:$AE$3&gt;V$3)+($V254:$AE254=V254)*($V$3:$AE$3=V$3)*($V$2:$AE$2&lt;V$2))),2))))</f>
      </c>
      <c r="AG254" s="33">
        <f>IF(W254&lt;=0,0,MAX(0,MIN(W254,ROUND($AZ254-SUMPRODUCT($V254:$AE254*($V254:$AE254&gt;0)*(($V254:$AE254&lt;W254)+($V254:$AE254=W254)*($V$3:$AE$3&gt;W$3)+($V254:$AE254=W254)*($V$3:$AE$3=W$3)*($V$2:$AE$2&lt;W$2))),2))))</f>
      </c>
      <c r="AH254" s="33">
        <f>IF(X254&lt;=0,0,MAX(0,MIN(X254,ROUND($AZ254-SUMPRODUCT($V254:$AE254*($V254:$AE254&gt;0)*(($V254:$AE254&lt;X254)+($V254:$AE254=X254)*($V$3:$AE$3&gt;X$3)+($V254:$AE254=X254)*($V$3:$AE$3=X$3)*($V$2:$AE$2&lt;X$2))),2))))</f>
      </c>
      <c r="AI254" s="33">
        <f>IF(Y254&lt;=0,0,MAX(0,MIN(Y254,ROUND($AZ254-SUMPRODUCT($V254:$AE254*($V254:$AE254&gt;0)*(($V254:$AE254&lt;Y254)+($V254:$AE254=Y254)*($V$3:$AE$3&gt;Y$3)+($V254:$AE254=Y254)*($V$3:$AE$3=Y$3)*($V$2:$AE$2&lt;Y$2))),2))))</f>
      </c>
      <c r="AJ254" s="33">
        <f>IF(Z254&lt;=0,0,MAX(0,MIN(Z254,ROUND($AZ254-SUMPRODUCT($V254:$AE254*($V254:$AE254&gt;0)*(($V254:$AE254&lt;Z254)+($V254:$AE254=Z254)*($V$3:$AE$3&gt;Z$3)+($V254:$AE254=Z254)*($V$3:$AE$3=Z$3)*($V$2:$AE$2&lt;Z$2))),2))))</f>
      </c>
      <c r="AK254" s="33">
        <f>IF(AA254&lt;=0,0,MAX(0,MIN(AA254,ROUND($AZ254-SUMPRODUCT($V254:$AE254*($V254:$AE254&gt;0)*(($V254:$AE254&lt;AA254)+($V254:$AE254=AA254)*($V$3:$AE$3&gt;AA$3)+($V254:$AE254=AA254)*($V$3:$AE$3=AA$3)*($V$2:$AE$2&lt;AA$2))),2))))</f>
      </c>
      <c r="AL254" s="33">
        <f>IF(AB254&lt;=0,0,MAX(0,MIN(AB254,ROUND($AZ254-SUMPRODUCT($V254:$AE254*($V254:$AE254&gt;0)*(($V254:$AE254&lt;AB254)+($V254:$AE254=AB254)*($V$3:$AE$3&gt;AB$3)+($V254:$AE254=AB254)*($V$3:$AE$3=AB$3)*($V$2:$AE$2&lt;AB$2))),2))))</f>
      </c>
      <c r="AM254" s="33">
        <f>IF(AC254&lt;=0,0,MAX(0,MIN(AC254,ROUND($AZ254-SUMPRODUCT($V254:$AE254*($V254:$AE254&gt;0)*(($V254:$AE254&lt;AC254)+($V254:$AE254=AC254)*($V$3:$AE$3&gt;AC$3)+($V254:$AE254=AC254)*($V$3:$AE$3=AC$3)*($V$2:$AE$2&lt;AC$2))),2))))</f>
      </c>
      <c r="AN254" s="33">
        <f>IF(AD254&lt;=0,0,MAX(0,MIN(AD254,ROUND($AZ254-SUMPRODUCT($V254:$AE254*($V254:$AE254&gt;0)*(($V254:$AE254&lt;AD254)+($V254:$AE254=AD254)*($V$3:$AE$3&gt;AD$3)+($V254:$AE254=AD254)*($V$3:$AE$3=AD$3)*($V$2:$AE$2&lt;AD$2))),2))))</f>
      </c>
      <c r="AO254" s="33">
        <f>IF(AE254&lt;=0,0,MAX(0,MIN(AE254,ROUND($AZ254-SUMPRODUCT($V254:$AE254*($V254:$AE254&gt;0)*(($V254:$AE254&lt;AE254)+($V254:$AE254=AE254)*($V$3:$AE$3&gt;AE$3)+($V254:$AE254=AE254)*($V$3:$AE$3=AE$3)*($V$2:$AE$2&lt;AE$2))),2))))</f>
      </c>
      <c r="AP254" s="33">
        <f>ROUND(V254-AF254,2)</f>
      </c>
      <c r="AQ254" s="33">
        <f>ROUND(W254-AG254,2)</f>
      </c>
      <c r="AR254" s="33">
        <f>ROUND(X254-AH254,2)</f>
      </c>
      <c r="AS254" s="33">
        <f>ROUND(Y254-AI254,2)</f>
      </c>
      <c r="AT254" s="33">
        <f>ROUND(Z254-AJ254,2)</f>
      </c>
      <c r="AU254" s="33">
        <f>ROUND(AA254-AK254,2)</f>
      </c>
      <c r="AV254" s="33">
        <f>ROUND(AB254-AL254,2)</f>
      </c>
      <c r="AW254" s="33">
        <f>ROUND(AC254-AM254,2)</f>
      </c>
      <c r="AX254" s="33">
        <f>ROUND(AD254-AN254,2)</f>
      </c>
      <c r="AY254" s="33">
        <f>ROUND(AE254-AO254,2)</f>
      </c>
      <c r="AZ254" s="33">
        <f>ROUND(MAX(0,'Your debts'!$D$22-SUM($L254:$U254)),2)</f>
      </c>
      <c r="BA254" s="33">
        <f>ROUND(SUM($B254:$K254)-SUM($AP253:$AY253),2)</f>
      </c>
      <c r="BB254" s="33">
        <f>SUM($AP254:$AY254)</f>
      </c>
      <c r="BC254" s="33">
        <f>ROUND(SUM($L254:$U254)+SUM($AF254:$AO254),2)</f>
      </c>
    </row>
    <row r="255" spans="1:55" x14ac:dyDescent="0.25">
      <c r="A255">
        <v>248</v>
      </c>
      <c r="B255" s="33">
        <f>IF(AP254&lt;=0,0,ROUND(AP254+ROUND(AP254*V$3/12,2),2))</f>
      </c>
      <c r="C255" s="33">
        <f>IF(AQ254&lt;=0,0,ROUND(AQ254+ROUND(AQ254*W$3/12,2),2))</f>
      </c>
      <c r="D255" s="33">
        <f>IF(AR254&lt;=0,0,ROUND(AR254+ROUND(AR254*X$3/12,2),2))</f>
      </c>
      <c r="E255" s="33">
        <f>IF(AS254&lt;=0,0,ROUND(AS254+ROUND(AS254*Y$3/12,2),2))</f>
      </c>
      <c r="F255" s="33">
        <f>IF(AT254&lt;=0,0,ROUND(AT254+ROUND(AT254*Z$3/12,2),2))</f>
      </c>
      <c r="G255" s="33">
        <f>IF(AU254&lt;=0,0,ROUND(AU254+ROUND(AU254*AA$3/12,2),2))</f>
      </c>
      <c r="H255" s="33">
        <f>IF(AV254&lt;=0,0,ROUND(AV254+ROUND(AV254*AB$3/12,2),2))</f>
      </c>
      <c r="I255" s="33">
        <f>IF(AW254&lt;=0,0,ROUND(AW254+ROUND(AW254*AC$3/12,2),2))</f>
      </c>
      <c r="J255" s="33">
        <f>IF(AX254&lt;=0,0,ROUND(AX254+ROUND(AX254*AD$3/12,2),2))</f>
      </c>
      <c r="K255" s="33">
        <f>IF(AY254&lt;=0,0,ROUND(AY254+ROUND(AY254*AE$3/12,2),2))</f>
      </c>
      <c r="L255" s="33">
        <f>ROUND(MIN(MAX(0,N('Your debts'!$E$6)),B255),2)</f>
      </c>
      <c r="M255" s="33">
        <f>ROUND(MIN(MAX(0,N('Your debts'!$E$7)),C255),2)</f>
      </c>
      <c r="N255" s="33">
        <f>ROUND(MIN(MAX(0,N('Your debts'!$E$8)),D255),2)</f>
      </c>
      <c r="O255" s="33">
        <f>ROUND(MIN(MAX(0,N('Your debts'!$E$9)),E255),2)</f>
      </c>
      <c r="P255" s="33">
        <f>ROUND(MIN(MAX(0,N('Your debts'!$E$10)),F255),2)</f>
      </c>
      <c r="Q255" s="33">
        <f>ROUND(MIN(MAX(0,N('Your debts'!$E$11)),G255),2)</f>
      </c>
      <c r="R255" s="33">
        <f>ROUND(MIN(MAX(0,N('Your debts'!$E$12)),H255),2)</f>
      </c>
      <c r="S255" s="33">
        <f>ROUND(MIN(MAX(0,N('Your debts'!$E$13)),I255),2)</f>
      </c>
      <c r="T255" s="33">
        <f>ROUND(MIN(MAX(0,N('Your debts'!$E$14)),J255),2)</f>
      </c>
      <c r="U255" s="33">
        <f>ROUND(MIN(MAX(0,N('Your debts'!$E$15)),K255),2)</f>
      </c>
      <c r="V255" s="33">
        <f>ROUND(B255-L255,2)</f>
      </c>
      <c r="W255" s="33">
        <f>ROUND(C255-M255,2)</f>
      </c>
      <c r="X255" s="33">
        <f>ROUND(D255-N255,2)</f>
      </c>
      <c r="Y255" s="33">
        <f>ROUND(E255-O255,2)</f>
      </c>
      <c r="Z255" s="33">
        <f>ROUND(F255-P255,2)</f>
      </c>
      <c r="AA255" s="33">
        <f>ROUND(G255-Q255,2)</f>
      </c>
      <c r="AB255" s="33">
        <f>ROUND(H255-R255,2)</f>
      </c>
      <c r="AC255" s="33">
        <f>ROUND(I255-S255,2)</f>
      </c>
      <c r="AD255" s="33">
        <f>ROUND(J255-T255,2)</f>
      </c>
      <c r="AE255" s="33">
        <f>ROUND(K255-U255,2)</f>
      </c>
      <c r="AF255" s="33">
        <f>IF(V255&lt;=0,0,MAX(0,MIN(V255,ROUND($AZ255-SUMPRODUCT($V255:$AE255*($V255:$AE255&gt;0)*(($V255:$AE255&lt;V255)+($V255:$AE255=V255)*($V$3:$AE$3&gt;V$3)+($V255:$AE255=V255)*($V$3:$AE$3=V$3)*($V$2:$AE$2&lt;V$2))),2))))</f>
      </c>
      <c r="AG255" s="33">
        <f>IF(W255&lt;=0,0,MAX(0,MIN(W255,ROUND($AZ255-SUMPRODUCT($V255:$AE255*($V255:$AE255&gt;0)*(($V255:$AE255&lt;W255)+($V255:$AE255=W255)*($V$3:$AE$3&gt;W$3)+($V255:$AE255=W255)*($V$3:$AE$3=W$3)*($V$2:$AE$2&lt;W$2))),2))))</f>
      </c>
      <c r="AH255" s="33">
        <f>IF(X255&lt;=0,0,MAX(0,MIN(X255,ROUND($AZ255-SUMPRODUCT($V255:$AE255*($V255:$AE255&gt;0)*(($V255:$AE255&lt;X255)+($V255:$AE255=X255)*($V$3:$AE$3&gt;X$3)+($V255:$AE255=X255)*($V$3:$AE$3=X$3)*($V$2:$AE$2&lt;X$2))),2))))</f>
      </c>
      <c r="AI255" s="33">
        <f>IF(Y255&lt;=0,0,MAX(0,MIN(Y255,ROUND($AZ255-SUMPRODUCT($V255:$AE255*($V255:$AE255&gt;0)*(($V255:$AE255&lt;Y255)+($V255:$AE255=Y255)*($V$3:$AE$3&gt;Y$3)+($V255:$AE255=Y255)*($V$3:$AE$3=Y$3)*($V$2:$AE$2&lt;Y$2))),2))))</f>
      </c>
      <c r="AJ255" s="33">
        <f>IF(Z255&lt;=0,0,MAX(0,MIN(Z255,ROUND($AZ255-SUMPRODUCT($V255:$AE255*($V255:$AE255&gt;0)*(($V255:$AE255&lt;Z255)+($V255:$AE255=Z255)*($V$3:$AE$3&gt;Z$3)+($V255:$AE255=Z255)*($V$3:$AE$3=Z$3)*($V$2:$AE$2&lt;Z$2))),2))))</f>
      </c>
      <c r="AK255" s="33">
        <f>IF(AA255&lt;=0,0,MAX(0,MIN(AA255,ROUND($AZ255-SUMPRODUCT($V255:$AE255*($V255:$AE255&gt;0)*(($V255:$AE255&lt;AA255)+($V255:$AE255=AA255)*($V$3:$AE$3&gt;AA$3)+($V255:$AE255=AA255)*($V$3:$AE$3=AA$3)*($V$2:$AE$2&lt;AA$2))),2))))</f>
      </c>
      <c r="AL255" s="33">
        <f>IF(AB255&lt;=0,0,MAX(0,MIN(AB255,ROUND($AZ255-SUMPRODUCT($V255:$AE255*($V255:$AE255&gt;0)*(($V255:$AE255&lt;AB255)+($V255:$AE255=AB255)*($V$3:$AE$3&gt;AB$3)+($V255:$AE255=AB255)*($V$3:$AE$3=AB$3)*($V$2:$AE$2&lt;AB$2))),2))))</f>
      </c>
      <c r="AM255" s="33">
        <f>IF(AC255&lt;=0,0,MAX(0,MIN(AC255,ROUND($AZ255-SUMPRODUCT($V255:$AE255*($V255:$AE255&gt;0)*(($V255:$AE255&lt;AC255)+($V255:$AE255=AC255)*($V$3:$AE$3&gt;AC$3)+($V255:$AE255=AC255)*($V$3:$AE$3=AC$3)*($V$2:$AE$2&lt;AC$2))),2))))</f>
      </c>
      <c r="AN255" s="33">
        <f>IF(AD255&lt;=0,0,MAX(0,MIN(AD255,ROUND($AZ255-SUMPRODUCT($V255:$AE255*($V255:$AE255&gt;0)*(($V255:$AE255&lt;AD255)+($V255:$AE255=AD255)*($V$3:$AE$3&gt;AD$3)+($V255:$AE255=AD255)*($V$3:$AE$3=AD$3)*($V$2:$AE$2&lt;AD$2))),2))))</f>
      </c>
      <c r="AO255" s="33">
        <f>IF(AE255&lt;=0,0,MAX(0,MIN(AE255,ROUND($AZ255-SUMPRODUCT($V255:$AE255*($V255:$AE255&gt;0)*(($V255:$AE255&lt;AE255)+($V255:$AE255=AE255)*($V$3:$AE$3&gt;AE$3)+($V255:$AE255=AE255)*($V$3:$AE$3=AE$3)*($V$2:$AE$2&lt;AE$2))),2))))</f>
      </c>
      <c r="AP255" s="33">
        <f>ROUND(V255-AF255,2)</f>
      </c>
      <c r="AQ255" s="33">
        <f>ROUND(W255-AG255,2)</f>
      </c>
      <c r="AR255" s="33">
        <f>ROUND(X255-AH255,2)</f>
      </c>
      <c r="AS255" s="33">
        <f>ROUND(Y255-AI255,2)</f>
      </c>
      <c r="AT255" s="33">
        <f>ROUND(Z255-AJ255,2)</f>
      </c>
      <c r="AU255" s="33">
        <f>ROUND(AA255-AK255,2)</f>
      </c>
      <c r="AV255" s="33">
        <f>ROUND(AB255-AL255,2)</f>
      </c>
      <c r="AW255" s="33">
        <f>ROUND(AC255-AM255,2)</f>
      </c>
      <c r="AX255" s="33">
        <f>ROUND(AD255-AN255,2)</f>
      </c>
      <c r="AY255" s="33">
        <f>ROUND(AE255-AO255,2)</f>
      </c>
      <c r="AZ255" s="33">
        <f>ROUND(MAX(0,'Your debts'!$D$22-SUM($L255:$U255)),2)</f>
      </c>
      <c r="BA255" s="33">
        <f>ROUND(SUM($B255:$K255)-SUM($AP254:$AY254),2)</f>
      </c>
      <c r="BB255" s="33">
        <f>SUM($AP255:$AY255)</f>
      </c>
      <c r="BC255" s="33">
        <f>ROUND(SUM($L255:$U255)+SUM($AF255:$AO255),2)</f>
      </c>
    </row>
    <row r="256" spans="1:55" x14ac:dyDescent="0.25">
      <c r="A256">
        <v>249</v>
      </c>
      <c r="B256" s="33">
        <f>IF(AP255&lt;=0,0,ROUND(AP255+ROUND(AP255*V$3/12,2),2))</f>
      </c>
      <c r="C256" s="33">
        <f>IF(AQ255&lt;=0,0,ROUND(AQ255+ROUND(AQ255*W$3/12,2),2))</f>
      </c>
      <c r="D256" s="33">
        <f>IF(AR255&lt;=0,0,ROUND(AR255+ROUND(AR255*X$3/12,2),2))</f>
      </c>
      <c r="E256" s="33">
        <f>IF(AS255&lt;=0,0,ROUND(AS255+ROUND(AS255*Y$3/12,2),2))</f>
      </c>
      <c r="F256" s="33">
        <f>IF(AT255&lt;=0,0,ROUND(AT255+ROUND(AT255*Z$3/12,2),2))</f>
      </c>
      <c r="G256" s="33">
        <f>IF(AU255&lt;=0,0,ROUND(AU255+ROUND(AU255*AA$3/12,2),2))</f>
      </c>
      <c r="H256" s="33">
        <f>IF(AV255&lt;=0,0,ROUND(AV255+ROUND(AV255*AB$3/12,2),2))</f>
      </c>
      <c r="I256" s="33">
        <f>IF(AW255&lt;=0,0,ROUND(AW255+ROUND(AW255*AC$3/12,2),2))</f>
      </c>
      <c r="J256" s="33">
        <f>IF(AX255&lt;=0,0,ROUND(AX255+ROUND(AX255*AD$3/12,2),2))</f>
      </c>
      <c r="K256" s="33">
        <f>IF(AY255&lt;=0,0,ROUND(AY255+ROUND(AY255*AE$3/12,2),2))</f>
      </c>
      <c r="L256" s="33">
        <f>ROUND(MIN(MAX(0,N('Your debts'!$E$6)),B256),2)</f>
      </c>
      <c r="M256" s="33">
        <f>ROUND(MIN(MAX(0,N('Your debts'!$E$7)),C256),2)</f>
      </c>
      <c r="N256" s="33">
        <f>ROUND(MIN(MAX(0,N('Your debts'!$E$8)),D256),2)</f>
      </c>
      <c r="O256" s="33">
        <f>ROUND(MIN(MAX(0,N('Your debts'!$E$9)),E256),2)</f>
      </c>
      <c r="P256" s="33">
        <f>ROUND(MIN(MAX(0,N('Your debts'!$E$10)),F256),2)</f>
      </c>
      <c r="Q256" s="33">
        <f>ROUND(MIN(MAX(0,N('Your debts'!$E$11)),G256),2)</f>
      </c>
      <c r="R256" s="33">
        <f>ROUND(MIN(MAX(0,N('Your debts'!$E$12)),H256),2)</f>
      </c>
      <c r="S256" s="33">
        <f>ROUND(MIN(MAX(0,N('Your debts'!$E$13)),I256),2)</f>
      </c>
      <c r="T256" s="33">
        <f>ROUND(MIN(MAX(0,N('Your debts'!$E$14)),J256),2)</f>
      </c>
      <c r="U256" s="33">
        <f>ROUND(MIN(MAX(0,N('Your debts'!$E$15)),K256),2)</f>
      </c>
      <c r="V256" s="33">
        <f>ROUND(B256-L256,2)</f>
      </c>
      <c r="W256" s="33">
        <f>ROUND(C256-M256,2)</f>
      </c>
      <c r="X256" s="33">
        <f>ROUND(D256-N256,2)</f>
      </c>
      <c r="Y256" s="33">
        <f>ROUND(E256-O256,2)</f>
      </c>
      <c r="Z256" s="33">
        <f>ROUND(F256-P256,2)</f>
      </c>
      <c r="AA256" s="33">
        <f>ROUND(G256-Q256,2)</f>
      </c>
      <c r="AB256" s="33">
        <f>ROUND(H256-R256,2)</f>
      </c>
      <c r="AC256" s="33">
        <f>ROUND(I256-S256,2)</f>
      </c>
      <c r="AD256" s="33">
        <f>ROUND(J256-T256,2)</f>
      </c>
      <c r="AE256" s="33">
        <f>ROUND(K256-U256,2)</f>
      </c>
      <c r="AF256" s="33">
        <f>IF(V256&lt;=0,0,MAX(0,MIN(V256,ROUND($AZ256-SUMPRODUCT($V256:$AE256*($V256:$AE256&gt;0)*(($V256:$AE256&lt;V256)+($V256:$AE256=V256)*($V$3:$AE$3&gt;V$3)+($V256:$AE256=V256)*($V$3:$AE$3=V$3)*($V$2:$AE$2&lt;V$2))),2))))</f>
      </c>
      <c r="AG256" s="33">
        <f>IF(W256&lt;=0,0,MAX(0,MIN(W256,ROUND($AZ256-SUMPRODUCT($V256:$AE256*($V256:$AE256&gt;0)*(($V256:$AE256&lt;W256)+($V256:$AE256=W256)*($V$3:$AE$3&gt;W$3)+($V256:$AE256=W256)*($V$3:$AE$3=W$3)*($V$2:$AE$2&lt;W$2))),2))))</f>
      </c>
      <c r="AH256" s="33">
        <f>IF(X256&lt;=0,0,MAX(0,MIN(X256,ROUND($AZ256-SUMPRODUCT($V256:$AE256*($V256:$AE256&gt;0)*(($V256:$AE256&lt;X256)+($V256:$AE256=X256)*($V$3:$AE$3&gt;X$3)+($V256:$AE256=X256)*($V$3:$AE$3=X$3)*($V$2:$AE$2&lt;X$2))),2))))</f>
      </c>
      <c r="AI256" s="33">
        <f>IF(Y256&lt;=0,0,MAX(0,MIN(Y256,ROUND($AZ256-SUMPRODUCT($V256:$AE256*($V256:$AE256&gt;0)*(($V256:$AE256&lt;Y256)+($V256:$AE256=Y256)*($V$3:$AE$3&gt;Y$3)+($V256:$AE256=Y256)*($V$3:$AE$3=Y$3)*($V$2:$AE$2&lt;Y$2))),2))))</f>
      </c>
      <c r="AJ256" s="33">
        <f>IF(Z256&lt;=0,0,MAX(0,MIN(Z256,ROUND($AZ256-SUMPRODUCT($V256:$AE256*($V256:$AE256&gt;0)*(($V256:$AE256&lt;Z256)+($V256:$AE256=Z256)*($V$3:$AE$3&gt;Z$3)+($V256:$AE256=Z256)*($V$3:$AE$3=Z$3)*($V$2:$AE$2&lt;Z$2))),2))))</f>
      </c>
      <c r="AK256" s="33">
        <f>IF(AA256&lt;=0,0,MAX(0,MIN(AA256,ROUND($AZ256-SUMPRODUCT($V256:$AE256*($V256:$AE256&gt;0)*(($V256:$AE256&lt;AA256)+($V256:$AE256=AA256)*($V$3:$AE$3&gt;AA$3)+($V256:$AE256=AA256)*($V$3:$AE$3=AA$3)*($V$2:$AE$2&lt;AA$2))),2))))</f>
      </c>
      <c r="AL256" s="33">
        <f>IF(AB256&lt;=0,0,MAX(0,MIN(AB256,ROUND($AZ256-SUMPRODUCT($V256:$AE256*($V256:$AE256&gt;0)*(($V256:$AE256&lt;AB256)+($V256:$AE256=AB256)*($V$3:$AE$3&gt;AB$3)+($V256:$AE256=AB256)*($V$3:$AE$3=AB$3)*($V$2:$AE$2&lt;AB$2))),2))))</f>
      </c>
      <c r="AM256" s="33">
        <f>IF(AC256&lt;=0,0,MAX(0,MIN(AC256,ROUND($AZ256-SUMPRODUCT($V256:$AE256*($V256:$AE256&gt;0)*(($V256:$AE256&lt;AC256)+($V256:$AE256=AC256)*($V$3:$AE$3&gt;AC$3)+($V256:$AE256=AC256)*($V$3:$AE$3=AC$3)*($V$2:$AE$2&lt;AC$2))),2))))</f>
      </c>
      <c r="AN256" s="33">
        <f>IF(AD256&lt;=0,0,MAX(0,MIN(AD256,ROUND($AZ256-SUMPRODUCT($V256:$AE256*($V256:$AE256&gt;0)*(($V256:$AE256&lt;AD256)+($V256:$AE256=AD256)*($V$3:$AE$3&gt;AD$3)+($V256:$AE256=AD256)*($V$3:$AE$3=AD$3)*($V$2:$AE$2&lt;AD$2))),2))))</f>
      </c>
      <c r="AO256" s="33">
        <f>IF(AE256&lt;=0,0,MAX(0,MIN(AE256,ROUND($AZ256-SUMPRODUCT($V256:$AE256*($V256:$AE256&gt;0)*(($V256:$AE256&lt;AE256)+($V256:$AE256=AE256)*($V$3:$AE$3&gt;AE$3)+($V256:$AE256=AE256)*($V$3:$AE$3=AE$3)*($V$2:$AE$2&lt;AE$2))),2))))</f>
      </c>
      <c r="AP256" s="33">
        <f>ROUND(V256-AF256,2)</f>
      </c>
      <c r="AQ256" s="33">
        <f>ROUND(W256-AG256,2)</f>
      </c>
      <c r="AR256" s="33">
        <f>ROUND(X256-AH256,2)</f>
      </c>
      <c r="AS256" s="33">
        <f>ROUND(Y256-AI256,2)</f>
      </c>
      <c r="AT256" s="33">
        <f>ROUND(Z256-AJ256,2)</f>
      </c>
      <c r="AU256" s="33">
        <f>ROUND(AA256-AK256,2)</f>
      </c>
      <c r="AV256" s="33">
        <f>ROUND(AB256-AL256,2)</f>
      </c>
      <c r="AW256" s="33">
        <f>ROUND(AC256-AM256,2)</f>
      </c>
      <c r="AX256" s="33">
        <f>ROUND(AD256-AN256,2)</f>
      </c>
      <c r="AY256" s="33">
        <f>ROUND(AE256-AO256,2)</f>
      </c>
      <c r="AZ256" s="33">
        <f>ROUND(MAX(0,'Your debts'!$D$22-SUM($L256:$U256)),2)</f>
      </c>
      <c r="BA256" s="33">
        <f>ROUND(SUM($B256:$K256)-SUM($AP255:$AY255),2)</f>
      </c>
      <c r="BB256" s="33">
        <f>SUM($AP256:$AY256)</f>
      </c>
      <c r="BC256" s="33">
        <f>ROUND(SUM($L256:$U256)+SUM($AF256:$AO256),2)</f>
      </c>
    </row>
    <row r="257" spans="1:55" x14ac:dyDescent="0.25">
      <c r="A257">
        <v>250</v>
      </c>
      <c r="B257" s="33">
        <f>IF(AP256&lt;=0,0,ROUND(AP256+ROUND(AP256*V$3/12,2),2))</f>
      </c>
      <c r="C257" s="33">
        <f>IF(AQ256&lt;=0,0,ROUND(AQ256+ROUND(AQ256*W$3/12,2),2))</f>
      </c>
      <c r="D257" s="33">
        <f>IF(AR256&lt;=0,0,ROUND(AR256+ROUND(AR256*X$3/12,2),2))</f>
      </c>
      <c r="E257" s="33">
        <f>IF(AS256&lt;=0,0,ROUND(AS256+ROUND(AS256*Y$3/12,2),2))</f>
      </c>
      <c r="F257" s="33">
        <f>IF(AT256&lt;=0,0,ROUND(AT256+ROUND(AT256*Z$3/12,2),2))</f>
      </c>
      <c r="G257" s="33">
        <f>IF(AU256&lt;=0,0,ROUND(AU256+ROUND(AU256*AA$3/12,2),2))</f>
      </c>
      <c r="H257" s="33">
        <f>IF(AV256&lt;=0,0,ROUND(AV256+ROUND(AV256*AB$3/12,2),2))</f>
      </c>
      <c r="I257" s="33">
        <f>IF(AW256&lt;=0,0,ROUND(AW256+ROUND(AW256*AC$3/12,2),2))</f>
      </c>
      <c r="J257" s="33">
        <f>IF(AX256&lt;=0,0,ROUND(AX256+ROUND(AX256*AD$3/12,2),2))</f>
      </c>
      <c r="K257" s="33">
        <f>IF(AY256&lt;=0,0,ROUND(AY256+ROUND(AY256*AE$3/12,2),2))</f>
      </c>
      <c r="L257" s="33">
        <f>ROUND(MIN(MAX(0,N('Your debts'!$E$6)),B257),2)</f>
      </c>
      <c r="M257" s="33">
        <f>ROUND(MIN(MAX(0,N('Your debts'!$E$7)),C257),2)</f>
      </c>
      <c r="N257" s="33">
        <f>ROUND(MIN(MAX(0,N('Your debts'!$E$8)),D257),2)</f>
      </c>
      <c r="O257" s="33">
        <f>ROUND(MIN(MAX(0,N('Your debts'!$E$9)),E257),2)</f>
      </c>
      <c r="P257" s="33">
        <f>ROUND(MIN(MAX(0,N('Your debts'!$E$10)),F257),2)</f>
      </c>
      <c r="Q257" s="33">
        <f>ROUND(MIN(MAX(0,N('Your debts'!$E$11)),G257),2)</f>
      </c>
      <c r="R257" s="33">
        <f>ROUND(MIN(MAX(0,N('Your debts'!$E$12)),H257),2)</f>
      </c>
      <c r="S257" s="33">
        <f>ROUND(MIN(MAX(0,N('Your debts'!$E$13)),I257),2)</f>
      </c>
      <c r="T257" s="33">
        <f>ROUND(MIN(MAX(0,N('Your debts'!$E$14)),J257),2)</f>
      </c>
      <c r="U257" s="33">
        <f>ROUND(MIN(MAX(0,N('Your debts'!$E$15)),K257),2)</f>
      </c>
      <c r="V257" s="33">
        <f>ROUND(B257-L257,2)</f>
      </c>
      <c r="W257" s="33">
        <f>ROUND(C257-M257,2)</f>
      </c>
      <c r="X257" s="33">
        <f>ROUND(D257-N257,2)</f>
      </c>
      <c r="Y257" s="33">
        <f>ROUND(E257-O257,2)</f>
      </c>
      <c r="Z257" s="33">
        <f>ROUND(F257-P257,2)</f>
      </c>
      <c r="AA257" s="33">
        <f>ROUND(G257-Q257,2)</f>
      </c>
      <c r="AB257" s="33">
        <f>ROUND(H257-R257,2)</f>
      </c>
      <c r="AC257" s="33">
        <f>ROUND(I257-S257,2)</f>
      </c>
      <c r="AD257" s="33">
        <f>ROUND(J257-T257,2)</f>
      </c>
      <c r="AE257" s="33">
        <f>ROUND(K257-U257,2)</f>
      </c>
      <c r="AF257" s="33">
        <f>IF(V257&lt;=0,0,MAX(0,MIN(V257,ROUND($AZ257-SUMPRODUCT($V257:$AE257*($V257:$AE257&gt;0)*(($V257:$AE257&lt;V257)+($V257:$AE257=V257)*($V$3:$AE$3&gt;V$3)+($V257:$AE257=V257)*($V$3:$AE$3=V$3)*($V$2:$AE$2&lt;V$2))),2))))</f>
      </c>
      <c r="AG257" s="33">
        <f>IF(W257&lt;=0,0,MAX(0,MIN(W257,ROUND($AZ257-SUMPRODUCT($V257:$AE257*($V257:$AE257&gt;0)*(($V257:$AE257&lt;W257)+($V257:$AE257=W257)*($V$3:$AE$3&gt;W$3)+($V257:$AE257=W257)*($V$3:$AE$3=W$3)*($V$2:$AE$2&lt;W$2))),2))))</f>
      </c>
      <c r="AH257" s="33">
        <f>IF(X257&lt;=0,0,MAX(0,MIN(X257,ROUND($AZ257-SUMPRODUCT($V257:$AE257*($V257:$AE257&gt;0)*(($V257:$AE257&lt;X257)+($V257:$AE257=X257)*($V$3:$AE$3&gt;X$3)+($V257:$AE257=X257)*($V$3:$AE$3=X$3)*($V$2:$AE$2&lt;X$2))),2))))</f>
      </c>
      <c r="AI257" s="33">
        <f>IF(Y257&lt;=0,0,MAX(0,MIN(Y257,ROUND($AZ257-SUMPRODUCT($V257:$AE257*($V257:$AE257&gt;0)*(($V257:$AE257&lt;Y257)+($V257:$AE257=Y257)*($V$3:$AE$3&gt;Y$3)+($V257:$AE257=Y257)*($V$3:$AE$3=Y$3)*($V$2:$AE$2&lt;Y$2))),2))))</f>
      </c>
      <c r="AJ257" s="33">
        <f>IF(Z257&lt;=0,0,MAX(0,MIN(Z257,ROUND($AZ257-SUMPRODUCT($V257:$AE257*($V257:$AE257&gt;0)*(($V257:$AE257&lt;Z257)+($V257:$AE257=Z257)*($V$3:$AE$3&gt;Z$3)+($V257:$AE257=Z257)*($V$3:$AE$3=Z$3)*($V$2:$AE$2&lt;Z$2))),2))))</f>
      </c>
      <c r="AK257" s="33">
        <f>IF(AA257&lt;=0,0,MAX(0,MIN(AA257,ROUND($AZ257-SUMPRODUCT($V257:$AE257*($V257:$AE257&gt;0)*(($V257:$AE257&lt;AA257)+($V257:$AE257=AA257)*($V$3:$AE$3&gt;AA$3)+($V257:$AE257=AA257)*($V$3:$AE$3=AA$3)*($V$2:$AE$2&lt;AA$2))),2))))</f>
      </c>
      <c r="AL257" s="33">
        <f>IF(AB257&lt;=0,0,MAX(0,MIN(AB257,ROUND($AZ257-SUMPRODUCT($V257:$AE257*($V257:$AE257&gt;0)*(($V257:$AE257&lt;AB257)+($V257:$AE257=AB257)*($V$3:$AE$3&gt;AB$3)+($V257:$AE257=AB257)*($V$3:$AE$3=AB$3)*($V$2:$AE$2&lt;AB$2))),2))))</f>
      </c>
      <c r="AM257" s="33">
        <f>IF(AC257&lt;=0,0,MAX(0,MIN(AC257,ROUND($AZ257-SUMPRODUCT($V257:$AE257*($V257:$AE257&gt;0)*(($V257:$AE257&lt;AC257)+($V257:$AE257=AC257)*($V$3:$AE$3&gt;AC$3)+($V257:$AE257=AC257)*($V$3:$AE$3=AC$3)*($V$2:$AE$2&lt;AC$2))),2))))</f>
      </c>
      <c r="AN257" s="33">
        <f>IF(AD257&lt;=0,0,MAX(0,MIN(AD257,ROUND($AZ257-SUMPRODUCT($V257:$AE257*($V257:$AE257&gt;0)*(($V257:$AE257&lt;AD257)+($V257:$AE257=AD257)*($V$3:$AE$3&gt;AD$3)+($V257:$AE257=AD257)*($V$3:$AE$3=AD$3)*($V$2:$AE$2&lt;AD$2))),2))))</f>
      </c>
      <c r="AO257" s="33">
        <f>IF(AE257&lt;=0,0,MAX(0,MIN(AE257,ROUND($AZ257-SUMPRODUCT($V257:$AE257*($V257:$AE257&gt;0)*(($V257:$AE257&lt;AE257)+($V257:$AE257=AE257)*($V$3:$AE$3&gt;AE$3)+($V257:$AE257=AE257)*($V$3:$AE$3=AE$3)*($V$2:$AE$2&lt;AE$2))),2))))</f>
      </c>
      <c r="AP257" s="33">
        <f>ROUND(V257-AF257,2)</f>
      </c>
      <c r="AQ257" s="33">
        <f>ROUND(W257-AG257,2)</f>
      </c>
      <c r="AR257" s="33">
        <f>ROUND(X257-AH257,2)</f>
      </c>
      <c r="AS257" s="33">
        <f>ROUND(Y257-AI257,2)</f>
      </c>
      <c r="AT257" s="33">
        <f>ROUND(Z257-AJ257,2)</f>
      </c>
      <c r="AU257" s="33">
        <f>ROUND(AA257-AK257,2)</f>
      </c>
      <c r="AV257" s="33">
        <f>ROUND(AB257-AL257,2)</f>
      </c>
      <c r="AW257" s="33">
        <f>ROUND(AC257-AM257,2)</f>
      </c>
      <c r="AX257" s="33">
        <f>ROUND(AD257-AN257,2)</f>
      </c>
      <c r="AY257" s="33">
        <f>ROUND(AE257-AO257,2)</f>
      </c>
      <c r="AZ257" s="33">
        <f>ROUND(MAX(0,'Your debts'!$D$22-SUM($L257:$U257)),2)</f>
      </c>
      <c r="BA257" s="33">
        <f>ROUND(SUM($B257:$K257)-SUM($AP256:$AY256),2)</f>
      </c>
      <c r="BB257" s="33">
        <f>SUM($AP257:$AY257)</f>
      </c>
      <c r="BC257" s="33">
        <f>ROUND(SUM($L257:$U257)+SUM($AF257:$AO257),2)</f>
      </c>
    </row>
    <row r="258" spans="1:55" x14ac:dyDescent="0.25">
      <c r="A258">
        <v>251</v>
      </c>
      <c r="B258" s="33">
        <f>IF(AP257&lt;=0,0,ROUND(AP257+ROUND(AP257*V$3/12,2),2))</f>
      </c>
      <c r="C258" s="33">
        <f>IF(AQ257&lt;=0,0,ROUND(AQ257+ROUND(AQ257*W$3/12,2),2))</f>
      </c>
      <c r="D258" s="33">
        <f>IF(AR257&lt;=0,0,ROUND(AR257+ROUND(AR257*X$3/12,2),2))</f>
      </c>
      <c r="E258" s="33">
        <f>IF(AS257&lt;=0,0,ROUND(AS257+ROUND(AS257*Y$3/12,2),2))</f>
      </c>
      <c r="F258" s="33">
        <f>IF(AT257&lt;=0,0,ROUND(AT257+ROUND(AT257*Z$3/12,2),2))</f>
      </c>
      <c r="G258" s="33">
        <f>IF(AU257&lt;=0,0,ROUND(AU257+ROUND(AU257*AA$3/12,2),2))</f>
      </c>
      <c r="H258" s="33">
        <f>IF(AV257&lt;=0,0,ROUND(AV257+ROUND(AV257*AB$3/12,2),2))</f>
      </c>
      <c r="I258" s="33">
        <f>IF(AW257&lt;=0,0,ROUND(AW257+ROUND(AW257*AC$3/12,2),2))</f>
      </c>
      <c r="J258" s="33">
        <f>IF(AX257&lt;=0,0,ROUND(AX257+ROUND(AX257*AD$3/12,2),2))</f>
      </c>
      <c r="K258" s="33">
        <f>IF(AY257&lt;=0,0,ROUND(AY257+ROUND(AY257*AE$3/12,2),2))</f>
      </c>
      <c r="L258" s="33">
        <f>ROUND(MIN(MAX(0,N('Your debts'!$E$6)),B258),2)</f>
      </c>
      <c r="M258" s="33">
        <f>ROUND(MIN(MAX(0,N('Your debts'!$E$7)),C258),2)</f>
      </c>
      <c r="N258" s="33">
        <f>ROUND(MIN(MAX(0,N('Your debts'!$E$8)),D258),2)</f>
      </c>
      <c r="O258" s="33">
        <f>ROUND(MIN(MAX(0,N('Your debts'!$E$9)),E258),2)</f>
      </c>
      <c r="P258" s="33">
        <f>ROUND(MIN(MAX(0,N('Your debts'!$E$10)),F258),2)</f>
      </c>
      <c r="Q258" s="33">
        <f>ROUND(MIN(MAX(0,N('Your debts'!$E$11)),G258),2)</f>
      </c>
      <c r="R258" s="33">
        <f>ROUND(MIN(MAX(0,N('Your debts'!$E$12)),H258),2)</f>
      </c>
      <c r="S258" s="33">
        <f>ROUND(MIN(MAX(0,N('Your debts'!$E$13)),I258),2)</f>
      </c>
      <c r="T258" s="33">
        <f>ROUND(MIN(MAX(0,N('Your debts'!$E$14)),J258),2)</f>
      </c>
      <c r="U258" s="33">
        <f>ROUND(MIN(MAX(0,N('Your debts'!$E$15)),K258),2)</f>
      </c>
      <c r="V258" s="33">
        <f>ROUND(B258-L258,2)</f>
      </c>
      <c r="W258" s="33">
        <f>ROUND(C258-M258,2)</f>
      </c>
      <c r="X258" s="33">
        <f>ROUND(D258-N258,2)</f>
      </c>
      <c r="Y258" s="33">
        <f>ROUND(E258-O258,2)</f>
      </c>
      <c r="Z258" s="33">
        <f>ROUND(F258-P258,2)</f>
      </c>
      <c r="AA258" s="33">
        <f>ROUND(G258-Q258,2)</f>
      </c>
      <c r="AB258" s="33">
        <f>ROUND(H258-R258,2)</f>
      </c>
      <c r="AC258" s="33">
        <f>ROUND(I258-S258,2)</f>
      </c>
      <c r="AD258" s="33">
        <f>ROUND(J258-T258,2)</f>
      </c>
      <c r="AE258" s="33">
        <f>ROUND(K258-U258,2)</f>
      </c>
      <c r="AF258" s="33">
        <f>IF(V258&lt;=0,0,MAX(0,MIN(V258,ROUND($AZ258-SUMPRODUCT($V258:$AE258*($V258:$AE258&gt;0)*(($V258:$AE258&lt;V258)+($V258:$AE258=V258)*($V$3:$AE$3&gt;V$3)+($V258:$AE258=V258)*($V$3:$AE$3=V$3)*($V$2:$AE$2&lt;V$2))),2))))</f>
      </c>
      <c r="AG258" s="33">
        <f>IF(W258&lt;=0,0,MAX(0,MIN(W258,ROUND($AZ258-SUMPRODUCT($V258:$AE258*($V258:$AE258&gt;0)*(($V258:$AE258&lt;W258)+($V258:$AE258=W258)*($V$3:$AE$3&gt;W$3)+($V258:$AE258=W258)*($V$3:$AE$3=W$3)*($V$2:$AE$2&lt;W$2))),2))))</f>
      </c>
      <c r="AH258" s="33">
        <f>IF(X258&lt;=0,0,MAX(0,MIN(X258,ROUND($AZ258-SUMPRODUCT($V258:$AE258*($V258:$AE258&gt;0)*(($V258:$AE258&lt;X258)+($V258:$AE258=X258)*($V$3:$AE$3&gt;X$3)+($V258:$AE258=X258)*($V$3:$AE$3=X$3)*($V$2:$AE$2&lt;X$2))),2))))</f>
      </c>
      <c r="AI258" s="33">
        <f>IF(Y258&lt;=0,0,MAX(0,MIN(Y258,ROUND($AZ258-SUMPRODUCT($V258:$AE258*($V258:$AE258&gt;0)*(($V258:$AE258&lt;Y258)+($V258:$AE258=Y258)*($V$3:$AE$3&gt;Y$3)+($V258:$AE258=Y258)*($V$3:$AE$3=Y$3)*($V$2:$AE$2&lt;Y$2))),2))))</f>
      </c>
      <c r="AJ258" s="33">
        <f>IF(Z258&lt;=0,0,MAX(0,MIN(Z258,ROUND($AZ258-SUMPRODUCT($V258:$AE258*($V258:$AE258&gt;0)*(($V258:$AE258&lt;Z258)+($V258:$AE258=Z258)*($V$3:$AE$3&gt;Z$3)+($V258:$AE258=Z258)*($V$3:$AE$3=Z$3)*($V$2:$AE$2&lt;Z$2))),2))))</f>
      </c>
      <c r="AK258" s="33">
        <f>IF(AA258&lt;=0,0,MAX(0,MIN(AA258,ROUND($AZ258-SUMPRODUCT($V258:$AE258*($V258:$AE258&gt;0)*(($V258:$AE258&lt;AA258)+($V258:$AE258=AA258)*($V$3:$AE$3&gt;AA$3)+($V258:$AE258=AA258)*($V$3:$AE$3=AA$3)*($V$2:$AE$2&lt;AA$2))),2))))</f>
      </c>
      <c r="AL258" s="33">
        <f>IF(AB258&lt;=0,0,MAX(0,MIN(AB258,ROUND($AZ258-SUMPRODUCT($V258:$AE258*($V258:$AE258&gt;0)*(($V258:$AE258&lt;AB258)+($V258:$AE258=AB258)*($V$3:$AE$3&gt;AB$3)+($V258:$AE258=AB258)*($V$3:$AE$3=AB$3)*($V$2:$AE$2&lt;AB$2))),2))))</f>
      </c>
      <c r="AM258" s="33">
        <f>IF(AC258&lt;=0,0,MAX(0,MIN(AC258,ROUND($AZ258-SUMPRODUCT($V258:$AE258*($V258:$AE258&gt;0)*(($V258:$AE258&lt;AC258)+($V258:$AE258=AC258)*($V$3:$AE$3&gt;AC$3)+($V258:$AE258=AC258)*($V$3:$AE$3=AC$3)*($V$2:$AE$2&lt;AC$2))),2))))</f>
      </c>
      <c r="AN258" s="33">
        <f>IF(AD258&lt;=0,0,MAX(0,MIN(AD258,ROUND($AZ258-SUMPRODUCT($V258:$AE258*($V258:$AE258&gt;0)*(($V258:$AE258&lt;AD258)+($V258:$AE258=AD258)*($V$3:$AE$3&gt;AD$3)+($V258:$AE258=AD258)*($V$3:$AE$3=AD$3)*($V$2:$AE$2&lt;AD$2))),2))))</f>
      </c>
      <c r="AO258" s="33">
        <f>IF(AE258&lt;=0,0,MAX(0,MIN(AE258,ROUND($AZ258-SUMPRODUCT($V258:$AE258*($V258:$AE258&gt;0)*(($V258:$AE258&lt;AE258)+($V258:$AE258=AE258)*($V$3:$AE$3&gt;AE$3)+($V258:$AE258=AE258)*($V$3:$AE$3=AE$3)*($V$2:$AE$2&lt;AE$2))),2))))</f>
      </c>
      <c r="AP258" s="33">
        <f>ROUND(V258-AF258,2)</f>
      </c>
      <c r="AQ258" s="33">
        <f>ROUND(W258-AG258,2)</f>
      </c>
      <c r="AR258" s="33">
        <f>ROUND(X258-AH258,2)</f>
      </c>
      <c r="AS258" s="33">
        <f>ROUND(Y258-AI258,2)</f>
      </c>
      <c r="AT258" s="33">
        <f>ROUND(Z258-AJ258,2)</f>
      </c>
      <c r="AU258" s="33">
        <f>ROUND(AA258-AK258,2)</f>
      </c>
      <c r="AV258" s="33">
        <f>ROUND(AB258-AL258,2)</f>
      </c>
      <c r="AW258" s="33">
        <f>ROUND(AC258-AM258,2)</f>
      </c>
      <c r="AX258" s="33">
        <f>ROUND(AD258-AN258,2)</f>
      </c>
      <c r="AY258" s="33">
        <f>ROUND(AE258-AO258,2)</f>
      </c>
      <c r="AZ258" s="33">
        <f>ROUND(MAX(0,'Your debts'!$D$22-SUM($L258:$U258)),2)</f>
      </c>
      <c r="BA258" s="33">
        <f>ROUND(SUM($B258:$K258)-SUM($AP257:$AY257),2)</f>
      </c>
      <c r="BB258" s="33">
        <f>SUM($AP258:$AY258)</f>
      </c>
      <c r="BC258" s="33">
        <f>ROUND(SUM($L258:$U258)+SUM($AF258:$AO258),2)</f>
      </c>
    </row>
    <row r="259" spans="1:55" x14ac:dyDescent="0.25">
      <c r="A259">
        <v>252</v>
      </c>
      <c r="B259" s="33">
        <f>IF(AP258&lt;=0,0,ROUND(AP258+ROUND(AP258*V$3/12,2),2))</f>
      </c>
      <c r="C259" s="33">
        <f>IF(AQ258&lt;=0,0,ROUND(AQ258+ROUND(AQ258*W$3/12,2),2))</f>
      </c>
      <c r="D259" s="33">
        <f>IF(AR258&lt;=0,0,ROUND(AR258+ROUND(AR258*X$3/12,2),2))</f>
      </c>
      <c r="E259" s="33">
        <f>IF(AS258&lt;=0,0,ROUND(AS258+ROUND(AS258*Y$3/12,2),2))</f>
      </c>
      <c r="F259" s="33">
        <f>IF(AT258&lt;=0,0,ROUND(AT258+ROUND(AT258*Z$3/12,2),2))</f>
      </c>
      <c r="G259" s="33">
        <f>IF(AU258&lt;=0,0,ROUND(AU258+ROUND(AU258*AA$3/12,2),2))</f>
      </c>
      <c r="H259" s="33">
        <f>IF(AV258&lt;=0,0,ROUND(AV258+ROUND(AV258*AB$3/12,2),2))</f>
      </c>
      <c r="I259" s="33">
        <f>IF(AW258&lt;=0,0,ROUND(AW258+ROUND(AW258*AC$3/12,2),2))</f>
      </c>
      <c r="J259" s="33">
        <f>IF(AX258&lt;=0,0,ROUND(AX258+ROUND(AX258*AD$3/12,2),2))</f>
      </c>
      <c r="K259" s="33">
        <f>IF(AY258&lt;=0,0,ROUND(AY258+ROUND(AY258*AE$3/12,2),2))</f>
      </c>
      <c r="L259" s="33">
        <f>ROUND(MIN(MAX(0,N('Your debts'!$E$6)),B259),2)</f>
      </c>
      <c r="M259" s="33">
        <f>ROUND(MIN(MAX(0,N('Your debts'!$E$7)),C259),2)</f>
      </c>
      <c r="N259" s="33">
        <f>ROUND(MIN(MAX(0,N('Your debts'!$E$8)),D259),2)</f>
      </c>
      <c r="O259" s="33">
        <f>ROUND(MIN(MAX(0,N('Your debts'!$E$9)),E259),2)</f>
      </c>
      <c r="P259" s="33">
        <f>ROUND(MIN(MAX(0,N('Your debts'!$E$10)),F259),2)</f>
      </c>
      <c r="Q259" s="33">
        <f>ROUND(MIN(MAX(0,N('Your debts'!$E$11)),G259),2)</f>
      </c>
      <c r="R259" s="33">
        <f>ROUND(MIN(MAX(0,N('Your debts'!$E$12)),H259),2)</f>
      </c>
      <c r="S259" s="33">
        <f>ROUND(MIN(MAX(0,N('Your debts'!$E$13)),I259),2)</f>
      </c>
      <c r="T259" s="33">
        <f>ROUND(MIN(MAX(0,N('Your debts'!$E$14)),J259),2)</f>
      </c>
      <c r="U259" s="33">
        <f>ROUND(MIN(MAX(0,N('Your debts'!$E$15)),K259),2)</f>
      </c>
      <c r="V259" s="33">
        <f>ROUND(B259-L259,2)</f>
      </c>
      <c r="W259" s="33">
        <f>ROUND(C259-M259,2)</f>
      </c>
      <c r="X259" s="33">
        <f>ROUND(D259-N259,2)</f>
      </c>
      <c r="Y259" s="33">
        <f>ROUND(E259-O259,2)</f>
      </c>
      <c r="Z259" s="33">
        <f>ROUND(F259-P259,2)</f>
      </c>
      <c r="AA259" s="33">
        <f>ROUND(G259-Q259,2)</f>
      </c>
      <c r="AB259" s="33">
        <f>ROUND(H259-R259,2)</f>
      </c>
      <c r="AC259" s="33">
        <f>ROUND(I259-S259,2)</f>
      </c>
      <c r="AD259" s="33">
        <f>ROUND(J259-T259,2)</f>
      </c>
      <c r="AE259" s="33">
        <f>ROUND(K259-U259,2)</f>
      </c>
      <c r="AF259" s="33">
        <f>IF(V259&lt;=0,0,MAX(0,MIN(V259,ROUND($AZ259-SUMPRODUCT($V259:$AE259*($V259:$AE259&gt;0)*(($V259:$AE259&lt;V259)+($V259:$AE259=V259)*($V$3:$AE$3&gt;V$3)+($V259:$AE259=V259)*($V$3:$AE$3=V$3)*($V$2:$AE$2&lt;V$2))),2))))</f>
      </c>
      <c r="AG259" s="33">
        <f>IF(W259&lt;=0,0,MAX(0,MIN(W259,ROUND($AZ259-SUMPRODUCT($V259:$AE259*($V259:$AE259&gt;0)*(($V259:$AE259&lt;W259)+($V259:$AE259=W259)*($V$3:$AE$3&gt;W$3)+($V259:$AE259=W259)*($V$3:$AE$3=W$3)*($V$2:$AE$2&lt;W$2))),2))))</f>
      </c>
      <c r="AH259" s="33">
        <f>IF(X259&lt;=0,0,MAX(0,MIN(X259,ROUND($AZ259-SUMPRODUCT($V259:$AE259*($V259:$AE259&gt;0)*(($V259:$AE259&lt;X259)+($V259:$AE259=X259)*($V$3:$AE$3&gt;X$3)+($V259:$AE259=X259)*($V$3:$AE$3=X$3)*($V$2:$AE$2&lt;X$2))),2))))</f>
      </c>
      <c r="AI259" s="33">
        <f>IF(Y259&lt;=0,0,MAX(0,MIN(Y259,ROUND($AZ259-SUMPRODUCT($V259:$AE259*($V259:$AE259&gt;0)*(($V259:$AE259&lt;Y259)+($V259:$AE259=Y259)*($V$3:$AE$3&gt;Y$3)+($V259:$AE259=Y259)*($V$3:$AE$3=Y$3)*($V$2:$AE$2&lt;Y$2))),2))))</f>
      </c>
      <c r="AJ259" s="33">
        <f>IF(Z259&lt;=0,0,MAX(0,MIN(Z259,ROUND($AZ259-SUMPRODUCT($V259:$AE259*($V259:$AE259&gt;0)*(($V259:$AE259&lt;Z259)+($V259:$AE259=Z259)*($V$3:$AE$3&gt;Z$3)+($V259:$AE259=Z259)*($V$3:$AE$3=Z$3)*($V$2:$AE$2&lt;Z$2))),2))))</f>
      </c>
      <c r="AK259" s="33">
        <f>IF(AA259&lt;=0,0,MAX(0,MIN(AA259,ROUND($AZ259-SUMPRODUCT($V259:$AE259*($V259:$AE259&gt;0)*(($V259:$AE259&lt;AA259)+($V259:$AE259=AA259)*($V$3:$AE$3&gt;AA$3)+($V259:$AE259=AA259)*($V$3:$AE$3=AA$3)*($V$2:$AE$2&lt;AA$2))),2))))</f>
      </c>
      <c r="AL259" s="33">
        <f>IF(AB259&lt;=0,0,MAX(0,MIN(AB259,ROUND($AZ259-SUMPRODUCT($V259:$AE259*($V259:$AE259&gt;0)*(($V259:$AE259&lt;AB259)+($V259:$AE259=AB259)*($V$3:$AE$3&gt;AB$3)+($V259:$AE259=AB259)*($V$3:$AE$3=AB$3)*($V$2:$AE$2&lt;AB$2))),2))))</f>
      </c>
      <c r="AM259" s="33">
        <f>IF(AC259&lt;=0,0,MAX(0,MIN(AC259,ROUND($AZ259-SUMPRODUCT($V259:$AE259*($V259:$AE259&gt;0)*(($V259:$AE259&lt;AC259)+($V259:$AE259=AC259)*($V$3:$AE$3&gt;AC$3)+($V259:$AE259=AC259)*($V$3:$AE$3=AC$3)*($V$2:$AE$2&lt;AC$2))),2))))</f>
      </c>
      <c r="AN259" s="33">
        <f>IF(AD259&lt;=0,0,MAX(0,MIN(AD259,ROUND($AZ259-SUMPRODUCT($V259:$AE259*($V259:$AE259&gt;0)*(($V259:$AE259&lt;AD259)+($V259:$AE259=AD259)*($V$3:$AE$3&gt;AD$3)+($V259:$AE259=AD259)*($V$3:$AE$3=AD$3)*($V$2:$AE$2&lt;AD$2))),2))))</f>
      </c>
      <c r="AO259" s="33">
        <f>IF(AE259&lt;=0,0,MAX(0,MIN(AE259,ROUND($AZ259-SUMPRODUCT($V259:$AE259*($V259:$AE259&gt;0)*(($V259:$AE259&lt;AE259)+($V259:$AE259=AE259)*($V$3:$AE$3&gt;AE$3)+($V259:$AE259=AE259)*($V$3:$AE$3=AE$3)*($V$2:$AE$2&lt;AE$2))),2))))</f>
      </c>
      <c r="AP259" s="33">
        <f>ROUND(V259-AF259,2)</f>
      </c>
      <c r="AQ259" s="33">
        <f>ROUND(W259-AG259,2)</f>
      </c>
      <c r="AR259" s="33">
        <f>ROUND(X259-AH259,2)</f>
      </c>
      <c r="AS259" s="33">
        <f>ROUND(Y259-AI259,2)</f>
      </c>
      <c r="AT259" s="33">
        <f>ROUND(Z259-AJ259,2)</f>
      </c>
      <c r="AU259" s="33">
        <f>ROUND(AA259-AK259,2)</f>
      </c>
      <c r="AV259" s="33">
        <f>ROUND(AB259-AL259,2)</f>
      </c>
      <c r="AW259" s="33">
        <f>ROUND(AC259-AM259,2)</f>
      </c>
      <c r="AX259" s="33">
        <f>ROUND(AD259-AN259,2)</f>
      </c>
      <c r="AY259" s="33">
        <f>ROUND(AE259-AO259,2)</f>
      </c>
      <c r="AZ259" s="33">
        <f>ROUND(MAX(0,'Your debts'!$D$22-SUM($L259:$U259)),2)</f>
      </c>
      <c r="BA259" s="33">
        <f>ROUND(SUM($B259:$K259)-SUM($AP258:$AY258),2)</f>
      </c>
      <c r="BB259" s="33">
        <f>SUM($AP259:$AY259)</f>
      </c>
      <c r="BC259" s="33">
        <f>ROUND(SUM($L259:$U259)+SUM($AF259:$AO259),2)</f>
      </c>
    </row>
    <row r="260" spans="1:55" x14ac:dyDescent="0.25">
      <c r="A260">
        <v>253</v>
      </c>
      <c r="B260" s="33">
        <f>IF(AP259&lt;=0,0,ROUND(AP259+ROUND(AP259*V$3/12,2),2))</f>
      </c>
      <c r="C260" s="33">
        <f>IF(AQ259&lt;=0,0,ROUND(AQ259+ROUND(AQ259*W$3/12,2),2))</f>
      </c>
      <c r="D260" s="33">
        <f>IF(AR259&lt;=0,0,ROUND(AR259+ROUND(AR259*X$3/12,2),2))</f>
      </c>
      <c r="E260" s="33">
        <f>IF(AS259&lt;=0,0,ROUND(AS259+ROUND(AS259*Y$3/12,2),2))</f>
      </c>
      <c r="F260" s="33">
        <f>IF(AT259&lt;=0,0,ROUND(AT259+ROUND(AT259*Z$3/12,2),2))</f>
      </c>
      <c r="G260" s="33">
        <f>IF(AU259&lt;=0,0,ROUND(AU259+ROUND(AU259*AA$3/12,2),2))</f>
      </c>
      <c r="H260" s="33">
        <f>IF(AV259&lt;=0,0,ROUND(AV259+ROUND(AV259*AB$3/12,2),2))</f>
      </c>
      <c r="I260" s="33">
        <f>IF(AW259&lt;=0,0,ROUND(AW259+ROUND(AW259*AC$3/12,2),2))</f>
      </c>
      <c r="J260" s="33">
        <f>IF(AX259&lt;=0,0,ROUND(AX259+ROUND(AX259*AD$3/12,2),2))</f>
      </c>
      <c r="K260" s="33">
        <f>IF(AY259&lt;=0,0,ROUND(AY259+ROUND(AY259*AE$3/12,2),2))</f>
      </c>
      <c r="L260" s="33">
        <f>ROUND(MIN(MAX(0,N('Your debts'!$E$6)),B260),2)</f>
      </c>
      <c r="M260" s="33">
        <f>ROUND(MIN(MAX(0,N('Your debts'!$E$7)),C260),2)</f>
      </c>
      <c r="N260" s="33">
        <f>ROUND(MIN(MAX(0,N('Your debts'!$E$8)),D260),2)</f>
      </c>
      <c r="O260" s="33">
        <f>ROUND(MIN(MAX(0,N('Your debts'!$E$9)),E260),2)</f>
      </c>
      <c r="P260" s="33">
        <f>ROUND(MIN(MAX(0,N('Your debts'!$E$10)),F260),2)</f>
      </c>
      <c r="Q260" s="33">
        <f>ROUND(MIN(MAX(0,N('Your debts'!$E$11)),G260),2)</f>
      </c>
      <c r="R260" s="33">
        <f>ROUND(MIN(MAX(0,N('Your debts'!$E$12)),H260),2)</f>
      </c>
      <c r="S260" s="33">
        <f>ROUND(MIN(MAX(0,N('Your debts'!$E$13)),I260),2)</f>
      </c>
      <c r="T260" s="33">
        <f>ROUND(MIN(MAX(0,N('Your debts'!$E$14)),J260),2)</f>
      </c>
      <c r="U260" s="33">
        <f>ROUND(MIN(MAX(0,N('Your debts'!$E$15)),K260),2)</f>
      </c>
      <c r="V260" s="33">
        <f>ROUND(B260-L260,2)</f>
      </c>
      <c r="W260" s="33">
        <f>ROUND(C260-M260,2)</f>
      </c>
      <c r="X260" s="33">
        <f>ROUND(D260-N260,2)</f>
      </c>
      <c r="Y260" s="33">
        <f>ROUND(E260-O260,2)</f>
      </c>
      <c r="Z260" s="33">
        <f>ROUND(F260-P260,2)</f>
      </c>
      <c r="AA260" s="33">
        <f>ROUND(G260-Q260,2)</f>
      </c>
      <c r="AB260" s="33">
        <f>ROUND(H260-R260,2)</f>
      </c>
      <c r="AC260" s="33">
        <f>ROUND(I260-S260,2)</f>
      </c>
      <c r="AD260" s="33">
        <f>ROUND(J260-T260,2)</f>
      </c>
      <c r="AE260" s="33">
        <f>ROUND(K260-U260,2)</f>
      </c>
      <c r="AF260" s="33">
        <f>IF(V260&lt;=0,0,MAX(0,MIN(V260,ROUND($AZ260-SUMPRODUCT($V260:$AE260*($V260:$AE260&gt;0)*(($V260:$AE260&lt;V260)+($V260:$AE260=V260)*($V$3:$AE$3&gt;V$3)+($V260:$AE260=V260)*($V$3:$AE$3=V$3)*($V$2:$AE$2&lt;V$2))),2))))</f>
      </c>
      <c r="AG260" s="33">
        <f>IF(W260&lt;=0,0,MAX(0,MIN(W260,ROUND($AZ260-SUMPRODUCT($V260:$AE260*($V260:$AE260&gt;0)*(($V260:$AE260&lt;W260)+($V260:$AE260=W260)*($V$3:$AE$3&gt;W$3)+($V260:$AE260=W260)*($V$3:$AE$3=W$3)*($V$2:$AE$2&lt;W$2))),2))))</f>
      </c>
      <c r="AH260" s="33">
        <f>IF(X260&lt;=0,0,MAX(0,MIN(X260,ROUND($AZ260-SUMPRODUCT($V260:$AE260*($V260:$AE260&gt;0)*(($V260:$AE260&lt;X260)+($V260:$AE260=X260)*($V$3:$AE$3&gt;X$3)+($V260:$AE260=X260)*($V$3:$AE$3=X$3)*($V$2:$AE$2&lt;X$2))),2))))</f>
      </c>
      <c r="AI260" s="33">
        <f>IF(Y260&lt;=0,0,MAX(0,MIN(Y260,ROUND($AZ260-SUMPRODUCT($V260:$AE260*($V260:$AE260&gt;0)*(($V260:$AE260&lt;Y260)+($V260:$AE260=Y260)*($V$3:$AE$3&gt;Y$3)+($V260:$AE260=Y260)*($V$3:$AE$3=Y$3)*($V$2:$AE$2&lt;Y$2))),2))))</f>
      </c>
      <c r="AJ260" s="33">
        <f>IF(Z260&lt;=0,0,MAX(0,MIN(Z260,ROUND($AZ260-SUMPRODUCT($V260:$AE260*($V260:$AE260&gt;0)*(($V260:$AE260&lt;Z260)+($V260:$AE260=Z260)*($V$3:$AE$3&gt;Z$3)+($V260:$AE260=Z260)*($V$3:$AE$3=Z$3)*($V$2:$AE$2&lt;Z$2))),2))))</f>
      </c>
      <c r="AK260" s="33">
        <f>IF(AA260&lt;=0,0,MAX(0,MIN(AA260,ROUND($AZ260-SUMPRODUCT($V260:$AE260*($V260:$AE260&gt;0)*(($V260:$AE260&lt;AA260)+($V260:$AE260=AA260)*($V$3:$AE$3&gt;AA$3)+($V260:$AE260=AA260)*($V$3:$AE$3=AA$3)*($V$2:$AE$2&lt;AA$2))),2))))</f>
      </c>
      <c r="AL260" s="33">
        <f>IF(AB260&lt;=0,0,MAX(0,MIN(AB260,ROUND($AZ260-SUMPRODUCT($V260:$AE260*($V260:$AE260&gt;0)*(($V260:$AE260&lt;AB260)+($V260:$AE260=AB260)*($V$3:$AE$3&gt;AB$3)+($V260:$AE260=AB260)*($V$3:$AE$3=AB$3)*($V$2:$AE$2&lt;AB$2))),2))))</f>
      </c>
      <c r="AM260" s="33">
        <f>IF(AC260&lt;=0,0,MAX(0,MIN(AC260,ROUND($AZ260-SUMPRODUCT($V260:$AE260*($V260:$AE260&gt;0)*(($V260:$AE260&lt;AC260)+($V260:$AE260=AC260)*($V$3:$AE$3&gt;AC$3)+($V260:$AE260=AC260)*($V$3:$AE$3=AC$3)*($V$2:$AE$2&lt;AC$2))),2))))</f>
      </c>
      <c r="AN260" s="33">
        <f>IF(AD260&lt;=0,0,MAX(0,MIN(AD260,ROUND($AZ260-SUMPRODUCT($V260:$AE260*($V260:$AE260&gt;0)*(($V260:$AE260&lt;AD260)+($V260:$AE260=AD260)*($V$3:$AE$3&gt;AD$3)+($V260:$AE260=AD260)*($V$3:$AE$3=AD$3)*($V$2:$AE$2&lt;AD$2))),2))))</f>
      </c>
      <c r="AO260" s="33">
        <f>IF(AE260&lt;=0,0,MAX(0,MIN(AE260,ROUND($AZ260-SUMPRODUCT($V260:$AE260*($V260:$AE260&gt;0)*(($V260:$AE260&lt;AE260)+($V260:$AE260=AE260)*($V$3:$AE$3&gt;AE$3)+($V260:$AE260=AE260)*($V$3:$AE$3=AE$3)*($V$2:$AE$2&lt;AE$2))),2))))</f>
      </c>
      <c r="AP260" s="33">
        <f>ROUND(V260-AF260,2)</f>
      </c>
      <c r="AQ260" s="33">
        <f>ROUND(W260-AG260,2)</f>
      </c>
      <c r="AR260" s="33">
        <f>ROUND(X260-AH260,2)</f>
      </c>
      <c r="AS260" s="33">
        <f>ROUND(Y260-AI260,2)</f>
      </c>
      <c r="AT260" s="33">
        <f>ROUND(Z260-AJ260,2)</f>
      </c>
      <c r="AU260" s="33">
        <f>ROUND(AA260-AK260,2)</f>
      </c>
      <c r="AV260" s="33">
        <f>ROUND(AB260-AL260,2)</f>
      </c>
      <c r="AW260" s="33">
        <f>ROUND(AC260-AM260,2)</f>
      </c>
      <c r="AX260" s="33">
        <f>ROUND(AD260-AN260,2)</f>
      </c>
      <c r="AY260" s="33">
        <f>ROUND(AE260-AO260,2)</f>
      </c>
      <c r="AZ260" s="33">
        <f>ROUND(MAX(0,'Your debts'!$D$22-SUM($L260:$U260)),2)</f>
      </c>
      <c r="BA260" s="33">
        <f>ROUND(SUM($B260:$K260)-SUM($AP259:$AY259),2)</f>
      </c>
      <c r="BB260" s="33">
        <f>SUM($AP260:$AY260)</f>
      </c>
      <c r="BC260" s="33">
        <f>ROUND(SUM($L260:$U260)+SUM($AF260:$AO260),2)</f>
      </c>
    </row>
    <row r="261" spans="1:55" x14ac:dyDescent="0.25">
      <c r="A261">
        <v>254</v>
      </c>
      <c r="B261" s="33">
        <f>IF(AP260&lt;=0,0,ROUND(AP260+ROUND(AP260*V$3/12,2),2))</f>
      </c>
      <c r="C261" s="33">
        <f>IF(AQ260&lt;=0,0,ROUND(AQ260+ROUND(AQ260*W$3/12,2),2))</f>
      </c>
      <c r="D261" s="33">
        <f>IF(AR260&lt;=0,0,ROUND(AR260+ROUND(AR260*X$3/12,2),2))</f>
      </c>
      <c r="E261" s="33">
        <f>IF(AS260&lt;=0,0,ROUND(AS260+ROUND(AS260*Y$3/12,2),2))</f>
      </c>
      <c r="F261" s="33">
        <f>IF(AT260&lt;=0,0,ROUND(AT260+ROUND(AT260*Z$3/12,2),2))</f>
      </c>
      <c r="G261" s="33">
        <f>IF(AU260&lt;=0,0,ROUND(AU260+ROUND(AU260*AA$3/12,2),2))</f>
      </c>
      <c r="H261" s="33">
        <f>IF(AV260&lt;=0,0,ROUND(AV260+ROUND(AV260*AB$3/12,2),2))</f>
      </c>
      <c r="I261" s="33">
        <f>IF(AW260&lt;=0,0,ROUND(AW260+ROUND(AW260*AC$3/12,2),2))</f>
      </c>
      <c r="J261" s="33">
        <f>IF(AX260&lt;=0,0,ROUND(AX260+ROUND(AX260*AD$3/12,2),2))</f>
      </c>
      <c r="K261" s="33">
        <f>IF(AY260&lt;=0,0,ROUND(AY260+ROUND(AY260*AE$3/12,2),2))</f>
      </c>
      <c r="L261" s="33">
        <f>ROUND(MIN(MAX(0,N('Your debts'!$E$6)),B261),2)</f>
      </c>
      <c r="M261" s="33">
        <f>ROUND(MIN(MAX(0,N('Your debts'!$E$7)),C261),2)</f>
      </c>
      <c r="N261" s="33">
        <f>ROUND(MIN(MAX(0,N('Your debts'!$E$8)),D261),2)</f>
      </c>
      <c r="O261" s="33">
        <f>ROUND(MIN(MAX(0,N('Your debts'!$E$9)),E261),2)</f>
      </c>
      <c r="P261" s="33">
        <f>ROUND(MIN(MAX(0,N('Your debts'!$E$10)),F261),2)</f>
      </c>
      <c r="Q261" s="33">
        <f>ROUND(MIN(MAX(0,N('Your debts'!$E$11)),G261),2)</f>
      </c>
      <c r="R261" s="33">
        <f>ROUND(MIN(MAX(0,N('Your debts'!$E$12)),H261),2)</f>
      </c>
      <c r="S261" s="33">
        <f>ROUND(MIN(MAX(0,N('Your debts'!$E$13)),I261),2)</f>
      </c>
      <c r="T261" s="33">
        <f>ROUND(MIN(MAX(0,N('Your debts'!$E$14)),J261),2)</f>
      </c>
      <c r="U261" s="33">
        <f>ROUND(MIN(MAX(0,N('Your debts'!$E$15)),K261),2)</f>
      </c>
      <c r="V261" s="33">
        <f>ROUND(B261-L261,2)</f>
      </c>
      <c r="W261" s="33">
        <f>ROUND(C261-M261,2)</f>
      </c>
      <c r="X261" s="33">
        <f>ROUND(D261-N261,2)</f>
      </c>
      <c r="Y261" s="33">
        <f>ROUND(E261-O261,2)</f>
      </c>
      <c r="Z261" s="33">
        <f>ROUND(F261-P261,2)</f>
      </c>
      <c r="AA261" s="33">
        <f>ROUND(G261-Q261,2)</f>
      </c>
      <c r="AB261" s="33">
        <f>ROUND(H261-R261,2)</f>
      </c>
      <c r="AC261" s="33">
        <f>ROUND(I261-S261,2)</f>
      </c>
      <c r="AD261" s="33">
        <f>ROUND(J261-T261,2)</f>
      </c>
      <c r="AE261" s="33">
        <f>ROUND(K261-U261,2)</f>
      </c>
      <c r="AF261" s="33">
        <f>IF(V261&lt;=0,0,MAX(0,MIN(V261,ROUND($AZ261-SUMPRODUCT($V261:$AE261*($V261:$AE261&gt;0)*(($V261:$AE261&lt;V261)+($V261:$AE261=V261)*($V$3:$AE$3&gt;V$3)+($V261:$AE261=V261)*($V$3:$AE$3=V$3)*($V$2:$AE$2&lt;V$2))),2))))</f>
      </c>
      <c r="AG261" s="33">
        <f>IF(W261&lt;=0,0,MAX(0,MIN(W261,ROUND($AZ261-SUMPRODUCT($V261:$AE261*($V261:$AE261&gt;0)*(($V261:$AE261&lt;W261)+($V261:$AE261=W261)*($V$3:$AE$3&gt;W$3)+($V261:$AE261=W261)*($V$3:$AE$3=W$3)*($V$2:$AE$2&lt;W$2))),2))))</f>
      </c>
      <c r="AH261" s="33">
        <f>IF(X261&lt;=0,0,MAX(0,MIN(X261,ROUND($AZ261-SUMPRODUCT($V261:$AE261*($V261:$AE261&gt;0)*(($V261:$AE261&lt;X261)+($V261:$AE261=X261)*($V$3:$AE$3&gt;X$3)+($V261:$AE261=X261)*($V$3:$AE$3=X$3)*($V$2:$AE$2&lt;X$2))),2))))</f>
      </c>
      <c r="AI261" s="33">
        <f>IF(Y261&lt;=0,0,MAX(0,MIN(Y261,ROUND($AZ261-SUMPRODUCT($V261:$AE261*($V261:$AE261&gt;0)*(($V261:$AE261&lt;Y261)+($V261:$AE261=Y261)*($V$3:$AE$3&gt;Y$3)+($V261:$AE261=Y261)*($V$3:$AE$3=Y$3)*($V$2:$AE$2&lt;Y$2))),2))))</f>
      </c>
      <c r="AJ261" s="33">
        <f>IF(Z261&lt;=0,0,MAX(0,MIN(Z261,ROUND($AZ261-SUMPRODUCT($V261:$AE261*($V261:$AE261&gt;0)*(($V261:$AE261&lt;Z261)+($V261:$AE261=Z261)*($V$3:$AE$3&gt;Z$3)+($V261:$AE261=Z261)*($V$3:$AE$3=Z$3)*($V$2:$AE$2&lt;Z$2))),2))))</f>
      </c>
      <c r="AK261" s="33">
        <f>IF(AA261&lt;=0,0,MAX(0,MIN(AA261,ROUND($AZ261-SUMPRODUCT($V261:$AE261*($V261:$AE261&gt;0)*(($V261:$AE261&lt;AA261)+($V261:$AE261=AA261)*($V$3:$AE$3&gt;AA$3)+($V261:$AE261=AA261)*($V$3:$AE$3=AA$3)*($V$2:$AE$2&lt;AA$2))),2))))</f>
      </c>
      <c r="AL261" s="33">
        <f>IF(AB261&lt;=0,0,MAX(0,MIN(AB261,ROUND($AZ261-SUMPRODUCT($V261:$AE261*($V261:$AE261&gt;0)*(($V261:$AE261&lt;AB261)+($V261:$AE261=AB261)*($V$3:$AE$3&gt;AB$3)+($V261:$AE261=AB261)*($V$3:$AE$3=AB$3)*($V$2:$AE$2&lt;AB$2))),2))))</f>
      </c>
      <c r="AM261" s="33">
        <f>IF(AC261&lt;=0,0,MAX(0,MIN(AC261,ROUND($AZ261-SUMPRODUCT($V261:$AE261*($V261:$AE261&gt;0)*(($V261:$AE261&lt;AC261)+($V261:$AE261=AC261)*($V$3:$AE$3&gt;AC$3)+($V261:$AE261=AC261)*($V$3:$AE$3=AC$3)*($V$2:$AE$2&lt;AC$2))),2))))</f>
      </c>
      <c r="AN261" s="33">
        <f>IF(AD261&lt;=0,0,MAX(0,MIN(AD261,ROUND($AZ261-SUMPRODUCT($V261:$AE261*($V261:$AE261&gt;0)*(($V261:$AE261&lt;AD261)+($V261:$AE261=AD261)*($V$3:$AE$3&gt;AD$3)+($V261:$AE261=AD261)*($V$3:$AE$3=AD$3)*($V$2:$AE$2&lt;AD$2))),2))))</f>
      </c>
      <c r="AO261" s="33">
        <f>IF(AE261&lt;=0,0,MAX(0,MIN(AE261,ROUND($AZ261-SUMPRODUCT($V261:$AE261*($V261:$AE261&gt;0)*(($V261:$AE261&lt;AE261)+($V261:$AE261=AE261)*($V$3:$AE$3&gt;AE$3)+($V261:$AE261=AE261)*($V$3:$AE$3=AE$3)*($V$2:$AE$2&lt;AE$2))),2))))</f>
      </c>
      <c r="AP261" s="33">
        <f>ROUND(V261-AF261,2)</f>
      </c>
      <c r="AQ261" s="33">
        <f>ROUND(W261-AG261,2)</f>
      </c>
      <c r="AR261" s="33">
        <f>ROUND(X261-AH261,2)</f>
      </c>
      <c r="AS261" s="33">
        <f>ROUND(Y261-AI261,2)</f>
      </c>
      <c r="AT261" s="33">
        <f>ROUND(Z261-AJ261,2)</f>
      </c>
      <c r="AU261" s="33">
        <f>ROUND(AA261-AK261,2)</f>
      </c>
      <c r="AV261" s="33">
        <f>ROUND(AB261-AL261,2)</f>
      </c>
      <c r="AW261" s="33">
        <f>ROUND(AC261-AM261,2)</f>
      </c>
      <c r="AX261" s="33">
        <f>ROUND(AD261-AN261,2)</f>
      </c>
      <c r="AY261" s="33">
        <f>ROUND(AE261-AO261,2)</f>
      </c>
      <c r="AZ261" s="33">
        <f>ROUND(MAX(0,'Your debts'!$D$22-SUM($L261:$U261)),2)</f>
      </c>
      <c r="BA261" s="33">
        <f>ROUND(SUM($B261:$K261)-SUM($AP260:$AY260),2)</f>
      </c>
      <c r="BB261" s="33">
        <f>SUM($AP261:$AY261)</f>
      </c>
      <c r="BC261" s="33">
        <f>ROUND(SUM($L261:$U261)+SUM($AF261:$AO261),2)</f>
      </c>
    </row>
    <row r="262" spans="1:55" x14ac:dyDescent="0.25">
      <c r="A262">
        <v>255</v>
      </c>
      <c r="B262" s="33">
        <f>IF(AP261&lt;=0,0,ROUND(AP261+ROUND(AP261*V$3/12,2),2))</f>
      </c>
      <c r="C262" s="33">
        <f>IF(AQ261&lt;=0,0,ROUND(AQ261+ROUND(AQ261*W$3/12,2),2))</f>
      </c>
      <c r="D262" s="33">
        <f>IF(AR261&lt;=0,0,ROUND(AR261+ROUND(AR261*X$3/12,2),2))</f>
      </c>
      <c r="E262" s="33">
        <f>IF(AS261&lt;=0,0,ROUND(AS261+ROUND(AS261*Y$3/12,2),2))</f>
      </c>
      <c r="F262" s="33">
        <f>IF(AT261&lt;=0,0,ROUND(AT261+ROUND(AT261*Z$3/12,2),2))</f>
      </c>
      <c r="G262" s="33">
        <f>IF(AU261&lt;=0,0,ROUND(AU261+ROUND(AU261*AA$3/12,2),2))</f>
      </c>
      <c r="H262" s="33">
        <f>IF(AV261&lt;=0,0,ROUND(AV261+ROUND(AV261*AB$3/12,2),2))</f>
      </c>
      <c r="I262" s="33">
        <f>IF(AW261&lt;=0,0,ROUND(AW261+ROUND(AW261*AC$3/12,2),2))</f>
      </c>
      <c r="J262" s="33">
        <f>IF(AX261&lt;=0,0,ROUND(AX261+ROUND(AX261*AD$3/12,2),2))</f>
      </c>
      <c r="K262" s="33">
        <f>IF(AY261&lt;=0,0,ROUND(AY261+ROUND(AY261*AE$3/12,2),2))</f>
      </c>
      <c r="L262" s="33">
        <f>ROUND(MIN(MAX(0,N('Your debts'!$E$6)),B262),2)</f>
      </c>
      <c r="M262" s="33">
        <f>ROUND(MIN(MAX(0,N('Your debts'!$E$7)),C262),2)</f>
      </c>
      <c r="N262" s="33">
        <f>ROUND(MIN(MAX(0,N('Your debts'!$E$8)),D262),2)</f>
      </c>
      <c r="O262" s="33">
        <f>ROUND(MIN(MAX(0,N('Your debts'!$E$9)),E262),2)</f>
      </c>
      <c r="P262" s="33">
        <f>ROUND(MIN(MAX(0,N('Your debts'!$E$10)),F262),2)</f>
      </c>
      <c r="Q262" s="33">
        <f>ROUND(MIN(MAX(0,N('Your debts'!$E$11)),G262),2)</f>
      </c>
      <c r="R262" s="33">
        <f>ROUND(MIN(MAX(0,N('Your debts'!$E$12)),H262),2)</f>
      </c>
      <c r="S262" s="33">
        <f>ROUND(MIN(MAX(0,N('Your debts'!$E$13)),I262),2)</f>
      </c>
      <c r="T262" s="33">
        <f>ROUND(MIN(MAX(0,N('Your debts'!$E$14)),J262),2)</f>
      </c>
      <c r="U262" s="33">
        <f>ROUND(MIN(MAX(0,N('Your debts'!$E$15)),K262),2)</f>
      </c>
      <c r="V262" s="33">
        <f>ROUND(B262-L262,2)</f>
      </c>
      <c r="W262" s="33">
        <f>ROUND(C262-M262,2)</f>
      </c>
      <c r="X262" s="33">
        <f>ROUND(D262-N262,2)</f>
      </c>
      <c r="Y262" s="33">
        <f>ROUND(E262-O262,2)</f>
      </c>
      <c r="Z262" s="33">
        <f>ROUND(F262-P262,2)</f>
      </c>
      <c r="AA262" s="33">
        <f>ROUND(G262-Q262,2)</f>
      </c>
      <c r="AB262" s="33">
        <f>ROUND(H262-R262,2)</f>
      </c>
      <c r="AC262" s="33">
        <f>ROUND(I262-S262,2)</f>
      </c>
      <c r="AD262" s="33">
        <f>ROUND(J262-T262,2)</f>
      </c>
      <c r="AE262" s="33">
        <f>ROUND(K262-U262,2)</f>
      </c>
      <c r="AF262" s="33">
        <f>IF(V262&lt;=0,0,MAX(0,MIN(V262,ROUND($AZ262-SUMPRODUCT($V262:$AE262*($V262:$AE262&gt;0)*(($V262:$AE262&lt;V262)+($V262:$AE262=V262)*($V$3:$AE$3&gt;V$3)+($V262:$AE262=V262)*($V$3:$AE$3=V$3)*($V$2:$AE$2&lt;V$2))),2))))</f>
      </c>
      <c r="AG262" s="33">
        <f>IF(W262&lt;=0,0,MAX(0,MIN(W262,ROUND($AZ262-SUMPRODUCT($V262:$AE262*($V262:$AE262&gt;0)*(($V262:$AE262&lt;W262)+($V262:$AE262=W262)*($V$3:$AE$3&gt;W$3)+($V262:$AE262=W262)*($V$3:$AE$3=W$3)*($V$2:$AE$2&lt;W$2))),2))))</f>
      </c>
      <c r="AH262" s="33">
        <f>IF(X262&lt;=0,0,MAX(0,MIN(X262,ROUND($AZ262-SUMPRODUCT($V262:$AE262*($V262:$AE262&gt;0)*(($V262:$AE262&lt;X262)+($V262:$AE262=X262)*($V$3:$AE$3&gt;X$3)+($V262:$AE262=X262)*($V$3:$AE$3=X$3)*($V$2:$AE$2&lt;X$2))),2))))</f>
      </c>
      <c r="AI262" s="33">
        <f>IF(Y262&lt;=0,0,MAX(0,MIN(Y262,ROUND($AZ262-SUMPRODUCT($V262:$AE262*($V262:$AE262&gt;0)*(($V262:$AE262&lt;Y262)+($V262:$AE262=Y262)*($V$3:$AE$3&gt;Y$3)+($V262:$AE262=Y262)*($V$3:$AE$3=Y$3)*($V$2:$AE$2&lt;Y$2))),2))))</f>
      </c>
      <c r="AJ262" s="33">
        <f>IF(Z262&lt;=0,0,MAX(0,MIN(Z262,ROUND($AZ262-SUMPRODUCT($V262:$AE262*($V262:$AE262&gt;0)*(($V262:$AE262&lt;Z262)+($V262:$AE262=Z262)*($V$3:$AE$3&gt;Z$3)+($V262:$AE262=Z262)*($V$3:$AE$3=Z$3)*($V$2:$AE$2&lt;Z$2))),2))))</f>
      </c>
      <c r="AK262" s="33">
        <f>IF(AA262&lt;=0,0,MAX(0,MIN(AA262,ROUND($AZ262-SUMPRODUCT($V262:$AE262*($V262:$AE262&gt;0)*(($V262:$AE262&lt;AA262)+($V262:$AE262=AA262)*($V$3:$AE$3&gt;AA$3)+($V262:$AE262=AA262)*($V$3:$AE$3=AA$3)*($V$2:$AE$2&lt;AA$2))),2))))</f>
      </c>
      <c r="AL262" s="33">
        <f>IF(AB262&lt;=0,0,MAX(0,MIN(AB262,ROUND($AZ262-SUMPRODUCT($V262:$AE262*($V262:$AE262&gt;0)*(($V262:$AE262&lt;AB262)+($V262:$AE262=AB262)*($V$3:$AE$3&gt;AB$3)+($V262:$AE262=AB262)*($V$3:$AE$3=AB$3)*($V$2:$AE$2&lt;AB$2))),2))))</f>
      </c>
      <c r="AM262" s="33">
        <f>IF(AC262&lt;=0,0,MAX(0,MIN(AC262,ROUND($AZ262-SUMPRODUCT($V262:$AE262*($V262:$AE262&gt;0)*(($V262:$AE262&lt;AC262)+($V262:$AE262=AC262)*($V$3:$AE$3&gt;AC$3)+($V262:$AE262=AC262)*($V$3:$AE$3=AC$3)*($V$2:$AE$2&lt;AC$2))),2))))</f>
      </c>
      <c r="AN262" s="33">
        <f>IF(AD262&lt;=0,0,MAX(0,MIN(AD262,ROUND($AZ262-SUMPRODUCT($V262:$AE262*($V262:$AE262&gt;0)*(($V262:$AE262&lt;AD262)+($V262:$AE262=AD262)*($V$3:$AE$3&gt;AD$3)+($V262:$AE262=AD262)*($V$3:$AE$3=AD$3)*($V$2:$AE$2&lt;AD$2))),2))))</f>
      </c>
      <c r="AO262" s="33">
        <f>IF(AE262&lt;=0,0,MAX(0,MIN(AE262,ROUND($AZ262-SUMPRODUCT($V262:$AE262*($V262:$AE262&gt;0)*(($V262:$AE262&lt;AE262)+($V262:$AE262=AE262)*($V$3:$AE$3&gt;AE$3)+($V262:$AE262=AE262)*($V$3:$AE$3=AE$3)*($V$2:$AE$2&lt;AE$2))),2))))</f>
      </c>
      <c r="AP262" s="33">
        <f>ROUND(V262-AF262,2)</f>
      </c>
      <c r="AQ262" s="33">
        <f>ROUND(W262-AG262,2)</f>
      </c>
      <c r="AR262" s="33">
        <f>ROUND(X262-AH262,2)</f>
      </c>
      <c r="AS262" s="33">
        <f>ROUND(Y262-AI262,2)</f>
      </c>
      <c r="AT262" s="33">
        <f>ROUND(Z262-AJ262,2)</f>
      </c>
      <c r="AU262" s="33">
        <f>ROUND(AA262-AK262,2)</f>
      </c>
      <c r="AV262" s="33">
        <f>ROUND(AB262-AL262,2)</f>
      </c>
      <c r="AW262" s="33">
        <f>ROUND(AC262-AM262,2)</f>
      </c>
      <c r="AX262" s="33">
        <f>ROUND(AD262-AN262,2)</f>
      </c>
      <c r="AY262" s="33">
        <f>ROUND(AE262-AO262,2)</f>
      </c>
      <c r="AZ262" s="33">
        <f>ROUND(MAX(0,'Your debts'!$D$22-SUM($L262:$U262)),2)</f>
      </c>
      <c r="BA262" s="33">
        <f>ROUND(SUM($B262:$K262)-SUM($AP261:$AY261),2)</f>
      </c>
      <c r="BB262" s="33">
        <f>SUM($AP262:$AY262)</f>
      </c>
      <c r="BC262" s="33">
        <f>ROUND(SUM($L262:$U262)+SUM($AF262:$AO262),2)</f>
      </c>
    </row>
    <row r="263" spans="1:55" x14ac:dyDescent="0.25">
      <c r="A263">
        <v>256</v>
      </c>
      <c r="B263" s="33">
        <f>IF(AP262&lt;=0,0,ROUND(AP262+ROUND(AP262*V$3/12,2),2))</f>
      </c>
      <c r="C263" s="33">
        <f>IF(AQ262&lt;=0,0,ROUND(AQ262+ROUND(AQ262*W$3/12,2),2))</f>
      </c>
      <c r="D263" s="33">
        <f>IF(AR262&lt;=0,0,ROUND(AR262+ROUND(AR262*X$3/12,2),2))</f>
      </c>
      <c r="E263" s="33">
        <f>IF(AS262&lt;=0,0,ROUND(AS262+ROUND(AS262*Y$3/12,2),2))</f>
      </c>
      <c r="F263" s="33">
        <f>IF(AT262&lt;=0,0,ROUND(AT262+ROUND(AT262*Z$3/12,2),2))</f>
      </c>
      <c r="G263" s="33">
        <f>IF(AU262&lt;=0,0,ROUND(AU262+ROUND(AU262*AA$3/12,2),2))</f>
      </c>
      <c r="H263" s="33">
        <f>IF(AV262&lt;=0,0,ROUND(AV262+ROUND(AV262*AB$3/12,2),2))</f>
      </c>
      <c r="I263" s="33">
        <f>IF(AW262&lt;=0,0,ROUND(AW262+ROUND(AW262*AC$3/12,2),2))</f>
      </c>
      <c r="J263" s="33">
        <f>IF(AX262&lt;=0,0,ROUND(AX262+ROUND(AX262*AD$3/12,2),2))</f>
      </c>
      <c r="K263" s="33">
        <f>IF(AY262&lt;=0,0,ROUND(AY262+ROUND(AY262*AE$3/12,2),2))</f>
      </c>
      <c r="L263" s="33">
        <f>ROUND(MIN(MAX(0,N('Your debts'!$E$6)),B263),2)</f>
      </c>
      <c r="M263" s="33">
        <f>ROUND(MIN(MAX(0,N('Your debts'!$E$7)),C263),2)</f>
      </c>
      <c r="N263" s="33">
        <f>ROUND(MIN(MAX(0,N('Your debts'!$E$8)),D263),2)</f>
      </c>
      <c r="O263" s="33">
        <f>ROUND(MIN(MAX(0,N('Your debts'!$E$9)),E263),2)</f>
      </c>
      <c r="P263" s="33">
        <f>ROUND(MIN(MAX(0,N('Your debts'!$E$10)),F263),2)</f>
      </c>
      <c r="Q263" s="33">
        <f>ROUND(MIN(MAX(0,N('Your debts'!$E$11)),G263),2)</f>
      </c>
      <c r="R263" s="33">
        <f>ROUND(MIN(MAX(0,N('Your debts'!$E$12)),H263),2)</f>
      </c>
      <c r="S263" s="33">
        <f>ROUND(MIN(MAX(0,N('Your debts'!$E$13)),I263),2)</f>
      </c>
      <c r="T263" s="33">
        <f>ROUND(MIN(MAX(0,N('Your debts'!$E$14)),J263),2)</f>
      </c>
      <c r="U263" s="33">
        <f>ROUND(MIN(MAX(0,N('Your debts'!$E$15)),K263),2)</f>
      </c>
      <c r="V263" s="33">
        <f>ROUND(B263-L263,2)</f>
      </c>
      <c r="W263" s="33">
        <f>ROUND(C263-M263,2)</f>
      </c>
      <c r="X263" s="33">
        <f>ROUND(D263-N263,2)</f>
      </c>
      <c r="Y263" s="33">
        <f>ROUND(E263-O263,2)</f>
      </c>
      <c r="Z263" s="33">
        <f>ROUND(F263-P263,2)</f>
      </c>
      <c r="AA263" s="33">
        <f>ROUND(G263-Q263,2)</f>
      </c>
      <c r="AB263" s="33">
        <f>ROUND(H263-R263,2)</f>
      </c>
      <c r="AC263" s="33">
        <f>ROUND(I263-S263,2)</f>
      </c>
      <c r="AD263" s="33">
        <f>ROUND(J263-T263,2)</f>
      </c>
      <c r="AE263" s="33">
        <f>ROUND(K263-U263,2)</f>
      </c>
      <c r="AF263" s="33">
        <f>IF(V263&lt;=0,0,MAX(0,MIN(V263,ROUND($AZ263-SUMPRODUCT($V263:$AE263*($V263:$AE263&gt;0)*(($V263:$AE263&lt;V263)+($V263:$AE263=V263)*($V$3:$AE$3&gt;V$3)+($V263:$AE263=V263)*($V$3:$AE$3=V$3)*($V$2:$AE$2&lt;V$2))),2))))</f>
      </c>
      <c r="AG263" s="33">
        <f>IF(W263&lt;=0,0,MAX(0,MIN(W263,ROUND($AZ263-SUMPRODUCT($V263:$AE263*($V263:$AE263&gt;0)*(($V263:$AE263&lt;W263)+($V263:$AE263=W263)*($V$3:$AE$3&gt;W$3)+($V263:$AE263=W263)*($V$3:$AE$3=W$3)*($V$2:$AE$2&lt;W$2))),2))))</f>
      </c>
      <c r="AH263" s="33">
        <f>IF(X263&lt;=0,0,MAX(0,MIN(X263,ROUND($AZ263-SUMPRODUCT($V263:$AE263*($V263:$AE263&gt;0)*(($V263:$AE263&lt;X263)+($V263:$AE263=X263)*($V$3:$AE$3&gt;X$3)+($V263:$AE263=X263)*($V$3:$AE$3=X$3)*($V$2:$AE$2&lt;X$2))),2))))</f>
      </c>
      <c r="AI263" s="33">
        <f>IF(Y263&lt;=0,0,MAX(0,MIN(Y263,ROUND($AZ263-SUMPRODUCT($V263:$AE263*($V263:$AE263&gt;0)*(($V263:$AE263&lt;Y263)+($V263:$AE263=Y263)*($V$3:$AE$3&gt;Y$3)+($V263:$AE263=Y263)*($V$3:$AE$3=Y$3)*($V$2:$AE$2&lt;Y$2))),2))))</f>
      </c>
      <c r="AJ263" s="33">
        <f>IF(Z263&lt;=0,0,MAX(0,MIN(Z263,ROUND($AZ263-SUMPRODUCT($V263:$AE263*($V263:$AE263&gt;0)*(($V263:$AE263&lt;Z263)+($V263:$AE263=Z263)*($V$3:$AE$3&gt;Z$3)+($V263:$AE263=Z263)*($V$3:$AE$3=Z$3)*($V$2:$AE$2&lt;Z$2))),2))))</f>
      </c>
      <c r="AK263" s="33">
        <f>IF(AA263&lt;=0,0,MAX(0,MIN(AA263,ROUND($AZ263-SUMPRODUCT($V263:$AE263*($V263:$AE263&gt;0)*(($V263:$AE263&lt;AA263)+($V263:$AE263=AA263)*($V$3:$AE$3&gt;AA$3)+($V263:$AE263=AA263)*($V$3:$AE$3=AA$3)*($V$2:$AE$2&lt;AA$2))),2))))</f>
      </c>
      <c r="AL263" s="33">
        <f>IF(AB263&lt;=0,0,MAX(0,MIN(AB263,ROUND($AZ263-SUMPRODUCT($V263:$AE263*($V263:$AE263&gt;0)*(($V263:$AE263&lt;AB263)+($V263:$AE263=AB263)*($V$3:$AE$3&gt;AB$3)+($V263:$AE263=AB263)*($V$3:$AE$3=AB$3)*($V$2:$AE$2&lt;AB$2))),2))))</f>
      </c>
      <c r="AM263" s="33">
        <f>IF(AC263&lt;=0,0,MAX(0,MIN(AC263,ROUND($AZ263-SUMPRODUCT($V263:$AE263*($V263:$AE263&gt;0)*(($V263:$AE263&lt;AC263)+($V263:$AE263=AC263)*($V$3:$AE$3&gt;AC$3)+($V263:$AE263=AC263)*($V$3:$AE$3=AC$3)*($V$2:$AE$2&lt;AC$2))),2))))</f>
      </c>
      <c r="AN263" s="33">
        <f>IF(AD263&lt;=0,0,MAX(0,MIN(AD263,ROUND($AZ263-SUMPRODUCT($V263:$AE263*($V263:$AE263&gt;0)*(($V263:$AE263&lt;AD263)+($V263:$AE263=AD263)*($V$3:$AE$3&gt;AD$3)+($V263:$AE263=AD263)*($V$3:$AE$3=AD$3)*($V$2:$AE$2&lt;AD$2))),2))))</f>
      </c>
      <c r="AO263" s="33">
        <f>IF(AE263&lt;=0,0,MAX(0,MIN(AE263,ROUND($AZ263-SUMPRODUCT($V263:$AE263*($V263:$AE263&gt;0)*(($V263:$AE263&lt;AE263)+($V263:$AE263=AE263)*($V$3:$AE$3&gt;AE$3)+($V263:$AE263=AE263)*($V$3:$AE$3=AE$3)*($V$2:$AE$2&lt;AE$2))),2))))</f>
      </c>
      <c r="AP263" s="33">
        <f>ROUND(V263-AF263,2)</f>
      </c>
      <c r="AQ263" s="33">
        <f>ROUND(W263-AG263,2)</f>
      </c>
      <c r="AR263" s="33">
        <f>ROUND(X263-AH263,2)</f>
      </c>
      <c r="AS263" s="33">
        <f>ROUND(Y263-AI263,2)</f>
      </c>
      <c r="AT263" s="33">
        <f>ROUND(Z263-AJ263,2)</f>
      </c>
      <c r="AU263" s="33">
        <f>ROUND(AA263-AK263,2)</f>
      </c>
      <c r="AV263" s="33">
        <f>ROUND(AB263-AL263,2)</f>
      </c>
      <c r="AW263" s="33">
        <f>ROUND(AC263-AM263,2)</f>
      </c>
      <c r="AX263" s="33">
        <f>ROUND(AD263-AN263,2)</f>
      </c>
      <c r="AY263" s="33">
        <f>ROUND(AE263-AO263,2)</f>
      </c>
      <c r="AZ263" s="33">
        <f>ROUND(MAX(0,'Your debts'!$D$22-SUM($L263:$U263)),2)</f>
      </c>
      <c r="BA263" s="33">
        <f>ROUND(SUM($B263:$K263)-SUM($AP262:$AY262),2)</f>
      </c>
      <c r="BB263" s="33">
        <f>SUM($AP263:$AY263)</f>
      </c>
      <c r="BC263" s="33">
        <f>ROUND(SUM($L263:$U263)+SUM($AF263:$AO263),2)</f>
      </c>
    </row>
    <row r="264" spans="1:55" x14ac:dyDescent="0.25">
      <c r="A264">
        <v>257</v>
      </c>
      <c r="B264" s="33">
        <f>IF(AP263&lt;=0,0,ROUND(AP263+ROUND(AP263*V$3/12,2),2))</f>
      </c>
      <c r="C264" s="33">
        <f>IF(AQ263&lt;=0,0,ROUND(AQ263+ROUND(AQ263*W$3/12,2),2))</f>
      </c>
      <c r="D264" s="33">
        <f>IF(AR263&lt;=0,0,ROUND(AR263+ROUND(AR263*X$3/12,2),2))</f>
      </c>
      <c r="E264" s="33">
        <f>IF(AS263&lt;=0,0,ROUND(AS263+ROUND(AS263*Y$3/12,2),2))</f>
      </c>
      <c r="F264" s="33">
        <f>IF(AT263&lt;=0,0,ROUND(AT263+ROUND(AT263*Z$3/12,2),2))</f>
      </c>
      <c r="G264" s="33">
        <f>IF(AU263&lt;=0,0,ROUND(AU263+ROUND(AU263*AA$3/12,2),2))</f>
      </c>
      <c r="H264" s="33">
        <f>IF(AV263&lt;=0,0,ROUND(AV263+ROUND(AV263*AB$3/12,2),2))</f>
      </c>
      <c r="I264" s="33">
        <f>IF(AW263&lt;=0,0,ROUND(AW263+ROUND(AW263*AC$3/12,2),2))</f>
      </c>
      <c r="J264" s="33">
        <f>IF(AX263&lt;=0,0,ROUND(AX263+ROUND(AX263*AD$3/12,2),2))</f>
      </c>
      <c r="K264" s="33">
        <f>IF(AY263&lt;=0,0,ROUND(AY263+ROUND(AY263*AE$3/12,2),2))</f>
      </c>
      <c r="L264" s="33">
        <f>ROUND(MIN(MAX(0,N('Your debts'!$E$6)),B264),2)</f>
      </c>
      <c r="M264" s="33">
        <f>ROUND(MIN(MAX(0,N('Your debts'!$E$7)),C264),2)</f>
      </c>
      <c r="N264" s="33">
        <f>ROUND(MIN(MAX(0,N('Your debts'!$E$8)),D264),2)</f>
      </c>
      <c r="O264" s="33">
        <f>ROUND(MIN(MAX(0,N('Your debts'!$E$9)),E264),2)</f>
      </c>
      <c r="P264" s="33">
        <f>ROUND(MIN(MAX(0,N('Your debts'!$E$10)),F264),2)</f>
      </c>
      <c r="Q264" s="33">
        <f>ROUND(MIN(MAX(0,N('Your debts'!$E$11)),G264),2)</f>
      </c>
      <c r="R264" s="33">
        <f>ROUND(MIN(MAX(0,N('Your debts'!$E$12)),H264),2)</f>
      </c>
      <c r="S264" s="33">
        <f>ROUND(MIN(MAX(0,N('Your debts'!$E$13)),I264),2)</f>
      </c>
      <c r="T264" s="33">
        <f>ROUND(MIN(MAX(0,N('Your debts'!$E$14)),J264),2)</f>
      </c>
      <c r="U264" s="33">
        <f>ROUND(MIN(MAX(0,N('Your debts'!$E$15)),K264),2)</f>
      </c>
      <c r="V264" s="33">
        <f>ROUND(B264-L264,2)</f>
      </c>
      <c r="W264" s="33">
        <f>ROUND(C264-M264,2)</f>
      </c>
      <c r="X264" s="33">
        <f>ROUND(D264-N264,2)</f>
      </c>
      <c r="Y264" s="33">
        <f>ROUND(E264-O264,2)</f>
      </c>
      <c r="Z264" s="33">
        <f>ROUND(F264-P264,2)</f>
      </c>
      <c r="AA264" s="33">
        <f>ROUND(G264-Q264,2)</f>
      </c>
      <c r="AB264" s="33">
        <f>ROUND(H264-R264,2)</f>
      </c>
      <c r="AC264" s="33">
        <f>ROUND(I264-S264,2)</f>
      </c>
      <c r="AD264" s="33">
        <f>ROUND(J264-T264,2)</f>
      </c>
      <c r="AE264" s="33">
        <f>ROUND(K264-U264,2)</f>
      </c>
      <c r="AF264" s="33">
        <f>IF(V264&lt;=0,0,MAX(0,MIN(V264,ROUND($AZ264-SUMPRODUCT($V264:$AE264*($V264:$AE264&gt;0)*(($V264:$AE264&lt;V264)+($V264:$AE264=V264)*($V$3:$AE$3&gt;V$3)+($V264:$AE264=V264)*($V$3:$AE$3=V$3)*($V$2:$AE$2&lt;V$2))),2))))</f>
      </c>
      <c r="AG264" s="33">
        <f>IF(W264&lt;=0,0,MAX(0,MIN(W264,ROUND($AZ264-SUMPRODUCT($V264:$AE264*($V264:$AE264&gt;0)*(($V264:$AE264&lt;W264)+($V264:$AE264=W264)*($V$3:$AE$3&gt;W$3)+($V264:$AE264=W264)*($V$3:$AE$3=W$3)*($V$2:$AE$2&lt;W$2))),2))))</f>
      </c>
      <c r="AH264" s="33">
        <f>IF(X264&lt;=0,0,MAX(0,MIN(X264,ROUND($AZ264-SUMPRODUCT($V264:$AE264*($V264:$AE264&gt;0)*(($V264:$AE264&lt;X264)+($V264:$AE264=X264)*($V$3:$AE$3&gt;X$3)+($V264:$AE264=X264)*($V$3:$AE$3=X$3)*($V$2:$AE$2&lt;X$2))),2))))</f>
      </c>
      <c r="AI264" s="33">
        <f>IF(Y264&lt;=0,0,MAX(0,MIN(Y264,ROUND($AZ264-SUMPRODUCT($V264:$AE264*($V264:$AE264&gt;0)*(($V264:$AE264&lt;Y264)+($V264:$AE264=Y264)*($V$3:$AE$3&gt;Y$3)+($V264:$AE264=Y264)*($V$3:$AE$3=Y$3)*($V$2:$AE$2&lt;Y$2))),2))))</f>
      </c>
      <c r="AJ264" s="33">
        <f>IF(Z264&lt;=0,0,MAX(0,MIN(Z264,ROUND($AZ264-SUMPRODUCT($V264:$AE264*($V264:$AE264&gt;0)*(($V264:$AE264&lt;Z264)+($V264:$AE264=Z264)*($V$3:$AE$3&gt;Z$3)+($V264:$AE264=Z264)*($V$3:$AE$3=Z$3)*($V$2:$AE$2&lt;Z$2))),2))))</f>
      </c>
      <c r="AK264" s="33">
        <f>IF(AA264&lt;=0,0,MAX(0,MIN(AA264,ROUND($AZ264-SUMPRODUCT($V264:$AE264*($V264:$AE264&gt;0)*(($V264:$AE264&lt;AA264)+($V264:$AE264=AA264)*($V$3:$AE$3&gt;AA$3)+($V264:$AE264=AA264)*($V$3:$AE$3=AA$3)*($V$2:$AE$2&lt;AA$2))),2))))</f>
      </c>
      <c r="AL264" s="33">
        <f>IF(AB264&lt;=0,0,MAX(0,MIN(AB264,ROUND($AZ264-SUMPRODUCT($V264:$AE264*($V264:$AE264&gt;0)*(($V264:$AE264&lt;AB264)+($V264:$AE264=AB264)*($V$3:$AE$3&gt;AB$3)+($V264:$AE264=AB264)*($V$3:$AE$3=AB$3)*($V$2:$AE$2&lt;AB$2))),2))))</f>
      </c>
      <c r="AM264" s="33">
        <f>IF(AC264&lt;=0,0,MAX(0,MIN(AC264,ROUND($AZ264-SUMPRODUCT($V264:$AE264*($V264:$AE264&gt;0)*(($V264:$AE264&lt;AC264)+($V264:$AE264=AC264)*($V$3:$AE$3&gt;AC$3)+($V264:$AE264=AC264)*($V$3:$AE$3=AC$3)*($V$2:$AE$2&lt;AC$2))),2))))</f>
      </c>
      <c r="AN264" s="33">
        <f>IF(AD264&lt;=0,0,MAX(0,MIN(AD264,ROUND($AZ264-SUMPRODUCT($V264:$AE264*($V264:$AE264&gt;0)*(($V264:$AE264&lt;AD264)+($V264:$AE264=AD264)*($V$3:$AE$3&gt;AD$3)+($V264:$AE264=AD264)*($V$3:$AE$3=AD$3)*($V$2:$AE$2&lt;AD$2))),2))))</f>
      </c>
      <c r="AO264" s="33">
        <f>IF(AE264&lt;=0,0,MAX(0,MIN(AE264,ROUND($AZ264-SUMPRODUCT($V264:$AE264*($V264:$AE264&gt;0)*(($V264:$AE264&lt;AE264)+($V264:$AE264=AE264)*($V$3:$AE$3&gt;AE$3)+($V264:$AE264=AE264)*($V$3:$AE$3=AE$3)*($V$2:$AE$2&lt;AE$2))),2))))</f>
      </c>
      <c r="AP264" s="33">
        <f>ROUND(V264-AF264,2)</f>
      </c>
      <c r="AQ264" s="33">
        <f>ROUND(W264-AG264,2)</f>
      </c>
      <c r="AR264" s="33">
        <f>ROUND(X264-AH264,2)</f>
      </c>
      <c r="AS264" s="33">
        <f>ROUND(Y264-AI264,2)</f>
      </c>
      <c r="AT264" s="33">
        <f>ROUND(Z264-AJ264,2)</f>
      </c>
      <c r="AU264" s="33">
        <f>ROUND(AA264-AK264,2)</f>
      </c>
      <c r="AV264" s="33">
        <f>ROUND(AB264-AL264,2)</f>
      </c>
      <c r="AW264" s="33">
        <f>ROUND(AC264-AM264,2)</f>
      </c>
      <c r="AX264" s="33">
        <f>ROUND(AD264-AN264,2)</f>
      </c>
      <c r="AY264" s="33">
        <f>ROUND(AE264-AO264,2)</f>
      </c>
      <c r="AZ264" s="33">
        <f>ROUND(MAX(0,'Your debts'!$D$22-SUM($L264:$U264)),2)</f>
      </c>
      <c r="BA264" s="33">
        <f>ROUND(SUM($B264:$K264)-SUM($AP263:$AY263),2)</f>
      </c>
      <c r="BB264" s="33">
        <f>SUM($AP264:$AY264)</f>
      </c>
      <c r="BC264" s="33">
        <f>ROUND(SUM($L264:$U264)+SUM($AF264:$AO264),2)</f>
      </c>
    </row>
    <row r="265" spans="1:55" x14ac:dyDescent="0.25">
      <c r="A265">
        <v>258</v>
      </c>
      <c r="B265" s="33">
        <f>IF(AP264&lt;=0,0,ROUND(AP264+ROUND(AP264*V$3/12,2),2))</f>
      </c>
      <c r="C265" s="33">
        <f>IF(AQ264&lt;=0,0,ROUND(AQ264+ROUND(AQ264*W$3/12,2),2))</f>
      </c>
      <c r="D265" s="33">
        <f>IF(AR264&lt;=0,0,ROUND(AR264+ROUND(AR264*X$3/12,2),2))</f>
      </c>
      <c r="E265" s="33">
        <f>IF(AS264&lt;=0,0,ROUND(AS264+ROUND(AS264*Y$3/12,2),2))</f>
      </c>
      <c r="F265" s="33">
        <f>IF(AT264&lt;=0,0,ROUND(AT264+ROUND(AT264*Z$3/12,2),2))</f>
      </c>
      <c r="G265" s="33">
        <f>IF(AU264&lt;=0,0,ROUND(AU264+ROUND(AU264*AA$3/12,2),2))</f>
      </c>
      <c r="H265" s="33">
        <f>IF(AV264&lt;=0,0,ROUND(AV264+ROUND(AV264*AB$3/12,2),2))</f>
      </c>
      <c r="I265" s="33">
        <f>IF(AW264&lt;=0,0,ROUND(AW264+ROUND(AW264*AC$3/12,2),2))</f>
      </c>
      <c r="J265" s="33">
        <f>IF(AX264&lt;=0,0,ROUND(AX264+ROUND(AX264*AD$3/12,2),2))</f>
      </c>
      <c r="K265" s="33">
        <f>IF(AY264&lt;=0,0,ROUND(AY264+ROUND(AY264*AE$3/12,2),2))</f>
      </c>
      <c r="L265" s="33">
        <f>ROUND(MIN(MAX(0,N('Your debts'!$E$6)),B265),2)</f>
      </c>
      <c r="M265" s="33">
        <f>ROUND(MIN(MAX(0,N('Your debts'!$E$7)),C265),2)</f>
      </c>
      <c r="N265" s="33">
        <f>ROUND(MIN(MAX(0,N('Your debts'!$E$8)),D265),2)</f>
      </c>
      <c r="O265" s="33">
        <f>ROUND(MIN(MAX(0,N('Your debts'!$E$9)),E265),2)</f>
      </c>
      <c r="P265" s="33">
        <f>ROUND(MIN(MAX(0,N('Your debts'!$E$10)),F265),2)</f>
      </c>
      <c r="Q265" s="33">
        <f>ROUND(MIN(MAX(0,N('Your debts'!$E$11)),G265),2)</f>
      </c>
      <c r="R265" s="33">
        <f>ROUND(MIN(MAX(0,N('Your debts'!$E$12)),H265),2)</f>
      </c>
      <c r="S265" s="33">
        <f>ROUND(MIN(MAX(0,N('Your debts'!$E$13)),I265),2)</f>
      </c>
      <c r="T265" s="33">
        <f>ROUND(MIN(MAX(0,N('Your debts'!$E$14)),J265),2)</f>
      </c>
      <c r="U265" s="33">
        <f>ROUND(MIN(MAX(0,N('Your debts'!$E$15)),K265),2)</f>
      </c>
      <c r="V265" s="33">
        <f>ROUND(B265-L265,2)</f>
      </c>
      <c r="W265" s="33">
        <f>ROUND(C265-M265,2)</f>
      </c>
      <c r="X265" s="33">
        <f>ROUND(D265-N265,2)</f>
      </c>
      <c r="Y265" s="33">
        <f>ROUND(E265-O265,2)</f>
      </c>
      <c r="Z265" s="33">
        <f>ROUND(F265-P265,2)</f>
      </c>
      <c r="AA265" s="33">
        <f>ROUND(G265-Q265,2)</f>
      </c>
      <c r="AB265" s="33">
        <f>ROUND(H265-R265,2)</f>
      </c>
      <c r="AC265" s="33">
        <f>ROUND(I265-S265,2)</f>
      </c>
      <c r="AD265" s="33">
        <f>ROUND(J265-T265,2)</f>
      </c>
      <c r="AE265" s="33">
        <f>ROUND(K265-U265,2)</f>
      </c>
      <c r="AF265" s="33">
        <f>IF(V265&lt;=0,0,MAX(0,MIN(V265,ROUND($AZ265-SUMPRODUCT($V265:$AE265*($V265:$AE265&gt;0)*(($V265:$AE265&lt;V265)+($V265:$AE265=V265)*($V$3:$AE$3&gt;V$3)+($V265:$AE265=V265)*($V$3:$AE$3=V$3)*($V$2:$AE$2&lt;V$2))),2))))</f>
      </c>
      <c r="AG265" s="33">
        <f>IF(W265&lt;=0,0,MAX(0,MIN(W265,ROUND($AZ265-SUMPRODUCT($V265:$AE265*($V265:$AE265&gt;0)*(($V265:$AE265&lt;W265)+($V265:$AE265=W265)*($V$3:$AE$3&gt;W$3)+($V265:$AE265=W265)*($V$3:$AE$3=W$3)*($V$2:$AE$2&lt;W$2))),2))))</f>
      </c>
      <c r="AH265" s="33">
        <f>IF(X265&lt;=0,0,MAX(0,MIN(X265,ROUND($AZ265-SUMPRODUCT($V265:$AE265*($V265:$AE265&gt;0)*(($V265:$AE265&lt;X265)+($V265:$AE265=X265)*($V$3:$AE$3&gt;X$3)+($V265:$AE265=X265)*($V$3:$AE$3=X$3)*($V$2:$AE$2&lt;X$2))),2))))</f>
      </c>
      <c r="AI265" s="33">
        <f>IF(Y265&lt;=0,0,MAX(0,MIN(Y265,ROUND($AZ265-SUMPRODUCT($V265:$AE265*($V265:$AE265&gt;0)*(($V265:$AE265&lt;Y265)+($V265:$AE265=Y265)*($V$3:$AE$3&gt;Y$3)+($V265:$AE265=Y265)*($V$3:$AE$3=Y$3)*($V$2:$AE$2&lt;Y$2))),2))))</f>
      </c>
      <c r="AJ265" s="33">
        <f>IF(Z265&lt;=0,0,MAX(0,MIN(Z265,ROUND($AZ265-SUMPRODUCT($V265:$AE265*($V265:$AE265&gt;0)*(($V265:$AE265&lt;Z265)+($V265:$AE265=Z265)*($V$3:$AE$3&gt;Z$3)+($V265:$AE265=Z265)*($V$3:$AE$3=Z$3)*($V$2:$AE$2&lt;Z$2))),2))))</f>
      </c>
      <c r="AK265" s="33">
        <f>IF(AA265&lt;=0,0,MAX(0,MIN(AA265,ROUND($AZ265-SUMPRODUCT($V265:$AE265*($V265:$AE265&gt;0)*(($V265:$AE265&lt;AA265)+($V265:$AE265=AA265)*($V$3:$AE$3&gt;AA$3)+($V265:$AE265=AA265)*($V$3:$AE$3=AA$3)*($V$2:$AE$2&lt;AA$2))),2))))</f>
      </c>
      <c r="AL265" s="33">
        <f>IF(AB265&lt;=0,0,MAX(0,MIN(AB265,ROUND($AZ265-SUMPRODUCT($V265:$AE265*($V265:$AE265&gt;0)*(($V265:$AE265&lt;AB265)+($V265:$AE265=AB265)*($V$3:$AE$3&gt;AB$3)+($V265:$AE265=AB265)*($V$3:$AE$3=AB$3)*($V$2:$AE$2&lt;AB$2))),2))))</f>
      </c>
      <c r="AM265" s="33">
        <f>IF(AC265&lt;=0,0,MAX(0,MIN(AC265,ROUND($AZ265-SUMPRODUCT($V265:$AE265*($V265:$AE265&gt;0)*(($V265:$AE265&lt;AC265)+($V265:$AE265=AC265)*($V$3:$AE$3&gt;AC$3)+($V265:$AE265=AC265)*($V$3:$AE$3=AC$3)*($V$2:$AE$2&lt;AC$2))),2))))</f>
      </c>
      <c r="AN265" s="33">
        <f>IF(AD265&lt;=0,0,MAX(0,MIN(AD265,ROUND($AZ265-SUMPRODUCT($V265:$AE265*($V265:$AE265&gt;0)*(($V265:$AE265&lt;AD265)+($V265:$AE265=AD265)*($V$3:$AE$3&gt;AD$3)+($V265:$AE265=AD265)*($V$3:$AE$3=AD$3)*($V$2:$AE$2&lt;AD$2))),2))))</f>
      </c>
      <c r="AO265" s="33">
        <f>IF(AE265&lt;=0,0,MAX(0,MIN(AE265,ROUND($AZ265-SUMPRODUCT($V265:$AE265*($V265:$AE265&gt;0)*(($V265:$AE265&lt;AE265)+($V265:$AE265=AE265)*($V$3:$AE$3&gt;AE$3)+($V265:$AE265=AE265)*($V$3:$AE$3=AE$3)*($V$2:$AE$2&lt;AE$2))),2))))</f>
      </c>
      <c r="AP265" s="33">
        <f>ROUND(V265-AF265,2)</f>
      </c>
      <c r="AQ265" s="33">
        <f>ROUND(W265-AG265,2)</f>
      </c>
      <c r="AR265" s="33">
        <f>ROUND(X265-AH265,2)</f>
      </c>
      <c r="AS265" s="33">
        <f>ROUND(Y265-AI265,2)</f>
      </c>
      <c r="AT265" s="33">
        <f>ROUND(Z265-AJ265,2)</f>
      </c>
      <c r="AU265" s="33">
        <f>ROUND(AA265-AK265,2)</f>
      </c>
      <c r="AV265" s="33">
        <f>ROUND(AB265-AL265,2)</f>
      </c>
      <c r="AW265" s="33">
        <f>ROUND(AC265-AM265,2)</f>
      </c>
      <c r="AX265" s="33">
        <f>ROUND(AD265-AN265,2)</f>
      </c>
      <c r="AY265" s="33">
        <f>ROUND(AE265-AO265,2)</f>
      </c>
      <c r="AZ265" s="33">
        <f>ROUND(MAX(0,'Your debts'!$D$22-SUM($L265:$U265)),2)</f>
      </c>
      <c r="BA265" s="33">
        <f>ROUND(SUM($B265:$K265)-SUM($AP264:$AY264),2)</f>
      </c>
      <c r="BB265" s="33">
        <f>SUM($AP265:$AY265)</f>
      </c>
      <c r="BC265" s="33">
        <f>ROUND(SUM($L265:$U265)+SUM($AF265:$AO265),2)</f>
      </c>
    </row>
    <row r="266" spans="1:55" x14ac:dyDescent="0.25">
      <c r="A266">
        <v>259</v>
      </c>
      <c r="B266" s="33">
        <f>IF(AP265&lt;=0,0,ROUND(AP265+ROUND(AP265*V$3/12,2),2))</f>
      </c>
      <c r="C266" s="33">
        <f>IF(AQ265&lt;=0,0,ROUND(AQ265+ROUND(AQ265*W$3/12,2),2))</f>
      </c>
      <c r="D266" s="33">
        <f>IF(AR265&lt;=0,0,ROUND(AR265+ROUND(AR265*X$3/12,2),2))</f>
      </c>
      <c r="E266" s="33">
        <f>IF(AS265&lt;=0,0,ROUND(AS265+ROUND(AS265*Y$3/12,2),2))</f>
      </c>
      <c r="F266" s="33">
        <f>IF(AT265&lt;=0,0,ROUND(AT265+ROUND(AT265*Z$3/12,2),2))</f>
      </c>
      <c r="G266" s="33">
        <f>IF(AU265&lt;=0,0,ROUND(AU265+ROUND(AU265*AA$3/12,2),2))</f>
      </c>
      <c r="H266" s="33">
        <f>IF(AV265&lt;=0,0,ROUND(AV265+ROUND(AV265*AB$3/12,2),2))</f>
      </c>
      <c r="I266" s="33">
        <f>IF(AW265&lt;=0,0,ROUND(AW265+ROUND(AW265*AC$3/12,2),2))</f>
      </c>
      <c r="J266" s="33">
        <f>IF(AX265&lt;=0,0,ROUND(AX265+ROUND(AX265*AD$3/12,2),2))</f>
      </c>
      <c r="K266" s="33">
        <f>IF(AY265&lt;=0,0,ROUND(AY265+ROUND(AY265*AE$3/12,2),2))</f>
      </c>
      <c r="L266" s="33">
        <f>ROUND(MIN(MAX(0,N('Your debts'!$E$6)),B266),2)</f>
      </c>
      <c r="M266" s="33">
        <f>ROUND(MIN(MAX(0,N('Your debts'!$E$7)),C266),2)</f>
      </c>
      <c r="N266" s="33">
        <f>ROUND(MIN(MAX(0,N('Your debts'!$E$8)),D266),2)</f>
      </c>
      <c r="O266" s="33">
        <f>ROUND(MIN(MAX(0,N('Your debts'!$E$9)),E266),2)</f>
      </c>
      <c r="P266" s="33">
        <f>ROUND(MIN(MAX(0,N('Your debts'!$E$10)),F266),2)</f>
      </c>
      <c r="Q266" s="33">
        <f>ROUND(MIN(MAX(0,N('Your debts'!$E$11)),G266),2)</f>
      </c>
      <c r="R266" s="33">
        <f>ROUND(MIN(MAX(0,N('Your debts'!$E$12)),H266),2)</f>
      </c>
      <c r="S266" s="33">
        <f>ROUND(MIN(MAX(0,N('Your debts'!$E$13)),I266),2)</f>
      </c>
      <c r="T266" s="33">
        <f>ROUND(MIN(MAX(0,N('Your debts'!$E$14)),J266),2)</f>
      </c>
      <c r="U266" s="33">
        <f>ROUND(MIN(MAX(0,N('Your debts'!$E$15)),K266),2)</f>
      </c>
      <c r="V266" s="33">
        <f>ROUND(B266-L266,2)</f>
      </c>
      <c r="W266" s="33">
        <f>ROUND(C266-M266,2)</f>
      </c>
      <c r="X266" s="33">
        <f>ROUND(D266-N266,2)</f>
      </c>
      <c r="Y266" s="33">
        <f>ROUND(E266-O266,2)</f>
      </c>
      <c r="Z266" s="33">
        <f>ROUND(F266-P266,2)</f>
      </c>
      <c r="AA266" s="33">
        <f>ROUND(G266-Q266,2)</f>
      </c>
      <c r="AB266" s="33">
        <f>ROUND(H266-R266,2)</f>
      </c>
      <c r="AC266" s="33">
        <f>ROUND(I266-S266,2)</f>
      </c>
      <c r="AD266" s="33">
        <f>ROUND(J266-T266,2)</f>
      </c>
      <c r="AE266" s="33">
        <f>ROUND(K266-U266,2)</f>
      </c>
      <c r="AF266" s="33">
        <f>IF(V266&lt;=0,0,MAX(0,MIN(V266,ROUND($AZ266-SUMPRODUCT($V266:$AE266*($V266:$AE266&gt;0)*(($V266:$AE266&lt;V266)+($V266:$AE266=V266)*($V$3:$AE$3&gt;V$3)+($V266:$AE266=V266)*($V$3:$AE$3=V$3)*($V$2:$AE$2&lt;V$2))),2))))</f>
      </c>
      <c r="AG266" s="33">
        <f>IF(W266&lt;=0,0,MAX(0,MIN(W266,ROUND($AZ266-SUMPRODUCT($V266:$AE266*($V266:$AE266&gt;0)*(($V266:$AE266&lt;W266)+($V266:$AE266=W266)*($V$3:$AE$3&gt;W$3)+($V266:$AE266=W266)*($V$3:$AE$3=W$3)*($V$2:$AE$2&lt;W$2))),2))))</f>
      </c>
      <c r="AH266" s="33">
        <f>IF(X266&lt;=0,0,MAX(0,MIN(X266,ROUND($AZ266-SUMPRODUCT($V266:$AE266*($V266:$AE266&gt;0)*(($V266:$AE266&lt;X266)+($V266:$AE266=X266)*($V$3:$AE$3&gt;X$3)+($V266:$AE266=X266)*($V$3:$AE$3=X$3)*($V$2:$AE$2&lt;X$2))),2))))</f>
      </c>
      <c r="AI266" s="33">
        <f>IF(Y266&lt;=0,0,MAX(0,MIN(Y266,ROUND($AZ266-SUMPRODUCT($V266:$AE266*($V266:$AE266&gt;0)*(($V266:$AE266&lt;Y266)+($V266:$AE266=Y266)*($V$3:$AE$3&gt;Y$3)+($V266:$AE266=Y266)*($V$3:$AE$3=Y$3)*($V$2:$AE$2&lt;Y$2))),2))))</f>
      </c>
      <c r="AJ266" s="33">
        <f>IF(Z266&lt;=0,0,MAX(0,MIN(Z266,ROUND($AZ266-SUMPRODUCT($V266:$AE266*($V266:$AE266&gt;0)*(($V266:$AE266&lt;Z266)+($V266:$AE266=Z266)*($V$3:$AE$3&gt;Z$3)+($V266:$AE266=Z266)*($V$3:$AE$3=Z$3)*($V$2:$AE$2&lt;Z$2))),2))))</f>
      </c>
      <c r="AK266" s="33">
        <f>IF(AA266&lt;=0,0,MAX(0,MIN(AA266,ROUND($AZ266-SUMPRODUCT($V266:$AE266*($V266:$AE266&gt;0)*(($V266:$AE266&lt;AA266)+($V266:$AE266=AA266)*($V$3:$AE$3&gt;AA$3)+($V266:$AE266=AA266)*($V$3:$AE$3=AA$3)*($V$2:$AE$2&lt;AA$2))),2))))</f>
      </c>
      <c r="AL266" s="33">
        <f>IF(AB266&lt;=0,0,MAX(0,MIN(AB266,ROUND($AZ266-SUMPRODUCT($V266:$AE266*($V266:$AE266&gt;0)*(($V266:$AE266&lt;AB266)+($V266:$AE266=AB266)*($V$3:$AE$3&gt;AB$3)+($V266:$AE266=AB266)*($V$3:$AE$3=AB$3)*($V$2:$AE$2&lt;AB$2))),2))))</f>
      </c>
      <c r="AM266" s="33">
        <f>IF(AC266&lt;=0,0,MAX(0,MIN(AC266,ROUND($AZ266-SUMPRODUCT($V266:$AE266*($V266:$AE266&gt;0)*(($V266:$AE266&lt;AC266)+($V266:$AE266=AC266)*($V$3:$AE$3&gt;AC$3)+($V266:$AE266=AC266)*($V$3:$AE$3=AC$3)*($V$2:$AE$2&lt;AC$2))),2))))</f>
      </c>
      <c r="AN266" s="33">
        <f>IF(AD266&lt;=0,0,MAX(0,MIN(AD266,ROUND($AZ266-SUMPRODUCT($V266:$AE266*($V266:$AE266&gt;0)*(($V266:$AE266&lt;AD266)+($V266:$AE266=AD266)*($V$3:$AE$3&gt;AD$3)+($V266:$AE266=AD266)*($V$3:$AE$3=AD$3)*($V$2:$AE$2&lt;AD$2))),2))))</f>
      </c>
      <c r="AO266" s="33">
        <f>IF(AE266&lt;=0,0,MAX(0,MIN(AE266,ROUND($AZ266-SUMPRODUCT($V266:$AE266*($V266:$AE266&gt;0)*(($V266:$AE266&lt;AE266)+($V266:$AE266=AE266)*($V$3:$AE$3&gt;AE$3)+($V266:$AE266=AE266)*($V$3:$AE$3=AE$3)*($V$2:$AE$2&lt;AE$2))),2))))</f>
      </c>
      <c r="AP266" s="33">
        <f>ROUND(V266-AF266,2)</f>
      </c>
      <c r="AQ266" s="33">
        <f>ROUND(W266-AG266,2)</f>
      </c>
      <c r="AR266" s="33">
        <f>ROUND(X266-AH266,2)</f>
      </c>
      <c r="AS266" s="33">
        <f>ROUND(Y266-AI266,2)</f>
      </c>
      <c r="AT266" s="33">
        <f>ROUND(Z266-AJ266,2)</f>
      </c>
      <c r="AU266" s="33">
        <f>ROUND(AA266-AK266,2)</f>
      </c>
      <c r="AV266" s="33">
        <f>ROUND(AB266-AL266,2)</f>
      </c>
      <c r="AW266" s="33">
        <f>ROUND(AC266-AM266,2)</f>
      </c>
      <c r="AX266" s="33">
        <f>ROUND(AD266-AN266,2)</f>
      </c>
      <c r="AY266" s="33">
        <f>ROUND(AE266-AO266,2)</f>
      </c>
      <c r="AZ266" s="33">
        <f>ROUND(MAX(0,'Your debts'!$D$22-SUM($L266:$U266)),2)</f>
      </c>
      <c r="BA266" s="33">
        <f>ROUND(SUM($B266:$K266)-SUM($AP265:$AY265),2)</f>
      </c>
      <c r="BB266" s="33">
        <f>SUM($AP266:$AY266)</f>
      </c>
      <c r="BC266" s="33">
        <f>ROUND(SUM($L266:$U266)+SUM($AF266:$AO266),2)</f>
      </c>
    </row>
    <row r="267" spans="1:55" x14ac:dyDescent="0.25">
      <c r="A267">
        <v>260</v>
      </c>
      <c r="B267" s="33">
        <f>IF(AP266&lt;=0,0,ROUND(AP266+ROUND(AP266*V$3/12,2),2))</f>
      </c>
      <c r="C267" s="33">
        <f>IF(AQ266&lt;=0,0,ROUND(AQ266+ROUND(AQ266*W$3/12,2),2))</f>
      </c>
      <c r="D267" s="33">
        <f>IF(AR266&lt;=0,0,ROUND(AR266+ROUND(AR266*X$3/12,2),2))</f>
      </c>
      <c r="E267" s="33">
        <f>IF(AS266&lt;=0,0,ROUND(AS266+ROUND(AS266*Y$3/12,2),2))</f>
      </c>
      <c r="F267" s="33">
        <f>IF(AT266&lt;=0,0,ROUND(AT266+ROUND(AT266*Z$3/12,2),2))</f>
      </c>
      <c r="G267" s="33">
        <f>IF(AU266&lt;=0,0,ROUND(AU266+ROUND(AU266*AA$3/12,2),2))</f>
      </c>
      <c r="H267" s="33">
        <f>IF(AV266&lt;=0,0,ROUND(AV266+ROUND(AV266*AB$3/12,2),2))</f>
      </c>
      <c r="I267" s="33">
        <f>IF(AW266&lt;=0,0,ROUND(AW266+ROUND(AW266*AC$3/12,2),2))</f>
      </c>
      <c r="J267" s="33">
        <f>IF(AX266&lt;=0,0,ROUND(AX266+ROUND(AX266*AD$3/12,2),2))</f>
      </c>
      <c r="K267" s="33">
        <f>IF(AY266&lt;=0,0,ROUND(AY266+ROUND(AY266*AE$3/12,2),2))</f>
      </c>
      <c r="L267" s="33">
        <f>ROUND(MIN(MAX(0,N('Your debts'!$E$6)),B267),2)</f>
      </c>
      <c r="M267" s="33">
        <f>ROUND(MIN(MAX(0,N('Your debts'!$E$7)),C267),2)</f>
      </c>
      <c r="N267" s="33">
        <f>ROUND(MIN(MAX(0,N('Your debts'!$E$8)),D267),2)</f>
      </c>
      <c r="O267" s="33">
        <f>ROUND(MIN(MAX(0,N('Your debts'!$E$9)),E267),2)</f>
      </c>
      <c r="P267" s="33">
        <f>ROUND(MIN(MAX(0,N('Your debts'!$E$10)),F267),2)</f>
      </c>
      <c r="Q267" s="33">
        <f>ROUND(MIN(MAX(0,N('Your debts'!$E$11)),G267),2)</f>
      </c>
      <c r="R267" s="33">
        <f>ROUND(MIN(MAX(0,N('Your debts'!$E$12)),H267),2)</f>
      </c>
      <c r="S267" s="33">
        <f>ROUND(MIN(MAX(0,N('Your debts'!$E$13)),I267),2)</f>
      </c>
      <c r="T267" s="33">
        <f>ROUND(MIN(MAX(0,N('Your debts'!$E$14)),J267),2)</f>
      </c>
      <c r="U267" s="33">
        <f>ROUND(MIN(MAX(0,N('Your debts'!$E$15)),K267),2)</f>
      </c>
      <c r="V267" s="33">
        <f>ROUND(B267-L267,2)</f>
      </c>
      <c r="W267" s="33">
        <f>ROUND(C267-M267,2)</f>
      </c>
      <c r="X267" s="33">
        <f>ROUND(D267-N267,2)</f>
      </c>
      <c r="Y267" s="33">
        <f>ROUND(E267-O267,2)</f>
      </c>
      <c r="Z267" s="33">
        <f>ROUND(F267-P267,2)</f>
      </c>
      <c r="AA267" s="33">
        <f>ROUND(G267-Q267,2)</f>
      </c>
      <c r="AB267" s="33">
        <f>ROUND(H267-R267,2)</f>
      </c>
      <c r="AC267" s="33">
        <f>ROUND(I267-S267,2)</f>
      </c>
      <c r="AD267" s="33">
        <f>ROUND(J267-T267,2)</f>
      </c>
      <c r="AE267" s="33">
        <f>ROUND(K267-U267,2)</f>
      </c>
      <c r="AF267" s="33">
        <f>IF(V267&lt;=0,0,MAX(0,MIN(V267,ROUND($AZ267-SUMPRODUCT($V267:$AE267*($V267:$AE267&gt;0)*(($V267:$AE267&lt;V267)+($V267:$AE267=V267)*($V$3:$AE$3&gt;V$3)+($V267:$AE267=V267)*($V$3:$AE$3=V$3)*($V$2:$AE$2&lt;V$2))),2))))</f>
      </c>
      <c r="AG267" s="33">
        <f>IF(W267&lt;=0,0,MAX(0,MIN(W267,ROUND($AZ267-SUMPRODUCT($V267:$AE267*($V267:$AE267&gt;0)*(($V267:$AE267&lt;W267)+($V267:$AE267=W267)*($V$3:$AE$3&gt;W$3)+($V267:$AE267=W267)*($V$3:$AE$3=W$3)*($V$2:$AE$2&lt;W$2))),2))))</f>
      </c>
      <c r="AH267" s="33">
        <f>IF(X267&lt;=0,0,MAX(0,MIN(X267,ROUND($AZ267-SUMPRODUCT($V267:$AE267*($V267:$AE267&gt;0)*(($V267:$AE267&lt;X267)+($V267:$AE267=X267)*($V$3:$AE$3&gt;X$3)+($V267:$AE267=X267)*($V$3:$AE$3=X$3)*($V$2:$AE$2&lt;X$2))),2))))</f>
      </c>
      <c r="AI267" s="33">
        <f>IF(Y267&lt;=0,0,MAX(0,MIN(Y267,ROUND($AZ267-SUMPRODUCT($V267:$AE267*($V267:$AE267&gt;0)*(($V267:$AE267&lt;Y267)+($V267:$AE267=Y267)*($V$3:$AE$3&gt;Y$3)+($V267:$AE267=Y267)*($V$3:$AE$3=Y$3)*($V$2:$AE$2&lt;Y$2))),2))))</f>
      </c>
      <c r="AJ267" s="33">
        <f>IF(Z267&lt;=0,0,MAX(0,MIN(Z267,ROUND($AZ267-SUMPRODUCT($V267:$AE267*($V267:$AE267&gt;0)*(($V267:$AE267&lt;Z267)+($V267:$AE267=Z267)*($V$3:$AE$3&gt;Z$3)+($V267:$AE267=Z267)*($V$3:$AE$3=Z$3)*($V$2:$AE$2&lt;Z$2))),2))))</f>
      </c>
      <c r="AK267" s="33">
        <f>IF(AA267&lt;=0,0,MAX(0,MIN(AA267,ROUND($AZ267-SUMPRODUCT($V267:$AE267*($V267:$AE267&gt;0)*(($V267:$AE267&lt;AA267)+($V267:$AE267=AA267)*($V$3:$AE$3&gt;AA$3)+($V267:$AE267=AA267)*($V$3:$AE$3=AA$3)*($V$2:$AE$2&lt;AA$2))),2))))</f>
      </c>
      <c r="AL267" s="33">
        <f>IF(AB267&lt;=0,0,MAX(0,MIN(AB267,ROUND($AZ267-SUMPRODUCT($V267:$AE267*($V267:$AE267&gt;0)*(($V267:$AE267&lt;AB267)+($V267:$AE267=AB267)*($V$3:$AE$3&gt;AB$3)+($V267:$AE267=AB267)*($V$3:$AE$3=AB$3)*($V$2:$AE$2&lt;AB$2))),2))))</f>
      </c>
      <c r="AM267" s="33">
        <f>IF(AC267&lt;=0,0,MAX(0,MIN(AC267,ROUND($AZ267-SUMPRODUCT($V267:$AE267*($V267:$AE267&gt;0)*(($V267:$AE267&lt;AC267)+($V267:$AE267=AC267)*($V$3:$AE$3&gt;AC$3)+($V267:$AE267=AC267)*($V$3:$AE$3=AC$3)*($V$2:$AE$2&lt;AC$2))),2))))</f>
      </c>
      <c r="AN267" s="33">
        <f>IF(AD267&lt;=0,0,MAX(0,MIN(AD267,ROUND($AZ267-SUMPRODUCT($V267:$AE267*($V267:$AE267&gt;0)*(($V267:$AE267&lt;AD267)+($V267:$AE267=AD267)*($V$3:$AE$3&gt;AD$3)+($V267:$AE267=AD267)*($V$3:$AE$3=AD$3)*($V$2:$AE$2&lt;AD$2))),2))))</f>
      </c>
      <c r="AO267" s="33">
        <f>IF(AE267&lt;=0,0,MAX(0,MIN(AE267,ROUND($AZ267-SUMPRODUCT($V267:$AE267*($V267:$AE267&gt;0)*(($V267:$AE267&lt;AE267)+($V267:$AE267=AE267)*($V$3:$AE$3&gt;AE$3)+($V267:$AE267=AE267)*($V$3:$AE$3=AE$3)*($V$2:$AE$2&lt;AE$2))),2))))</f>
      </c>
      <c r="AP267" s="33">
        <f>ROUND(V267-AF267,2)</f>
      </c>
      <c r="AQ267" s="33">
        <f>ROUND(W267-AG267,2)</f>
      </c>
      <c r="AR267" s="33">
        <f>ROUND(X267-AH267,2)</f>
      </c>
      <c r="AS267" s="33">
        <f>ROUND(Y267-AI267,2)</f>
      </c>
      <c r="AT267" s="33">
        <f>ROUND(Z267-AJ267,2)</f>
      </c>
      <c r="AU267" s="33">
        <f>ROUND(AA267-AK267,2)</f>
      </c>
      <c r="AV267" s="33">
        <f>ROUND(AB267-AL267,2)</f>
      </c>
      <c r="AW267" s="33">
        <f>ROUND(AC267-AM267,2)</f>
      </c>
      <c r="AX267" s="33">
        <f>ROUND(AD267-AN267,2)</f>
      </c>
      <c r="AY267" s="33">
        <f>ROUND(AE267-AO267,2)</f>
      </c>
      <c r="AZ267" s="33">
        <f>ROUND(MAX(0,'Your debts'!$D$22-SUM($L267:$U267)),2)</f>
      </c>
      <c r="BA267" s="33">
        <f>ROUND(SUM($B267:$K267)-SUM($AP266:$AY266),2)</f>
      </c>
      <c r="BB267" s="33">
        <f>SUM($AP267:$AY267)</f>
      </c>
      <c r="BC267" s="33">
        <f>ROUND(SUM($L267:$U267)+SUM($AF267:$AO267),2)</f>
      </c>
    </row>
    <row r="268" spans="1:55" x14ac:dyDescent="0.25">
      <c r="A268">
        <v>261</v>
      </c>
      <c r="B268" s="33">
        <f>IF(AP267&lt;=0,0,ROUND(AP267+ROUND(AP267*V$3/12,2),2))</f>
      </c>
      <c r="C268" s="33">
        <f>IF(AQ267&lt;=0,0,ROUND(AQ267+ROUND(AQ267*W$3/12,2),2))</f>
      </c>
      <c r="D268" s="33">
        <f>IF(AR267&lt;=0,0,ROUND(AR267+ROUND(AR267*X$3/12,2),2))</f>
      </c>
      <c r="E268" s="33">
        <f>IF(AS267&lt;=0,0,ROUND(AS267+ROUND(AS267*Y$3/12,2),2))</f>
      </c>
      <c r="F268" s="33">
        <f>IF(AT267&lt;=0,0,ROUND(AT267+ROUND(AT267*Z$3/12,2),2))</f>
      </c>
      <c r="G268" s="33">
        <f>IF(AU267&lt;=0,0,ROUND(AU267+ROUND(AU267*AA$3/12,2),2))</f>
      </c>
      <c r="H268" s="33">
        <f>IF(AV267&lt;=0,0,ROUND(AV267+ROUND(AV267*AB$3/12,2),2))</f>
      </c>
      <c r="I268" s="33">
        <f>IF(AW267&lt;=0,0,ROUND(AW267+ROUND(AW267*AC$3/12,2),2))</f>
      </c>
      <c r="J268" s="33">
        <f>IF(AX267&lt;=0,0,ROUND(AX267+ROUND(AX267*AD$3/12,2),2))</f>
      </c>
      <c r="K268" s="33">
        <f>IF(AY267&lt;=0,0,ROUND(AY267+ROUND(AY267*AE$3/12,2),2))</f>
      </c>
      <c r="L268" s="33">
        <f>ROUND(MIN(MAX(0,N('Your debts'!$E$6)),B268),2)</f>
      </c>
      <c r="M268" s="33">
        <f>ROUND(MIN(MAX(0,N('Your debts'!$E$7)),C268),2)</f>
      </c>
      <c r="N268" s="33">
        <f>ROUND(MIN(MAX(0,N('Your debts'!$E$8)),D268),2)</f>
      </c>
      <c r="O268" s="33">
        <f>ROUND(MIN(MAX(0,N('Your debts'!$E$9)),E268),2)</f>
      </c>
      <c r="P268" s="33">
        <f>ROUND(MIN(MAX(0,N('Your debts'!$E$10)),F268),2)</f>
      </c>
      <c r="Q268" s="33">
        <f>ROUND(MIN(MAX(0,N('Your debts'!$E$11)),G268),2)</f>
      </c>
      <c r="R268" s="33">
        <f>ROUND(MIN(MAX(0,N('Your debts'!$E$12)),H268),2)</f>
      </c>
      <c r="S268" s="33">
        <f>ROUND(MIN(MAX(0,N('Your debts'!$E$13)),I268),2)</f>
      </c>
      <c r="T268" s="33">
        <f>ROUND(MIN(MAX(0,N('Your debts'!$E$14)),J268),2)</f>
      </c>
      <c r="U268" s="33">
        <f>ROUND(MIN(MAX(0,N('Your debts'!$E$15)),K268),2)</f>
      </c>
      <c r="V268" s="33">
        <f>ROUND(B268-L268,2)</f>
      </c>
      <c r="W268" s="33">
        <f>ROUND(C268-M268,2)</f>
      </c>
      <c r="X268" s="33">
        <f>ROUND(D268-N268,2)</f>
      </c>
      <c r="Y268" s="33">
        <f>ROUND(E268-O268,2)</f>
      </c>
      <c r="Z268" s="33">
        <f>ROUND(F268-P268,2)</f>
      </c>
      <c r="AA268" s="33">
        <f>ROUND(G268-Q268,2)</f>
      </c>
      <c r="AB268" s="33">
        <f>ROUND(H268-R268,2)</f>
      </c>
      <c r="AC268" s="33">
        <f>ROUND(I268-S268,2)</f>
      </c>
      <c r="AD268" s="33">
        <f>ROUND(J268-T268,2)</f>
      </c>
      <c r="AE268" s="33">
        <f>ROUND(K268-U268,2)</f>
      </c>
      <c r="AF268" s="33">
        <f>IF(V268&lt;=0,0,MAX(0,MIN(V268,ROUND($AZ268-SUMPRODUCT($V268:$AE268*($V268:$AE268&gt;0)*(($V268:$AE268&lt;V268)+($V268:$AE268=V268)*($V$3:$AE$3&gt;V$3)+($V268:$AE268=V268)*($V$3:$AE$3=V$3)*($V$2:$AE$2&lt;V$2))),2))))</f>
      </c>
      <c r="AG268" s="33">
        <f>IF(W268&lt;=0,0,MAX(0,MIN(W268,ROUND($AZ268-SUMPRODUCT($V268:$AE268*($V268:$AE268&gt;0)*(($V268:$AE268&lt;W268)+($V268:$AE268=W268)*($V$3:$AE$3&gt;W$3)+($V268:$AE268=W268)*($V$3:$AE$3=W$3)*($V$2:$AE$2&lt;W$2))),2))))</f>
      </c>
      <c r="AH268" s="33">
        <f>IF(X268&lt;=0,0,MAX(0,MIN(X268,ROUND($AZ268-SUMPRODUCT($V268:$AE268*($V268:$AE268&gt;0)*(($V268:$AE268&lt;X268)+($V268:$AE268=X268)*($V$3:$AE$3&gt;X$3)+($V268:$AE268=X268)*($V$3:$AE$3=X$3)*($V$2:$AE$2&lt;X$2))),2))))</f>
      </c>
      <c r="AI268" s="33">
        <f>IF(Y268&lt;=0,0,MAX(0,MIN(Y268,ROUND($AZ268-SUMPRODUCT($V268:$AE268*($V268:$AE268&gt;0)*(($V268:$AE268&lt;Y268)+($V268:$AE268=Y268)*($V$3:$AE$3&gt;Y$3)+($V268:$AE268=Y268)*($V$3:$AE$3=Y$3)*($V$2:$AE$2&lt;Y$2))),2))))</f>
      </c>
      <c r="AJ268" s="33">
        <f>IF(Z268&lt;=0,0,MAX(0,MIN(Z268,ROUND($AZ268-SUMPRODUCT($V268:$AE268*($V268:$AE268&gt;0)*(($V268:$AE268&lt;Z268)+($V268:$AE268=Z268)*($V$3:$AE$3&gt;Z$3)+($V268:$AE268=Z268)*($V$3:$AE$3=Z$3)*($V$2:$AE$2&lt;Z$2))),2))))</f>
      </c>
      <c r="AK268" s="33">
        <f>IF(AA268&lt;=0,0,MAX(0,MIN(AA268,ROUND($AZ268-SUMPRODUCT($V268:$AE268*($V268:$AE268&gt;0)*(($V268:$AE268&lt;AA268)+($V268:$AE268=AA268)*($V$3:$AE$3&gt;AA$3)+($V268:$AE268=AA268)*($V$3:$AE$3=AA$3)*($V$2:$AE$2&lt;AA$2))),2))))</f>
      </c>
      <c r="AL268" s="33">
        <f>IF(AB268&lt;=0,0,MAX(0,MIN(AB268,ROUND($AZ268-SUMPRODUCT($V268:$AE268*($V268:$AE268&gt;0)*(($V268:$AE268&lt;AB268)+($V268:$AE268=AB268)*($V$3:$AE$3&gt;AB$3)+($V268:$AE268=AB268)*($V$3:$AE$3=AB$3)*($V$2:$AE$2&lt;AB$2))),2))))</f>
      </c>
      <c r="AM268" s="33">
        <f>IF(AC268&lt;=0,0,MAX(0,MIN(AC268,ROUND($AZ268-SUMPRODUCT($V268:$AE268*($V268:$AE268&gt;0)*(($V268:$AE268&lt;AC268)+($V268:$AE268=AC268)*($V$3:$AE$3&gt;AC$3)+($V268:$AE268=AC268)*($V$3:$AE$3=AC$3)*($V$2:$AE$2&lt;AC$2))),2))))</f>
      </c>
      <c r="AN268" s="33">
        <f>IF(AD268&lt;=0,0,MAX(0,MIN(AD268,ROUND($AZ268-SUMPRODUCT($V268:$AE268*($V268:$AE268&gt;0)*(($V268:$AE268&lt;AD268)+($V268:$AE268=AD268)*($V$3:$AE$3&gt;AD$3)+($V268:$AE268=AD268)*($V$3:$AE$3=AD$3)*($V$2:$AE$2&lt;AD$2))),2))))</f>
      </c>
      <c r="AO268" s="33">
        <f>IF(AE268&lt;=0,0,MAX(0,MIN(AE268,ROUND($AZ268-SUMPRODUCT($V268:$AE268*($V268:$AE268&gt;0)*(($V268:$AE268&lt;AE268)+($V268:$AE268=AE268)*($V$3:$AE$3&gt;AE$3)+($V268:$AE268=AE268)*($V$3:$AE$3=AE$3)*($V$2:$AE$2&lt;AE$2))),2))))</f>
      </c>
      <c r="AP268" s="33">
        <f>ROUND(V268-AF268,2)</f>
      </c>
      <c r="AQ268" s="33">
        <f>ROUND(W268-AG268,2)</f>
      </c>
      <c r="AR268" s="33">
        <f>ROUND(X268-AH268,2)</f>
      </c>
      <c r="AS268" s="33">
        <f>ROUND(Y268-AI268,2)</f>
      </c>
      <c r="AT268" s="33">
        <f>ROUND(Z268-AJ268,2)</f>
      </c>
      <c r="AU268" s="33">
        <f>ROUND(AA268-AK268,2)</f>
      </c>
      <c r="AV268" s="33">
        <f>ROUND(AB268-AL268,2)</f>
      </c>
      <c r="AW268" s="33">
        <f>ROUND(AC268-AM268,2)</f>
      </c>
      <c r="AX268" s="33">
        <f>ROUND(AD268-AN268,2)</f>
      </c>
      <c r="AY268" s="33">
        <f>ROUND(AE268-AO268,2)</f>
      </c>
      <c r="AZ268" s="33">
        <f>ROUND(MAX(0,'Your debts'!$D$22-SUM($L268:$U268)),2)</f>
      </c>
      <c r="BA268" s="33">
        <f>ROUND(SUM($B268:$K268)-SUM($AP267:$AY267),2)</f>
      </c>
      <c r="BB268" s="33">
        <f>SUM($AP268:$AY268)</f>
      </c>
      <c r="BC268" s="33">
        <f>ROUND(SUM($L268:$U268)+SUM($AF268:$AO268),2)</f>
      </c>
    </row>
    <row r="269" spans="1:55" x14ac:dyDescent="0.25">
      <c r="A269">
        <v>262</v>
      </c>
      <c r="B269" s="33">
        <f>IF(AP268&lt;=0,0,ROUND(AP268+ROUND(AP268*V$3/12,2),2))</f>
      </c>
      <c r="C269" s="33">
        <f>IF(AQ268&lt;=0,0,ROUND(AQ268+ROUND(AQ268*W$3/12,2),2))</f>
      </c>
      <c r="D269" s="33">
        <f>IF(AR268&lt;=0,0,ROUND(AR268+ROUND(AR268*X$3/12,2),2))</f>
      </c>
      <c r="E269" s="33">
        <f>IF(AS268&lt;=0,0,ROUND(AS268+ROUND(AS268*Y$3/12,2),2))</f>
      </c>
      <c r="F269" s="33">
        <f>IF(AT268&lt;=0,0,ROUND(AT268+ROUND(AT268*Z$3/12,2),2))</f>
      </c>
      <c r="G269" s="33">
        <f>IF(AU268&lt;=0,0,ROUND(AU268+ROUND(AU268*AA$3/12,2),2))</f>
      </c>
      <c r="H269" s="33">
        <f>IF(AV268&lt;=0,0,ROUND(AV268+ROUND(AV268*AB$3/12,2),2))</f>
      </c>
      <c r="I269" s="33">
        <f>IF(AW268&lt;=0,0,ROUND(AW268+ROUND(AW268*AC$3/12,2),2))</f>
      </c>
      <c r="J269" s="33">
        <f>IF(AX268&lt;=0,0,ROUND(AX268+ROUND(AX268*AD$3/12,2),2))</f>
      </c>
      <c r="K269" s="33">
        <f>IF(AY268&lt;=0,0,ROUND(AY268+ROUND(AY268*AE$3/12,2),2))</f>
      </c>
      <c r="L269" s="33">
        <f>ROUND(MIN(MAX(0,N('Your debts'!$E$6)),B269),2)</f>
      </c>
      <c r="M269" s="33">
        <f>ROUND(MIN(MAX(0,N('Your debts'!$E$7)),C269),2)</f>
      </c>
      <c r="N269" s="33">
        <f>ROUND(MIN(MAX(0,N('Your debts'!$E$8)),D269),2)</f>
      </c>
      <c r="O269" s="33">
        <f>ROUND(MIN(MAX(0,N('Your debts'!$E$9)),E269),2)</f>
      </c>
      <c r="P269" s="33">
        <f>ROUND(MIN(MAX(0,N('Your debts'!$E$10)),F269),2)</f>
      </c>
      <c r="Q269" s="33">
        <f>ROUND(MIN(MAX(0,N('Your debts'!$E$11)),G269),2)</f>
      </c>
      <c r="R269" s="33">
        <f>ROUND(MIN(MAX(0,N('Your debts'!$E$12)),H269),2)</f>
      </c>
      <c r="S269" s="33">
        <f>ROUND(MIN(MAX(0,N('Your debts'!$E$13)),I269),2)</f>
      </c>
      <c r="T269" s="33">
        <f>ROUND(MIN(MAX(0,N('Your debts'!$E$14)),J269),2)</f>
      </c>
      <c r="U269" s="33">
        <f>ROUND(MIN(MAX(0,N('Your debts'!$E$15)),K269),2)</f>
      </c>
      <c r="V269" s="33">
        <f>ROUND(B269-L269,2)</f>
      </c>
      <c r="W269" s="33">
        <f>ROUND(C269-M269,2)</f>
      </c>
      <c r="X269" s="33">
        <f>ROUND(D269-N269,2)</f>
      </c>
      <c r="Y269" s="33">
        <f>ROUND(E269-O269,2)</f>
      </c>
      <c r="Z269" s="33">
        <f>ROUND(F269-P269,2)</f>
      </c>
      <c r="AA269" s="33">
        <f>ROUND(G269-Q269,2)</f>
      </c>
      <c r="AB269" s="33">
        <f>ROUND(H269-R269,2)</f>
      </c>
      <c r="AC269" s="33">
        <f>ROUND(I269-S269,2)</f>
      </c>
      <c r="AD269" s="33">
        <f>ROUND(J269-T269,2)</f>
      </c>
      <c r="AE269" s="33">
        <f>ROUND(K269-U269,2)</f>
      </c>
      <c r="AF269" s="33">
        <f>IF(V269&lt;=0,0,MAX(0,MIN(V269,ROUND($AZ269-SUMPRODUCT($V269:$AE269*($V269:$AE269&gt;0)*(($V269:$AE269&lt;V269)+($V269:$AE269=V269)*($V$3:$AE$3&gt;V$3)+($V269:$AE269=V269)*($V$3:$AE$3=V$3)*($V$2:$AE$2&lt;V$2))),2))))</f>
      </c>
      <c r="AG269" s="33">
        <f>IF(W269&lt;=0,0,MAX(0,MIN(W269,ROUND($AZ269-SUMPRODUCT($V269:$AE269*($V269:$AE269&gt;0)*(($V269:$AE269&lt;W269)+($V269:$AE269=W269)*($V$3:$AE$3&gt;W$3)+($V269:$AE269=W269)*($V$3:$AE$3=W$3)*($V$2:$AE$2&lt;W$2))),2))))</f>
      </c>
      <c r="AH269" s="33">
        <f>IF(X269&lt;=0,0,MAX(0,MIN(X269,ROUND($AZ269-SUMPRODUCT($V269:$AE269*($V269:$AE269&gt;0)*(($V269:$AE269&lt;X269)+($V269:$AE269=X269)*($V$3:$AE$3&gt;X$3)+($V269:$AE269=X269)*($V$3:$AE$3=X$3)*($V$2:$AE$2&lt;X$2))),2))))</f>
      </c>
      <c r="AI269" s="33">
        <f>IF(Y269&lt;=0,0,MAX(0,MIN(Y269,ROUND($AZ269-SUMPRODUCT($V269:$AE269*($V269:$AE269&gt;0)*(($V269:$AE269&lt;Y269)+($V269:$AE269=Y269)*($V$3:$AE$3&gt;Y$3)+($V269:$AE269=Y269)*($V$3:$AE$3=Y$3)*($V$2:$AE$2&lt;Y$2))),2))))</f>
      </c>
      <c r="AJ269" s="33">
        <f>IF(Z269&lt;=0,0,MAX(0,MIN(Z269,ROUND($AZ269-SUMPRODUCT($V269:$AE269*($V269:$AE269&gt;0)*(($V269:$AE269&lt;Z269)+($V269:$AE269=Z269)*($V$3:$AE$3&gt;Z$3)+($V269:$AE269=Z269)*($V$3:$AE$3=Z$3)*($V$2:$AE$2&lt;Z$2))),2))))</f>
      </c>
      <c r="AK269" s="33">
        <f>IF(AA269&lt;=0,0,MAX(0,MIN(AA269,ROUND($AZ269-SUMPRODUCT($V269:$AE269*($V269:$AE269&gt;0)*(($V269:$AE269&lt;AA269)+($V269:$AE269=AA269)*($V$3:$AE$3&gt;AA$3)+($V269:$AE269=AA269)*($V$3:$AE$3=AA$3)*($V$2:$AE$2&lt;AA$2))),2))))</f>
      </c>
      <c r="AL269" s="33">
        <f>IF(AB269&lt;=0,0,MAX(0,MIN(AB269,ROUND($AZ269-SUMPRODUCT($V269:$AE269*($V269:$AE269&gt;0)*(($V269:$AE269&lt;AB269)+($V269:$AE269=AB269)*($V$3:$AE$3&gt;AB$3)+($V269:$AE269=AB269)*($V$3:$AE$3=AB$3)*($V$2:$AE$2&lt;AB$2))),2))))</f>
      </c>
      <c r="AM269" s="33">
        <f>IF(AC269&lt;=0,0,MAX(0,MIN(AC269,ROUND($AZ269-SUMPRODUCT($V269:$AE269*($V269:$AE269&gt;0)*(($V269:$AE269&lt;AC269)+($V269:$AE269=AC269)*($V$3:$AE$3&gt;AC$3)+($V269:$AE269=AC269)*($V$3:$AE$3=AC$3)*($V$2:$AE$2&lt;AC$2))),2))))</f>
      </c>
      <c r="AN269" s="33">
        <f>IF(AD269&lt;=0,0,MAX(0,MIN(AD269,ROUND($AZ269-SUMPRODUCT($V269:$AE269*($V269:$AE269&gt;0)*(($V269:$AE269&lt;AD269)+($V269:$AE269=AD269)*($V$3:$AE$3&gt;AD$3)+($V269:$AE269=AD269)*($V$3:$AE$3=AD$3)*($V$2:$AE$2&lt;AD$2))),2))))</f>
      </c>
      <c r="AO269" s="33">
        <f>IF(AE269&lt;=0,0,MAX(0,MIN(AE269,ROUND($AZ269-SUMPRODUCT($V269:$AE269*($V269:$AE269&gt;0)*(($V269:$AE269&lt;AE269)+($V269:$AE269=AE269)*($V$3:$AE$3&gt;AE$3)+($V269:$AE269=AE269)*($V$3:$AE$3=AE$3)*($V$2:$AE$2&lt;AE$2))),2))))</f>
      </c>
      <c r="AP269" s="33">
        <f>ROUND(V269-AF269,2)</f>
      </c>
      <c r="AQ269" s="33">
        <f>ROUND(W269-AG269,2)</f>
      </c>
      <c r="AR269" s="33">
        <f>ROUND(X269-AH269,2)</f>
      </c>
      <c r="AS269" s="33">
        <f>ROUND(Y269-AI269,2)</f>
      </c>
      <c r="AT269" s="33">
        <f>ROUND(Z269-AJ269,2)</f>
      </c>
      <c r="AU269" s="33">
        <f>ROUND(AA269-AK269,2)</f>
      </c>
      <c r="AV269" s="33">
        <f>ROUND(AB269-AL269,2)</f>
      </c>
      <c r="AW269" s="33">
        <f>ROUND(AC269-AM269,2)</f>
      </c>
      <c r="AX269" s="33">
        <f>ROUND(AD269-AN269,2)</f>
      </c>
      <c r="AY269" s="33">
        <f>ROUND(AE269-AO269,2)</f>
      </c>
      <c r="AZ269" s="33">
        <f>ROUND(MAX(0,'Your debts'!$D$22-SUM($L269:$U269)),2)</f>
      </c>
      <c r="BA269" s="33">
        <f>ROUND(SUM($B269:$K269)-SUM($AP268:$AY268),2)</f>
      </c>
      <c r="BB269" s="33">
        <f>SUM($AP269:$AY269)</f>
      </c>
      <c r="BC269" s="33">
        <f>ROUND(SUM($L269:$U269)+SUM($AF269:$AO269),2)</f>
      </c>
    </row>
    <row r="270" spans="1:55" x14ac:dyDescent="0.25">
      <c r="A270">
        <v>263</v>
      </c>
      <c r="B270" s="33">
        <f>IF(AP269&lt;=0,0,ROUND(AP269+ROUND(AP269*V$3/12,2),2))</f>
      </c>
      <c r="C270" s="33">
        <f>IF(AQ269&lt;=0,0,ROUND(AQ269+ROUND(AQ269*W$3/12,2),2))</f>
      </c>
      <c r="D270" s="33">
        <f>IF(AR269&lt;=0,0,ROUND(AR269+ROUND(AR269*X$3/12,2),2))</f>
      </c>
      <c r="E270" s="33">
        <f>IF(AS269&lt;=0,0,ROUND(AS269+ROUND(AS269*Y$3/12,2),2))</f>
      </c>
      <c r="F270" s="33">
        <f>IF(AT269&lt;=0,0,ROUND(AT269+ROUND(AT269*Z$3/12,2),2))</f>
      </c>
      <c r="G270" s="33">
        <f>IF(AU269&lt;=0,0,ROUND(AU269+ROUND(AU269*AA$3/12,2),2))</f>
      </c>
      <c r="H270" s="33">
        <f>IF(AV269&lt;=0,0,ROUND(AV269+ROUND(AV269*AB$3/12,2),2))</f>
      </c>
      <c r="I270" s="33">
        <f>IF(AW269&lt;=0,0,ROUND(AW269+ROUND(AW269*AC$3/12,2),2))</f>
      </c>
      <c r="J270" s="33">
        <f>IF(AX269&lt;=0,0,ROUND(AX269+ROUND(AX269*AD$3/12,2),2))</f>
      </c>
      <c r="K270" s="33">
        <f>IF(AY269&lt;=0,0,ROUND(AY269+ROUND(AY269*AE$3/12,2),2))</f>
      </c>
      <c r="L270" s="33">
        <f>ROUND(MIN(MAX(0,N('Your debts'!$E$6)),B270),2)</f>
      </c>
      <c r="M270" s="33">
        <f>ROUND(MIN(MAX(0,N('Your debts'!$E$7)),C270),2)</f>
      </c>
      <c r="N270" s="33">
        <f>ROUND(MIN(MAX(0,N('Your debts'!$E$8)),D270),2)</f>
      </c>
      <c r="O270" s="33">
        <f>ROUND(MIN(MAX(0,N('Your debts'!$E$9)),E270),2)</f>
      </c>
      <c r="P270" s="33">
        <f>ROUND(MIN(MAX(0,N('Your debts'!$E$10)),F270),2)</f>
      </c>
      <c r="Q270" s="33">
        <f>ROUND(MIN(MAX(0,N('Your debts'!$E$11)),G270),2)</f>
      </c>
      <c r="R270" s="33">
        <f>ROUND(MIN(MAX(0,N('Your debts'!$E$12)),H270),2)</f>
      </c>
      <c r="S270" s="33">
        <f>ROUND(MIN(MAX(0,N('Your debts'!$E$13)),I270),2)</f>
      </c>
      <c r="T270" s="33">
        <f>ROUND(MIN(MAX(0,N('Your debts'!$E$14)),J270),2)</f>
      </c>
      <c r="U270" s="33">
        <f>ROUND(MIN(MAX(0,N('Your debts'!$E$15)),K270),2)</f>
      </c>
      <c r="V270" s="33">
        <f>ROUND(B270-L270,2)</f>
      </c>
      <c r="W270" s="33">
        <f>ROUND(C270-M270,2)</f>
      </c>
      <c r="X270" s="33">
        <f>ROUND(D270-N270,2)</f>
      </c>
      <c r="Y270" s="33">
        <f>ROUND(E270-O270,2)</f>
      </c>
      <c r="Z270" s="33">
        <f>ROUND(F270-P270,2)</f>
      </c>
      <c r="AA270" s="33">
        <f>ROUND(G270-Q270,2)</f>
      </c>
      <c r="AB270" s="33">
        <f>ROUND(H270-R270,2)</f>
      </c>
      <c r="AC270" s="33">
        <f>ROUND(I270-S270,2)</f>
      </c>
      <c r="AD270" s="33">
        <f>ROUND(J270-T270,2)</f>
      </c>
      <c r="AE270" s="33">
        <f>ROUND(K270-U270,2)</f>
      </c>
      <c r="AF270" s="33">
        <f>IF(V270&lt;=0,0,MAX(0,MIN(V270,ROUND($AZ270-SUMPRODUCT($V270:$AE270*($V270:$AE270&gt;0)*(($V270:$AE270&lt;V270)+($V270:$AE270=V270)*($V$3:$AE$3&gt;V$3)+($V270:$AE270=V270)*($V$3:$AE$3=V$3)*($V$2:$AE$2&lt;V$2))),2))))</f>
      </c>
      <c r="AG270" s="33">
        <f>IF(W270&lt;=0,0,MAX(0,MIN(W270,ROUND($AZ270-SUMPRODUCT($V270:$AE270*($V270:$AE270&gt;0)*(($V270:$AE270&lt;W270)+($V270:$AE270=W270)*($V$3:$AE$3&gt;W$3)+($V270:$AE270=W270)*($V$3:$AE$3=W$3)*($V$2:$AE$2&lt;W$2))),2))))</f>
      </c>
      <c r="AH270" s="33">
        <f>IF(X270&lt;=0,0,MAX(0,MIN(X270,ROUND($AZ270-SUMPRODUCT($V270:$AE270*($V270:$AE270&gt;0)*(($V270:$AE270&lt;X270)+($V270:$AE270=X270)*($V$3:$AE$3&gt;X$3)+($V270:$AE270=X270)*($V$3:$AE$3=X$3)*($V$2:$AE$2&lt;X$2))),2))))</f>
      </c>
      <c r="AI270" s="33">
        <f>IF(Y270&lt;=0,0,MAX(0,MIN(Y270,ROUND($AZ270-SUMPRODUCT($V270:$AE270*($V270:$AE270&gt;0)*(($V270:$AE270&lt;Y270)+($V270:$AE270=Y270)*($V$3:$AE$3&gt;Y$3)+($V270:$AE270=Y270)*($V$3:$AE$3=Y$3)*($V$2:$AE$2&lt;Y$2))),2))))</f>
      </c>
      <c r="AJ270" s="33">
        <f>IF(Z270&lt;=0,0,MAX(0,MIN(Z270,ROUND($AZ270-SUMPRODUCT($V270:$AE270*($V270:$AE270&gt;0)*(($V270:$AE270&lt;Z270)+($V270:$AE270=Z270)*($V$3:$AE$3&gt;Z$3)+($V270:$AE270=Z270)*($V$3:$AE$3=Z$3)*($V$2:$AE$2&lt;Z$2))),2))))</f>
      </c>
      <c r="AK270" s="33">
        <f>IF(AA270&lt;=0,0,MAX(0,MIN(AA270,ROUND($AZ270-SUMPRODUCT($V270:$AE270*($V270:$AE270&gt;0)*(($V270:$AE270&lt;AA270)+($V270:$AE270=AA270)*($V$3:$AE$3&gt;AA$3)+($V270:$AE270=AA270)*($V$3:$AE$3=AA$3)*($V$2:$AE$2&lt;AA$2))),2))))</f>
      </c>
      <c r="AL270" s="33">
        <f>IF(AB270&lt;=0,0,MAX(0,MIN(AB270,ROUND($AZ270-SUMPRODUCT($V270:$AE270*($V270:$AE270&gt;0)*(($V270:$AE270&lt;AB270)+($V270:$AE270=AB270)*($V$3:$AE$3&gt;AB$3)+($V270:$AE270=AB270)*($V$3:$AE$3=AB$3)*($V$2:$AE$2&lt;AB$2))),2))))</f>
      </c>
      <c r="AM270" s="33">
        <f>IF(AC270&lt;=0,0,MAX(0,MIN(AC270,ROUND($AZ270-SUMPRODUCT($V270:$AE270*($V270:$AE270&gt;0)*(($V270:$AE270&lt;AC270)+($V270:$AE270=AC270)*($V$3:$AE$3&gt;AC$3)+($V270:$AE270=AC270)*($V$3:$AE$3=AC$3)*($V$2:$AE$2&lt;AC$2))),2))))</f>
      </c>
      <c r="AN270" s="33">
        <f>IF(AD270&lt;=0,0,MAX(0,MIN(AD270,ROUND($AZ270-SUMPRODUCT($V270:$AE270*($V270:$AE270&gt;0)*(($V270:$AE270&lt;AD270)+($V270:$AE270=AD270)*($V$3:$AE$3&gt;AD$3)+($V270:$AE270=AD270)*($V$3:$AE$3=AD$3)*($V$2:$AE$2&lt;AD$2))),2))))</f>
      </c>
      <c r="AO270" s="33">
        <f>IF(AE270&lt;=0,0,MAX(0,MIN(AE270,ROUND($AZ270-SUMPRODUCT($V270:$AE270*($V270:$AE270&gt;0)*(($V270:$AE270&lt;AE270)+($V270:$AE270=AE270)*($V$3:$AE$3&gt;AE$3)+($V270:$AE270=AE270)*($V$3:$AE$3=AE$3)*($V$2:$AE$2&lt;AE$2))),2))))</f>
      </c>
      <c r="AP270" s="33">
        <f>ROUND(V270-AF270,2)</f>
      </c>
      <c r="AQ270" s="33">
        <f>ROUND(W270-AG270,2)</f>
      </c>
      <c r="AR270" s="33">
        <f>ROUND(X270-AH270,2)</f>
      </c>
      <c r="AS270" s="33">
        <f>ROUND(Y270-AI270,2)</f>
      </c>
      <c r="AT270" s="33">
        <f>ROUND(Z270-AJ270,2)</f>
      </c>
      <c r="AU270" s="33">
        <f>ROUND(AA270-AK270,2)</f>
      </c>
      <c r="AV270" s="33">
        <f>ROUND(AB270-AL270,2)</f>
      </c>
      <c r="AW270" s="33">
        <f>ROUND(AC270-AM270,2)</f>
      </c>
      <c r="AX270" s="33">
        <f>ROUND(AD270-AN270,2)</f>
      </c>
      <c r="AY270" s="33">
        <f>ROUND(AE270-AO270,2)</f>
      </c>
      <c r="AZ270" s="33">
        <f>ROUND(MAX(0,'Your debts'!$D$22-SUM($L270:$U270)),2)</f>
      </c>
      <c r="BA270" s="33">
        <f>ROUND(SUM($B270:$K270)-SUM($AP269:$AY269),2)</f>
      </c>
      <c r="BB270" s="33">
        <f>SUM($AP270:$AY270)</f>
      </c>
      <c r="BC270" s="33">
        <f>ROUND(SUM($L270:$U270)+SUM($AF270:$AO270),2)</f>
      </c>
    </row>
    <row r="271" spans="1:55" x14ac:dyDescent="0.25">
      <c r="A271">
        <v>264</v>
      </c>
      <c r="B271" s="33">
        <f>IF(AP270&lt;=0,0,ROUND(AP270+ROUND(AP270*V$3/12,2),2))</f>
      </c>
      <c r="C271" s="33">
        <f>IF(AQ270&lt;=0,0,ROUND(AQ270+ROUND(AQ270*W$3/12,2),2))</f>
      </c>
      <c r="D271" s="33">
        <f>IF(AR270&lt;=0,0,ROUND(AR270+ROUND(AR270*X$3/12,2),2))</f>
      </c>
      <c r="E271" s="33">
        <f>IF(AS270&lt;=0,0,ROUND(AS270+ROUND(AS270*Y$3/12,2),2))</f>
      </c>
      <c r="F271" s="33">
        <f>IF(AT270&lt;=0,0,ROUND(AT270+ROUND(AT270*Z$3/12,2),2))</f>
      </c>
      <c r="G271" s="33">
        <f>IF(AU270&lt;=0,0,ROUND(AU270+ROUND(AU270*AA$3/12,2),2))</f>
      </c>
      <c r="H271" s="33">
        <f>IF(AV270&lt;=0,0,ROUND(AV270+ROUND(AV270*AB$3/12,2),2))</f>
      </c>
      <c r="I271" s="33">
        <f>IF(AW270&lt;=0,0,ROUND(AW270+ROUND(AW270*AC$3/12,2),2))</f>
      </c>
      <c r="J271" s="33">
        <f>IF(AX270&lt;=0,0,ROUND(AX270+ROUND(AX270*AD$3/12,2),2))</f>
      </c>
      <c r="K271" s="33">
        <f>IF(AY270&lt;=0,0,ROUND(AY270+ROUND(AY270*AE$3/12,2),2))</f>
      </c>
      <c r="L271" s="33">
        <f>ROUND(MIN(MAX(0,N('Your debts'!$E$6)),B271),2)</f>
      </c>
      <c r="M271" s="33">
        <f>ROUND(MIN(MAX(0,N('Your debts'!$E$7)),C271),2)</f>
      </c>
      <c r="N271" s="33">
        <f>ROUND(MIN(MAX(0,N('Your debts'!$E$8)),D271),2)</f>
      </c>
      <c r="O271" s="33">
        <f>ROUND(MIN(MAX(0,N('Your debts'!$E$9)),E271),2)</f>
      </c>
      <c r="P271" s="33">
        <f>ROUND(MIN(MAX(0,N('Your debts'!$E$10)),F271),2)</f>
      </c>
      <c r="Q271" s="33">
        <f>ROUND(MIN(MAX(0,N('Your debts'!$E$11)),G271),2)</f>
      </c>
      <c r="R271" s="33">
        <f>ROUND(MIN(MAX(0,N('Your debts'!$E$12)),H271),2)</f>
      </c>
      <c r="S271" s="33">
        <f>ROUND(MIN(MAX(0,N('Your debts'!$E$13)),I271),2)</f>
      </c>
      <c r="T271" s="33">
        <f>ROUND(MIN(MAX(0,N('Your debts'!$E$14)),J271),2)</f>
      </c>
      <c r="U271" s="33">
        <f>ROUND(MIN(MAX(0,N('Your debts'!$E$15)),K271),2)</f>
      </c>
      <c r="V271" s="33">
        <f>ROUND(B271-L271,2)</f>
      </c>
      <c r="W271" s="33">
        <f>ROUND(C271-M271,2)</f>
      </c>
      <c r="X271" s="33">
        <f>ROUND(D271-N271,2)</f>
      </c>
      <c r="Y271" s="33">
        <f>ROUND(E271-O271,2)</f>
      </c>
      <c r="Z271" s="33">
        <f>ROUND(F271-P271,2)</f>
      </c>
      <c r="AA271" s="33">
        <f>ROUND(G271-Q271,2)</f>
      </c>
      <c r="AB271" s="33">
        <f>ROUND(H271-R271,2)</f>
      </c>
      <c r="AC271" s="33">
        <f>ROUND(I271-S271,2)</f>
      </c>
      <c r="AD271" s="33">
        <f>ROUND(J271-T271,2)</f>
      </c>
      <c r="AE271" s="33">
        <f>ROUND(K271-U271,2)</f>
      </c>
      <c r="AF271" s="33">
        <f>IF(V271&lt;=0,0,MAX(0,MIN(V271,ROUND($AZ271-SUMPRODUCT($V271:$AE271*($V271:$AE271&gt;0)*(($V271:$AE271&lt;V271)+($V271:$AE271=V271)*($V$3:$AE$3&gt;V$3)+($V271:$AE271=V271)*($V$3:$AE$3=V$3)*($V$2:$AE$2&lt;V$2))),2))))</f>
      </c>
      <c r="AG271" s="33">
        <f>IF(W271&lt;=0,0,MAX(0,MIN(W271,ROUND($AZ271-SUMPRODUCT($V271:$AE271*($V271:$AE271&gt;0)*(($V271:$AE271&lt;W271)+($V271:$AE271=W271)*($V$3:$AE$3&gt;W$3)+($V271:$AE271=W271)*($V$3:$AE$3=W$3)*($V$2:$AE$2&lt;W$2))),2))))</f>
      </c>
      <c r="AH271" s="33">
        <f>IF(X271&lt;=0,0,MAX(0,MIN(X271,ROUND($AZ271-SUMPRODUCT($V271:$AE271*($V271:$AE271&gt;0)*(($V271:$AE271&lt;X271)+($V271:$AE271=X271)*($V$3:$AE$3&gt;X$3)+($V271:$AE271=X271)*($V$3:$AE$3=X$3)*($V$2:$AE$2&lt;X$2))),2))))</f>
      </c>
      <c r="AI271" s="33">
        <f>IF(Y271&lt;=0,0,MAX(0,MIN(Y271,ROUND($AZ271-SUMPRODUCT($V271:$AE271*($V271:$AE271&gt;0)*(($V271:$AE271&lt;Y271)+($V271:$AE271=Y271)*($V$3:$AE$3&gt;Y$3)+($V271:$AE271=Y271)*($V$3:$AE$3=Y$3)*($V$2:$AE$2&lt;Y$2))),2))))</f>
      </c>
      <c r="AJ271" s="33">
        <f>IF(Z271&lt;=0,0,MAX(0,MIN(Z271,ROUND($AZ271-SUMPRODUCT($V271:$AE271*($V271:$AE271&gt;0)*(($V271:$AE271&lt;Z271)+($V271:$AE271=Z271)*($V$3:$AE$3&gt;Z$3)+($V271:$AE271=Z271)*($V$3:$AE$3=Z$3)*($V$2:$AE$2&lt;Z$2))),2))))</f>
      </c>
      <c r="AK271" s="33">
        <f>IF(AA271&lt;=0,0,MAX(0,MIN(AA271,ROUND($AZ271-SUMPRODUCT($V271:$AE271*($V271:$AE271&gt;0)*(($V271:$AE271&lt;AA271)+($V271:$AE271=AA271)*($V$3:$AE$3&gt;AA$3)+($V271:$AE271=AA271)*($V$3:$AE$3=AA$3)*($V$2:$AE$2&lt;AA$2))),2))))</f>
      </c>
      <c r="AL271" s="33">
        <f>IF(AB271&lt;=0,0,MAX(0,MIN(AB271,ROUND($AZ271-SUMPRODUCT($V271:$AE271*($V271:$AE271&gt;0)*(($V271:$AE271&lt;AB271)+($V271:$AE271=AB271)*($V$3:$AE$3&gt;AB$3)+($V271:$AE271=AB271)*($V$3:$AE$3=AB$3)*($V$2:$AE$2&lt;AB$2))),2))))</f>
      </c>
      <c r="AM271" s="33">
        <f>IF(AC271&lt;=0,0,MAX(0,MIN(AC271,ROUND($AZ271-SUMPRODUCT($V271:$AE271*($V271:$AE271&gt;0)*(($V271:$AE271&lt;AC271)+($V271:$AE271=AC271)*($V$3:$AE$3&gt;AC$3)+($V271:$AE271=AC271)*($V$3:$AE$3=AC$3)*($V$2:$AE$2&lt;AC$2))),2))))</f>
      </c>
      <c r="AN271" s="33">
        <f>IF(AD271&lt;=0,0,MAX(0,MIN(AD271,ROUND($AZ271-SUMPRODUCT($V271:$AE271*($V271:$AE271&gt;0)*(($V271:$AE271&lt;AD271)+($V271:$AE271=AD271)*($V$3:$AE$3&gt;AD$3)+($V271:$AE271=AD271)*($V$3:$AE$3=AD$3)*($V$2:$AE$2&lt;AD$2))),2))))</f>
      </c>
      <c r="AO271" s="33">
        <f>IF(AE271&lt;=0,0,MAX(0,MIN(AE271,ROUND($AZ271-SUMPRODUCT($V271:$AE271*($V271:$AE271&gt;0)*(($V271:$AE271&lt;AE271)+($V271:$AE271=AE271)*($V$3:$AE$3&gt;AE$3)+($V271:$AE271=AE271)*($V$3:$AE$3=AE$3)*($V$2:$AE$2&lt;AE$2))),2))))</f>
      </c>
      <c r="AP271" s="33">
        <f>ROUND(V271-AF271,2)</f>
      </c>
      <c r="AQ271" s="33">
        <f>ROUND(W271-AG271,2)</f>
      </c>
      <c r="AR271" s="33">
        <f>ROUND(X271-AH271,2)</f>
      </c>
      <c r="AS271" s="33">
        <f>ROUND(Y271-AI271,2)</f>
      </c>
      <c r="AT271" s="33">
        <f>ROUND(Z271-AJ271,2)</f>
      </c>
      <c r="AU271" s="33">
        <f>ROUND(AA271-AK271,2)</f>
      </c>
      <c r="AV271" s="33">
        <f>ROUND(AB271-AL271,2)</f>
      </c>
      <c r="AW271" s="33">
        <f>ROUND(AC271-AM271,2)</f>
      </c>
      <c r="AX271" s="33">
        <f>ROUND(AD271-AN271,2)</f>
      </c>
      <c r="AY271" s="33">
        <f>ROUND(AE271-AO271,2)</f>
      </c>
      <c r="AZ271" s="33">
        <f>ROUND(MAX(0,'Your debts'!$D$22-SUM($L271:$U271)),2)</f>
      </c>
      <c r="BA271" s="33">
        <f>ROUND(SUM($B271:$K271)-SUM($AP270:$AY270),2)</f>
      </c>
      <c r="BB271" s="33">
        <f>SUM($AP271:$AY271)</f>
      </c>
      <c r="BC271" s="33">
        <f>ROUND(SUM($L271:$U271)+SUM($AF271:$AO271),2)</f>
      </c>
    </row>
    <row r="272" spans="1:55" x14ac:dyDescent="0.25">
      <c r="A272">
        <v>265</v>
      </c>
      <c r="B272" s="33">
        <f>IF(AP271&lt;=0,0,ROUND(AP271+ROUND(AP271*V$3/12,2),2))</f>
      </c>
      <c r="C272" s="33">
        <f>IF(AQ271&lt;=0,0,ROUND(AQ271+ROUND(AQ271*W$3/12,2),2))</f>
      </c>
      <c r="D272" s="33">
        <f>IF(AR271&lt;=0,0,ROUND(AR271+ROUND(AR271*X$3/12,2),2))</f>
      </c>
      <c r="E272" s="33">
        <f>IF(AS271&lt;=0,0,ROUND(AS271+ROUND(AS271*Y$3/12,2),2))</f>
      </c>
      <c r="F272" s="33">
        <f>IF(AT271&lt;=0,0,ROUND(AT271+ROUND(AT271*Z$3/12,2),2))</f>
      </c>
      <c r="G272" s="33">
        <f>IF(AU271&lt;=0,0,ROUND(AU271+ROUND(AU271*AA$3/12,2),2))</f>
      </c>
      <c r="H272" s="33">
        <f>IF(AV271&lt;=0,0,ROUND(AV271+ROUND(AV271*AB$3/12,2),2))</f>
      </c>
      <c r="I272" s="33">
        <f>IF(AW271&lt;=0,0,ROUND(AW271+ROUND(AW271*AC$3/12,2),2))</f>
      </c>
      <c r="J272" s="33">
        <f>IF(AX271&lt;=0,0,ROUND(AX271+ROUND(AX271*AD$3/12,2),2))</f>
      </c>
      <c r="K272" s="33">
        <f>IF(AY271&lt;=0,0,ROUND(AY271+ROUND(AY271*AE$3/12,2),2))</f>
      </c>
      <c r="L272" s="33">
        <f>ROUND(MIN(MAX(0,N('Your debts'!$E$6)),B272),2)</f>
      </c>
      <c r="M272" s="33">
        <f>ROUND(MIN(MAX(0,N('Your debts'!$E$7)),C272),2)</f>
      </c>
      <c r="N272" s="33">
        <f>ROUND(MIN(MAX(0,N('Your debts'!$E$8)),D272),2)</f>
      </c>
      <c r="O272" s="33">
        <f>ROUND(MIN(MAX(0,N('Your debts'!$E$9)),E272),2)</f>
      </c>
      <c r="P272" s="33">
        <f>ROUND(MIN(MAX(0,N('Your debts'!$E$10)),F272),2)</f>
      </c>
      <c r="Q272" s="33">
        <f>ROUND(MIN(MAX(0,N('Your debts'!$E$11)),G272),2)</f>
      </c>
      <c r="R272" s="33">
        <f>ROUND(MIN(MAX(0,N('Your debts'!$E$12)),H272),2)</f>
      </c>
      <c r="S272" s="33">
        <f>ROUND(MIN(MAX(0,N('Your debts'!$E$13)),I272),2)</f>
      </c>
      <c r="T272" s="33">
        <f>ROUND(MIN(MAX(0,N('Your debts'!$E$14)),J272),2)</f>
      </c>
      <c r="U272" s="33">
        <f>ROUND(MIN(MAX(0,N('Your debts'!$E$15)),K272),2)</f>
      </c>
      <c r="V272" s="33">
        <f>ROUND(B272-L272,2)</f>
      </c>
      <c r="W272" s="33">
        <f>ROUND(C272-M272,2)</f>
      </c>
      <c r="X272" s="33">
        <f>ROUND(D272-N272,2)</f>
      </c>
      <c r="Y272" s="33">
        <f>ROUND(E272-O272,2)</f>
      </c>
      <c r="Z272" s="33">
        <f>ROUND(F272-P272,2)</f>
      </c>
      <c r="AA272" s="33">
        <f>ROUND(G272-Q272,2)</f>
      </c>
      <c r="AB272" s="33">
        <f>ROUND(H272-R272,2)</f>
      </c>
      <c r="AC272" s="33">
        <f>ROUND(I272-S272,2)</f>
      </c>
      <c r="AD272" s="33">
        <f>ROUND(J272-T272,2)</f>
      </c>
      <c r="AE272" s="33">
        <f>ROUND(K272-U272,2)</f>
      </c>
      <c r="AF272" s="33">
        <f>IF(V272&lt;=0,0,MAX(0,MIN(V272,ROUND($AZ272-SUMPRODUCT($V272:$AE272*($V272:$AE272&gt;0)*(($V272:$AE272&lt;V272)+($V272:$AE272=V272)*($V$3:$AE$3&gt;V$3)+($V272:$AE272=V272)*($V$3:$AE$3=V$3)*($V$2:$AE$2&lt;V$2))),2))))</f>
      </c>
      <c r="AG272" s="33">
        <f>IF(W272&lt;=0,0,MAX(0,MIN(W272,ROUND($AZ272-SUMPRODUCT($V272:$AE272*($V272:$AE272&gt;0)*(($V272:$AE272&lt;W272)+($V272:$AE272=W272)*($V$3:$AE$3&gt;W$3)+($V272:$AE272=W272)*($V$3:$AE$3=W$3)*($V$2:$AE$2&lt;W$2))),2))))</f>
      </c>
      <c r="AH272" s="33">
        <f>IF(X272&lt;=0,0,MAX(0,MIN(X272,ROUND($AZ272-SUMPRODUCT($V272:$AE272*($V272:$AE272&gt;0)*(($V272:$AE272&lt;X272)+($V272:$AE272=X272)*($V$3:$AE$3&gt;X$3)+($V272:$AE272=X272)*($V$3:$AE$3=X$3)*($V$2:$AE$2&lt;X$2))),2))))</f>
      </c>
      <c r="AI272" s="33">
        <f>IF(Y272&lt;=0,0,MAX(0,MIN(Y272,ROUND($AZ272-SUMPRODUCT($V272:$AE272*($V272:$AE272&gt;0)*(($V272:$AE272&lt;Y272)+($V272:$AE272=Y272)*($V$3:$AE$3&gt;Y$3)+($V272:$AE272=Y272)*($V$3:$AE$3=Y$3)*($V$2:$AE$2&lt;Y$2))),2))))</f>
      </c>
      <c r="AJ272" s="33">
        <f>IF(Z272&lt;=0,0,MAX(0,MIN(Z272,ROUND($AZ272-SUMPRODUCT($V272:$AE272*($V272:$AE272&gt;0)*(($V272:$AE272&lt;Z272)+($V272:$AE272=Z272)*($V$3:$AE$3&gt;Z$3)+($V272:$AE272=Z272)*($V$3:$AE$3=Z$3)*($V$2:$AE$2&lt;Z$2))),2))))</f>
      </c>
      <c r="AK272" s="33">
        <f>IF(AA272&lt;=0,0,MAX(0,MIN(AA272,ROUND($AZ272-SUMPRODUCT($V272:$AE272*($V272:$AE272&gt;0)*(($V272:$AE272&lt;AA272)+($V272:$AE272=AA272)*($V$3:$AE$3&gt;AA$3)+($V272:$AE272=AA272)*($V$3:$AE$3=AA$3)*($V$2:$AE$2&lt;AA$2))),2))))</f>
      </c>
      <c r="AL272" s="33">
        <f>IF(AB272&lt;=0,0,MAX(0,MIN(AB272,ROUND($AZ272-SUMPRODUCT($V272:$AE272*($V272:$AE272&gt;0)*(($V272:$AE272&lt;AB272)+($V272:$AE272=AB272)*($V$3:$AE$3&gt;AB$3)+($V272:$AE272=AB272)*($V$3:$AE$3=AB$3)*($V$2:$AE$2&lt;AB$2))),2))))</f>
      </c>
      <c r="AM272" s="33">
        <f>IF(AC272&lt;=0,0,MAX(0,MIN(AC272,ROUND($AZ272-SUMPRODUCT($V272:$AE272*($V272:$AE272&gt;0)*(($V272:$AE272&lt;AC272)+($V272:$AE272=AC272)*($V$3:$AE$3&gt;AC$3)+($V272:$AE272=AC272)*($V$3:$AE$3=AC$3)*($V$2:$AE$2&lt;AC$2))),2))))</f>
      </c>
      <c r="AN272" s="33">
        <f>IF(AD272&lt;=0,0,MAX(0,MIN(AD272,ROUND($AZ272-SUMPRODUCT($V272:$AE272*($V272:$AE272&gt;0)*(($V272:$AE272&lt;AD272)+($V272:$AE272=AD272)*($V$3:$AE$3&gt;AD$3)+($V272:$AE272=AD272)*($V$3:$AE$3=AD$3)*($V$2:$AE$2&lt;AD$2))),2))))</f>
      </c>
      <c r="AO272" s="33">
        <f>IF(AE272&lt;=0,0,MAX(0,MIN(AE272,ROUND($AZ272-SUMPRODUCT($V272:$AE272*($V272:$AE272&gt;0)*(($V272:$AE272&lt;AE272)+($V272:$AE272=AE272)*($V$3:$AE$3&gt;AE$3)+($V272:$AE272=AE272)*($V$3:$AE$3=AE$3)*($V$2:$AE$2&lt;AE$2))),2))))</f>
      </c>
      <c r="AP272" s="33">
        <f>ROUND(V272-AF272,2)</f>
      </c>
      <c r="AQ272" s="33">
        <f>ROUND(W272-AG272,2)</f>
      </c>
      <c r="AR272" s="33">
        <f>ROUND(X272-AH272,2)</f>
      </c>
      <c r="AS272" s="33">
        <f>ROUND(Y272-AI272,2)</f>
      </c>
      <c r="AT272" s="33">
        <f>ROUND(Z272-AJ272,2)</f>
      </c>
      <c r="AU272" s="33">
        <f>ROUND(AA272-AK272,2)</f>
      </c>
      <c r="AV272" s="33">
        <f>ROUND(AB272-AL272,2)</f>
      </c>
      <c r="AW272" s="33">
        <f>ROUND(AC272-AM272,2)</f>
      </c>
      <c r="AX272" s="33">
        <f>ROUND(AD272-AN272,2)</f>
      </c>
      <c r="AY272" s="33">
        <f>ROUND(AE272-AO272,2)</f>
      </c>
      <c r="AZ272" s="33">
        <f>ROUND(MAX(0,'Your debts'!$D$22-SUM($L272:$U272)),2)</f>
      </c>
      <c r="BA272" s="33">
        <f>ROUND(SUM($B272:$K272)-SUM($AP271:$AY271),2)</f>
      </c>
      <c r="BB272" s="33">
        <f>SUM($AP272:$AY272)</f>
      </c>
      <c r="BC272" s="33">
        <f>ROUND(SUM($L272:$U272)+SUM($AF272:$AO272),2)</f>
      </c>
    </row>
    <row r="273" spans="1:55" x14ac:dyDescent="0.25">
      <c r="A273">
        <v>266</v>
      </c>
      <c r="B273" s="33">
        <f>IF(AP272&lt;=0,0,ROUND(AP272+ROUND(AP272*V$3/12,2),2))</f>
      </c>
      <c r="C273" s="33">
        <f>IF(AQ272&lt;=0,0,ROUND(AQ272+ROUND(AQ272*W$3/12,2),2))</f>
      </c>
      <c r="D273" s="33">
        <f>IF(AR272&lt;=0,0,ROUND(AR272+ROUND(AR272*X$3/12,2),2))</f>
      </c>
      <c r="E273" s="33">
        <f>IF(AS272&lt;=0,0,ROUND(AS272+ROUND(AS272*Y$3/12,2),2))</f>
      </c>
      <c r="F273" s="33">
        <f>IF(AT272&lt;=0,0,ROUND(AT272+ROUND(AT272*Z$3/12,2),2))</f>
      </c>
      <c r="G273" s="33">
        <f>IF(AU272&lt;=0,0,ROUND(AU272+ROUND(AU272*AA$3/12,2),2))</f>
      </c>
      <c r="H273" s="33">
        <f>IF(AV272&lt;=0,0,ROUND(AV272+ROUND(AV272*AB$3/12,2),2))</f>
      </c>
      <c r="I273" s="33">
        <f>IF(AW272&lt;=0,0,ROUND(AW272+ROUND(AW272*AC$3/12,2),2))</f>
      </c>
      <c r="J273" s="33">
        <f>IF(AX272&lt;=0,0,ROUND(AX272+ROUND(AX272*AD$3/12,2),2))</f>
      </c>
      <c r="K273" s="33">
        <f>IF(AY272&lt;=0,0,ROUND(AY272+ROUND(AY272*AE$3/12,2),2))</f>
      </c>
      <c r="L273" s="33">
        <f>ROUND(MIN(MAX(0,N('Your debts'!$E$6)),B273),2)</f>
      </c>
      <c r="M273" s="33">
        <f>ROUND(MIN(MAX(0,N('Your debts'!$E$7)),C273),2)</f>
      </c>
      <c r="N273" s="33">
        <f>ROUND(MIN(MAX(0,N('Your debts'!$E$8)),D273),2)</f>
      </c>
      <c r="O273" s="33">
        <f>ROUND(MIN(MAX(0,N('Your debts'!$E$9)),E273),2)</f>
      </c>
      <c r="P273" s="33">
        <f>ROUND(MIN(MAX(0,N('Your debts'!$E$10)),F273),2)</f>
      </c>
      <c r="Q273" s="33">
        <f>ROUND(MIN(MAX(0,N('Your debts'!$E$11)),G273),2)</f>
      </c>
      <c r="R273" s="33">
        <f>ROUND(MIN(MAX(0,N('Your debts'!$E$12)),H273),2)</f>
      </c>
      <c r="S273" s="33">
        <f>ROUND(MIN(MAX(0,N('Your debts'!$E$13)),I273),2)</f>
      </c>
      <c r="T273" s="33">
        <f>ROUND(MIN(MAX(0,N('Your debts'!$E$14)),J273),2)</f>
      </c>
      <c r="U273" s="33">
        <f>ROUND(MIN(MAX(0,N('Your debts'!$E$15)),K273),2)</f>
      </c>
      <c r="V273" s="33">
        <f>ROUND(B273-L273,2)</f>
      </c>
      <c r="W273" s="33">
        <f>ROUND(C273-M273,2)</f>
      </c>
      <c r="X273" s="33">
        <f>ROUND(D273-N273,2)</f>
      </c>
      <c r="Y273" s="33">
        <f>ROUND(E273-O273,2)</f>
      </c>
      <c r="Z273" s="33">
        <f>ROUND(F273-P273,2)</f>
      </c>
      <c r="AA273" s="33">
        <f>ROUND(G273-Q273,2)</f>
      </c>
      <c r="AB273" s="33">
        <f>ROUND(H273-R273,2)</f>
      </c>
      <c r="AC273" s="33">
        <f>ROUND(I273-S273,2)</f>
      </c>
      <c r="AD273" s="33">
        <f>ROUND(J273-T273,2)</f>
      </c>
      <c r="AE273" s="33">
        <f>ROUND(K273-U273,2)</f>
      </c>
      <c r="AF273" s="33">
        <f>IF(V273&lt;=0,0,MAX(0,MIN(V273,ROUND($AZ273-SUMPRODUCT($V273:$AE273*($V273:$AE273&gt;0)*(($V273:$AE273&lt;V273)+($V273:$AE273=V273)*($V$3:$AE$3&gt;V$3)+($V273:$AE273=V273)*($V$3:$AE$3=V$3)*($V$2:$AE$2&lt;V$2))),2))))</f>
      </c>
      <c r="AG273" s="33">
        <f>IF(W273&lt;=0,0,MAX(0,MIN(W273,ROUND($AZ273-SUMPRODUCT($V273:$AE273*($V273:$AE273&gt;0)*(($V273:$AE273&lt;W273)+($V273:$AE273=W273)*($V$3:$AE$3&gt;W$3)+($V273:$AE273=W273)*($V$3:$AE$3=W$3)*($V$2:$AE$2&lt;W$2))),2))))</f>
      </c>
      <c r="AH273" s="33">
        <f>IF(X273&lt;=0,0,MAX(0,MIN(X273,ROUND($AZ273-SUMPRODUCT($V273:$AE273*($V273:$AE273&gt;0)*(($V273:$AE273&lt;X273)+($V273:$AE273=X273)*($V$3:$AE$3&gt;X$3)+($V273:$AE273=X273)*($V$3:$AE$3=X$3)*($V$2:$AE$2&lt;X$2))),2))))</f>
      </c>
      <c r="AI273" s="33">
        <f>IF(Y273&lt;=0,0,MAX(0,MIN(Y273,ROUND($AZ273-SUMPRODUCT($V273:$AE273*($V273:$AE273&gt;0)*(($V273:$AE273&lt;Y273)+($V273:$AE273=Y273)*($V$3:$AE$3&gt;Y$3)+($V273:$AE273=Y273)*($V$3:$AE$3=Y$3)*($V$2:$AE$2&lt;Y$2))),2))))</f>
      </c>
      <c r="AJ273" s="33">
        <f>IF(Z273&lt;=0,0,MAX(0,MIN(Z273,ROUND($AZ273-SUMPRODUCT($V273:$AE273*($V273:$AE273&gt;0)*(($V273:$AE273&lt;Z273)+($V273:$AE273=Z273)*($V$3:$AE$3&gt;Z$3)+($V273:$AE273=Z273)*($V$3:$AE$3=Z$3)*($V$2:$AE$2&lt;Z$2))),2))))</f>
      </c>
      <c r="AK273" s="33">
        <f>IF(AA273&lt;=0,0,MAX(0,MIN(AA273,ROUND($AZ273-SUMPRODUCT($V273:$AE273*($V273:$AE273&gt;0)*(($V273:$AE273&lt;AA273)+($V273:$AE273=AA273)*($V$3:$AE$3&gt;AA$3)+($V273:$AE273=AA273)*($V$3:$AE$3=AA$3)*($V$2:$AE$2&lt;AA$2))),2))))</f>
      </c>
      <c r="AL273" s="33">
        <f>IF(AB273&lt;=0,0,MAX(0,MIN(AB273,ROUND($AZ273-SUMPRODUCT($V273:$AE273*($V273:$AE273&gt;0)*(($V273:$AE273&lt;AB273)+($V273:$AE273=AB273)*($V$3:$AE$3&gt;AB$3)+($V273:$AE273=AB273)*($V$3:$AE$3=AB$3)*($V$2:$AE$2&lt;AB$2))),2))))</f>
      </c>
      <c r="AM273" s="33">
        <f>IF(AC273&lt;=0,0,MAX(0,MIN(AC273,ROUND($AZ273-SUMPRODUCT($V273:$AE273*($V273:$AE273&gt;0)*(($V273:$AE273&lt;AC273)+($V273:$AE273=AC273)*($V$3:$AE$3&gt;AC$3)+($V273:$AE273=AC273)*($V$3:$AE$3=AC$3)*($V$2:$AE$2&lt;AC$2))),2))))</f>
      </c>
      <c r="AN273" s="33">
        <f>IF(AD273&lt;=0,0,MAX(0,MIN(AD273,ROUND($AZ273-SUMPRODUCT($V273:$AE273*($V273:$AE273&gt;0)*(($V273:$AE273&lt;AD273)+($V273:$AE273=AD273)*($V$3:$AE$3&gt;AD$3)+($V273:$AE273=AD273)*($V$3:$AE$3=AD$3)*($V$2:$AE$2&lt;AD$2))),2))))</f>
      </c>
      <c r="AO273" s="33">
        <f>IF(AE273&lt;=0,0,MAX(0,MIN(AE273,ROUND($AZ273-SUMPRODUCT($V273:$AE273*($V273:$AE273&gt;0)*(($V273:$AE273&lt;AE273)+($V273:$AE273=AE273)*($V$3:$AE$3&gt;AE$3)+($V273:$AE273=AE273)*($V$3:$AE$3=AE$3)*($V$2:$AE$2&lt;AE$2))),2))))</f>
      </c>
      <c r="AP273" s="33">
        <f>ROUND(V273-AF273,2)</f>
      </c>
      <c r="AQ273" s="33">
        <f>ROUND(W273-AG273,2)</f>
      </c>
      <c r="AR273" s="33">
        <f>ROUND(X273-AH273,2)</f>
      </c>
      <c r="AS273" s="33">
        <f>ROUND(Y273-AI273,2)</f>
      </c>
      <c r="AT273" s="33">
        <f>ROUND(Z273-AJ273,2)</f>
      </c>
      <c r="AU273" s="33">
        <f>ROUND(AA273-AK273,2)</f>
      </c>
      <c r="AV273" s="33">
        <f>ROUND(AB273-AL273,2)</f>
      </c>
      <c r="AW273" s="33">
        <f>ROUND(AC273-AM273,2)</f>
      </c>
      <c r="AX273" s="33">
        <f>ROUND(AD273-AN273,2)</f>
      </c>
      <c r="AY273" s="33">
        <f>ROUND(AE273-AO273,2)</f>
      </c>
      <c r="AZ273" s="33">
        <f>ROUND(MAX(0,'Your debts'!$D$22-SUM($L273:$U273)),2)</f>
      </c>
      <c r="BA273" s="33">
        <f>ROUND(SUM($B273:$K273)-SUM($AP272:$AY272),2)</f>
      </c>
      <c r="BB273" s="33">
        <f>SUM($AP273:$AY273)</f>
      </c>
      <c r="BC273" s="33">
        <f>ROUND(SUM($L273:$U273)+SUM($AF273:$AO273),2)</f>
      </c>
    </row>
    <row r="274" spans="1:55" x14ac:dyDescent="0.25">
      <c r="A274">
        <v>267</v>
      </c>
      <c r="B274" s="33">
        <f>IF(AP273&lt;=0,0,ROUND(AP273+ROUND(AP273*V$3/12,2),2))</f>
      </c>
      <c r="C274" s="33">
        <f>IF(AQ273&lt;=0,0,ROUND(AQ273+ROUND(AQ273*W$3/12,2),2))</f>
      </c>
      <c r="D274" s="33">
        <f>IF(AR273&lt;=0,0,ROUND(AR273+ROUND(AR273*X$3/12,2),2))</f>
      </c>
      <c r="E274" s="33">
        <f>IF(AS273&lt;=0,0,ROUND(AS273+ROUND(AS273*Y$3/12,2),2))</f>
      </c>
      <c r="F274" s="33">
        <f>IF(AT273&lt;=0,0,ROUND(AT273+ROUND(AT273*Z$3/12,2),2))</f>
      </c>
      <c r="G274" s="33">
        <f>IF(AU273&lt;=0,0,ROUND(AU273+ROUND(AU273*AA$3/12,2),2))</f>
      </c>
      <c r="H274" s="33">
        <f>IF(AV273&lt;=0,0,ROUND(AV273+ROUND(AV273*AB$3/12,2),2))</f>
      </c>
      <c r="I274" s="33">
        <f>IF(AW273&lt;=0,0,ROUND(AW273+ROUND(AW273*AC$3/12,2),2))</f>
      </c>
      <c r="J274" s="33">
        <f>IF(AX273&lt;=0,0,ROUND(AX273+ROUND(AX273*AD$3/12,2),2))</f>
      </c>
      <c r="K274" s="33">
        <f>IF(AY273&lt;=0,0,ROUND(AY273+ROUND(AY273*AE$3/12,2),2))</f>
      </c>
      <c r="L274" s="33">
        <f>ROUND(MIN(MAX(0,N('Your debts'!$E$6)),B274),2)</f>
      </c>
      <c r="M274" s="33">
        <f>ROUND(MIN(MAX(0,N('Your debts'!$E$7)),C274),2)</f>
      </c>
      <c r="N274" s="33">
        <f>ROUND(MIN(MAX(0,N('Your debts'!$E$8)),D274),2)</f>
      </c>
      <c r="O274" s="33">
        <f>ROUND(MIN(MAX(0,N('Your debts'!$E$9)),E274),2)</f>
      </c>
      <c r="P274" s="33">
        <f>ROUND(MIN(MAX(0,N('Your debts'!$E$10)),F274),2)</f>
      </c>
      <c r="Q274" s="33">
        <f>ROUND(MIN(MAX(0,N('Your debts'!$E$11)),G274),2)</f>
      </c>
      <c r="R274" s="33">
        <f>ROUND(MIN(MAX(0,N('Your debts'!$E$12)),H274),2)</f>
      </c>
      <c r="S274" s="33">
        <f>ROUND(MIN(MAX(0,N('Your debts'!$E$13)),I274),2)</f>
      </c>
      <c r="T274" s="33">
        <f>ROUND(MIN(MAX(0,N('Your debts'!$E$14)),J274),2)</f>
      </c>
      <c r="U274" s="33">
        <f>ROUND(MIN(MAX(0,N('Your debts'!$E$15)),K274),2)</f>
      </c>
      <c r="V274" s="33">
        <f>ROUND(B274-L274,2)</f>
      </c>
      <c r="W274" s="33">
        <f>ROUND(C274-M274,2)</f>
      </c>
      <c r="X274" s="33">
        <f>ROUND(D274-N274,2)</f>
      </c>
      <c r="Y274" s="33">
        <f>ROUND(E274-O274,2)</f>
      </c>
      <c r="Z274" s="33">
        <f>ROUND(F274-P274,2)</f>
      </c>
      <c r="AA274" s="33">
        <f>ROUND(G274-Q274,2)</f>
      </c>
      <c r="AB274" s="33">
        <f>ROUND(H274-R274,2)</f>
      </c>
      <c r="AC274" s="33">
        <f>ROUND(I274-S274,2)</f>
      </c>
      <c r="AD274" s="33">
        <f>ROUND(J274-T274,2)</f>
      </c>
      <c r="AE274" s="33">
        <f>ROUND(K274-U274,2)</f>
      </c>
      <c r="AF274" s="33">
        <f>IF(V274&lt;=0,0,MAX(0,MIN(V274,ROUND($AZ274-SUMPRODUCT($V274:$AE274*($V274:$AE274&gt;0)*(($V274:$AE274&lt;V274)+($V274:$AE274=V274)*($V$3:$AE$3&gt;V$3)+($V274:$AE274=V274)*($V$3:$AE$3=V$3)*($V$2:$AE$2&lt;V$2))),2))))</f>
      </c>
      <c r="AG274" s="33">
        <f>IF(W274&lt;=0,0,MAX(0,MIN(W274,ROUND($AZ274-SUMPRODUCT($V274:$AE274*($V274:$AE274&gt;0)*(($V274:$AE274&lt;W274)+($V274:$AE274=W274)*($V$3:$AE$3&gt;W$3)+($V274:$AE274=W274)*($V$3:$AE$3=W$3)*($V$2:$AE$2&lt;W$2))),2))))</f>
      </c>
      <c r="AH274" s="33">
        <f>IF(X274&lt;=0,0,MAX(0,MIN(X274,ROUND($AZ274-SUMPRODUCT($V274:$AE274*($V274:$AE274&gt;0)*(($V274:$AE274&lt;X274)+($V274:$AE274=X274)*($V$3:$AE$3&gt;X$3)+($V274:$AE274=X274)*($V$3:$AE$3=X$3)*($V$2:$AE$2&lt;X$2))),2))))</f>
      </c>
      <c r="AI274" s="33">
        <f>IF(Y274&lt;=0,0,MAX(0,MIN(Y274,ROUND($AZ274-SUMPRODUCT($V274:$AE274*($V274:$AE274&gt;0)*(($V274:$AE274&lt;Y274)+($V274:$AE274=Y274)*($V$3:$AE$3&gt;Y$3)+($V274:$AE274=Y274)*($V$3:$AE$3=Y$3)*($V$2:$AE$2&lt;Y$2))),2))))</f>
      </c>
      <c r="AJ274" s="33">
        <f>IF(Z274&lt;=0,0,MAX(0,MIN(Z274,ROUND($AZ274-SUMPRODUCT($V274:$AE274*($V274:$AE274&gt;0)*(($V274:$AE274&lt;Z274)+($V274:$AE274=Z274)*($V$3:$AE$3&gt;Z$3)+($V274:$AE274=Z274)*($V$3:$AE$3=Z$3)*($V$2:$AE$2&lt;Z$2))),2))))</f>
      </c>
      <c r="AK274" s="33">
        <f>IF(AA274&lt;=0,0,MAX(0,MIN(AA274,ROUND($AZ274-SUMPRODUCT($V274:$AE274*($V274:$AE274&gt;0)*(($V274:$AE274&lt;AA274)+($V274:$AE274=AA274)*($V$3:$AE$3&gt;AA$3)+($V274:$AE274=AA274)*($V$3:$AE$3=AA$3)*($V$2:$AE$2&lt;AA$2))),2))))</f>
      </c>
      <c r="AL274" s="33">
        <f>IF(AB274&lt;=0,0,MAX(0,MIN(AB274,ROUND($AZ274-SUMPRODUCT($V274:$AE274*($V274:$AE274&gt;0)*(($V274:$AE274&lt;AB274)+($V274:$AE274=AB274)*($V$3:$AE$3&gt;AB$3)+($V274:$AE274=AB274)*($V$3:$AE$3=AB$3)*($V$2:$AE$2&lt;AB$2))),2))))</f>
      </c>
      <c r="AM274" s="33">
        <f>IF(AC274&lt;=0,0,MAX(0,MIN(AC274,ROUND($AZ274-SUMPRODUCT($V274:$AE274*($V274:$AE274&gt;0)*(($V274:$AE274&lt;AC274)+($V274:$AE274=AC274)*($V$3:$AE$3&gt;AC$3)+($V274:$AE274=AC274)*($V$3:$AE$3=AC$3)*($V$2:$AE$2&lt;AC$2))),2))))</f>
      </c>
      <c r="AN274" s="33">
        <f>IF(AD274&lt;=0,0,MAX(0,MIN(AD274,ROUND($AZ274-SUMPRODUCT($V274:$AE274*($V274:$AE274&gt;0)*(($V274:$AE274&lt;AD274)+($V274:$AE274=AD274)*($V$3:$AE$3&gt;AD$3)+($V274:$AE274=AD274)*($V$3:$AE$3=AD$3)*($V$2:$AE$2&lt;AD$2))),2))))</f>
      </c>
      <c r="AO274" s="33">
        <f>IF(AE274&lt;=0,0,MAX(0,MIN(AE274,ROUND($AZ274-SUMPRODUCT($V274:$AE274*($V274:$AE274&gt;0)*(($V274:$AE274&lt;AE274)+($V274:$AE274=AE274)*($V$3:$AE$3&gt;AE$3)+($V274:$AE274=AE274)*($V$3:$AE$3=AE$3)*($V$2:$AE$2&lt;AE$2))),2))))</f>
      </c>
      <c r="AP274" s="33">
        <f>ROUND(V274-AF274,2)</f>
      </c>
      <c r="AQ274" s="33">
        <f>ROUND(W274-AG274,2)</f>
      </c>
      <c r="AR274" s="33">
        <f>ROUND(X274-AH274,2)</f>
      </c>
      <c r="AS274" s="33">
        <f>ROUND(Y274-AI274,2)</f>
      </c>
      <c r="AT274" s="33">
        <f>ROUND(Z274-AJ274,2)</f>
      </c>
      <c r="AU274" s="33">
        <f>ROUND(AA274-AK274,2)</f>
      </c>
      <c r="AV274" s="33">
        <f>ROUND(AB274-AL274,2)</f>
      </c>
      <c r="AW274" s="33">
        <f>ROUND(AC274-AM274,2)</f>
      </c>
      <c r="AX274" s="33">
        <f>ROUND(AD274-AN274,2)</f>
      </c>
      <c r="AY274" s="33">
        <f>ROUND(AE274-AO274,2)</f>
      </c>
      <c r="AZ274" s="33">
        <f>ROUND(MAX(0,'Your debts'!$D$22-SUM($L274:$U274)),2)</f>
      </c>
      <c r="BA274" s="33">
        <f>ROUND(SUM($B274:$K274)-SUM($AP273:$AY273),2)</f>
      </c>
      <c r="BB274" s="33">
        <f>SUM($AP274:$AY274)</f>
      </c>
      <c r="BC274" s="33">
        <f>ROUND(SUM($L274:$U274)+SUM($AF274:$AO274),2)</f>
      </c>
    </row>
    <row r="275" spans="1:55" x14ac:dyDescent="0.25">
      <c r="A275">
        <v>268</v>
      </c>
      <c r="B275" s="33">
        <f>IF(AP274&lt;=0,0,ROUND(AP274+ROUND(AP274*V$3/12,2),2))</f>
      </c>
      <c r="C275" s="33">
        <f>IF(AQ274&lt;=0,0,ROUND(AQ274+ROUND(AQ274*W$3/12,2),2))</f>
      </c>
      <c r="D275" s="33">
        <f>IF(AR274&lt;=0,0,ROUND(AR274+ROUND(AR274*X$3/12,2),2))</f>
      </c>
      <c r="E275" s="33">
        <f>IF(AS274&lt;=0,0,ROUND(AS274+ROUND(AS274*Y$3/12,2),2))</f>
      </c>
      <c r="F275" s="33">
        <f>IF(AT274&lt;=0,0,ROUND(AT274+ROUND(AT274*Z$3/12,2),2))</f>
      </c>
      <c r="G275" s="33">
        <f>IF(AU274&lt;=0,0,ROUND(AU274+ROUND(AU274*AA$3/12,2),2))</f>
      </c>
      <c r="H275" s="33">
        <f>IF(AV274&lt;=0,0,ROUND(AV274+ROUND(AV274*AB$3/12,2),2))</f>
      </c>
      <c r="I275" s="33">
        <f>IF(AW274&lt;=0,0,ROUND(AW274+ROUND(AW274*AC$3/12,2),2))</f>
      </c>
      <c r="J275" s="33">
        <f>IF(AX274&lt;=0,0,ROUND(AX274+ROUND(AX274*AD$3/12,2),2))</f>
      </c>
      <c r="K275" s="33">
        <f>IF(AY274&lt;=0,0,ROUND(AY274+ROUND(AY274*AE$3/12,2),2))</f>
      </c>
      <c r="L275" s="33">
        <f>ROUND(MIN(MAX(0,N('Your debts'!$E$6)),B275),2)</f>
      </c>
      <c r="M275" s="33">
        <f>ROUND(MIN(MAX(0,N('Your debts'!$E$7)),C275),2)</f>
      </c>
      <c r="N275" s="33">
        <f>ROUND(MIN(MAX(0,N('Your debts'!$E$8)),D275),2)</f>
      </c>
      <c r="O275" s="33">
        <f>ROUND(MIN(MAX(0,N('Your debts'!$E$9)),E275),2)</f>
      </c>
      <c r="P275" s="33">
        <f>ROUND(MIN(MAX(0,N('Your debts'!$E$10)),F275),2)</f>
      </c>
      <c r="Q275" s="33">
        <f>ROUND(MIN(MAX(0,N('Your debts'!$E$11)),G275),2)</f>
      </c>
      <c r="R275" s="33">
        <f>ROUND(MIN(MAX(0,N('Your debts'!$E$12)),H275),2)</f>
      </c>
      <c r="S275" s="33">
        <f>ROUND(MIN(MAX(0,N('Your debts'!$E$13)),I275),2)</f>
      </c>
      <c r="T275" s="33">
        <f>ROUND(MIN(MAX(0,N('Your debts'!$E$14)),J275),2)</f>
      </c>
      <c r="U275" s="33">
        <f>ROUND(MIN(MAX(0,N('Your debts'!$E$15)),K275),2)</f>
      </c>
      <c r="V275" s="33">
        <f>ROUND(B275-L275,2)</f>
      </c>
      <c r="W275" s="33">
        <f>ROUND(C275-M275,2)</f>
      </c>
      <c r="X275" s="33">
        <f>ROUND(D275-N275,2)</f>
      </c>
      <c r="Y275" s="33">
        <f>ROUND(E275-O275,2)</f>
      </c>
      <c r="Z275" s="33">
        <f>ROUND(F275-P275,2)</f>
      </c>
      <c r="AA275" s="33">
        <f>ROUND(G275-Q275,2)</f>
      </c>
      <c r="AB275" s="33">
        <f>ROUND(H275-R275,2)</f>
      </c>
      <c r="AC275" s="33">
        <f>ROUND(I275-S275,2)</f>
      </c>
      <c r="AD275" s="33">
        <f>ROUND(J275-T275,2)</f>
      </c>
      <c r="AE275" s="33">
        <f>ROUND(K275-U275,2)</f>
      </c>
      <c r="AF275" s="33">
        <f>IF(V275&lt;=0,0,MAX(0,MIN(V275,ROUND($AZ275-SUMPRODUCT($V275:$AE275*($V275:$AE275&gt;0)*(($V275:$AE275&lt;V275)+($V275:$AE275=V275)*($V$3:$AE$3&gt;V$3)+($V275:$AE275=V275)*($V$3:$AE$3=V$3)*($V$2:$AE$2&lt;V$2))),2))))</f>
      </c>
      <c r="AG275" s="33">
        <f>IF(W275&lt;=0,0,MAX(0,MIN(W275,ROUND($AZ275-SUMPRODUCT($V275:$AE275*($V275:$AE275&gt;0)*(($V275:$AE275&lt;W275)+($V275:$AE275=W275)*($V$3:$AE$3&gt;W$3)+($V275:$AE275=W275)*($V$3:$AE$3=W$3)*($V$2:$AE$2&lt;W$2))),2))))</f>
      </c>
      <c r="AH275" s="33">
        <f>IF(X275&lt;=0,0,MAX(0,MIN(X275,ROUND($AZ275-SUMPRODUCT($V275:$AE275*($V275:$AE275&gt;0)*(($V275:$AE275&lt;X275)+($V275:$AE275=X275)*($V$3:$AE$3&gt;X$3)+($V275:$AE275=X275)*($V$3:$AE$3=X$3)*($V$2:$AE$2&lt;X$2))),2))))</f>
      </c>
      <c r="AI275" s="33">
        <f>IF(Y275&lt;=0,0,MAX(0,MIN(Y275,ROUND($AZ275-SUMPRODUCT($V275:$AE275*($V275:$AE275&gt;0)*(($V275:$AE275&lt;Y275)+($V275:$AE275=Y275)*($V$3:$AE$3&gt;Y$3)+($V275:$AE275=Y275)*($V$3:$AE$3=Y$3)*($V$2:$AE$2&lt;Y$2))),2))))</f>
      </c>
      <c r="AJ275" s="33">
        <f>IF(Z275&lt;=0,0,MAX(0,MIN(Z275,ROUND($AZ275-SUMPRODUCT($V275:$AE275*($V275:$AE275&gt;0)*(($V275:$AE275&lt;Z275)+($V275:$AE275=Z275)*($V$3:$AE$3&gt;Z$3)+($V275:$AE275=Z275)*($V$3:$AE$3=Z$3)*($V$2:$AE$2&lt;Z$2))),2))))</f>
      </c>
      <c r="AK275" s="33">
        <f>IF(AA275&lt;=0,0,MAX(0,MIN(AA275,ROUND($AZ275-SUMPRODUCT($V275:$AE275*($V275:$AE275&gt;0)*(($V275:$AE275&lt;AA275)+($V275:$AE275=AA275)*($V$3:$AE$3&gt;AA$3)+($V275:$AE275=AA275)*($V$3:$AE$3=AA$3)*($V$2:$AE$2&lt;AA$2))),2))))</f>
      </c>
      <c r="AL275" s="33">
        <f>IF(AB275&lt;=0,0,MAX(0,MIN(AB275,ROUND($AZ275-SUMPRODUCT($V275:$AE275*($V275:$AE275&gt;0)*(($V275:$AE275&lt;AB275)+($V275:$AE275=AB275)*($V$3:$AE$3&gt;AB$3)+($V275:$AE275=AB275)*($V$3:$AE$3=AB$3)*($V$2:$AE$2&lt;AB$2))),2))))</f>
      </c>
      <c r="AM275" s="33">
        <f>IF(AC275&lt;=0,0,MAX(0,MIN(AC275,ROUND($AZ275-SUMPRODUCT($V275:$AE275*($V275:$AE275&gt;0)*(($V275:$AE275&lt;AC275)+($V275:$AE275=AC275)*($V$3:$AE$3&gt;AC$3)+($V275:$AE275=AC275)*($V$3:$AE$3=AC$3)*($V$2:$AE$2&lt;AC$2))),2))))</f>
      </c>
      <c r="AN275" s="33">
        <f>IF(AD275&lt;=0,0,MAX(0,MIN(AD275,ROUND($AZ275-SUMPRODUCT($V275:$AE275*($V275:$AE275&gt;0)*(($V275:$AE275&lt;AD275)+($V275:$AE275=AD275)*($V$3:$AE$3&gt;AD$3)+($V275:$AE275=AD275)*($V$3:$AE$3=AD$3)*($V$2:$AE$2&lt;AD$2))),2))))</f>
      </c>
      <c r="AO275" s="33">
        <f>IF(AE275&lt;=0,0,MAX(0,MIN(AE275,ROUND($AZ275-SUMPRODUCT($V275:$AE275*($V275:$AE275&gt;0)*(($V275:$AE275&lt;AE275)+($V275:$AE275=AE275)*($V$3:$AE$3&gt;AE$3)+($V275:$AE275=AE275)*($V$3:$AE$3=AE$3)*($V$2:$AE$2&lt;AE$2))),2))))</f>
      </c>
      <c r="AP275" s="33">
        <f>ROUND(V275-AF275,2)</f>
      </c>
      <c r="AQ275" s="33">
        <f>ROUND(W275-AG275,2)</f>
      </c>
      <c r="AR275" s="33">
        <f>ROUND(X275-AH275,2)</f>
      </c>
      <c r="AS275" s="33">
        <f>ROUND(Y275-AI275,2)</f>
      </c>
      <c r="AT275" s="33">
        <f>ROUND(Z275-AJ275,2)</f>
      </c>
      <c r="AU275" s="33">
        <f>ROUND(AA275-AK275,2)</f>
      </c>
      <c r="AV275" s="33">
        <f>ROUND(AB275-AL275,2)</f>
      </c>
      <c r="AW275" s="33">
        <f>ROUND(AC275-AM275,2)</f>
      </c>
      <c r="AX275" s="33">
        <f>ROUND(AD275-AN275,2)</f>
      </c>
      <c r="AY275" s="33">
        <f>ROUND(AE275-AO275,2)</f>
      </c>
      <c r="AZ275" s="33">
        <f>ROUND(MAX(0,'Your debts'!$D$22-SUM($L275:$U275)),2)</f>
      </c>
      <c r="BA275" s="33">
        <f>ROUND(SUM($B275:$K275)-SUM($AP274:$AY274),2)</f>
      </c>
      <c r="BB275" s="33">
        <f>SUM($AP275:$AY275)</f>
      </c>
      <c r="BC275" s="33">
        <f>ROUND(SUM($L275:$U275)+SUM($AF275:$AO275),2)</f>
      </c>
    </row>
    <row r="276" spans="1:55" x14ac:dyDescent="0.25">
      <c r="A276">
        <v>269</v>
      </c>
      <c r="B276" s="33">
        <f>IF(AP275&lt;=0,0,ROUND(AP275+ROUND(AP275*V$3/12,2),2))</f>
      </c>
      <c r="C276" s="33">
        <f>IF(AQ275&lt;=0,0,ROUND(AQ275+ROUND(AQ275*W$3/12,2),2))</f>
      </c>
      <c r="D276" s="33">
        <f>IF(AR275&lt;=0,0,ROUND(AR275+ROUND(AR275*X$3/12,2),2))</f>
      </c>
      <c r="E276" s="33">
        <f>IF(AS275&lt;=0,0,ROUND(AS275+ROUND(AS275*Y$3/12,2),2))</f>
      </c>
      <c r="F276" s="33">
        <f>IF(AT275&lt;=0,0,ROUND(AT275+ROUND(AT275*Z$3/12,2),2))</f>
      </c>
      <c r="G276" s="33">
        <f>IF(AU275&lt;=0,0,ROUND(AU275+ROUND(AU275*AA$3/12,2),2))</f>
      </c>
      <c r="H276" s="33">
        <f>IF(AV275&lt;=0,0,ROUND(AV275+ROUND(AV275*AB$3/12,2),2))</f>
      </c>
      <c r="I276" s="33">
        <f>IF(AW275&lt;=0,0,ROUND(AW275+ROUND(AW275*AC$3/12,2),2))</f>
      </c>
      <c r="J276" s="33">
        <f>IF(AX275&lt;=0,0,ROUND(AX275+ROUND(AX275*AD$3/12,2),2))</f>
      </c>
      <c r="K276" s="33">
        <f>IF(AY275&lt;=0,0,ROUND(AY275+ROUND(AY275*AE$3/12,2),2))</f>
      </c>
      <c r="L276" s="33">
        <f>ROUND(MIN(MAX(0,N('Your debts'!$E$6)),B276),2)</f>
      </c>
      <c r="M276" s="33">
        <f>ROUND(MIN(MAX(0,N('Your debts'!$E$7)),C276),2)</f>
      </c>
      <c r="N276" s="33">
        <f>ROUND(MIN(MAX(0,N('Your debts'!$E$8)),D276),2)</f>
      </c>
      <c r="O276" s="33">
        <f>ROUND(MIN(MAX(0,N('Your debts'!$E$9)),E276),2)</f>
      </c>
      <c r="P276" s="33">
        <f>ROUND(MIN(MAX(0,N('Your debts'!$E$10)),F276),2)</f>
      </c>
      <c r="Q276" s="33">
        <f>ROUND(MIN(MAX(0,N('Your debts'!$E$11)),G276),2)</f>
      </c>
      <c r="R276" s="33">
        <f>ROUND(MIN(MAX(0,N('Your debts'!$E$12)),H276),2)</f>
      </c>
      <c r="S276" s="33">
        <f>ROUND(MIN(MAX(0,N('Your debts'!$E$13)),I276),2)</f>
      </c>
      <c r="T276" s="33">
        <f>ROUND(MIN(MAX(0,N('Your debts'!$E$14)),J276),2)</f>
      </c>
      <c r="U276" s="33">
        <f>ROUND(MIN(MAX(0,N('Your debts'!$E$15)),K276),2)</f>
      </c>
      <c r="V276" s="33">
        <f>ROUND(B276-L276,2)</f>
      </c>
      <c r="W276" s="33">
        <f>ROUND(C276-M276,2)</f>
      </c>
      <c r="X276" s="33">
        <f>ROUND(D276-N276,2)</f>
      </c>
      <c r="Y276" s="33">
        <f>ROUND(E276-O276,2)</f>
      </c>
      <c r="Z276" s="33">
        <f>ROUND(F276-P276,2)</f>
      </c>
      <c r="AA276" s="33">
        <f>ROUND(G276-Q276,2)</f>
      </c>
      <c r="AB276" s="33">
        <f>ROUND(H276-R276,2)</f>
      </c>
      <c r="AC276" s="33">
        <f>ROUND(I276-S276,2)</f>
      </c>
      <c r="AD276" s="33">
        <f>ROUND(J276-T276,2)</f>
      </c>
      <c r="AE276" s="33">
        <f>ROUND(K276-U276,2)</f>
      </c>
      <c r="AF276" s="33">
        <f>IF(V276&lt;=0,0,MAX(0,MIN(V276,ROUND($AZ276-SUMPRODUCT($V276:$AE276*($V276:$AE276&gt;0)*(($V276:$AE276&lt;V276)+($V276:$AE276=V276)*($V$3:$AE$3&gt;V$3)+($V276:$AE276=V276)*($V$3:$AE$3=V$3)*($V$2:$AE$2&lt;V$2))),2))))</f>
      </c>
      <c r="AG276" s="33">
        <f>IF(W276&lt;=0,0,MAX(0,MIN(W276,ROUND($AZ276-SUMPRODUCT($V276:$AE276*($V276:$AE276&gt;0)*(($V276:$AE276&lt;W276)+($V276:$AE276=W276)*($V$3:$AE$3&gt;W$3)+($V276:$AE276=W276)*($V$3:$AE$3=W$3)*($V$2:$AE$2&lt;W$2))),2))))</f>
      </c>
      <c r="AH276" s="33">
        <f>IF(X276&lt;=0,0,MAX(0,MIN(X276,ROUND($AZ276-SUMPRODUCT($V276:$AE276*($V276:$AE276&gt;0)*(($V276:$AE276&lt;X276)+($V276:$AE276=X276)*($V$3:$AE$3&gt;X$3)+($V276:$AE276=X276)*($V$3:$AE$3=X$3)*($V$2:$AE$2&lt;X$2))),2))))</f>
      </c>
      <c r="AI276" s="33">
        <f>IF(Y276&lt;=0,0,MAX(0,MIN(Y276,ROUND($AZ276-SUMPRODUCT($V276:$AE276*($V276:$AE276&gt;0)*(($V276:$AE276&lt;Y276)+($V276:$AE276=Y276)*($V$3:$AE$3&gt;Y$3)+($V276:$AE276=Y276)*($V$3:$AE$3=Y$3)*($V$2:$AE$2&lt;Y$2))),2))))</f>
      </c>
      <c r="AJ276" s="33">
        <f>IF(Z276&lt;=0,0,MAX(0,MIN(Z276,ROUND($AZ276-SUMPRODUCT($V276:$AE276*($V276:$AE276&gt;0)*(($V276:$AE276&lt;Z276)+($V276:$AE276=Z276)*($V$3:$AE$3&gt;Z$3)+($V276:$AE276=Z276)*($V$3:$AE$3=Z$3)*($V$2:$AE$2&lt;Z$2))),2))))</f>
      </c>
      <c r="AK276" s="33">
        <f>IF(AA276&lt;=0,0,MAX(0,MIN(AA276,ROUND($AZ276-SUMPRODUCT($V276:$AE276*($V276:$AE276&gt;0)*(($V276:$AE276&lt;AA276)+($V276:$AE276=AA276)*($V$3:$AE$3&gt;AA$3)+($V276:$AE276=AA276)*($V$3:$AE$3=AA$3)*($V$2:$AE$2&lt;AA$2))),2))))</f>
      </c>
      <c r="AL276" s="33">
        <f>IF(AB276&lt;=0,0,MAX(0,MIN(AB276,ROUND($AZ276-SUMPRODUCT($V276:$AE276*($V276:$AE276&gt;0)*(($V276:$AE276&lt;AB276)+($V276:$AE276=AB276)*($V$3:$AE$3&gt;AB$3)+($V276:$AE276=AB276)*($V$3:$AE$3=AB$3)*($V$2:$AE$2&lt;AB$2))),2))))</f>
      </c>
      <c r="AM276" s="33">
        <f>IF(AC276&lt;=0,0,MAX(0,MIN(AC276,ROUND($AZ276-SUMPRODUCT($V276:$AE276*($V276:$AE276&gt;0)*(($V276:$AE276&lt;AC276)+($V276:$AE276=AC276)*($V$3:$AE$3&gt;AC$3)+($V276:$AE276=AC276)*($V$3:$AE$3=AC$3)*($V$2:$AE$2&lt;AC$2))),2))))</f>
      </c>
      <c r="AN276" s="33">
        <f>IF(AD276&lt;=0,0,MAX(0,MIN(AD276,ROUND($AZ276-SUMPRODUCT($V276:$AE276*($V276:$AE276&gt;0)*(($V276:$AE276&lt;AD276)+($V276:$AE276=AD276)*($V$3:$AE$3&gt;AD$3)+($V276:$AE276=AD276)*($V$3:$AE$3=AD$3)*($V$2:$AE$2&lt;AD$2))),2))))</f>
      </c>
      <c r="AO276" s="33">
        <f>IF(AE276&lt;=0,0,MAX(0,MIN(AE276,ROUND($AZ276-SUMPRODUCT($V276:$AE276*($V276:$AE276&gt;0)*(($V276:$AE276&lt;AE276)+($V276:$AE276=AE276)*($V$3:$AE$3&gt;AE$3)+($V276:$AE276=AE276)*($V$3:$AE$3=AE$3)*($V$2:$AE$2&lt;AE$2))),2))))</f>
      </c>
      <c r="AP276" s="33">
        <f>ROUND(V276-AF276,2)</f>
      </c>
      <c r="AQ276" s="33">
        <f>ROUND(W276-AG276,2)</f>
      </c>
      <c r="AR276" s="33">
        <f>ROUND(X276-AH276,2)</f>
      </c>
      <c r="AS276" s="33">
        <f>ROUND(Y276-AI276,2)</f>
      </c>
      <c r="AT276" s="33">
        <f>ROUND(Z276-AJ276,2)</f>
      </c>
      <c r="AU276" s="33">
        <f>ROUND(AA276-AK276,2)</f>
      </c>
      <c r="AV276" s="33">
        <f>ROUND(AB276-AL276,2)</f>
      </c>
      <c r="AW276" s="33">
        <f>ROUND(AC276-AM276,2)</f>
      </c>
      <c r="AX276" s="33">
        <f>ROUND(AD276-AN276,2)</f>
      </c>
      <c r="AY276" s="33">
        <f>ROUND(AE276-AO276,2)</f>
      </c>
      <c r="AZ276" s="33">
        <f>ROUND(MAX(0,'Your debts'!$D$22-SUM($L276:$U276)),2)</f>
      </c>
      <c r="BA276" s="33">
        <f>ROUND(SUM($B276:$K276)-SUM($AP275:$AY275),2)</f>
      </c>
      <c r="BB276" s="33">
        <f>SUM($AP276:$AY276)</f>
      </c>
      <c r="BC276" s="33">
        <f>ROUND(SUM($L276:$U276)+SUM($AF276:$AO276),2)</f>
      </c>
    </row>
    <row r="277" spans="1:55" x14ac:dyDescent="0.25">
      <c r="A277">
        <v>270</v>
      </c>
      <c r="B277" s="33">
        <f>IF(AP276&lt;=0,0,ROUND(AP276+ROUND(AP276*V$3/12,2),2))</f>
      </c>
      <c r="C277" s="33">
        <f>IF(AQ276&lt;=0,0,ROUND(AQ276+ROUND(AQ276*W$3/12,2),2))</f>
      </c>
      <c r="D277" s="33">
        <f>IF(AR276&lt;=0,0,ROUND(AR276+ROUND(AR276*X$3/12,2),2))</f>
      </c>
      <c r="E277" s="33">
        <f>IF(AS276&lt;=0,0,ROUND(AS276+ROUND(AS276*Y$3/12,2),2))</f>
      </c>
      <c r="F277" s="33">
        <f>IF(AT276&lt;=0,0,ROUND(AT276+ROUND(AT276*Z$3/12,2),2))</f>
      </c>
      <c r="G277" s="33">
        <f>IF(AU276&lt;=0,0,ROUND(AU276+ROUND(AU276*AA$3/12,2),2))</f>
      </c>
      <c r="H277" s="33">
        <f>IF(AV276&lt;=0,0,ROUND(AV276+ROUND(AV276*AB$3/12,2),2))</f>
      </c>
      <c r="I277" s="33">
        <f>IF(AW276&lt;=0,0,ROUND(AW276+ROUND(AW276*AC$3/12,2),2))</f>
      </c>
      <c r="J277" s="33">
        <f>IF(AX276&lt;=0,0,ROUND(AX276+ROUND(AX276*AD$3/12,2),2))</f>
      </c>
      <c r="K277" s="33">
        <f>IF(AY276&lt;=0,0,ROUND(AY276+ROUND(AY276*AE$3/12,2),2))</f>
      </c>
      <c r="L277" s="33">
        <f>ROUND(MIN(MAX(0,N('Your debts'!$E$6)),B277),2)</f>
      </c>
      <c r="M277" s="33">
        <f>ROUND(MIN(MAX(0,N('Your debts'!$E$7)),C277),2)</f>
      </c>
      <c r="N277" s="33">
        <f>ROUND(MIN(MAX(0,N('Your debts'!$E$8)),D277),2)</f>
      </c>
      <c r="O277" s="33">
        <f>ROUND(MIN(MAX(0,N('Your debts'!$E$9)),E277),2)</f>
      </c>
      <c r="P277" s="33">
        <f>ROUND(MIN(MAX(0,N('Your debts'!$E$10)),F277),2)</f>
      </c>
      <c r="Q277" s="33">
        <f>ROUND(MIN(MAX(0,N('Your debts'!$E$11)),G277),2)</f>
      </c>
      <c r="R277" s="33">
        <f>ROUND(MIN(MAX(0,N('Your debts'!$E$12)),H277),2)</f>
      </c>
      <c r="S277" s="33">
        <f>ROUND(MIN(MAX(0,N('Your debts'!$E$13)),I277),2)</f>
      </c>
      <c r="T277" s="33">
        <f>ROUND(MIN(MAX(0,N('Your debts'!$E$14)),J277),2)</f>
      </c>
      <c r="U277" s="33">
        <f>ROUND(MIN(MAX(0,N('Your debts'!$E$15)),K277),2)</f>
      </c>
      <c r="V277" s="33">
        <f>ROUND(B277-L277,2)</f>
      </c>
      <c r="W277" s="33">
        <f>ROUND(C277-M277,2)</f>
      </c>
      <c r="X277" s="33">
        <f>ROUND(D277-N277,2)</f>
      </c>
      <c r="Y277" s="33">
        <f>ROUND(E277-O277,2)</f>
      </c>
      <c r="Z277" s="33">
        <f>ROUND(F277-P277,2)</f>
      </c>
      <c r="AA277" s="33">
        <f>ROUND(G277-Q277,2)</f>
      </c>
      <c r="AB277" s="33">
        <f>ROUND(H277-R277,2)</f>
      </c>
      <c r="AC277" s="33">
        <f>ROUND(I277-S277,2)</f>
      </c>
      <c r="AD277" s="33">
        <f>ROUND(J277-T277,2)</f>
      </c>
      <c r="AE277" s="33">
        <f>ROUND(K277-U277,2)</f>
      </c>
      <c r="AF277" s="33">
        <f>IF(V277&lt;=0,0,MAX(0,MIN(V277,ROUND($AZ277-SUMPRODUCT($V277:$AE277*($V277:$AE277&gt;0)*(($V277:$AE277&lt;V277)+($V277:$AE277=V277)*($V$3:$AE$3&gt;V$3)+($V277:$AE277=V277)*($V$3:$AE$3=V$3)*($V$2:$AE$2&lt;V$2))),2))))</f>
      </c>
      <c r="AG277" s="33">
        <f>IF(W277&lt;=0,0,MAX(0,MIN(W277,ROUND($AZ277-SUMPRODUCT($V277:$AE277*($V277:$AE277&gt;0)*(($V277:$AE277&lt;W277)+($V277:$AE277=W277)*($V$3:$AE$3&gt;W$3)+($V277:$AE277=W277)*($V$3:$AE$3=W$3)*($V$2:$AE$2&lt;W$2))),2))))</f>
      </c>
      <c r="AH277" s="33">
        <f>IF(X277&lt;=0,0,MAX(0,MIN(X277,ROUND($AZ277-SUMPRODUCT($V277:$AE277*($V277:$AE277&gt;0)*(($V277:$AE277&lt;X277)+($V277:$AE277=X277)*($V$3:$AE$3&gt;X$3)+($V277:$AE277=X277)*($V$3:$AE$3=X$3)*($V$2:$AE$2&lt;X$2))),2))))</f>
      </c>
      <c r="AI277" s="33">
        <f>IF(Y277&lt;=0,0,MAX(0,MIN(Y277,ROUND($AZ277-SUMPRODUCT($V277:$AE277*($V277:$AE277&gt;0)*(($V277:$AE277&lt;Y277)+($V277:$AE277=Y277)*($V$3:$AE$3&gt;Y$3)+($V277:$AE277=Y277)*($V$3:$AE$3=Y$3)*($V$2:$AE$2&lt;Y$2))),2))))</f>
      </c>
      <c r="AJ277" s="33">
        <f>IF(Z277&lt;=0,0,MAX(0,MIN(Z277,ROUND($AZ277-SUMPRODUCT($V277:$AE277*($V277:$AE277&gt;0)*(($V277:$AE277&lt;Z277)+($V277:$AE277=Z277)*($V$3:$AE$3&gt;Z$3)+($V277:$AE277=Z277)*($V$3:$AE$3=Z$3)*($V$2:$AE$2&lt;Z$2))),2))))</f>
      </c>
      <c r="AK277" s="33">
        <f>IF(AA277&lt;=0,0,MAX(0,MIN(AA277,ROUND($AZ277-SUMPRODUCT($V277:$AE277*($V277:$AE277&gt;0)*(($V277:$AE277&lt;AA277)+($V277:$AE277=AA277)*($V$3:$AE$3&gt;AA$3)+($V277:$AE277=AA277)*($V$3:$AE$3=AA$3)*($V$2:$AE$2&lt;AA$2))),2))))</f>
      </c>
      <c r="AL277" s="33">
        <f>IF(AB277&lt;=0,0,MAX(0,MIN(AB277,ROUND($AZ277-SUMPRODUCT($V277:$AE277*($V277:$AE277&gt;0)*(($V277:$AE277&lt;AB277)+($V277:$AE277=AB277)*($V$3:$AE$3&gt;AB$3)+($V277:$AE277=AB277)*($V$3:$AE$3=AB$3)*($V$2:$AE$2&lt;AB$2))),2))))</f>
      </c>
      <c r="AM277" s="33">
        <f>IF(AC277&lt;=0,0,MAX(0,MIN(AC277,ROUND($AZ277-SUMPRODUCT($V277:$AE277*($V277:$AE277&gt;0)*(($V277:$AE277&lt;AC277)+($V277:$AE277=AC277)*($V$3:$AE$3&gt;AC$3)+($V277:$AE277=AC277)*($V$3:$AE$3=AC$3)*($V$2:$AE$2&lt;AC$2))),2))))</f>
      </c>
      <c r="AN277" s="33">
        <f>IF(AD277&lt;=0,0,MAX(0,MIN(AD277,ROUND($AZ277-SUMPRODUCT($V277:$AE277*($V277:$AE277&gt;0)*(($V277:$AE277&lt;AD277)+($V277:$AE277=AD277)*($V$3:$AE$3&gt;AD$3)+($V277:$AE277=AD277)*($V$3:$AE$3=AD$3)*($V$2:$AE$2&lt;AD$2))),2))))</f>
      </c>
      <c r="AO277" s="33">
        <f>IF(AE277&lt;=0,0,MAX(0,MIN(AE277,ROUND($AZ277-SUMPRODUCT($V277:$AE277*($V277:$AE277&gt;0)*(($V277:$AE277&lt;AE277)+($V277:$AE277=AE277)*($V$3:$AE$3&gt;AE$3)+($V277:$AE277=AE277)*($V$3:$AE$3=AE$3)*($V$2:$AE$2&lt;AE$2))),2))))</f>
      </c>
      <c r="AP277" s="33">
        <f>ROUND(V277-AF277,2)</f>
      </c>
      <c r="AQ277" s="33">
        <f>ROUND(W277-AG277,2)</f>
      </c>
      <c r="AR277" s="33">
        <f>ROUND(X277-AH277,2)</f>
      </c>
      <c r="AS277" s="33">
        <f>ROUND(Y277-AI277,2)</f>
      </c>
      <c r="AT277" s="33">
        <f>ROUND(Z277-AJ277,2)</f>
      </c>
      <c r="AU277" s="33">
        <f>ROUND(AA277-AK277,2)</f>
      </c>
      <c r="AV277" s="33">
        <f>ROUND(AB277-AL277,2)</f>
      </c>
      <c r="AW277" s="33">
        <f>ROUND(AC277-AM277,2)</f>
      </c>
      <c r="AX277" s="33">
        <f>ROUND(AD277-AN277,2)</f>
      </c>
      <c r="AY277" s="33">
        <f>ROUND(AE277-AO277,2)</f>
      </c>
      <c r="AZ277" s="33">
        <f>ROUND(MAX(0,'Your debts'!$D$22-SUM($L277:$U277)),2)</f>
      </c>
      <c r="BA277" s="33">
        <f>ROUND(SUM($B277:$K277)-SUM($AP276:$AY276),2)</f>
      </c>
      <c r="BB277" s="33">
        <f>SUM($AP277:$AY277)</f>
      </c>
      <c r="BC277" s="33">
        <f>ROUND(SUM($L277:$U277)+SUM($AF277:$AO277),2)</f>
      </c>
    </row>
    <row r="278" spans="1:55" x14ac:dyDescent="0.25">
      <c r="A278">
        <v>271</v>
      </c>
      <c r="B278" s="33">
        <f>IF(AP277&lt;=0,0,ROUND(AP277+ROUND(AP277*V$3/12,2),2))</f>
      </c>
      <c r="C278" s="33">
        <f>IF(AQ277&lt;=0,0,ROUND(AQ277+ROUND(AQ277*W$3/12,2),2))</f>
      </c>
      <c r="D278" s="33">
        <f>IF(AR277&lt;=0,0,ROUND(AR277+ROUND(AR277*X$3/12,2),2))</f>
      </c>
      <c r="E278" s="33">
        <f>IF(AS277&lt;=0,0,ROUND(AS277+ROUND(AS277*Y$3/12,2),2))</f>
      </c>
      <c r="F278" s="33">
        <f>IF(AT277&lt;=0,0,ROUND(AT277+ROUND(AT277*Z$3/12,2),2))</f>
      </c>
      <c r="G278" s="33">
        <f>IF(AU277&lt;=0,0,ROUND(AU277+ROUND(AU277*AA$3/12,2),2))</f>
      </c>
      <c r="H278" s="33">
        <f>IF(AV277&lt;=0,0,ROUND(AV277+ROUND(AV277*AB$3/12,2),2))</f>
      </c>
      <c r="I278" s="33">
        <f>IF(AW277&lt;=0,0,ROUND(AW277+ROUND(AW277*AC$3/12,2),2))</f>
      </c>
      <c r="J278" s="33">
        <f>IF(AX277&lt;=0,0,ROUND(AX277+ROUND(AX277*AD$3/12,2),2))</f>
      </c>
      <c r="K278" s="33">
        <f>IF(AY277&lt;=0,0,ROUND(AY277+ROUND(AY277*AE$3/12,2),2))</f>
      </c>
      <c r="L278" s="33">
        <f>ROUND(MIN(MAX(0,N('Your debts'!$E$6)),B278),2)</f>
      </c>
      <c r="M278" s="33">
        <f>ROUND(MIN(MAX(0,N('Your debts'!$E$7)),C278),2)</f>
      </c>
      <c r="N278" s="33">
        <f>ROUND(MIN(MAX(0,N('Your debts'!$E$8)),D278),2)</f>
      </c>
      <c r="O278" s="33">
        <f>ROUND(MIN(MAX(0,N('Your debts'!$E$9)),E278),2)</f>
      </c>
      <c r="P278" s="33">
        <f>ROUND(MIN(MAX(0,N('Your debts'!$E$10)),F278),2)</f>
      </c>
      <c r="Q278" s="33">
        <f>ROUND(MIN(MAX(0,N('Your debts'!$E$11)),G278),2)</f>
      </c>
      <c r="R278" s="33">
        <f>ROUND(MIN(MAX(0,N('Your debts'!$E$12)),H278),2)</f>
      </c>
      <c r="S278" s="33">
        <f>ROUND(MIN(MAX(0,N('Your debts'!$E$13)),I278),2)</f>
      </c>
      <c r="T278" s="33">
        <f>ROUND(MIN(MAX(0,N('Your debts'!$E$14)),J278),2)</f>
      </c>
      <c r="U278" s="33">
        <f>ROUND(MIN(MAX(0,N('Your debts'!$E$15)),K278),2)</f>
      </c>
      <c r="V278" s="33">
        <f>ROUND(B278-L278,2)</f>
      </c>
      <c r="W278" s="33">
        <f>ROUND(C278-M278,2)</f>
      </c>
      <c r="X278" s="33">
        <f>ROUND(D278-N278,2)</f>
      </c>
      <c r="Y278" s="33">
        <f>ROUND(E278-O278,2)</f>
      </c>
      <c r="Z278" s="33">
        <f>ROUND(F278-P278,2)</f>
      </c>
      <c r="AA278" s="33">
        <f>ROUND(G278-Q278,2)</f>
      </c>
      <c r="AB278" s="33">
        <f>ROUND(H278-R278,2)</f>
      </c>
      <c r="AC278" s="33">
        <f>ROUND(I278-S278,2)</f>
      </c>
      <c r="AD278" s="33">
        <f>ROUND(J278-T278,2)</f>
      </c>
      <c r="AE278" s="33">
        <f>ROUND(K278-U278,2)</f>
      </c>
      <c r="AF278" s="33">
        <f>IF(V278&lt;=0,0,MAX(0,MIN(V278,ROUND($AZ278-SUMPRODUCT($V278:$AE278*($V278:$AE278&gt;0)*(($V278:$AE278&lt;V278)+($V278:$AE278=V278)*($V$3:$AE$3&gt;V$3)+($V278:$AE278=V278)*($V$3:$AE$3=V$3)*($V$2:$AE$2&lt;V$2))),2))))</f>
      </c>
      <c r="AG278" s="33">
        <f>IF(W278&lt;=0,0,MAX(0,MIN(W278,ROUND($AZ278-SUMPRODUCT($V278:$AE278*($V278:$AE278&gt;0)*(($V278:$AE278&lt;W278)+($V278:$AE278=W278)*($V$3:$AE$3&gt;W$3)+($V278:$AE278=W278)*($V$3:$AE$3=W$3)*($V$2:$AE$2&lt;W$2))),2))))</f>
      </c>
      <c r="AH278" s="33">
        <f>IF(X278&lt;=0,0,MAX(0,MIN(X278,ROUND($AZ278-SUMPRODUCT($V278:$AE278*($V278:$AE278&gt;0)*(($V278:$AE278&lt;X278)+($V278:$AE278=X278)*($V$3:$AE$3&gt;X$3)+($V278:$AE278=X278)*($V$3:$AE$3=X$3)*($V$2:$AE$2&lt;X$2))),2))))</f>
      </c>
      <c r="AI278" s="33">
        <f>IF(Y278&lt;=0,0,MAX(0,MIN(Y278,ROUND($AZ278-SUMPRODUCT($V278:$AE278*($V278:$AE278&gt;0)*(($V278:$AE278&lt;Y278)+($V278:$AE278=Y278)*($V$3:$AE$3&gt;Y$3)+($V278:$AE278=Y278)*($V$3:$AE$3=Y$3)*($V$2:$AE$2&lt;Y$2))),2))))</f>
      </c>
      <c r="AJ278" s="33">
        <f>IF(Z278&lt;=0,0,MAX(0,MIN(Z278,ROUND($AZ278-SUMPRODUCT($V278:$AE278*($V278:$AE278&gt;0)*(($V278:$AE278&lt;Z278)+($V278:$AE278=Z278)*($V$3:$AE$3&gt;Z$3)+($V278:$AE278=Z278)*($V$3:$AE$3=Z$3)*($V$2:$AE$2&lt;Z$2))),2))))</f>
      </c>
      <c r="AK278" s="33">
        <f>IF(AA278&lt;=0,0,MAX(0,MIN(AA278,ROUND($AZ278-SUMPRODUCT($V278:$AE278*($V278:$AE278&gt;0)*(($V278:$AE278&lt;AA278)+($V278:$AE278=AA278)*($V$3:$AE$3&gt;AA$3)+($V278:$AE278=AA278)*($V$3:$AE$3=AA$3)*($V$2:$AE$2&lt;AA$2))),2))))</f>
      </c>
      <c r="AL278" s="33">
        <f>IF(AB278&lt;=0,0,MAX(0,MIN(AB278,ROUND($AZ278-SUMPRODUCT($V278:$AE278*($V278:$AE278&gt;0)*(($V278:$AE278&lt;AB278)+($V278:$AE278=AB278)*($V$3:$AE$3&gt;AB$3)+($V278:$AE278=AB278)*($V$3:$AE$3=AB$3)*($V$2:$AE$2&lt;AB$2))),2))))</f>
      </c>
      <c r="AM278" s="33">
        <f>IF(AC278&lt;=0,0,MAX(0,MIN(AC278,ROUND($AZ278-SUMPRODUCT($V278:$AE278*($V278:$AE278&gt;0)*(($V278:$AE278&lt;AC278)+($V278:$AE278=AC278)*($V$3:$AE$3&gt;AC$3)+($V278:$AE278=AC278)*($V$3:$AE$3=AC$3)*($V$2:$AE$2&lt;AC$2))),2))))</f>
      </c>
      <c r="AN278" s="33">
        <f>IF(AD278&lt;=0,0,MAX(0,MIN(AD278,ROUND($AZ278-SUMPRODUCT($V278:$AE278*($V278:$AE278&gt;0)*(($V278:$AE278&lt;AD278)+($V278:$AE278=AD278)*($V$3:$AE$3&gt;AD$3)+($V278:$AE278=AD278)*($V$3:$AE$3=AD$3)*($V$2:$AE$2&lt;AD$2))),2))))</f>
      </c>
      <c r="AO278" s="33">
        <f>IF(AE278&lt;=0,0,MAX(0,MIN(AE278,ROUND($AZ278-SUMPRODUCT($V278:$AE278*($V278:$AE278&gt;0)*(($V278:$AE278&lt;AE278)+($V278:$AE278=AE278)*($V$3:$AE$3&gt;AE$3)+($V278:$AE278=AE278)*($V$3:$AE$3=AE$3)*($V$2:$AE$2&lt;AE$2))),2))))</f>
      </c>
      <c r="AP278" s="33">
        <f>ROUND(V278-AF278,2)</f>
      </c>
      <c r="AQ278" s="33">
        <f>ROUND(W278-AG278,2)</f>
      </c>
      <c r="AR278" s="33">
        <f>ROUND(X278-AH278,2)</f>
      </c>
      <c r="AS278" s="33">
        <f>ROUND(Y278-AI278,2)</f>
      </c>
      <c r="AT278" s="33">
        <f>ROUND(Z278-AJ278,2)</f>
      </c>
      <c r="AU278" s="33">
        <f>ROUND(AA278-AK278,2)</f>
      </c>
      <c r="AV278" s="33">
        <f>ROUND(AB278-AL278,2)</f>
      </c>
      <c r="AW278" s="33">
        <f>ROUND(AC278-AM278,2)</f>
      </c>
      <c r="AX278" s="33">
        <f>ROUND(AD278-AN278,2)</f>
      </c>
      <c r="AY278" s="33">
        <f>ROUND(AE278-AO278,2)</f>
      </c>
      <c r="AZ278" s="33">
        <f>ROUND(MAX(0,'Your debts'!$D$22-SUM($L278:$U278)),2)</f>
      </c>
      <c r="BA278" s="33">
        <f>ROUND(SUM($B278:$K278)-SUM($AP277:$AY277),2)</f>
      </c>
      <c r="BB278" s="33">
        <f>SUM($AP278:$AY278)</f>
      </c>
      <c r="BC278" s="33">
        <f>ROUND(SUM($L278:$U278)+SUM($AF278:$AO278),2)</f>
      </c>
    </row>
    <row r="279" spans="1:55" x14ac:dyDescent="0.25">
      <c r="A279">
        <v>272</v>
      </c>
      <c r="B279" s="33">
        <f>IF(AP278&lt;=0,0,ROUND(AP278+ROUND(AP278*V$3/12,2),2))</f>
      </c>
      <c r="C279" s="33">
        <f>IF(AQ278&lt;=0,0,ROUND(AQ278+ROUND(AQ278*W$3/12,2),2))</f>
      </c>
      <c r="D279" s="33">
        <f>IF(AR278&lt;=0,0,ROUND(AR278+ROUND(AR278*X$3/12,2),2))</f>
      </c>
      <c r="E279" s="33">
        <f>IF(AS278&lt;=0,0,ROUND(AS278+ROUND(AS278*Y$3/12,2),2))</f>
      </c>
      <c r="F279" s="33">
        <f>IF(AT278&lt;=0,0,ROUND(AT278+ROUND(AT278*Z$3/12,2),2))</f>
      </c>
      <c r="G279" s="33">
        <f>IF(AU278&lt;=0,0,ROUND(AU278+ROUND(AU278*AA$3/12,2),2))</f>
      </c>
      <c r="H279" s="33">
        <f>IF(AV278&lt;=0,0,ROUND(AV278+ROUND(AV278*AB$3/12,2),2))</f>
      </c>
      <c r="I279" s="33">
        <f>IF(AW278&lt;=0,0,ROUND(AW278+ROUND(AW278*AC$3/12,2),2))</f>
      </c>
      <c r="J279" s="33">
        <f>IF(AX278&lt;=0,0,ROUND(AX278+ROUND(AX278*AD$3/12,2),2))</f>
      </c>
      <c r="K279" s="33">
        <f>IF(AY278&lt;=0,0,ROUND(AY278+ROUND(AY278*AE$3/12,2),2))</f>
      </c>
      <c r="L279" s="33">
        <f>ROUND(MIN(MAX(0,N('Your debts'!$E$6)),B279),2)</f>
      </c>
      <c r="M279" s="33">
        <f>ROUND(MIN(MAX(0,N('Your debts'!$E$7)),C279),2)</f>
      </c>
      <c r="N279" s="33">
        <f>ROUND(MIN(MAX(0,N('Your debts'!$E$8)),D279),2)</f>
      </c>
      <c r="O279" s="33">
        <f>ROUND(MIN(MAX(0,N('Your debts'!$E$9)),E279),2)</f>
      </c>
      <c r="P279" s="33">
        <f>ROUND(MIN(MAX(0,N('Your debts'!$E$10)),F279),2)</f>
      </c>
      <c r="Q279" s="33">
        <f>ROUND(MIN(MAX(0,N('Your debts'!$E$11)),G279),2)</f>
      </c>
      <c r="R279" s="33">
        <f>ROUND(MIN(MAX(0,N('Your debts'!$E$12)),H279),2)</f>
      </c>
      <c r="S279" s="33">
        <f>ROUND(MIN(MAX(0,N('Your debts'!$E$13)),I279),2)</f>
      </c>
      <c r="T279" s="33">
        <f>ROUND(MIN(MAX(0,N('Your debts'!$E$14)),J279),2)</f>
      </c>
      <c r="U279" s="33">
        <f>ROUND(MIN(MAX(0,N('Your debts'!$E$15)),K279),2)</f>
      </c>
      <c r="V279" s="33">
        <f>ROUND(B279-L279,2)</f>
      </c>
      <c r="W279" s="33">
        <f>ROUND(C279-M279,2)</f>
      </c>
      <c r="X279" s="33">
        <f>ROUND(D279-N279,2)</f>
      </c>
      <c r="Y279" s="33">
        <f>ROUND(E279-O279,2)</f>
      </c>
      <c r="Z279" s="33">
        <f>ROUND(F279-P279,2)</f>
      </c>
      <c r="AA279" s="33">
        <f>ROUND(G279-Q279,2)</f>
      </c>
      <c r="AB279" s="33">
        <f>ROUND(H279-R279,2)</f>
      </c>
      <c r="AC279" s="33">
        <f>ROUND(I279-S279,2)</f>
      </c>
      <c r="AD279" s="33">
        <f>ROUND(J279-T279,2)</f>
      </c>
      <c r="AE279" s="33">
        <f>ROUND(K279-U279,2)</f>
      </c>
      <c r="AF279" s="33">
        <f>IF(V279&lt;=0,0,MAX(0,MIN(V279,ROUND($AZ279-SUMPRODUCT($V279:$AE279*($V279:$AE279&gt;0)*(($V279:$AE279&lt;V279)+($V279:$AE279=V279)*($V$3:$AE$3&gt;V$3)+($V279:$AE279=V279)*($V$3:$AE$3=V$3)*($V$2:$AE$2&lt;V$2))),2))))</f>
      </c>
      <c r="AG279" s="33">
        <f>IF(W279&lt;=0,0,MAX(0,MIN(W279,ROUND($AZ279-SUMPRODUCT($V279:$AE279*($V279:$AE279&gt;0)*(($V279:$AE279&lt;W279)+($V279:$AE279=W279)*($V$3:$AE$3&gt;W$3)+($V279:$AE279=W279)*($V$3:$AE$3=W$3)*($V$2:$AE$2&lt;W$2))),2))))</f>
      </c>
      <c r="AH279" s="33">
        <f>IF(X279&lt;=0,0,MAX(0,MIN(X279,ROUND($AZ279-SUMPRODUCT($V279:$AE279*($V279:$AE279&gt;0)*(($V279:$AE279&lt;X279)+($V279:$AE279=X279)*($V$3:$AE$3&gt;X$3)+($V279:$AE279=X279)*($V$3:$AE$3=X$3)*($V$2:$AE$2&lt;X$2))),2))))</f>
      </c>
      <c r="AI279" s="33">
        <f>IF(Y279&lt;=0,0,MAX(0,MIN(Y279,ROUND($AZ279-SUMPRODUCT($V279:$AE279*($V279:$AE279&gt;0)*(($V279:$AE279&lt;Y279)+($V279:$AE279=Y279)*($V$3:$AE$3&gt;Y$3)+($V279:$AE279=Y279)*($V$3:$AE$3=Y$3)*($V$2:$AE$2&lt;Y$2))),2))))</f>
      </c>
      <c r="AJ279" s="33">
        <f>IF(Z279&lt;=0,0,MAX(0,MIN(Z279,ROUND($AZ279-SUMPRODUCT($V279:$AE279*($V279:$AE279&gt;0)*(($V279:$AE279&lt;Z279)+($V279:$AE279=Z279)*($V$3:$AE$3&gt;Z$3)+($V279:$AE279=Z279)*($V$3:$AE$3=Z$3)*($V$2:$AE$2&lt;Z$2))),2))))</f>
      </c>
      <c r="AK279" s="33">
        <f>IF(AA279&lt;=0,0,MAX(0,MIN(AA279,ROUND($AZ279-SUMPRODUCT($V279:$AE279*($V279:$AE279&gt;0)*(($V279:$AE279&lt;AA279)+($V279:$AE279=AA279)*($V$3:$AE$3&gt;AA$3)+($V279:$AE279=AA279)*($V$3:$AE$3=AA$3)*($V$2:$AE$2&lt;AA$2))),2))))</f>
      </c>
      <c r="AL279" s="33">
        <f>IF(AB279&lt;=0,0,MAX(0,MIN(AB279,ROUND($AZ279-SUMPRODUCT($V279:$AE279*($V279:$AE279&gt;0)*(($V279:$AE279&lt;AB279)+($V279:$AE279=AB279)*($V$3:$AE$3&gt;AB$3)+($V279:$AE279=AB279)*($V$3:$AE$3=AB$3)*($V$2:$AE$2&lt;AB$2))),2))))</f>
      </c>
      <c r="AM279" s="33">
        <f>IF(AC279&lt;=0,0,MAX(0,MIN(AC279,ROUND($AZ279-SUMPRODUCT($V279:$AE279*($V279:$AE279&gt;0)*(($V279:$AE279&lt;AC279)+($V279:$AE279=AC279)*($V$3:$AE$3&gt;AC$3)+($V279:$AE279=AC279)*($V$3:$AE$3=AC$3)*($V$2:$AE$2&lt;AC$2))),2))))</f>
      </c>
      <c r="AN279" s="33">
        <f>IF(AD279&lt;=0,0,MAX(0,MIN(AD279,ROUND($AZ279-SUMPRODUCT($V279:$AE279*($V279:$AE279&gt;0)*(($V279:$AE279&lt;AD279)+($V279:$AE279=AD279)*($V$3:$AE$3&gt;AD$3)+($V279:$AE279=AD279)*($V$3:$AE$3=AD$3)*($V$2:$AE$2&lt;AD$2))),2))))</f>
      </c>
      <c r="AO279" s="33">
        <f>IF(AE279&lt;=0,0,MAX(0,MIN(AE279,ROUND($AZ279-SUMPRODUCT($V279:$AE279*($V279:$AE279&gt;0)*(($V279:$AE279&lt;AE279)+($V279:$AE279=AE279)*($V$3:$AE$3&gt;AE$3)+($V279:$AE279=AE279)*($V$3:$AE$3=AE$3)*($V$2:$AE$2&lt;AE$2))),2))))</f>
      </c>
      <c r="AP279" s="33">
        <f>ROUND(V279-AF279,2)</f>
      </c>
      <c r="AQ279" s="33">
        <f>ROUND(W279-AG279,2)</f>
      </c>
      <c r="AR279" s="33">
        <f>ROUND(X279-AH279,2)</f>
      </c>
      <c r="AS279" s="33">
        <f>ROUND(Y279-AI279,2)</f>
      </c>
      <c r="AT279" s="33">
        <f>ROUND(Z279-AJ279,2)</f>
      </c>
      <c r="AU279" s="33">
        <f>ROUND(AA279-AK279,2)</f>
      </c>
      <c r="AV279" s="33">
        <f>ROUND(AB279-AL279,2)</f>
      </c>
      <c r="AW279" s="33">
        <f>ROUND(AC279-AM279,2)</f>
      </c>
      <c r="AX279" s="33">
        <f>ROUND(AD279-AN279,2)</f>
      </c>
      <c r="AY279" s="33">
        <f>ROUND(AE279-AO279,2)</f>
      </c>
      <c r="AZ279" s="33">
        <f>ROUND(MAX(0,'Your debts'!$D$22-SUM($L279:$U279)),2)</f>
      </c>
      <c r="BA279" s="33">
        <f>ROUND(SUM($B279:$K279)-SUM($AP278:$AY278),2)</f>
      </c>
      <c r="BB279" s="33">
        <f>SUM($AP279:$AY279)</f>
      </c>
      <c r="BC279" s="33">
        <f>ROUND(SUM($L279:$U279)+SUM($AF279:$AO279),2)</f>
      </c>
    </row>
    <row r="280" spans="1:55" x14ac:dyDescent="0.25">
      <c r="A280">
        <v>273</v>
      </c>
      <c r="B280" s="33">
        <f>IF(AP279&lt;=0,0,ROUND(AP279+ROUND(AP279*V$3/12,2),2))</f>
      </c>
      <c r="C280" s="33">
        <f>IF(AQ279&lt;=0,0,ROUND(AQ279+ROUND(AQ279*W$3/12,2),2))</f>
      </c>
      <c r="D280" s="33">
        <f>IF(AR279&lt;=0,0,ROUND(AR279+ROUND(AR279*X$3/12,2),2))</f>
      </c>
      <c r="E280" s="33">
        <f>IF(AS279&lt;=0,0,ROUND(AS279+ROUND(AS279*Y$3/12,2),2))</f>
      </c>
      <c r="F280" s="33">
        <f>IF(AT279&lt;=0,0,ROUND(AT279+ROUND(AT279*Z$3/12,2),2))</f>
      </c>
      <c r="G280" s="33">
        <f>IF(AU279&lt;=0,0,ROUND(AU279+ROUND(AU279*AA$3/12,2),2))</f>
      </c>
      <c r="H280" s="33">
        <f>IF(AV279&lt;=0,0,ROUND(AV279+ROUND(AV279*AB$3/12,2),2))</f>
      </c>
      <c r="I280" s="33">
        <f>IF(AW279&lt;=0,0,ROUND(AW279+ROUND(AW279*AC$3/12,2),2))</f>
      </c>
      <c r="J280" s="33">
        <f>IF(AX279&lt;=0,0,ROUND(AX279+ROUND(AX279*AD$3/12,2),2))</f>
      </c>
      <c r="K280" s="33">
        <f>IF(AY279&lt;=0,0,ROUND(AY279+ROUND(AY279*AE$3/12,2),2))</f>
      </c>
      <c r="L280" s="33">
        <f>ROUND(MIN(MAX(0,N('Your debts'!$E$6)),B280),2)</f>
      </c>
      <c r="M280" s="33">
        <f>ROUND(MIN(MAX(0,N('Your debts'!$E$7)),C280),2)</f>
      </c>
      <c r="N280" s="33">
        <f>ROUND(MIN(MAX(0,N('Your debts'!$E$8)),D280),2)</f>
      </c>
      <c r="O280" s="33">
        <f>ROUND(MIN(MAX(0,N('Your debts'!$E$9)),E280),2)</f>
      </c>
      <c r="P280" s="33">
        <f>ROUND(MIN(MAX(0,N('Your debts'!$E$10)),F280),2)</f>
      </c>
      <c r="Q280" s="33">
        <f>ROUND(MIN(MAX(0,N('Your debts'!$E$11)),G280),2)</f>
      </c>
      <c r="R280" s="33">
        <f>ROUND(MIN(MAX(0,N('Your debts'!$E$12)),H280),2)</f>
      </c>
      <c r="S280" s="33">
        <f>ROUND(MIN(MAX(0,N('Your debts'!$E$13)),I280),2)</f>
      </c>
      <c r="T280" s="33">
        <f>ROUND(MIN(MAX(0,N('Your debts'!$E$14)),J280),2)</f>
      </c>
      <c r="U280" s="33">
        <f>ROUND(MIN(MAX(0,N('Your debts'!$E$15)),K280),2)</f>
      </c>
      <c r="V280" s="33">
        <f>ROUND(B280-L280,2)</f>
      </c>
      <c r="W280" s="33">
        <f>ROUND(C280-M280,2)</f>
      </c>
      <c r="X280" s="33">
        <f>ROUND(D280-N280,2)</f>
      </c>
      <c r="Y280" s="33">
        <f>ROUND(E280-O280,2)</f>
      </c>
      <c r="Z280" s="33">
        <f>ROUND(F280-P280,2)</f>
      </c>
      <c r="AA280" s="33">
        <f>ROUND(G280-Q280,2)</f>
      </c>
      <c r="AB280" s="33">
        <f>ROUND(H280-R280,2)</f>
      </c>
      <c r="AC280" s="33">
        <f>ROUND(I280-S280,2)</f>
      </c>
      <c r="AD280" s="33">
        <f>ROUND(J280-T280,2)</f>
      </c>
      <c r="AE280" s="33">
        <f>ROUND(K280-U280,2)</f>
      </c>
      <c r="AF280" s="33">
        <f>IF(V280&lt;=0,0,MAX(0,MIN(V280,ROUND($AZ280-SUMPRODUCT($V280:$AE280*($V280:$AE280&gt;0)*(($V280:$AE280&lt;V280)+($V280:$AE280=V280)*($V$3:$AE$3&gt;V$3)+($V280:$AE280=V280)*($V$3:$AE$3=V$3)*($V$2:$AE$2&lt;V$2))),2))))</f>
      </c>
      <c r="AG280" s="33">
        <f>IF(W280&lt;=0,0,MAX(0,MIN(W280,ROUND($AZ280-SUMPRODUCT($V280:$AE280*($V280:$AE280&gt;0)*(($V280:$AE280&lt;W280)+($V280:$AE280=W280)*($V$3:$AE$3&gt;W$3)+($V280:$AE280=W280)*($V$3:$AE$3=W$3)*($V$2:$AE$2&lt;W$2))),2))))</f>
      </c>
      <c r="AH280" s="33">
        <f>IF(X280&lt;=0,0,MAX(0,MIN(X280,ROUND($AZ280-SUMPRODUCT($V280:$AE280*($V280:$AE280&gt;0)*(($V280:$AE280&lt;X280)+($V280:$AE280=X280)*($V$3:$AE$3&gt;X$3)+($V280:$AE280=X280)*($V$3:$AE$3=X$3)*($V$2:$AE$2&lt;X$2))),2))))</f>
      </c>
      <c r="AI280" s="33">
        <f>IF(Y280&lt;=0,0,MAX(0,MIN(Y280,ROUND($AZ280-SUMPRODUCT($V280:$AE280*($V280:$AE280&gt;0)*(($V280:$AE280&lt;Y280)+($V280:$AE280=Y280)*($V$3:$AE$3&gt;Y$3)+($V280:$AE280=Y280)*($V$3:$AE$3=Y$3)*($V$2:$AE$2&lt;Y$2))),2))))</f>
      </c>
      <c r="AJ280" s="33">
        <f>IF(Z280&lt;=0,0,MAX(0,MIN(Z280,ROUND($AZ280-SUMPRODUCT($V280:$AE280*($V280:$AE280&gt;0)*(($V280:$AE280&lt;Z280)+($V280:$AE280=Z280)*($V$3:$AE$3&gt;Z$3)+($V280:$AE280=Z280)*($V$3:$AE$3=Z$3)*($V$2:$AE$2&lt;Z$2))),2))))</f>
      </c>
      <c r="AK280" s="33">
        <f>IF(AA280&lt;=0,0,MAX(0,MIN(AA280,ROUND($AZ280-SUMPRODUCT($V280:$AE280*($V280:$AE280&gt;0)*(($V280:$AE280&lt;AA280)+($V280:$AE280=AA280)*($V$3:$AE$3&gt;AA$3)+($V280:$AE280=AA280)*($V$3:$AE$3=AA$3)*($V$2:$AE$2&lt;AA$2))),2))))</f>
      </c>
      <c r="AL280" s="33">
        <f>IF(AB280&lt;=0,0,MAX(0,MIN(AB280,ROUND($AZ280-SUMPRODUCT($V280:$AE280*($V280:$AE280&gt;0)*(($V280:$AE280&lt;AB280)+($V280:$AE280=AB280)*($V$3:$AE$3&gt;AB$3)+($V280:$AE280=AB280)*($V$3:$AE$3=AB$3)*($V$2:$AE$2&lt;AB$2))),2))))</f>
      </c>
      <c r="AM280" s="33">
        <f>IF(AC280&lt;=0,0,MAX(0,MIN(AC280,ROUND($AZ280-SUMPRODUCT($V280:$AE280*($V280:$AE280&gt;0)*(($V280:$AE280&lt;AC280)+($V280:$AE280=AC280)*($V$3:$AE$3&gt;AC$3)+($V280:$AE280=AC280)*($V$3:$AE$3=AC$3)*($V$2:$AE$2&lt;AC$2))),2))))</f>
      </c>
      <c r="AN280" s="33">
        <f>IF(AD280&lt;=0,0,MAX(0,MIN(AD280,ROUND($AZ280-SUMPRODUCT($V280:$AE280*($V280:$AE280&gt;0)*(($V280:$AE280&lt;AD280)+($V280:$AE280=AD280)*($V$3:$AE$3&gt;AD$3)+($V280:$AE280=AD280)*($V$3:$AE$3=AD$3)*($V$2:$AE$2&lt;AD$2))),2))))</f>
      </c>
      <c r="AO280" s="33">
        <f>IF(AE280&lt;=0,0,MAX(0,MIN(AE280,ROUND($AZ280-SUMPRODUCT($V280:$AE280*($V280:$AE280&gt;0)*(($V280:$AE280&lt;AE280)+($V280:$AE280=AE280)*($V$3:$AE$3&gt;AE$3)+($V280:$AE280=AE280)*($V$3:$AE$3=AE$3)*($V$2:$AE$2&lt;AE$2))),2))))</f>
      </c>
      <c r="AP280" s="33">
        <f>ROUND(V280-AF280,2)</f>
      </c>
      <c r="AQ280" s="33">
        <f>ROUND(W280-AG280,2)</f>
      </c>
      <c r="AR280" s="33">
        <f>ROUND(X280-AH280,2)</f>
      </c>
      <c r="AS280" s="33">
        <f>ROUND(Y280-AI280,2)</f>
      </c>
      <c r="AT280" s="33">
        <f>ROUND(Z280-AJ280,2)</f>
      </c>
      <c r="AU280" s="33">
        <f>ROUND(AA280-AK280,2)</f>
      </c>
      <c r="AV280" s="33">
        <f>ROUND(AB280-AL280,2)</f>
      </c>
      <c r="AW280" s="33">
        <f>ROUND(AC280-AM280,2)</f>
      </c>
      <c r="AX280" s="33">
        <f>ROUND(AD280-AN280,2)</f>
      </c>
      <c r="AY280" s="33">
        <f>ROUND(AE280-AO280,2)</f>
      </c>
      <c r="AZ280" s="33">
        <f>ROUND(MAX(0,'Your debts'!$D$22-SUM($L280:$U280)),2)</f>
      </c>
      <c r="BA280" s="33">
        <f>ROUND(SUM($B280:$K280)-SUM($AP279:$AY279),2)</f>
      </c>
      <c r="BB280" s="33">
        <f>SUM($AP280:$AY280)</f>
      </c>
      <c r="BC280" s="33">
        <f>ROUND(SUM($L280:$U280)+SUM($AF280:$AO280),2)</f>
      </c>
    </row>
    <row r="281" spans="1:55" x14ac:dyDescent="0.25">
      <c r="A281">
        <v>274</v>
      </c>
      <c r="B281" s="33">
        <f>IF(AP280&lt;=0,0,ROUND(AP280+ROUND(AP280*V$3/12,2),2))</f>
      </c>
      <c r="C281" s="33">
        <f>IF(AQ280&lt;=0,0,ROUND(AQ280+ROUND(AQ280*W$3/12,2),2))</f>
      </c>
      <c r="D281" s="33">
        <f>IF(AR280&lt;=0,0,ROUND(AR280+ROUND(AR280*X$3/12,2),2))</f>
      </c>
      <c r="E281" s="33">
        <f>IF(AS280&lt;=0,0,ROUND(AS280+ROUND(AS280*Y$3/12,2),2))</f>
      </c>
      <c r="F281" s="33">
        <f>IF(AT280&lt;=0,0,ROUND(AT280+ROUND(AT280*Z$3/12,2),2))</f>
      </c>
      <c r="G281" s="33">
        <f>IF(AU280&lt;=0,0,ROUND(AU280+ROUND(AU280*AA$3/12,2),2))</f>
      </c>
      <c r="H281" s="33">
        <f>IF(AV280&lt;=0,0,ROUND(AV280+ROUND(AV280*AB$3/12,2),2))</f>
      </c>
      <c r="I281" s="33">
        <f>IF(AW280&lt;=0,0,ROUND(AW280+ROUND(AW280*AC$3/12,2),2))</f>
      </c>
      <c r="J281" s="33">
        <f>IF(AX280&lt;=0,0,ROUND(AX280+ROUND(AX280*AD$3/12,2),2))</f>
      </c>
      <c r="K281" s="33">
        <f>IF(AY280&lt;=0,0,ROUND(AY280+ROUND(AY280*AE$3/12,2),2))</f>
      </c>
      <c r="L281" s="33">
        <f>ROUND(MIN(MAX(0,N('Your debts'!$E$6)),B281),2)</f>
      </c>
      <c r="M281" s="33">
        <f>ROUND(MIN(MAX(0,N('Your debts'!$E$7)),C281),2)</f>
      </c>
      <c r="N281" s="33">
        <f>ROUND(MIN(MAX(0,N('Your debts'!$E$8)),D281),2)</f>
      </c>
      <c r="O281" s="33">
        <f>ROUND(MIN(MAX(0,N('Your debts'!$E$9)),E281),2)</f>
      </c>
      <c r="P281" s="33">
        <f>ROUND(MIN(MAX(0,N('Your debts'!$E$10)),F281),2)</f>
      </c>
      <c r="Q281" s="33">
        <f>ROUND(MIN(MAX(0,N('Your debts'!$E$11)),G281),2)</f>
      </c>
      <c r="R281" s="33">
        <f>ROUND(MIN(MAX(0,N('Your debts'!$E$12)),H281),2)</f>
      </c>
      <c r="S281" s="33">
        <f>ROUND(MIN(MAX(0,N('Your debts'!$E$13)),I281),2)</f>
      </c>
      <c r="T281" s="33">
        <f>ROUND(MIN(MAX(0,N('Your debts'!$E$14)),J281),2)</f>
      </c>
      <c r="U281" s="33">
        <f>ROUND(MIN(MAX(0,N('Your debts'!$E$15)),K281),2)</f>
      </c>
      <c r="V281" s="33">
        <f>ROUND(B281-L281,2)</f>
      </c>
      <c r="W281" s="33">
        <f>ROUND(C281-M281,2)</f>
      </c>
      <c r="X281" s="33">
        <f>ROUND(D281-N281,2)</f>
      </c>
      <c r="Y281" s="33">
        <f>ROUND(E281-O281,2)</f>
      </c>
      <c r="Z281" s="33">
        <f>ROUND(F281-P281,2)</f>
      </c>
      <c r="AA281" s="33">
        <f>ROUND(G281-Q281,2)</f>
      </c>
      <c r="AB281" s="33">
        <f>ROUND(H281-R281,2)</f>
      </c>
      <c r="AC281" s="33">
        <f>ROUND(I281-S281,2)</f>
      </c>
      <c r="AD281" s="33">
        <f>ROUND(J281-T281,2)</f>
      </c>
      <c r="AE281" s="33">
        <f>ROUND(K281-U281,2)</f>
      </c>
      <c r="AF281" s="33">
        <f>IF(V281&lt;=0,0,MAX(0,MIN(V281,ROUND($AZ281-SUMPRODUCT($V281:$AE281*($V281:$AE281&gt;0)*(($V281:$AE281&lt;V281)+($V281:$AE281=V281)*($V$3:$AE$3&gt;V$3)+($V281:$AE281=V281)*($V$3:$AE$3=V$3)*($V$2:$AE$2&lt;V$2))),2))))</f>
      </c>
      <c r="AG281" s="33">
        <f>IF(W281&lt;=0,0,MAX(0,MIN(W281,ROUND($AZ281-SUMPRODUCT($V281:$AE281*($V281:$AE281&gt;0)*(($V281:$AE281&lt;W281)+($V281:$AE281=W281)*($V$3:$AE$3&gt;W$3)+($V281:$AE281=W281)*($V$3:$AE$3=W$3)*($V$2:$AE$2&lt;W$2))),2))))</f>
      </c>
      <c r="AH281" s="33">
        <f>IF(X281&lt;=0,0,MAX(0,MIN(X281,ROUND($AZ281-SUMPRODUCT($V281:$AE281*($V281:$AE281&gt;0)*(($V281:$AE281&lt;X281)+($V281:$AE281=X281)*($V$3:$AE$3&gt;X$3)+($V281:$AE281=X281)*($V$3:$AE$3=X$3)*($V$2:$AE$2&lt;X$2))),2))))</f>
      </c>
      <c r="AI281" s="33">
        <f>IF(Y281&lt;=0,0,MAX(0,MIN(Y281,ROUND($AZ281-SUMPRODUCT($V281:$AE281*($V281:$AE281&gt;0)*(($V281:$AE281&lt;Y281)+($V281:$AE281=Y281)*($V$3:$AE$3&gt;Y$3)+($V281:$AE281=Y281)*($V$3:$AE$3=Y$3)*($V$2:$AE$2&lt;Y$2))),2))))</f>
      </c>
      <c r="AJ281" s="33">
        <f>IF(Z281&lt;=0,0,MAX(0,MIN(Z281,ROUND($AZ281-SUMPRODUCT($V281:$AE281*($V281:$AE281&gt;0)*(($V281:$AE281&lt;Z281)+($V281:$AE281=Z281)*($V$3:$AE$3&gt;Z$3)+($V281:$AE281=Z281)*($V$3:$AE$3=Z$3)*($V$2:$AE$2&lt;Z$2))),2))))</f>
      </c>
      <c r="AK281" s="33">
        <f>IF(AA281&lt;=0,0,MAX(0,MIN(AA281,ROUND($AZ281-SUMPRODUCT($V281:$AE281*($V281:$AE281&gt;0)*(($V281:$AE281&lt;AA281)+($V281:$AE281=AA281)*($V$3:$AE$3&gt;AA$3)+($V281:$AE281=AA281)*($V$3:$AE$3=AA$3)*($V$2:$AE$2&lt;AA$2))),2))))</f>
      </c>
      <c r="AL281" s="33">
        <f>IF(AB281&lt;=0,0,MAX(0,MIN(AB281,ROUND($AZ281-SUMPRODUCT($V281:$AE281*($V281:$AE281&gt;0)*(($V281:$AE281&lt;AB281)+($V281:$AE281=AB281)*($V$3:$AE$3&gt;AB$3)+($V281:$AE281=AB281)*($V$3:$AE$3=AB$3)*($V$2:$AE$2&lt;AB$2))),2))))</f>
      </c>
      <c r="AM281" s="33">
        <f>IF(AC281&lt;=0,0,MAX(0,MIN(AC281,ROUND($AZ281-SUMPRODUCT($V281:$AE281*($V281:$AE281&gt;0)*(($V281:$AE281&lt;AC281)+($V281:$AE281=AC281)*($V$3:$AE$3&gt;AC$3)+($V281:$AE281=AC281)*($V$3:$AE$3=AC$3)*($V$2:$AE$2&lt;AC$2))),2))))</f>
      </c>
      <c r="AN281" s="33">
        <f>IF(AD281&lt;=0,0,MAX(0,MIN(AD281,ROUND($AZ281-SUMPRODUCT($V281:$AE281*($V281:$AE281&gt;0)*(($V281:$AE281&lt;AD281)+($V281:$AE281=AD281)*($V$3:$AE$3&gt;AD$3)+($V281:$AE281=AD281)*($V$3:$AE$3=AD$3)*($V$2:$AE$2&lt;AD$2))),2))))</f>
      </c>
      <c r="AO281" s="33">
        <f>IF(AE281&lt;=0,0,MAX(0,MIN(AE281,ROUND($AZ281-SUMPRODUCT($V281:$AE281*($V281:$AE281&gt;0)*(($V281:$AE281&lt;AE281)+($V281:$AE281=AE281)*($V$3:$AE$3&gt;AE$3)+($V281:$AE281=AE281)*($V$3:$AE$3=AE$3)*($V$2:$AE$2&lt;AE$2))),2))))</f>
      </c>
      <c r="AP281" s="33">
        <f>ROUND(V281-AF281,2)</f>
      </c>
      <c r="AQ281" s="33">
        <f>ROUND(W281-AG281,2)</f>
      </c>
      <c r="AR281" s="33">
        <f>ROUND(X281-AH281,2)</f>
      </c>
      <c r="AS281" s="33">
        <f>ROUND(Y281-AI281,2)</f>
      </c>
      <c r="AT281" s="33">
        <f>ROUND(Z281-AJ281,2)</f>
      </c>
      <c r="AU281" s="33">
        <f>ROUND(AA281-AK281,2)</f>
      </c>
      <c r="AV281" s="33">
        <f>ROUND(AB281-AL281,2)</f>
      </c>
      <c r="AW281" s="33">
        <f>ROUND(AC281-AM281,2)</f>
      </c>
      <c r="AX281" s="33">
        <f>ROUND(AD281-AN281,2)</f>
      </c>
      <c r="AY281" s="33">
        <f>ROUND(AE281-AO281,2)</f>
      </c>
      <c r="AZ281" s="33">
        <f>ROUND(MAX(0,'Your debts'!$D$22-SUM($L281:$U281)),2)</f>
      </c>
      <c r="BA281" s="33">
        <f>ROUND(SUM($B281:$K281)-SUM($AP280:$AY280),2)</f>
      </c>
      <c r="BB281" s="33">
        <f>SUM($AP281:$AY281)</f>
      </c>
      <c r="BC281" s="33">
        <f>ROUND(SUM($L281:$U281)+SUM($AF281:$AO281),2)</f>
      </c>
    </row>
    <row r="282" spans="1:55" x14ac:dyDescent="0.25">
      <c r="A282">
        <v>275</v>
      </c>
      <c r="B282" s="33">
        <f>IF(AP281&lt;=0,0,ROUND(AP281+ROUND(AP281*V$3/12,2),2))</f>
      </c>
      <c r="C282" s="33">
        <f>IF(AQ281&lt;=0,0,ROUND(AQ281+ROUND(AQ281*W$3/12,2),2))</f>
      </c>
      <c r="D282" s="33">
        <f>IF(AR281&lt;=0,0,ROUND(AR281+ROUND(AR281*X$3/12,2),2))</f>
      </c>
      <c r="E282" s="33">
        <f>IF(AS281&lt;=0,0,ROUND(AS281+ROUND(AS281*Y$3/12,2),2))</f>
      </c>
      <c r="F282" s="33">
        <f>IF(AT281&lt;=0,0,ROUND(AT281+ROUND(AT281*Z$3/12,2),2))</f>
      </c>
      <c r="G282" s="33">
        <f>IF(AU281&lt;=0,0,ROUND(AU281+ROUND(AU281*AA$3/12,2),2))</f>
      </c>
      <c r="H282" s="33">
        <f>IF(AV281&lt;=0,0,ROUND(AV281+ROUND(AV281*AB$3/12,2),2))</f>
      </c>
      <c r="I282" s="33">
        <f>IF(AW281&lt;=0,0,ROUND(AW281+ROUND(AW281*AC$3/12,2),2))</f>
      </c>
      <c r="J282" s="33">
        <f>IF(AX281&lt;=0,0,ROUND(AX281+ROUND(AX281*AD$3/12,2),2))</f>
      </c>
      <c r="K282" s="33">
        <f>IF(AY281&lt;=0,0,ROUND(AY281+ROUND(AY281*AE$3/12,2),2))</f>
      </c>
      <c r="L282" s="33">
        <f>ROUND(MIN(MAX(0,N('Your debts'!$E$6)),B282),2)</f>
      </c>
      <c r="M282" s="33">
        <f>ROUND(MIN(MAX(0,N('Your debts'!$E$7)),C282),2)</f>
      </c>
      <c r="N282" s="33">
        <f>ROUND(MIN(MAX(0,N('Your debts'!$E$8)),D282),2)</f>
      </c>
      <c r="O282" s="33">
        <f>ROUND(MIN(MAX(0,N('Your debts'!$E$9)),E282),2)</f>
      </c>
      <c r="P282" s="33">
        <f>ROUND(MIN(MAX(0,N('Your debts'!$E$10)),F282),2)</f>
      </c>
      <c r="Q282" s="33">
        <f>ROUND(MIN(MAX(0,N('Your debts'!$E$11)),G282),2)</f>
      </c>
      <c r="R282" s="33">
        <f>ROUND(MIN(MAX(0,N('Your debts'!$E$12)),H282),2)</f>
      </c>
      <c r="S282" s="33">
        <f>ROUND(MIN(MAX(0,N('Your debts'!$E$13)),I282),2)</f>
      </c>
      <c r="T282" s="33">
        <f>ROUND(MIN(MAX(0,N('Your debts'!$E$14)),J282),2)</f>
      </c>
      <c r="U282" s="33">
        <f>ROUND(MIN(MAX(0,N('Your debts'!$E$15)),K282),2)</f>
      </c>
      <c r="V282" s="33">
        <f>ROUND(B282-L282,2)</f>
      </c>
      <c r="W282" s="33">
        <f>ROUND(C282-M282,2)</f>
      </c>
      <c r="X282" s="33">
        <f>ROUND(D282-N282,2)</f>
      </c>
      <c r="Y282" s="33">
        <f>ROUND(E282-O282,2)</f>
      </c>
      <c r="Z282" s="33">
        <f>ROUND(F282-P282,2)</f>
      </c>
      <c r="AA282" s="33">
        <f>ROUND(G282-Q282,2)</f>
      </c>
      <c r="AB282" s="33">
        <f>ROUND(H282-R282,2)</f>
      </c>
      <c r="AC282" s="33">
        <f>ROUND(I282-S282,2)</f>
      </c>
      <c r="AD282" s="33">
        <f>ROUND(J282-T282,2)</f>
      </c>
      <c r="AE282" s="33">
        <f>ROUND(K282-U282,2)</f>
      </c>
      <c r="AF282" s="33">
        <f>IF(V282&lt;=0,0,MAX(0,MIN(V282,ROUND($AZ282-SUMPRODUCT($V282:$AE282*($V282:$AE282&gt;0)*(($V282:$AE282&lt;V282)+($V282:$AE282=V282)*($V$3:$AE$3&gt;V$3)+($V282:$AE282=V282)*($V$3:$AE$3=V$3)*($V$2:$AE$2&lt;V$2))),2))))</f>
      </c>
      <c r="AG282" s="33">
        <f>IF(W282&lt;=0,0,MAX(0,MIN(W282,ROUND($AZ282-SUMPRODUCT($V282:$AE282*($V282:$AE282&gt;0)*(($V282:$AE282&lt;W282)+($V282:$AE282=W282)*($V$3:$AE$3&gt;W$3)+($V282:$AE282=W282)*($V$3:$AE$3=W$3)*($V$2:$AE$2&lt;W$2))),2))))</f>
      </c>
      <c r="AH282" s="33">
        <f>IF(X282&lt;=0,0,MAX(0,MIN(X282,ROUND($AZ282-SUMPRODUCT($V282:$AE282*($V282:$AE282&gt;0)*(($V282:$AE282&lt;X282)+($V282:$AE282=X282)*($V$3:$AE$3&gt;X$3)+($V282:$AE282=X282)*($V$3:$AE$3=X$3)*($V$2:$AE$2&lt;X$2))),2))))</f>
      </c>
      <c r="AI282" s="33">
        <f>IF(Y282&lt;=0,0,MAX(0,MIN(Y282,ROUND($AZ282-SUMPRODUCT($V282:$AE282*($V282:$AE282&gt;0)*(($V282:$AE282&lt;Y282)+($V282:$AE282=Y282)*($V$3:$AE$3&gt;Y$3)+($V282:$AE282=Y282)*($V$3:$AE$3=Y$3)*($V$2:$AE$2&lt;Y$2))),2))))</f>
      </c>
      <c r="AJ282" s="33">
        <f>IF(Z282&lt;=0,0,MAX(0,MIN(Z282,ROUND($AZ282-SUMPRODUCT($V282:$AE282*($V282:$AE282&gt;0)*(($V282:$AE282&lt;Z282)+($V282:$AE282=Z282)*($V$3:$AE$3&gt;Z$3)+($V282:$AE282=Z282)*($V$3:$AE$3=Z$3)*($V$2:$AE$2&lt;Z$2))),2))))</f>
      </c>
      <c r="AK282" s="33">
        <f>IF(AA282&lt;=0,0,MAX(0,MIN(AA282,ROUND($AZ282-SUMPRODUCT($V282:$AE282*($V282:$AE282&gt;0)*(($V282:$AE282&lt;AA282)+($V282:$AE282=AA282)*($V$3:$AE$3&gt;AA$3)+($V282:$AE282=AA282)*($V$3:$AE$3=AA$3)*($V$2:$AE$2&lt;AA$2))),2))))</f>
      </c>
      <c r="AL282" s="33">
        <f>IF(AB282&lt;=0,0,MAX(0,MIN(AB282,ROUND($AZ282-SUMPRODUCT($V282:$AE282*($V282:$AE282&gt;0)*(($V282:$AE282&lt;AB282)+($V282:$AE282=AB282)*($V$3:$AE$3&gt;AB$3)+($V282:$AE282=AB282)*($V$3:$AE$3=AB$3)*($V$2:$AE$2&lt;AB$2))),2))))</f>
      </c>
      <c r="AM282" s="33">
        <f>IF(AC282&lt;=0,0,MAX(0,MIN(AC282,ROUND($AZ282-SUMPRODUCT($V282:$AE282*($V282:$AE282&gt;0)*(($V282:$AE282&lt;AC282)+($V282:$AE282=AC282)*($V$3:$AE$3&gt;AC$3)+($V282:$AE282=AC282)*($V$3:$AE$3=AC$3)*($V$2:$AE$2&lt;AC$2))),2))))</f>
      </c>
      <c r="AN282" s="33">
        <f>IF(AD282&lt;=0,0,MAX(0,MIN(AD282,ROUND($AZ282-SUMPRODUCT($V282:$AE282*($V282:$AE282&gt;0)*(($V282:$AE282&lt;AD282)+($V282:$AE282=AD282)*($V$3:$AE$3&gt;AD$3)+($V282:$AE282=AD282)*($V$3:$AE$3=AD$3)*($V$2:$AE$2&lt;AD$2))),2))))</f>
      </c>
      <c r="AO282" s="33">
        <f>IF(AE282&lt;=0,0,MAX(0,MIN(AE282,ROUND($AZ282-SUMPRODUCT($V282:$AE282*($V282:$AE282&gt;0)*(($V282:$AE282&lt;AE282)+($V282:$AE282=AE282)*($V$3:$AE$3&gt;AE$3)+($V282:$AE282=AE282)*($V$3:$AE$3=AE$3)*($V$2:$AE$2&lt;AE$2))),2))))</f>
      </c>
      <c r="AP282" s="33">
        <f>ROUND(V282-AF282,2)</f>
      </c>
      <c r="AQ282" s="33">
        <f>ROUND(W282-AG282,2)</f>
      </c>
      <c r="AR282" s="33">
        <f>ROUND(X282-AH282,2)</f>
      </c>
      <c r="AS282" s="33">
        <f>ROUND(Y282-AI282,2)</f>
      </c>
      <c r="AT282" s="33">
        <f>ROUND(Z282-AJ282,2)</f>
      </c>
      <c r="AU282" s="33">
        <f>ROUND(AA282-AK282,2)</f>
      </c>
      <c r="AV282" s="33">
        <f>ROUND(AB282-AL282,2)</f>
      </c>
      <c r="AW282" s="33">
        <f>ROUND(AC282-AM282,2)</f>
      </c>
      <c r="AX282" s="33">
        <f>ROUND(AD282-AN282,2)</f>
      </c>
      <c r="AY282" s="33">
        <f>ROUND(AE282-AO282,2)</f>
      </c>
      <c r="AZ282" s="33">
        <f>ROUND(MAX(0,'Your debts'!$D$22-SUM($L282:$U282)),2)</f>
      </c>
      <c r="BA282" s="33">
        <f>ROUND(SUM($B282:$K282)-SUM($AP281:$AY281),2)</f>
      </c>
      <c r="BB282" s="33">
        <f>SUM($AP282:$AY282)</f>
      </c>
      <c r="BC282" s="33">
        <f>ROUND(SUM($L282:$U282)+SUM($AF282:$AO282),2)</f>
      </c>
    </row>
    <row r="283" spans="1:55" x14ac:dyDescent="0.25">
      <c r="A283">
        <v>276</v>
      </c>
      <c r="B283" s="33">
        <f>IF(AP282&lt;=0,0,ROUND(AP282+ROUND(AP282*V$3/12,2),2))</f>
      </c>
      <c r="C283" s="33">
        <f>IF(AQ282&lt;=0,0,ROUND(AQ282+ROUND(AQ282*W$3/12,2),2))</f>
      </c>
      <c r="D283" s="33">
        <f>IF(AR282&lt;=0,0,ROUND(AR282+ROUND(AR282*X$3/12,2),2))</f>
      </c>
      <c r="E283" s="33">
        <f>IF(AS282&lt;=0,0,ROUND(AS282+ROUND(AS282*Y$3/12,2),2))</f>
      </c>
      <c r="F283" s="33">
        <f>IF(AT282&lt;=0,0,ROUND(AT282+ROUND(AT282*Z$3/12,2),2))</f>
      </c>
      <c r="G283" s="33">
        <f>IF(AU282&lt;=0,0,ROUND(AU282+ROUND(AU282*AA$3/12,2),2))</f>
      </c>
      <c r="H283" s="33">
        <f>IF(AV282&lt;=0,0,ROUND(AV282+ROUND(AV282*AB$3/12,2),2))</f>
      </c>
      <c r="I283" s="33">
        <f>IF(AW282&lt;=0,0,ROUND(AW282+ROUND(AW282*AC$3/12,2),2))</f>
      </c>
      <c r="J283" s="33">
        <f>IF(AX282&lt;=0,0,ROUND(AX282+ROUND(AX282*AD$3/12,2),2))</f>
      </c>
      <c r="K283" s="33">
        <f>IF(AY282&lt;=0,0,ROUND(AY282+ROUND(AY282*AE$3/12,2),2))</f>
      </c>
      <c r="L283" s="33">
        <f>ROUND(MIN(MAX(0,N('Your debts'!$E$6)),B283),2)</f>
      </c>
      <c r="M283" s="33">
        <f>ROUND(MIN(MAX(0,N('Your debts'!$E$7)),C283),2)</f>
      </c>
      <c r="N283" s="33">
        <f>ROUND(MIN(MAX(0,N('Your debts'!$E$8)),D283),2)</f>
      </c>
      <c r="O283" s="33">
        <f>ROUND(MIN(MAX(0,N('Your debts'!$E$9)),E283),2)</f>
      </c>
      <c r="P283" s="33">
        <f>ROUND(MIN(MAX(0,N('Your debts'!$E$10)),F283),2)</f>
      </c>
      <c r="Q283" s="33">
        <f>ROUND(MIN(MAX(0,N('Your debts'!$E$11)),G283),2)</f>
      </c>
      <c r="R283" s="33">
        <f>ROUND(MIN(MAX(0,N('Your debts'!$E$12)),H283),2)</f>
      </c>
      <c r="S283" s="33">
        <f>ROUND(MIN(MAX(0,N('Your debts'!$E$13)),I283),2)</f>
      </c>
      <c r="T283" s="33">
        <f>ROUND(MIN(MAX(0,N('Your debts'!$E$14)),J283),2)</f>
      </c>
      <c r="U283" s="33">
        <f>ROUND(MIN(MAX(0,N('Your debts'!$E$15)),K283),2)</f>
      </c>
      <c r="V283" s="33">
        <f>ROUND(B283-L283,2)</f>
      </c>
      <c r="W283" s="33">
        <f>ROUND(C283-M283,2)</f>
      </c>
      <c r="X283" s="33">
        <f>ROUND(D283-N283,2)</f>
      </c>
      <c r="Y283" s="33">
        <f>ROUND(E283-O283,2)</f>
      </c>
      <c r="Z283" s="33">
        <f>ROUND(F283-P283,2)</f>
      </c>
      <c r="AA283" s="33">
        <f>ROUND(G283-Q283,2)</f>
      </c>
      <c r="AB283" s="33">
        <f>ROUND(H283-R283,2)</f>
      </c>
      <c r="AC283" s="33">
        <f>ROUND(I283-S283,2)</f>
      </c>
      <c r="AD283" s="33">
        <f>ROUND(J283-T283,2)</f>
      </c>
      <c r="AE283" s="33">
        <f>ROUND(K283-U283,2)</f>
      </c>
      <c r="AF283" s="33">
        <f>IF(V283&lt;=0,0,MAX(0,MIN(V283,ROUND($AZ283-SUMPRODUCT($V283:$AE283*($V283:$AE283&gt;0)*(($V283:$AE283&lt;V283)+($V283:$AE283=V283)*($V$3:$AE$3&gt;V$3)+($V283:$AE283=V283)*($V$3:$AE$3=V$3)*($V$2:$AE$2&lt;V$2))),2))))</f>
      </c>
      <c r="AG283" s="33">
        <f>IF(W283&lt;=0,0,MAX(0,MIN(W283,ROUND($AZ283-SUMPRODUCT($V283:$AE283*($V283:$AE283&gt;0)*(($V283:$AE283&lt;W283)+($V283:$AE283=W283)*($V$3:$AE$3&gt;W$3)+($V283:$AE283=W283)*($V$3:$AE$3=W$3)*($V$2:$AE$2&lt;W$2))),2))))</f>
      </c>
      <c r="AH283" s="33">
        <f>IF(X283&lt;=0,0,MAX(0,MIN(X283,ROUND($AZ283-SUMPRODUCT($V283:$AE283*($V283:$AE283&gt;0)*(($V283:$AE283&lt;X283)+($V283:$AE283=X283)*($V$3:$AE$3&gt;X$3)+($V283:$AE283=X283)*($V$3:$AE$3=X$3)*($V$2:$AE$2&lt;X$2))),2))))</f>
      </c>
      <c r="AI283" s="33">
        <f>IF(Y283&lt;=0,0,MAX(0,MIN(Y283,ROUND($AZ283-SUMPRODUCT($V283:$AE283*($V283:$AE283&gt;0)*(($V283:$AE283&lt;Y283)+($V283:$AE283=Y283)*($V$3:$AE$3&gt;Y$3)+($V283:$AE283=Y283)*($V$3:$AE$3=Y$3)*($V$2:$AE$2&lt;Y$2))),2))))</f>
      </c>
      <c r="AJ283" s="33">
        <f>IF(Z283&lt;=0,0,MAX(0,MIN(Z283,ROUND($AZ283-SUMPRODUCT($V283:$AE283*($V283:$AE283&gt;0)*(($V283:$AE283&lt;Z283)+($V283:$AE283=Z283)*($V$3:$AE$3&gt;Z$3)+($V283:$AE283=Z283)*($V$3:$AE$3=Z$3)*($V$2:$AE$2&lt;Z$2))),2))))</f>
      </c>
      <c r="AK283" s="33">
        <f>IF(AA283&lt;=0,0,MAX(0,MIN(AA283,ROUND($AZ283-SUMPRODUCT($V283:$AE283*($V283:$AE283&gt;0)*(($V283:$AE283&lt;AA283)+($V283:$AE283=AA283)*($V$3:$AE$3&gt;AA$3)+($V283:$AE283=AA283)*($V$3:$AE$3=AA$3)*($V$2:$AE$2&lt;AA$2))),2))))</f>
      </c>
      <c r="AL283" s="33">
        <f>IF(AB283&lt;=0,0,MAX(0,MIN(AB283,ROUND($AZ283-SUMPRODUCT($V283:$AE283*($V283:$AE283&gt;0)*(($V283:$AE283&lt;AB283)+($V283:$AE283=AB283)*($V$3:$AE$3&gt;AB$3)+($V283:$AE283=AB283)*($V$3:$AE$3=AB$3)*($V$2:$AE$2&lt;AB$2))),2))))</f>
      </c>
      <c r="AM283" s="33">
        <f>IF(AC283&lt;=0,0,MAX(0,MIN(AC283,ROUND($AZ283-SUMPRODUCT($V283:$AE283*($V283:$AE283&gt;0)*(($V283:$AE283&lt;AC283)+($V283:$AE283=AC283)*($V$3:$AE$3&gt;AC$3)+($V283:$AE283=AC283)*($V$3:$AE$3=AC$3)*($V$2:$AE$2&lt;AC$2))),2))))</f>
      </c>
      <c r="AN283" s="33">
        <f>IF(AD283&lt;=0,0,MAX(0,MIN(AD283,ROUND($AZ283-SUMPRODUCT($V283:$AE283*($V283:$AE283&gt;0)*(($V283:$AE283&lt;AD283)+($V283:$AE283=AD283)*($V$3:$AE$3&gt;AD$3)+($V283:$AE283=AD283)*($V$3:$AE$3=AD$3)*($V$2:$AE$2&lt;AD$2))),2))))</f>
      </c>
      <c r="AO283" s="33">
        <f>IF(AE283&lt;=0,0,MAX(0,MIN(AE283,ROUND($AZ283-SUMPRODUCT($V283:$AE283*($V283:$AE283&gt;0)*(($V283:$AE283&lt;AE283)+($V283:$AE283=AE283)*($V$3:$AE$3&gt;AE$3)+($V283:$AE283=AE283)*($V$3:$AE$3=AE$3)*($V$2:$AE$2&lt;AE$2))),2))))</f>
      </c>
      <c r="AP283" s="33">
        <f>ROUND(V283-AF283,2)</f>
      </c>
      <c r="AQ283" s="33">
        <f>ROUND(W283-AG283,2)</f>
      </c>
      <c r="AR283" s="33">
        <f>ROUND(X283-AH283,2)</f>
      </c>
      <c r="AS283" s="33">
        <f>ROUND(Y283-AI283,2)</f>
      </c>
      <c r="AT283" s="33">
        <f>ROUND(Z283-AJ283,2)</f>
      </c>
      <c r="AU283" s="33">
        <f>ROUND(AA283-AK283,2)</f>
      </c>
      <c r="AV283" s="33">
        <f>ROUND(AB283-AL283,2)</f>
      </c>
      <c r="AW283" s="33">
        <f>ROUND(AC283-AM283,2)</f>
      </c>
      <c r="AX283" s="33">
        <f>ROUND(AD283-AN283,2)</f>
      </c>
      <c r="AY283" s="33">
        <f>ROUND(AE283-AO283,2)</f>
      </c>
      <c r="AZ283" s="33">
        <f>ROUND(MAX(0,'Your debts'!$D$22-SUM($L283:$U283)),2)</f>
      </c>
      <c r="BA283" s="33">
        <f>ROUND(SUM($B283:$K283)-SUM($AP282:$AY282),2)</f>
      </c>
      <c r="BB283" s="33">
        <f>SUM($AP283:$AY283)</f>
      </c>
      <c r="BC283" s="33">
        <f>ROUND(SUM($L283:$U283)+SUM($AF283:$AO283),2)</f>
      </c>
    </row>
    <row r="284" spans="1:55" x14ac:dyDescent="0.25">
      <c r="A284">
        <v>277</v>
      </c>
      <c r="B284" s="33">
        <f>IF(AP283&lt;=0,0,ROUND(AP283+ROUND(AP283*V$3/12,2),2))</f>
      </c>
      <c r="C284" s="33">
        <f>IF(AQ283&lt;=0,0,ROUND(AQ283+ROUND(AQ283*W$3/12,2),2))</f>
      </c>
      <c r="D284" s="33">
        <f>IF(AR283&lt;=0,0,ROUND(AR283+ROUND(AR283*X$3/12,2),2))</f>
      </c>
      <c r="E284" s="33">
        <f>IF(AS283&lt;=0,0,ROUND(AS283+ROUND(AS283*Y$3/12,2),2))</f>
      </c>
      <c r="F284" s="33">
        <f>IF(AT283&lt;=0,0,ROUND(AT283+ROUND(AT283*Z$3/12,2),2))</f>
      </c>
      <c r="G284" s="33">
        <f>IF(AU283&lt;=0,0,ROUND(AU283+ROUND(AU283*AA$3/12,2),2))</f>
      </c>
      <c r="H284" s="33">
        <f>IF(AV283&lt;=0,0,ROUND(AV283+ROUND(AV283*AB$3/12,2),2))</f>
      </c>
      <c r="I284" s="33">
        <f>IF(AW283&lt;=0,0,ROUND(AW283+ROUND(AW283*AC$3/12,2),2))</f>
      </c>
      <c r="J284" s="33">
        <f>IF(AX283&lt;=0,0,ROUND(AX283+ROUND(AX283*AD$3/12,2),2))</f>
      </c>
      <c r="K284" s="33">
        <f>IF(AY283&lt;=0,0,ROUND(AY283+ROUND(AY283*AE$3/12,2),2))</f>
      </c>
      <c r="L284" s="33">
        <f>ROUND(MIN(MAX(0,N('Your debts'!$E$6)),B284),2)</f>
      </c>
      <c r="M284" s="33">
        <f>ROUND(MIN(MAX(0,N('Your debts'!$E$7)),C284),2)</f>
      </c>
      <c r="N284" s="33">
        <f>ROUND(MIN(MAX(0,N('Your debts'!$E$8)),D284),2)</f>
      </c>
      <c r="O284" s="33">
        <f>ROUND(MIN(MAX(0,N('Your debts'!$E$9)),E284),2)</f>
      </c>
      <c r="P284" s="33">
        <f>ROUND(MIN(MAX(0,N('Your debts'!$E$10)),F284),2)</f>
      </c>
      <c r="Q284" s="33">
        <f>ROUND(MIN(MAX(0,N('Your debts'!$E$11)),G284),2)</f>
      </c>
      <c r="R284" s="33">
        <f>ROUND(MIN(MAX(0,N('Your debts'!$E$12)),H284),2)</f>
      </c>
      <c r="S284" s="33">
        <f>ROUND(MIN(MAX(0,N('Your debts'!$E$13)),I284),2)</f>
      </c>
      <c r="T284" s="33">
        <f>ROUND(MIN(MAX(0,N('Your debts'!$E$14)),J284),2)</f>
      </c>
      <c r="U284" s="33">
        <f>ROUND(MIN(MAX(0,N('Your debts'!$E$15)),K284),2)</f>
      </c>
      <c r="V284" s="33">
        <f>ROUND(B284-L284,2)</f>
      </c>
      <c r="W284" s="33">
        <f>ROUND(C284-M284,2)</f>
      </c>
      <c r="X284" s="33">
        <f>ROUND(D284-N284,2)</f>
      </c>
      <c r="Y284" s="33">
        <f>ROUND(E284-O284,2)</f>
      </c>
      <c r="Z284" s="33">
        <f>ROUND(F284-P284,2)</f>
      </c>
      <c r="AA284" s="33">
        <f>ROUND(G284-Q284,2)</f>
      </c>
      <c r="AB284" s="33">
        <f>ROUND(H284-R284,2)</f>
      </c>
      <c r="AC284" s="33">
        <f>ROUND(I284-S284,2)</f>
      </c>
      <c r="AD284" s="33">
        <f>ROUND(J284-T284,2)</f>
      </c>
      <c r="AE284" s="33">
        <f>ROUND(K284-U284,2)</f>
      </c>
      <c r="AF284" s="33">
        <f>IF(V284&lt;=0,0,MAX(0,MIN(V284,ROUND($AZ284-SUMPRODUCT($V284:$AE284*($V284:$AE284&gt;0)*(($V284:$AE284&lt;V284)+($V284:$AE284=V284)*($V$3:$AE$3&gt;V$3)+($V284:$AE284=V284)*($V$3:$AE$3=V$3)*($V$2:$AE$2&lt;V$2))),2))))</f>
      </c>
      <c r="AG284" s="33">
        <f>IF(W284&lt;=0,0,MAX(0,MIN(W284,ROUND($AZ284-SUMPRODUCT($V284:$AE284*($V284:$AE284&gt;0)*(($V284:$AE284&lt;W284)+($V284:$AE284=W284)*($V$3:$AE$3&gt;W$3)+($V284:$AE284=W284)*($V$3:$AE$3=W$3)*($V$2:$AE$2&lt;W$2))),2))))</f>
      </c>
      <c r="AH284" s="33">
        <f>IF(X284&lt;=0,0,MAX(0,MIN(X284,ROUND($AZ284-SUMPRODUCT($V284:$AE284*($V284:$AE284&gt;0)*(($V284:$AE284&lt;X284)+($V284:$AE284=X284)*($V$3:$AE$3&gt;X$3)+($V284:$AE284=X284)*($V$3:$AE$3=X$3)*($V$2:$AE$2&lt;X$2))),2))))</f>
      </c>
      <c r="AI284" s="33">
        <f>IF(Y284&lt;=0,0,MAX(0,MIN(Y284,ROUND($AZ284-SUMPRODUCT($V284:$AE284*($V284:$AE284&gt;0)*(($V284:$AE284&lt;Y284)+($V284:$AE284=Y284)*($V$3:$AE$3&gt;Y$3)+($V284:$AE284=Y284)*($V$3:$AE$3=Y$3)*($V$2:$AE$2&lt;Y$2))),2))))</f>
      </c>
      <c r="AJ284" s="33">
        <f>IF(Z284&lt;=0,0,MAX(0,MIN(Z284,ROUND($AZ284-SUMPRODUCT($V284:$AE284*($V284:$AE284&gt;0)*(($V284:$AE284&lt;Z284)+($V284:$AE284=Z284)*($V$3:$AE$3&gt;Z$3)+($V284:$AE284=Z284)*($V$3:$AE$3=Z$3)*($V$2:$AE$2&lt;Z$2))),2))))</f>
      </c>
      <c r="AK284" s="33">
        <f>IF(AA284&lt;=0,0,MAX(0,MIN(AA284,ROUND($AZ284-SUMPRODUCT($V284:$AE284*($V284:$AE284&gt;0)*(($V284:$AE284&lt;AA284)+($V284:$AE284=AA284)*($V$3:$AE$3&gt;AA$3)+($V284:$AE284=AA284)*($V$3:$AE$3=AA$3)*($V$2:$AE$2&lt;AA$2))),2))))</f>
      </c>
      <c r="AL284" s="33">
        <f>IF(AB284&lt;=0,0,MAX(0,MIN(AB284,ROUND($AZ284-SUMPRODUCT($V284:$AE284*($V284:$AE284&gt;0)*(($V284:$AE284&lt;AB284)+($V284:$AE284=AB284)*($V$3:$AE$3&gt;AB$3)+($V284:$AE284=AB284)*($V$3:$AE$3=AB$3)*($V$2:$AE$2&lt;AB$2))),2))))</f>
      </c>
      <c r="AM284" s="33">
        <f>IF(AC284&lt;=0,0,MAX(0,MIN(AC284,ROUND($AZ284-SUMPRODUCT($V284:$AE284*($V284:$AE284&gt;0)*(($V284:$AE284&lt;AC284)+($V284:$AE284=AC284)*($V$3:$AE$3&gt;AC$3)+($V284:$AE284=AC284)*($V$3:$AE$3=AC$3)*($V$2:$AE$2&lt;AC$2))),2))))</f>
      </c>
      <c r="AN284" s="33">
        <f>IF(AD284&lt;=0,0,MAX(0,MIN(AD284,ROUND($AZ284-SUMPRODUCT($V284:$AE284*($V284:$AE284&gt;0)*(($V284:$AE284&lt;AD284)+($V284:$AE284=AD284)*($V$3:$AE$3&gt;AD$3)+($V284:$AE284=AD284)*($V$3:$AE$3=AD$3)*($V$2:$AE$2&lt;AD$2))),2))))</f>
      </c>
      <c r="AO284" s="33">
        <f>IF(AE284&lt;=0,0,MAX(0,MIN(AE284,ROUND($AZ284-SUMPRODUCT($V284:$AE284*($V284:$AE284&gt;0)*(($V284:$AE284&lt;AE284)+($V284:$AE284=AE284)*($V$3:$AE$3&gt;AE$3)+($V284:$AE284=AE284)*($V$3:$AE$3=AE$3)*($V$2:$AE$2&lt;AE$2))),2))))</f>
      </c>
      <c r="AP284" s="33">
        <f>ROUND(V284-AF284,2)</f>
      </c>
      <c r="AQ284" s="33">
        <f>ROUND(W284-AG284,2)</f>
      </c>
      <c r="AR284" s="33">
        <f>ROUND(X284-AH284,2)</f>
      </c>
      <c r="AS284" s="33">
        <f>ROUND(Y284-AI284,2)</f>
      </c>
      <c r="AT284" s="33">
        <f>ROUND(Z284-AJ284,2)</f>
      </c>
      <c r="AU284" s="33">
        <f>ROUND(AA284-AK284,2)</f>
      </c>
      <c r="AV284" s="33">
        <f>ROUND(AB284-AL284,2)</f>
      </c>
      <c r="AW284" s="33">
        <f>ROUND(AC284-AM284,2)</f>
      </c>
      <c r="AX284" s="33">
        <f>ROUND(AD284-AN284,2)</f>
      </c>
      <c r="AY284" s="33">
        <f>ROUND(AE284-AO284,2)</f>
      </c>
      <c r="AZ284" s="33">
        <f>ROUND(MAX(0,'Your debts'!$D$22-SUM($L284:$U284)),2)</f>
      </c>
      <c r="BA284" s="33">
        <f>ROUND(SUM($B284:$K284)-SUM($AP283:$AY283),2)</f>
      </c>
      <c r="BB284" s="33">
        <f>SUM($AP284:$AY284)</f>
      </c>
      <c r="BC284" s="33">
        <f>ROUND(SUM($L284:$U284)+SUM($AF284:$AO284),2)</f>
      </c>
    </row>
    <row r="285" spans="1:55" x14ac:dyDescent="0.25">
      <c r="A285">
        <v>278</v>
      </c>
      <c r="B285" s="33">
        <f>IF(AP284&lt;=0,0,ROUND(AP284+ROUND(AP284*V$3/12,2),2))</f>
      </c>
      <c r="C285" s="33">
        <f>IF(AQ284&lt;=0,0,ROUND(AQ284+ROUND(AQ284*W$3/12,2),2))</f>
      </c>
      <c r="D285" s="33">
        <f>IF(AR284&lt;=0,0,ROUND(AR284+ROUND(AR284*X$3/12,2),2))</f>
      </c>
      <c r="E285" s="33">
        <f>IF(AS284&lt;=0,0,ROUND(AS284+ROUND(AS284*Y$3/12,2),2))</f>
      </c>
      <c r="F285" s="33">
        <f>IF(AT284&lt;=0,0,ROUND(AT284+ROUND(AT284*Z$3/12,2),2))</f>
      </c>
      <c r="G285" s="33">
        <f>IF(AU284&lt;=0,0,ROUND(AU284+ROUND(AU284*AA$3/12,2),2))</f>
      </c>
      <c r="H285" s="33">
        <f>IF(AV284&lt;=0,0,ROUND(AV284+ROUND(AV284*AB$3/12,2),2))</f>
      </c>
      <c r="I285" s="33">
        <f>IF(AW284&lt;=0,0,ROUND(AW284+ROUND(AW284*AC$3/12,2),2))</f>
      </c>
      <c r="J285" s="33">
        <f>IF(AX284&lt;=0,0,ROUND(AX284+ROUND(AX284*AD$3/12,2),2))</f>
      </c>
      <c r="K285" s="33">
        <f>IF(AY284&lt;=0,0,ROUND(AY284+ROUND(AY284*AE$3/12,2),2))</f>
      </c>
      <c r="L285" s="33">
        <f>ROUND(MIN(MAX(0,N('Your debts'!$E$6)),B285),2)</f>
      </c>
      <c r="M285" s="33">
        <f>ROUND(MIN(MAX(0,N('Your debts'!$E$7)),C285),2)</f>
      </c>
      <c r="N285" s="33">
        <f>ROUND(MIN(MAX(0,N('Your debts'!$E$8)),D285),2)</f>
      </c>
      <c r="O285" s="33">
        <f>ROUND(MIN(MAX(0,N('Your debts'!$E$9)),E285),2)</f>
      </c>
      <c r="P285" s="33">
        <f>ROUND(MIN(MAX(0,N('Your debts'!$E$10)),F285),2)</f>
      </c>
      <c r="Q285" s="33">
        <f>ROUND(MIN(MAX(0,N('Your debts'!$E$11)),G285),2)</f>
      </c>
      <c r="R285" s="33">
        <f>ROUND(MIN(MAX(0,N('Your debts'!$E$12)),H285),2)</f>
      </c>
      <c r="S285" s="33">
        <f>ROUND(MIN(MAX(0,N('Your debts'!$E$13)),I285),2)</f>
      </c>
      <c r="T285" s="33">
        <f>ROUND(MIN(MAX(0,N('Your debts'!$E$14)),J285),2)</f>
      </c>
      <c r="U285" s="33">
        <f>ROUND(MIN(MAX(0,N('Your debts'!$E$15)),K285),2)</f>
      </c>
      <c r="V285" s="33">
        <f>ROUND(B285-L285,2)</f>
      </c>
      <c r="W285" s="33">
        <f>ROUND(C285-M285,2)</f>
      </c>
      <c r="X285" s="33">
        <f>ROUND(D285-N285,2)</f>
      </c>
      <c r="Y285" s="33">
        <f>ROUND(E285-O285,2)</f>
      </c>
      <c r="Z285" s="33">
        <f>ROUND(F285-P285,2)</f>
      </c>
      <c r="AA285" s="33">
        <f>ROUND(G285-Q285,2)</f>
      </c>
      <c r="AB285" s="33">
        <f>ROUND(H285-R285,2)</f>
      </c>
      <c r="AC285" s="33">
        <f>ROUND(I285-S285,2)</f>
      </c>
      <c r="AD285" s="33">
        <f>ROUND(J285-T285,2)</f>
      </c>
      <c r="AE285" s="33">
        <f>ROUND(K285-U285,2)</f>
      </c>
      <c r="AF285" s="33">
        <f>IF(V285&lt;=0,0,MAX(0,MIN(V285,ROUND($AZ285-SUMPRODUCT($V285:$AE285*($V285:$AE285&gt;0)*(($V285:$AE285&lt;V285)+($V285:$AE285=V285)*($V$3:$AE$3&gt;V$3)+($V285:$AE285=V285)*($V$3:$AE$3=V$3)*($V$2:$AE$2&lt;V$2))),2))))</f>
      </c>
      <c r="AG285" s="33">
        <f>IF(W285&lt;=0,0,MAX(0,MIN(W285,ROUND($AZ285-SUMPRODUCT($V285:$AE285*($V285:$AE285&gt;0)*(($V285:$AE285&lt;W285)+($V285:$AE285=W285)*($V$3:$AE$3&gt;W$3)+($V285:$AE285=W285)*($V$3:$AE$3=W$3)*($V$2:$AE$2&lt;W$2))),2))))</f>
      </c>
      <c r="AH285" s="33">
        <f>IF(X285&lt;=0,0,MAX(0,MIN(X285,ROUND($AZ285-SUMPRODUCT($V285:$AE285*($V285:$AE285&gt;0)*(($V285:$AE285&lt;X285)+($V285:$AE285=X285)*($V$3:$AE$3&gt;X$3)+($V285:$AE285=X285)*($V$3:$AE$3=X$3)*($V$2:$AE$2&lt;X$2))),2))))</f>
      </c>
      <c r="AI285" s="33">
        <f>IF(Y285&lt;=0,0,MAX(0,MIN(Y285,ROUND($AZ285-SUMPRODUCT($V285:$AE285*($V285:$AE285&gt;0)*(($V285:$AE285&lt;Y285)+($V285:$AE285=Y285)*($V$3:$AE$3&gt;Y$3)+($V285:$AE285=Y285)*($V$3:$AE$3=Y$3)*($V$2:$AE$2&lt;Y$2))),2))))</f>
      </c>
      <c r="AJ285" s="33">
        <f>IF(Z285&lt;=0,0,MAX(0,MIN(Z285,ROUND($AZ285-SUMPRODUCT($V285:$AE285*($V285:$AE285&gt;0)*(($V285:$AE285&lt;Z285)+($V285:$AE285=Z285)*($V$3:$AE$3&gt;Z$3)+($V285:$AE285=Z285)*($V$3:$AE$3=Z$3)*($V$2:$AE$2&lt;Z$2))),2))))</f>
      </c>
      <c r="AK285" s="33">
        <f>IF(AA285&lt;=0,0,MAX(0,MIN(AA285,ROUND($AZ285-SUMPRODUCT($V285:$AE285*($V285:$AE285&gt;0)*(($V285:$AE285&lt;AA285)+($V285:$AE285=AA285)*($V$3:$AE$3&gt;AA$3)+($V285:$AE285=AA285)*($V$3:$AE$3=AA$3)*($V$2:$AE$2&lt;AA$2))),2))))</f>
      </c>
      <c r="AL285" s="33">
        <f>IF(AB285&lt;=0,0,MAX(0,MIN(AB285,ROUND($AZ285-SUMPRODUCT($V285:$AE285*($V285:$AE285&gt;0)*(($V285:$AE285&lt;AB285)+($V285:$AE285=AB285)*($V$3:$AE$3&gt;AB$3)+($V285:$AE285=AB285)*($V$3:$AE$3=AB$3)*($V$2:$AE$2&lt;AB$2))),2))))</f>
      </c>
      <c r="AM285" s="33">
        <f>IF(AC285&lt;=0,0,MAX(0,MIN(AC285,ROUND($AZ285-SUMPRODUCT($V285:$AE285*($V285:$AE285&gt;0)*(($V285:$AE285&lt;AC285)+($V285:$AE285=AC285)*($V$3:$AE$3&gt;AC$3)+($V285:$AE285=AC285)*($V$3:$AE$3=AC$3)*($V$2:$AE$2&lt;AC$2))),2))))</f>
      </c>
      <c r="AN285" s="33">
        <f>IF(AD285&lt;=0,0,MAX(0,MIN(AD285,ROUND($AZ285-SUMPRODUCT($V285:$AE285*($V285:$AE285&gt;0)*(($V285:$AE285&lt;AD285)+($V285:$AE285=AD285)*($V$3:$AE$3&gt;AD$3)+($V285:$AE285=AD285)*($V$3:$AE$3=AD$3)*($V$2:$AE$2&lt;AD$2))),2))))</f>
      </c>
      <c r="AO285" s="33">
        <f>IF(AE285&lt;=0,0,MAX(0,MIN(AE285,ROUND($AZ285-SUMPRODUCT($V285:$AE285*($V285:$AE285&gt;0)*(($V285:$AE285&lt;AE285)+($V285:$AE285=AE285)*($V$3:$AE$3&gt;AE$3)+($V285:$AE285=AE285)*($V$3:$AE$3=AE$3)*($V$2:$AE$2&lt;AE$2))),2))))</f>
      </c>
      <c r="AP285" s="33">
        <f>ROUND(V285-AF285,2)</f>
      </c>
      <c r="AQ285" s="33">
        <f>ROUND(W285-AG285,2)</f>
      </c>
      <c r="AR285" s="33">
        <f>ROUND(X285-AH285,2)</f>
      </c>
      <c r="AS285" s="33">
        <f>ROUND(Y285-AI285,2)</f>
      </c>
      <c r="AT285" s="33">
        <f>ROUND(Z285-AJ285,2)</f>
      </c>
      <c r="AU285" s="33">
        <f>ROUND(AA285-AK285,2)</f>
      </c>
      <c r="AV285" s="33">
        <f>ROUND(AB285-AL285,2)</f>
      </c>
      <c r="AW285" s="33">
        <f>ROUND(AC285-AM285,2)</f>
      </c>
      <c r="AX285" s="33">
        <f>ROUND(AD285-AN285,2)</f>
      </c>
      <c r="AY285" s="33">
        <f>ROUND(AE285-AO285,2)</f>
      </c>
      <c r="AZ285" s="33">
        <f>ROUND(MAX(0,'Your debts'!$D$22-SUM($L285:$U285)),2)</f>
      </c>
      <c r="BA285" s="33">
        <f>ROUND(SUM($B285:$K285)-SUM($AP284:$AY284),2)</f>
      </c>
      <c r="BB285" s="33">
        <f>SUM($AP285:$AY285)</f>
      </c>
      <c r="BC285" s="33">
        <f>ROUND(SUM($L285:$U285)+SUM($AF285:$AO285),2)</f>
      </c>
    </row>
    <row r="286" spans="1:55" x14ac:dyDescent="0.25">
      <c r="A286">
        <v>279</v>
      </c>
      <c r="B286" s="33">
        <f>IF(AP285&lt;=0,0,ROUND(AP285+ROUND(AP285*V$3/12,2),2))</f>
      </c>
      <c r="C286" s="33">
        <f>IF(AQ285&lt;=0,0,ROUND(AQ285+ROUND(AQ285*W$3/12,2),2))</f>
      </c>
      <c r="D286" s="33">
        <f>IF(AR285&lt;=0,0,ROUND(AR285+ROUND(AR285*X$3/12,2),2))</f>
      </c>
      <c r="E286" s="33">
        <f>IF(AS285&lt;=0,0,ROUND(AS285+ROUND(AS285*Y$3/12,2),2))</f>
      </c>
      <c r="F286" s="33">
        <f>IF(AT285&lt;=0,0,ROUND(AT285+ROUND(AT285*Z$3/12,2),2))</f>
      </c>
      <c r="G286" s="33">
        <f>IF(AU285&lt;=0,0,ROUND(AU285+ROUND(AU285*AA$3/12,2),2))</f>
      </c>
      <c r="H286" s="33">
        <f>IF(AV285&lt;=0,0,ROUND(AV285+ROUND(AV285*AB$3/12,2),2))</f>
      </c>
      <c r="I286" s="33">
        <f>IF(AW285&lt;=0,0,ROUND(AW285+ROUND(AW285*AC$3/12,2),2))</f>
      </c>
      <c r="J286" s="33">
        <f>IF(AX285&lt;=0,0,ROUND(AX285+ROUND(AX285*AD$3/12,2),2))</f>
      </c>
      <c r="K286" s="33">
        <f>IF(AY285&lt;=0,0,ROUND(AY285+ROUND(AY285*AE$3/12,2),2))</f>
      </c>
      <c r="L286" s="33">
        <f>ROUND(MIN(MAX(0,N('Your debts'!$E$6)),B286),2)</f>
      </c>
      <c r="M286" s="33">
        <f>ROUND(MIN(MAX(0,N('Your debts'!$E$7)),C286),2)</f>
      </c>
      <c r="N286" s="33">
        <f>ROUND(MIN(MAX(0,N('Your debts'!$E$8)),D286),2)</f>
      </c>
      <c r="O286" s="33">
        <f>ROUND(MIN(MAX(0,N('Your debts'!$E$9)),E286),2)</f>
      </c>
      <c r="P286" s="33">
        <f>ROUND(MIN(MAX(0,N('Your debts'!$E$10)),F286),2)</f>
      </c>
      <c r="Q286" s="33">
        <f>ROUND(MIN(MAX(0,N('Your debts'!$E$11)),G286),2)</f>
      </c>
      <c r="R286" s="33">
        <f>ROUND(MIN(MAX(0,N('Your debts'!$E$12)),H286),2)</f>
      </c>
      <c r="S286" s="33">
        <f>ROUND(MIN(MAX(0,N('Your debts'!$E$13)),I286),2)</f>
      </c>
      <c r="T286" s="33">
        <f>ROUND(MIN(MAX(0,N('Your debts'!$E$14)),J286),2)</f>
      </c>
      <c r="U286" s="33">
        <f>ROUND(MIN(MAX(0,N('Your debts'!$E$15)),K286),2)</f>
      </c>
      <c r="V286" s="33">
        <f>ROUND(B286-L286,2)</f>
      </c>
      <c r="W286" s="33">
        <f>ROUND(C286-M286,2)</f>
      </c>
      <c r="X286" s="33">
        <f>ROUND(D286-N286,2)</f>
      </c>
      <c r="Y286" s="33">
        <f>ROUND(E286-O286,2)</f>
      </c>
      <c r="Z286" s="33">
        <f>ROUND(F286-P286,2)</f>
      </c>
      <c r="AA286" s="33">
        <f>ROUND(G286-Q286,2)</f>
      </c>
      <c r="AB286" s="33">
        <f>ROUND(H286-R286,2)</f>
      </c>
      <c r="AC286" s="33">
        <f>ROUND(I286-S286,2)</f>
      </c>
      <c r="AD286" s="33">
        <f>ROUND(J286-T286,2)</f>
      </c>
      <c r="AE286" s="33">
        <f>ROUND(K286-U286,2)</f>
      </c>
      <c r="AF286" s="33">
        <f>IF(V286&lt;=0,0,MAX(0,MIN(V286,ROUND($AZ286-SUMPRODUCT($V286:$AE286*($V286:$AE286&gt;0)*(($V286:$AE286&lt;V286)+($V286:$AE286=V286)*($V$3:$AE$3&gt;V$3)+($V286:$AE286=V286)*($V$3:$AE$3=V$3)*($V$2:$AE$2&lt;V$2))),2))))</f>
      </c>
      <c r="AG286" s="33">
        <f>IF(W286&lt;=0,0,MAX(0,MIN(W286,ROUND($AZ286-SUMPRODUCT($V286:$AE286*($V286:$AE286&gt;0)*(($V286:$AE286&lt;W286)+($V286:$AE286=W286)*($V$3:$AE$3&gt;W$3)+($V286:$AE286=W286)*($V$3:$AE$3=W$3)*($V$2:$AE$2&lt;W$2))),2))))</f>
      </c>
      <c r="AH286" s="33">
        <f>IF(X286&lt;=0,0,MAX(0,MIN(X286,ROUND($AZ286-SUMPRODUCT($V286:$AE286*($V286:$AE286&gt;0)*(($V286:$AE286&lt;X286)+($V286:$AE286=X286)*($V$3:$AE$3&gt;X$3)+($V286:$AE286=X286)*($V$3:$AE$3=X$3)*($V$2:$AE$2&lt;X$2))),2))))</f>
      </c>
      <c r="AI286" s="33">
        <f>IF(Y286&lt;=0,0,MAX(0,MIN(Y286,ROUND($AZ286-SUMPRODUCT($V286:$AE286*($V286:$AE286&gt;0)*(($V286:$AE286&lt;Y286)+($V286:$AE286=Y286)*($V$3:$AE$3&gt;Y$3)+($V286:$AE286=Y286)*($V$3:$AE$3=Y$3)*($V$2:$AE$2&lt;Y$2))),2))))</f>
      </c>
      <c r="AJ286" s="33">
        <f>IF(Z286&lt;=0,0,MAX(0,MIN(Z286,ROUND($AZ286-SUMPRODUCT($V286:$AE286*($V286:$AE286&gt;0)*(($V286:$AE286&lt;Z286)+($V286:$AE286=Z286)*($V$3:$AE$3&gt;Z$3)+($V286:$AE286=Z286)*($V$3:$AE$3=Z$3)*($V$2:$AE$2&lt;Z$2))),2))))</f>
      </c>
      <c r="AK286" s="33">
        <f>IF(AA286&lt;=0,0,MAX(0,MIN(AA286,ROUND($AZ286-SUMPRODUCT($V286:$AE286*($V286:$AE286&gt;0)*(($V286:$AE286&lt;AA286)+($V286:$AE286=AA286)*($V$3:$AE$3&gt;AA$3)+($V286:$AE286=AA286)*($V$3:$AE$3=AA$3)*($V$2:$AE$2&lt;AA$2))),2))))</f>
      </c>
      <c r="AL286" s="33">
        <f>IF(AB286&lt;=0,0,MAX(0,MIN(AB286,ROUND($AZ286-SUMPRODUCT($V286:$AE286*($V286:$AE286&gt;0)*(($V286:$AE286&lt;AB286)+($V286:$AE286=AB286)*($V$3:$AE$3&gt;AB$3)+($V286:$AE286=AB286)*($V$3:$AE$3=AB$3)*($V$2:$AE$2&lt;AB$2))),2))))</f>
      </c>
      <c r="AM286" s="33">
        <f>IF(AC286&lt;=0,0,MAX(0,MIN(AC286,ROUND($AZ286-SUMPRODUCT($V286:$AE286*($V286:$AE286&gt;0)*(($V286:$AE286&lt;AC286)+($V286:$AE286=AC286)*($V$3:$AE$3&gt;AC$3)+($V286:$AE286=AC286)*($V$3:$AE$3=AC$3)*($V$2:$AE$2&lt;AC$2))),2))))</f>
      </c>
      <c r="AN286" s="33">
        <f>IF(AD286&lt;=0,0,MAX(0,MIN(AD286,ROUND($AZ286-SUMPRODUCT($V286:$AE286*($V286:$AE286&gt;0)*(($V286:$AE286&lt;AD286)+($V286:$AE286=AD286)*($V$3:$AE$3&gt;AD$3)+($V286:$AE286=AD286)*($V$3:$AE$3=AD$3)*($V$2:$AE$2&lt;AD$2))),2))))</f>
      </c>
      <c r="AO286" s="33">
        <f>IF(AE286&lt;=0,0,MAX(0,MIN(AE286,ROUND($AZ286-SUMPRODUCT($V286:$AE286*($V286:$AE286&gt;0)*(($V286:$AE286&lt;AE286)+($V286:$AE286=AE286)*($V$3:$AE$3&gt;AE$3)+($V286:$AE286=AE286)*($V$3:$AE$3=AE$3)*($V$2:$AE$2&lt;AE$2))),2))))</f>
      </c>
      <c r="AP286" s="33">
        <f>ROUND(V286-AF286,2)</f>
      </c>
      <c r="AQ286" s="33">
        <f>ROUND(W286-AG286,2)</f>
      </c>
      <c r="AR286" s="33">
        <f>ROUND(X286-AH286,2)</f>
      </c>
      <c r="AS286" s="33">
        <f>ROUND(Y286-AI286,2)</f>
      </c>
      <c r="AT286" s="33">
        <f>ROUND(Z286-AJ286,2)</f>
      </c>
      <c r="AU286" s="33">
        <f>ROUND(AA286-AK286,2)</f>
      </c>
      <c r="AV286" s="33">
        <f>ROUND(AB286-AL286,2)</f>
      </c>
      <c r="AW286" s="33">
        <f>ROUND(AC286-AM286,2)</f>
      </c>
      <c r="AX286" s="33">
        <f>ROUND(AD286-AN286,2)</f>
      </c>
      <c r="AY286" s="33">
        <f>ROUND(AE286-AO286,2)</f>
      </c>
      <c r="AZ286" s="33">
        <f>ROUND(MAX(0,'Your debts'!$D$22-SUM($L286:$U286)),2)</f>
      </c>
      <c r="BA286" s="33">
        <f>ROUND(SUM($B286:$K286)-SUM($AP285:$AY285),2)</f>
      </c>
      <c r="BB286" s="33">
        <f>SUM($AP286:$AY286)</f>
      </c>
      <c r="BC286" s="33">
        <f>ROUND(SUM($L286:$U286)+SUM($AF286:$AO286),2)</f>
      </c>
    </row>
    <row r="287" spans="1:55" x14ac:dyDescent="0.25">
      <c r="A287">
        <v>280</v>
      </c>
      <c r="B287" s="33">
        <f>IF(AP286&lt;=0,0,ROUND(AP286+ROUND(AP286*V$3/12,2),2))</f>
      </c>
      <c r="C287" s="33">
        <f>IF(AQ286&lt;=0,0,ROUND(AQ286+ROUND(AQ286*W$3/12,2),2))</f>
      </c>
      <c r="D287" s="33">
        <f>IF(AR286&lt;=0,0,ROUND(AR286+ROUND(AR286*X$3/12,2),2))</f>
      </c>
      <c r="E287" s="33">
        <f>IF(AS286&lt;=0,0,ROUND(AS286+ROUND(AS286*Y$3/12,2),2))</f>
      </c>
      <c r="F287" s="33">
        <f>IF(AT286&lt;=0,0,ROUND(AT286+ROUND(AT286*Z$3/12,2),2))</f>
      </c>
      <c r="G287" s="33">
        <f>IF(AU286&lt;=0,0,ROUND(AU286+ROUND(AU286*AA$3/12,2),2))</f>
      </c>
      <c r="H287" s="33">
        <f>IF(AV286&lt;=0,0,ROUND(AV286+ROUND(AV286*AB$3/12,2),2))</f>
      </c>
      <c r="I287" s="33">
        <f>IF(AW286&lt;=0,0,ROUND(AW286+ROUND(AW286*AC$3/12,2),2))</f>
      </c>
      <c r="J287" s="33">
        <f>IF(AX286&lt;=0,0,ROUND(AX286+ROUND(AX286*AD$3/12,2),2))</f>
      </c>
      <c r="K287" s="33">
        <f>IF(AY286&lt;=0,0,ROUND(AY286+ROUND(AY286*AE$3/12,2),2))</f>
      </c>
      <c r="L287" s="33">
        <f>ROUND(MIN(MAX(0,N('Your debts'!$E$6)),B287),2)</f>
      </c>
      <c r="M287" s="33">
        <f>ROUND(MIN(MAX(0,N('Your debts'!$E$7)),C287),2)</f>
      </c>
      <c r="N287" s="33">
        <f>ROUND(MIN(MAX(0,N('Your debts'!$E$8)),D287),2)</f>
      </c>
      <c r="O287" s="33">
        <f>ROUND(MIN(MAX(0,N('Your debts'!$E$9)),E287),2)</f>
      </c>
      <c r="P287" s="33">
        <f>ROUND(MIN(MAX(0,N('Your debts'!$E$10)),F287),2)</f>
      </c>
      <c r="Q287" s="33">
        <f>ROUND(MIN(MAX(0,N('Your debts'!$E$11)),G287),2)</f>
      </c>
      <c r="R287" s="33">
        <f>ROUND(MIN(MAX(0,N('Your debts'!$E$12)),H287),2)</f>
      </c>
      <c r="S287" s="33">
        <f>ROUND(MIN(MAX(0,N('Your debts'!$E$13)),I287),2)</f>
      </c>
      <c r="T287" s="33">
        <f>ROUND(MIN(MAX(0,N('Your debts'!$E$14)),J287),2)</f>
      </c>
      <c r="U287" s="33">
        <f>ROUND(MIN(MAX(0,N('Your debts'!$E$15)),K287),2)</f>
      </c>
      <c r="V287" s="33">
        <f>ROUND(B287-L287,2)</f>
      </c>
      <c r="W287" s="33">
        <f>ROUND(C287-M287,2)</f>
      </c>
      <c r="X287" s="33">
        <f>ROUND(D287-N287,2)</f>
      </c>
      <c r="Y287" s="33">
        <f>ROUND(E287-O287,2)</f>
      </c>
      <c r="Z287" s="33">
        <f>ROUND(F287-P287,2)</f>
      </c>
      <c r="AA287" s="33">
        <f>ROUND(G287-Q287,2)</f>
      </c>
      <c r="AB287" s="33">
        <f>ROUND(H287-R287,2)</f>
      </c>
      <c r="AC287" s="33">
        <f>ROUND(I287-S287,2)</f>
      </c>
      <c r="AD287" s="33">
        <f>ROUND(J287-T287,2)</f>
      </c>
      <c r="AE287" s="33">
        <f>ROUND(K287-U287,2)</f>
      </c>
      <c r="AF287" s="33">
        <f>IF(V287&lt;=0,0,MAX(0,MIN(V287,ROUND($AZ287-SUMPRODUCT($V287:$AE287*($V287:$AE287&gt;0)*(($V287:$AE287&lt;V287)+($V287:$AE287=V287)*($V$3:$AE$3&gt;V$3)+($V287:$AE287=V287)*($V$3:$AE$3=V$3)*($V$2:$AE$2&lt;V$2))),2))))</f>
      </c>
      <c r="AG287" s="33">
        <f>IF(W287&lt;=0,0,MAX(0,MIN(W287,ROUND($AZ287-SUMPRODUCT($V287:$AE287*($V287:$AE287&gt;0)*(($V287:$AE287&lt;W287)+($V287:$AE287=W287)*($V$3:$AE$3&gt;W$3)+($V287:$AE287=W287)*($V$3:$AE$3=W$3)*($V$2:$AE$2&lt;W$2))),2))))</f>
      </c>
      <c r="AH287" s="33">
        <f>IF(X287&lt;=0,0,MAX(0,MIN(X287,ROUND($AZ287-SUMPRODUCT($V287:$AE287*($V287:$AE287&gt;0)*(($V287:$AE287&lt;X287)+($V287:$AE287=X287)*($V$3:$AE$3&gt;X$3)+($V287:$AE287=X287)*($V$3:$AE$3=X$3)*($V$2:$AE$2&lt;X$2))),2))))</f>
      </c>
      <c r="AI287" s="33">
        <f>IF(Y287&lt;=0,0,MAX(0,MIN(Y287,ROUND($AZ287-SUMPRODUCT($V287:$AE287*($V287:$AE287&gt;0)*(($V287:$AE287&lt;Y287)+($V287:$AE287=Y287)*($V$3:$AE$3&gt;Y$3)+($V287:$AE287=Y287)*($V$3:$AE$3=Y$3)*($V$2:$AE$2&lt;Y$2))),2))))</f>
      </c>
      <c r="AJ287" s="33">
        <f>IF(Z287&lt;=0,0,MAX(0,MIN(Z287,ROUND($AZ287-SUMPRODUCT($V287:$AE287*($V287:$AE287&gt;0)*(($V287:$AE287&lt;Z287)+($V287:$AE287=Z287)*($V$3:$AE$3&gt;Z$3)+($V287:$AE287=Z287)*($V$3:$AE$3=Z$3)*($V$2:$AE$2&lt;Z$2))),2))))</f>
      </c>
      <c r="AK287" s="33">
        <f>IF(AA287&lt;=0,0,MAX(0,MIN(AA287,ROUND($AZ287-SUMPRODUCT($V287:$AE287*($V287:$AE287&gt;0)*(($V287:$AE287&lt;AA287)+($V287:$AE287=AA287)*($V$3:$AE$3&gt;AA$3)+($V287:$AE287=AA287)*($V$3:$AE$3=AA$3)*($V$2:$AE$2&lt;AA$2))),2))))</f>
      </c>
      <c r="AL287" s="33">
        <f>IF(AB287&lt;=0,0,MAX(0,MIN(AB287,ROUND($AZ287-SUMPRODUCT($V287:$AE287*($V287:$AE287&gt;0)*(($V287:$AE287&lt;AB287)+($V287:$AE287=AB287)*($V$3:$AE$3&gt;AB$3)+($V287:$AE287=AB287)*($V$3:$AE$3=AB$3)*($V$2:$AE$2&lt;AB$2))),2))))</f>
      </c>
      <c r="AM287" s="33">
        <f>IF(AC287&lt;=0,0,MAX(0,MIN(AC287,ROUND($AZ287-SUMPRODUCT($V287:$AE287*($V287:$AE287&gt;0)*(($V287:$AE287&lt;AC287)+($V287:$AE287=AC287)*($V$3:$AE$3&gt;AC$3)+($V287:$AE287=AC287)*($V$3:$AE$3=AC$3)*($V$2:$AE$2&lt;AC$2))),2))))</f>
      </c>
      <c r="AN287" s="33">
        <f>IF(AD287&lt;=0,0,MAX(0,MIN(AD287,ROUND($AZ287-SUMPRODUCT($V287:$AE287*($V287:$AE287&gt;0)*(($V287:$AE287&lt;AD287)+($V287:$AE287=AD287)*($V$3:$AE$3&gt;AD$3)+($V287:$AE287=AD287)*($V$3:$AE$3=AD$3)*($V$2:$AE$2&lt;AD$2))),2))))</f>
      </c>
      <c r="AO287" s="33">
        <f>IF(AE287&lt;=0,0,MAX(0,MIN(AE287,ROUND($AZ287-SUMPRODUCT($V287:$AE287*($V287:$AE287&gt;0)*(($V287:$AE287&lt;AE287)+($V287:$AE287=AE287)*($V$3:$AE$3&gt;AE$3)+($V287:$AE287=AE287)*($V$3:$AE$3=AE$3)*($V$2:$AE$2&lt;AE$2))),2))))</f>
      </c>
      <c r="AP287" s="33">
        <f>ROUND(V287-AF287,2)</f>
      </c>
      <c r="AQ287" s="33">
        <f>ROUND(W287-AG287,2)</f>
      </c>
      <c r="AR287" s="33">
        <f>ROUND(X287-AH287,2)</f>
      </c>
      <c r="AS287" s="33">
        <f>ROUND(Y287-AI287,2)</f>
      </c>
      <c r="AT287" s="33">
        <f>ROUND(Z287-AJ287,2)</f>
      </c>
      <c r="AU287" s="33">
        <f>ROUND(AA287-AK287,2)</f>
      </c>
      <c r="AV287" s="33">
        <f>ROUND(AB287-AL287,2)</f>
      </c>
      <c r="AW287" s="33">
        <f>ROUND(AC287-AM287,2)</f>
      </c>
      <c r="AX287" s="33">
        <f>ROUND(AD287-AN287,2)</f>
      </c>
      <c r="AY287" s="33">
        <f>ROUND(AE287-AO287,2)</f>
      </c>
      <c r="AZ287" s="33">
        <f>ROUND(MAX(0,'Your debts'!$D$22-SUM($L287:$U287)),2)</f>
      </c>
      <c r="BA287" s="33">
        <f>ROUND(SUM($B287:$K287)-SUM($AP286:$AY286),2)</f>
      </c>
      <c r="BB287" s="33">
        <f>SUM($AP287:$AY287)</f>
      </c>
      <c r="BC287" s="33">
        <f>ROUND(SUM($L287:$U287)+SUM($AF287:$AO287),2)</f>
      </c>
    </row>
    <row r="288" spans="1:55" x14ac:dyDescent="0.25">
      <c r="A288">
        <v>281</v>
      </c>
      <c r="B288" s="33">
        <f>IF(AP287&lt;=0,0,ROUND(AP287+ROUND(AP287*V$3/12,2),2))</f>
      </c>
      <c r="C288" s="33">
        <f>IF(AQ287&lt;=0,0,ROUND(AQ287+ROUND(AQ287*W$3/12,2),2))</f>
      </c>
      <c r="D288" s="33">
        <f>IF(AR287&lt;=0,0,ROUND(AR287+ROUND(AR287*X$3/12,2),2))</f>
      </c>
      <c r="E288" s="33">
        <f>IF(AS287&lt;=0,0,ROUND(AS287+ROUND(AS287*Y$3/12,2),2))</f>
      </c>
      <c r="F288" s="33">
        <f>IF(AT287&lt;=0,0,ROUND(AT287+ROUND(AT287*Z$3/12,2),2))</f>
      </c>
      <c r="G288" s="33">
        <f>IF(AU287&lt;=0,0,ROUND(AU287+ROUND(AU287*AA$3/12,2),2))</f>
      </c>
      <c r="H288" s="33">
        <f>IF(AV287&lt;=0,0,ROUND(AV287+ROUND(AV287*AB$3/12,2),2))</f>
      </c>
      <c r="I288" s="33">
        <f>IF(AW287&lt;=0,0,ROUND(AW287+ROUND(AW287*AC$3/12,2),2))</f>
      </c>
      <c r="J288" s="33">
        <f>IF(AX287&lt;=0,0,ROUND(AX287+ROUND(AX287*AD$3/12,2),2))</f>
      </c>
      <c r="K288" s="33">
        <f>IF(AY287&lt;=0,0,ROUND(AY287+ROUND(AY287*AE$3/12,2),2))</f>
      </c>
      <c r="L288" s="33">
        <f>ROUND(MIN(MAX(0,N('Your debts'!$E$6)),B288),2)</f>
      </c>
      <c r="M288" s="33">
        <f>ROUND(MIN(MAX(0,N('Your debts'!$E$7)),C288),2)</f>
      </c>
      <c r="N288" s="33">
        <f>ROUND(MIN(MAX(0,N('Your debts'!$E$8)),D288),2)</f>
      </c>
      <c r="O288" s="33">
        <f>ROUND(MIN(MAX(0,N('Your debts'!$E$9)),E288),2)</f>
      </c>
      <c r="P288" s="33">
        <f>ROUND(MIN(MAX(0,N('Your debts'!$E$10)),F288),2)</f>
      </c>
      <c r="Q288" s="33">
        <f>ROUND(MIN(MAX(0,N('Your debts'!$E$11)),G288),2)</f>
      </c>
      <c r="R288" s="33">
        <f>ROUND(MIN(MAX(0,N('Your debts'!$E$12)),H288),2)</f>
      </c>
      <c r="S288" s="33">
        <f>ROUND(MIN(MAX(0,N('Your debts'!$E$13)),I288),2)</f>
      </c>
      <c r="T288" s="33">
        <f>ROUND(MIN(MAX(0,N('Your debts'!$E$14)),J288),2)</f>
      </c>
      <c r="U288" s="33">
        <f>ROUND(MIN(MAX(0,N('Your debts'!$E$15)),K288),2)</f>
      </c>
      <c r="V288" s="33">
        <f>ROUND(B288-L288,2)</f>
      </c>
      <c r="W288" s="33">
        <f>ROUND(C288-M288,2)</f>
      </c>
      <c r="X288" s="33">
        <f>ROUND(D288-N288,2)</f>
      </c>
      <c r="Y288" s="33">
        <f>ROUND(E288-O288,2)</f>
      </c>
      <c r="Z288" s="33">
        <f>ROUND(F288-P288,2)</f>
      </c>
      <c r="AA288" s="33">
        <f>ROUND(G288-Q288,2)</f>
      </c>
      <c r="AB288" s="33">
        <f>ROUND(H288-R288,2)</f>
      </c>
      <c r="AC288" s="33">
        <f>ROUND(I288-S288,2)</f>
      </c>
      <c r="AD288" s="33">
        <f>ROUND(J288-T288,2)</f>
      </c>
      <c r="AE288" s="33">
        <f>ROUND(K288-U288,2)</f>
      </c>
      <c r="AF288" s="33">
        <f>IF(V288&lt;=0,0,MAX(0,MIN(V288,ROUND($AZ288-SUMPRODUCT($V288:$AE288*($V288:$AE288&gt;0)*(($V288:$AE288&lt;V288)+($V288:$AE288=V288)*($V$3:$AE$3&gt;V$3)+($V288:$AE288=V288)*($V$3:$AE$3=V$3)*($V$2:$AE$2&lt;V$2))),2))))</f>
      </c>
      <c r="AG288" s="33">
        <f>IF(W288&lt;=0,0,MAX(0,MIN(W288,ROUND($AZ288-SUMPRODUCT($V288:$AE288*($V288:$AE288&gt;0)*(($V288:$AE288&lt;W288)+($V288:$AE288=W288)*($V$3:$AE$3&gt;W$3)+($V288:$AE288=W288)*($V$3:$AE$3=W$3)*($V$2:$AE$2&lt;W$2))),2))))</f>
      </c>
      <c r="AH288" s="33">
        <f>IF(X288&lt;=0,0,MAX(0,MIN(X288,ROUND($AZ288-SUMPRODUCT($V288:$AE288*($V288:$AE288&gt;0)*(($V288:$AE288&lt;X288)+($V288:$AE288=X288)*($V$3:$AE$3&gt;X$3)+($V288:$AE288=X288)*($V$3:$AE$3=X$3)*($V$2:$AE$2&lt;X$2))),2))))</f>
      </c>
      <c r="AI288" s="33">
        <f>IF(Y288&lt;=0,0,MAX(0,MIN(Y288,ROUND($AZ288-SUMPRODUCT($V288:$AE288*($V288:$AE288&gt;0)*(($V288:$AE288&lt;Y288)+($V288:$AE288=Y288)*($V$3:$AE$3&gt;Y$3)+($V288:$AE288=Y288)*($V$3:$AE$3=Y$3)*($V$2:$AE$2&lt;Y$2))),2))))</f>
      </c>
      <c r="AJ288" s="33">
        <f>IF(Z288&lt;=0,0,MAX(0,MIN(Z288,ROUND($AZ288-SUMPRODUCT($V288:$AE288*($V288:$AE288&gt;0)*(($V288:$AE288&lt;Z288)+($V288:$AE288=Z288)*($V$3:$AE$3&gt;Z$3)+($V288:$AE288=Z288)*($V$3:$AE$3=Z$3)*($V$2:$AE$2&lt;Z$2))),2))))</f>
      </c>
      <c r="AK288" s="33">
        <f>IF(AA288&lt;=0,0,MAX(0,MIN(AA288,ROUND($AZ288-SUMPRODUCT($V288:$AE288*($V288:$AE288&gt;0)*(($V288:$AE288&lt;AA288)+($V288:$AE288=AA288)*($V$3:$AE$3&gt;AA$3)+($V288:$AE288=AA288)*($V$3:$AE$3=AA$3)*($V$2:$AE$2&lt;AA$2))),2))))</f>
      </c>
      <c r="AL288" s="33">
        <f>IF(AB288&lt;=0,0,MAX(0,MIN(AB288,ROUND($AZ288-SUMPRODUCT($V288:$AE288*($V288:$AE288&gt;0)*(($V288:$AE288&lt;AB288)+($V288:$AE288=AB288)*($V$3:$AE$3&gt;AB$3)+($V288:$AE288=AB288)*($V$3:$AE$3=AB$3)*($V$2:$AE$2&lt;AB$2))),2))))</f>
      </c>
      <c r="AM288" s="33">
        <f>IF(AC288&lt;=0,0,MAX(0,MIN(AC288,ROUND($AZ288-SUMPRODUCT($V288:$AE288*($V288:$AE288&gt;0)*(($V288:$AE288&lt;AC288)+($V288:$AE288=AC288)*($V$3:$AE$3&gt;AC$3)+($V288:$AE288=AC288)*($V$3:$AE$3=AC$3)*($V$2:$AE$2&lt;AC$2))),2))))</f>
      </c>
      <c r="AN288" s="33">
        <f>IF(AD288&lt;=0,0,MAX(0,MIN(AD288,ROUND($AZ288-SUMPRODUCT($V288:$AE288*($V288:$AE288&gt;0)*(($V288:$AE288&lt;AD288)+($V288:$AE288=AD288)*($V$3:$AE$3&gt;AD$3)+($V288:$AE288=AD288)*($V$3:$AE$3=AD$3)*($V$2:$AE$2&lt;AD$2))),2))))</f>
      </c>
      <c r="AO288" s="33">
        <f>IF(AE288&lt;=0,0,MAX(0,MIN(AE288,ROUND($AZ288-SUMPRODUCT($V288:$AE288*($V288:$AE288&gt;0)*(($V288:$AE288&lt;AE288)+($V288:$AE288=AE288)*($V$3:$AE$3&gt;AE$3)+($V288:$AE288=AE288)*($V$3:$AE$3=AE$3)*($V$2:$AE$2&lt;AE$2))),2))))</f>
      </c>
      <c r="AP288" s="33">
        <f>ROUND(V288-AF288,2)</f>
      </c>
      <c r="AQ288" s="33">
        <f>ROUND(W288-AG288,2)</f>
      </c>
      <c r="AR288" s="33">
        <f>ROUND(X288-AH288,2)</f>
      </c>
      <c r="AS288" s="33">
        <f>ROUND(Y288-AI288,2)</f>
      </c>
      <c r="AT288" s="33">
        <f>ROUND(Z288-AJ288,2)</f>
      </c>
      <c r="AU288" s="33">
        <f>ROUND(AA288-AK288,2)</f>
      </c>
      <c r="AV288" s="33">
        <f>ROUND(AB288-AL288,2)</f>
      </c>
      <c r="AW288" s="33">
        <f>ROUND(AC288-AM288,2)</f>
      </c>
      <c r="AX288" s="33">
        <f>ROUND(AD288-AN288,2)</f>
      </c>
      <c r="AY288" s="33">
        <f>ROUND(AE288-AO288,2)</f>
      </c>
      <c r="AZ288" s="33">
        <f>ROUND(MAX(0,'Your debts'!$D$22-SUM($L288:$U288)),2)</f>
      </c>
      <c r="BA288" s="33">
        <f>ROUND(SUM($B288:$K288)-SUM($AP287:$AY287),2)</f>
      </c>
      <c r="BB288" s="33">
        <f>SUM($AP288:$AY288)</f>
      </c>
      <c r="BC288" s="33">
        <f>ROUND(SUM($L288:$U288)+SUM($AF288:$AO288),2)</f>
      </c>
    </row>
    <row r="289" spans="1:55" x14ac:dyDescent="0.25">
      <c r="A289">
        <v>282</v>
      </c>
      <c r="B289" s="33">
        <f>IF(AP288&lt;=0,0,ROUND(AP288+ROUND(AP288*V$3/12,2),2))</f>
      </c>
      <c r="C289" s="33">
        <f>IF(AQ288&lt;=0,0,ROUND(AQ288+ROUND(AQ288*W$3/12,2),2))</f>
      </c>
      <c r="D289" s="33">
        <f>IF(AR288&lt;=0,0,ROUND(AR288+ROUND(AR288*X$3/12,2),2))</f>
      </c>
      <c r="E289" s="33">
        <f>IF(AS288&lt;=0,0,ROUND(AS288+ROUND(AS288*Y$3/12,2),2))</f>
      </c>
      <c r="F289" s="33">
        <f>IF(AT288&lt;=0,0,ROUND(AT288+ROUND(AT288*Z$3/12,2),2))</f>
      </c>
      <c r="G289" s="33">
        <f>IF(AU288&lt;=0,0,ROUND(AU288+ROUND(AU288*AA$3/12,2),2))</f>
      </c>
      <c r="H289" s="33">
        <f>IF(AV288&lt;=0,0,ROUND(AV288+ROUND(AV288*AB$3/12,2),2))</f>
      </c>
      <c r="I289" s="33">
        <f>IF(AW288&lt;=0,0,ROUND(AW288+ROUND(AW288*AC$3/12,2),2))</f>
      </c>
      <c r="J289" s="33">
        <f>IF(AX288&lt;=0,0,ROUND(AX288+ROUND(AX288*AD$3/12,2),2))</f>
      </c>
      <c r="K289" s="33">
        <f>IF(AY288&lt;=0,0,ROUND(AY288+ROUND(AY288*AE$3/12,2),2))</f>
      </c>
      <c r="L289" s="33">
        <f>ROUND(MIN(MAX(0,N('Your debts'!$E$6)),B289),2)</f>
      </c>
      <c r="M289" s="33">
        <f>ROUND(MIN(MAX(0,N('Your debts'!$E$7)),C289),2)</f>
      </c>
      <c r="N289" s="33">
        <f>ROUND(MIN(MAX(0,N('Your debts'!$E$8)),D289),2)</f>
      </c>
      <c r="O289" s="33">
        <f>ROUND(MIN(MAX(0,N('Your debts'!$E$9)),E289),2)</f>
      </c>
      <c r="P289" s="33">
        <f>ROUND(MIN(MAX(0,N('Your debts'!$E$10)),F289),2)</f>
      </c>
      <c r="Q289" s="33">
        <f>ROUND(MIN(MAX(0,N('Your debts'!$E$11)),G289),2)</f>
      </c>
      <c r="R289" s="33">
        <f>ROUND(MIN(MAX(0,N('Your debts'!$E$12)),H289),2)</f>
      </c>
      <c r="S289" s="33">
        <f>ROUND(MIN(MAX(0,N('Your debts'!$E$13)),I289),2)</f>
      </c>
      <c r="T289" s="33">
        <f>ROUND(MIN(MAX(0,N('Your debts'!$E$14)),J289),2)</f>
      </c>
      <c r="U289" s="33">
        <f>ROUND(MIN(MAX(0,N('Your debts'!$E$15)),K289),2)</f>
      </c>
      <c r="V289" s="33">
        <f>ROUND(B289-L289,2)</f>
      </c>
      <c r="W289" s="33">
        <f>ROUND(C289-M289,2)</f>
      </c>
      <c r="X289" s="33">
        <f>ROUND(D289-N289,2)</f>
      </c>
      <c r="Y289" s="33">
        <f>ROUND(E289-O289,2)</f>
      </c>
      <c r="Z289" s="33">
        <f>ROUND(F289-P289,2)</f>
      </c>
      <c r="AA289" s="33">
        <f>ROUND(G289-Q289,2)</f>
      </c>
      <c r="AB289" s="33">
        <f>ROUND(H289-R289,2)</f>
      </c>
      <c r="AC289" s="33">
        <f>ROUND(I289-S289,2)</f>
      </c>
      <c r="AD289" s="33">
        <f>ROUND(J289-T289,2)</f>
      </c>
      <c r="AE289" s="33">
        <f>ROUND(K289-U289,2)</f>
      </c>
      <c r="AF289" s="33">
        <f>IF(V289&lt;=0,0,MAX(0,MIN(V289,ROUND($AZ289-SUMPRODUCT($V289:$AE289*($V289:$AE289&gt;0)*(($V289:$AE289&lt;V289)+($V289:$AE289=V289)*($V$3:$AE$3&gt;V$3)+($V289:$AE289=V289)*($V$3:$AE$3=V$3)*($V$2:$AE$2&lt;V$2))),2))))</f>
      </c>
      <c r="AG289" s="33">
        <f>IF(W289&lt;=0,0,MAX(0,MIN(W289,ROUND($AZ289-SUMPRODUCT($V289:$AE289*($V289:$AE289&gt;0)*(($V289:$AE289&lt;W289)+($V289:$AE289=W289)*($V$3:$AE$3&gt;W$3)+($V289:$AE289=W289)*($V$3:$AE$3=W$3)*($V$2:$AE$2&lt;W$2))),2))))</f>
      </c>
      <c r="AH289" s="33">
        <f>IF(X289&lt;=0,0,MAX(0,MIN(X289,ROUND($AZ289-SUMPRODUCT($V289:$AE289*($V289:$AE289&gt;0)*(($V289:$AE289&lt;X289)+($V289:$AE289=X289)*($V$3:$AE$3&gt;X$3)+($V289:$AE289=X289)*($V$3:$AE$3=X$3)*($V$2:$AE$2&lt;X$2))),2))))</f>
      </c>
      <c r="AI289" s="33">
        <f>IF(Y289&lt;=0,0,MAX(0,MIN(Y289,ROUND($AZ289-SUMPRODUCT($V289:$AE289*($V289:$AE289&gt;0)*(($V289:$AE289&lt;Y289)+($V289:$AE289=Y289)*($V$3:$AE$3&gt;Y$3)+($V289:$AE289=Y289)*($V$3:$AE$3=Y$3)*($V$2:$AE$2&lt;Y$2))),2))))</f>
      </c>
      <c r="AJ289" s="33">
        <f>IF(Z289&lt;=0,0,MAX(0,MIN(Z289,ROUND($AZ289-SUMPRODUCT($V289:$AE289*($V289:$AE289&gt;0)*(($V289:$AE289&lt;Z289)+($V289:$AE289=Z289)*($V$3:$AE$3&gt;Z$3)+($V289:$AE289=Z289)*($V$3:$AE$3=Z$3)*($V$2:$AE$2&lt;Z$2))),2))))</f>
      </c>
      <c r="AK289" s="33">
        <f>IF(AA289&lt;=0,0,MAX(0,MIN(AA289,ROUND($AZ289-SUMPRODUCT($V289:$AE289*($V289:$AE289&gt;0)*(($V289:$AE289&lt;AA289)+($V289:$AE289=AA289)*($V$3:$AE$3&gt;AA$3)+($V289:$AE289=AA289)*($V$3:$AE$3=AA$3)*($V$2:$AE$2&lt;AA$2))),2))))</f>
      </c>
      <c r="AL289" s="33">
        <f>IF(AB289&lt;=0,0,MAX(0,MIN(AB289,ROUND($AZ289-SUMPRODUCT($V289:$AE289*($V289:$AE289&gt;0)*(($V289:$AE289&lt;AB289)+($V289:$AE289=AB289)*($V$3:$AE$3&gt;AB$3)+($V289:$AE289=AB289)*($V$3:$AE$3=AB$3)*($V$2:$AE$2&lt;AB$2))),2))))</f>
      </c>
      <c r="AM289" s="33">
        <f>IF(AC289&lt;=0,0,MAX(0,MIN(AC289,ROUND($AZ289-SUMPRODUCT($V289:$AE289*($V289:$AE289&gt;0)*(($V289:$AE289&lt;AC289)+($V289:$AE289=AC289)*($V$3:$AE$3&gt;AC$3)+($V289:$AE289=AC289)*($V$3:$AE$3=AC$3)*($V$2:$AE$2&lt;AC$2))),2))))</f>
      </c>
      <c r="AN289" s="33">
        <f>IF(AD289&lt;=0,0,MAX(0,MIN(AD289,ROUND($AZ289-SUMPRODUCT($V289:$AE289*($V289:$AE289&gt;0)*(($V289:$AE289&lt;AD289)+($V289:$AE289=AD289)*($V$3:$AE$3&gt;AD$3)+($V289:$AE289=AD289)*($V$3:$AE$3=AD$3)*($V$2:$AE$2&lt;AD$2))),2))))</f>
      </c>
      <c r="AO289" s="33">
        <f>IF(AE289&lt;=0,0,MAX(0,MIN(AE289,ROUND($AZ289-SUMPRODUCT($V289:$AE289*($V289:$AE289&gt;0)*(($V289:$AE289&lt;AE289)+($V289:$AE289=AE289)*($V$3:$AE$3&gt;AE$3)+($V289:$AE289=AE289)*($V$3:$AE$3=AE$3)*($V$2:$AE$2&lt;AE$2))),2))))</f>
      </c>
      <c r="AP289" s="33">
        <f>ROUND(V289-AF289,2)</f>
      </c>
      <c r="AQ289" s="33">
        <f>ROUND(W289-AG289,2)</f>
      </c>
      <c r="AR289" s="33">
        <f>ROUND(X289-AH289,2)</f>
      </c>
      <c r="AS289" s="33">
        <f>ROUND(Y289-AI289,2)</f>
      </c>
      <c r="AT289" s="33">
        <f>ROUND(Z289-AJ289,2)</f>
      </c>
      <c r="AU289" s="33">
        <f>ROUND(AA289-AK289,2)</f>
      </c>
      <c r="AV289" s="33">
        <f>ROUND(AB289-AL289,2)</f>
      </c>
      <c r="AW289" s="33">
        <f>ROUND(AC289-AM289,2)</f>
      </c>
      <c r="AX289" s="33">
        <f>ROUND(AD289-AN289,2)</f>
      </c>
      <c r="AY289" s="33">
        <f>ROUND(AE289-AO289,2)</f>
      </c>
      <c r="AZ289" s="33">
        <f>ROUND(MAX(0,'Your debts'!$D$22-SUM($L289:$U289)),2)</f>
      </c>
      <c r="BA289" s="33">
        <f>ROUND(SUM($B289:$K289)-SUM($AP288:$AY288),2)</f>
      </c>
      <c r="BB289" s="33">
        <f>SUM($AP289:$AY289)</f>
      </c>
      <c r="BC289" s="33">
        <f>ROUND(SUM($L289:$U289)+SUM($AF289:$AO289),2)</f>
      </c>
    </row>
    <row r="290" spans="1:55" x14ac:dyDescent="0.25">
      <c r="A290">
        <v>283</v>
      </c>
      <c r="B290" s="33">
        <f>IF(AP289&lt;=0,0,ROUND(AP289+ROUND(AP289*V$3/12,2),2))</f>
      </c>
      <c r="C290" s="33">
        <f>IF(AQ289&lt;=0,0,ROUND(AQ289+ROUND(AQ289*W$3/12,2),2))</f>
      </c>
      <c r="D290" s="33">
        <f>IF(AR289&lt;=0,0,ROUND(AR289+ROUND(AR289*X$3/12,2),2))</f>
      </c>
      <c r="E290" s="33">
        <f>IF(AS289&lt;=0,0,ROUND(AS289+ROUND(AS289*Y$3/12,2),2))</f>
      </c>
      <c r="F290" s="33">
        <f>IF(AT289&lt;=0,0,ROUND(AT289+ROUND(AT289*Z$3/12,2),2))</f>
      </c>
      <c r="G290" s="33">
        <f>IF(AU289&lt;=0,0,ROUND(AU289+ROUND(AU289*AA$3/12,2),2))</f>
      </c>
      <c r="H290" s="33">
        <f>IF(AV289&lt;=0,0,ROUND(AV289+ROUND(AV289*AB$3/12,2),2))</f>
      </c>
      <c r="I290" s="33">
        <f>IF(AW289&lt;=0,0,ROUND(AW289+ROUND(AW289*AC$3/12,2),2))</f>
      </c>
      <c r="J290" s="33">
        <f>IF(AX289&lt;=0,0,ROUND(AX289+ROUND(AX289*AD$3/12,2),2))</f>
      </c>
      <c r="K290" s="33">
        <f>IF(AY289&lt;=0,0,ROUND(AY289+ROUND(AY289*AE$3/12,2),2))</f>
      </c>
      <c r="L290" s="33">
        <f>ROUND(MIN(MAX(0,N('Your debts'!$E$6)),B290),2)</f>
      </c>
      <c r="M290" s="33">
        <f>ROUND(MIN(MAX(0,N('Your debts'!$E$7)),C290),2)</f>
      </c>
      <c r="N290" s="33">
        <f>ROUND(MIN(MAX(0,N('Your debts'!$E$8)),D290),2)</f>
      </c>
      <c r="O290" s="33">
        <f>ROUND(MIN(MAX(0,N('Your debts'!$E$9)),E290),2)</f>
      </c>
      <c r="P290" s="33">
        <f>ROUND(MIN(MAX(0,N('Your debts'!$E$10)),F290),2)</f>
      </c>
      <c r="Q290" s="33">
        <f>ROUND(MIN(MAX(0,N('Your debts'!$E$11)),G290),2)</f>
      </c>
      <c r="R290" s="33">
        <f>ROUND(MIN(MAX(0,N('Your debts'!$E$12)),H290),2)</f>
      </c>
      <c r="S290" s="33">
        <f>ROUND(MIN(MAX(0,N('Your debts'!$E$13)),I290),2)</f>
      </c>
      <c r="T290" s="33">
        <f>ROUND(MIN(MAX(0,N('Your debts'!$E$14)),J290),2)</f>
      </c>
      <c r="U290" s="33">
        <f>ROUND(MIN(MAX(0,N('Your debts'!$E$15)),K290),2)</f>
      </c>
      <c r="V290" s="33">
        <f>ROUND(B290-L290,2)</f>
      </c>
      <c r="W290" s="33">
        <f>ROUND(C290-M290,2)</f>
      </c>
      <c r="X290" s="33">
        <f>ROUND(D290-N290,2)</f>
      </c>
      <c r="Y290" s="33">
        <f>ROUND(E290-O290,2)</f>
      </c>
      <c r="Z290" s="33">
        <f>ROUND(F290-P290,2)</f>
      </c>
      <c r="AA290" s="33">
        <f>ROUND(G290-Q290,2)</f>
      </c>
      <c r="AB290" s="33">
        <f>ROUND(H290-R290,2)</f>
      </c>
      <c r="AC290" s="33">
        <f>ROUND(I290-S290,2)</f>
      </c>
      <c r="AD290" s="33">
        <f>ROUND(J290-T290,2)</f>
      </c>
      <c r="AE290" s="33">
        <f>ROUND(K290-U290,2)</f>
      </c>
      <c r="AF290" s="33">
        <f>IF(V290&lt;=0,0,MAX(0,MIN(V290,ROUND($AZ290-SUMPRODUCT($V290:$AE290*($V290:$AE290&gt;0)*(($V290:$AE290&lt;V290)+($V290:$AE290=V290)*($V$3:$AE$3&gt;V$3)+($V290:$AE290=V290)*($V$3:$AE$3=V$3)*($V$2:$AE$2&lt;V$2))),2))))</f>
      </c>
      <c r="AG290" s="33">
        <f>IF(W290&lt;=0,0,MAX(0,MIN(W290,ROUND($AZ290-SUMPRODUCT($V290:$AE290*($V290:$AE290&gt;0)*(($V290:$AE290&lt;W290)+($V290:$AE290=W290)*($V$3:$AE$3&gt;W$3)+($V290:$AE290=W290)*($V$3:$AE$3=W$3)*($V$2:$AE$2&lt;W$2))),2))))</f>
      </c>
      <c r="AH290" s="33">
        <f>IF(X290&lt;=0,0,MAX(0,MIN(X290,ROUND($AZ290-SUMPRODUCT($V290:$AE290*($V290:$AE290&gt;0)*(($V290:$AE290&lt;X290)+($V290:$AE290=X290)*($V$3:$AE$3&gt;X$3)+($V290:$AE290=X290)*($V$3:$AE$3=X$3)*($V$2:$AE$2&lt;X$2))),2))))</f>
      </c>
      <c r="AI290" s="33">
        <f>IF(Y290&lt;=0,0,MAX(0,MIN(Y290,ROUND($AZ290-SUMPRODUCT($V290:$AE290*($V290:$AE290&gt;0)*(($V290:$AE290&lt;Y290)+($V290:$AE290=Y290)*($V$3:$AE$3&gt;Y$3)+($V290:$AE290=Y290)*($V$3:$AE$3=Y$3)*($V$2:$AE$2&lt;Y$2))),2))))</f>
      </c>
      <c r="AJ290" s="33">
        <f>IF(Z290&lt;=0,0,MAX(0,MIN(Z290,ROUND($AZ290-SUMPRODUCT($V290:$AE290*($V290:$AE290&gt;0)*(($V290:$AE290&lt;Z290)+($V290:$AE290=Z290)*($V$3:$AE$3&gt;Z$3)+($V290:$AE290=Z290)*($V$3:$AE$3=Z$3)*($V$2:$AE$2&lt;Z$2))),2))))</f>
      </c>
      <c r="AK290" s="33">
        <f>IF(AA290&lt;=0,0,MAX(0,MIN(AA290,ROUND($AZ290-SUMPRODUCT($V290:$AE290*($V290:$AE290&gt;0)*(($V290:$AE290&lt;AA290)+($V290:$AE290=AA290)*($V$3:$AE$3&gt;AA$3)+($V290:$AE290=AA290)*($V$3:$AE$3=AA$3)*($V$2:$AE$2&lt;AA$2))),2))))</f>
      </c>
      <c r="AL290" s="33">
        <f>IF(AB290&lt;=0,0,MAX(0,MIN(AB290,ROUND($AZ290-SUMPRODUCT($V290:$AE290*($V290:$AE290&gt;0)*(($V290:$AE290&lt;AB290)+($V290:$AE290=AB290)*($V$3:$AE$3&gt;AB$3)+($V290:$AE290=AB290)*($V$3:$AE$3=AB$3)*($V$2:$AE$2&lt;AB$2))),2))))</f>
      </c>
      <c r="AM290" s="33">
        <f>IF(AC290&lt;=0,0,MAX(0,MIN(AC290,ROUND($AZ290-SUMPRODUCT($V290:$AE290*($V290:$AE290&gt;0)*(($V290:$AE290&lt;AC290)+($V290:$AE290=AC290)*($V$3:$AE$3&gt;AC$3)+($V290:$AE290=AC290)*($V$3:$AE$3=AC$3)*($V$2:$AE$2&lt;AC$2))),2))))</f>
      </c>
      <c r="AN290" s="33">
        <f>IF(AD290&lt;=0,0,MAX(0,MIN(AD290,ROUND($AZ290-SUMPRODUCT($V290:$AE290*($V290:$AE290&gt;0)*(($V290:$AE290&lt;AD290)+($V290:$AE290=AD290)*($V$3:$AE$3&gt;AD$3)+($V290:$AE290=AD290)*($V$3:$AE$3=AD$3)*($V$2:$AE$2&lt;AD$2))),2))))</f>
      </c>
      <c r="AO290" s="33">
        <f>IF(AE290&lt;=0,0,MAX(0,MIN(AE290,ROUND($AZ290-SUMPRODUCT($V290:$AE290*($V290:$AE290&gt;0)*(($V290:$AE290&lt;AE290)+($V290:$AE290=AE290)*($V$3:$AE$3&gt;AE$3)+($V290:$AE290=AE290)*($V$3:$AE$3=AE$3)*($V$2:$AE$2&lt;AE$2))),2))))</f>
      </c>
      <c r="AP290" s="33">
        <f>ROUND(V290-AF290,2)</f>
      </c>
      <c r="AQ290" s="33">
        <f>ROUND(W290-AG290,2)</f>
      </c>
      <c r="AR290" s="33">
        <f>ROUND(X290-AH290,2)</f>
      </c>
      <c r="AS290" s="33">
        <f>ROUND(Y290-AI290,2)</f>
      </c>
      <c r="AT290" s="33">
        <f>ROUND(Z290-AJ290,2)</f>
      </c>
      <c r="AU290" s="33">
        <f>ROUND(AA290-AK290,2)</f>
      </c>
      <c r="AV290" s="33">
        <f>ROUND(AB290-AL290,2)</f>
      </c>
      <c r="AW290" s="33">
        <f>ROUND(AC290-AM290,2)</f>
      </c>
      <c r="AX290" s="33">
        <f>ROUND(AD290-AN290,2)</f>
      </c>
      <c r="AY290" s="33">
        <f>ROUND(AE290-AO290,2)</f>
      </c>
      <c r="AZ290" s="33">
        <f>ROUND(MAX(0,'Your debts'!$D$22-SUM($L290:$U290)),2)</f>
      </c>
      <c r="BA290" s="33">
        <f>ROUND(SUM($B290:$K290)-SUM($AP289:$AY289),2)</f>
      </c>
      <c r="BB290" s="33">
        <f>SUM($AP290:$AY290)</f>
      </c>
      <c r="BC290" s="33">
        <f>ROUND(SUM($L290:$U290)+SUM($AF290:$AO290),2)</f>
      </c>
    </row>
    <row r="291" spans="1:55" x14ac:dyDescent="0.25">
      <c r="A291">
        <v>284</v>
      </c>
      <c r="B291" s="33">
        <f>IF(AP290&lt;=0,0,ROUND(AP290+ROUND(AP290*V$3/12,2),2))</f>
      </c>
      <c r="C291" s="33">
        <f>IF(AQ290&lt;=0,0,ROUND(AQ290+ROUND(AQ290*W$3/12,2),2))</f>
      </c>
      <c r="D291" s="33">
        <f>IF(AR290&lt;=0,0,ROUND(AR290+ROUND(AR290*X$3/12,2),2))</f>
      </c>
      <c r="E291" s="33">
        <f>IF(AS290&lt;=0,0,ROUND(AS290+ROUND(AS290*Y$3/12,2),2))</f>
      </c>
      <c r="F291" s="33">
        <f>IF(AT290&lt;=0,0,ROUND(AT290+ROUND(AT290*Z$3/12,2),2))</f>
      </c>
      <c r="G291" s="33">
        <f>IF(AU290&lt;=0,0,ROUND(AU290+ROUND(AU290*AA$3/12,2),2))</f>
      </c>
      <c r="H291" s="33">
        <f>IF(AV290&lt;=0,0,ROUND(AV290+ROUND(AV290*AB$3/12,2),2))</f>
      </c>
      <c r="I291" s="33">
        <f>IF(AW290&lt;=0,0,ROUND(AW290+ROUND(AW290*AC$3/12,2),2))</f>
      </c>
      <c r="J291" s="33">
        <f>IF(AX290&lt;=0,0,ROUND(AX290+ROUND(AX290*AD$3/12,2),2))</f>
      </c>
      <c r="K291" s="33">
        <f>IF(AY290&lt;=0,0,ROUND(AY290+ROUND(AY290*AE$3/12,2),2))</f>
      </c>
      <c r="L291" s="33">
        <f>ROUND(MIN(MAX(0,N('Your debts'!$E$6)),B291),2)</f>
      </c>
      <c r="M291" s="33">
        <f>ROUND(MIN(MAX(0,N('Your debts'!$E$7)),C291),2)</f>
      </c>
      <c r="N291" s="33">
        <f>ROUND(MIN(MAX(0,N('Your debts'!$E$8)),D291),2)</f>
      </c>
      <c r="O291" s="33">
        <f>ROUND(MIN(MAX(0,N('Your debts'!$E$9)),E291),2)</f>
      </c>
      <c r="P291" s="33">
        <f>ROUND(MIN(MAX(0,N('Your debts'!$E$10)),F291),2)</f>
      </c>
      <c r="Q291" s="33">
        <f>ROUND(MIN(MAX(0,N('Your debts'!$E$11)),G291),2)</f>
      </c>
      <c r="R291" s="33">
        <f>ROUND(MIN(MAX(0,N('Your debts'!$E$12)),H291),2)</f>
      </c>
      <c r="S291" s="33">
        <f>ROUND(MIN(MAX(0,N('Your debts'!$E$13)),I291),2)</f>
      </c>
      <c r="T291" s="33">
        <f>ROUND(MIN(MAX(0,N('Your debts'!$E$14)),J291),2)</f>
      </c>
      <c r="U291" s="33">
        <f>ROUND(MIN(MAX(0,N('Your debts'!$E$15)),K291),2)</f>
      </c>
      <c r="V291" s="33">
        <f>ROUND(B291-L291,2)</f>
      </c>
      <c r="W291" s="33">
        <f>ROUND(C291-M291,2)</f>
      </c>
      <c r="X291" s="33">
        <f>ROUND(D291-N291,2)</f>
      </c>
      <c r="Y291" s="33">
        <f>ROUND(E291-O291,2)</f>
      </c>
      <c r="Z291" s="33">
        <f>ROUND(F291-P291,2)</f>
      </c>
      <c r="AA291" s="33">
        <f>ROUND(G291-Q291,2)</f>
      </c>
      <c r="AB291" s="33">
        <f>ROUND(H291-R291,2)</f>
      </c>
      <c r="AC291" s="33">
        <f>ROUND(I291-S291,2)</f>
      </c>
      <c r="AD291" s="33">
        <f>ROUND(J291-T291,2)</f>
      </c>
      <c r="AE291" s="33">
        <f>ROUND(K291-U291,2)</f>
      </c>
      <c r="AF291" s="33">
        <f>IF(V291&lt;=0,0,MAX(0,MIN(V291,ROUND($AZ291-SUMPRODUCT($V291:$AE291*($V291:$AE291&gt;0)*(($V291:$AE291&lt;V291)+($V291:$AE291=V291)*($V$3:$AE$3&gt;V$3)+($V291:$AE291=V291)*($V$3:$AE$3=V$3)*($V$2:$AE$2&lt;V$2))),2))))</f>
      </c>
      <c r="AG291" s="33">
        <f>IF(W291&lt;=0,0,MAX(0,MIN(W291,ROUND($AZ291-SUMPRODUCT($V291:$AE291*($V291:$AE291&gt;0)*(($V291:$AE291&lt;W291)+($V291:$AE291=W291)*($V$3:$AE$3&gt;W$3)+($V291:$AE291=W291)*($V$3:$AE$3=W$3)*($V$2:$AE$2&lt;W$2))),2))))</f>
      </c>
      <c r="AH291" s="33">
        <f>IF(X291&lt;=0,0,MAX(0,MIN(X291,ROUND($AZ291-SUMPRODUCT($V291:$AE291*($V291:$AE291&gt;0)*(($V291:$AE291&lt;X291)+($V291:$AE291=X291)*($V$3:$AE$3&gt;X$3)+($V291:$AE291=X291)*($V$3:$AE$3=X$3)*($V$2:$AE$2&lt;X$2))),2))))</f>
      </c>
      <c r="AI291" s="33">
        <f>IF(Y291&lt;=0,0,MAX(0,MIN(Y291,ROUND($AZ291-SUMPRODUCT($V291:$AE291*($V291:$AE291&gt;0)*(($V291:$AE291&lt;Y291)+($V291:$AE291=Y291)*($V$3:$AE$3&gt;Y$3)+($V291:$AE291=Y291)*($V$3:$AE$3=Y$3)*($V$2:$AE$2&lt;Y$2))),2))))</f>
      </c>
      <c r="AJ291" s="33">
        <f>IF(Z291&lt;=0,0,MAX(0,MIN(Z291,ROUND($AZ291-SUMPRODUCT($V291:$AE291*($V291:$AE291&gt;0)*(($V291:$AE291&lt;Z291)+($V291:$AE291=Z291)*($V$3:$AE$3&gt;Z$3)+($V291:$AE291=Z291)*($V$3:$AE$3=Z$3)*($V$2:$AE$2&lt;Z$2))),2))))</f>
      </c>
      <c r="AK291" s="33">
        <f>IF(AA291&lt;=0,0,MAX(0,MIN(AA291,ROUND($AZ291-SUMPRODUCT($V291:$AE291*($V291:$AE291&gt;0)*(($V291:$AE291&lt;AA291)+($V291:$AE291=AA291)*($V$3:$AE$3&gt;AA$3)+($V291:$AE291=AA291)*($V$3:$AE$3=AA$3)*($V$2:$AE$2&lt;AA$2))),2))))</f>
      </c>
      <c r="AL291" s="33">
        <f>IF(AB291&lt;=0,0,MAX(0,MIN(AB291,ROUND($AZ291-SUMPRODUCT($V291:$AE291*($V291:$AE291&gt;0)*(($V291:$AE291&lt;AB291)+($V291:$AE291=AB291)*($V$3:$AE$3&gt;AB$3)+($V291:$AE291=AB291)*($V$3:$AE$3=AB$3)*($V$2:$AE$2&lt;AB$2))),2))))</f>
      </c>
      <c r="AM291" s="33">
        <f>IF(AC291&lt;=0,0,MAX(0,MIN(AC291,ROUND($AZ291-SUMPRODUCT($V291:$AE291*($V291:$AE291&gt;0)*(($V291:$AE291&lt;AC291)+($V291:$AE291=AC291)*($V$3:$AE$3&gt;AC$3)+($V291:$AE291=AC291)*($V$3:$AE$3=AC$3)*($V$2:$AE$2&lt;AC$2))),2))))</f>
      </c>
      <c r="AN291" s="33">
        <f>IF(AD291&lt;=0,0,MAX(0,MIN(AD291,ROUND($AZ291-SUMPRODUCT($V291:$AE291*($V291:$AE291&gt;0)*(($V291:$AE291&lt;AD291)+($V291:$AE291=AD291)*($V$3:$AE$3&gt;AD$3)+($V291:$AE291=AD291)*($V$3:$AE$3=AD$3)*($V$2:$AE$2&lt;AD$2))),2))))</f>
      </c>
      <c r="AO291" s="33">
        <f>IF(AE291&lt;=0,0,MAX(0,MIN(AE291,ROUND($AZ291-SUMPRODUCT($V291:$AE291*($V291:$AE291&gt;0)*(($V291:$AE291&lt;AE291)+($V291:$AE291=AE291)*($V$3:$AE$3&gt;AE$3)+($V291:$AE291=AE291)*($V$3:$AE$3=AE$3)*($V$2:$AE$2&lt;AE$2))),2))))</f>
      </c>
      <c r="AP291" s="33">
        <f>ROUND(V291-AF291,2)</f>
      </c>
      <c r="AQ291" s="33">
        <f>ROUND(W291-AG291,2)</f>
      </c>
      <c r="AR291" s="33">
        <f>ROUND(X291-AH291,2)</f>
      </c>
      <c r="AS291" s="33">
        <f>ROUND(Y291-AI291,2)</f>
      </c>
      <c r="AT291" s="33">
        <f>ROUND(Z291-AJ291,2)</f>
      </c>
      <c r="AU291" s="33">
        <f>ROUND(AA291-AK291,2)</f>
      </c>
      <c r="AV291" s="33">
        <f>ROUND(AB291-AL291,2)</f>
      </c>
      <c r="AW291" s="33">
        <f>ROUND(AC291-AM291,2)</f>
      </c>
      <c r="AX291" s="33">
        <f>ROUND(AD291-AN291,2)</f>
      </c>
      <c r="AY291" s="33">
        <f>ROUND(AE291-AO291,2)</f>
      </c>
      <c r="AZ291" s="33">
        <f>ROUND(MAX(0,'Your debts'!$D$22-SUM($L291:$U291)),2)</f>
      </c>
      <c r="BA291" s="33">
        <f>ROUND(SUM($B291:$K291)-SUM($AP290:$AY290),2)</f>
      </c>
      <c r="BB291" s="33">
        <f>SUM($AP291:$AY291)</f>
      </c>
      <c r="BC291" s="33">
        <f>ROUND(SUM($L291:$U291)+SUM($AF291:$AO291),2)</f>
      </c>
    </row>
    <row r="292" spans="1:55" x14ac:dyDescent="0.25">
      <c r="A292">
        <v>285</v>
      </c>
      <c r="B292" s="33">
        <f>IF(AP291&lt;=0,0,ROUND(AP291+ROUND(AP291*V$3/12,2),2))</f>
      </c>
      <c r="C292" s="33">
        <f>IF(AQ291&lt;=0,0,ROUND(AQ291+ROUND(AQ291*W$3/12,2),2))</f>
      </c>
      <c r="D292" s="33">
        <f>IF(AR291&lt;=0,0,ROUND(AR291+ROUND(AR291*X$3/12,2),2))</f>
      </c>
      <c r="E292" s="33">
        <f>IF(AS291&lt;=0,0,ROUND(AS291+ROUND(AS291*Y$3/12,2),2))</f>
      </c>
      <c r="F292" s="33">
        <f>IF(AT291&lt;=0,0,ROUND(AT291+ROUND(AT291*Z$3/12,2),2))</f>
      </c>
      <c r="G292" s="33">
        <f>IF(AU291&lt;=0,0,ROUND(AU291+ROUND(AU291*AA$3/12,2),2))</f>
      </c>
      <c r="H292" s="33">
        <f>IF(AV291&lt;=0,0,ROUND(AV291+ROUND(AV291*AB$3/12,2),2))</f>
      </c>
      <c r="I292" s="33">
        <f>IF(AW291&lt;=0,0,ROUND(AW291+ROUND(AW291*AC$3/12,2),2))</f>
      </c>
      <c r="J292" s="33">
        <f>IF(AX291&lt;=0,0,ROUND(AX291+ROUND(AX291*AD$3/12,2),2))</f>
      </c>
      <c r="K292" s="33">
        <f>IF(AY291&lt;=0,0,ROUND(AY291+ROUND(AY291*AE$3/12,2),2))</f>
      </c>
      <c r="L292" s="33">
        <f>ROUND(MIN(MAX(0,N('Your debts'!$E$6)),B292),2)</f>
      </c>
      <c r="M292" s="33">
        <f>ROUND(MIN(MAX(0,N('Your debts'!$E$7)),C292),2)</f>
      </c>
      <c r="N292" s="33">
        <f>ROUND(MIN(MAX(0,N('Your debts'!$E$8)),D292),2)</f>
      </c>
      <c r="O292" s="33">
        <f>ROUND(MIN(MAX(0,N('Your debts'!$E$9)),E292),2)</f>
      </c>
      <c r="P292" s="33">
        <f>ROUND(MIN(MAX(0,N('Your debts'!$E$10)),F292),2)</f>
      </c>
      <c r="Q292" s="33">
        <f>ROUND(MIN(MAX(0,N('Your debts'!$E$11)),G292),2)</f>
      </c>
      <c r="R292" s="33">
        <f>ROUND(MIN(MAX(0,N('Your debts'!$E$12)),H292),2)</f>
      </c>
      <c r="S292" s="33">
        <f>ROUND(MIN(MAX(0,N('Your debts'!$E$13)),I292),2)</f>
      </c>
      <c r="T292" s="33">
        <f>ROUND(MIN(MAX(0,N('Your debts'!$E$14)),J292),2)</f>
      </c>
      <c r="U292" s="33">
        <f>ROUND(MIN(MAX(0,N('Your debts'!$E$15)),K292),2)</f>
      </c>
      <c r="V292" s="33">
        <f>ROUND(B292-L292,2)</f>
      </c>
      <c r="W292" s="33">
        <f>ROUND(C292-M292,2)</f>
      </c>
      <c r="X292" s="33">
        <f>ROUND(D292-N292,2)</f>
      </c>
      <c r="Y292" s="33">
        <f>ROUND(E292-O292,2)</f>
      </c>
      <c r="Z292" s="33">
        <f>ROUND(F292-P292,2)</f>
      </c>
      <c r="AA292" s="33">
        <f>ROUND(G292-Q292,2)</f>
      </c>
      <c r="AB292" s="33">
        <f>ROUND(H292-R292,2)</f>
      </c>
      <c r="AC292" s="33">
        <f>ROUND(I292-S292,2)</f>
      </c>
      <c r="AD292" s="33">
        <f>ROUND(J292-T292,2)</f>
      </c>
      <c r="AE292" s="33">
        <f>ROUND(K292-U292,2)</f>
      </c>
      <c r="AF292" s="33">
        <f>IF(V292&lt;=0,0,MAX(0,MIN(V292,ROUND($AZ292-SUMPRODUCT($V292:$AE292*($V292:$AE292&gt;0)*(($V292:$AE292&lt;V292)+($V292:$AE292=V292)*($V$3:$AE$3&gt;V$3)+($V292:$AE292=V292)*($V$3:$AE$3=V$3)*($V$2:$AE$2&lt;V$2))),2))))</f>
      </c>
      <c r="AG292" s="33">
        <f>IF(W292&lt;=0,0,MAX(0,MIN(W292,ROUND($AZ292-SUMPRODUCT($V292:$AE292*($V292:$AE292&gt;0)*(($V292:$AE292&lt;W292)+($V292:$AE292=W292)*($V$3:$AE$3&gt;W$3)+($V292:$AE292=W292)*($V$3:$AE$3=W$3)*($V$2:$AE$2&lt;W$2))),2))))</f>
      </c>
      <c r="AH292" s="33">
        <f>IF(X292&lt;=0,0,MAX(0,MIN(X292,ROUND($AZ292-SUMPRODUCT($V292:$AE292*($V292:$AE292&gt;0)*(($V292:$AE292&lt;X292)+($V292:$AE292=X292)*($V$3:$AE$3&gt;X$3)+($V292:$AE292=X292)*($V$3:$AE$3=X$3)*($V$2:$AE$2&lt;X$2))),2))))</f>
      </c>
      <c r="AI292" s="33">
        <f>IF(Y292&lt;=0,0,MAX(0,MIN(Y292,ROUND($AZ292-SUMPRODUCT($V292:$AE292*($V292:$AE292&gt;0)*(($V292:$AE292&lt;Y292)+($V292:$AE292=Y292)*($V$3:$AE$3&gt;Y$3)+($V292:$AE292=Y292)*($V$3:$AE$3=Y$3)*($V$2:$AE$2&lt;Y$2))),2))))</f>
      </c>
      <c r="AJ292" s="33">
        <f>IF(Z292&lt;=0,0,MAX(0,MIN(Z292,ROUND($AZ292-SUMPRODUCT($V292:$AE292*($V292:$AE292&gt;0)*(($V292:$AE292&lt;Z292)+($V292:$AE292=Z292)*($V$3:$AE$3&gt;Z$3)+($V292:$AE292=Z292)*($V$3:$AE$3=Z$3)*($V$2:$AE$2&lt;Z$2))),2))))</f>
      </c>
      <c r="AK292" s="33">
        <f>IF(AA292&lt;=0,0,MAX(0,MIN(AA292,ROUND($AZ292-SUMPRODUCT($V292:$AE292*($V292:$AE292&gt;0)*(($V292:$AE292&lt;AA292)+($V292:$AE292=AA292)*($V$3:$AE$3&gt;AA$3)+($V292:$AE292=AA292)*($V$3:$AE$3=AA$3)*($V$2:$AE$2&lt;AA$2))),2))))</f>
      </c>
      <c r="AL292" s="33">
        <f>IF(AB292&lt;=0,0,MAX(0,MIN(AB292,ROUND($AZ292-SUMPRODUCT($V292:$AE292*($V292:$AE292&gt;0)*(($V292:$AE292&lt;AB292)+($V292:$AE292=AB292)*($V$3:$AE$3&gt;AB$3)+($V292:$AE292=AB292)*($V$3:$AE$3=AB$3)*($V$2:$AE$2&lt;AB$2))),2))))</f>
      </c>
      <c r="AM292" s="33">
        <f>IF(AC292&lt;=0,0,MAX(0,MIN(AC292,ROUND($AZ292-SUMPRODUCT($V292:$AE292*($V292:$AE292&gt;0)*(($V292:$AE292&lt;AC292)+($V292:$AE292=AC292)*($V$3:$AE$3&gt;AC$3)+($V292:$AE292=AC292)*($V$3:$AE$3=AC$3)*($V$2:$AE$2&lt;AC$2))),2))))</f>
      </c>
      <c r="AN292" s="33">
        <f>IF(AD292&lt;=0,0,MAX(0,MIN(AD292,ROUND($AZ292-SUMPRODUCT($V292:$AE292*($V292:$AE292&gt;0)*(($V292:$AE292&lt;AD292)+($V292:$AE292=AD292)*($V$3:$AE$3&gt;AD$3)+($V292:$AE292=AD292)*($V$3:$AE$3=AD$3)*($V$2:$AE$2&lt;AD$2))),2))))</f>
      </c>
      <c r="AO292" s="33">
        <f>IF(AE292&lt;=0,0,MAX(0,MIN(AE292,ROUND($AZ292-SUMPRODUCT($V292:$AE292*($V292:$AE292&gt;0)*(($V292:$AE292&lt;AE292)+($V292:$AE292=AE292)*($V$3:$AE$3&gt;AE$3)+($V292:$AE292=AE292)*($V$3:$AE$3=AE$3)*($V$2:$AE$2&lt;AE$2))),2))))</f>
      </c>
      <c r="AP292" s="33">
        <f>ROUND(V292-AF292,2)</f>
      </c>
      <c r="AQ292" s="33">
        <f>ROUND(W292-AG292,2)</f>
      </c>
      <c r="AR292" s="33">
        <f>ROUND(X292-AH292,2)</f>
      </c>
      <c r="AS292" s="33">
        <f>ROUND(Y292-AI292,2)</f>
      </c>
      <c r="AT292" s="33">
        <f>ROUND(Z292-AJ292,2)</f>
      </c>
      <c r="AU292" s="33">
        <f>ROUND(AA292-AK292,2)</f>
      </c>
      <c r="AV292" s="33">
        <f>ROUND(AB292-AL292,2)</f>
      </c>
      <c r="AW292" s="33">
        <f>ROUND(AC292-AM292,2)</f>
      </c>
      <c r="AX292" s="33">
        <f>ROUND(AD292-AN292,2)</f>
      </c>
      <c r="AY292" s="33">
        <f>ROUND(AE292-AO292,2)</f>
      </c>
      <c r="AZ292" s="33">
        <f>ROUND(MAX(0,'Your debts'!$D$22-SUM($L292:$U292)),2)</f>
      </c>
      <c r="BA292" s="33">
        <f>ROUND(SUM($B292:$K292)-SUM($AP291:$AY291),2)</f>
      </c>
      <c r="BB292" s="33">
        <f>SUM($AP292:$AY292)</f>
      </c>
      <c r="BC292" s="33">
        <f>ROUND(SUM($L292:$U292)+SUM($AF292:$AO292),2)</f>
      </c>
    </row>
    <row r="293" spans="1:55" x14ac:dyDescent="0.25">
      <c r="A293">
        <v>286</v>
      </c>
      <c r="B293" s="33">
        <f>IF(AP292&lt;=0,0,ROUND(AP292+ROUND(AP292*V$3/12,2),2))</f>
      </c>
      <c r="C293" s="33">
        <f>IF(AQ292&lt;=0,0,ROUND(AQ292+ROUND(AQ292*W$3/12,2),2))</f>
      </c>
      <c r="D293" s="33">
        <f>IF(AR292&lt;=0,0,ROUND(AR292+ROUND(AR292*X$3/12,2),2))</f>
      </c>
      <c r="E293" s="33">
        <f>IF(AS292&lt;=0,0,ROUND(AS292+ROUND(AS292*Y$3/12,2),2))</f>
      </c>
      <c r="F293" s="33">
        <f>IF(AT292&lt;=0,0,ROUND(AT292+ROUND(AT292*Z$3/12,2),2))</f>
      </c>
      <c r="G293" s="33">
        <f>IF(AU292&lt;=0,0,ROUND(AU292+ROUND(AU292*AA$3/12,2),2))</f>
      </c>
      <c r="H293" s="33">
        <f>IF(AV292&lt;=0,0,ROUND(AV292+ROUND(AV292*AB$3/12,2),2))</f>
      </c>
      <c r="I293" s="33">
        <f>IF(AW292&lt;=0,0,ROUND(AW292+ROUND(AW292*AC$3/12,2),2))</f>
      </c>
      <c r="J293" s="33">
        <f>IF(AX292&lt;=0,0,ROUND(AX292+ROUND(AX292*AD$3/12,2),2))</f>
      </c>
      <c r="K293" s="33">
        <f>IF(AY292&lt;=0,0,ROUND(AY292+ROUND(AY292*AE$3/12,2),2))</f>
      </c>
      <c r="L293" s="33">
        <f>ROUND(MIN(MAX(0,N('Your debts'!$E$6)),B293),2)</f>
      </c>
      <c r="M293" s="33">
        <f>ROUND(MIN(MAX(0,N('Your debts'!$E$7)),C293),2)</f>
      </c>
      <c r="N293" s="33">
        <f>ROUND(MIN(MAX(0,N('Your debts'!$E$8)),D293),2)</f>
      </c>
      <c r="O293" s="33">
        <f>ROUND(MIN(MAX(0,N('Your debts'!$E$9)),E293),2)</f>
      </c>
      <c r="P293" s="33">
        <f>ROUND(MIN(MAX(0,N('Your debts'!$E$10)),F293),2)</f>
      </c>
      <c r="Q293" s="33">
        <f>ROUND(MIN(MAX(0,N('Your debts'!$E$11)),G293),2)</f>
      </c>
      <c r="R293" s="33">
        <f>ROUND(MIN(MAX(0,N('Your debts'!$E$12)),H293),2)</f>
      </c>
      <c r="S293" s="33">
        <f>ROUND(MIN(MAX(0,N('Your debts'!$E$13)),I293),2)</f>
      </c>
      <c r="T293" s="33">
        <f>ROUND(MIN(MAX(0,N('Your debts'!$E$14)),J293),2)</f>
      </c>
      <c r="U293" s="33">
        <f>ROUND(MIN(MAX(0,N('Your debts'!$E$15)),K293),2)</f>
      </c>
      <c r="V293" s="33">
        <f>ROUND(B293-L293,2)</f>
      </c>
      <c r="W293" s="33">
        <f>ROUND(C293-M293,2)</f>
      </c>
      <c r="X293" s="33">
        <f>ROUND(D293-N293,2)</f>
      </c>
      <c r="Y293" s="33">
        <f>ROUND(E293-O293,2)</f>
      </c>
      <c r="Z293" s="33">
        <f>ROUND(F293-P293,2)</f>
      </c>
      <c r="AA293" s="33">
        <f>ROUND(G293-Q293,2)</f>
      </c>
      <c r="AB293" s="33">
        <f>ROUND(H293-R293,2)</f>
      </c>
      <c r="AC293" s="33">
        <f>ROUND(I293-S293,2)</f>
      </c>
      <c r="AD293" s="33">
        <f>ROUND(J293-T293,2)</f>
      </c>
      <c r="AE293" s="33">
        <f>ROUND(K293-U293,2)</f>
      </c>
      <c r="AF293" s="33">
        <f>IF(V293&lt;=0,0,MAX(0,MIN(V293,ROUND($AZ293-SUMPRODUCT($V293:$AE293*($V293:$AE293&gt;0)*(($V293:$AE293&lt;V293)+($V293:$AE293=V293)*($V$3:$AE$3&gt;V$3)+($V293:$AE293=V293)*($V$3:$AE$3=V$3)*($V$2:$AE$2&lt;V$2))),2))))</f>
      </c>
      <c r="AG293" s="33">
        <f>IF(W293&lt;=0,0,MAX(0,MIN(W293,ROUND($AZ293-SUMPRODUCT($V293:$AE293*($V293:$AE293&gt;0)*(($V293:$AE293&lt;W293)+($V293:$AE293=W293)*($V$3:$AE$3&gt;W$3)+($V293:$AE293=W293)*($V$3:$AE$3=W$3)*($V$2:$AE$2&lt;W$2))),2))))</f>
      </c>
      <c r="AH293" s="33">
        <f>IF(X293&lt;=0,0,MAX(0,MIN(X293,ROUND($AZ293-SUMPRODUCT($V293:$AE293*($V293:$AE293&gt;0)*(($V293:$AE293&lt;X293)+($V293:$AE293=X293)*($V$3:$AE$3&gt;X$3)+($V293:$AE293=X293)*($V$3:$AE$3=X$3)*($V$2:$AE$2&lt;X$2))),2))))</f>
      </c>
      <c r="AI293" s="33">
        <f>IF(Y293&lt;=0,0,MAX(0,MIN(Y293,ROUND($AZ293-SUMPRODUCT($V293:$AE293*($V293:$AE293&gt;0)*(($V293:$AE293&lt;Y293)+($V293:$AE293=Y293)*($V$3:$AE$3&gt;Y$3)+($V293:$AE293=Y293)*($V$3:$AE$3=Y$3)*($V$2:$AE$2&lt;Y$2))),2))))</f>
      </c>
      <c r="AJ293" s="33">
        <f>IF(Z293&lt;=0,0,MAX(0,MIN(Z293,ROUND($AZ293-SUMPRODUCT($V293:$AE293*($V293:$AE293&gt;0)*(($V293:$AE293&lt;Z293)+($V293:$AE293=Z293)*($V$3:$AE$3&gt;Z$3)+($V293:$AE293=Z293)*($V$3:$AE$3=Z$3)*($V$2:$AE$2&lt;Z$2))),2))))</f>
      </c>
      <c r="AK293" s="33">
        <f>IF(AA293&lt;=0,0,MAX(0,MIN(AA293,ROUND($AZ293-SUMPRODUCT($V293:$AE293*($V293:$AE293&gt;0)*(($V293:$AE293&lt;AA293)+($V293:$AE293=AA293)*($V$3:$AE$3&gt;AA$3)+($V293:$AE293=AA293)*($V$3:$AE$3=AA$3)*($V$2:$AE$2&lt;AA$2))),2))))</f>
      </c>
      <c r="AL293" s="33">
        <f>IF(AB293&lt;=0,0,MAX(0,MIN(AB293,ROUND($AZ293-SUMPRODUCT($V293:$AE293*($V293:$AE293&gt;0)*(($V293:$AE293&lt;AB293)+($V293:$AE293=AB293)*($V$3:$AE$3&gt;AB$3)+($V293:$AE293=AB293)*($V$3:$AE$3=AB$3)*($V$2:$AE$2&lt;AB$2))),2))))</f>
      </c>
      <c r="AM293" s="33">
        <f>IF(AC293&lt;=0,0,MAX(0,MIN(AC293,ROUND($AZ293-SUMPRODUCT($V293:$AE293*($V293:$AE293&gt;0)*(($V293:$AE293&lt;AC293)+($V293:$AE293=AC293)*($V$3:$AE$3&gt;AC$3)+($V293:$AE293=AC293)*($V$3:$AE$3=AC$3)*($V$2:$AE$2&lt;AC$2))),2))))</f>
      </c>
      <c r="AN293" s="33">
        <f>IF(AD293&lt;=0,0,MAX(0,MIN(AD293,ROUND($AZ293-SUMPRODUCT($V293:$AE293*($V293:$AE293&gt;0)*(($V293:$AE293&lt;AD293)+($V293:$AE293=AD293)*($V$3:$AE$3&gt;AD$3)+($V293:$AE293=AD293)*($V$3:$AE$3=AD$3)*($V$2:$AE$2&lt;AD$2))),2))))</f>
      </c>
      <c r="AO293" s="33">
        <f>IF(AE293&lt;=0,0,MAX(0,MIN(AE293,ROUND($AZ293-SUMPRODUCT($V293:$AE293*($V293:$AE293&gt;0)*(($V293:$AE293&lt;AE293)+($V293:$AE293=AE293)*($V$3:$AE$3&gt;AE$3)+($V293:$AE293=AE293)*($V$3:$AE$3=AE$3)*($V$2:$AE$2&lt;AE$2))),2))))</f>
      </c>
      <c r="AP293" s="33">
        <f>ROUND(V293-AF293,2)</f>
      </c>
      <c r="AQ293" s="33">
        <f>ROUND(W293-AG293,2)</f>
      </c>
      <c r="AR293" s="33">
        <f>ROUND(X293-AH293,2)</f>
      </c>
      <c r="AS293" s="33">
        <f>ROUND(Y293-AI293,2)</f>
      </c>
      <c r="AT293" s="33">
        <f>ROUND(Z293-AJ293,2)</f>
      </c>
      <c r="AU293" s="33">
        <f>ROUND(AA293-AK293,2)</f>
      </c>
      <c r="AV293" s="33">
        <f>ROUND(AB293-AL293,2)</f>
      </c>
      <c r="AW293" s="33">
        <f>ROUND(AC293-AM293,2)</f>
      </c>
      <c r="AX293" s="33">
        <f>ROUND(AD293-AN293,2)</f>
      </c>
      <c r="AY293" s="33">
        <f>ROUND(AE293-AO293,2)</f>
      </c>
      <c r="AZ293" s="33">
        <f>ROUND(MAX(0,'Your debts'!$D$22-SUM($L293:$U293)),2)</f>
      </c>
      <c r="BA293" s="33">
        <f>ROUND(SUM($B293:$K293)-SUM($AP292:$AY292),2)</f>
      </c>
      <c r="BB293" s="33">
        <f>SUM($AP293:$AY293)</f>
      </c>
      <c r="BC293" s="33">
        <f>ROUND(SUM($L293:$U293)+SUM($AF293:$AO293),2)</f>
      </c>
    </row>
    <row r="294" spans="1:55" x14ac:dyDescent="0.25">
      <c r="A294">
        <v>287</v>
      </c>
      <c r="B294" s="33">
        <f>IF(AP293&lt;=0,0,ROUND(AP293+ROUND(AP293*V$3/12,2),2))</f>
      </c>
      <c r="C294" s="33">
        <f>IF(AQ293&lt;=0,0,ROUND(AQ293+ROUND(AQ293*W$3/12,2),2))</f>
      </c>
      <c r="D294" s="33">
        <f>IF(AR293&lt;=0,0,ROUND(AR293+ROUND(AR293*X$3/12,2),2))</f>
      </c>
      <c r="E294" s="33">
        <f>IF(AS293&lt;=0,0,ROUND(AS293+ROUND(AS293*Y$3/12,2),2))</f>
      </c>
      <c r="F294" s="33">
        <f>IF(AT293&lt;=0,0,ROUND(AT293+ROUND(AT293*Z$3/12,2),2))</f>
      </c>
      <c r="G294" s="33">
        <f>IF(AU293&lt;=0,0,ROUND(AU293+ROUND(AU293*AA$3/12,2),2))</f>
      </c>
      <c r="H294" s="33">
        <f>IF(AV293&lt;=0,0,ROUND(AV293+ROUND(AV293*AB$3/12,2),2))</f>
      </c>
      <c r="I294" s="33">
        <f>IF(AW293&lt;=0,0,ROUND(AW293+ROUND(AW293*AC$3/12,2),2))</f>
      </c>
      <c r="J294" s="33">
        <f>IF(AX293&lt;=0,0,ROUND(AX293+ROUND(AX293*AD$3/12,2),2))</f>
      </c>
      <c r="K294" s="33">
        <f>IF(AY293&lt;=0,0,ROUND(AY293+ROUND(AY293*AE$3/12,2),2))</f>
      </c>
      <c r="L294" s="33">
        <f>ROUND(MIN(MAX(0,N('Your debts'!$E$6)),B294),2)</f>
      </c>
      <c r="M294" s="33">
        <f>ROUND(MIN(MAX(0,N('Your debts'!$E$7)),C294),2)</f>
      </c>
      <c r="N294" s="33">
        <f>ROUND(MIN(MAX(0,N('Your debts'!$E$8)),D294),2)</f>
      </c>
      <c r="O294" s="33">
        <f>ROUND(MIN(MAX(0,N('Your debts'!$E$9)),E294),2)</f>
      </c>
      <c r="P294" s="33">
        <f>ROUND(MIN(MAX(0,N('Your debts'!$E$10)),F294),2)</f>
      </c>
      <c r="Q294" s="33">
        <f>ROUND(MIN(MAX(0,N('Your debts'!$E$11)),G294),2)</f>
      </c>
      <c r="R294" s="33">
        <f>ROUND(MIN(MAX(0,N('Your debts'!$E$12)),H294),2)</f>
      </c>
      <c r="S294" s="33">
        <f>ROUND(MIN(MAX(0,N('Your debts'!$E$13)),I294),2)</f>
      </c>
      <c r="T294" s="33">
        <f>ROUND(MIN(MAX(0,N('Your debts'!$E$14)),J294),2)</f>
      </c>
      <c r="U294" s="33">
        <f>ROUND(MIN(MAX(0,N('Your debts'!$E$15)),K294),2)</f>
      </c>
      <c r="V294" s="33">
        <f>ROUND(B294-L294,2)</f>
      </c>
      <c r="W294" s="33">
        <f>ROUND(C294-M294,2)</f>
      </c>
      <c r="X294" s="33">
        <f>ROUND(D294-N294,2)</f>
      </c>
      <c r="Y294" s="33">
        <f>ROUND(E294-O294,2)</f>
      </c>
      <c r="Z294" s="33">
        <f>ROUND(F294-P294,2)</f>
      </c>
      <c r="AA294" s="33">
        <f>ROUND(G294-Q294,2)</f>
      </c>
      <c r="AB294" s="33">
        <f>ROUND(H294-R294,2)</f>
      </c>
      <c r="AC294" s="33">
        <f>ROUND(I294-S294,2)</f>
      </c>
      <c r="AD294" s="33">
        <f>ROUND(J294-T294,2)</f>
      </c>
      <c r="AE294" s="33">
        <f>ROUND(K294-U294,2)</f>
      </c>
      <c r="AF294" s="33">
        <f>IF(V294&lt;=0,0,MAX(0,MIN(V294,ROUND($AZ294-SUMPRODUCT($V294:$AE294*($V294:$AE294&gt;0)*(($V294:$AE294&lt;V294)+($V294:$AE294=V294)*($V$3:$AE$3&gt;V$3)+($V294:$AE294=V294)*($V$3:$AE$3=V$3)*($V$2:$AE$2&lt;V$2))),2))))</f>
      </c>
      <c r="AG294" s="33">
        <f>IF(W294&lt;=0,0,MAX(0,MIN(W294,ROUND($AZ294-SUMPRODUCT($V294:$AE294*($V294:$AE294&gt;0)*(($V294:$AE294&lt;W294)+($V294:$AE294=W294)*($V$3:$AE$3&gt;W$3)+($V294:$AE294=W294)*($V$3:$AE$3=W$3)*($V$2:$AE$2&lt;W$2))),2))))</f>
      </c>
      <c r="AH294" s="33">
        <f>IF(X294&lt;=0,0,MAX(0,MIN(X294,ROUND($AZ294-SUMPRODUCT($V294:$AE294*($V294:$AE294&gt;0)*(($V294:$AE294&lt;X294)+($V294:$AE294=X294)*($V$3:$AE$3&gt;X$3)+($V294:$AE294=X294)*($V$3:$AE$3=X$3)*($V$2:$AE$2&lt;X$2))),2))))</f>
      </c>
      <c r="AI294" s="33">
        <f>IF(Y294&lt;=0,0,MAX(0,MIN(Y294,ROUND($AZ294-SUMPRODUCT($V294:$AE294*($V294:$AE294&gt;0)*(($V294:$AE294&lt;Y294)+($V294:$AE294=Y294)*($V$3:$AE$3&gt;Y$3)+($V294:$AE294=Y294)*($V$3:$AE$3=Y$3)*($V$2:$AE$2&lt;Y$2))),2))))</f>
      </c>
      <c r="AJ294" s="33">
        <f>IF(Z294&lt;=0,0,MAX(0,MIN(Z294,ROUND($AZ294-SUMPRODUCT($V294:$AE294*($V294:$AE294&gt;0)*(($V294:$AE294&lt;Z294)+($V294:$AE294=Z294)*($V$3:$AE$3&gt;Z$3)+($V294:$AE294=Z294)*($V$3:$AE$3=Z$3)*($V$2:$AE$2&lt;Z$2))),2))))</f>
      </c>
      <c r="AK294" s="33">
        <f>IF(AA294&lt;=0,0,MAX(0,MIN(AA294,ROUND($AZ294-SUMPRODUCT($V294:$AE294*($V294:$AE294&gt;0)*(($V294:$AE294&lt;AA294)+($V294:$AE294=AA294)*($V$3:$AE$3&gt;AA$3)+($V294:$AE294=AA294)*($V$3:$AE$3=AA$3)*($V$2:$AE$2&lt;AA$2))),2))))</f>
      </c>
      <c r="AL294" s="33">
        <f>IF(AB294&lt;=0,0,MAX(0,MIN(AB294,ROUND($AZ294-SUMPRODUCT($V294:$AE294*($V294:$AE294&gt;0)*(($V294:$AE294&lt;AB294)+($V294:$AE294=AB294)*($V$3:$AE$3&gt;AB$3)+($V294:$AE294=AB294)*($V$3:$AE$3=AB$3)*($V$2:$AE$2&lt;AB$2))),2))))</f>
      </c>
      <c r="AM294" s="33">
        <f>IF(AC294&lt;=0,0,MAX(0,MIN(AC294,ROUND($AZ294-SUMPRODUCT($V294:$AE294*($V294:$AE294&gt;0)*(($V294:$AE294&lt;AC294)+($V294:$AE294=AC294)*($V$3:$AE$3&gt;AC$3)+($V294:$AE294=AC294)*($V$3:$AE$3=AC$3)*($V$2:$AE$2&lt;AC$2))),2))))</f>
      </c>
      <c r="AN294" s="33">
        <f>IF(AD294&lt;=0,0,MAX(0,MIN(AD294,ROUND($AZ294-SUMPRODUCT($V294:$AE294*($V294:$AE294&gt;0)*(($V294:$AE294&lt;AD294)+($V294:$AE294=AD294)*($V$3:$AE$3&gt;AD$3)+($V294:$AE294=AD294)*($V$3:$AE$3=AD$3)*($V$2:$AE$2&lt;AD$2))),2))))</f>
      </c>
      <c r="AO294" s="33">
        <f>IF(AE294&lt;=0,0,MAX(0,MIN(AE294,ROUND($AZ294-SUMPRODUCT($V294:$AE294*($V294:$AE294&gt;0)*(($V294:$AE294&lt;AE294)+($V294:$AE294=AE294)*($V$3:$AE$3&gt;AE$3)+($V294:$AE294=AE294)*($V$3:$AE$3=AE$3)*($V$2:$AE$2&lt;AE$2))),2))))</f>
      </c>
      <c r="AP294" s="33">
        <f>ROUND(V294-AF294,2)</f>
      </c>
      <c r="AQ294" s="33">
        <f>ROUND(W294-AG294,2)</f>
      </c>
      <c r="AR294" s="33">
        <f>ROUND(X294-AH294,2)</f>
      </c>
      <c r="AS294" s="33">
        <f>ROUND(Y294-AI294,2)</f>
      </c>
      <c r="AT294" s="33">
        <f>ROUND(Z294-AJ294,2)</f>
      </c>
      <c r="AU294" s="33">
        <f>ROUND(AA294-AK294,2)</f>
      </c>
      <c r="AV294" s="33">
        <f>ROUND(AB294-AL294,2)</f>
      </c>
      <c r="AW294" s="33">
        <f>ROUND(AC294-AM294,2)</f>
      </c>
      <c r="AX294" s="33">
        <f>ROUND(AD294-AN294,2)</f>
      </c>
      <c r="AY294" s="33">
        <f>ROUND(AE294-AO294,2)</f>
      </c>
      <c r="AZ294" s="33">
        <f>ROUND(MAX(0,'Your debts'!$D$22-SUM($L294:$U294)),2)</f>
      </c>
      <c r="BA294" s="33">
        <f>ROUND(SUM($B294:$K294)-SUM($AP293:$AY293),2)</f>
      </c>
      <c r="BB294" s="33">
        <f>SUM($AP294:$AY294)</f>
      </c>
      <c r="BC294" s="33">
        <f>ROUND(SUM($L294:$U294)+SUM($AF294:$AO294),2)</f>
      </c>
    </row>
    <row r="295" spans="1:55" x14ac:dyDescent="0.25">
      <c r="A295">
        <v>288</v>
      </c>
      <c r="B295" s="33">
        <f>IF(AP294&lt;=0,0,ROUND(AP294+ROUND(AP294*V$3/12,2),2))</f>
      </c>
      <c r="C295" s="33">
        <f>IF(AQ294&lt;=0,0,ROUND(AQ294+ROUND(AQ294*W$3/12,2),2))</f>
      </c>
      <c r="D295" s="33">
        <f>IF(AR294&lt;=0,0,ROUND(AR294+ROUND(AR294*X$3/12,2),2))</f>
      </c>
      <c r="E295" s="33">
        <f>IF(AS294&lt;=0,0,ROUND(AS294+ROUND(AS294*Y$3/12,2),2))</f>
      </c>
      <c r="F295" s="33">
        <f>IF(AT294&lt;=0,0,ROUND(AT294+ROUND(AT294*Z$3/12,2),2))</f>
      </c>
      <c r="G295" s="33">
        <f>IF(AU294&lt;=0,0,ROUND(AU294+ROUND(AU294*AA$3/12,2),2))</f>
      </c>
      <c r="H295" s="33">
        <f>IF(AV294&lt;=0,0,ROUND(AV294+ROUND(AV294*AB$3/12,2),2))</f>
      </c>
      <c r="I295" s="33">
        <f>IF(AW294&lt;=0,0,ROUND(AW294+ROUND(AW294*AC$3/12,2),2))</f>
      </c>
      <c r="J295" s="33">
        <f>IF(AX294&lt;=0,0,ROUND(AX294+ROUND(AX294*AD$3/12,2),2))</f>
      </c>
      <c r="K295" s="33">
        <f>IF(AY294&lt;=0,0,ROUND(AY294+ROUND(AY294*AE$3/12,2),2))</f>
      </c>
      <c r="L295" s="33">
        <f>ROUND(MIN(MAX(0,N('Your debts'!$E$6)),B295),2)</f>
      </c>
      <c r="M295" s="33">
        <f>ROUND(MIN(MAX(0,N('Your debts'!$E$7)),C295),2)</f>
      </c>
      <c r="N295" s="33">
        <f>ROUND(MIN(MAX(0,N('Your debts'!$E$8)),D295),2)</f>
      </c>
      <c r="O295" s="33">
        <f>ROUND(MIN(MAX(0,N('Your debts'!$E$9)),E295),2)</f>
      </c>
      <c r="P295" s="33">
        <f>ROUND(MIN(MAX(0,N('Your debts'!$E$10)),F295),2)</f>
      </c>
      <c r="Q295" s="33">
        <f>ROUND(MIN(MAX(0,N('Your debts'!$E$11)),G295),2)</f>
      </c>
      <c r="R295" s="33">
        <f>ROUND(MIN(MAX(0,N('Your debts'!$E$12)),H295),2)</f>
      </c>
      <c r="S295" s="33">
        <f>ROUND(MIN(MAX(0,N('Your debts'!$E$13)),I295),2)</f>
      </c>
      <c r="T295" s="33">
        <f>ROUND(MIN(MAX(0,N('Your debts'!$E$14)),J295),2)</f>
      </c>
      <c r="U295" s="33">
        <f>ROUND(MIN(MAX(0,N('Your debts'!$E$15)),K295),2)</f>
      </c>
      <c r="V295" s="33">
        <f>ROUND(B295-L295,2)</f>
      </c>
      <c r="W295" s="33">
        <f>ROUND(C295-M295,2)</f>
      </c>
      <c r="X295" s="33">
        <f>ROUND(D295-N295,2)</f>
      </c>
      <c r="Y295" s="33">
        <f>ROUND(E295-O295,2)</f>
      </c>
      <c r="Z295" s="33">
        <f>ROUND(F295-P295,2)</f>
      </c>
      <c r="AA295" s="33">
        <f>ROUND(G295-Q295,2)</f>
      </c>
      <c r="AB295" s="33">
        <f>ROUND(H295-R295,2)</f>
      </c>
      <c r="AC295" s="33">
        <f>ROUND(I295-S295,2)</f>
      </c>
      <c r="AD295" s="33">
        <f>ROUND(J295-T295,2)</f>
      </c>
      <c r="AE295" s="33">
        <f>ROUND(K295-U295,2)</f>
      </c>
      <c r="AF295" s="33">
        <f>IF(V295&lt;=0,0,MAX(0,MIN(V295,ROUND($AZ295-SUMPRODUCT($V295:$AE295*($V295:$AE295&gt;0)*(($V295:$AE295&lt;V295)+($V295:$AE295=V295)*($V$3:$AE$3&gt;V$3)+($V295:$AE295=V295)*($V$3:$AE$3=V$3)*($V$2:$AE$2&lt;V$2))),2))))</f>
      </c>
      <c r="AG295" s="33">
        <f>IF(W295&lt;=0,0,MAX(0,MIN(W295,ROUND($AZ295-SUMPRODUCT($V295:$AE295*($V295:$AE295&gt;0)*(($V295:$AE295&lt;W295)+($V295:$AE295=W295)*($V$3:$AE$3&gt;W$3)+($V295:$AE295=W295)*($V$3:$AE$3=W$3)*($V$2:$AE$2&lt;W$2))),2))))</f>
      </c>
      <c r="AH295" s="33">
        <f>IF(X295&lt;=0,0,MAX(0,MIN(X295,ROUND($AZ295-SUMPRODUCT($V295:$AE295*($V295:$AE295&gt;0)*(($V295:$AE295&lt;X295)+($V295:$AE295=X295)*($V$3:$AE$3&gt;X$3)+($V295:$AE295=X295)*($V$3:$AE$3=X$3)*($V$2:$AE$2&lt;X$2))),2))))</f>
      </c>
      <c r="AI295" s="33">
        <f>IF(Y295&lt;=0,0,MAX(0,MIN(Y295,ROUND($AZ295-SUMPRODUCT($V295:$AE295*($V295:$AE295&gt;0)*(($V295:$AE295&lt;Y295)+($V295:$AE295=Y295)*($V$3:$AE$3&gt;Y$3)+($V295:$AE295=Y295)*($V$3:$AE$3=Y$3)*($V$2:$AE$2&lt;Y$2))),2))))</f>
      </c>
      <c r="AJ295" s="33">
        <f>IF(Z295&lt;=0,0,MAX(0,MIN(Z295,ROUND($AZ295-SUMPRODUCT($V295:$AE295*($V295:$AE295&gt;0)*(($V295:$AE295&lt;Z295)+($V295:$AE295=Z295)*($V$3:$AE$3&gt;Z$3)+($V295:$AE295=Z295)*($V$3:$AE$3=Z$3)*($V$2:$AE$2&lt;Z$2))),2))))</f>
      </c>
      <c r="AK295" s="33">
        <f>IF(AA295&lt;=0,0,MAX(0,MIN(AA295,ROUND($AZ295-SUMPRODUCT($V295:$AE295*($V295:$AE295&gt;0)*(($V295:$AE295&lt;AA295)+($V295:$AE295=AA295)*($V$3:$AE$3&gt;AA$3)+($V295:$AE295=AA295)*($V$3:$AE$3=AA$3)*($V$2:$AE$2&lt;AA$2))),2))))</f>
      </c>
      <c r="AL295" s="33">
        <f>IF(AB295&lt;=0,0,MAX(0,MIN(AB295,ROUND($AZ295-SUMPRODUCT($V295:$AE295*($V295:$AE295&gt;0)*(($V295:$AE295&lt;AB295)+($V295:$AE295=AB295)*($V$3:$AE$3&gt;AB$3)+($V295:$AE295=AB295)*($V$3:$AE$3=AB$3)*($V$2:$AE$2&lt;AB$2))),2))))</f>
      </c>
      <c r="AM295" s="33">
        <f>IF(AC295&lt;=0,0,MAX(0,MIN(AC295,ROUND($AZ295-SUMPRODUCT($V295:$AE295*($V295:$AE295&gt;0)*(($V295:$AE295&lt;AC295)+($V295:$AE295=AC295)*($V$3:$AE$3&gt;AC$3)+($V295:$AE295=AC295)*($V$3:$AE$3=AC$3)*($V$2:$AE$2&lt;AC$2))),2))))</f>
      </c>
      <c r="AN295" s="33">
        <f>IF(AD295&lt;=0,0,MAX(0,MIN(AD295,ROUND($AZ295-SUMPRODUCT($V295:$AE295*($V295:$AE295&gt;0)*(($V295:$AE295&lt;AD295)+($V295:$AE295=AD295)*($V$3:$AE$3&gt;AD$3)+($V295:$AE295=AD295)*($V$3:$AE$3=AD$3)*($V$2:$AE$2&lt;AD$2))),2))))</f>
      </c>
      <c r="AO295" s="33">
        <f>IF(AE295&lt;=0,0,MAX(0,MIN(AE295,ROUND($AZ295-SUMPRODUCT($V295:$AE295*($V295:$AE295&gt;0)*(($V295:$AE295&lt;AE295)+($V295:$AE295=AE295)*($V$3:$AE$3&gt;AE$3)+($V295:$AE295=AE295)*($V$3:$AE$3=AE$3)*($V$2:$AE$2&lt;AE$2))),2))))</f>
      </c>
      <c r="AP295" s="33">
        <f>ROUND(V295-AF295,2)</f>
      </c>
      <c r="AQ295" s="33">
        <f>ROUND(W295-AG295,2)</f>
      </c>
      <c r="AR295" s="33">
        <f>ROUND(X295-AH295,2)</f>
      </c>
      <c r="AS295" s="33">
        <f>ROUND(Y295-AI295,2)</f>
      </c>
      <c r="AT295" s="33">
        <f>ROUND(Z295-AJ295,2)</f>
      </c>
      <c r="AU295" s="33">
        <f>ROUND(AA295-AK295,2)</f>
      </c>
      <c r="AV295" s="33">
        <f>ROUND(AB295-AL295,2)</f>
      </c>
      <c r="AW295" s="33">
        <f>ROUND(AC295-AM295,2)</f>
      </c>
      <c r="AX295" s="33">
        <f>ROUND(AD295-AN295,2)</f>
      </c>
      <c r="AY295" s="33">
        <f>ROUND(AE295-AO295,2)</f>
      </c>
      <c r="AZ295" s="33">
        <f>ROUND(MAX(0,'Your debts'!$D$22-SUM($L295:$U295)),2)</f>
      </c>
      <c r="BA295" s="33">
        <f>ROUND(SUM($B295:$K295)-SUM($AP294:$AY294),2)</f>
      </c>
      <c r="BB295" s="33">
        <f>SUM($AP295:$AY295)</f>
      </c>
      <c r="BC295" s="33">
        <f>ROUND(SUM($L295:$U295)+SUM($AF295:$AO295),2)</f>
      </c>
    </row>
    <row r="296" spans="1:55" x14ac:dyDescent="0.25">
      <c r="A296">
        <v>289</v>
      </c>
      <c r="B296" s="33">
        <f>IF(AP295&lt;=0,0,ROUND(AP295+ROUND(AP295*V$3/12,2),2))</f>
      </c>
      <c r="C296" s="33">
        <f>IF(AQ295&lt;=0,0,ROUND(AQ295+ROUND(AQ295*W$3/12,2),2))</f>
      </c>
      <c r="D296" s="33">
        <f>IF(AR295&lt;=0,0,ROUND(AR295+ROUND(AR295*X$3/12,2),2))</f>
      </c>
      <c r="E296" s="33">
        <f>IF(AS295&lt;=0,0,ROUND(AS295+ROUND(AS295*Y$3/12,2),2))</f>
      </c>
      <c r="F296" s="33">
        <f>IF(AT295&lt;=0,0,ROUND(AT295+ROUND(AT295*Z$3/12,2),2))</f>
      </c>
      <c r="G296" s="33">
        <f>IF(AU295&lt;=0,0,ROUND(AU295+ROUND(AU295*AA$3/12,2),2))</f>
      </c>
      <c r="H296" s="33">
        <f>IF(AV295&lt;=0,0,ROUND(AV295+ROUND(AV295*AB$3/12,2),2))</f>
      </c>
      <c r="I296" s="33">
        <f>IF(AW295&lt;=0,0,ROUND(AW295+ROUND(AW295*AC$3/12,2),2))</f>
      </c>
      <c r="J296" s="33">
        <f>IF(AX295&lt;=0,0,ROUND(AX295+ROUND(AX295*AD$3/12,2),2))</f>
      </c>
      <c r="K296" s="33">
        <f>IF(AY295&lt;=0,0,ROUND(AY295+ROUND(AY295*AE$3/12,2),2))</f>
      </c>
      <c r="L296" s="33">
        <f>ROUND(MIN(MAX(0,N('Your debts'!$E$6)),B296),2)</f>
      </c>
      <c r="M296" s="33">
        <f>ROUND(MIN(MAX(0,N('Your debts'!$E$7)),C296),2)</f>
      </c>
      <c r="N296" s="33">
        <f>ROUND(MIN(MAX(0,N('Your debts'!$E$8)),D296),2)</f>
      </c>
      <c r="O296" s="33">
        <f>ROUND(MIN(MAX(0,N('Your debts'!$E$9)),E296),2)</f>
      </c>
      <c r="P296" s="33">
        <f>ROUND(MIN(MAX(0,N('Your debts'!$E$10)),F296),2)</f>
      </c>
      <c r="Q296" s="33">
        <f>ROUND(MIN(MAX(0,N('Your debts'!$E$11)),G296),2)</f>
      </c>
      <c r="R296" s="33">
        <f>ROUND(MIN(MAX(0,N('Your debts'!$E$12)),H296),2)</f>
      </c>
      <c r="S296" s="33">
        <f>ROUND(MIN(MAX(0,N('Your debts'!$E$13)),I296),2)</f>
      </c>
      <c r="T296" s="33">
        <f>ROUND(MIN(MAX(0,N('Your debts'!$E$14)),J296),2)</f>
      </c>
      <c r="U296" s="33">
        <f>ROUND(MIN(MAX(0,N('Your debts'!$E$15)),K296),2)</f>
      </c>
      <c r="V296" s="33">
        <f>ROUND(B296-L296,2)</f>
      </c>
      <c r="W296" s="33">
        <f>ROUND(C296-M296,2)</f>
      </c>
      <c r="X296" s="33">
        <f>ROUND(D296-N296,2)</f>
      </c>
      <c r="Y296" s="33">
        <f>ROUND(E296-O296,2)</f>
      </c>
      <c r="Z296" s="33">
        <f>ROUND(F296-P296,2)</f>
      </c>
      <c r="AA296" s="33">
        <f>ROUND(G296-Q296,2)</f>
      </c>
      <c r="AB296" s="33">
        <f>ROUND(H296-R296,2)</f>
      </c>
      <c r="AC296" s="33">
        <f>ROUND(I296-S296,2)</f>
      </c>
      <c r="AD296" s="33">
        <f>ROUND(J296-T296,2)</f>
      </c>
      <c r="AE296" s="33">
        <f>ROUND(K296-U296,2)</f>
      </c>
      <c r="AF296" s="33">
        <f>IF(V296&lt;=0,0,MAX(0,MIN(V296,ROUND($AZ296-SUMPRODUCT($V296:$AE296*($V296:$AE296&gt;0)*(($V296:$AE296&lt;V296)+($V296:$AE296=V296)*($V$3:$AE$3&gt;V$3)+($V296:$AE296=V296)*($V$3:$AE$3=V$3)*($V$2:$AE$2&lt;V$2))),2))))</f>
      </c>
      <c r="AG296" s="33">
        <f>IF(W296&lt;=0,0,MAX(0,MIN(W296,ROUND($AZ296-SUMPRODUCT($V296:$AE296*($V296:$AE296&gt;0)*(($V296:$AE296&lt;W296)+($V296:$AE296=W296)*($V$3:$AE$3&gt;W$3)+($V296:$AE296=W296)*($V$3:$AE$3=W$3)*($V$2:$AE$2&lt;W$2))),2))))</f>
      </c>
      <c r="AH296" s="33">
        <f>IF(X296&lt;=0,0,MAX(0,MIN(X296,ROUND($AZ296-SUMPRODUCT($V296:$AE296*($V296:$AE296&gt;0)*(($V296:$AE296&lt;X296)+($V296:$AE296=X296)*($V$3:$AE$3&gt;X$3)+($V296:$AE296=X296)*($V$3:$AE$3=X$3)*($V$2:$AE$2&lt;X$2))),2))))</f>
      </c>
      <c r="AI296" s="33">
        <f>IF(Y296&lt;=0,0,MAX(0,MIN(Y296,ROUND($AZ296-SUMPRODUCT($V296:$AE296*($V296:$AE296&gt;0)*(($V296:$AE296&lt;Y296)+($V296:$AE296=Y296)*($V$3:$AE$3&gt;Y$3)+($V296:$AE296=Y296)*($V$3:$AE$3=Y$3)*($V$2:$AE$2&lt;Y$2))),2))))</f>
      </c>
      <c r="AJ296" s="33">
        <f>IF(Z296&lt;=0,0,MAX(0,MIN(Z296,ROUND($AZ296-SUMPRODUCT($V296:$AE296*($V296:$AE296&gt;0)*(($V296:$AE296&lt;Z296)+($V296:$AE296=Z296)*($V$3:$AE$3&gt;Z$3)+($V296:$AE296=Z296)*($V$3:$AE$3=Z$3)*($V$2:$AE$2&lt;Z$2))),2))))</f>
      </c>
      <c r="AK296" s="33">
        <f>IF(AA296&lt;=0,0,MAX(0,MIN(AA296,ROUND($AZ296-SUMPRODUCT($V296:$AE296*($V296:$AE296&gt;0)*(($V296:$AE296&lt;AA296)+($V296:$AE296=AA296)*($V$3:$AE$3&gt;AA$3)+($V296:$AE296=AA296)*($V$3:$AE$3=AA$3)*($V$2:$AE$2&lt;AA$2))),2))))</f>
      </c>
      <c r="AL296" s="33">
        <f>IF(AB296&lt;=0,0,MAX(0,MIN(AB296,ROUND($AZ296-SUMPRODUCT($V296:$AE296*($V296:$AE296&gt;0)*(($V296:$AE296&lt;AB296)+($V296:$AE296=AB296)*($V$3:$AE$3&gt;AB$3)+($V296:$AE296=AB296)*($V$3:$AE$3=AB$3)*($V$2:$AE$2&lt;AB$2))),2))))</f>
      </c>
      <c r="AM296" s="33">
        <f>IF(AC296&lt;=0,0,MAX(0,MIN(AC296,ROUND($AZ296-SUMPRODUCT($V296:$AE296*($V296:$AE296&gt;0)*(($V296:$AE296&lt;AC296)+($V296:$AE296=AC296)*($V$3:$AE$3&gt;AC$3)+($V296:$AE296=AC296)*($V$3:$AE$3=AC$3)*($V$2:$AE$2&lt;AC$2))),2))))</f>
      </c>
      <c r="AN296" s="33">
        <f>IF(AD296&lt;=0,0,MAX(0,MIN(AD296,ROUND($AZ296-SUMPRODUCT($V296:$AE296*($V296:$AE296&gt;0)*(($V296:$AE296&lt;AD296)+($V296:$AE296=AD296)*($V$3:$AE$3&gt;AD$3)+($V296:$AE296=AD296)*($V$3:$AE$3=AD$3)*($V$2:$AE$2&lt;AD$2))),2))))</f>
      </c>
      <c r="AO296" s="33">
        <f>IF(AE296&lt;=0,0,MAX(0,MIN(AE296,ROUND($AZ296-SUMPRODUCT($V296:$AE296*($V296:$AE296&gt;0)*(($V296:$AE296&lt;AE296)+($V296:$AE296=AE296)*($V$3:$AE$3&gt;AE$3)+($V296:$AE296=AE296)*($V$3:$AE$3=AE$3)*($V$2:$AE$2&lt;AE$2))),2))))</f>
      </c>
      <c r="AP296" s="33">
        <f>ROUND(V296-AF296,2)</f>
      </c>
      <c r="AQ296" s="33">
        <f>ROUND(W296-AG296,2)</f>
      </c>
      <c r="AR296" s="33">
        <f>ROUND(X296-AH296,2)</f>
      </c>
      <c r="AS296" s="33">
        <f>ROUND(Y296-AI296,2)</f>
      </c>
      <c r="AT296" s="33">
        <f>ROUND(Z296-AJ296,2)</f>
      </c>
      <c r="AU296" s="33">
        <f>ROUND(AA296-AK296,2)</f>
      </c>
      <c r="AV296" s="33">
        <f>ROUND(AB296-AL296,2)</f>
      </c>
      <c r="AW296" s="33">
        <f>ROUND(AC296-AM296,2)</f>
      </c>
      <c r="AX296" s="33">
        <f>ROUND(AD296-AN296,2)</f>
      </c>
      <c r="AY296" s="33">
        <f>ROUND(AE296-AO296,2)</f>
      </c>
      <c r="AZ296" s="33">
        <f>ROUND(MAX(0,'Your debts'!$D$22-SUM($L296:$U296)),2)</f>
      </c>
      <c r="BA296" s="33">
        <f>ROUND(SUM($B296:$K296)-SUM($AP295:$AY295),2)</f>
      </c>
      <c r="BB296" s="33">
        <f>SUM($AP296:$AY296)</f>
      </c>
      <c r="BC296" s="33">
        <f>ROUND(SUM($L296:$U296)+SUM($AF296:$AO296),2)</f>
      </c>
    </row>
    <row r="297" spans="1:55" x14ac:dyDescent="0.25">
      <c r="A297">
        <v>290</v>
      </c>
      <c r="B297" s="33">
        <f>IF(AP296&lt;=0,0,ROUND(AP296+ROUND(AP296*V$3/12,2),2))</f>
      </c>
      <c r="C297" s="33">
        <f>IF(AQ296&lt;=0,0,ROUND(AQ296+ROUND(AQ296*W$3/12,2),2))</f>
      </c>
      <c r="D297" s="33">
        <f>IF(AR296&lt;=0,0,ROUND(AR296+ROUND(AR296*X$3/12,2),2))</f>
      </c>
      <c r="E297" s="33">
        <f>IF(AS296&lt;=0,0,ROUND(AS296+ROUND(AS296*Y$3/12,2),2))</f>
      </c>
      <c r="F297" s="33">
        <f>IF(AT296&lt;=0,0,ROUND(AT296+ROUND(AT296*Z$3/12,2),2))</f>
      </c>
      <c r="G297" s="33">
        <f>IF(AU296&lt;=0,0,ROUND(AU296+ROUND(AU296*AA$3/12,2),2))</f>
      </c>
      <c r="H297" s="33">
        <f>IF(AV296&lt;=0,0,ROUND(AV296+ROUND(AV296*AB$3/12,2),2))</f>
      </c>
      <c r="I297" s="33">
        <f>IF(AW296&lt;=0,0,ROUND(AW296+ROUND(AW296*AC$3/12,2),2))</f>
      </c>
      <c r="J297" s="33">
        <f>IF(AX296&lt;=0,0,ROUND(AX296+ROUND(AX296*AD$3/12,2),2))</f>
      </c>
      <c r="K297" s="33">
        <f>IF(AY296&lt;=0,0,ROUND(AY296+ROUND(AY296*AE$3/12,2),2))</f>
      </c>
      <c r="L297" s="33">
        <f>ROUND(MIN(MAX(0,N('Your debts'!$E$6)),B297),2)</f>
      </c>
      <c r="M297" s="33">
        <f>ROUND(MIN(MAX(0,N('Your debts'!$E$7)),C297),2)</f>
      </c>
      <c r="N297" s="33">
        <f>ROUND(MIN(MAX(0,N('Your debts'!$E$8)),D297),2)</f>
      </c>
      <c r="O297" s="33">
        <f>ROUND(MIN(MAX(0,N('Your debts'!$E$9)),E297),2)</f>
      </c>
      <c r="P297" s="33">
        <f>ROUND(MIN(MAX(0,N('Your debts'!$E$10)),F297),2)</f>
      </c>
      <c r="Q297" s="33">
        <f>ROUND(MIN(MAX(0,N('Your debts'!$E$11)),G297),2)</f>
      </c>
      <c r="R297" s="33">
        <f>ROUND(MIN(MAX(0,N('Your debts'!$E$12)),H297),2)</f>
      </c>
      <c r="S297" s="33">
        <f>ROUND(MIN(MAX(0,N('Your debts'!$E$13)),I297),2)</f>
      </c>
      <c r="T297" s="33">
        <f>ROUND(MIN(MAX(0,N('Your debts'!$E$14)),J297),2)</f>
      </c>
      <c r="U297" s="33">
        <f>ROUND(MIN(MAX(0,N('Your debts'!$E$15)),K297),2)</f>
      </c>
      <c r="V297" s="33">
        <f>ROUND(B297-L297,2)</f>
      </c>
      <c r="W297" s="33">
        <f>ROUND(C297-M297,2)</f>
      </c>
      <c r="X297" s="33">
        <f>ROUND(D297-N297,2)</f>
      </c>
      <c r="Y297" s="33">
        <f>ROUND(E297-O297,2)</f>
      </c>
      <c r="Z297" s="33">
        <f>ROUND(F297-P297,2)</f>
      </c>
      <c r="AA297" s="33">
        <f>ROUND(G297-Q297,2)</f>
      </c>
      <c r="AB297" s="33">
        <f>ROUND(H297-R297,2)</f>
      </c>
      <c r="AC297" s="33">
        <f>ROUND(I297-S297,2)</f>
      </c>
      <c r="AD297" s="33">
        <f>ROUND(J297-T297,2)</f>
      </c>
      <c r="AE297" s="33">
        <f>ROUND(K297-U297,2)</f>
      </c>
      <c r="AF297" s="33">
        <f>IF(V297&lt;=0,0,MAX(0,MIN(V297,ROUND($AZ297-SUMPRODUCT($V297:$AE297*($V297:$AE297&gt;0)*(($V297:$AE297&lt;V297)+($V297:$AE297=V297)*($V$3:$AE$3&gt;V$3)+($V297:$AE297=V297)*($V$3:$AE$3=V$3)*($V$2:$AE$2&lt;V$2))),2))))</f>
      </c>
      <c r="AG297" s="33">
        <f>IF(W297&lt;=0,0,MAX(0,MIN(W297,ROUND($AZ297-SUMPRODUCT($V297:$AE297*($V297:$AE297&gt;0)*(($V297:$AE297&lt;W297)+($V297:$AE297=W297)*($V$3:$AE$3&gt;W$3)+($V297:$AE297=W297)*($V$3:$AE$3=W$3)*($V$2:$AE$2&lt;W$2))),2))))</f>
      </c>
      <c r="AH297" s="33">
        <f>IF(X297&lt;=0,0,MAX(0,MIN(X297,ROUND($AZ297-SUMPRODUCT($V297:$AE297*($V297:$AE297&gt;0)*(($V297:$AE297&lt;X297)+($V297:$AE297=X297)*($V$3:$AE$3&gt;X$3)+($V297:$AE297=X297)*($V$3:$AE$3=X$3)*($V$2:$AE$2&lt;X$2))),2))))</f>
      </c>
      <c r="AI297" s="33">
        <f>IF(Y297&lt;=0,0,MAX(0,MIN(Y297,ROUND($AZ297-SUMPRODUCT($V297:$AE297*($V297:$AE297&gt;0)*(($V297:$AE297&lt;Y297)+($V297:$AE297=Y297)*($V$3:$AE$3&gt;Y$3)+($V297:$AE297=Y297)*($V$3:$AE$3=Y$3)*($V$2:$AE$2&lt;Y$2))),2))))</f>
      </c>
      <c r="AJ297" s="33">
        <f>IF(Z297&lt;=0,0,MAX(0,MIN(Z297,ROUND($AZ297-SUMPRODUCT($V297:$AE297*($V297:$AE297&gt;0)*(($V297:$AE297&lt;Z297)+($V297:$AE297=Z297)*($V$3:$AE$3&gt;Z$3)+($V297:$AE297=Z297)*($V$3:$AE$3=Z$3)*($V$2:$AE$2&lt;Z$2))),2))))</f>
      </c>
      <c r="AK297" s="33">
        <f>IF(AA297&lt;=0,0,MAX(0,MIN(AA297,ROUND($AZ297-SUMPRODUCT($V297:$AE297*($V297:$AE297&gt;0)*(($V297:$AE297&lt;AA297)+($V297:$AE297=AA297)*($V$3:$AE$3&gt;AA$3)+($V297:$AE297=AA297)*($V$3:$AE$3=AA$3)*($V$2:$AE$2&lt;AA$2))),2))))</f>
      </c>
      <c r="AL297" s="33">
        <f>IF(AB297&lt;=0,0,MAX(0,MIN(AB297,ROUND($AZ297-SUMPRODUCT($V297:$AE297*($V297:$AE297&gt;0)*(($V297:$AE297&lt;AB297)+($V297:$AE297=AB297)*($V$3:$AE$3&gt;AB$3)+($V297:$AE297=AB297)*($V$3:$AE$3=AB$3)*($V$2:$AE$2&lt;AB$2))),2))))</f>
      </c>
      <c r="AM297" s="33">
        <f>IF(AC297&lt;=0,0,MAX(0,MIN(AC297,ROUND($AZ297-SUMPRODUCT($V297:$AE297*($V297:$AE297&gt;0)*(($V297:$AE297&lt;AC297)+($V297:$AE297=AC297)*($V$3:$AE$3&gt;AC$3)+($V297:$AE297=AC297)*($V$3:$AE$3=AC$3)*($V$2:$AE$2&lt;AC$2))),2))))</f>
      </c>
      <c r="AN297" s="33">
        <f>IF(AD297&lt;=0,0,MAX(0,MIN(AD297,ROUND($AZ297-SUMPRODUCT($V297:$AE297*($V297:$AE297&gt;0)*(($V297:$AE297&lt;AD297)+($V297:$AE297=AD297)*($V$3:$AE$3&gt;AD$3)+($V297:$AE297=AD297)*($V$3:$AE$3=AD$3)*($V$2:$AE$2&lt;AD$2))),2))))</f>
      </c>
      <c r="AO297" s="33">
        <f>IF(AE297&lt;=0,0,MAX(0,MIN(AE297,ROUND($AZ297-SUMPRODUCT($V297:$AE297*($V297:$AE297&gt;0)*(($V297:$AE297&lt;AE297)+($V297:$AE297=AE297)*($V$3:$AE$3&gt;AE$3)+($V297:$AE297=AE297)*($V$3:$AE$3=AE$3)*($V$2:$AE$2&lt;AE$2))),2))))</f>
      </c>
      <c r="AP297" s="33">
        <f>ROUND(V297-AF297,2)</f>
      </c>
      <c r="AQ297" s="33">
        <f>ROUND(W297-AG297,2)</f>
      </c>
      <c r="AR297" s="33">
        <f>ROUND(X297-AH297,2)</f>
      </c>
      <c r="AS297" s="33">
        <f>ROUND(Y297-AI297,2)</f>
      </c>
      <c r="AT297" s="33">
        <f>ROUND(Z297-AJ297,2)</f>
      </c>
      <c r="AU297" s="33">
        <f>ROUND(AA297-AK297,2)</f>
      </c>
      <c r="AV297" s="33">
        <f>ROUND(AB297-AL297,2)</f>
      </c>
      <c r="AW297" s="33">
        <f>ROUND(AC297-AM297,2)</f>
      </c>
      <c r="AX297" s="33">
        <f>ROUND(AD297-AN297,2)</f>
      </c>
      <c r="AY297" s="33">
        <f>ROUND(AE297-AO297,2)</f>
      </c>
      <c r="AZ297" s="33">
        <f>ROUND(MAX(0,'Your debts'!$D$22-SUM($L297:$U297)),2)</f>
      </c>
      <c r="BA297" s="33">
        <f>ROUND(SUM($B297:$K297)-SUM($AP296:$AY296),2)</f>
      </c>
      <c r="BB297" s="33">
        <f>SUM($AP297:$AY297)</f>
      </c>
      <c r="BC297" s="33">
        <f>ROUND(SUM($L297:$U297)+SUM($AF297:$AO297),2)</f>
      </c>
    </row>
    <row r="298" spans="1:55" x14ac:dyDescent="0.25">
      <c r="A298">
        <v>291</v>
      </c>
      <c r="B298" s="33">
        <f>IF(AP297&lt;=0,0,ROUND(AP297+ROUND(AP297*V$3/12,2),2))</f>
      </c>
      <c r="C298" s="33">
        <f>IF(AQ297&lt;=0,0,ROUND(AQ297+ROUND(AQ297*W$3/12,2),2))</f>
      </c>
      <c r="D298" s="33">
        <f>IF(AR297&lt;=0,0,ROUND(AR297+ROUND(AR297*X$3/12,2),2))</f>
      </c>
      <c r="E298" s="33">
        <f>IF(AS297&lt;=0,0,ROUND(AS297+ROUND(AS297*Y$3/12,2),2))</f>
      </c>
      <c r="F298" s="33">
        <f>IF(AT297&lt;=0,0,ROUND(AT297+ROUND(AT297*Z$3/12,2),2))</f>
      </c>
      <c r="G298" s="33">
        <f>IF(AU297&lt;=0,0,ROUND(AU297+ROUND(AU297*AA$3/12,2),2))</f>
      </c>
      <c r="H298" s="33">
        <f>IF(AV297&lt;=0,0,ROUND(AV297+ROUND(AV297*AB$3/12,2),2))</f>
      </c>
      <c r="I298" s="33">
        <f>IF(AW297&lt;=0,0,ROUND(AW297+ROUND(AW297*AC$3/12,2),2))</f>
      </c>
      <c r="J298" s="33">
        <f>IF(AX297&lt;=0,0,ROUND(AX297+ROUND(AX297*AD$3/12,2),2))</f>
      </c>
      <c r="K298" s="33">
        <f>IF(AY297&lt;=0,0,ROUND(AY297+ROUND(AY297*AE$3/12,2),2))</f>
      </c>
      <c r="L298" s="33">
        <f>ROUND(MIN(MAX(0,N('Your debts'!$E$6)),B298),2)</f>
      </c>
      <c r="M298" s="33">
        <f>ROUND(MIN(MAX(0,N('Your debts'!$E$7)),C298),2)</f>
      </c>
      <c r="N298" s="33">
        <f>ROUND(MIN(MAX(0,N('Your debts'!$E$8)),D298),2)</f>
      </c>
      <c r="O298" s="33">
        <f>ROUND(MIN(MAX(0,N('Your debts'!$E$9)),E298),2)</f>
      </c>
      <c r="P298" s="33">
        <f>ROUND(MIN(MAX(0,N('Your debts'!$E$10)),F298),2)</f>
      </c>
      <c r="Q298" s="33">
        <f>ROUND(MIN(MAX(0,N('Your debts'!$E$11)),G298),2)</f>
      </c>
      <c r="R298" s="33">
        <f>ROUND(MIN(MAX(0,N('Your debts'!$E$12)),H298),2)</f>
      </c>
      <c r="S298" s="33">
        <f>ROUND(MIN(MAX(0,N('Your debts'!$E$13)),I298),2)</f>
      </c>
      <c r="T298" s="33">
        <f>ROUND(MIN(MAX(0,N('Your debts'!$E$14)),J298),2)</f>
      </c>
      <c r="U298" s="33">
        <f>ROUND(MIN(MAX(0,N('Your debts'!$E$15)),K298),2)</f>
      </c>
      <c r="V298" s="33">
        <f>ROUND(B298-L298,2)</f>
      </c>
      <c r="W298" s="33">
        <f>ROUND(C298-M298,2)</f>
      </c>
      <c r="X298" s="33">
        <f>ROUND(D298-N298,2)</f>
      </c>
      <c r="Y298" s="33">
        <f>ROUND(E298-O298,2)</f>
      </c>
      <c r="Z298" s="33">
        <f>ROUND(F298-P298,2)</f>
      </c>
      <c r="AA298" s="33">
        <f>ROUND(G298-Q298,2)</f>
      </c>
      <c r="AB298" s="33">
        <f>ROUND(H298-R298,2)</f>
      </c>
      <c r="AC298" s="33">
        <f>ROUND(I298-S298,2)</f>
      </c>
      <c r="AD298" s="33">
        <f>ROUND(J298-T298,2)</f>
      </c>
      <c r="AE298" s="33">
        <f>ROUND(K298-U298,2)</f>
      </c>
      <c r="AF298" s="33">
        <f>IF(V298&lt;=0,0,MAX(0,MIN(V298,ROUND($AZ298-SUMPRODUCT($V298:$AE298*($V298:$AE298&gt;0)*(($V298:$AE298&lt;V298)+($V298:$AE298=V298)*($V$3:$AE$3&gt;V$3)+($V298:$AE298=V298)*($V$3:$AE$3=V$3)*($V$2:$AE$2&lt;V$2))),2))))</f>
      </c>
      <c r="AG298" s="33">
        <f>IF(W298&lt;=0,0,MAX(0,MIN(W298,ROUND($AZ298-SUMPRODUCT($V298:$AE298*($V298:$AE298&gt;0)*(($V298:$AE298&lt;W298)+($V298:$AE298=W298)*($V$3:$AE$3&gt;W$3)+($V298:$AE298=W298)*($V$3:$AE$3=W$3)*($V$2:$AE$2&lt;W$2))),2))))</f>
      </c>
      <c r="AH298" s="33">
        <f>IF(X298&lt;=0,0,MAX(0,MIN(X298,ROUND($AZ298-SUMPRODUCT($V298:$AE298*($V298:$AE298&gt;0)*(($V298:$AE298&lt;X298)+($V298:$AE298=X298)*($V$3:$AE$3&gt;X$3)+($V298:$AE298=X298)*($V$3:$AE$3=X$3)*($V$2:$AE$2&lt;X$2))),2))))</f>
      </c>
      <c r="AI298" s="33">
        <f>IF(Y298&lt;=0,0,MAX(0,MIN(Y298,ROUND($AZ298-SUMPRODUCT($V298:$AE298*($V298:$AE298&gt;0)*(($V298:$AE298&lt;Y298)+($V298:$AE298=Y298)*($V$3:$AE$3&gt;Y$3)+($V298:$AE298=Y298)*($V$3:$AE$3=Y$3)*($V$2:$AE$2&lt;Y$2))),2))))</f>
      </c>
      <c r="AJ298" s="33">
        <f>IF(Z298&lt;=0,0,MAX(0,MIN(Z298,ROUND($AZ298-SUMPRODUCT($V298:$AE298*($V298:$AE298&gt;0)*(($V298:$AE298&lt;Z298)+($V298:$AE298=Z298)*($V$3:$AE$3&gt;Z$3)+($V298:$AE298=Z298)*($V$3:$AE$3=Z$3)*($V$2:$AE$2&lt;Z$2))),2))))</f>
      </c>
      <c r="AK298" s="33">
        <f>IF(AA298&lt;=0,0,MAX(0,MIN(AA298,ROUND($AZ298-SUMPRODUCT($V298:$AE298*($V298:$AE298&gt;0)*(($V298:$AE298&lt;AA298)+($V298:$AE298=AA298)*($V$3:$AE$3&gt;AA$3)+($V298:$AE298=AA298)*($V$3:$AE$3=AA$3)*($V$2:$AE$2&lt;AA$2))),2))))</f>
      </c>
      <c r="AL298" s="33">
        <f>IF(AB298&lt;=0,0,MAX(0,MIN(AB298,ROUND($AZ298-SUMPRODUCT($V298:$AE298*($V298:$AE298&gt;0)*(($V298:$AE298&lt;AB298)+($V298:$AE298=AB298)*($V$3:$AE$3&gt;AB$3)+($V298:$AE298=AB298)*($V$3:$AE$3=AB$3)*($V$2:$AE$2&lt;AB$2))),2))))</f>
      </c>
      <c r="AM298" s="33">
        <f>IF(AC298&lt;=0,0,MAX(0,MIN(AC298,ROUND($AZ298-SUMPRODUCT($V298:$AE298*($V298:$AE298&gt;0)*(($V298:$AE298&lt;AC298)+($V298:$AE298=AC298)*($V$3:$AE$3&gt;AC$3)+($V298:$AE298=AC298)*($V$3:$AE$3=AC$3)*($V$2:$AE$2&lt;AC$2))),2))))</f>
      </c>
      <c r="AN298" s="33">
        <f>IF(AD298&lt;=0,0,MAX(0,MIN(AD298,ROUND($AZ298-SUMPRODUCT($V298:$AE298*($V298:$AE298&gt;0)*(($V298:$AE298&lt;AD298)+($V298:$AE298=AD298)*($V$3:$AE$3&gt;AD$3)+($V298:$AE298=AD298)*($V$3:$AE$3=AD$3)*($V$2:$AE$2&lt;AD$2))),2))))</f>
      </c>
      <c r="AO298" s="33">
        <f>IF(AE298&lt;=0,0,MAX(0,MIN(AE298,ROUND($AZ298-SUMPRODUCT($V298:$AE298*($V298:$AE298&gt;0)*(($V298:$AE298&lt;AE298)+($V298:$AE298=AE298)*($V$3:$AE$3&gt;AE$3)+($V298:$AE298=AE298)*($V$3:$AE$3=AE$3)*($V$2:$AE$2&lt;AE$2))),2))))</f>
      </c>
      <c r="AP298" s="33">
        <f>ROUND(V298-AF298,2)</f>
      </c>
      <c r="AQ298" s="33">
        <f>ROUND(W298-AG298,2)</f>
      </c>
      <c r="AR298" s="33">
        <f>ROUND(X298-AH298,2)</f>
      </c>
      <c r="AS298" s="33">
        <f>ROUND(Y298-AI298,2)</f>
      </c>
      <c r="AT298" s="33">
        <f>ROUND(Z298-AJ298,2)</f>
      </c>
      <c r="AU298" s="33">
        <f>ROUND(AA298-AK298,2)</f>
      </c>
      <c r="AV298" s="33">
        <f>ROUND(AB298-AL298,2)</f>
      </c>
      <c r="AW298" s="33">
        <f>ROUND(AC298-AM298,2)</f>
      </c>
      <c r="AX298" s="33">
        <f>ROUND(AD298-AN298,2)</f>
      </c>
      <c r="AY298" s="33">
        <f>ROUND(AE298-AO298,2)</f>
      </c>
      <c r="AZ298" s="33">
        <f>ROUND(MAX(0,'Your debts'!$D$22-SUM($L298:$U298)),2)</f>
      </c>
      <c r="BA298" s="33">
        <f>ROUND(SUM($B298:$K298)-SUM($AP297:$AY297),2)</f>
      </c>
      <c r="BB298" s="33">
        <f>SUM($AP298:$AY298)</f>
      </c>
      <c r="BC298" s="33">
        <f>ROUND(SUM($L298:$U298)+SUM($AF298:$AO298),2)</f>
      </c>
    </row>
    <row r="299" spans="1:55" x14ac:dyDescent="0.25">
      <c r="A299">
        <v>292</v>
      </c>
      <c r="B299" s="33">
        <f>IF(AP298&lt;=0,0,ROUND(AP298+ROUND(AP298*V$3/12,2),2))</f>
      </c>
      <c r="C299" s="33">
        <f>IF(AQ298&lt;=0,0,ROUND(AQ298+ROUND(AQ298*W$3/12,2),2))</f>
      </c>
      <c r="D299" s="33">
        <f>IF(AR298&lt;=0,0,ROUND(AR298+ROUND(AR298*X$3/12,2),2))</f>
      </c>
      <c r="E299" s="33">
        <f>IF(AS298&lt;=0,0,ROUND(AS298+ROUND(AS298*Y$3/12,2),2))</f>
      </c>
      <c r="F299" s="33">
        <f>IF(AT298&lt;=0,0,ROUND(AT298+ROUND(AT298*Z$3/12,2),2))</f>
      </c>
      <c r="G299" s="33">
        <f>IF(AU298&lt;=0,0,ROUND(AU298+ROUND(AU298*AA$3/12,2),2))</f>
      </c>
      <c r="H299" s="33">
        <f>IF(AV298&lt;=0,0,ROUND(AV298+ROUND(AV298*AB$3/12,2),2))</f>
      </c>
      <c r="I299" s="33">
        <f>IF(AW298&lt;=0,0,ROUND(AW298+ROUND(AW298*AC$3/12,2),2))</f>
      </c>
      <c r="J299" s="33">
        <f>IF(AX298&lt;=0,0,ROUND(AX298+ROUND(AX298*AD$3/12,2),2))</f>
      </c>
      <c r="K299" s="33">
        <f>IF(AY298&lt;=0,0,ROUND(AY298+ROUND(AY298*AE$3/12,2),2))</f>
      </c>
      <c r="L299" s="33">
        <f>ROUND(MIN(MAX(0,N('Your debts'!$E$6)),B299),2)</f>
      </c>
      <c r="M299" s="33">
        <f>ROUND(MIN(MAX(0,N('Your debts'!$E$7)),C299),2)</f>
      </c>
      <c r="N299" s="33">
        <f>ROUND(MIN(MAX(0,N('Your debts'!$E$8)),D299),2)</f>
      </c>
      <c r="O299" s="33">
        <f>ROUND(MIN(MAX(0,N('Your debts'!$E$9)),E299),2)</f>
      </c>
      <c r="P299" s="33">
        <f>ROUND(MIN(MAX(0,N('Your debts'!$E$10)),F299),2)</f>
      </c>
      <c r="Q299" s="33">
        <f>ROUND(MIN(MAX(0,N('Your debts'!$E$11)),G299),2)</f>
      </c>
      <c r="R299" s="33">
        <f>ROUND(MIN(MAX(0,N('Your debts'!$E$12)),H299),2)</f>
      </c>
      <c r="S299" s="33">
        <f>ROUND(MIN(MAX(0,N('Your debts'!$E$13)),I299),2)</f>
      </c>
      <c r="T299" s="33">
        <f>ROUND(MIN(MAX(0,N('Your debts'!$E$14)),J299),2)</f>
      </c>
      <c r="U299" s="33">
        <f>ROUND(MIN(MAX(0,N('Your debts'!$E$15)),K299),2)</f>
      </c>
      <c r="V299" s="33">
        <f>ROUND(B299-L299,2)</f>
      </c>
      <c r="W299" s="33">
        <f>ROUND(C299-M299,2)</f>
      </c>
      <c r="X299" s="33">
        <f>ROUND(D299-N299,2)</f>
      </c>
      <c r="Y299" s="33">
        <f>ROUND(E299-O299,2)</f>
      </c>
      <c r="Z299" s="33">
        <f>ROUND(F299-P299,2)</f>
      </c>
      <c r="AA299" s="33">
        <f>ROUND(G299-Q299,2)</f>
      </c>
      <c r="AB299" s="33">
        <f>ROUND(H299-R299,2)</f>
      </c>
      <c r="AC299" s="33">
        <f>ROUND(I299-S299,2)</f>
      </c>
      <c r="AD299" s="33">
        <f>ROUND(J299-T299,2)</f>
      </c>
      <c r="AE299" s="33">
        <f>ROUND(K299-U299,2)</f>
      </c>
      <c r="AF299" s="33">
        <f>IF(V299&lt;=0,0,MAX(0,MIN(V299,ROUND($AZ299-SUMPRODUCT($V299:$AE299*($V299:$AE299&gt;0)*(($V299:$AE299&lt;V299)+($V299:$AE299=V299)*($V$3:$AE$3&gt;V$3)+($V299:$AE299=V299)*($V$3:$AE$3=V$3)*($V$2:$AE$2&lt;V$2))),2))))</f>
      </c>
      <c r="AG299" s="33">
        <f>IF(W299&lt;=0,0,MAX(0,MIN(W299,ROUND($AZ299-SUMPRODUCT($V299:$AE299*($V299:$AE299&gt;0)*(($V299:$AE299&lt;W299)+($V299:$AE299=W299)*($V$3:$AE$3&gt;W$3)+($V299:$AE299=W299)*($V$3:$AE$3=W$3)*($V$2:$AE$2&lt;W$2))),2))))</f>
      </c>
      <c r="AH299" s="33">
        <f>IF(X299&lt;=0,0,MAX(0,MIN(X299,ROUND($AZ299-SUMPRODUCT($V299:$AE299*($V299:$AE299&gt;0)*(($V299:$AE299&lt;X299)+($V299:$AE299=X299)*($V$3:$AE$3&gt;X$3)+($V299:$AE299=X299)*($V$3:$AE$3=X$3)*($V$2:$AE$2&lt;X$2))),2))))</f>
      </c>
      <c r="AI299" s="33">
        <f>IF(Y299&lt;=0,0,MAX(0,MIN(Y299,ROUND($AZ299-SUMPRODUCT($V299:$AE299*($V299:$AE299&gt;0)*(($V299:$AE299&lt;Y299)+($V299:$AE299=Y299)*($V$3:$AE$3&gt;Y$3)+($V299:$AE299=Y299)*($V$3:$AE$3=Y$3)*($V$2:$AE$2&lt;Y$2))),2))))</f>
      </c>
      <c r="AJ299" s="33">
        <f>IF(Z299&lt;=0,0,MAX(0,MIN(Z299,ROUND($AZ299-SUMPRODUCT($V299:$AE299*($V299:$AE299&gt;0)*(($V299:$AE299&lt;Z299)+($V299:$AE299=Z299)*($V$3:$AE$3&gt;Z$3)+($V299:$AE299=Z299)*($V$3:$AE$3=Z$3)*($V$2:$AE$2&lt;Z$2))),2))))</f>
      </c>
      <c r="AK299" s="33">
        <f>IF(AA299&lt;=0,0,MAX(0,MIN(AA299,ROUND($AZ299-SUMPRODUCT($V299:$AE299*($V299:$AE299&gt;0)*(($V299:$AE299&lt;AA299)+($V299:$AE299=AA299)*($V$3:$AE$3&gt;AA$3)+($V299:$AE299=AA299)*($V$3:$AE$3=AA$3)*($V$2:$AE$2&lt;AA$2))),2))))</f>
      </c>
      <c r="AL299" s="33">
        <f>IF(AB299&lt;=0,0,MAX(0,MIN(AB299,ROUND($AZ299-SUMPRODUCT($V299:$AE299*($V299:$AE299&gt;0)*(($V299:$AE299&lt;AB299)+($V299:$AE299=AB299)*($V$3:$AE$3&gt;AB$3)+($V299:$AE299=AB299)*($V$3:$AE$3=AB$3)*($V$2:$AE$2&lt;AB$2))),2))))</f>
      </c>
      <c r="AM299" s="33">
        <f>IF(AC299&lt;=0,0,MAX(0,MIN(AC299,ROUND($AZ299-SUMPRODUCT($V299:$AE299*($V299:$AE299&gt;0)*(($V299:$AE299&lt;AC299)+($V299:$AE299=AC299)*($V$3:$AE$3&gt;AC$3)+($V299:$AE299=AC299)*($V$3:$AE$3=AC$3)*($V$2:$AE$2&lt;AC$2))),2))))</f>
      </c>
      <c r="AN299" s="33">
        <f>IF(AD299&lt;=0,0,MAX(0,MIN(AD299,ROUND($AZ299-SUMPRODUCT($V299:$AE299*($V299:$AE299&gt;0)*(($V299:$AE299&lt;AD299)+($V299:$AE299=AD299)*($V$3:$AE$3&gt;AD$3)+($V299:$AE299=AD299)*($V$3:$AE$3=AD$3)*($V$2:$AE$2&lt;AD$2))),2))))</f>
      </c>
      <c r="AO299" s="33">
        <f>IF(AE299&lt;=0,0,MAX(0,MIN(AE299,ROUND($AZ299-SUMPRODUCT($V299:$AE299*($V299:$AE299&gt;0)*(($V299:$AE299&lt;AE299)+($V299:$AE299=AE299)*($V$3:$AE$3&gt;AE$3)+($V299:$AE299=AE299)*($V$3:$AE$3=AE$3)*($V$2:$AE$2&lt;AE$2))),2))))</f>
      </c>
      <c r="AP299" s="33">
        <f>ROUND(V299-AF299,2)</f>
      </c>
      <c r="AQ299" s="33">
        <f>ROUND(W299-AG299,2)</f>
      </c>
      <c r="AR299" s="33">
        <f>ROUND(X299-AH299,2)</f>
      </c>
      <c r="AS299" s="33">
        <f>ROUND(Y299-AI299,2)</f>
      </c>
      <c r="AT299" s="33">
        <f>ROUND(Z299-AJ299,2)</f>
      </c>
      <c r="AU299" s="33">
        <f>ROUND(AA299-AK299,2)</f>
      </c>
      <c r="AV299" s="33">
        <f>ROUND(AB299-AL299,2)</f>
      </c>
      <c r="AW299" s="33">
        <f>ROUND(AC299-AM299,2)</f>
      </c>
      <c r="AX299" s="33">
        <f>ROUND(AD299-AN299,2)</f>
      </c>
      <c r="AY299" s="33">
        <f>ROUND(AE299-AO299,2)</f>
      </c>
      <c r="AZ299" s="33">
        <f>ROUND(MAX(0,'Your debts'!$D$22-SUM($L299:$U299)),2)</f>
      </c>
      <c r="BA299" s="33">
        <f>ROUND(SUM($B299:$K299)-SUM($AP298:$AY298),2)</f>
      </c>
      <c r="BB299" s="33">
        <f>SUM($AP299:$AY299)</f>
      </c>
      <c r="BC299" s="33">
        <f>ROUND(SUM($L299:$U299)+SUM($AF299:$AO299),2)</f>
      </c>
    </row>
    <row r="300" spans="1:55" x14ac:dyDescent="0.25">
      <c r="A300">
        <v>293</v>
      </c>
      <c r="B300" s="33">
        <f>IF(AP299&lt;=0,0,ROUND(AP299+ROUND(AP299*V$3/12,2),2))</f>
      </c>
      <c r="C300" s="33">
        <f>IF(AQ299&lt;=0,0,ROUND(AQ299+ROUND(AQ299*W$3/12,2),2))</f>
      </c>
      <c r="D300" s="33">
        <f>IF(AR299&lt;=0,0,ROUND(AR299+ROUND(AR299*X$3/12,2),2))</f>
      </c>
      <c r="E300" s="33">
        <f>IF(AS299&lt;=0,0,ROUND(AS299+ROUND(AS299*Y$3/12,2),2))</f>
      </c>
      <c r="F300" s="33">
        <f>IF(AT299&lt;=0,0,ROUND(AT299+ROUND(AT299*Z$3/12,2),2))</f>
      </c>
      <c r="G300" s="33">
        <f>IF(AU299&lt;=0,0,ROUND(AU299+ROUND(AU299*AA$3/12,2),2))</f>
      </c>
      <c r="H300" s="33">
        <f>IF(AV299&lt;=0,0,ROUND(AV299+ROUND(AV299*AB$3/12,2),2))</f>
      </c>
      <c r="I300" s="33">
        <f>IF(AW299&lt;=0,0,ROUND(AW299+ROUND(AW299*AC$3/12,2),2))</f>
      </c>
      <c r="J300" s="33">
        <f>IF(AX299&lt;=0,0,ROUND(AX299+ROUND(AX299*AD$3/12,2),2))</f>
      </c>
      <c r="K300" s="33">
        <f>IF(AY299&lt;=0,0,ROUND(AY299+ROUND(AY299*AE$3/12,2),2))</f>
      </c>
      <c r="L300" s="33">
        <f>ROUND(MIN(MAX(0,N('Your debts'!$E$6)),B300),2)</f>
      </c>
      <c r="M300" s="33">
        <f>ROUND(MIN(MAX(0,N('Your debts'!$E$7)),C300),2)</f>
      </c>
      <c r="N300" s="33">
        <f>ROUND(MIN(MAX(0,N('Your debts'!$E$8)),D300),2)</f>
      </c>
      <c r="O300" s="33">
        <f>ROUND(MIN(MAX(0,N('Your debts'!$E$9)),E300),2)</f>
      </c>
      <c r="P300" s="33">
        <f>ROUND(MIN(MAX(0,N('Your debts'!$E$10)),F300),2)</f>
      </c>
      <c r="Q300" s="33">
        <f>ROUND(MIN(MAX(0,N('Your debts'!$E$11)),G300),2)</f>
      </c>
      <c r="R300" s="33">
        <f>ROUND(MIN(MAX(0,N('Your debts'!$E$12)),H300),2)</f>
      </c>
      <c r="S300" s="33">
        <f>ROUND(MIN(MAX(0,N('Your debts'!$E$13)),I300),2)</f>
      </c>
      <c r="T300" s="33">
        <f>ROUND(MIN(MAX(0,N('Your debts'!$E$14)),J300),2)</f>
      </c>
      <c r="U300" s="33">
        <f>ROUND(MIN(MAX(0,N('Your debts'!$E$15)),K300),2)</f>
      </c>
      <c r="V300" s="33">
        <f>ROUND(B300-L300,2)</f>
      </c>
      <c r="W300" s="33">
        <f>ROUND(C300-M300,2)</f>
      </c>
      <c r="X300" s="33">
        <f>ROUND(D300-N300,2)</f>
      </c>
      <c r="Y300" s="33">
        <f>ROUND(E300-O300,2)</f>
      </c>
      <c r="Z300" s="33">
        <f>ROUND(F300-P300,2)</f>
      </c>
      <c r="AA300" s="33">
        <f>ROUND(G300-Q300,2)</f>
      </c>
      <c r="AB300" s="33">
        <f>ROUND(H300-R300,2)</f>
      </c>
      <c r="AC300" s="33">
        <f>ROUND(I300-S300,2)</f>
      </c>
      <c r="AD300" s="33">
        <f>ROUND(J300-T300,2)</f>
      </c>
      <c r="AE300" s="33">
        <f>ROUND(K300-U300,2)</f>
      </c>
      <c r="AF300" s="33">
        <f>IF(V300&lt;=0,0,MAX(0,MIN(V300,ROUND($AZ300-SUMPRODUCT($V300:$AE300*($V300:$AE300&gt;0)*(($V300:$AE300&lt;V300)+($V300:$AE300=V300)*($V$3:$AE$3&gt;V$3)+($V300:$AE300=V300)*($V$3:$AE$3=V$3)*($V$2:$AE$2&lt;V$2))),2))))</f>
      </c>
      <c r="AG300" s="33">
        <f>IF(W300&lt;=0,0,MAX(0,MIN(W300,ROUND($AZ300-SUMPRODUCT($V300:$AE300*($V300:$AE300&gt;0)*(($V300:$AE300&lt;W300)+($V300:$AE300=W300)*($V$3:$AE$3&gt;W$3)+($V300:$AE300=W300)*($V$3:$AE$3=W$3)*($V$2:$AE$2&lt;W$2))),2))))</f>
      </c>
      <c r="AH300" s="33">
        <f>IF(X300&lt;=0,0,MAX(0,MIN(X300,ROUND($AZ300-SUMPRODUCT($V300:$AE300*($V300:$AE300&gt;0)*(($V300:$AE300&lt;X300)+($V300:$AE300=X300)*($V$3:$AE$3&gt;X$3)+($V300:$AE300=X300)*($V$3:$AE$3=X$3)*($V$2:$AE$2&lt;X$2))),2))))</f>
      </c>
      <c r="AI300" s="33">
        <f>IF(Y300&lt;=0,0,MAX(0,MIN(Y300,ROUND($AZ300-SUMPRODUCT($V300:$AE300*($V300:$AE300&gt;0)*(($V300:$AE300&lt;Y300)+($V300:$AE300=Y300)*($V$3:$AE$3&gt;Y$3)+($V300:$AE300=Y300)*($V$3:$AE$3=Y$3)*($V$2:$AE$2&lt;Y$2))),2))))</f>
      </c>
      <c r="AJ300" s="33">
        <f>IF(Z300&lt;=0,0,MAX(0,MIN(Z300,ROUND($AZ300-SUMPRODUCT($V300:$AE300*($V300:$AE300&gt;0)*(($V300:$AE300&lt;Z300)+($V300:$AE300=Z300)*($V$3:$AE$3&gt;Z$3)+($V300:$AE300=Z300)*($V$3:$AE$3=Z$3)*($V$2:$AE$2&lt;Z$2))),2))))</f>
      </c>
      <c r="AK300" s="33">
        <f>IF(AA300&lt;=0,0,MAX(0,MIN(AA300,ROUND($AZ300-SUMPRODUCT($V300:$AE300*($V300:$AE300&gt;0)*(($V300:$AE300&lt;AA300)+($V300:$AE300=AA300)*($V$3:$AE$3&gt;AA$3)+($V300:$AE300=AA300)*($V$3:$AE$3=AA$3)*($V$2:$AE$2&lt;AA$2))),2))))</f>
      </c>
      <c r="AL300" s="33">
        <f>IF(AB300&lt;=0,0,MAX(0,MIN(AB300,ROUND($AZ300-SUMPRODUCT($V300:$AE300*($V300:$AE300&gt;0)*(($V300:$AE300&lt;AB300)+($V300:$AE300=AB300)*($V$3:$AE$3&gt;AB$3)+($V300:$AE300=AB300)*($V$3:$AE$3=AB$3)*($V$2:$AE$2&lt;AB$2))),2))))</f>
      </c>
      <c r="AM300" s="33">
        <f>IF(AC300&lt;=0,0,MAX(0,MIN(AC300,ROUND($AZ300-SUMPRODUCT($V300:$AE300*($V300:$AE300&gt;0)*(($V300:$AE300&lt;AC300)+($V300:$AE300=AC300)*($V$3:$AE$3&gt;AC$3)+($V300:$AE300=AC300)*($V$3:$AE$3=AC$3)*($V$2:$AE$2&lt;AC$2))),2))))</f>
      </c>
      <c r="AN300" s="33">
        <f>IF(AD300&lt;=0,0,MAX(0,MIN(AD300,ROUND($AZ300-SUMPRODUCT($V300:$AE300*($V300:$AE300&gt;0)*(($V300:$AE300&lt;AD300)+($V300:$AE300=AD300)*($V$3:$AE$3&gt;AD$3)+($V300:$AE300=AD300)*($V$3:$AE$3=AD$3)*($V$2:$AE$2&lt;AD$2))),2))))</f>
      </c>
      <c r="AO300" s="33">
        <f>IF(AE300&lt;=0,0,MAX(0,MIN(AE300,ROUND($AZ300-SUMPRODUCT($V300:$AE300*($V300:$AE300&gt;0)*(($V300:$AE300&lt;AE300)+($V300:$AE300=AE300)*($V$3:$AE$3&gt;AE$3)+($V300:$AE300=AE300)*($V$3:$AE$3=AE$3)*($V$2:$AE$2&lt;AE$2))),2))))</f>
      </c>
      <c r="AP300" s="33">
        <f>ROUND(V300-AF300,2)</f>
      </c>
      <c r="AQ300" s="33">
        <f>ROUND(W300-AG300,2)</f>
      </c>
      <c r="AR300" s="33">
        <f>ROUND(X300-AH300,2)</f>
      </c>
      <c r="AS300" s="33">
        <f>ROUND(Y300-AI300,2)</f>
      </c>
      <c r="AT300" s="33">
        <f>ROUND(Z300-AJ300,2)</f>
      </c>
      <c r="AU300" s="33">
        <f>ROUND(AA300-AK300,2)</f>
      </c>
      <c r="AV300" s="33">
        <f>ROUND(AB300-AL300,2)</f>
      </c>
      <c r="AW300" s="33">
        <f>ROUND(AC300-AM300,2)</f>
      </c>
      <c r="AX300" s="33">
        <f>ROUND(AD300-AN300,2)</f>
      </c>
      <c r="AY300" s="33">
        <f>ROUND(AE300-AO300,2)</f>
      </c>
      <c r="AZ300" s="33">
        <f>ROUND(MAX(0,'Your debts'!$D$22-SUM($L300:$U300)),2)</f>
      </c>
      <c r="BA300" s="33">
        <f>ROUND(SUM($B300:$K300)-SUM($AP299:$AY299),2)</f>
      </c>
      <c r="BB300" s="33">
        <f>SUM($AP300:$AY300)</f>
      </c>
      <c r="BC300" s="33">
        <f>ROUND(SUM($L300:$U300)+SUM($AF300:$AO300),2)</f>
      </c>
    </row>
    <row r="301" spans="1:55" x14ac:dyDescent="0.25">
      <c r="A301">
        <v>294</v>
      </c>
      <c r="B301" s="33">
        <f>IF(AP300&lt;=0,0,ROUND(AP300+ROUND(AP300*V$3/12,2),2))</f>
      </c>
      <c r="C301" s="33">
        <f>IF(AQ300&lt;=0,0,ROUND(AQ300+ROUND(AQ300*W$3/12,2),2))</f>
      </c>
      <c r="D301" s="33">
        <f>IF(AR300&lt;=0,0,ROUND(AR300+ROUND(AR300*X$3/12,2),2))</f>
      </c>
      <c r="E301" s="33">
        <f>IF(AS300&lt;=0,0,ROUND(AS300+ROUND(AS300*Y$3/12,2),2))</f>
      </c>
      <c r="F301" s="33">
        <f>IF(AT300&lt;=0,0,ROUND(AT300+ROUND(AT300*Z$3/12,2),2))</f>
      </c>
      <c r="G301" s="33">
        <f>IF(AU300&lt;=0,0,ROUND(AU300+ROUND(AU300*AA$3/12,2),2))</f>
      </c>
      <c r="H301" s="33">
        <f>IF(AV300&lt;=0,0,ROUND(AV300+ROUND(AV300*AB$3/12,2),2))</f>
      </c>
      <c r="I301" s="33">
        <f>IF(AW300&lt;=0,0,ROUND(AW300+ROUND(AW300*AC$3/12,2),2))</f>
      </c>
      <c r="J301" s="33">
        <f>IF(AX300&lt;=0,0,ROUND(AX300+ROUND(AX300*AD$3/12,2),2))</f>
      </c>
      <c r="K301" s="33">
        <f>IF(AY300&lt;=0,0,ROUND(AY300+ROUND(AY300*AE$3/12,2),2))</f>
      </c>
      <c r="L301" s="33">
        <f>ROUND(MIN(MAX(0,N('Your debts'!$E$6)),B301),2)</f>
      </c>
      <c r="M301" s="33">
        <f>ROUND(MIN(MAX(0,N('Your debts'!$E$7)),C301),2)</f>
      </c>
      <c r="N301" s="33">
        <f>ROUND(MIN(MAX(0,N('Your debts'!$E$8)),D301),2)</f>
      </c>
      <c r="O301" s="33">
        <f>ROUND(MIN(MAX(0,N('Your debts'!$E$9)),E301),2)</f>
      </c>
      <c r="P301" s="33">
        <f>ROUND(MIN(MAX(0,N('Your debts'!$E$10)),F301),2)</f>
      </c>
      <c r="Q301" s="33">
        <f>ROUND(MIN(MAX(0,N('Your debts'!$E$11)),G301),2)</f>
      </c>
      <c r="R301" s="33">
        <f>ROUND(MIN(MAX(0,N('Your debts'!$E$12)),H301),2)</f>
      </c>
      <c r="S301" s="33">
        <f>ROUND(MIN(MAX(0,N('Your debts'!$E$13)),I301),2)</f>
      </c>
      <c r="T301" s="33">
        <f>ROUND(MIN(MAX(0,N('Your debts'!$E$14)),J301),2)</f>
      </c>
      <c r="U301" s="33">
        <f>ROUND(MIN(MAX(0,N('Your debts'!$E$15)),K301),2)</f>
      </c>
      <c r="V301" s="33">
        <f>ROUND(B301-L301,2)</f>
      </c>
      <c r="W301" s="33">
        <f>ROUND(C301-M301,2)</f>
      </c>
      <c r="X301" s="33">
        <f>ROUND(D301-N301,2)</f>
      </c>
      <c r="Y301" s="33">
        <f>ROUND(E301-O301,2)</f>
      </c>
      <c r="Z301" s="33">
        <f>ROUND(F301-P301,2)</f>
      </c>
      <c r="AA301" s="33">
        <f>ROUND(G301-Q301,2)</f>
      </c>
      <c r="AB301" s="33">
        <f>ROUND(H301-R301,2)</f>
      </c>
      <c r="AC301" s="33">
        <f>ROUND(I301-S301,2)</f>
      </c>
      <c r="AD301" s="33">
        <f>ROUND(J301-T301,2)</f>
      </c>
      <c r="AE301" s="33">
        <f>ROUND(K301-U301,2)</f>
      </c>
      <c r="AF301" s="33">
        <f>IF(V301&lt;=0,0,MAX(0,MIN(V301,ROUND($AZ301-SUMPRODUCT($V301:$AE301*($V301:$AE301&gt;0)*(($V301:$AE301&lt;V301)+($V301:$AE301=V301)*($V$3:$AE$3&gt;V$3)+($V301:$AE301=V301)*($V$3:$AE$3=V$3)*($V$2:$AE$2&lt;V$2))),2))))</f>
      </c>
      <c r="AG301" s="33">
        <f>IF(W301&lt;=0,0,MAX(0,MIN(W301,ROUND($AZ301-SUMPRODUCT($V301:$AE301*($V301:$AE301&gt;0)*(($V301:$AE301&lt;W301)+($V301:$AE301=W301)*($V$3:$AE$3&gt;W$3)+($V301:$AE301=W301)*($V$3:$AE$3=W$3)*($V$2:$AE$2&lt;W$2))),2))))</f>
      </c>
      <c r="AH301" s="33">
        <f>IF(X301&lt;=0,0,MAX(0,MIN(X301,ROUND($AZ301-SUMPRODUCT($V301:$AE301*($V301:$AE301&gt;0)*(($V301:$AE301&lt;X301)+($V301:$AE301=X301)*($V$3:$AE$3&gt;X$3)+($V301:$AE301=X301)*($V$3:$AE$3=X$3)*($V$2:$AE$2&lt;X$2))),2))))</f>
      </c>
      <c r="AI301" s="33">
        <f>IF(Y301&lt;=0,0,MAX(0,MIN(Y301,ROUND($AZ301-SUMPRODUCT($V301:$AE301*($V301:$AE301&gt;0)*(($V301:$AE301&lt;Y301)+($V301:$AE301=Y301)*($V$3:$AE$3&gt;Y$3)+($V301:$AE301=Y301)*($V$3:$AE$3=Y$3)*($V$2:$AE$2&lt;Y$2))),2))))</f>
      </c>
      <c r="AJ301" s="33">
        <f>IF(Z301&lt;=0,0,MAX(0,MIN(Z301,ROUND($AZ301-SUMPRODUCT($V301:$AE301*($V301:$AE301&gt;0)*(($V301:$AE301&lt;Z301)+($V301:$AE301=Z301)*($V$3:$AE$3&gt;Z$3)+($V301:$AE301=Z301)*($V$3:$AE$3=Z$3)*($V$2:$AE$2&lt;Z$2))),2))))</f>
      </c>
      <c r="AK301" s="33">
        <f>IF(AA301&lt;=0,0,MAX(0,MIN(AA301,ROUND($AZ301-SUMPRODUCT($V301:$AE301*($V301:$AE301&gt;0)*(($V301:$AE301&lt;AA301)+($V301:$AE301=AA301)*($V$3:$AE$3&gt;AA$3)+($V301:$AE301=AA301)*($V$3:$AE$3=AA$3)*($V$2:$AE$2&lt;AA$2))),2))))</f>
      </c>
      <c r="AL301" s="33">
        <f>IF(AB301&lt;=0,0,MAX(0,MIN(AB301,ROUND($AZ301-SUMPRODUCT($V301:$AE301*($V301:$AE301&gt;0)*(($V301:$AE301&lt;AB301)+($V301:$AE301=AB301)*($V$3:$AE$3&gt;AB$3)+($V301:$AE301=AB301)*($V$3:$AE$3=AB$3)*($V$2:$AE$2&lt;AB$2))),2))))</f>
      </c>
      <c r="AM301" s="33">
        <f>IF(AC301&lt;=0,0,MAX(0,MIN(AC301,ROUND($AZ301-SUMPRODUCT($V301:$AE301*($V301:$AE301&gt;0)*(($V301:$AE301&lt;AC301)+($V301:$AE301=AC301)*($V$3:$AE$3&gt;AC$3)+($V301:$AE301=AC301)*($V$3:$AE$3=AC$3)*($V$2:$AE$2&lt;AC$2))),2))))</f>
      </c>
      <c r="AN301" s="33">
        <f>IF(AD301&lt;=0,0,MAX(0,MIN(AD301,ROUND($AZ301-SUMPRODUCT($V301:$AE301*($V301:$AE301&gt;0)*(($V301:$AE301&lt;AD301)+($V301:$AE301=AD301)*($V$3:$AE$3&gt;AD$3)+($V301:$AE301=AD301)*($V$3:$AE$3=AD$3)*($V$2:$AE$2&lt;AD$2))),2))))</f>
      </c>
      <c r="AO301" s="33">
        <f>IF(AE301&lt;=0,0,MAX(0,MIN(AE301,ROUND($AZ301-SUMPRODUCT($V301:$AE301*($V301:$AE301&gt;0)*(($V301:$AE301&lt;AE301)+($V301:$AE301=AE301)*($V$3:$AE$3&gt;AE$3)+($V301:$AE301=AE301)*($V$3:$AE$3=AE$3)*($V$2:$AE$2&lt;AE$2))),2))))</f>
      </c>
      <c r="AP301" s="33">
        <f>ROUND(V301-AF301,2)</f>
      </c>
      <c r="AQ301" s="33">
        <f>ROUND(W301-AG301,2)</f>
      </c>
      <c r="AR301" s="33">
        <f>ROUND(X301-AH301,2)</f>
      </c>
      <c r="AS301" s="33">
        <f>ROUND(Y301-AI301,2)</f>
      </c>
      <c r="AT301" s="33">
        <f>ROUND(Z301-AJ301,2)</f>
      </c>
      <c r="AU301" s="33">
        <f>ROUND(AA301-AK301,2)</f>
      </c>
      <c r="AV301" s="33">
        <f>ROUND(AB301-AL301,2)</f>
      </c>
      <c r="AW301" s="33">
        <f>ROUND(AC301-AM301,2)</f>
      </c>
      <c r="AX301" s="33">
        <f>ROUND(AD301-AN301,2)</f>
      </c>
      <c r="AY301" s="33">
        <f>ROUND(AE301-AO301,2)</f>
      </c>
      <c r="AZ301" s="33">
        <f>ROUND(MAX(0,'Your debts'!$D$22-SUM($L301:$U301)),2)</f>
      </c>
      <c r="BA301" s="33">
        <f>ROUND(SUM($B301:$K301)-SUM($AP300:$AY300),2)</f>
      </c>
      <c r="BB301" s="33">
        <f>SUM($AP301:$AY301)</f>
      </c>
      <c r="BC301" s="33">
        <f>ROUND(SUM($L301:$U301)+SUM($AF301:$AO301),2)</f>
      </c>
    </row>
    <row r="302" spans="1:55" x14ac:dyDescent="0.25">
      <c r="A302">
        <v>295</v>
      </c>
      <c r="B302" s="33">
        <f>IF(AP301&lt;=0,0,ROUND(AP301+ROUND(AP301*V$3/12,2),2))</f>
      </c>
      <c r="C302" s="33">
        <f>IF(AQ301&lt;=0,0,ROUND(AQ301+ROUND(AQ301*W$3/12,2),2))</f>
      </c>
      <c r="D302" s="33">
        <f>IF(AR301&lt;=0,0,ROUND(AR301+ROUND(AR301*X$3/12,2),2))</f>
      </c>
      <c r="E302" s="33">
        <f>IF(AS301&lt;=0,0,ROUND(AS301+ROUND(AS301*Y$3/12,2),2))</f>
      </c>
      <c r="F302" s="33">
        <f>IF(AT301&lt;=0,0,ROUND(AT301+ROUND(AT301*Z$3/12,2),2))</f>
      </c>
      <c r="G302" s="33">
        <f>IF(AU301&lt;=0,0,ROUND(AU301+ROUND(AU301*AA$3/12,2),2))</f>
      </c>
      <c r="H302" s="33">
        <f>IF(AV301&lt;=0,0,ROUND(AV301+ROUND(AV301*AB$3/12,2),2))</f>
      </c>
      <c r="I302" s="33">
        <f>IF(AW301&lt;=0,0,ROUND(AW301+ROUND(AW301*AC$3/12,2),2))</f>
      </c>
      <c r="J302" s="33">
        <f>IF(AX301&lt;=0,0,ROUND(AX301+ROUND(AX301*AD$3/12,2),2))</f>
      </c>
      <c r="K302" s="33">
        <f>IF(AY301&lt;=0,0,ROUND(AY301+ROUND(AY301*AE$3/12,2),2))</f>
      </c>
      <c r="L302" s="33">
        <f>ROUND(MIN(MAX(0,N('Your debts'!$E$6)),B302),2)</f>
      </c>
      <c r="M302" s="33">
        <f>ROUND(MIN(MAX(0,N('Your debts'!$E$7)),C302),2)</f>
      </c>
      <c r="N302" s="33">
        <f>ROUND(MIN(MAX(0,N('Your debts'!$E$8)),D302),2)</f>
      </c>
      <c r="O302" s="33">
        <f>ROUND(MIN(MAX(0,N('Your debts'!$E$9)),E302),2)</f>
      </c>
      <c r="P302" s="33">
        <f>ROUND(MIN(MAX(0,N('Your debts'!$E$10)),F302),2)</f>
      </c>
      <c r="Q302" s="33">
        <f>ROUND(MIN(MAX(0,N('Your debts'!$E$11)),G302),2)</f>
      </c>
      <c r="R302" s="33">
        <f>ROUND(MIN(MAX(0,N('Your debts'!$E$12)),H302),2)</f>
      </c>
      <c r="S302" s="33">
        <f>ROUND(MIN(MAX(0,N('Your debts'!$E$13)),I302),2)</f>
      </c>
      <c r="T302" s="33">
        <f>ROUND(MIN(MAX(0,N('Your debts'!$E$14)),J302),2)</f>
      </c>
      <c r="U302" s="33">
        <f>ROUND(MIN(MAX(0,N('Your debts'!$E$15)),K302),2)</f>
      </c>
      <c r="V302" s="33">
        <f>ROUND(B302-L302,2)</f>
      </c>
      <c r="W302" s="33">
        <f>ROUND(C302-M302,2)</f>
      </c>
      <c r="X302" s="33">
        <f>ROUND(D302-N302,2)</f>
      </c>
      <c r="Y302" s="33">
        <f>ROUND(E302-O302,2)</f>
      </c>
      <c r="Z302" s="33">
        <f>ROUND(F302-P302,2)</f>
      </c>
      <c r="AA302" s="33">
        <f>ROUND(G302-Q302,2)</f>
      </c>
      <c r="AB302" s="33">
        <f>ROUND(H302-R302,2)</f>
      </c>
      <c r="AC302" s="33">
        <f>ROUND(I302-S302,2)</f>
      </c>
      <c r="AD302" s="33">
        <f>ROUND(J302-T302,2)</f>
      </c>
      <c r="AE302" s="33">
        <f>ROUND(K302-U302,2)</f>
      </c>
      <c r="AF302" s="33">
        <f>IF(V302&lt;=0,0,MAX(0,MIN(V302,ROUND($AZ302-SUMPRODUCT($V302:$AE302*($V302:$AE302&gt;0)*(($V302:$AE302&lt;V302)+($V302:$AE302=V302)*($V$3:$AE$3&gt;V$3)+($V302:$AE302=V302)*($V$3:$AE$3=V$3)*($V$2:$AE$2&lt;V$2))),2))))</f>
      </c>
      <c r="AG302" s="33">
        <f>IF(W302&lt;=0,0,MAX(0,MIN(W302,ROUND($AZ302-SUMPRODUCT($V302:$AE302*($V302:$AE302&gt;0)*(($V302:$AE302&lt;W302)+($V302:$AE302=W302)*($V$3:$AE$3&gt;W$3)+($V302:$AE302=W302)*($V$3:$AE$3=W$3)*($V$2:$AE$2&lt;W$2))),2))))</f>
      </c>
      <c r="AH302" s="33">
        <f>IF(X302&lt;=0,0,MAX(0,MIN(X302,ROUND($AZ302-SUMPRODUCT($V302:$AE302*($V302:$AE302&gt;0)*(($V302:$AE302&lt;X302)+($V302:$AE302=X302)*($V$3:$AE$3&gt;X$3)+($V302:$AE302=X302)*($V$3:$AE$3=X$3)*($V$2:$AE$2&lt;X$2))),2))))</f>
      </c>
      <c r="AI302" s="33">
        <f>IF(Y302&lt;=0,0,MAX(0,MIN(Y302,ROUND($AZ302-SUMPRODUCT($V302:$AE302*($V302:$AE302&gt;0)*(($V302:$AE302&lt;Y302)+($V302:$AE302=Y302)*($V$3:$AE$3&gt;Y$3)+($V302:$AE302=Y302)*($V$3:$AE$3=Y$3)*($V$2:$AE$2&lt;Y$2))),2))))</f>
      </c>
      <c r="AJ302" s="33">
        <f>IF(Z302&lt;=0,0,MAX(0,MIN(Z302,ROUND($AZ302-SUMPRODUCT($V302:$AE302*($V302:$AE302&gt;0)*(($V302:$AE302&lt;Z302)+($V302:$AE302=Z302)*($V$3:$AE$3&gt;Z$3)+($V302:$AE302=Z302)*($V$3:$AE$3=Z$3)*($V$2:$AE$2&lt;Z$2))),2))))</f>
      </c>
      <c r="AK302" s="33">
        <f>IF(AA302&lt;=0,0,MAX(0,MIN(AA302,ROUND($AZ302-SUMPRODUCT($V302:$AE302*($V302:$AE302&gt;0)*(($V302:$AE302&lt;AA302)+($V302:$AE302=AA302)*($V$3:$AE$3&gt;AA$3)+($V302:$AE302=AA302)*($V$3:$AE$3=AA$3)*($V$2:$AE$2&lt;AA$2))),2))))</f>
      </c>
      <c r="AL302" s="33">
        <f>IF(AB302&lt;=0,0,MAX(0,MIN(AB302,ROUND($AZ302-SUMPRODUCT($V302:$AE302*($V302:$AE302&gt;0)*(($V302:$AE302&lt;AB302)+($V302:$AE302=AB302)*($V$3:$AE$3&gt;AB$3)+($V302:$AE302=AB302)*($V$3:$AE$3=AB$3)*($V$2:$AE$2&lt;AB$2))),2))))</f>
      </c>
      <c r="AM302" s="33">
        <f>IF(AC302&lt;=0,0,MAX(0,MIN(AC302,ROUND($AZ302-SUMPRODUCT($V302:$AE302*($V302:$AE302&gt;0)*(($V302:$AE302&lt;AC302)+($V302:$AE302=AC302)*($V$3:$AE$3&gt;AC$3)+($V302:$AE302=AC302)*($V$3:$AE$3=AC$3)*($V$2:$AE$2&lt;AC$2))),2))))</f>
      </c>
      <c r="AN302" s="33">
        <f>IF(AD302&lt;=0,0,MAX(0,MIN(AD302,ROUND($AZ302-SUMPRODUCT($V302:$AE302*($V302:$AE302&gt;0)*(($V302:$AE302&lt;AD302)+($V302:$AE302=AD302)*($V$3:$AE$3&gt;AD$3)+($V302:$AE302=AD302)*($V$3:$AE$3=AD$3)*($V$2:$AE$2&lt;AD$2))),2))))</f>
      </c>
      <c r="AO302" s="33">
        <f>IF(AE302&lt;=0,0,MAX(0,MIN(AE302,ROUND($AZ302-SUMPRODUCT($V302:$AE302*($V302:$AE302&gt;0)*(($V302:$AE302&lt;AE302)+($V302:$AE302=AE302)*($V$3:$AE$3&gt;AE$3)+($V302:$AE302=AE302)*($V$3:$AE$3=AE$3)*($V$2:$AE$2&lt;AE$2))),2))))</f>
      </c>
      <c r="AP302" s="33">
        <f>ROUND(V302-AF302,2)</f>
      </c>
      <c r="AQ302" s="33">
        <f>ROUND(W302-AG302,2)</f>
      </c>
      <c r="AR302" s="33">
        <f>ROUND(X302-AH302,2)</f>
      </c>
      <c r="AS302" s="33">
        <f>ROUND(Y302-AI302,2)</f>
      </c>
      <c r="AT302" s="33">
        <f>ROUND(Z302-AJ302,2)</f>
      </c>
      <c r="AU302" s="33">
        <f>ROUND(AA302-AK302,2)</f>
      </c>
      <c r="AV302" s="33">
        <f>ROUND(AB302-AL302,2)</f>
      </c>
      <c r="AW302" s="33">
        <f>ROUND(AC302-AM302,2)</f>
      </c>
      <c r="AX302" s="33">
        <f>ROUND(AD302-AN302,2)</f>
      </c>
      <c r="AY302" s="33">
        <f>ROUND(AE302-AO302,2)</f>
      </c>
      <c r="AZ302" s="33">
        <f>ROUND(MAX(0,'Your debts'!$D$22-SUM($L302:$U302)),2)</f>
      </c>
      <c r="BA302" s="33">
        <f>ROUND(SUM($B302:$K302)-SUM($AP301:$AY301),2)</f>
      </c>
      <c r="BB302" s="33">
        <f>SUM($AP302:$AY302)</f>
      </c>
      <c r="BC302" s="33">
        <f>ROUND(SUM($L302:$U302)+SUM($AF302:$AO302),2)</f>
      </c>
    </row>
    <row r="303" spans="1:55" x14ac:dyDescent="0.25">
      <c r="A303">
        <v>296</v>
      </c>
      <c r="B303" s="33">
        <f>IF(AP302&lt;=0,0,ROUND(AP302+ROUND(AP302*V$3/12,2),2))</f>
      </c>
      <c r="C303" s="33">
        <f>IF(AQ302&lt;=0,0,ROUND(AQ302+ROUND(AQ302*W$3/12,2),2))</f>
      </c>
      <c r="D303" s="33">
        <f>IF(AR302&lt;=0,0,ROUND(AR302+ROUND(AR302*X$3/12,2),2))</f>
      </c>
      <c r="E303" s="33">
        <f>IF(AS302&lt;=0,0,ROUND(AS302+ROUND(AS302*Y$3/12,2),2))</f>
      </c>
      <c r="F303" s="33">
        <f>IF(AT302&lt;=0,0,ROUND(AT302+ROUND(AT302*Z$3/12,2),2))</f>
      </c>
      <c r="G303" s="33">
        <f>IF(AU302&lt;=0,0,ROUND(AU302+ROUND(AU302*AA$3/12,2),2))</f>
      </c>
      <c r="H303" s="33">
        <f>IF(AV302&lt;=0,0,ROUND(AV302+ROUND(AV302*AB$3/12,2),2))</f>
      </c>
      <c r="I303" s="33">
        <f>IF(AW302&lt;=0,0,ROUND(AW302+ROUND(AW302*AC$3/12,2),2))</f>
      </c>
      <c r="J303" s="33">
        <f>IF(AX302&lt;=0,0,ROUND(AX302+ROUND(AX302*AD$3/12,2),2))</f>
      </c>
      <c r="K303" s="33">
        <f>IF(AY302&lt;=0,0,ROUND(AY302+ROUND(AY302*AE$3/12,2),2))</f>
      </c>
      <c r="L303" s="33">
        <f>ROUND(MIN(MAX(0,N('Your debts'!$E$6)),B303),2)</f>
      </c>
      <c r="M303" s="33">
        <f>ROUND(MIN(MAX(0,N('Your debts'!$E$7)),C303),2)</f>
      </c>
      <c r="N303" s="33">
        <f>ROUND(MIN(MAX(0,N('Your debts'!$E$8)),D303),2)</f>
      </c>
      <c r="O303" s="33">
        <f>ROUND(MIN(MAX(0,N('Your debts'!$E$9)),E303),2)</f>
      </c>
      <c r="P303" s="33">
        <f>ROUND(MIN(MAX(0,N('Your debts'!$E$10)),F303),2)</f>
      </c>
      <c r="Q303" s="33">
        <f>ROUND(MIN(MAX(0,N('Your debts'!$E$11)),G303),2)</f>
      </c>
      <c r="R303" s="33">
        <f>ROUND(MIN(MAX(0,N('Your debts'!$E$12)),H303),2)</f>
      </c>
      <c r="S303" s="33">
        <f>ROUND(MIN(MAX(0,N('Your debts'!$E$13)),I303),2)</f>
      </c>
      <c r="T303" s="33">
        <f>ROUND(MIN(MAX(0,N('Your debts'!$E$14)),J303),2)</f>
      </c>
      <c r="U303" s="33">
        <f>ROUND(MIN(MAX(0,N('Your debts'!$E$15)),K303),2)</f>
      </c>
      <c r="V303" s="33">
        <f>ROUND(B303-L303,2)</f>
      </c>
      <c r="W303" s="33">
        <f>ROUND(C303-M303,2)</f>
      </c>
      <c r="X303" s="33">
        <f>ROUND(D303-N303,2)</f>
      </c>
      <c r="Y303" s="33">
        <f>ROUND(E303-O303,2)</f>
      </c>
      <c r="Z303" s="33">
        <f>ROUND(F303-P303,2)</f>
      </c>
      <c r="AA303" s="33">
        <f>ROUND(G303-Q303,2)</f>
      </c>
      <c r="AB303" s="33">
        <f>ROUND(H303-R303,2)</f>
      </c>
      <c r="AC303" s="33">
        <f>ROUND(I303-S303,2)</f>
      </c>
      <c r="AD303" s="33">
        <f>ROUND(J303-T303,2)</f>
      </c>
      <c r="AE303" s="33">
        <f>ROUND(K303-U303,2)</f>
      </c>
      <c r="AF303" s="33">
        <f>IF(V303&lt;=0,0,MAX(0,MIN(V303,ROUND($AZ303-SUMPRODUCT($V303:$AE303*($V303:$AE303&gt;0)*(($V303:$AE303&lt;V303)+($V303:$AE303=V303)*($V$3:$AE$3&gt;V$3)+($V303:$AE303=V303)*($V$3:$AE$3=V$3)*($V$2:$AE$2&lt;V$2))),2))))</f>
      </c>
      <c r="AG303" s="33">
        <f>IF(W303&lt;=0,0,MAX(0,MIN(W303,ROUND($AZ303-SUMPRODUCT($V303:$AE303*($V303:$AE303&gt;0)*(($V303:$AE303&lt;W303)+($V303:$AE303=W303)*($V$3:$AE$3&gt;W$3)+($V303:$AE303=W303)*($V$3:$AE$3=W$3)*($V$2:$AE$2&lt;W$2))),2))))</f>
      </c>
      <c r="AH303" s="33">
        <f>IF(X303&lt;=0,0,MAX(0,MIN(X303,ROUND($AZ303-SUMPRODUCT($V303:$AE303*($V303:$AE303&gt;0)*(($V303:$AE303&lt;X303)+($V303:$AE303=X303)*($V$3:$AE$3&gt;X$3)+($V303:$AE303=X303)*($V$3:$AE$3=X$3)*($V$2:$AE$2&lt;X$2))),2))))</f>
      </c>
      <c r="AI303" s="33">
        <f>IF(Y303&lt;=0,0,MAX(0,MIN(Y303,ROUND($AZ303-SUMPRODUCT($V303:$AE303*($V303:$AE303&gt;0)*(($V303:$AE303&lt;Y303)+($V303:$AE303=Y303)*($V$3:$AE$3&gt;Y$3)+($V303:$AE303=Y303)*($V$3:$AE$3=Y$3)*($V$2:$AE$2&lt;Y$2))),2))))</f>
      </c>
      <c r="AJ303" s="33">
        <f>IF(Z303&lt;=0,0,MAX(0,MIN(Z303,ROUND($AZ303-SUMPRODUCT($V303:$AE303*($V303:$AE303&gt;0)*(($V303:$AE303&lt;Z303)+($V303:$AE303=Z303)*($V$3:$AE$3&gt;Z$3)+($V303:$AE303=Z303)*($V$3:$AE$3=Z$3)*($V$2:$AE$2&lt;Z$2))),2))))</f>
      </c>
      <c r="AK303" s="33">
        <f>IF(AA303&lt;=0,0,MAX(0,MIN(AA303,ROUND($AZ303-SUMPRODUCT($V303:$AE303*($V303:$AE303&gt;0)*(($V303:$AE303&lt;AA303)+($V303:$AE303=AA303)*($V$3:$AE$3&gt;AA$3)+($V303:$AE303=AA303)*($V$3:$AE$3=AA$3)*($V$2:$AE$2&lt;AA$2))),2))))</f>
      </c>
      <c r="AL303" s="33">
        <f>IF(AB303&lt;=0,0,MAX(0,MIN(AB303,ROUND($AZ303-SUMPRODUCT($V303:$AE303*($V303:$AE303&gt;0)*(($V303:$AE303&lt;AB303)+($V303:$AE303=AB303)*($V$3:$AE$3&gt;AB$3)+($V303:$AE303=AB303)*($V$3:$AE$3=AB$3)*($V$2:$AE$2&lt;AB$2))),2))))</f>
      </c>
      <c r="AM303" s="33">
        <f>IF(AC303&lt;=0,0,MAX(0,MIN(AC303,ROUND($AZ303-SUMPRODUCT($V303:$AE303*($V303:$AE303&gt;0)*(($V303:$AE303&lt;AC303)+($V303:$AE303=AC303)*($V$3:$AE$3&gt;AC$3)+($V303:$AE303=AC303)*($V$3:$AE$3=AC$3)*($V$2:$AE$2&lt;AC$2))),2))))</f>
      </c>
      <c r="AN303" s="33">
        <f>IF(AD303&lt;=0,0,MAX(0,MIN(AD303,ROUND($AZ303-SUMPRODUCT($V303:$AE303*($V303:$AE303&gt;0)*(($V303:$AE303&lt;AD303)+($V303:$AE303=AD303)*($V$3:$AE$3&gt;AD$3)+($V303:$AE303=AD303)*($V$3:$AE$3=AD$3)*($V$2:$AE$2&lt;AD$2))),2))))</f>
      </c>
      <c r="AO303" s="33">
        <f>IF(AE303&lt;=0,0,MAX(0,MIN(AE303,ROUND($AZ303-SUMPRODUCT($V303:$AE303*($V303:$AE303&gt;0)*(($V303:$AE303&lt;AE303)+($V303:$AE303=AE303)*($V$3:$AE$3&gt;AE$3)+($V303:$AE303=AE303)*($V$3:$AE$3=AE$3)*($V$2:$AE$2&lt;AE$2))),2))))</f>
      </c>
      <c r="AP303" s="33">
        <f>ROUND(V303-AF303,2)</f>
      </c>
      <c r="AQ303" s="33">
        <f>ROUND(W303-AG303,2)</f>
      </c>
      <c r="AR303" s="33">
        <f>ROUND(X303-AH303,2)</f>
      </c>
      <c r="AS303" s="33">
        <f>ROUND(Y303-AI303,2)</f>
      </c>
      <c r="AT303" s="33">
        <f>ROUND(Z303-AJ303,2)</f>
      </c>
      <c r="AU303" s="33">
        <f>ROUND(AA303-AK303,2)</f>
      </c>
      <c r="AV303" s="33">
        <f>ROUND(AB303-AL303,2)</f>
      </c>
      <c r="AW303" s="33">
        <f>ROUND(AC303-AM303,2)</f>
      </c>
      <c r="AX303" s="33">
        <f>ROUND(AD303-AN303,2)</f>
      </c>
      <c r="AY303" s="33">
        <f>ROUND(AE303-AO303,2)</f>
      </c>
      <c r="AZ303" s="33">
        <f>ROUND(MAX(0,'Your debts'!$D$22-SUM($L303:$U303)),2)</f>
      </c>
      <c r="BA303" s="33">
        <f>ROUND(SUM($B303:$K303)-SUM($AP302:$AY302),2)</f>
      </c>
      <c r="BB303" s="33">
        <f>SUM($AP303:$AY303)</f>
      </c>
      <c r="BC303" s="33">
        <f>ROUND(SUM($L303:$U303)+SUM($AF303:$AO303),2)</f>
      </c>
    </row>
    <row r="304" spans="1:55" x14ac:dyDescent="0.25">
      <c r="A304">
        <v>297</v>
      </c>
      <c r="B304" s="33">
        <f>IF(AP303&lt;=0,0,ROUND(AP303+ROUND(AP303*V$3/12,2),2))</f>
      </c>
      <c r="C304" s="33">
        <f>IF(AQ303&lt;=0,0,ROUND(AQ303+ROUND(AQ303*W$3/12,2),2))</f>
      </c>
      <c r="D304" s="33">
        <f>IF(AR303&lt;=0,0,ROUND(AR303+ROUND(AR303*X$3/12,2),2))</f>
      </c>
      <c r="E304" s="33">
        <f>IF(AS303&lt;=0,0,ROUND(AS303+ROUND(AS303*Y$3/12,2),2))</f>
      </c>
      <c r="F304" s="33">
        <f>IF(AT303&lt;=0,0,ROUND(AT303+ROUND(AT303*Z$3/12,2),2))</f>
      </c>
      <c r="G304" s="33">
        <f>IF(AU303&lt;=0,0,ROUND(AU303+ROUND(AU303*AA$3/12,2),2))</f>
      </c>
      <c r="H304" s="33">
        <f>IF(AV303&lt;=0,0,ROUND(AV303+ROUND(AV303*AB$3/12,2),2))</f>
      </c>
      <c r="I304" s="33">
        <f>IF(AW303&lt;=0,0,ROUND(AW303+ROUND(AW303*AC$3/12,2),2))</f>
      </c>
      <c r="J304" s="33">
        <f>IF(AX303&lt;=0,0,ROUND(AX303+ROUND(AX303*AD$3/12,2),2))</f>
      </c>
      <c r="K304" s="33">
        <f>IF(AY303&lt;=0,0,ROUND(AY303+ROUND(AY303*AE$3/12,2),2))</f>
      </c>
      <c r="L304" s="33">
        <f>ROUND(MIN(MAX(0,N('Your debts'!$E$6)),B304),2)</f>
      </c>
      <c r="M304" s="33">
        <f>ROUND(MIN(MAX(0,N('Your debts'!$E$7)),C304),2)</f>
      </c>
      <c r="N304" s="33">
        <f>ROUND(MIN(MAX(0,N('Your debts'!$E$8)),D304),2)</f>
      </c>
      <c r="O304" s="33">
        <f>ROUND(MIN(MAX(0,N('Your debts'!$E$9)),E304),2)</f>
      </c>
      <c r="P304" s="33">
        <f>ROUND(MIN(MAX(0,N('Your debts'!$E$10)),F304),2)</f>
      </c>
      <c r="Q304" s="33">
        <f>ROUND(MIN(MAX(0,N('Your debts'!$E$11)),G304),2)</f>
      </c>
      <c r="R304" s="33">
        <f>ROUND(MIN(MAX(0,N('Your debts'!$E$12)),H304),2)</f>
      </c>
      <c r="S304" s="33">
        <f>ROUND(MIN(MAX(0,N('Your debts'!$E$13)),I304),2)</f>
      </c>
      <c r="T304" s="33">
        <f>ROUND(MIN(MAX(0,N('Your debts'!$E$14)),J304),2)</f>
      </c>
      <c r="U304" s="33">
        <f>ROUND(MIN(MAX(0,N('Your debts'!$E$15)),K304),2)</f>
      </c>
      <c r="V304" s="33">
        <f>ROUND(B304-L304,2)</f>
      </c>
      <c r="W304" s="33">
        <f>ROUND(C304-M304,2)</f>
      </c>
      <c r="X304" s="33">
        <f>ROUND(D304-N304,2)</f>
      </c>
      <c r="Y304" s="33">
        <f>ROUND(E304-O304,2)</f>
      </c>
      <c r="Z304" s="33">
        <f>ROUND(F304-P304,2)</f>
      </c>
      <c r="AA304" s="33">
        <f>ROUND(G304-Q304,2)</f>
      </c>
      <c r="AB304" s="33">
        <f>ROUND(H304-R304,2)</f>
      </c>
      <c r="AC304" s="33">
        <f>ROUND(I304-S304,2)</f>
      </c>
      <c r="AD304" s="33">
        <f>ROUND(J304-T304,2)</f>
      </c>
      <c r="AE304" s="33">
        <f>ROUND(K304-U304,2)</f>
      </c>
      <c r="AF304" s="33">
        <f>IF(V304&lt;=0,0,MAX(0,MIN(V304,ROUND($AZ304-SUMPRODUCT($V304:$AE304*($V304:$AE304&gt;0)*(($V304:$AE304&lt;V304)+($V304:$AE304=V304)*($V$3:$AE$3&gt;V$3)+($V304:$AE304=V304)*($V$3:$AE$3=V$3)*($V$2:$AE$2&lt;V$2))),2))))</f>
      </c>
      <c r="AG304" s="33">
        <f>IF(W304&lt;=0,0,MAX(0,MIN(W304,ROUND($AZ304-SUMPRODUCT($V304:$AE304*($V304:$AE304&gt;0)*(($V304:$AE304&lt;W304)+($V304:$AE304=W304)*($V$3:$AE$3&gt;W$3)+($V304:$AE304=W304)*($V$3:$AE$3=W$3)*($V$2:$AE$2&lt;W$2))),2))))</f>
      </c>
      <c r="AH304" s="33">
        <f>IF(X304&lt;=0,0,MAX(0,MIN(X304,ROUND($AZ304-SUMPRODUCT($V304:$AE304*($V304:$AE304&gt;0)*(($V304:$AE304&lt;X304)+($V304:$AE304=X304)*($V$3:$AE$3&gt;X$3)+($V304:$AE304=X304)*($V$3:$AE$3=X$3)*($V$2:$AE$2&lt;X$2))),2))))</f>
      </c>
      <c r="AI304" s="33">
        <f>IF(Y304&lt;=0,0,MAX(0,MIN(Y304,ROUND($AZ304-SUMPRODUCT($V304:$AE304*($V304:$AE304&gt;0)*(($V304:$AE304&lt;Y304)+($V304:$AE304=Y304)*($V$3:$AE$3&gt;Y$3)+($V304:$AE304=Y304)*($V$3:$AE$3=Y$3)*($V$2:$AE$2&lt;Y$2))),2))))</f>
      </c>
      <c r="AJ304" s="33">
        <f>IF(Z304&lt;=0,0,MAX(0,MIN(Z304,ROUND($AZ304-SUMPRODUCT($V304:$AE304*($V304:$AE304&gt;0)*(($V304:$AE304&lt;Z304)+($V304:$AE304=Z304)*($V$3:$AE$3&gt;Z$3)+($V304:$AE304=Z304)*($V$3:$AE$3=Z$3)*($V$2:$AE$2&lt;Z$2))),2))))</f>
      </c>
      <c r="AK304" s="33">
        <f>IF(AA304&lt;=0,0,MAX(0,MIN(AA304,ROUND($AZ304-SUMPRODUCT($V304:$AE304*($V304:$AE304&gt;0)*(($V304:$AE304&lt;AA304)+($V304:$AE304=AA304)*($V$3:$AE$3&gt;AA$3)+($V304:$AE304=AA304)*($V$3:$AE$3=AA$3)*($V$2:$AE$2&lt;AA$2))),2))))</f>
      </c>
      <c r="AL304" s="33">
        <f>IF(AB304&lt;=0,0,MAX(0,MIN(AB304,ROUND($AZ304-SUMPRODUCT($V304:$AE304*($V304:$AE304&gt;0)*(($V304:$AE304&lt;AB304)+($V304:$AE304=AB304)*($V$3:$AE$3&gt;AB$3)+($V304:$AE304=AB304)*($V$3:$AE$3=AB$3)*($V$2:$AE$2&lt;AB$2))),2))))</f>
      </c>
      <c r="AM304" s="33">
        <f>IF(AC304&lt;=0,0,MAX(0,MIN(AC304,ROUND($AZ304-SUMPRODUCT($V304:$AE304*($V304:$AE304&gt;0)*(($V304:$AE304&lt;AC304)+($V304:$AE304=AC304)*($V$3:$AE$3&gt;AC$3)+($V304:$AE304=AC304)*($V$3:$AE$3=AC$3)*($V$2:$AE$2&lt;AC$2))),2))))</f>
      </c>
      <c r="AN304" s="33">
        <f>IF(AD304&lt;=0,0,MAX(0,MIN(AD304,ROUND($AZ304-SUMPRODUCT($V304:$AE304*($V304:$AE304&gt;0)*(($V304:$AE304&lt;AD304)+($V304:$AE304=AD304)*($V$3:$AE$3&gt;AD$3)+($V304:$AE304=AD304)*($V$3:$AE$3=AD$3)*($V$2:$AE$2&lt;AD$2))),2))))</f>
      </c>
      <c r="AO304" s="33">
        <f>IF(AE304&lt;=0,0,MAX(0,MIN(AE304,ROUND($AZ304-SUMPRODUCT($V304:$AE304*($V304:$AE304&gt;0)*(($V304:$AE304&lt;AE304)+($V304:$AE304=AE304)*($V$3:$AE$3&gt;AE$3)+($V304:$AE304=AE304)*($V$3:$AE$3=AE$3)*($V$2:$AE$2&lt;AE$2))),2))))</f>
      </c>
      <c r="AP304" s="33">
        <f>ROUND(V304-AF304,2)</f>
      </c>
      <c r="AQ304" s="33">
        <f>ROUND(W304-AG304,2)</f>
      </c>
      <c r="AR304" s="33">
        <f>ROUND(X304-AH304,2)</f>
      </c>
      <c r="AS304" s="33">
        <f>ROUND(Y304-AI304,2)</f>
      </c>
      <c r="AT304" s="33">
        <f>ROUND(Z304-AJ304,2)</f>
      </c>
      <c r="AU304" s="33">
        <f>ROUND(AA304-AK304,2)</f>
      </c>
      <c r="AV304" s="33">
        <f>ROUND(AB304-AL304,2)</f>
      </c>
      <c r="AW304" s="33">
        <f>ROUND(AC304-AM304,2)</f>
      </c>
      <c r="AX304" s="33">
        <f>ROUND(AD304-AN304,2)</f>
      </c>
      <c r="AY304" s="33">
        <f>ROUND(AE304-AO304,2)</f>
      </c>
      <c r="AZ304" s="33">
        <f>ROUND(MAX(0,'Your debts'!$D$22-SUM($L304:$U304)),2)</f>
      </c>
      <c r="BA304" s="33">
        <f>ROUND(SUM($B304:$K304)-SUM($AP303:$AY303),2)</f>
      </c>
      <c r="BB304" s="33">
        <f>SUM($AP304:$AY304)</f>
      </c>
      <c r="BC304" s="33">
        <f>ROUND(SUM($L304:$U304)+SUM($AF304:$AO304),2)</f>
      </c>
    </row>
    <row r="305" spans="1:55" x14ac:dyDescent="0.25">
      <c r="A305">
        <v>298</v>
      </c>
      <c r="B305" s="33">
        <f>IF(AP304&lt;=0,0,ROUND(AP304+ROUND(AP304*V$3/12,2),2))</f>
      </c>
      <c r="C305" s="33">
        <f>IF(AQ304&lt;=0,0,ROUND(AQ304+ROUND(AQ304*W$3/12,2),2))</f>
      </c>
      <c r="D305" s="33">
        <f>IF(AR304&lt;=0,0,ROUND(AR304+ROUND(AR304*X$3/12,2),2))</f>
      </c>
      <c r="E305" s="33">
        <f>IF(AS304&lt;=0,0,ROUND(AS304+ROUND(AS304*Y$3/12,2),2))</f>
      </c>
      <c r="F305" s="33">
        <f>IF(AT304&lt;=0,0,ROUND(AT304+ROUND(AT304*Z$3/12,2),2))</f>
      </c>
      <c r="G305" s="33">
        <f>IF(AU304&lt;=0,0,ROUND(AU304+ROUND(AU304*AA$3/12,2),2))</f>
      </c>
      <c r="H305" s="33">
        <f>IF(AV304&lt;=0,0,ROUND(AV304+ROUND(AV304*AB$3/12,2),2))</f>
      </c>
      <c r="I305" s="33">
        <f>IF(AW304&lt;=0,0,ROUND(AW304+ROUND(AW304*AC$3/12,2),2))</f>
      </c>
      <c r="J305" s="33">
        <f>IF(AX304&lt;=0,0,ROUND(AX304+ROUND(AX304*AD$3/12,2),2))</f>
      </c>
      <c r="K305" s="33">
        <f>IF(AY304&lt;=0,0,ROUND(AY304+ROUND(AY304*AE$3/12,2),2))</f>
      </c>
      <c r="L305" s="33">
        <f>ROUND(MIN(MAX(0,N('Your debts'!$E$6)),B305),2)</f>
      </c>
      <c r="M305" s="33">
        <f>ROUND(MIN(MAX(0,N('Your debts'!$E$7)),C305),2)</f>
      </c>
      <c r="N305" s="33">
        <f>ROUND(MIN(MAX(0,N('Your debts'!$E$8)),D305),2)</f>
      </c>
      <c r="O305" s="33">
        <f>ROUND(MIN(MAX(0,N('Your debts'!$E$9)),E305),2)</f>
      </c>
      <c r="P305" s="33">
        <f>ROUND(MIN(MAX(0,N('Your debts'!$E$10)),F305),2)</f>
      </c>
      <c r="Q305" s="33">
        <f>ROUND(MIN(MAX(0,N('Your debts'!$E$11)),G305),2)</f>
      </c>
      <c r="R305" s="33">
        <f>ROUND(MIN(MAX(0,N('Your debts'!$E$12)),H305),2)</f>
      </c>
      <c r="S305" s="33">
        <f>ROUND(MIN(MAX(0,N('Your debts'!$E$13)),I305),2)</f>
      </c>
      <c r="T305" s="33">
        <f>ROUND(MIN(MAX(0,N('Your debts'!$E$14)),J305),2)</f>
      </c>
      <c r="U305" s="33">
        <f>ROUND(MIN(MAX(0,N('Your debts'!$E$15)),K305),2)</f>
      </c>
      <c r="V305" s="33">
        <f>ROUND(B305-L305,2)</f>
      </c>
      <c r="W305" s="33">
        <f>ROUND(C305-M305,2)</f>
      </c>
      <c r="X305" s="33">
        <f>ROUND(D305-N305,2)</f>
      </c>
      <c r="Y305" s="33">
        <f>ROUND(E305-O305,2)</f>
      </c>
      <c r="Z305" s="33">
        <f>ROUND(F305-P305,2)</f>
      </c>
      <c r="AA305" s="33">
        <f>ROUND(G305-Q305,2)</f>
      </c>
      <c r="AB305" s="33">
        <f>ROUND(H305-R305,2)</f>
      </c>
      <c r="AC305" s="33">
        <f>ROUND(I305-S305,2)</f>
      </c>
      <c r="AD305" s="33">
        <f>ROUND(J305-T305,2)</f>
      </c>
      <c r="AE305" s="33">
        <f>ROUND(K305-U305,2)</f>
      </c>
      <c r="AF305" s="33">
        <f>IF(V305&lt;=0,0,MAX(0,MIN(V305,ROUND($AZ305-SUMPRODUCT($V305:$AE305*($V305:$AE305&gt;0)*(($V305:$AE305&lt;V305)+($V305:$AE305=V305)*($V$3:$AE$3&gt;V$3)+($V305:$AE305=V305)*($V$3:$AE$3=V$3)*($V$2:$AE$2&lt;V$2))),2))))</f>
      </c>
      <c r="AG305" s="33">
        <f>IF(W305&lt;=0,0,MAX(0,MIN(W305,ROUND($AZ305-SUMPRODUCT($V305:$AE305*($V305:$AE305&gt;0)*(($V305:$AE305&lt;W305)+($V305:$AE305=W305)*($V$3:$AE$3&gt;W$3)+($V305:$AE305=W305)*($V$3:$AE$3=W$3)*($V$2:$AE$2&lt;W$2))),2))))</f>
      </c>
      <c r="AH305" s="33">
        <f>IF(X305&lt;=0,0,MAX(0,MIN(X305,ROUND($AZ305-SUMPRODUCT($V305:$AE305*($V305:$AE305&gt;0)*(($V305:$AE305&lt;X305)+($V305:$AE305=X305)*($V$3:$AE$3&gt;X$3)+($V305:$AE305=X305)*($V$3:$AE$3=X$3)*($V$2:$AE$2&lt;X$2))),2))))</f>
      </c>
      <c r="AI305" s="33">
        <f>IF(Y305&lt;=0,0,MAX(0,MIN(Y305,ROUND($AZ305-SUMPRODUCT($V305:$AE305*($V305:$AE305&gt;0)*(($V305:$AE305&lt;Y305)+($V305:$AE305=Y305)*($V$3:$AE$3&gt;Y$3)+($V305:$AE305=Y305)*($V$3:$AE$3=Y$3)*($V$2:$AE$2&lt;Y$2))),2))))</f>
      </c>
      <c r="AJ305" s="33">
        <f>IF(Z305&lt;=0,0,MAX(0,MIN(Z305,ROUND($AZ305-SUMPRODUCT($V305:$AE305*($V305:$AE305&gt;0)*(($V305:$AE305&lt;Z305)+($V305:$AE305=Z305)*($V$3:$AE$3&gt;Z$3)+($V305:$AE305=Z305)*($V$3:$AE$3=Z$3)*($V$2:$AE$2&lt;Z$2))),2))))</f>
      </c>
      <c r="AK305" s="33">
        <f>IF(AA305&lt;=0,0,MAX(0,MIN(AA305,ROUND($AZ305-SUMPRODUCT($V305:$AE305*($V305:$AE305&gt;0)*(($V305:$AE305&lt;AA305)+($V305:$AE305=AA305)*($V$3:$AE$3&gt;AA$3)+($V305:$AE305=AA305)*($V$3:$AE$3=AA$3)*($V$2:$AE$2&lt;AA$2))),2))))</f>
      </c>
      <c r="AL305" s="33">
        <f>IF(AB305&lt;=0,0,MAX(0,MIN(AB305,ROUND($AZ305-SUMPRODUCT($V305:$AE305*($V305:$AE305&gt;0)*(($V305:$AE305&lt;AB305)+($V305:$AE305=AB305)*($V$3:$AE$3&gt;AB$3)+($V305:$AE305=AB305)*($V$3:$AE$3=AB$3)*($V$2:$AE$2&lt;AB$2))),2))))</f>
      </c>
      <c r="AM305" s="33">
        <f>IF(AC305&lt;=0,0,MAX(0,MIN(AC305,ROUND($AZ305-SUMPRODUCT($V305:$AE305*($V305:$AE305&gt;0)*(($V305:$AE305&lt;AC305)+($V305:$AE305=AC305)*($V$3:$AE$3&gt;AC$3)+($V305:$AE305=AC305)*($V$3:$AE$3=AC$3)*($V$2:$AE$2&lt;AC$2))),2))))</f>
      </c>
      <c r="AN305" s="33">
        <f>IF(AD305&lt;=0,0,MAX(0,MIN(AD305,ROUND($AZ305-SUMPRODUCT($V305:$AE305*($V305:$AE305&gt;0)*(($V305:$AE305&lt;AD305)+($V305:$AE305=AD305)*($V$3:$AE$3&gt;AD$3)+($V305:$AE305=AD305)*($V$3:$AE$3=AD$3)*($V$2:$AE$2&lt;AD$2))),2))))</f>
      </c>
      <c r="AO305" s="33">
        <f>IF(AE305&lt;=0,0,MAX(0,MIN(AE305,ROUND($AZ305-SUMPRODUCT($V305:$AE305*($V305:$AE305&gt;0)*(($V305:$AE305&lt;AE305)+($V305:$AE305=AE305)*($V$3:$AE$3&gt;AE$3)+($V305:$AE305=AE305)*($V$3:$AE$3=AE$3)*($V$2:$AE$2&lt;AE$2))),2))))</f>
      </c>
      <c r="AP305" s="33">
        <f>ROUND(V305-AF305,2)</f>
      </c>
      <c r="AQ305" s="33">
        <f>ROUND(W305-AG305,2)</f>
      </c>
      <c r="AR305" s="33">
        <f>ROUND(X305-AH305,2)</f>
      </c>
      <c r="AS305" s="33">
        <f>ROUND(Y305-AI305,2)</f>
      </c>
      <c r="AT305" s="33">
        <f>ROUND(Z305-AJ305,2)</f>
      </c>
      <c r="AU305" s="33">
        <f>ROUND(AA305-AK305,2)</f>
      </c>
      <c r="AV305" s="33">
        <f>ROUND(AB305-AL305,2)</f>
      </c>
      <c r="AW305" s="33">
        <f>ROUND(AC305-AM305,2)</f>
      </c>
      <c r="AX305" s="33">
        <f>ROUND(AD305-AN305,2)</f>
      </c>
      <c r="AY305" s="33">
        <f>ROUND(AE305-AO305,2)</f>
      </c>
      <c r="AZ305" s="33">
        <f>ROUND(MAX(0,'Your debts'!$D$22-SUM($L305:$U305)),2)</f>
      </c>
      <c r="BA305" s="33">
        <f>ROUND(SUM($B305:$K305)-SUM($AP304:$AY304),2)</f>
      </c>
      <c r="BB305" s="33">
        <f>SUM($AP305:$AY305)</f>
      </c>
      <c r="BC305" s="33">
        <f>ROUND(SUM($L305:$U305)+SUM($AF305:$AO305),2)</f>
      </c>
    </row>
    <row r="306" spans="1:55" x14ac:dyDescent="0.25">
      <c r="A306">
        <v>299</v>
      </c>
      <c r="B306" s="33">
        <f>IF(AP305&lt;=0,0,ROUND(AP305+ROUND(AP305*V$3/12,2),2))</f>
      </c>
      <c r="C306" s="33">
        <f>IF(AQ305&lt;=0,0,ROUND(AQ305+ROUND(AQ305*W$3/12,2),2))</f>
      </c>
      <c r="D306" s="33">
        <f>IF(AR305&lt;=0,0,ROUND(AR305+ROUND(AR305*X$3/12,2),2))</f>
      </c>
      <c r="E306" s="33">
        <f>IF(AS305&lt;=0,0,ROUND(AS305+ROUND(AS305*Y$3/12,2),2))</f>
      </c>
      <c r="F306" s="33">
        <f>IF(AT305&lt;=0,0,ROUND(AT305+ROUND(AT305*Z$3/12,2),2))</f>
      </c>
      <c r="G306" s="33">
        <f>IF(AU305&lt;=0,0,ROUND(AU305+ROUND(AU305*AA$3/12,2),2))</f>
      </c>
      <c r="H306" s="33">
        <f>IF(AV305&lt;=0,0,ROUND(AV305+ROUND(AV305*AB$3/12,2),2))</f>
      </c>
      <c r="I306" s="33">
        <f>IF(AW305&lt;=0,0,ROUND(AW305+ROUND(AW305*AC$3/12,2),2))</f>
      </c>
      <c r="J306" s="33">
        <f>IF(AX305&lt;=0,0,ROUND(AX305+ROUND(AX305*AD$3/12,2),2))</f>
      </c>
      <c r="K306" s="33">
        <f>IF(AY305&lt;=0,0,ROUND(AY305+ROUND(AY305*AE$3/12,2),2))</f>
      </c>
      <c r="L306" s="33">
        <f>ROUND(MIN(MAX(0,N('Your debts'!$E$6)),B306),2)</f>
      </c>
      <c r="M306" s="33">
        <f>ROUND(MIN(MAX(0,N('Your debts'!$E$7)),C306),2)</f>
      </c>
      <c r="N306" s="33">
        <f>ROUND(MIN(MAX(0,N('Your debts'!$E$8)),D306),2)</f>
      </c>
      <c r="O306" s="33">
        <f>ROUND(MIN(MAX(0,N('Your debts'!$E$9)),E306),2)</f>
      </c>
      <c r="P306" s="33">
        <f>ROUND(MIN(MAX(0,N('Your debts'!$E$10)),F306),2)</f>
      </c>
      <c r="Q306" s="33">
        <f>ROUND(MIN(MAX(0,N('Your debts'!$E$11)),G306),2)</f>
      </c>
      <c r="R306" s="33">
        <f>ROUND(MIN(MAX(0,N('Your debts'!$E$12)),H306),2)</f>
      </c>
      <c r="S306" s="33">
        <f>ROUND(MIN(MAX(0,N('Your debts'!$E$13)),I306),2)</f>
      </c>
      <c r="T306" s="33">
        <f>ROUND(MIN(MAX(0,N('Your debts'!$E$14)),J306),2)</f>
      </c>
      <c r="U306" s="33">
        <f>ROUND(MIN(MAX(0,N('Your debts'!$E$15)),K306),2)</f>
      </c>
      <c r="V306" s="33">
        <f>ROUND(B306-L306,2)</f>
      </c>
      <c r="W306" s="33">
        <f>ROUND(C306-M306,2)</f>
      </c>
      <c r="X306" s="33">
        <f>ROUND(D306-N306,2)</f>
      </c>
      <c r="Y306" s="33">
        <f>ROUND(E306-O306,2)</f>
      </c>
      <c r="Z306" s="33">
        <f>ROUND(F306-P306,2)</f>
      </c>
      <c r="AA306" s="33">
        <f>ROUND(G306-Q306,2)</f>
      </c>
      <c r="AB306" s="33">
        <f>ROUND(H306-R306,2)</f>
      </c>
      <c r="AC306" s="33">
        <f>ROUND(I306-S306,2)</f>
      </c>
      <c r="AD306" s="33">
        <f>ROUND(J306-T306,2)</f>
      </c>
      <c r="AE306" s="33">
        <f>ROUND(K306-U306,2)</f>
      </c>
      <c r="AF306" s="33">
        <f>IF(V306&lt;=0,0,MAX(0,MIN(V306,ROUND($AZ306-SUMPRODUCT($V306:$AE306*($V306:$AE306&gt;0)*(($V306:$AE306&lt;V306)+($V306:$AE306=V306)*($V$3:$AE$3&gt;V$3)+($V306:$AE306=V306)*($V$3:$AE$3=V$3)*($V$2:$AE$2&lt;V$2))),2))))</f>
      </c>
      <c r="AG306" s="33">
        <f>IF(W306&lt;=0,0,MAX(0,MIN(W306,ROUND($AZ306-SUMPRODUCT($V306:$AE306*($V306:$AE306&gt;0)*(($V306:$AE306&lt;W306)+($V306:$AE306=W306)*($V$3:$AE$3&gt;W$3)+($V306:$AE306=W306)*($V$3:$AE$3=W$3)*($V$2:$AE$2&lt;W$2))),2))))</f>
      </c>
      <c r="AH306" s="33">
        <f>IF(X306&lt;=0,0,MAX(0,MIN(X306,ROUND($AZ306-SUMPRODUCT($V306:$AE306*($V306:$AE306&gt;0)*(($V306:$AE306&lt;X306)+($V306:$AE306=X306)*($V$3:$AE$3&gt;X$3)+($V306:$AE306=X306)*($V$3:$AE$3=X$3)*($V$2:$AE$2&lt;X$2))),2))))</f>
      </c>
      <c r="AI306" s="33">
        <f>IF(Y306&lt;=0,0,MAX(0,MIN(Y306,ROUND($AZ306-SUMPRODUCT($V306:$AE306*($V306:$AE306&gt;0)*(($V306:$AE306&lt;Y306)+($V306:$AE306=Y306)*($V$3:$AE$3&gt;Y$3)+($V306:$AE306=Y306)*($V$3:$AE$3=Y$3)*($V$2:$AE$2&lt;Y$2))),2))))</f>
      </c>
      <c r="AJ306" s="33">
        <f>IF(Z306&lt;=0,0,MAX(0,MIN(Z306,ROUND($AZ306-SUMPRODUCT($V306:$AE306*($V306:$AE306&gt;0)*(($V306:$AE306&lt;Z306)+($V306:$AE306=Z306)*($V$3:$AE$3&gt;Z$3)+($V306:$AE306=Z306)*($V$3:$AE$3=Z$3)*($V$2:$AE$2&lt;Z$2))),2))))</f>
      </c>
      <c r="AK306" s="33">
        <f>IF(AA306&lt;=0,0,MAX(0,MIN(AA306,ROUND($AZ306-SUMPRODUCT($V306:$AE306*($V306:$AE306&gt;0)*(($V306:$AE306&lt;AA306)+($V306:$AE306=AA306)*($V$3:$AE$3&gt;AA$3)+($V306:$AE306=AA306)*($V$3:$AE$3=AA$3)*($V$2:$AE$2&lt;AA$2))),2))))</f>
      </c>
      <c r="AL306" s="33">
        <f>IF(AB306&lt;=0,0,MAX(0,MIN(AB306,ROUND($AZ306-SUMPRODUCT($V306:$AE306*($V306:$AE306&gt;0)*(($V306:$AE306&lt;AB306)+($V306:$AE306=AB306)*($V$3:$AE$3&gt;AB$3)+($V306:$AE306=AB306)*($V$3:$AE$3=AB$3)*($V$2:$AE$2&lt;AB$2))),2))))</f>
      </c>
      <c r="AM306" s="33">
        <f>IF(AC306&lt;=0,0,MAX(0,MIN(AC306,ROUND($AZ306-SUMPRODUCT($V306:$AE306*($V306:$AE306&gt;0)*(($V306:$AE306&lt;AC306)+($V306:$AE306=AC306)*($V$3:$AE$3&gt;AC$3)+($V306:$AE306=AC306)*($V$3:$AE$3=AC$3)*($V$2:$AE$2&lt;AC$2))),2))))</f>
      </c>
      <c r="AN306" s="33">
        <f>IF(AD306&lt;=0,0,MAX(0,MIN(AD306,ROUND($AZ306-SUMPRODUCT($V306:$AE306*($V306:$AE306&gt;0)*(($V306:$AE306&lt;AD306)+($V306:$AE306=AD306)*($V$3:$AE$3&gt;AD$3)+($V306:$AE306=AD306)*($V$3:$AE$3=AD$3)*($V$2:$AE$2&lt;AD$2))),2))))</f>
      </c>
      <c r="AO306" s="33">
        <f>IF(AE306&lt;=0,0,MAX(0,MIN(AE306,ROUND($AZ306-SUMPRODUCT($V306:$AE306*($V306:$AE306&gt;0)*(($V306:$AE306&lt;AE306)+($V306:$AE306=AE306)*($V$3:$AE$3&gt;AE$3)+($V306:$AE306=AE306)*($V$3:$AE$3=AE$3)*($V$2:$AE$2&lt;AE$2))),2))))</f>
      </c>
      <c r="AP306" s="33">
        <f>ROUND(V306-AF306,2)</f>
      </c>
      <c r="AQ306" s="33">
        <f>ROUND(W306-AG306,2)</f>
      </c>
      <c r="AR306" s="33">
        <f>ROUND(X306-AH306,2)</f>
      </c>
      <c r="AS306" s="33">
        <f>ROUND(Y306-AI306,2)</f>
      </c>
      <c r="AT306" s="33">
        <f>ROUND(Z306-AJ306,2)</f>
      </c>
      <c r="AU306" s="33">
        <f>ROUND(AA306-AK306,2)</f>
      </c>
      <c r="AV306" s="33">
        <f>ROUND(AB306-AL306,2)</f>
      </c>
      <c r="AW306" s="33">
        <f>ROUND(AC306-AM306,2)</f>
      </c>
      <c r="AX306" s="33">
        <f>ROUND(AD306-AN306,2)</f>
      </c>
      <c r="AY306" s="33">
        <f>ROUND(AE306-AO306,2)</f>
      </c>
      <c r="AZ306" s="33">
        <f>ROUND(MAX(0,'Your debts'!$D$22-SUM($L306:$U306)),2)</f>
      </c>
      <c r="BA306" s="33">
        <f>ROUND(SUM($B306:$K306)-SUM($AP305:$AY305),2)</f>
      </c>
      <c r="BB306" s="33">
        <f>SUM($AP306:$AY306)</f>
      </c>
      <c r="BC306" s="33">
        <f>ROUND(SUM($L306:$U306)+SUM($AF306:$AO306),2)</f>
      </c>
    </row>
    <row r="307" spans="1:55" x14ac:dyDescent="0.25">
      <c r="A307">
        <v>300</v>
      </c>
      <c r="B307" s="33">
        <f>IF(AP306&lt;=0,0,ROUND(AP306+ROUND(AP306*V$3/12,2),2))</f>
      </c>
      <c r="C307" s="33">
        <f>IF(AQ306&lt;=0,0,ROUND(AQ306+ROUND(AQ306*W$3/12,2),2))</f>
      </c>
      <c r="D307" s="33">
        <f>IF(AR306&lt;=0,0,ROUND(AR306+ROUND(AR306*X$3/12,2),2))</f>
      </c>
      <c r="E307" s="33">
        <f>IF(AS306&lt;=0,0,ROUND(AS306+ROUND(AS306*Y$3/12,2),2))</f>
      </c>
      <c r="F307" s="33">
        <f>IF(AT306&lt;=0,0,ROUND(AT306+ROUND(AT306*Z$3/12,2),2))</f>
      </c>
      <c r="G307" s="33">
        <f>IF(AU306&lt;=0,0,ROUND(AU306+ROUND(AU306*AA$3/12,2),2))</f>
      </c>
      <c r="H307" s="33">
        <f>IF(AV306&lt;=0,0,ROUND(AV306+ROUND(AV306*AB$3/12,2),2))</f>
      </c>
      <c r="I307" s="33">
        <f>IF(AW306&lt;=0,0,ROUND(AW306+ROUND(AW306*AC$3/12,2),2))</f>
      </c>
      <c r="J307" s="33">
        <f>IF(AX306&lt;=0,0,ROUND(AX306+ROUND(AX306*AD$3/12,2),2))</f>
      </c>
      <c r="K307" s="33">
        <f>IF(AY306&lt;=0,0,ROUND(AY306+ROUND(AY306*AE$3/12,2),2))</f>
      </c>
      <c r="L307" s="33">
        <f>ROUND(MIN(MAX(0,N('Your debts'!$E$6)),B307),2)</f>
      </c>
      <c r="M307" s="33">
        <f>ROUND(MIN(MAX(0,N('Your debts'!$E$7)),C307),2)</f>
      </c>
      <c r="N307" s="33">
        <f>ROUND(MIN(MAX(0,N('Your debts'!$E$8)),D307),2)</f>
      </c>
      <c r="O307" s="33">
        <f>ROUND(MIN(MAX(0,N('Your debts'!$E$9)),E307),2)</f>
      </c>
      <c r="P307" s="33">
        <f>ROUND(MIN(MAX(0,N('Your debts'!$E$10)),F307),2)</f>
      </c>
      <c r="Q307" s="33">
        <f>ROUND(MIN(MAX(0,N('Your debts'!$E$11)),G307),2)</f>
      </c>
      <c r="R307" s="33">
        <f>ROUND(MIN(MAX(0,N('Your debts'!$E$12)),H307),2)</f>
      </c>
      <c r="S307" s="33">
        <f>ROUND(MIN(MAX(0,N('Your debts'!$E$13)),I307),2)</f>
      </c>
      <c r="T307" s="33">
        <f>ROUND(MIN(MAX(0,N('Your debts'!$E$14)),J307),2)</f>
      </c>
      <c r="U307" s="33">
        <f>ROUND(MIN(MAX(0,N('Your debts'!$E$15)),K307),2)</f>
      </c>
      <c r="V307" s="33">
        <f>ROUND(B307-L307,2)</f>
      </c>
      <c r="W307" s="33">
        <f>ROUND(C307-M307,2)</f>
      </c>
      <c r="X307" s="33">
        <f>ROUND(D307-N307,2)</f>
      </c>
      <c r="Y307" s="33">
        <f>ROUND(E307-O307,2)</f>
      </c>
      <c r="Z307" s="33">
        <f>ROUND(F307-P307,2)</f>
      </c>
      <c r="AA307" s="33">
        <f>ROUND(G307-Q307,2)</f>
      </c>
      <c r="AB307" s="33">
        <f>ROUND(H307-R307,2)</f>
      </c>
      <c r="AC307" s="33">
        <f>ROUND(I307-S307,2)</f>
      </c>
      <c r="AD307" s="33">
        <f>ROUND(J307-T307,2)</f>
      </c>
      <c r="AE307" s="33">
        <f>ROUND(K307-U307,2)</f>
      </c>
      <c r="AF307" s="33">
        <f>IF(V307&lt;=0,0,MAX(0,MIN(V307,ROUND($AZ307-SUMPRODUCT($V307:$AE307*($V307:$AE307&gt;0)*(($V307:$AE307&lt;V307)+($V307:$AE307=V307)*($V$3:$AE$3&gt;V$3)+($V307:$AE307=V307)*($V$3:$AE$3=V$3)*($V$2:$AE$2&lt;V$2))),2))))</f>
      </c>
      <c r="AG307" s="33">
        <f>IF(W307&lt;=0,0,MAX(0,MIN(W307,ROUND($AZ307-SUMPRODUCT($V307:$AE307*($V307:$AE307&gt;0)*(($V307:$AE307&lt;W307)+($V307:$AE307=W307)*($V$3:$AE$3&gt;W$3)+($V307:$AE307=W307)*($V$3:$AE$3=W$3)*($V$2:$AE$2&lt;W$2))),2))))</f>
      </c>
      <c r="AH307" s="33">
        <f>IF(X307&lt;=0,0,MAX(0,MIN(X307,ROUND($AZ307-SUMPRODUCT($V307:$AE307*($V307:$AE307&gt;0)*(($V307:$AE307&lt;X307)+($V307:$AE307=X307)*($V$3:$AE$3&gt;X$3)+($V307:$AE307=X307)*($V$3:$AE$3=X$3)*($V$2:$AE$2&lt;X$2))),2))))</f>
      </c>
      <c r="AI307" s="33">
        <f>IF(Y307&lt;=0,0,MAX(0,MIN(Y307,ROUND($AZ307-SUMPRODUCT($V307:$AE307*($V307:$AE307&gt;0)*(($V307:$AE307&lt;Y307)+($V307:$AE307=Y307)*($V$3:$AE$3&gt;Y$3)+($V307:$AE307=Y307)*($V$3:$AE$3=Y$3)*($V$2:$AE$2&lt;Y$2))),2))))</f>
      </c>
      <c r="AJ307" s="33">
        <f>IF(Z307&lt;=0,0,MAX(0,MIN(Z307,ROUND($AZ307-SUMPRODUCT($V307:$AE307*($V307:$AE307&gt;0)*(($V307:$AE307&lt;Z307)+($V307:$AE307=Z307)*($V$3:$AE$3&gt;Z$3)+($V307:$AE307=Z307)*($V$3:$AE$3=Z$3)*($V$2:$AE$2&lt;Z$2))),2))))</f>
      </c>
      <c r="AK307" s="33">
        <f>IF(AA307&lt;=0,0,MAX(0,MIN(AA307,ROUND($AZ307-SUMPRODUCT($V307:$AE307*($V307:$AE307&gt;0)*(($V307:$AE307&lt;AA307)+($V307:$AE307=AA307)*($V$3:$AE$3&gt;AA$3)+($V307:$AE307=AA307)*($V$3:$AE$3=AA$3)*($V$2:$AE$2&lt;AA$2))),2))))</f>
      </c>
      <c r="AL307" s="33">
        <f>IF(AB307&lt;=0,0,MAX(0,MIN(AB307,ROUND($AZ307-SUMPRODUCT($V307:$AE307*($V307:$AE307&gt;0)*(($V307:$AE307&lt;AB307)+($V307:$AE307=AB307)*($V$3:$AE$3&gt;AB$3)+($V307:$AE307=AB307)*($V$3:$AE$3=AB$3)*($V$2:$AE$2&lt;AB$2))),2))))</f>
      </c>
      <c r="AM307" s="33">
        <f>IF(AC307&lt;=0,0,MAX(0,MIN(AC307,ROUND($AZ307-SUMPRODUCT($V307:$AE307*($V307:$AE307&gt;0)*(($V307:$AE307&lt;AC307)+($V307:$AE307=AC307)*($V$3:$AE$3&gt;AC$3)+($V307:$AE307=AC307)*($V$3:$AE$3=AC$3)*($V$2:$AE$2&lt;AC$2))),2))))</f>
      </c>
      <c r="AN307" s="33">
        <f>IF(AD307&lt;=0,0,MAX(0,MIN(AD307,ROUND($AZ307-SUMPRODUCT($V307:$AE307*($V307:$AE307&gt;0)*(($V307:$AE307&lt;AD307)+($V307:$AE307=AD307)*($V$3:$AE$3&gt;AD$3)+($V307:$AE307=AD307)*($V$3:$AE$3=AD$3)*($V$2:$AE$2&lt;AD$2))),2))))</f>
      </c>
      <c r="AO307" s="33">
        <f>IF(AE307&lt;=0,0,MAX(0,MIN(AE307,ROUND($AZ307-SUMPRODUCT($V307:$AE307*($V307:$AE307&gt;0)*(($V307:$AE307&lt;AE307)+($V307:$AE307=AE307)*($V$3:$AE$3&gt;AE$3)+($V307:$AE307=AE307)*($V$3:$AE$3=AE$3)*($V$2:$AE$2&lt;AE$2))),2))))</f>
      </c>
      <c r="AP307" s="33">
        <f>ROUND(V307-AF307,2)</f>
      </c>
      <c r="AQ307" s="33">
        <f>ROUND(W307-AG307,2)</f>
      </c>
      <c r="AR307" s="33">
        <f>ROUND(X307-AH307,2)</f>
      </c>
      <c r="AS307" s="33">
        <f>ROUND(Y307-AI307,2)</f>
      </c>
      <c r="AT307" s="33">
        <f>ROUND(Z307-AJ307,2)</f>
      </c>
      <c r="AU307" s="33">
        <f>ROUND(AA307-AK307,2)</f>
      </c>
      <c r="AV307" s="33">
        <f>ROUND(AB307-AL307,2)</f>
      </c>
      <c r="AW307" s="33">
        <f>ROUND(AC307-AM307,2)</f>
      </c>
      <c r="AX307" s="33">
        <f>ROUND(AD307-AN307,2)</f>
      </c>
      <c r="AY307" s="33">
        <f>ROUND(AE307-AO307,2)</f>
      </c>
      <c r="AZ307" s="33">
        <f>ROUND(MAX(0,'Your debts'!$D$22-SUM($L307:$U307)),2)</f>
      </c>
      <c r="BA307" s="33">
        <f>ROUND(SUM($B307:$K307)-SUM($AP306:$AY306),2)</f>
      </c>
      <c r="BB307" s="33">
        <f>SUM($AP307:$AY307)</f>
      </c>
      <c r="BC307" s="33">
        <f>ROUND(SUM($L307:$U307)+SUM($AF307:$AO307),2)</f>
      </c>
    </row>
    <row r="308" spans="1:55" x14ac:dyDescent="0.25">
      <c r="A308">
        <v>301</v>
      </c>
      <c r="B308" s="33">
        <f>IF(AP307&lt;=0,0,ROUND(AP307+ROUND(AP307*V$3/12,2),2))</f>
      </c>
      <c r="C308" s="33">
        <f>IF(AQ307&lt;=0,0,ROUND(AQ307+ROUND(AQ307*W$3/12,2),2))</f>
      </c>
      <c r="D308" s="33">
        <f>IF(AR307&lt;=0,0,ROUND(AR307+ROUND(AR307*X$3/12,2),2))</f>
      </c>
      <c r="E308" s="33">
        <f>IF(AS307&lt;=0,0,ROUND(AS307+ROUND(AS307*Y$3/12,2),2))</f>
      </c>
      <c r="F308" s="33">
        <f>IF(AT307&lt;=0,0,ROUND(AT307+ROUND(AT307*Z$3/12,2),2))</f>
      </c>
      <c r="G308" s="33">
        <f>IF(AU307&lt;=0,0,ROUND(AU307+ROUND(AU307*AA$3/12,2),2))</f>
      </c>
      <c r="H308" s="33">
        <f>IF(AV307&lt;=0,0,ROUND(AV307+ROUND(AV307*AB$3/12,2),2))</f>
      </c>
      <c r="I308" s="33">
        <f>IF(AW307&lt;=0,0,ROUND(AW307+ROUND(AW307*AC$3/12,2),2))</f>
      </c>
      <c r="J308" s="33">
        <f>IF(AX307&lt;=0,0,ROUND(AX307+ROUND(AX307*AD$3/12,2),2))</f>
      </c>
      <c r="K308" s="33">
        <f>IF(AY307&lt;=0,0,ROUND(AY307+ROUND(AY307*AE$3/12,2),2))</f>
      </c>
      <c r="L308" s="33">
        <f>ROUND(MIN(MAX(0,N('Your debts'!$E$6)),B308),2)</f>
      </c>
      <c r="M308" s="33">
        <f>ROUND(MIN(MAX(0,N('Your debts'!$E$7)),C308),2)</f>
      </c>
      <c r="N308" s="33">
        <f>ROUND(MIN(MAX(0,N('Your debts'!$E$8)),D308),2)</f>
      </c>
      <c r="O308" s="33">
        <f>ROUND(MIN(MAX(0,N('Your debts'!$E$9)),E308),2)</f>
      </c>
      <c r="P308" s="33">
        <f>ROUND(MIN(MAX(0,N('Your debts'!$E$10)),F308),2)</f>
      </c>
      <c r="Q308" s="33">
        <f>ROUND(MIN(MAX(0,N('Your debts'!$E$11)),G308),2)</f>
      </c>
      <c r="R308" s="33">
        <f>ROUND(MIN(MAX(0,N('Your debts'!$E$12)),H308),2)</f>
      </c>
      <c r="S308" s="33">
        <f>ROUND(MIN(MAX(0,N('Your debts'!$E$13)),I308),2)</f>
      </c>
      <c r="T308" s="33">
        <f>ROUND(MIN(MAX(0,N('Your debts'!$E$14)),J308),2)</f>
      </c>
      <c r="U308" s="33">
        <f>ROUND(MIN(MAX(0,N('Your debts'!$E$15)),K308),2)</f>
      </c>
      <c r="V308" s="33">
        <f>ROUND(B308-L308,2)</f>
      </c>
      <c r="W308" s="33">
        <f>ROUND(C308-M308,2)</f>
      </c>
      <c r="X308" s="33">
        <f>ROUND(D308-N308,2)</f>
      </c>
      <c r="Y308" s="33">
        <f>ROUND(E308-O308,2)</f>
      </c>
      <c r="Z308" s="33">
        <f>ROUND(F308-P308,2)</f>
      </c>
      <c r="AA308" s="33">
        <f>ROUND(G308-Q308,2)</f>
      </c>
      <c r="AB308" s="33">
        <f>ROUND(H308-R308,2)</f>
      </c>
      <c r="AC308" s="33">
        <f>ROUND(I308-S308,2)</f>
      </c>
      <c r="AD308" s="33">
        <f>ROUND(J308-T308,2)</f>
      </c>
      <c r="AE308" s="33">
        <f>ROUND(K308-U308,2)</f>
      </c>
      <c r="AF308" s="33">
        <f>IF(V308&lt;=0,0,MAX(0,MIN(V308,ROUND($AZ308-SUMPRODUCT($V308:$AE308*($V308:$AE308&gt;0)*(($V308:$AE308&lt;V308)+($V308:$AE308=V308)*($V$3:$AE$3&gt;V$3)+($V308:$AE308=V308)*($V$3:$AE$3=V$3)*($V$2:$AE$2&lt;V$2))),2))))</f>
      </c>
      <c r="AG308" s="33">
        <f>IF(W308&lt;=0,0,MAX(0,MIN(W308,ROUND($AZ308-SUMPRODUCT($V308:$AE308*($V308:$AE308&gt;0)*(($V308:$AE308&lt;W308)+($V308:$AE308=W308)*($V$3:$AE$3&gt;W$3)+($V308:$AE308=W308)*($V$3:$AE$3=W$3)*($V$2:$AE$2&lt;W$2))),2))))</f>
      </c>
      <c r="AH308" s="33">
        <f>IF(X308&lt;=0,0,MAX(0,MIN(X308,ROUND($AZ308-SUMPRODUCT($V308:$AE308*($V308:$AE308&gt;0)*(($V308:$AE308&lt;X308)+($V308:$AE308=X308)*($V$3:$AE$3&gt;X$3)+($V308:$AE308=X308)*($V$3:$AE$3=X$3)*($V$2:$AE$2&lt;X$2))),2))))</f>
      </c>
      <c r="AI308" s="33">
        <f>IF(Y308&lt;=0,0,MAX(0,MIN(Y308,ROUND($AZ308-SUMPRODUCT($V308:$AE308*($V308:$AE308&gt;0)*(($V308:$AE308&lt;Y308)+($V308:$AE308=Y308)*($V$3:$AE$3&gt;Y$3)+($V308:$AE308=Y308)*($V$3:$AE$3=Y$3)*($V$2:$AE$2&lt;Y$2))),2))))</f>
      </c>
      <c r="AJ308" s="33">
        <f>IF(Z308&lt;=0,0,MAX(0,MIN(Z308,ROUND($AZ308-SUMPRODUCT($V308:$AE308*($V308:$AE308&gt;0)*(($V308:$AE308&lt;Z308)+($V308:$AE308=Z308)*($V$3:$AE$3&gt;Z$3)+($V308:$AE308=Z308)*($V$3:$AE$3=Z$3)*($V$2:$AE$2&lt;Z$2))),2))))</f>
      </c>
      <c r="AK308" s="33">
        <f>IF(AA308&lt;=0,0,MAX(0,MIN(AA308,ROUND($AZ308-SUMPRODUCT($V308:$AE308*($V308:$AE308&gt;0)*(($V308:$AE308&lt;AA308)+($V308:$AE308=AA308)*($V$3:$AE$3&gt;AA$3)+($V308:$AE308=AA308)*($V$3:$AE$3=AA$3)*($V$2:$AE$2&lt;AA$2))),2))))</f>
      </c>
      <c r="AL308" s="33">
        <f>IF(AB308&lt;=0,0,MAX(0,MIN(AB308,ROUND($AZ308-SUMPRODUCT($V308:$AE308*($V308:$AE308&gt;0)*(($V308:$AE308&lt;AB308)+($V308:$AE308=AB308)*($V$3:$AE$3&gt;AB$3)+($V308:$AE308=AB308)*($V$3:$AE$3=AB$3)*($V$2:$AE$2&lt;AB$2))),2))))</f>
      </c>
      <c r="AM308" s="33">
        <f>IF(AC308&lt;=0,0,MAX(0,MIN(AC308,ROUND($AZ308-SUMPRODUCT($V308:$AE308*($V308:$AE308&gt;0)*(($V308:$AE308&lt;AC308)+($V308:$AE308=AC308)*($V$3:$AE$3&gt;AC$3)+($V308:$AE308=AC308)*($V$3:$AE$3=AC$3)*($V$2:$AE$2&lt;AC$2))),2))))</f>
      </c>
      <c r="AN308" s="33">
        <f>IF(AD308&lt;=0,0,MAX(0,MIN(AD308,ROUND($AZ308-SUMPRODUCT($V308:$AE308*($V308:$AE308&gt;0)*(($V308:$AE308&lt;AD308)+($V308:$AE308=AD308)*($V$3:$AE$3&gt;AD$3)+($V308:$AE308=AD308)*($V$3:$AE$3=AD$3)*($V$2:$AE$2&lt;AD$2))),2))))</f>
      </c>
      <c r="AO308" s="33">
        <f>IF(AE308&lt;=0,0,MAX(0,MIN(AE308,ROUND($AZ308-SUMPRODUCT($V308:$AE308*($V308:$AE308&gt;0)*(($V308:$AE308&lt;AE308)+($V308:$AE308=AE308)*($V$3:$AE$3&gt;AE$3)+($V308:$AE308=AE308)*($V$3:$AE$3=AE$3)*($V$2:$AE$2&lt;AE$2))),2))))</f>
      </c>
      <c r="AP308" s="33">
        <f>ROUND(V308-AF308,2)</f>
      </c>
      <c r="AQ308" s="33">
        <f>ROUND(W308-AG308,2)</f>
      </c>
      <c r="AR308" s="33">
        <f>ROUND(X308-AH308,2)</f>
      </c>
      <c r="AS308" s="33">
        <f>ROUND(Y308-AI308,2)</f>
      </c>
      <c r="AT308" s="33">
        <f>ROUND(Z308-AJ308,2)</f>
      </c>
      <c r="AU308" s="33">
        <f>ROUND(AA308-AK308,2)</f>
      </c>
      <c r="AV308" s="33">
        <f>ROUND(AB308-AL308,2)</f>
      </c>
      <c r="AW308" s="33">
        <f>ROUND(AC308-AM308,2)</f>
      </c>
      <c r="AX308" s="33">
        <f>ROUND(AD308-AN308,2)</f>
      </c>
      <c r="AY308" s="33">
        <f>ROUND(AE308-AO308,2)</f>
      </c>
      <c r="AZ308" s="33">
        <f>ROUND(MAX(0,'Your debts'!$D$22-SUM($L308:$U308)),2)</f>
      </c>
      <c r="BA308" s="33">
        <f>ROUND(SUM($B308:$K308)-SUM($AP307:$AY307),2)</f>
      </c>
      <c r="BB308" s="33">
        <f>SUM($AP308:$AY308)</f>
      </c>
      <c r="BC308" s="33">
        <f>ROUND(SUM($L308:$U308)+SUM($AF308:$AO308),2)</f>
      </c>
    </row>
    <row r="309" spans="1:55" x14ac:dyDescent="0.25">
      <c r="A309">
        <v>302</v>
      </c>
      <c r="B309" s="33">
        <f>IF(AP308&lt;=0,0,ROUND(AP308+ROUND(AP308*V$3/12,2),2))</f>
      </c>
      <c r="C309" s="33">
        <f>IF(AQ308&lt;=0,0,ROUND(AQ308+ROUND(AQ308*W$3/12,2),2))</f>
      </c>
      <c r="D309" s="33">
        <f>IF(AR308&lt;=0,0,ROUND(AR308+ROUND(AR308*X$3/12,2),2))</f>
      </c>
      <c r="E309" s="33">
        <f>IF(AS308&lt;=0,0,ROUND(AS308+ROUND(AS308*Y$3/12,2),2))</f>
      </c>
      <c r="F309" s="33">
        <f>IF(AT308&lt;=0,0,ROUND(AT308+ROUND(AT308*Z$3/12,2),2))</f>
      </c>
      <c r="G309" s="33">
        <f>IF(AU308&lt;=0,0,ROUND(AU308+ROUND(AU308*AA$3/12,2),2))</f>
      </c>
      <c r="H309" s="33">
        <f>IF(AV308&lt;=0,0,ROUND(AV308+ROUND(AV308*AB$3/12,2),2))</f>
      </c>
      <c r="I309" s="33">
        <f>IF(AW308&lt;=0,0,ROUND(AW308+ROUND(AW308*AC$3/12,2),2))</f>
      </c>
      <c r="J309" s="33">
        <f>IF(AX308&lt;=0,0,ROUND(AX308+ROUND(AX308*AD$3/12,2),2))</f>
      </c>
      <c r="K309" s="33">
        <f>IF(AY308&lt;=0,0,ROUND(AY308+ROUND(AY308*AE$3/12,2),2))</f>
      </c>
      <c r="L309" s="33">
        <f>ROUND(MIN(MAX(0,N('Your debts'!$E$6)),B309),2)</f>
      </c>
      <c r="M309" s="33">
        <f>ROUND(MIN(MAX(0,N('Your debts'!$E$7)),C309),2)</f>
      </c>
      <c r="N309" s="33">
        <f>ROUND(MIN(MAX(0,N('Your debts'!$E$8)),D309),2)</f>
      </c>
      <c r="O309" s="33">
        <f>ROUND(MIN(MAX(0,N('Your debts'!$E$9)),E309),2)</f>
      </c>
      <c r="P309" s="33">
        <f>ROUND(MIN(MAX(0,N('Your debts'!$E$10)),F309),2)</f>
      </c>
      <c r="Q309" s="33">
        <f>ROUND(MIN(MAX(0,N('Your debts'!$E$11)),G309),2)</f>
      </c>
      <c r="R309" s="33">
        <f>ROUND(MIN(MAX(0,N('Your debts'!$E$12)),H309),2)</f>
      </c>
      <c r="S309" s="33">
        <f>ROUND(MIN(MAX(0,N('Your debts'!$E$13)),I309),2)</f>
      </c>
      <c r="T309" s="33">
        <f>ROUND(MIN(MAX(0,N('Your debts'!$E$14)),J309),2)</f>
      </c>
      <c r="U309" s="33">
        <f>ROUND(MIN(MAX(0,N('Your debts'!$E$15)),K309),2)</f>
      </c>
      <c r="V309" s="33">
        <f>ROUND(B309-L309,2)</f>
      </c>
      <c r="W309" s="33">
        <f>ROUND(C309-M309,2)</f>
      </c>
      <c r="X309" s="33">
        <f>ROUND(D309-N309,2)</f>
      </c>
      <c r="Y309" s="33">
        <f>ROUND(E309-O309,2)</f>
      </c>
      <c r="Z309" s="33">
        <f>ROUND(F309-P309,2)</f>
      </c>
      <c r="AA309" s="33">
        <f>ROUND(G309-Q309,2)</f>
      </c>
      <c r="AB309" s="33">
        <f>ROUND(H309-R309,2)</f>
      </c>
      <c r="AC309" s="33">
        <f>ROUND(I309-S309,2)</f>
      </c>
      <c r="AD309" s="33">
        <f>ROUND(J309-T309,2)</f>
      </c>
      <c r="AE309" s="33">
        <f>ROUND(K309-U309,2)</f>
      </c>
      <c r="AF309" s="33">
        <f>IF(V309&lt;=0,0,MAX(0,MIN(V309,ROUND($AZ309-SUMPRODUCT($V309:$AE309*($V309:$AE309&gt;0)*(($V309:$AE309&lt;V309)+($V309:$AE309=V309)*($V$3:$AE$3&gt;V$3)+($V309:$AE309=V309)*($V$3:$AE$3=V$3)*($V$2:$AE$2&lt;V$2))),2))))</f>
      </c>
      <c r="AG309" s="33">
        <f>IF(W309&lt;=0,0,MAX(0,MIN(W309,ROUND($AZ309-SUMPRODUCT($V309:$AE309*($V309:$AE309&gt;0)*(($V309:$AE309&lt;W309)+($V309:$AE309=W309)*($V$3:$AE$3&gt;W$3)+($V309:$AE309=W309)*($V$3:$AE$3=W$3)*($V$2:$AE$2&lt;W$2))),2))))</f>
      </c>
      <c r="AH309" s="33">
        <f>IF(X309&lt;=0,0,MAX(0,MIN(X309,ROUND($AZ309-SUMPRODUCT($V309:$AE309*($V309:$AE309&gt;0)*(($V309:$AE309&lt;X309)+($V309:$AE309=X309)*($V$3:$AE$3&gt;X$3)+($V309:$AE309=X309)*($V$3:$AE$3=X$3)*($V$2:$AE$2&lt;X$2))),2))))</f>
      </c>
      <c r="AI309" s="33">
        <f>IF(Y309&lt;=0,0,MAX(0,MIN(Y309,ROUND($AZ309-SUMPRODUCT($V309:$AE309*($V309:$AE309&gt;0)*(($V309:$AE309&lt;Y309)+($V309:$AE309=Y309)*($V$3:$AE$3&gt;Y$3)+($V309:$AE309=Y309)*($V$3:$AE$3=Y$3)*($V$2:$AE$2&lt;Y$2))),2))))</f>
      </c>
      <c r="AJ309" s="33">
        <f>IF(Z309&lt;=0,0,MAX(0,MIN(Z309,ROUND($AZ309-SUMPRODUCT($V309:$AE309*($V309:$AE309&gt;0)*(($V309:$AE309&lt;Z309)+($V309:$AE309=Z309)*($V$3:$AE$3&gt;Z$3)+($V309:$AE309=Z309)*($V$3:$AE$3=Z$3)*($V$2:$AE$2&lt;Z$2))),2))))</f>
      </c>
      <c r="AK309" s="33">
        <f>IF(AA309&lt;=0,0,MAX(0,MIN(AA309,ROUND($AZ309-SUMPRODUCT($V309:$AE309*($V309:$AE309&gt;0)*(($V309:$AE309&lt;AA309)+($V309:$AE309=AA309)*($V$3:$AE$3&gt;AA$3)+($V309:$AE309=AA309)*($V$3:$AE$3=AA$3)*($V$2:$AE$2&lt;AA$2))),2))))</f>
      </c>
      <c r="AL309" s="33">
        <f>IF(AB309&lt;=0,0,MAX(0,MIN(AB309,ROUND($AZ309-SUMPRODUCT($V309:$AE309*($V309:$AE309&gt;0)*(($V309:$AE309&lt;AB309)+($V309:$AE309=AB309)*($V$3:$AE$3&gt;AB$3)+($V309:$AE309=AB309)*($V$3:$AE$3=AB$3)*($V$2:$AE$2&lt;AB$2))),2))))</f>
      </c>
      <c r="AM309" s="33">
        <f>IF(AC309&lt;=0,0,MAX(0,MIN(AC309,ROUND($AZ309-SUMPRODUCT($V309:$AE309*($V309:$AE309&gt;0)*(($V309:$AE309&lt;AC309)+($V309:$AE309=AC309)*($V$3:$AE$3&gt;AC$3)+($V309:$AE309=AC309)*($V$3:$AE$3=AC$3)*($V$2:$AE$2&lt;AC$2))),2))))</f>
      </c>
      <c r="AN309" s="33">
        <f>IF(AD309&lt;=0,0,MAX(0,MIN(AD309,ROUND($AZ309-SUMPRODUCT($V309:$AE309*($V309:$AE309&gt;0)*(($V309:$AE309&lt;AD309)+($V309:$AE309=AD309)*($V$3:$AE$3&gt;AD$3)+($V309:$AE309=AD309)*($V$3:$AE$3=AD$3)*($V$2:$AE$2&lt;AD$2))),2))))</f>
      </c>
      <c r="AO309" s="33">
        <f>IF(AE309&lt;=0,0,MAX(0,MIN(AE309,ROUND($AZ309-SUMPRODUCT($V309:$AE309*($V309:$AE309&gt;0)*(($V309:$AE309&lt;AE309)+($V309:$AE309=AE309)*($V$3:$AE$3&gt;AE$3)+($V309:$AE309=AE309)*($V$3:$AE$3=AE$3)*($V$2:$AE$2&lt;AE$2))),2))))</f>
      </c>
      <c r="AP309" s="33">
        <f>ROUND(V309-AF309,2)</f>
      </c>
      <c r="AQ309" s="33">
        <f>ROUND(W309-AG309,2)</f>
      </c>
      <c r="AR309" s="33">
        <f>ROUND(X309-AH309,2)</f>
      </c>
      <c r="AS309" s="33">
        <f>ROUND(Y309-AI309,2)</f>
      </c>
      <c r="AT309" s="33">
        <f>ROUND(Z309-AJ309,2)</f>
      </c>
      <c r="AU309" s="33">
        <f>ROUND(AA309-AK309,2)</f>
      </c>
      <c r="AV309" s="33">
        <f>ROUND(AB309-AL309,2)</f>
      </c>
      <c r="AW309" s="33">
        <f>ROUND(AC309-AM309,2)</f>
      </c>
      <c r="AX309" s="33">
        <f>ROUND(AD309-AN309,2)</f>
      </c>
      <c r="AY309" s="33">
        <f>ROUND(AE309-AO309,2)</f>
      </c>
      <c r="AZ309" s="33">
        <f>ROUND(MAX(0,'Your debts'!$D$22-SUM($L309:$U309)),2)</f>
      </c>
      <c r="BA309" s="33">
        <f>ROUND(SUM($B309:$K309)-SUM($AP308:$AY308),2)</f>
      </c>
      <c r="BB309" s="33">
        <f>SUM($AP309:$AY309)</f>
      </c>
      <c r="BC309" s="33">
        <f>ROUND(SUM($L309:$U309)+SUM($AF309:$AO309),2)</f>
      </c>
    </row>
    <row r="310" spans="1:55" x14ac:dyDescent="0.25">
      <c r="A310">
        <v>303</v>
      </c>
      <c r="B310" s="33">
        <f>IF(AP309&lt;=0,0,ROUND(AP309+ROUND(AP309*V$3/12,2),2))</f>
      </c>
      <c r="C310" s="33">
        <f>IF(AQ309&lt;=0,0,ROUND(AQ309+ROUND(AQ309*W$3/12,2),2))</f>
      </c>
      <c r="D310" s="33">
        <f>IF(AR309&lt;=0,0,ROUND(AR309+ROUND(AR309*X$3/12,2),2))</f>
      </c>
      <c r="E310" s="33">
        <f>IF(AS309&lt;=0,0,ROUND(AS309+ROUND(AS309*Y$3/12,2),2))</f>
      </c>
      <c r="F310" s="33">
        <f>IF(AT309&lt;=0,0,ROUND(AT309+ROUND(AT309*Z$3/12,2),2))</f>
      </c>
      <c r="G310" s="33">
        <f>IF(AU309&lt;=0,0,ROUND(AU309+ROUND(AU309*AA$3/12,2),2))</f>
      </c>
      <c r="H310" s="33">
        <f>IF(AV309&lt;=0,0,ROUND(AV309+ROUND(AV309*AB$3/12,2),2))</f>
      </c>
      <c r="I310" s="33">
        <f>IF(AW309&lt;=0,0,ROUND(AW309+ROUND(AW309*AC$3/12,2),2))</f>
      </c>
      <c r="J310" s="33">
        <f>IF(AX309&lt;=0,0,ROUND(AX309+ROUND(AX309*AD$3/12,2),2))</f>
      </c>
      <c r="K310" s="33">
        <f>IF(AY309&lt;=0,0,ROUND(AY309+ROUND(AY309*AE$3/12,2),2))</f>
      </c>
      <c r="L310" s="33">
        <f>ROUND(MIN(MAX(0,N('Your debts'!$E$6)),B310),2)</f>
      </c>
      <c r="M310" s="33">
        <f>ROUND(MIN(MAX(0,N('Your debts'!$E$7)),C310),2)</f>
      </c>
      <c r="N310" s="33">
        <f>ROUND(MIN(MAX(0,N('Your debts'!$E$8)),D310),2)</f>
      </c>
      <c r="O310" s="33">
        <f>ROUND(MIN(MAX(0,N('Your debts'!$E$9)),E310),2)</f>
      </c>
      <c r="P310" s="33">
        <f>ROUND(MIN(MAX(0,N('Your debts'!$E$10)),F310),2)</f>
      </c>
      <c r="Q310" s="33">
        <f>ROUND(MIN(MAX(0,N('Your debts'!$E$11)),G310),2)</f>
      </c>
      <c r="R310" s="33">
        <f>ROUND(MIN(MAX(0,N('Your debts'!$E$12)),H310),2)</f>
      </c>
      <c r="S310" s="33">
        <f>ROUND(MIN(MAX(0,N('Your debts'!$E$13)),I310),2)</f>
      </c>
      <c r="T310" s="33">
        <f>ROUND(MIN(MAX(0,N('Your debts'!$E$14)),J310),2)</f>
      </c>
      <c r="U310" s="33">
        <f>ROUND(MIN(MAX(0,N('Your debts'!$E$15)),K310),2)</f>
      </c>
      <c r="V310" s="33">
        <f>ROUND(B310-L310,2)</f>
      </c>
      <c r="W310" s="33">
        <f>ROUND(C310-M310,2)</f>
      </c>
      <c r="X310" s="33">
        <f>ROUND(D310-N310,2)</f>
      </c>
      <c r="Y310" s="33">
        <f>ROUND(E310-O310,2)</f>
      </c>
      <c r="Z310" s="33">
        <f>ROUND(F310-P310,2)</f>
      </c>
      <c r="AA310" s="33">
        <f>ROUND(G310-Q310,2)</f>
      </c>
      <c r="AB310" s="33">
        <f>ROUND(H310-R310,2)</f>
      </c>
      <c r="AC310" s="33">
        <f>ROUND(I310-S310,2)</f>
      </c>
      <c r="AD310" s="33">
        <f>ROUND(J310-T310,2)</f>
      </c>
      <c r="AE310" s="33">
        <f>ROUND(K310-U310,2)</f>
      </c>
      <c r="AF310" s="33">
        <f>IF(V310&lt;=0,0,MAX(0,MIN(V310,ROUND($AZ310-SUMPRODUCT($V310:$AE310*($V310:$AE310&gt;0)*(($V310:$AE310&lt;V310)+($V310:$AE310=V310)*($V$3:$AE$3&gt;V$3)+($V310:$AE310=V310)*($V$3:$AE$3=V$3)*($V$2:$AE$2&lt;V$2))),2))))</f>
      </c>
      <c r="AG310" s="33">
        <f>IF(W310&lt;=0,0,MAX(0,MIN(W310,ROUND($AZ310-SUMPRODUCT($V310:$AE310*($V310:$AE310&gt;0)*(($V310:$AE310&lt;W310)+($V310:$AE310=W310)*($V$3:$AE$3&gt;W$3)+($V310:$AE310=W310)*($V$3:$AE$3=W$3)*($V$2:$AE$2&lt;W$2))),2))))</f>
      </c>
      <c r="AH310" s="33">
        <f>IF(X310&lt;=0,0,MAX(0,MIN(X310,ROUND($AZ310-SUMPRODUCT($V310:$AE310*($V310:$AE310&gt;0)*(($V310:$AE310&lt;X310)+($V310:$AE310=X310)*($V$3:$AE$3&gt;X$3)+($V310:$AE310=X310)*($V$3:$AE$3=X$3)*($V$2:$AE$2&lt;X$2))),2))))</f>
      </c>
      <c r="AI310" s="33">
        <f>IF(Y310&lt;=0,0,MAX(0,MIN(Y310,ROUND($AZ310-SUMPRODUCT($V310:$AE310*($V310:$AE310&gt;0)*(($V310:$AE310&lt;Y310)+($V310:$AE310=Y310)*($V$3:$AE$3&gt;Y$3)+($V310:$AE310=Y310)*($V$3:$AE$3=Y$3)*($V$2:$AE$2&lt;Y$2))),2))))</f>
      </c>
      <c r="AJ310" s="33">
        <f>IF(Z310&lt;=0,0,MAX(0,MIN(Z310,ROUND($AZ310-SUMPRODUCT($V310:$AE310*($V310:$AE310&gt;0)*(($V310:$AE310&lt;Z310)+($V310:$AE310=Z310)*($V$3:$AE$3&gt;Z$3)+($V310:$AE310=Z310)*($V$3:$AE$3=Z$3)*($V$2:$AE$2&lt;Z$2))),2))))</f>
      </c>
      <c r="AK310" s="33">
        <f>IF(AA310&lt;=0,0,MAX(0,MIN(AA310,ROUND($AZ310-SUMPRODUCT($V310:$AE310*($V310:$AE310&gt;0)*(($V310:$AE310&lt;AA310)+($V310:$AE310=AA310)*($V$3:$AE$3&gt;AA$3)+($V310:$AE310=AA310)*($V$3:$AE$3=AA$3)*($V$2:$AE$2&lt;AA$2))),2))))</f>
      </c>
      <c r="AL310" s="33">
        <f>IF(AB310&lt;=0,0,MAX(0,MIN(AB310,ROUND($AZ310-SUMPRODUCT($V310:$AE310*($V310:$AE310&gt;0)*(($V310:$AE310&lt;AB310)+($V310:$AE310=AB310)*($V$3:$AE$3&gt;AB$3)+($V310:$AE310=AB310)*($V$3:$AE$3=AB$3)*($V$2:$AE$2&lt;AB$2))),2))))</f>
      </c>
      <c r="AM310" s="33">
        <f>IF(AC310&lt;=0,0,MAX(0,MIN(AC310,ROUND($AZ310-SUMPRODUCT($V310:$AE310*($V310:$AE310&gt;0)*(($V310:$AE310&lt;AC310)+($V310:$AE310=AC310)*($V$3:$AE$3&gt;AC$3)+($V310:$AE310=AC310)*($V$3:$AE$3=AC$3)*($V$2:$AE$2&lt;AC$2))),2))))</f>
      </c>
      <c r="AN310" s="33">
        <f>IF(AD310&lt;=0,0,MAX(0,MIN(AD310,ROUND($AZ310-SUMPRODUCT($V310:$AE310*($V310:$AE310&gt;0)*(($V310:$AE310&lt;AD310)+($V310:$AE310=AD310)*($V$3:$AE$3&gt;AD$3)+($V310:$AE310=AD310)*($V$3:$AE$3=AD$3)*($V$2:$AE$2&lt;AD$2))),2))))</f>
      </c>
      <c r="AO310" s="33">
        <f>IF(AE310&lt;=0,0,MAX(0,MIN(AE310,ROUND($AZ310-SUMPRODUCT($V310:$AE310*($V310:$AE310&gt;0)*(($V310:$AE310&lt;AE310)+($V310:$AE310=AE310)*($V$3:$AE$3&gt;AE$3)+($V310:$AE310=AE310)*($V$3:$AE$3=AE$3)*($V$2:$AE$2&lt;AE$2))),2))))</f>
      </c>
      <c r="AP310" s="33">
        <f>ROUND(V310-AF310,2)</f>
      </c>
      <c r="AQ310" s="33">
        <f>ROUND(W310-AG310,2)</f>
      </c>
      <c r="AR310" s="33">
        <f>ROUND(X310-AH310,2)</f>
      </c>
      <c r="AS310" s="33">
        <f>ROUND(Y310-AI310,2)</f>
      </c>
      <c r="AT310" s="33">
        <f>ROUND(Z310-AJ310,2)</f>
      </c>
      <c r="AU310" s="33">
        <f>ROUND(AA310-AK310,2)</f>
      </c>
      <c r="AV310" s="33">
        <f>ROUND(AB310-AL310,2)</f>
      </c>
      <c r="AW310" s="33">
        <f>ROUND(AC310-AM310,2)</f>
      </c>
      <c r="AX310" s="33">
        <f>ROUND(AD310-AN310,2)</f>
      </c>
      <c r="AY310" s="33">
        <f>ROUND(AE310-AO310,2)</f>
      </c>
      <c r="AZ310" s="33">
        <f>ROUND(MAX(0,'Your debts'!$D$22-SUM($L310:$U310)),2)</f>
      </c>
      <c r="BA310" s="33">
        <f>ROUND(SUM($B310:$K310)-SUM($AP309:$AY309),2)</f>
      </c>
      <c r="BB310" s="33">
        <f>SUM($AP310:$AY310)</f>
      </c>
      <c r="BC310" s="33">
        <f>ROUND(SUM($L310:$U310)+SUM($AF310:$AO310),2)</f>
      </c>
    </row>
    <row r="311" spans="1:55" x14ac:dyDescent="0.25">
      <c r="A311">
        <v>304</v>
      </c>
      <c r="B311" s="33">
        <f>IF(AP310&lt;=0,0,ROUND(AP310+ROUND(AP310*V$3/12,2),2))</f>
      </c>
      <c r="C311" s="33">
        <f>IF(AQ310&lt;=0,0,ROUND(AQ310+ROUND(AQ310*W$3/12,2),2))</f>
      </c>
      <c r="D311" s="33">
        <f>IF(AR310&lt;=0,0,ROUND(AR310+ROUND(AR310*X$3/12,2),2))</f>
      </c>
      <c r="E311" s="33">
        <f>IF(AS310&lt;=0,0,ROUND(AS310+ROUND(AS310*Y$3/12,2),2))</f>
      </c>
      <c r="F311" s="33">
        <f>IF(AT310&lt;=0,0,ROUND(AT310+ROUND(AT310*Z$3/12,2),2))</f>
      </c>
      <c r="G311" s="33">
        <f>IF(AU310&lt;=0,0,ROUND(AU310+ROUND(AU310*AA$3/12,2),2))</f>
      </c>
      <c r="H311" s="33">
        <f>IF(AV310&lt;=0,0,ROUND(AV310+ROUND(AV310*AB$3/12,2),2))</f>
      </c>
      <c r="I311" s="33">
        <f>IF(AW310&lt;=0,0,ROUND(AW310+ROUND(AW310*AC$3/12,2),2))</f>
      </c>
      <c r="J311" s="33">
        <f>IF(AX310&lt;=0,0,ROUND(AX310+ROUND(AX310*AD$3/12,2),2))</f>
      </c>
      <c r="K311" s="33">
        <f>IF(AY310&lt;=0,0,ROUND(AY310+ROUND(AY310*AE$3/12,2),2))</f>
      </c>
      <c r="L311" s="33">
        <f>ROUND(MIN(MAX(0,N('Your debts'!$E$6)),B311),2)</f>
      </c>
      <c r="M311" s="33">
        <f>ROUND(MIN(MAX(0,N('Your debts'!$E$7)),C311),2)</f>
      </c>
      <c r="N311" s="33">
        <f>ROUND(MIN(MAX(0,N('Your debts'!$E$8)),D311),2)</f>
      </c>
      <c r="O311" s="33">
        <f>ROUND(MIN(MAX(0,N('Your debts'!$E$9)),E311),2)</f>
      </c>
      <c r="P311" s="33">
        <f>ROUND(MIN(MAX(0,N('Your debts'!$E$10)),F311),2)</f>
      </c>
      <c r="Q311" s="33">
        <f>ROUND(MIN(MAX(0,N('Your debts'!$E$11)),G311),2)</f>
      </c>
      <c r="R311" s="33">
        <f>ROUND(MIN(MAX(0,N('Your debts'!$E$12)),H311),2)</f>
      </c>
      <c r="S311" s="33">
        <f>ROUND(MIN(MAX(0,N('Your debts'!$E$13)),I311),2)</f>
      </c>
      <c r="T311" s="33">
        <f>ROUND(MIN(MAX(0,N('Your debts'!$E$14)),J311),2)</f>
      </c>
      <c r="U311" s="33">
        <f>ROUND(MIN(MAX(0,N('Your debts'!$E$15)),K311),2)</f>
      </c>
      <c r="V311" s="33">
        <f>ROUND(B311-L311,2)</f>
      </c>
      <c r="W311" s="33">
        <f>ROUND(C311-M311,2)</f>
      </c>
      <c r="X311" s="33">
        <f>ROUND(D311-N311,2)</f>
      </c>
      <c r="Y311" s="33">
        <f>ROUND(E311-O311,2)</f>
      </c>
      <c r="Z311" s="33">
        <f>ROUND(F311-P311,2)</f>
      </c>
      <c r="AA311" s="33">
        <f>ROUND(G311-Q311,2)</f>
      </c>
      <c r="AB311" s="33">
        <f>ROUND(H311-R311,2)</f>
      </c>
      <c r="AC311" s="33">
        <f>ROUND(I311-S311,2)</f>
      </c>
      <c r="AD311" s="33">
        <f>ROUND(J311-T311,2)</f>
      </c>
      <c r="AE311" s="33">
        <f>ROUND(K311-U311,2)</f>
      </c>
      <c r="AF311" s="33">
        <f>IF(V311&lt;=0,0,MAX(0,MIN(V311,ROUND($AZ311-SUMPRODUCT($V311:$AE311*($V311:$AE311&gt;0)*(($V311:$AE311&lt;V311)+($V311:$AE311=V311)*($V$3:$AE$3&gt;V$3)+($V311:$AE311=V311)*($V$3:$AE$3=V$3)*($V$2:$AE$2&lt;V$2))),2))))</f>
      </c>
      <c r="AG311" s="33">
        <f>IF(W311&lt;=0,0,MAX(0,MIN(W311,ROUND($AZ311-SUMPRODUCT($V311:$AE311*($V311:$AE311&gt;0)*(($V311:$AE311&lt;W311)+($V311:$AE311=W311)*($V$3:$AE$3&gt;W$3)+($V311:$AE311=W311)*($V$3:$AE$3=W$3)*($V$2:$AE$2&lt;W$2))),2))))</f>
      </c>
      <c r="AH311" s="33">
        <f>IF(X311&lt;=0,0,MAX(0,MIN(X311,ROUND($AZ311-SUMPRODUCT($V311:$AE311*($V311:$AE311&gt;0)*(($V311:$AE311&lt;X311)+($V311:$AE311=X311)*($V$3:$AE$3&gt;X$3)+($V311:$AE311=X311)*($V$3:$AE$3=X$3)*($V$2:$AE$2&lt;X$2))),2))))</f>
      </c>
      <c r="AI311" s="33">
        <f>IF(Y311&lt;=0,0,MAX(0,MIN(Y311,ROUND($AZ311-SUMPRODUCT($V311:$AE311*($V311:$AE311&gt;0)*(($V311:$AE311&lt;Y311)+($V311:$AE311=Y311)*($V$3:$AE$3&gt;Y$3)+($V311:$AE311=Y311)*($V$3:$AE$3=Y$3)*($V$2:$AE$2&lt;Y$2))),2))))</f>
      </c>
      <c r="AJ311" s="33">
        <f>IF(Z311&lt;=0,0,MAX(0,MIN(Z311,ROUND($AZ311-SUMPRODUCT($V311:$AE311*($V311:$AE311&gt;0)*(($V311:$AE311&lt;Z311)+($V311:$AE311=Z311)*($V$3:$AE$3&gt;Z$3)+($V311:$AE311=Z311)*($V$3:$AE$3=Z$3)*($V$2:$AE$2&lt;Z$2))),2))))</f>
      </c>
      <c r="AK311" s="33">
        <f>IF(AA311&lt;=0,0,MAX(0,MIN(AA311,ROUND($AZ311-SUMPRODUCT($V311:$AE311*($V311:$AE311&gt;0)*(($V311:$AE311&lt;AA311)+($V311:$AE311=AA311)*($V$3:$AE$3&gt;AA$3)+($V311:$AE311=AA311)*($V$3:$AE$3=AA$3)*($V$2:$AE$2&lt;AA$2))),2))))</f>
      </c>
      <c r="AL311" s="33">
        <f>IF(AB311&lt;=0,0,MAX(0,MIN(AB311,ROUND($AZ311-SUMPRODUCT($V311:$AE311*($V311:$AE311&gt;0)*(($V311:$AE311&lt;AB311)+($V311:$AE311=AB311)*($V$3:$AE$3&gt;AB$3)+($V311:$AE311=AB311)*($V$3:$AE$3=AB$3)*($V$2:$AE$2&lt;AB$2))),2))))</f>
      </c>
      <c r="AM311" s="33">
        <f>IF(AC311&lt;=0,0,MAX(0,MIN(AC311,ROUND($AZ311-SUMPRODUCT($V311:$AE311*($V311:$AE311&gt;0)*(($V311:$AE311&lt;AC311)+($V311:$AE311=AC311)*($V$3:$AE$3&gt;AC$3)+($V311:$AE311=AC311)*($V$3:$AE$3=AC$3)*($V$2:$AE$2&lt;AC$2))),2))))</f>
      </c>
      <c r="AN311" s="33">
        <f>IF(AD311&lt;=0,0,MAX(0,MIN(AD311,ROUND($AZ311-SUMPRODUCT($V311:$AE311*($V311:$AE311&gt;0)*(($V311:$AE311&lt;AD311)+($V311:$AE311=AD311)*($V$3:$AE$3&gt;AD$3)+($V311:$AE311=AD311)*($V$3:$AE$3=AD$3)*($V$2:$AE$2&lt;AD$2))),2))))</f>
      </c>
      <c r="AO311" s="33">
        <f>IF(AE311&lt;=0,0,MAX(0,MIN(AE311,ROUND($AZ311-SUMPRODUCT($V311:$AE311*($V311:$AE311&gt;0)*(($V311:$AE311&lt;AE311)+($V311:$AE311=AE311)*($V$3:$AE$3&gt;AE$3)+($V311:$AE311=AE311)*($V$3:$AE$3=AE$3)*($V$2:$AE$2&lt;AE$2))),2))))</f>
      </c>
      <c r="AP311" s="33">
        <f>ROUND(V311-AF311,2)</f>
      </c>
      <c r="AQ311" s="33">
        <f>ROUND(W311-AG311,2)</f>
      </c>
      <c r="AR311" s="33">
        <f>ROUND(X311-AH311,2)</f>
      </c>
      <c r="AS311" s="33">
        <f>ROUND(Y311-AI311,2)</f>
      </c>
      <c r="AT311" s="33">
        <f>ROUND(Z311-AJ311,2)</f>
      </c>
      <c r="AU311" s="33">
        <f>ROUND(AA311-AK311,2)</f>
      </c>
      <c r="AV311" s="33">
        <f>ROUND(AB311-AL311,2)</f>
      </c>
      <c r="AW311" s="33">
        <f>ROUND(AC311-AM311,2)</f>
      </c>
      <c r="AX311" s="33">
        <f>ROUND(AD311-AN311,2)</f>
      </c>
      <c r="AY311" s="33">
        <f>ROUND(AE311-AO311,2)</f>
      </c>
      <c r="AZ311" s="33">
        <f>ROUND(MAX(0,'Your debts'!$D$22-SUM($L311:$U311)),2)</f>
      </c>
      <c r="BA311" s="33">
        <f>ROUND(SUM($B311:$K311)-SUM($AP310:$AY310),2)</f>
      </c>
      <c r="BB311" s="33">
        <f>SUM($AP311:$AY311)</f>
      </c>
      <c r="BC311" s="33">
        <f>ROUND(SUM($L311:$U311)+SUM($AF311:$AO311),2)</f>
      </c>
    </row>
    <row r="312" spans="1:55" x14ac:dyDescent="0.25">
      <c r="A312">
        <v>305</v>
      </c>
      <c r="B312" s="33">
        <f>IF(AP311&lt;=0,0,ROUND(AP311+ROUND(AP311*V$3/12,2),2))</f>
      </c>
      <c r="C312" s="33">
        <f>IF(AQ311&lt;=0,0,ROUND(AQ311+ROUND(AQ311*W$3/12,2),2))</f>
      </c>
      <c r="D312" s="33">
        <f>IF(AR311&lt;=0,0,ROUND(AR311+ROUND(AR311*X$3/12,2),2))</f>
      </c>
      <c r="E312" s="33">
        <f>IF(AS311&lt;=0,0,ROUND(AS311+ROUND(AS311*Y$3/12,2),2))</f>
      </c>
      <c r="F312" s="33">
        <f>IF(AT311&lt;=0,0,ROUND(AT311+ROUND(AT311*Z$3/12,2),2))</f>
      </c>
      <c r="G312" s="33">
        <f>IF(AU311&lt;=0,0,ROUND(AU311+ROUND(AU311*AA$3/12,2),2))</f>
      </c>
      <c r="H312" s="33">
        <f>IF(AV311&lt;=0,0,ROUND(AV311+ROUND(AV311*AB$3/12,2),2))</f>
      </c>
      <c r="I312" s="33">
        <f>IF(AW311&lt;=0,0,ROUND(AW311+ROUND(AW311*AC$3/12,2),2))</f>
      </c>
      <c r="J312" s="33">
        <f>IF(AX311&lt;=0,0,ROUND(AX311+ROUND(AX311*AD$3/12,2),2))</f>
      </c>
      <c r="K312" s="33">
        <f>IF(AY311&lt;=0,0,ROUND(AY311+ROUND(AY311*AE$3/12,2),2))</f>
      </c>
      <c r="L312" s="33">
        <f>ROUND(MIN(MAX(0,N('Your debts'!$E$6)),B312),2)</f>
      </c>
      <c r="M312" s="33">
        <f>ROUND(MIN(MAX(0,N('Your debts'!$E$7)),C312),2)</f>
      </c>
      <c r="N312" s="33">
        <f>ROUND(MIN(MAX(0,N('Your debts'!$E$8)),D312),2)</f>
      </c>
      <c r="O312" s="33">
        <f>ROUND(MIN(MAX(0,N('Your debts'!$E$9)),E312),2)</f>
      </c>
      <c r="P312" s="33">
        <f>ROUND(MIN(MAX(0,N('Your debts'!$E$10)),F312),2)</f>
      </c>
      <c r="Q312" s="33">
        <f>ROUND(MIN(MAX(0,N('Your debts'!$E$11)),G312),2)</f>
      </c>
      <c r="R312" s="33">
        <f>ROUND(MIN(MAX(0,N('Your debts'!$E$12)),H312),2)</f>
      </c>
      <c r="S312" s="33">
        <f>ROUND(MIN(MAX(0,N('Your debts'!$E$13)),I312),2)</f>
      </c>
      <c r="T312" s="33">
        <f>ROUND(MIN(MAX(0,N('Your debts'!$E$14)),J312),2)</f>
      </c>
      <c r="U312" s="33">
        <f>ROUND(MIN(MAX(0,N('Your debts'!$E$15)),K312),2)</f>
      </c>
      <c r="V312" s="33">
        <f>ROUND(B312-L312,2)</f>
      </c>
      <c r="W312" s="33">
        <f>ROUND(C312-M312,2)</f>
      </c>
      <c r="X312" s="33">
        <f>ROUND(D312-N312,2)</f>
      </c>
      <c r="Y312" s="33">
        <f>ROUND(E312-O312,2)</f>
      </c>
      <c r="Z312" s="33">
        <f>ROUND(F312-P312,2)</f>
      </c>
      <c r="AA312" s="33">
        <f>ROUND(G312-Q312,2)</f>
      </c>
      <c r="AB312" s="33">
        <f>ROUND(H312-R312,2)</f>
      </c>
      <c r="AC312" s="33">
        <f>ROUND(I312-S312,2)</f>
      </c>
      <c r="AD312" s="33">
        <f>ROUND(J312-T312,2)</f>
      </c>
      <c r="AE312" s="33">
        <f>ROUND(K312-U312,2)</f>
      </c>
      <c r="AF312" s="33">
        <f>IF(V312&lt;=0,0,MAX(0,MIN(V312,ROUND($AZ312-SUMPRODUCT($V312:$AE312*($V312:$AE312&gt;0)*(($V312:$AE312&lt;V312)+($V312:$AE312=V312)*($V$3:$AE$3&gt;V$3)+($V312:$AE312=V312)*($V$3:$AE$3=V$3)*($V$2:$AE$2&lt;V$2))),2))))</f>
      </c>
      <c r="AG312" s="33">
        <f>IF(W312&lt;=0,0,MAX(0,MIN(W312,ROUND($AZ312-SUMPRODUCT($V312:$AE312*($V312:$AE312&gt;0)*(($V312:$AE312&lt;W312)+($V312:$AE312=W312)*($V$3:$AE$3&gt;W$3)+($V312:$AE312=W312)*($V$3:$AE$3=W$3)*($V$2:$AE$2&lt;W$2))),2))))</f>
      </c>
      <c r="AH312" s="33">
        <f>IF(X312&lt;=0,0,MAX(0,MIN(X312,ROUND($AZ312-SUMPRODUCT($V312:$AE312*($V312:$AE312&gt;0)*(($V312:$AE312&lt;X312)+($V312:$AE312=X312)*($V$3:$AE$3&gt;X$3)+($V312:$AE312=X312)*($V$3:$AE$3=X$3)*($V$2:$AE$2&lt;X$2))),2))))</f>
      </c>
      <c r="AI312" s="33">
        <f>IF(Y312&lt;=0,0,MAX(0,MIN(Y312,ROUND($AZ312-SUMPRODUCT($V312:$AE312*($V312:$AE312&gt;0)*(($V312:$AE312&lt;Y312)+($V312:$AE312=Y312)*($V$3:$AE$3&gt;Y$3)+($V312:$AE312=Y312)*($V$3:$AE$3=Y$3)*($V$2:$AE$2&lt;Y$2))),2))))</f>
      </c>
      <c r="AJ312" s="33">
        <f>IF(Z312&lt;=0,0,MAX(0,MIN(Z312,ROUND($AZ312-SUMPRODUCT($V312:$AE312*($V312:$AE312&gt;0)*(($V312:$AE312&lt;Z312)+($V312:$AE312=Z312)*($V$3:$AE$3&gt;Z$3)+($V312:$AE312=Z312)*($V$3:$AE$3=Z$3)*($V$2:$AE$2&lt;Z$2))),2))))</f>
      </c>
      <c r="AK312" s="33">
        <f>IF(AA312&lt;=0,0,MAX(0,MIN(AA312,ROUND($AZ312-SUMPRODUCT($V312:$AE312*($V312:$AE312&gt;0)*(($V312:$AE312&lt;AA312)+($V312:$AE312=AA312)*($V$3:$AE$3&gt;AA$3)+($V312:$AE312=AA312)*($V$3:$AE$3=AA$3)*($V$2:$AE$2&lt;AA$2))),2))))</f>
      </c>
      <c r="AL312" s="33">
        <f>IF(AB312&lt;=0,0,MAX(0,MIN(AB312,ROUND($AZ312-SUMPRODUCT($V312:$AE312*($V312:$AE312&gt;0)*(($V312:$AE312&lt;AB312)+($V312:$AE312=AB312)*($V$3:$AE$3&gt;AB$3)+($V312:$AE312=AB312)*($V$3:$AE$3=AB$3)*($V$2:$AE$2&lt;AB$2))),2))))</f>
      </c>
      <c r="AM312" s="33">
        <f>IF(AC312&lt;=0,0,MAX(0,MIN(AC312,ROUND($AZ312-SUMPRODUCT($V312:$AE312*($V312:$AE312&gt;0)*(($V312:$AE312&lt;AC312)+($V312:$AE312=AC312)*($V$3:$AE$3&gt;AC$3)+($V312:$AE312=AC312)*($V$3:$AE$3=AC$3)*($V$2:$AE$2&lt;AC$2))),2))))</f>
      </c>
      <c r="AN312" s="33">
        <f>IF(AD312&lt;=0,0,MAX(0,MIN(AD312,ROUND($AZ312-SUMPRODUCT($V312:$AE312*($V312:$AE312&gt;0)*(($V312:$AE312&lt;AD312)+($V312:$AE312=AD312)*($V$3:$AE$3&gt;AD$3)+($V312:$AE312=AD312)*($V$3:$AE$3=AD$3)*($V$2:$AE$2&lt;AD$2))),2))))</f>
      </c>
      <c r="AO312" s="33">
        <f>IF(AE312&lt;=0,0,MAX(0,MIN(AE312,ROUND($AZ312-SUMPRODUCT($V312:$AE312*($V312:$AE312&gt;0)*(($V312:$AE312&lt;AE312)+($V312:$AE312=AE312)*($V$3:$AE$3&gt;AE$3)+($V312:$AE312=AE312)*($V$3:$AE$3=AE$3)*($V$2:$AE$2&lt;AE$2))),2))))</f>
      </c>
      <c r="AP312" s="33">
        <f>ROUND(V312-AF312,2)</f>
      </c>
      <c r="AQ312" s="33">
        <f>ROUND(W312-AG312,2)</f>
      </c>
      <c r="AR312" s="33">
        <f>ROUND(X312-AH312,2)</f>
      </c>
      <c r="AS312" s="33">
        <f>ROUND(Y312-AI312,2)</f>
      </c>
      <c r="AT312" s="33">
        <f>ROUND(Z312-AJ312,2)</f>
      </c>
      <c r="AU312" s="33">
        <f>ROUND(AA312-AK312,2)</f>
      </c>
      <c r="AV312" s="33">
        <f>ROUND(AB312-AL312,2)</f>
      </c>
      <c r="AW312" s="33">
        <f>ROUND(AC312-AM312,2)</f>
      </c>
      <c r="AX312" s="33">
        <f>ROUND(AD312-AN312,2)</f>
      </c>
      <c r="AY312" s="33">
        <f>ROUND(AE312-AO312,2)</f>
      </c>
      <c r="AZ312" s="33">
        <f>ROUND(MAX(0,'Your debts'!$D$22-SUM($L312:$U312)),2)</f>
      </c>
      <c r="BA312" s="33">
        <f>ROUND(SUM($B312:$K312)-SUM($AP311:$AY311),2)</f>
      </c>
      <c r="BB312" s="33">
        <f>SUM($AP312:$AY312)</f>
      </c>
      <c r="BC312" s="33">
        <f>ROUND(SUM($L312:$U312)+SUM($AF312:$AO312),2)</f>
      </c>
    </row>
    <row r="313" spans="1:55" x14ac:dyDescent="0.25">
      <c r="A313">
        <v>306</v>
      </c>
      <c r="B313" s="33">
        <f>IF(AP312&lt;=0,0,ROUND(AP312+ROUND(AP312*V$3/12,2),2))</f>
      </c>
      <c r="C313" s="33">
        <f>IF(AQ312&lt;=0,0,ROUND(AQ312+ROUND(AQ312*W$3/12,2),2))</f>
      </c>
      <c r="D313" s="33">
        <f>IF(AR312&lt;=0,0,ROUND(AR312+ROUND(AR312*X$3/12,2),2))</f>
      </c>
      <c r="E313" s="33">
        <f>IF(AS312&lt;=0,0,ROUND(AS312+ROUND(AS312*Y$3/12,2),2))</f>
      </c>
      <c r="F313" s="33">
        <f>IF(AT312&lt;=0,0,ROUND(AT312+ROUND(AT312*Z$3/12,2),2))</f>
      </c>
      <c r="G313" s="33">
        <f>IF(AU312&lt;=0,0,ROUND(AU312+ROUND(AU312*AA$3/12,2),2))</f>
      </c>
      <c r="H313" s="33">
        <f>IF(AV312&lt;=0,0,ROUND(AV312+ROUND(AV312*AB$3/12,2),2))</f>
      </c>
      <c r="I313" s="33">
        <f>IF(AW312&lt;=0,0,ROUND(AW312+ROUND(AW312*AC$3/12,2),2))</f>
      </c>
      <c r="J313" s="33">
        <f>IF(AX312&lt;=0,0,ROUND(AX312+ROUND(AX312*AD$3/12,2),2))</f>
      </c>
      <c r="K313" s="33">
        <f>IF(AY312&lt;=0,0,ROUND(AY312+ROUND(AY312*AE$3/12,2),2))</f>
      </c>
      <c r="L313" s="33">
        <f>ROUND(MIN(MAX(0,N('Your debts'!$E$6)),B313),2)</f>
      </c>
      <c r="M313" s="33">
        <f>ROUND(MIN(MAX(0,N('Your debts'!$E$7)),C313),2)</f>
      </c>
      <c r="N313" s="33">
        <f>ROUND(MIN(MAX(0,N('Your debts'!$E$8)),D313),2)</f>
      </c>
      <c r="O313" s="33">
        <f>ROUND(MIN(MAX(0,N('Your debts'!$E$9)),E313),2)</f>
      </c>
      <c r="P313" s="33">
        <f>ROUND(MIN(MAX(0,N('Your debts'!$E$10)),F313),2)</f>
      </c>
      <c r="Q313" s="33">
        <f>ROUND(MIN(MAX(0,N('Your debts'!$E$11)),G313),2)</f>
      </c>
      <c r="R313" s="33">
        <f>ROUND(MIN(MAX(0,N('Your debts'!$E$12)),H313),2)</f>
      </c>
      <c r="S313" s="33">
        <f>ROUND(MIN(MAX(0,N('Your debts'!$E$13)),I313),2)</f>
      </c>
      <c r="T313" s="33">
        <f>ROUND(MIN(MAX(0,N('Your debts'!$E$14)),J313),2)</f>
      </c>
      <c r="U313" s="33">
        <f>ROUND(MIN(MAX(0,N('Your debts'!$E$15)),K313),2)</f>
      </c>
      <c r="V313" s="33">
        <f>ROUND(B313-L313,2)</f>
      </c>
      <c r="W313" s="33">
        <f>ROUND(C313-M313,2)</f>
      </c>
      <c r="X313" s="33">
        <f>ROUND(D313-N313,2)</f>
      </c>
      <c r="Y313" s="33">
        <f>ROUND(E313-O313,2)</f>
      </c>
      <c r="Z313" s="33">
        <f>ROUND(F313-P313,2)</f>
      </c>
      <c r="AA313" s="33">
        <f>ROUND(G313-Q313,2)</f>
      </c>
      <c r="AB313" s="33">
        <f>ROUND(H313-R313,2)</f>
      </c>
      <c r="AC313" s="33">
        <f>ROUND(I313-S313,2)</f>
      </c>
      <c r="AD313" s="33">
        <f>ROUND(J313-T313,2)</f>
      </c>
      <c r="AE313" s="33">
        <f>ROUND(K313-U313,2)</f>
      </c>
      <c r="AF313" s="33">
        <f>IF(V313&lt;=0,0,MAX(0,MIN(V313,ROUND($AZ313-SUMPRODUCT($V313:$AE313*($V313:$AE313&gt;0)*(($V313:$AE313&lt;V313)+($V313:$AE313=V313)*($V$3:$AE$3&gt;V$3)+($V313:$AE313=V313)*($V$3:$AE$3=V$3)*($V$2:$AE$2&lt;V$2))),2))))</f>
      </c>
      <c r="AG313" s="33">
        <f>IF(W313&lt;=0,0,MAX(0,MIN(W313,ROUND($AZ313-SUMPRODUCT($V313:$AE313*($V313:$AE313&gt;0)*(($V313:$AE313&lt;W313)+($V313:$AE313=W313)*($V$3:$AE$3&gt;W$3)+($V313:$AE313=W313)*($V$3:$AE$3=W$3)*($V$2:$AE$2&lt;W$2))),2))))</f>
      </c>
      <c r="AH313" s="33">
        <f>IF(X313&lt;=0,0,MAX(0,MIN(X313,ROUND($AZ313-SUMPRODUCT($V313:$AE313*($V313:$AE313&gt;0)*(($V313:$AE313&lt;X313)+($V313:$AE313=X313)*($V$3:$AE$3&gt;X$3)+($V313:$AE313=X313)*($V$3:$AE$3=X$3)*($V$2:$AE$2&lt;X$2))),2))))</f>
      </c>
      <c r="AI313" s="33">
        <f>IF(Y313&lt;=0,0,MAX(0,MIN(Y313,ROUND($AZ313-SUMPRODUCT($V313:$AE313*($V313:$AE313&gt;0)*(($V313:$AE313&lt;Y313)+($V313:$AE313=Y313)*($V$3:$AE$3&gt;Y$3)+($V313:$AE313=Y313)*($V$3:$AE$3=Y$3)*($V$2:$AE$2&lt;Y$2))),2))))</f>
      </c>
      <c r="AJ313" s="33">
        <f>IF(Z313&lt;=0,0,MAX(0,MIN(Z313,ROUND($AZ313-SUMPRODUCT($V313:$AE313*($V313:$AE313&gt;0)*(($V313:$AE313&lt;Z313)+($V313:$AE313=Z313)*($V$3:$AE$3&gt;Z$3)+($V313:$AE313=Z313)*($V$3:$AE$3=Z$3)*($V$2:$AE$2&lt;Z$2))),2))))</f>
      </c>
      <c r="AK313" s="33">
        <f>IF(AA313&lt;=0,0,MAX(0,MIN(AA313,ROUND($AZ313-SUMPRODUCT($V313:$AE313*($V313:$AE313&gt;0)*(($V313:$AE313&lt;AA313)+($V313:$AE313=AA313)*($V$3:$AE$3&gt;AA$3)+($V313:$AE313=AA313)*($V$3:$AE$3=AA$3)*($V$2:$AE$2&lt;AA$2))),2))))</f>
      </c>
      <c r="AL313" s="33">
        <f>IF(AB313&lt;=0,0,MAX(0,MIN(AB313,ROUND($AZ313-SUMPRODUCT($V313:$AE313*($V313:$AE313&gt;0)*(($V313:$AE313&lt;AB313)+($V313:$AE313=AB313)*($V$3:$AE$3&gt;AB$3)+($V313:$AE313=AB313)*($V$3:$AE$3=AB$3)*($V$2:$AE$2&lt;AB$2))),2))))</f>
      </c>
      <c r="AM313" s="33">
        <f>IF(AC313&lt;=0,0,MAX(0,MIN(AC313,ROUND($AZ313-SUMPRODUCT($V313:$AE313*($V313:$AE313&gt;0)*(($V313:$AE313&lt;AC313)+($V313:$AE313=AC313)*($V$3:$AE$3&gt;AC$3)+($V313:$AE313=AC313)*($V$3:$AE$3=AC$3)*($V$2:$AE$2&lt;AC$2))),2))))</f>
      </c>
      <c r="AN313" s="33">
        <f>IF(AD313&lt;=0,0,MAX(0,MIN(AD313,ROUND($AZ313-SUMPRODUCT($V313:$AE313*($V313:$AE313&gt;0)*(($V313:$AE313&lt;AD313)+($V313:$AE313=AD313)*($V$3:$AE$3&gt;AD$3)+($V313:$AE313=AD313)*($V$3:$AE$3=AD$3)*($V$2:$AE$2&lt;AD$2))),2))))</f>
      </c>
      <c r="AO313" s="33">
        <f>IF(AE313&lt;=0,0,MAX(0,MIN(AE313,ROUND($AZ313-SUMPRODUCT($V313:$AE313*($V313:$AE313&gt;0)*(($V313:$AE313&lt;AE313)+($V313:$AE313=AE313)*($V$3:$AE$3&gt;AE$3)+($V313:$AE313=AE313)*($V$3:$AE$3=AE$3)*($V$2:$AE$2&lt;AE$2))),2))))</f>
      </c>
      <c r="AP313" s="33">
        <f>ROUND(V313-AF313,2)</f>
      </c>
      <c r="AQ313" s="33">
        <f>ROUND(W313-AG313,2)</f>
      </c>
      <c r="AR313" s="33">
        <f>ROUND(X313-AH313,2)</f>
      </c>
      <c r="AS313" s="33">
        <f>ROUND(Y313-AI313,2)</f>
      </c>
      <c r="AT313" s="33">
        <f>ROUND(Z313-AJ313,2)</f>
      </c>
      <c r="AU313" s="33">
        <f>ROUND(AA313-AK313,2)</f>
      </c>
      <c r="AV313" s="33">
        <f>ROUND(AB313-AL313,2)</f>
      </c>
      <c r="AW313" s="33">
        <f>ROUND(AC313-AM313,2)</f>
      </c>
      <c r="AX313" s="33">
        <f>ROUND(AD313-AN313,2)</f>
      </c>
      <c r="AY313" s="33">
        <f>ROUND(AE313-AO313,2)</f>
      </c>
      <c r="AZ313" s="33">
        <f>ROUND(MAX(0,'Your debts'!$D$22-SUM($L313:$U313)),2)</f>
      </c>
      <c r="BA313" s="33">
        <f>ROUND(SUM($B313:$K313)-SUM($AP312:$AY312),2)</f>
      </c>
      <c r="BB313" s="33">
        <f>SUM($AP313:$AY313)</f>
      </c>
      <c r="BC313" s="33">
        <f>ROUND(SUM($L313:$U313)+SUM($AF313:$AO313),2)</f>
      </c>
    </row>
    <row r="314" spans="1:55" x14ac:dyDescent="0.25">
      <c r="A314">
        <v>307</v>
      </c>
      <c r="B314" s="33">
        <f>IF(AP313&lt;=0,0,ROUND(AP313+ROUND(AP313*V$3/12,2),2))</f>
      </c>
      <c r="C314" s="33">
        <f>IF(AQ313&lt;=0,0,ROUND(AQ313+ROUND(AQ313*W$3/12,2),2))</f>
      </c>
      <c r="D314" s="33">
        <f>IF(AR313&lt;=0,0,ROUND(AR313+ROUND(AR313*X$3/12,2),2))</f>
      </c>
      <c r="E314" s="33">
        <f>IF(AS313&lt;=0,0,ROUND(AS313+ROUND(AS313*Y$3/12,2),2))</f>
      </c>
      <c r="F314" s="33">
        <f>IF(AT313&lt;=0,0,ROUND(AT313+ROUND(AT313*Z$3/12,2),2))</f>
      </c>
      <c r="G314" s="33">
        <f>IF(AU313&lt;=0,0,ROUND(AU313+ROUND(AU313*AA$3/12,2),2))</f>
      </c>
      <c r="H314" s="33">
        <f>IF(AV313&lt;=0,0,ROUND(AV313+ROUND(AV313*AB$3/12,2),2))</f>
      </c>
      <c r="I314" s="33">
        <f>IF(AW313&lt;=0,0,ROUND(AW313+ROUND(AW313*AC$3/12,2),2))</f>
      </c>
      <c r="J314" s="33">
        <f>IF(AX313&lt;=0,0,ROUND(AX313+ROUND(AX313*AD$3/12,2),2))</f>
      </c>
      <c r="K314" s="33">
        <f>IF(AY313&lt;=0,0,ROUND(AY313+ROUND(AY313*AE$3/12,2),2))</f>
      </c>
      <c r="L314" s="33">
        <f>ROUND(MIN(MAX(0,N('Your debts'!$E$6)),B314),2)</f>
      </c>
      <c r="M314" s="33">
        <f>ROUND(MIN(MAX(0,N('Your debts'!$E$7)),C314),2)</f>
      </c>
      <c r="N314" s="33">
        <f>ROUND(MIN(MAX(0,N('Your debts'!$E$8)),D314),2)</f>
      </c>
      <c r="O314" s="33">
        <f>ROUND(MIN(MAX(0,N('Your debts'!$E$9)),E314),2)</f>
      </c>
      <c r="P314" s="33">
        <f>ROUND(MIN(MAX(0,N('Your debts'!$E$10)),F314),2)</f>
      </c>
      <c r="Q314" s="33">
        <f>ROUND(MIN(MAX(0,N('Your debts'!$E$11)),G314),2)</f>
      </c>
      <c r="R314" s="33">
        <f>ROUND(MIN(MAX(0,N('Your debts'!$E$12)),H314),2)</f>
      </c>
      <c r="S314" s="33">
        <f>ROUND(MIN(MAX(0,N('Your debts'!$E$13)),I314),2)</f>
      </c>
      <c r="T314" s="33">
        <f>ROUND(MIN(MAX(0,N('Your debts'!$E$14)),J314),2)</f>
      </c>
      <c r="U314" s="33">
        <f>ROUND(MIN(MAX(0,N('Your debts'!$E$15)),K314),2)</f>
      </c>
      <c r="V314" s="33">
        <f>ROUND(B314-L314,2)</f>
      </c>
      <c r="W314" s="33">
        <f>ROUND(C314-M314,2)</f>
      </c>
      <c r="X314" s="33">
        <f>ROUND(D314-N314,2)</f>
      </c>
      <c r="Y314" s="33">
        <f>ROUND(E314-O314,2)</f>
      </c>
      <c r="Z314" s="33">
        <f>ROUND(F314-P314,2)</f>
      </c>
      <c r="AA314" s="33">
        <f>ROUND(G314-Q314,2)</f>
      </c>
      <c r="AB314" s="33">
        <f>ROUND(H314-R314,2)</f>
      </c>
      <c r="AC314" s="33">
        <f>ROUND(I314-S314,2)</f>
      </c>
      <c r="AD314" s="33">
        <f>ROUND(J314-T314,2)</f>
      </c>
      <c r="AE314" s="33">
        <f>ROUND(K314-U314,2)</f>
      </c>
      <c r="AF314" s="33">
        <f>IF(V314&lt;=0,0,MAX(0,MIN(V314,ROUND($AZ314-SUMPRODUCT($V314:$AE314*($V314:$AE314&gt;0)*(($V314:$AE314&lt;V314)+($V314:$AE314=V314)*($V$3:$AE$3&gt;V$3)+($V314:$AE314=V314)*($V$3:$AE$3=V$3)*($V$2:$AE$2&lt;V$2))),2))))</f>
      </c>
      <c r="AG314" s="33">
        <f>IF(W314&lt;=0,0,MAX(0,MIN(W314,ROUND($AZ314-SUMPRODUCT($V314:$AE314*($V314:$AE314&gt;0)*(($V314:$AE314&lt;W314)+($V314:$AE314=W314)*($V$3:$AE$3&gt;W$3)+($V314:$AE314=W314)*($V$3:$AE$3=W$3)*($V$2:$AE$2&lt;W$2))),2))))</f>
      </c>
      <c r="AH314" s="33">
        <f>IF(X314&lt;=0,0,MAX(0,MIN(X314,ROUND($AZ314-SUMPRODUCT($V314:$AE314*($V314:$AE314&gt;0)*(($V314:$AE314&lt;X314)+($V314:$AE314=X314)*($V$3:$AE$3&gt;X$3)+($V314:$AE314=X314)*($V$3:$AE$3=X$3)*($V$2:$AE$2&lt;X$2))),2))))</f>
      </c>
      <c r="AI314" s="33">
        <f>IF(Y314&lt;=0,0,MAX(0,MIN(Y314,ROUND($AZ314-SUMPRODUCT($V314:$AE314*($V314:$AE314&gt;0)*(($V314:$AE314&lt;Y314)+($V314:$AE314=Y314)*($V$3:$AE$3&gt;Y$3)+($V314:$AE314=Y314)*($V$3:$AE$3=Y$3)*($V$2:$AE$2&lt;Y$2))),2))))</f>
      </c>
      <c r="AJ314" s="33">
        <f>IF(Z314&lt;=0,0,MAX(0,MIN(Z314,ROUND($AZ314-SUMPRODUCT($V314:$AE314*($V314:$AE314&gt;0)*(($V314:$AE314&lt;Z314)+($V314:$AE314=Z314)*($V$3:$AE$3&gt;Z$3)+($V314:$AE314=Z314)*($V$3:$AE$3=Z$3)*($V$2:$AE$2&lt;Z$2))),2))))</f>
      </c>
      <c r="AK314" s="33">
        <f>IF(AA314&lt;=0,0,MAX(0,MIN(AA314,ROUND($AZ314-SUMPRODUCT($V314:$AE314*($V314:$AE314&gt;0)*(($V314:$AE314&lt;AA314)+($V314:$AE314=AA314)*($V$3:$AE$3&gt;AA$3)+($V314:$AE314=AA314)*($V$3:$AE$3=AA$3)*($V$2:$AE$2&lt;AA$2))),2))))</f>
      </c>
      <c r="AL314" s="33">
        <f>IF(AB314&lt;=0,0,MAX(0,MIN(AB314,ROUND($AZ314-SUMPRODUCT($V314:$AE314*($V314:$AE314&gt;0)*(($V314:$AE314&lt;AB314)+($V314:$AE314=AB314)*($V$3:$AE$3&gt;AB$3)+($V314:$AE314=AB314)*($V$3:$AE$3=AB$3)*($V$2:$AE$2&lt;AB$2))),2))))</f>
      </c>
      <c r="AM314" s="33">
        <f>IF(AC314&lt;=0,0,MAX(0,MIN(AC314,ROUND($AZ314-SUMPRODUCT($V314:$AE314*($V314:$AE314&gt;0)*(($V314:$AE314&lt;AC314)+($V314:$AE314=AC314)*($V$3:$AE$3&gt;AC$3)+($V314:$AE314=AC314)*($V$3:$AE$3=AC$3)*($V$2:$AE$2&lt;AC$2))),2))))</f>
      </c>
      <c r="AN314" s="33">
        <f>IF(AD314&lt;=0,0,MAX(0,MIN(AD314,ROUND($AZ314-SUMPRODUCT($V314:$AE314*($V314:$AE314&gt;0)*(($V314:$AE314&lt;AD314)+($V314:$AE314=AD314)*($V$3:$AE$3&gt;AD$3)+($V314:$AE314=AD314)*($V$3:$AE$3=AD$3)*($V$2:$AE$2&lt;AD$2))),2))))</f>
      </c>
      <c r="AO314" s="33">
        <f>IF(AE314&lt;=0,0,MAX(0,MIN(AE314,ROUND($AZ314-SUMPRODUCT($V314:$AE314*($V314:$AE314&gt;0)*(($V314:$AE314&lt;AE314)+($V314:$AE314=AE314)*($V$3:$AE$3&gt;AE$3)+($V314:$AE314=AE314)*($V$3:$AE$3=AE$3)*($V$2:$AE$2&lt;AE$2))),2))))</f>
      </c>
      <c r="AP314" s="33">
        <f>ROUND(V314-AF314,2)</f>
      </c>
      <c r="AQ314" s="33">
        <f>ROUND(W314-AG314,2)</f>
      </c>
      <c r="AR314" s="33">
        <f>ROUND(X314-AH314,2)</f>
      </c>
      <c r="AS314" s="33">
        <f>ROUND(Y314-AI314,2)</f>
      </c>
      <c r="AT314" s="33">
        <f>ROUND(Z314-AJ314,2)</f>
      </c>
      <c r="AU314" s="33">
        <f>ROUND(AA314-AK314,2)</f>
      </c>
      <c r="AV314" s="33">
        <f>ROUND(AB314-AL314,2)</f>
      </c>
      <c r="AW314" s="33">
        <f>ROUND(AC314-AM314,2)</f>
      </c>
      <c r="AX314" s="33">
        <f>ROUND(AD314-AN314,2)</f>
      </c>
      <c r="AY314" s="33">
        <f>ROUND(AE314-AO314,2)</f>
      </c>
      <c r="AZ314" s="33">
        <f>ROUND(MAX(0,'Your debts'!$D$22-SUM($L314:$U314)),2)</f>
      </c>
      <c r="BA314" s="33">
        <f>ROUND(SUM($B314:$K314)-SUM($AP313:$AY313),2)</f>
      </c>
      <c r="BB314" s="33">
        <f>SUM($AP314:$AY314)</f>
      </c>
      <c r="BC314" s="33">
        <f>ROUND(SUM($L314:$U314)+SUM($AF314:$AO314),2)</f>
      </c>
    </row>
    <row r="315" spans="1:55" x14ac:dyDescent="0.25">
      <c r="A315">
        <v>308</v>
      </c>
      <c r="B315" s="33">
        <f>IF(AP314&lt;=0,0,ROUND(AP314+ROUND(AP314*V$3/12,2),2))</f>
      </c>
      <c r="C315" s="33">
        <f>IF(AQ314&lt;=0,0,ROUND(AQ314+ROUND(AQ314*W$3/12,2),2))</f>
      </c>
      <c r="D315" s="33">
        <f>IF(AR314&lt;=0,0,ROUND(AR314+ROUND(AR314*X$3/12,2),2))</f>
      </c>
      <c r="E315" s="33">
        <f>IF(AS314&lt;=0,0,ROUND(AS314+ROUND(AS314*Y$3/12,2),2))</f>
      </c>
      <c r="F315" s="33">
        <f>IF(AT314&lt;=0,0,ROUND(AT314+ROUND(AT314*Z$3/12,2),2))</f>
      </c>
      <c r="G315" s="33">
        <f>IF(AU314&lt;=0,0,ROUND(AU314+ROUND(AU314*AA$3/12,2),2))</f>
      </c>
      <c r="H315" s="33">
        <f>IF(AV314&lt;=0,0,ROUND(AV314+ROUND(AV314*AB$3/12,2),2))</f>
      </c>
      <c r="I315" s="33">
        <f>IF(AW314&lt;=0,0,ROUND(AW314+ROUND(AW314*AC$3/12,2),2))</f>
      </c>
      <c r="J315" s="33">
        <f>IF(AX314&lt;=0,0,ROUND(AX314+ROUND(AX314*AD$3/12,2),2))</f>
      </c>
      <c r="K315" s="33">
        <f>IF(AY314&lt;=0,0,ROUND(AY314+ROUND(AY314*AE$3/12,2),2))</f>
      </c>
      <c r="L315" s="33">
        <f>ROUND(MIN(MAX(0,N('Your debts'!$E$6)),B315),2)</f>
      </c>
      <c r="M315" s="33">
        <f>ROUND(MIN(MAX(0,N('Your debts'!$E$7)),C315),2)</f>
      </c>
      <c r="N315" s="33">
        <f>ROUND(MIN(MAX(0,N('Your debts'!$E$8)),D315),2)</f>
      </c>
      <c r="O315" s="33">
        <f>ROUND(MIN(MAX(0,N('Your debts'!$E$9)),E315),2)</f>
      </c>
      <c r="P315" s="33">
        <f>ROUND(MIN(MAX(0,N('Your debts'!$E$10)),F315),2)</f>
      </c>
      <c r="Q315" s="33">
        <f>ROUND(MIN(MAX(0,N('Your debts'!$E$11)),G315),2)</f>
      </c>
      <c r="R315" s="33">
        <f>ROUND(MIN(MAX(0,N('Your debts'!$E$12)),H315),2)</f>
      </c>
      <c r="S315" s="33">
        <f>ROUND(MIN(MAX(0,N('Your debts'!$E$13)),I315),2)</f>
      </c>
      <c r="T315" s="33">
        <f>ROUND(MIN(MAX(0,N('Your debts'!$E$14)),J315),2)</f>
      </c>
      <c r="U315" s="33">
        <f>ROUND(MIN(MAX(0,N('Your debts'!$E$15)),K315),2)</f>
      </c>
      <c r="V315" s="33">
        <f>ROUND(B315-L315,2)</f>
      </c>
      <c r="W315" s="33">
        <f>ROUND(C315-M315,2)</f>
      </c>
      <c r="X315" s="33">
        <f>ROUND(D315-N315,2)</f>
      </c>
      <c r="Y315" s="33">
        <f>ROUND(E315-O315,2)</f>
      </c>
      <c r="Z315" s="33">
        <f>ROUND(F315-P315,2)</f>
      </c>
      <c r="AA315" s="33">
        <f>ROUND(G315-Q315,2)</f>
      </c>
      <c r="AB315" s="33">
        <f>ROUND(H315-R315,2)</f>
      </c>
      <c r="AC315" s="33">
        <f>ROUND(I315-S315,2)</f>
      </c>
      <c r="AD315" s="33">
        <f>ROUND(J315-T315,2)</f>
      </c>
      <c r="AE315" s="33">
        <f>ROUND(K315-U315,2)</f>
      </c>
      <c r="AF315" s="33">
        <f>IF(V315&lt;=0,0,MAX(0,MIN(V315,ROUND($AZ315-SUMPRODUCT($V315:$AE315*($V315:$AE315&gt;0)*(($V315:$AE315&lt;V315)+($V315:$AE315=V315)*($V$3:$AE$3&gt;V$3)+($V315:$AE315=V315)*($V$3:$AE$3=V$3)*($V$2:$AE$2&lt;V$2))),2))))</f>
      </c>
      <c r="AG315" s="33">
        <f>IF(W315&lt;=0,0,MAX(0,MIN(W315,ROUND($AZ315-SUMPRODUCT($V315:$AE315*($V315:$AE315&gt;0)*(($V315:$AE315&lt;W315)+($V315:$AE315=W315)*($V$3:$AE$3&gt;W$3)+($V315:$AE315=W315)*($V$3:$AE$3=W$3)*($V$2:$AE$2&lt;W$2))),2))))</f>
      </c>
      <c r="AH315" s="33">
        <f>IF(X315&lt;=0,0,MAX(0,MIN(X315,ROUND($AZ315-SUMPRODUCT($V315:$AE315*($V315:$AE315&gt;0)*(($V315:$AE315&lt;X315)+($V315:$AE315=X315)*($V$3:$AE$3&gt;X$3)+($V315:$AE315=X315)*($V$3:$AE$3=X$3)*($V$2:$AE$2&lt;X$2))),2))))</f>
      </c>
      <c r="AI315" s="33">
        <f>IF(Y315&lt;=0,0,MAX(0,MIN(Y315,ROUND($AZ315-SUMPRODUCT($V315:$AE315*($V315:$AE315&gt;0)*(($V315:$AE315&lt;Y315)+($V315:$AE315=Y315)*($V$3:$AE$3&gt;Y$3)+($V315:$AE315=Y315)*($V$3:$AE$3=Y$3)*($V$2:$AE$2&lt;Y$2))),2))))</f>
      </c>
      <c r="AJ315" s="33">
        <f>IF(Z315&lt;=0,0,MAX(0,MIN(Z315,ROUND($AZ315-SUMPRODUCT($V315:$AE315*($V315:$AE315&gt;0)*(($V315:$AE315&lt;Z315)+($V315:$AE315=Z315)*($V$3:$AE$3&gt;Z$3)+($V315:$AE315=Z315)*($V$3:$AE$3=Z$3)*($V$2:$AE$2&lt;Z$2))),2))))</f>
      </c>
      <c r="AK315" s="33">
        <f>IF(AA315&lt;=0,0,MAX(0,MIN(AA315,ROUND($AZ315-SUMPRODUCT($V315:$AE315*($V315:$AE315&gt;0)*(($V315:$AE315&lt;AA315)+($V315:$AE315=AA315)*($V$3:$AE$3&gt;AA$3)+($V315:$AE315=AA315)*($V$3:$AE$3=AA$3)*($V$2:$AE$2&lt;AA$2))),2))))</f>
      </c>
      <c r="AL315" s="33">
        <f>IF(AB315&lt;=0,0,MAX(0,MIN(AB315,ROUND($AZ315-SUMPRODUCT($V315:$AE315*($V315:$AE315&gt;0)*(($V315:$AE315&lt;AB315)+($V315:$AE315=AB315)*($V$3:$AE$3&gt;AB$3)+($V315:$AE315=AB315)*($V$3:$AE$3=AB$3)*($V$2:$AE$2&lt;AB$2))),2))))</f>
      </c>
      <c r="AM315" s="33">
        <f>IF(AC315&lt;=0,0,MAX(0,MIN(AC315,ROUND($AZ315-SUMPRODUCT($V315:$AE315*($V315:$AE315&gt;0)*(($V315:$AE315&lt;AC315)+($V315:$AE315=AC315)*($V$3:$AE$3&gt;AC$3)+($V315:$AE315=AC315)*($V$3:$AE$3=AC$3)*($V$2:$AE$2&lt;AC$2))),2))))</f>
      </c>
      <c r="AN315" s="33">
        <f>IF(AD315&lt;=0,0,MAX(0,MIN(AD315,ROUND($AZ315-SUMPRODUCT($V315:$AE315*($V315:$AE315&gt;0)*(($V315:$AE315&lt;AD315)+($V315:$AE315=AD315)*($V$3:$AE$3&gt;AD$3)+($V315:$AE315=AD315)*($V$3:$AE$3=AD$3)*($V$2:$AE$2&lt;AD$2))),2))))</f>
      </c>
      <c r="AO315" s="33">
        <f>IF(AE315&lt;=0,0,MAX(0,MIN(AE315,ROUND($AZ315-SUMPRODUCT($V315:$AE315*($V315:$AE315&gt;0)*(($V315:$AE315&lt;AE315)+($V315:$AE315=AE315)*($V$3:$AE$3&gt;AE$3)+($V315:$AE315=AE315)*($V$3:$AE$3=AE$3)*($V$2:$AE$2&lt;AE$2))),2))))</f>
      </c>
      <c r="AP315" s="33">
        <f>ROUND(V315-AF315,2)</f>
      </c>
      <c r="AQ315" s="33">
        <f>ROUND(W315-AG315,2)</f>
      </c>
      <c r="AR315" s="33">
        <f>ROUND(X315-AH315,2)</f>
      </c>
      <c r="AS315" s="33">
        <f>ROUND(Y315-AI315,2)</f>
      </c>
      <c r="AT315" s="33">
        <f>ROUND(Z315-AJ315,2)</f>
      </c>
      <c r="AU315" s="33">
        <f>ROUND(AA315-AK315,2)</f>
      </c>
      <c r="AV315" s="33">
        <f>ROUND(AB315-AL315,2)</f>
      </c>
      <c r="AW315" s="33">
        <f>ROUND(AC315-AM315,2)</f>
      </c>
      <c r="AX315" s="33">
        <f>ROUND(AD315-AN315,2)</f>
      </c>
      <c r="AY315" s="33">
        <f>ROUND(AE315-AO315,2)</f>
      </c>
      <c r="AZ315" s="33">
        <f>ROUND(MAX(0,'Your debts'!$D$22-SUM($L315:$U315)),2)</f>
      </c>
      <c r="BA315" s="33">
        <f>ROUND(SUM($B315:$K315)-SUM($AP314:$AY314),2)</f>
      </c>
      <c r="BB315" s="33">
        <f>SUM($AP315:$AY315)</f>
      </c>
      <c r="BC315" s="33">
        <f>ROUND(SUM($L315:$U315)+SUM($AF315:$AO315),2)</f>
      </c>
    </row>
    <row r="316" spans="1:55" x14ac:dyDescent="0.25">
      <c r="A316">
        <v>309</v>
      </c>
      <c r="B316" s="33">
        <f>IF(AP315&lt;=0,0,ROUND(AP315+ROUND(AP315*V$3/12,2),2))</f>
      </c>
      <c r="C316" s="33">
        <f>IF(AQ315&lt;=0,0,ROUND(AQ315+ROUND(AQ315*W$3/12,2),2))</f>
      </c>
      <c r="D316" s="33">
        <f>IF(AR315&lt;=0,0,ROUND(AR315+ROUND(AR315*X$3/12,2),2))</f>
      </c>
      <c r="E316" s="33">
        <f>IF(AS315&lt;=0,0,ROUND(AS315+ROUND(AS315*Y$3/12,2),2))</f>
      </c>
      <c r="F316" s="33">
        <f>IF(AT315&lt;=0,0,ROUND(AT315+ROUND(AT315*Z$3/12,2),2))</f>
      </c>
      <c r="G316" s="33">
        <f>IF(AU315&lt;=0,0,ROUND(AU315+ROUND(AU315*AA$3/12,2),2))</f>
      </c>
      <c r="H316" s="33">
        <f>IF(AV315&lt;=0,0,ROUND(AV315+ROUND(AV315*AB$3/12,2),2))</f>
      </c>
      <c r="I316" s="33">
        <f>IF(AW315&lt;=0,0,ROUND(AW315+ROUND(AW315*AC$3/12,2),2))</f>
      </c>
      <c r="J316" s="33">
        <f>IF(AX315&lt;=0,0,ROUND(AX315+ROUND(AX315*AD$3/12,2),2))</f>
      </c>
      <c r="K316" s="33">
        <f>IF(AY315&lt;=0,0,ROUND(AY315+ROUND(AY315*AE$3/12,2),2))</f>
      </c>
      <c r="L316" s="33">
        <f>ROUND(MIN(MAX(0,N('Your debts'!$E$6)),B316),2)</f>
      </c>
      <c r="M316" s="33">
        <f>ROUND(MIN(MAX(0,N('Your debts'!$E$7)),C316),2)</f>
      </c>
      <c r="N316" s="33">
        <f>ROUND(MIN(MAX(0,N('Your debts'!$E$8)),D316),2)</f>
      </c>
      <c r="O316" s="33">
        <f>ROUND(MIN(MAX(0,N('Your debts'!$E$9)),E316),2)</f>
      </c>
      <c r="P316" s="33">
        <f>ROUND(MIN(MAX(0,N('Your debts'!$E$10)),F316),2)</f>
      </c>
      <c r="Q316" s="33">
        <f>ROUND(MIN(MAX(0,N('Your debts'!$E$11)),G316),2)</f>
      </c>
      <c r="R316" s="33">
        <f>ROUND(MIN(MAX(0,N('Your debts'!$E$12)),H316),2)</f>
      </c>
      <c r="S316" s="33">
        <f>ROUND(MIN(MAX(0,N('Your debts'!$E$13)),I316),2)</f>
      </c>
      <c r="T316" s="33">
        <f>ROUND(MIN(MAX(0,N('Your debts'!$E$14)),J316),2)</f>
      </c>
      <c r="U316" s="33">
        <f>ROUND(MIN(MAX(0,N('Your debts'!$E$15)),K316),2)</f>
      </c>
      <c r="V316" s="33">
        <f>ROUND(B316-L316,2)</f>
      </c>
      <c r="W316" s="33">
        <f>ROUND(C316-M316,2)</f>
      </c>
      <c r="X316" s="33">
        <f>ROUND(D316-N316,2)</f>
      </c>
      <c r="Y316" s="33">
        <f>ROUND(E316-O316,2)</f>
      </c>
      <c r="Z316" s="33">
        <f>ROUND(F316-P316,2)</f>
      </c>
      <c r="AA316" s="33">
        <f>ROUND(G316-Q316,2)</f>
      </c>
      <c r="AB316" s="33">
        <f>ROUND(H316-R316,2)</f>
      </c>
      <c r="AC316" s="33">
        <f>ROUND(I316-S316,2)</f>
      </c>
      <c r="AD316" s="33">
        <f>ROUND(J316-T316,2)</f>
      </c>
      <c r="AE316" s="33">
        <f>ROUND(K316-U316,2)</f>
      </c>
      <c r="AF316" s="33">
        <f>IF(V316&lt;=0,0,MAX(0,MIN(V316,ROUND($AZ316-SUMPRODUCT($V316:$AE316*($V316:$AE316&gt;0)*(($V316:$AE316&lt;V316)+($V316:$AE316=V316)*($V$3:$AE$3&gt;V$3)+($V316:$AE316=V316)*($V$3:$AE$3=V$3)*($V$2:$AE$2&lt;V$2))),2))))</f>
      </c>
      <c r="AG316" s="33">
        <f>IF(W316&lt;=0,0,MAX(0,MIN(W316,ROUND($AZ316-SUMPRODUCT($V316:$AE316*($V316:$AE316&gt;0)*(($V316:$AE316&lt;W316)+($V316:$AE316=W316)*($V$3:$AE$3&gt;W$3)+($V316:$AE316=W316)*($V$3:$AE$3=W$3)*($V$2:$AE$2&lt;W$2))),2))))</f>
      </c>
      <c r="AH316" s="33">
        <f>IF(X316&lt;=0,0,MAX(0,MIN(X316,ROUND($AZ316-SUMPRODUCT($V316:$AE316*($V316:$AE316&gt;0)*(($V316:$AE316&lt;X316)+($V316:$AE316=X316)*($V$3:$AE$3&gt;X$3)+($V316:$AE316=X316)*($V$3:$AE$3=X$3)*($V$2:$AE$2&lt;X$2))),2))))</f>
      </c>
      <c r="AI316" s="33">
        <f>IF(Y316&lt;=0,0,MAX(0,MIN(Y316,ROUND($AZ316-SUMPRODUCT($V316:$AE316*($V316:$AE316&gt;0)*(($V316:$AE316&lt;Y316)+($V316:$AE316=Y316)*($V$3:$AE$3&gt;Y$3)+($V316:$AE316=Y316)*($V$3:$AE$3=Y$3)*($V$2:$AE$2&lt;Y$2))),2))))</f>
      </c>
      <c r="AJ316" s="33">
        <f>IF(Z316&lt;=0,0,MAX(0,MIN(Z316,ROUND($AZ316-SUMPRODUCT($V316:$AE316*($V316:$AE316&gt;0)*(($V316:$AE316&lt;Z316)+($V316:$AE316=Z316)*($V$3:$AE$3&gt;Z$3)+($V316:$AE316=Z316)*($V$3:$AE$3=Z$3)*($V$2:$AE$2&lt;Z$2))),2))))</f>
      </c>
      <c r="AK316" s="33">
        <f>IF(AA316&lt;=0,0,MAX(0,MIN(AA316,ROUND($AZ316-SUMPRODUCT($V316:$AE316*($V316:$AE316&gt;0)*(($V316:$AE316&lt;AA316)+($V316:$AE316=AA316)*($V$3:$AE$3&gt;AA$3)+($V316:$AE316=AA316)*($V$3:$AE$3=AA$3)*($V$2:$AE$2&lt;AA$2))),2))))</f>
      </c>
      <c r="AL316" s="33">
        <f>IF(AB316&lt;=0,0,MAX(0,MIN(AB316,ROUND($AZ316-SUMPRODUCT($V316:$AE316*($V316:$AE316&gt;0)*(($V316:$AE316&lt;AB316)+($V316:$AE316=AB316)*($V$3:$AE$3&gt;AB$3)+($V316:$AE316=AB316)*($V$3:$AE$3=AB$3)*($V$2:$AE$2&lt;AB$2))),2))))</f>
      </c>
      <c r="AM316" s="33">
        <f>IF(AC316&lt;=0,0,MAX(0,MIN(AC316,ROUND($AZ316-SUMPRODUCT($V316:$AE316*($V316:$AE316&gt;0)*(($V316:$AE316&lt;AC316)+($V316:$AE316=AC316)*($V$3:$AE$3&gt;AC$3)+($V316:$AE316=AC316)*($V$3:$AE$3=AC$3)*($V$2:$AE$2&lt;AC$2))),2))))</f>
      </c>
      <c r="AN316" s="33">
        <f>IF(AD316&lt;=0,0,MAX(0,MIN(AD316,ROUND($AZ316-SUMPRODUCT($V316:$AE316*($V316:$AE316&gt;0)*(($V316:$AE316&lt;AD316)+($V316:$AE316=AD316)*($V$3:$AE$3&gt;AD$3)+($V316:$AE316=AD316)*($V$3:$AE$3=AD$3)*($V$2:$AE$2&lt;AD$2))),2))))</f>
      </c>
      <c r="AO316" s="33">
        <f>IF(AE316&lt;=0,0,MAX(0,MIN(AE316,ROUND($AZ316-SUMPRODUCT($V316:$AE316*($V316:$AE316&gt;0)*(($V316:$AE316&lt;AE316)+($V316:$AE316=AE316)*($V$3:$AE$3&gt;AE$3)+($V316:$AE316=AE316)*($V$3:$AE$3=AE$3)*($V$2:$AE$2&lt;AE$2))),2))))</f>
      </c>
      <c r="AP316" s="33">
        <f>ROUND(V316-AF316,2)</f>
      </c>
      <c r="AQ316" s="33">
        <f>ROUND(W316-AG316,2)</f>
      </c>
      <c r="AR316" s="33">
        <f>ROUND(X316-AH316,2)</f>
      </c>
      <c r="AS316" s="33">
        <f>ROUND(Y316-AI316,2)</f>
      </c>
      <c r="AT316" s="33">
        <f>ROUND(Z316-AJ316,2)</f>
      </c>
      <c r="AU316" s="33">
        <f>ROUND(AA316-AK316,2)</f>
      </c>
      <c r="AV316" s="33">
        <f>ROUND(AB316-AL316,2)</f>
      </c>
      <c r="AW316" s="33">
        <f>ROUND(AC316-AM316,2)</f>
      </c>
      <c r="AX316" s="33">
        <f>ROUND(AD316-AN316,2)</f>
      </c>
      <c r="AY316" s="33">
        <f>ROUND(AE316-AO316,2)</f>
      </c>
      <c r="AZ316" s="33">
        <f>ROUND(MAX(0,'Your debts'!$D$22-SUM($L316:$U316)),2)</f>
      </c>
      <c r="BA316" s="33">
        <f>ROUND(SUM($B316:$K316)-SUM($AP315:$AY315),2)</f>
      </c>
      <c r="BB316" s="33">
        <f>SUM($AP316:$AY316)</f>
      </c>
      <c r="BC316" s="33">
        <f>ROUND(SUM($L316:$U316)+SUM($AF316:$AO316),2)</f>
      </c>
    </row>
    <row r="317" spans="1:55" x14ac:dyDescent="0.25">
      <c r="A317">
        <v>310</v>
      </c>
      <c r="B317" s="33">
        <f>IF(AP316&lt;=0,0,ROUND(AP316+ROUND(AP316*V$3/12,2),2))</f>
      </c>
      <c r="C317" s="33">
        <f>IF(AQ316&lt;=0,0,ROUND(AQ316+ROUND(AQ316*W$3/12,2),2))</f>
      </c>
      <c r="D317" s="33">
        <f>IF(AR316&lt;=0,0,ROUND(AR316+ROUND(AR316*X$3/12,2),2))</f>
      </c>
      <c r="E317" s="33">
        <f>IF(AS316&lt;=0,0,ROUND(AS316+ROUND(AS316*Y$3/12,2),2))</f>
      </c>
      <c r="F317" s="33">
        <f>IF(AT316&lt;=0,0,ROUND(AT316+ROUND(AT316*Z$3/12,2),2))</f>
      </c>
      <c r="G317" s="33">
        <f>IF(AU316&lt;=0,0,ROUND(AU316+ROUND(AU316*AA$3/12,2),2))</f>
      </c>
      <c r="H317" s="33">
        <f>IF(AV316&lt;=0,0,ROUND(AV316+ROUND(AV316*AB$3/12,2),2))</f>
      </c>
      <c r="I317" s="33">
        <f>IF(AW316&lt;=0,0,ROUND(AW316+ROUND(AW316*AC$3/12,2),2))</f>
      </c>
      <c r="J317" s="33">
        <f>IF(AX316&lt;=0,0,ROUND(AX316+ROUND(AX316*AD$3/12,2),2))</f>
      </c>
      <c r="K317" s="33">
        <f>IF(AY316&lt;=0,0,ROUND(AY316+ROUND(AY316*AE$3/12,2),2))</f>
      </c>
      <c r="L317" s="33">
        <f>ROUND(MIN(MAX(0,N('Your debts'!$E$6)),B317),2)</f>
      </c>
      <c r="M317" s="33">
        <f>ROUND(MIN(MAX(0,N('Your debts'!$E$7)),C317),2)</f>
      </c>
      <c r="N317" s="33">
        <f>ROUND(MIN(MAX(0,N('Your debts'!$E$8)),D317),2)</f>
      </c>
      <c r="O317" s="33">
        <f>ROUND(MIN(MAX(0,N('Your debts'!$E$9)),E317),2)</f>
      </c>
      <c r="P317" s="33">
        <f>ROUND(MIN(MAX(0,N('Your debts'!$E$10)),F317),2)</f>
      </c>
      <c r="Q317" s="33">
        <f>ROUND(MIN(MAX(0,N('Your debts'!$E$11)),G317),2)</f>
      </c>
      <c r="R317" s="33">
        <f>ROUND(MIN(MAX(0,N('Your debts'!$E$12)),H317),2)</f>
      </c>
      <c r="S317" s="33">
        <f>ROUND(MIN(MAX(0,N('Your debts'!$E$13)),I317),2)</f>
      </c>
      <c r="T317" s="33">
        <f>ROUND(MIN(MAX(0,N('Your debts'!$E$14)),J317),2)</f>
      </c>
      <c r="U317" s="33">
        <f>ROUND(MIN(MAX(0,N('Your debts'!$E$15)),K317),2)</f>
      </c>
      <c r="V317" s="33">
        <f>ROUND(B317-L317,2)</f>
      </c>
      <c r="W317" s="33">
        <f>ROUND(C317-M317,2)</f>
      </c>
      <c r="X317" s="33">
        <f>ROUND(D317-N317,2)</f>
      </c>
      <c r="Y317" s="33">
        <f>ROUND(E317-O317,2)</f>
      </c>
      <c r="Z317" s="33">
        <f>ROUND(F317-P317,2)</f>
      </c>
      <c r="AA317" s="33">
        <f>ROUND(G317-Q317,2)</f>
      </c>
      <c r="AB317" s="33">
        <f>ROUND(H317-R317,2)</f>
      </c>
      <c r="AC317" s="33">
        <f>ROUND(I317-S317,2)</f>
      </c>
      <c r="AD317" s="33">
        <f>ROUND(J317-T317,2)</f>
      </c>
      <c r="AE317" s="33">
        <f>ROUND(K317-U317,2)</f>
      </c>
      <c r="AF317" s="33">
        <f>IF(V317&lt;=0,0,MAX(0,MIN(V317,ROUND($AZ317-SUMPRODUCT($V317:$AE317*($V317:$AE317&gt;0)*(($V317:$AE317&lt;V317)+($V317:$AE317=V317)*($V$3:$AE$3&gt;V$3)+($V317:$AE317=V317)*($V$3:$AE$3=V$3)*($V$2:$AE$2&lt;V$2))),2))))</f>
      </c>
      <c r="AG317" s="33">
        <f>IF(W317&lt;=0,0,MAX(0,MIN(W317,ROUND($AZ317-SUMPRODUCT($V317:$AE317*($V317:$AE317&gt;0)*(($V317:$AE317&lt;W317)+($V317:$AE317=W317)*($V$3:$AE$3&gt;W$3)+($V317:$AE317=W317)*($V$3:$AE$3=W$3)*($V$2:$AE$2&lt;W$2))),2))))</f>
      </c>
      <c r="AH317" s="33">
        <f>IF(X317&lt;=0,0,MAX(0,MIN(X317,ROUND($AZ317-SUMPRODUCT($V317:$AE317*($V317:$AE317&gt;0)*(($V317:$AE317&lt;X317)+($V317:$AE317=X317)*($V$3:$AE$3&gt;X$3)+($V317:$AE317=X317)*($V$3:$AE$3=X$3)*($V$2:$AE$2&lt;X$2))),2))))</f>
      </c>
      <c r="AI317" s="33">
        <f>IF(Y317&lt;=0,0,MAX(0,MIN(Y317,ROUND($AZ317-SUMPRODUCT($V317:$AE317*($V317:$AE317&gt;0)*(($V317:$AE317&lt;Y317)+($V317:$AE317=Y317)*($V$3:$AE$3&gt;Y$3)+($V317:$AE317=Y317)*($V$3:$AE$3=Y$3)*($V$2:$AE$2&lt;Y$2))),2))))</f>
      </c>
      <c r="AJ317" s="33">
        <f>IF(Z317&lt;=0,0,MAX(0,MIN(Z317,ROUND($AZ317-SUMPRODUCT($V317:$AE317*($V317:$AE317&gt;0)*(($V317:$AE317&lt;Z317)+($V317:$AE317=Z317)*($V$3:$AE$3&gt;Z$3)+($V317:$AE317=Z317)*($V$3:$AE$3=Z$3)*($V$2:$AE$2&lt;Z$2))),2))))</f>
      </c>
      <c r="AK317" s="33">
        <f>IF(AA317&lt;=0,0,MAX(0,MIN(AA317,ROUND($AZ317-SUMPRODUCT($V317:$AE317*($V317:$AE317&gt;0)*(($V317:$AE317&lt;AA317)+($V317:$AE317=AA317)*($V$3:$AE$3&gt;AA$3)+($V317:$AE317=AA317)*($V$3:$AE$3=AA$3)*($V$2:$AE$2&lt;AA$2))),2))))</f>
      </c>
      <c r="AL317" s="33">
        <f>IF(AB317&lt;=0,0,MAX(0,MIN(AB317,ROUND($AZ317-SUMPRODUCT($V317:$AE317*($V317:$AE317&gt;0)*(($V317:$AE317&lt;AB317)+($V317:$AE317=AB317)*($V$3:$AE$3&gt;AB$3)+($V317:$AE317=AB317)*($V$3:$AE$3=AB$3)*($V$2:$AE$2&lt;AB$2))),2))))</f>
      </c>
      <c r="AM317" s="33">
        <f>IF(AC317&lt;=0,0,MAX(0,MIN(AC317,ROUND($AZ317-SUMPRODUCT($V317:$AE317*($V317:$AE317&gt;0)*(($V317:$AE317&lt;AC317)+($V317:$AE317=AC317)*($V$3:$AE$3&gt;AC$3)+($V317:$AE317=AC317)*($V$3:$AE$3=AC$3)*($V$2:$AE$2&lt;AC$2))),2))))</f>
      </c>
      <c r="AN317" s="33">
        <f>IF(AD317&lt;=0,0,MAX(0,MIN(AD317,ROUND($AZ317-SUMPRODUCT($V317:$AE317*($V317:$AE317&gt;0)*(($V317:$AE317&lt;AD317)+($V317:$AE317=AD317)*($V$3:$AE$3&gt;AD$3)+($V317:$AE317=AD317)*($V$3:$AE$3=AD$3)*($V$2:$AE$2&lt;AD$2))),2))))</f>
      </c>
      <c r="AO317" s="33">
        <f>IF(AE317&lt;=0,0,MAX(0,MIN(AE317,ROUND($AZ317-SUMPRODUCT($V317:$AE317*($V317:$AE317&gt;0)*(($V317:$AE317&lt;AE317)+($V317:$AE317=AE317)*($V$3:$AE$3&gt;AE$3)+($V317:$AE317=AE317)*($V$3:$AE$3=AE$3)*($V$2:$AE$2&lt;AE$2))),2))))</f>
      </c>
      <c r="AP317" s="33">
        <f>ROUND(V317-AF317,2)</f>
      </c>
      <c r="AQ317" s="33">
        <f>ROUND(W317-AG317,2)</f>
      </c>
      <c r="AR317" s="33">
        <f>ROUND(X317-AH317,2)</f>
      </c>
      <c r="AS317" s="33">
        <f>ROUND(Y317-AI317,2)</f>
      </c>
      <c r="AT317" s="33">
        <f>ROUND(Z317-AJ317,2)</f>
      </c>
      <c r="AU317" s="33">
        <f>ROUND(AA317-AK317,2)</f>
      </c>
      <c r="AV317" s="33">
        <f>ROUND(AB317-AL317,2)</f>
      </c>
      <c r="AW317" s="33">
        <f>ROUND(AC317-AM317,2)</f>
      </c>
      <c r="AX317" s="33">
        <f>ROUND(AD317-AN317,2)</f>
      </c>
      <c r="AY317" s="33">
        <f>ROUND(AE317-AO317,2)</f>
      </c>
      <c r="AZ317" s="33">
        <f>ROUND(MAX(0,'Your debts'!$D$22-SUM($L317:$U317)),2)</f>
      </c>
      <c r="BA317" s="33">
        <f>ROUND(SUM($B317:$K317)-SUM($AP316:$AY316),2)</f>
      </c>
      <c r="BB317" s="33">
        <f>SUM($AP317:$AY317)</f>
      </c>
      <c r="BC317" s="33">
        <f>ROUND(SUM($L317:$U317)+SUM($AF317:$AO317),2)</f>
      </c>
    </row>
    <row r="318" spans="1:55" x14ac:dyDescent="0.25">
      <c r="A318">
        <v>311</v>
      </c>
      <c r="B318" s="33">
        <f>IF(AP317&lt;=0,0,ROUND(AP317+ROUND(AP317*V$3/12,2),2))</f>
      </c>
      <c r="C318" s="33">
        <f>IF(AQ317&lt;=0,0,ROUND(AQ317+ROUND(AQ317*W$3/12,2),2))</f>
      </c>
      <c r="D318" s="33">
        <f>IF(AR317&lt;=0,0,ROUND(AR317+ROUND(AR317*X$3/12,2),2))</f>
      </c>
      <c r="E318" s="33">
        <f>IF(AS317&lt;=0,0,ROUND(AS317+ROUND(AS317*Y$3/12,2),2))</f>
      </c>
      <c r="F318" s="33">
        <f>IF(AT317&lt;=0,0,ROUND(AT317+ROUND(AT317*Z$3/12,2),2))</f>
      </c>
      <c r="G318" s="33">
        <f>IF(AU317&lt;=0,0,ROUND(AU317+ROUND(AU317*AA$3/12,2),2))</f>
      </c>
      <c r="H318" s="33">
        <f>IF(AV317&lt;=0,0,ROUND(AV317+ROUND(AV317*AB$3/12,2),2))</f>
      </c>
      <c r="I318" s="33">
        <f>IF(AW317&lt;=0,0,ROUND(AW317+ROUND(AW317*AC$3/12,2),2))</f>
      </c>
      <c r="J318" s="33">
        <f>IF(AX317&lt;=0,0,ROUND(AX317+ROUND(AX317*AD$3/12,2),2))</f>
      </c>
      <c r="K318" s="33">
        <f>IF(AY317&lt;=0,0,ROUND(AY317+ROUND(AY317*AE$3/12,2),2))</f>
      </c>
      <c r="L318" s="33">
        <f>ROUND(MIN(MAX(0,N('Your debts'!$E$6)),B318),2)</f>
      </c>
      <c r="M318" s="33">
        <f>ROUND(MIN(MAX(0,N('Your debts'!$E$7)),C318),2)</f>
      </c>
      <c r="N318" s="33">
        <f>ROUND(MIN(MAX(0,N('Your debts'!$E$8)),D318),2)</f>
      </c>
      <c r="O318" s="33">
        <f>ROUND(MIN(MAX(0,N('Your debts'!$E$9)),E318),2)</f>
      </c>
      <c r="P318" s="33">
        <f>ROUND(MIN(MAX(0,N('Your debts'!$E$10)),F318),2)</f>
      </c>
      <c r="Q318" s="33">
        <f>ROUND(MIN(MAX(0,N('Your debts'!$E$11)),G318),2)</f>
      </c>
      <c r="R318" s="33">
        <f>ROUND(MIN(MAX(0,N('Your debts'!$E$12)),H318),2)</f>
      </c>
      <c r="S318" s="33">
        <f>ROUND(MIN(MAX(0,N('Your debts'!$E$13)),I318),2)</f>
      </c>
      <c r="T318" s="33">
        <f>ROUND(MIN(MAX(0,N('Your debts'!$E$14)),J318),2)</f>
      </c>
      <c r="U318" s="33">
        <f>ROUND(MIN(MAX(0,N('Your debts'!$E$15)),K318),2)</f>
      </c>
      <c r="V318" s="33">
        <f>ROUND(B318-L318,2)</f>
      </c>
      <c r="W318" s="33">
        <f>ROUND(C318-M318,2)</f>
      </c>
      <c r="X318" s="33">
        <f>ROUND(D318-N318,2)</f>
      </c>
      <c r="Y318" s="33">
        <f>ROUND(E318-O318,2)</f>
      </c>
      <c r="Z318" s="33">
        <f>ROUND(F318-P318,2)</f>
      </c>
      <c r="AA318" s="33">
        <f>ROUND(G318-Q318,2)</f>
      </c>
      <c r="AB318" s="33">
        <f>ROUND(H318-R318,2)</f>
      </c>
      <c r="AC318" s="33">
        <f>ROUND(I318-S318,2)</f>
      </c>
      <c r="AD318" s="33">
        <f>ROUND(J318-T318,2)</f>
      </c>
      <c r="AE318" s="33">
        <f>ROUND(K318-U318,2)</f>
      </c>
      <c r="AF318" s="33">
        <f>IF(V318&lt;=0,0,MAX(0,MIN(V318,ROUND($AZ318-SUMPRODUCT($V318:$AE318*($V318:$AE318&gt;0)*(($V318:$AE318&lt;V318)+($V318:$AE318=V318)*($V$3:$AE$3&gt;V$3)+($V318:$AE318=V318)*($V$3:$AE$3=V$3)*($V$2:$AE$2&lt;V$2))),2))))</f>
      </c>
      <c r="AG318" s="33">
        <f>IF(W318&lt;=0,0,MAX(0,MIN(W318,ROUND($AZ318-SUMPRODUCT($V318:$AE318*($V318:$AE318&gt;0)*(($V318:$AE318&lt;W318)+($V318:$AE318=W318)*($V$3:$AE$3&gt;W$3)+($V318:$AE318=W318)*($V$3:$AE$3=W$3)*($V$2:$AE$2&lt;W$2))),2))))</f>
      </c>
      <c r="AH318" s="33">
        <f>IF(X318&lt;=0,0,MAX(0,MIN(X318,ROUND($AZ318-SUMPRODUCT($V318:$AE318*($V318:$AE318&gt;0)*(($V318:$AE318&lt;X318)+($V318:$AE318=X318)*($V$3:$AE$3&gt;X$3)+($V318:$AE318=X318)*($V$3:$AE$3=X$3)*($V$2:$AE$2&lt;X$2))),2))))</f>
      </c>
      <c r="AI318" s="33">
        <f>IF(Y318&lt;=0,0,MAX(0,MIN(Y318,ROUND($AZ318-SUMPRODUCT($V318:$AE318*($V318:$AE318&gt;0)*(($V318:$AE318&lt;Y318)+($V318:$AE318=Y318)*($V$3:$AE$3&gt;Y$3)+($V318:$AE318=Y318)*($V$3:$AE$3=Y$3)*($V$2:$AE$2&lt;Y$2))),2))))</f>
      </c>
      <c r="AJ318" s="33">
        <f>IF(Z318&lt;=0,0,MAX(0,MIN(Z318,ROUND($AZ318-SUMPRODUCT($V318:$AE318*($V318:$AE318&gt;0)*(($V318:$AE318&lt;Z318)+($V318:$AE318=Z318)*($V$3:$AE$3&gt;Z$3)+($V318:$AE318=Z318)*($V$3:$AE$3=Z$3)*($V$2:$AE$2&lt;Z$2))),2))))</f>
      </c>
      <c r="AK318" s="33">
        <f>IF(AA318&lt;=0,0,MAX(0,MIN(AA318,ROUND($AZ318-SUMPRODUCT($V318:$AE318*($V318:$AE318&gt;0)*(($V318:$AE318&lt;AA318)+($V318:$AE318=AA318)*($V$3:$AE$3&gt;AA$3)+($V318:$AE318=AA318)*($V$3:$AE$3=AA$3)*($V$2:$AE$2&lt;AA$2))),2))))</f>
      </c>
      <c r="AL318" s="33">
        <f>IF(AB318&lt;=0,0,MAX(0,MIN(AB318,ROUND($AZ318-SUMPRODUCT($V318:$AE318*($V318:$AE318&gt;0)*(($V318:$AE318&lt;AB318)+($V318:$AE318=AB318)*($V$3:$AE$3&gt;AB$3)+($V318:$AE318=AB318)*($V$3:$AE$3=AB$3)*($V$2:$AE$2&lt;AB$2))),2))))</f>
      </c>
      <c r="AM318" s="33">
        <f>IF(AC318&lt;=0,0,MAX(0,MIN(AC318,ROUND($AZ318-SUMPRODUCT($V318:$AE318*($V318:$AE318&gt;0)*(($V318:$AE318&lt;AC318)+($V318:$AE318=AC318)*($V$3:$AE$3&gt;AC$3)+($V318:$AE318=AC318)*($V$3:$AE$3=AC$3)*($V$2:$AE$2&lt;AC$2))),2))))</f>
      </c>
      <c r="AN318" s="33">
        <f>IF(AD318&lt;=0,0,MAX(0,MIN(AD318,ROUND($AZ318-SUMPRODUCT($V318:$AE318*($V318:$AE318&gt;0)*(($V318:$AE318&lt;AD318)+($V318:$AE318=AD318)*($V$3:$AE$3&gt;AD$3)+($V318:$AE318=AD318)*($V$3:$AE$3=AD$3)*($V$2:$AE$2&lt;AD$2))),2))))</f>
      </c>
      <c r="AO318" s="33">
        <f>IF(AE318&lt;=0,0,MAX(0,MIN(AE318,ROUND($AZ318-SUMPRODUCT($V318:$AE318*($V318:$AE318&gt;0)*(($V318:$AE318&lt;AE318)+($V318:$AE318=AE318)*($V$3:$AE$3&gt;AE$3)+($V318:$AE318=AE318)*($V$3:$AE$3=AE$3)*($V$2:$AE$2&lt;AE$2))),2))))</f>
      </c>
      <c r="AP318" s="33">
        <f>ROUND(V318-AF318,2)</f>
      </c>
      <c r="AQ318" s="33">
        <f>ROUND(W318-AG318,2)</f>
      </c>
      <c r="AR318" s="33">
        <f>ROUND(X318-AH318,2)</f>
      </c>
      <c r="AS318" s="33">
        <f>ROUND(Y318-AI318,2)</f>
      </c>
      <c r="AT318" s="33">
        <f>ROUND(Z318-AJ318,2)</f>
      </c>
      <c r="AU318" s="33">
        <f>ROUND(AA318-AK318,2)</f>
      </c>
      <c r="AV318" s="33">
        <f>ROUND(AB318-AL318,2)</f>
      </c>
      <c r="AW318" s="33">
        <f>ROUND(AC318-AM318,2)</f>
      </c>
      <c r="AX318" s="33">
        <f>ROUND(AD318-AN318,2)</f>
      </c>
      <c r="AY318" s="33">
        <f>ROUND(AE318-AO318,2)</f>
      </c>
      <c r="AZ318" s="33">
        <f>ROUND(MAX(0,'Your debts'!$D$22-SUM($L318:$U318)),2)</f>
      </c>
      <c r="BA318" s="33">
        <f>ROUND(SUM($B318:$K318)-SUM($AP317:$AY317),2)</f>
      </c>
      <c r="BB318" s="33">
        <f>SUM($AP318:$AY318)</f>
      </c>
      <c r="BC318" s="33">
        <f>ROUND(SUM($L318:$U318)+SUM($AF318:$AO318),2)</f>
      </c>
    </row>
    <row r="319" spans="1:55" x14ac:dyDescent="0.25">
      <c r="A319">
        <v>312</v>
      </c>
      <c r="B319" s="33">
        <f>IF(AP318&lt;=0,0,ROUND(AP318+ROUND(AP318*V$3/12,2),2))</f>
      </c>
      <c r="C319" s="33">
        <f>IF(AQ318&lt;=0,0,ROUND(AQ318+ROUND(AQ318*W$3/12,2),2))</f>
      </c>
      <c r="D319" s="33">
        <f>IF(AR318&lt;=0,0,ROUND(AR318+ROUND(AR318*X$3/12,2),2))</f>
      </c>
      <c r="E319" s="33">
        <f>IF(AS318&lt;=0,0,ROUND(AS318+ROUND(AS318*Y$3/12,2),2))</f>
      </c>
      <c r="F319" s="33">
        <f>IF(AT318&lt;=0,0,ROUND(AT318+ROUND(AT318*Z$3/12,2),2))</f>
      </c>
      <c r="G319" s="33">
        <f>IF(AU318&lt;=0,0,ROUND(AU318+ROUND(AU318*AA$3/12,2),2))</f>
      </c>
      <c r="H319" s="33">
        <f>IF(AV318&lt;=0,0,ROUND(AV318+ROUND(AV318*AB$3/12,2),2))</f>
      </c>
      <c r="I319" s="33">
        <f>IF(AW318&lt;=0,0,ROUND(AW318+ROUND(AW318*AC$3/12,2),2))</f>
      </c>
      <c r="J319" s="33">
        <f>IF(AX318&lt;=0,0,ROUND(AX318+ROUND(AX318*AD$3/12,2),2))</f>
      </c>
      <c r="K319" s="33">
        <f>IF(AY318&lt;=0,0,ROUND(AY318+ROUND(AY318*AE$3/12,2),2))</f>
      </c>
      <c r="L319" s="33">
        <f>ROUND(MIN(MAX(0,N('Your debts'!$E$6)),B319),2)</f>
      </c>
      <c r="M319" s="33">
        <f>ROUND(MIN(MAX(0,N('Your debts'!$E$7)),C319),2)</f>
      </c>
      <c r="N319" s="33">
        <f>ROUND(MIN(MAX(0,N('Your debts'!$E$8)),D319),2)</f>
      </c>
      <c r="O319" s="33">
        <f>ROUND(MIN(MAX(0,N('Your debts'!$E$9)),E319),2)</f>
      </c>
      <c r="P319" s="33">
        <f>ROUND(MIN(MAX(0,N('Your debts'!$E$10)),F319),2)</f>
      </c>
      <c r="Q319" s="33">
        <f>ROUND(MIN(MAX(0,N('Your debts'!$E$11)),G319),2)</f>
      </c>
      <c r="R319" s="33">
        <f>ROUND(MIN(MAX(0,N('Your debts'!$E$12)),H319),2)</f>
      </c>
      <c r="S319" s="33">
        <f>ROUND(MIN(MAX(0,N('Your debts'!$E$13)),I319),2)</f>
      </c>
      <c r="T319" s="33">
        <f>ROUND(MIN(MAX(0,N('Your debts'!$E$14)),J319),2)</f>
      </c>
      <c r="U319" s="33">
        <f>ROUND(MIN(MAX(0,N('Your debts'!$E$15)),K319),2)</f>
      </c>
      <c r="V319" s="33">
        <f>ROUND(B319-L319,2)</f>
      </c>
      <c r="W319" s="33">
        <f>ROUND(C319-M319,2)</f>
      </c>
      <c r="X319" s="33">
        <f>ROUND(D319-N319,2)</f>
      </c>
      <c r="Y319" s="33">
        <f>ROUND(E319-O319,2)</f>
      </c>
      <c r="Z319" s="33">
        <f>ROUND(F319-P319,2)</f>
      </c>
      <c r="AA319" s="33">
        <f>ROUND(G319-Q319,2)</f>
      </c>
      <c r="AB319" s="33">
        <f>ROUND(H319-R319,2)</f>
      </c>
      <c r="AC319" s="33">
        <f>ROUND(I319-S319,2)</f>
      </c>
      <c r="AD319" s="33">
        <f>ROUND(J319-T319,2)</f>
      </c>
      <c r="AE319" s="33">
        <f>ROUND(K319-U319,2)</f>
      </c>
      <c r="AF319" s="33">
        <f>IF(V319&lt;=0,0,MAX(0,MIN(V319,ROUND($AZ319-SUMPRODUCT($V319:$AE319*($V319:$AE319&gt;0)*(($V319:$AE319&lt;V319)+($V319:$AE319=V319)*($V$3:$AE$3&gt;V$3)+($V319:$AE319=V319)*($V$3:$AE$3=V$3)*($V$2:$AE$2&lt;V$2))),2))))</f>
      </c>
      <c r="AG319" s="33">
        <f>IF(W319&lt;=0,0,MAX(0,MIN(W319,ROUND($AZ319-SUMPRODUCT($V319:$AE319*($V319:$AE319&gt;0)*(($V319:$AE319&lt;W319)+($V319:$AE319=W319)*($V$3:$AE$3&gt;W$3)+($V319:$AE319=W319)*($V$3:$AE$3=W$3)*($V$2:$AE$2&lt;W$2))),2))))</f>
      </c>
      <c r="AH319" s="33">
        <f>IF(X319&lt;=0,0,MAX(0,MIN(X319,ROUND($AZ319-SUMPRODUCT($V319:$AE319*($V319:$AE319&gt;0)*(($V319:$AE319&lt;X319)+($V319:$AE319=X319)*($V$3:$AE$3&gt;X$3)+($V319:$AE319=X319)*($V$3:$AE$3=X$3)*($V$2:$AE$2&lt;X$2))),2))))</f>
      </c>
      <c r="AI319" s="33">
        <f>IF(Y319&lt;=0,0,MAX(0,MIN(Y319,ROUND($AZ319-SUMPRODUCT($V319:$AE319*($V319:$AE319&gt;0)*(($V319:$AE319&lt;Y319)+($V319:$AE319=Y319)*($V$3:$AE$3&gt;Y$3)+($V319:$AE319=Y319)*($V$3:$AE$3=Y$3)*($V$2:$AE$2&lt;Y$2))),2))))</f>
      </c>
      <c r="AJ319" s="33">
        <f>IF(Z319&lt;=0,0,MAX(0,MIN(Z319,ROUND($AZ319-SUMPRODUCT($V319:$AE319*($V319:$AE319&gt;0)*(($V319:$AE319&lt;Z319)+($V319:$AE319=Z319)*($V$3:$AE$3&gt;Z$3)+($V319:$AE319=Z319)*($V$3:$AE$3=Z$3)*($V$2:$AE$2&lt;Z$2))),2))))</f>
      </c>
      <c r="AK319" s="33">
        <f>IF(AA319&lt;=0,0,MAX(0,MIN(AA319,ROUND($AZ319-SUMPRODUCT($V319:$AE319*($V319:$AE319&gt;0)*(($V319:$AE319&lt;AA319)+($V319:$AE319=AA319)*($V$3:$AE$3&gt;AA$3)+($V319:$AE319=AA319)*($V$3:$AE$3=AA$3)*($V$2:$AE$2&lt;AA$2))),2))))</f>
      </c>
      <c r="AL319" s="33">
        <f>IF(AB319&lt;=0,0,MAX(0,MIN(AB319,ROUND($AZ319-SUMPRODUCT($V319:$AE319*($V319:$AE319&gt;0)*(($V319:$AE319&lt;AB319)+($V319:$AE319=AB319)*($V$3:$AE$3&gt;AB$3)+($V319:$AE319=AB319)*($V$3:$AE$3=AB$3)*($V$2:$AE$2&lt;AB$2))),2))))</f>
      </c>
      <c r="AM319" s="33">
        <f>IF(AC319&lt;=0,0,MAX(0,MIN(AC319,ROUND($AZ319-SUMPRODUCT($V319:$AE319*($V319:$AE319&gt;0)*(($V319:$AE319&lt;AC319)+($V319:$AE319=AC319)*($V$3:$AE$3&gt;AC$3)+($V319:$AE319=AC319)*($V$3:$AE$3=AC$3)*($V$2:$AE$2&lt;AC$2))),2))))</f>
      </c>
      <c r="AN319" s="33">
        <f>IF(AD319&lt;=0,0,MAX(0,MIN(AD319,ROUND($AZ319-SUMPRODUCT($V319:$AE319*($V319:$AE319&gt;0)*(($V319:$AE319&lt;AD319)+($V319:$AE319=AD319)*($V$3:$AE$3&gt;AD$3)+($V319:$AE319=AD319)*($V$3:$AE$3=AD$3)*($V$2:$AE$2&lt;AD$2))),2))))</f>
      </c>
      <c r="AO319" s="33">
        <f>IF(AE319&lt;=0,0,MAX(0,MIN(AE319,ROUND($AZ319-SUMPRODUCT($V319:$AE319*($V319:$AE319&gt;0)*(($V319:$AE319&lt;AE319)+($V319:$AE319=AE319)*($V$3:$AE$3&gt;AE$3)+($V319:$AE319=AE319)*($V$3:$AE$3=AE$3)*($V$2:$AE$2&lt;AE$2))),2))))</f>
      </c>
      <c r="AP319" s="33">
        <f>ROUND(V319-AF319,2)</f>
      </c>
      <c r="AQ319" s="33">
        <f>ROUND(W319-AG319,2)</f>
      </c>
      <c r="AR319" s="33">
        <f>ROUND(X319-AH319,2)</f>
      </c>
      <c r="AS319" s="33">
        <f>ROUND(Y319-AI319,2)</f>
      </c>
      <c r="AT319" s="33">
        <f>ROUND(Z319-AJ319,2)</f>
      </c>
      <c r="AU319" s="33">
        <f>ROUND(AA319-AK319,2)</f>
      </c>
      <c r="AV319" s="33">
        <f>ROUND(AB319-AL319,2)</f>
      </c>
      <c r="AW319" s="33">
        <f>ROUND(AC319-AM319,2)</f>
      </c>
      <c r="AX319" s="33">
        <f>ROUND(AD319-AN319,2)</f>
      </c>
      <c r="AY319" s="33">
        <f>ROUND(AE319-AO319,2)</f>
      </c>
      <c r="AZ319" s="33">
        <f>ROUND(MAX(0,'Your debts'!$D$22-SUM($L319:$U319)),2)</f>
      </c>
      <c r="BA319" s="33">
        <f>ROUND(SUM($B319:$K319)-SUM($AP318:$AY318),2)</f>
      </c>
      <c r="BB319" s="33">
        <f>SUM($AP319:$AY319)</f>
      </c>
      <c r="BC319" s="33">
        <f>ROUND(SUM($L319:$U319)+SUM($AF319:$AO319),2)</f>
      </c>
    </row>
    <row r="320" spans="1:55" x14ac:dyDescent="0.25">
      <c r="A320">
        <v>313</v>
      </c>
      <c r="B320" s="33">
        <f>IF(AP319&lt;=0,0,ROUND(AP319+ROUND(AP319*V$3/12,2),2))</f>
      </c>
      <c r="C320" s="33">
        <f>IF(AQ319&lt;=0,0,ROUND(AQ319+ROUND(AQ319*W$3/12,2),2))</f>
      </c>
      <c r="D320" s="33">
        <f>IF(AR319&lt;=0,0,ROUND(AR319+ROUND(AR319*X$3/12,2),2))</f>
      </c>
      <c r="E320" s="33">
        <f>IF(AS319&lt;=0,0,ROUND(AS319+ROUND(AS319*Y$3/12,2),2))</f>
      </c>
      <c r="F320" s="33">
        <f>IF(AT319&lt;=0,0,ROUND(AT319+ROUND(AT319*Z$3/12,2),2))</f>
      </c>
      <c r="G320" s="33">
        <f>IF(AU319&lt;=0,0,ROUND(AU319+ROUND(AU319*AA$3/12,2),2))</f>
      </c>
      <c r="H320" s="33">
        <f>IF(AV319&lt;=0,0,ROUND(AV319+ROUND(AV319*AB$3/12,2),2))</f>
      </c>
      <c r="I320" s="33">
        <f>IF(AW319&lt;=0,0,ROUND(AW319+ROUND(AW319*AC$3/12,2),2))</f>
      </c>
      <c r="J320" s="33">
        <f>IF(AX319&lt;=0,0,ROUND(AX319+ROUND(AX319*AD$3/12,2),2))</f>
      </c>
      <c r="K320" s="33">
        <f>IF(AY319&lt;=0,0,ROUND(AY319+ROUND(AY319*AE$3/12,2),2))</f>
      </c>
      <c r="L320" s="33">
        <f>ROUND(MIN(MAX(0,N('Your debts'!$E$6)),B320),2)</f>
      </c>
      <c r="M320" s="33">
        <f>ROUND(MIN(MAX(0,N('Your debts'!$E$7)),C320),2)</f>
      </c>
      <c r="N320" s="33">
        <f>ROUND(MIN(MAX(0,N('Your debts'!$E$8)),D320),2)</f>
      </c>
      <c r="O320" s="33">
        <f>ROUND(MIN(MAX(0,N('Your debts'!$E$9)),E320),2)</f>
      </c>
      <c r="P320" s="33">
        <f>ROUND(MIN(MAX(0,N('Your debts'!$E$10)),F320),2)</f>
      </c>
      <c r="Q320" s="33">
        <f>ROUND(MIN(MAX(0,N('Your debts'!$E$11)),G320),2)</f>
      </c>
      <c r="R320" s="33">
        <f>ROUND(MIN(MAX(0,N('Your debts'!$E$12)),H320),2)</f>
      </c>
      <c r="S320" s="33">
        <f>ROUND(MIN(MAX(0,N('Your debts'!$E$13)),I320),2)</f>
      </c>
      <c r="T320" s="33">
        <f>ROUND(MIN(MAX(0,N('Your debts'!$E$14)),J320),2)</f>
      </c>
      <c r="U320" s="33">
        <f>ROUND(MIN(MAX(0,N('Your debts'!$E$15)),K320),2)</f>
      </c>
      <c r="V320" s="33">
        <f>ROUND(B320-L320,2)</f>
      </c>
      <c r="W320" s="33">
        <f>ROUND(C320-M320,2)</f>
      </c>
      <c r="X320" s="33">
        <f>ROUND(D320-N320,2)</f>
      </c>
      <c r="Y320" s="33">
        <f>ROUND(E320-O320,2)</f>
      </c>
      <c r="Z320" s="33">
        <f>ROUND(F320-P320,2)</f>
      </c>
      <c r="AA320" s="33">
        <f>ROUND(G320-Q320,2)</f>
      </c>
      <c r="AB320" s="33">
        <f>ROUND(H320-R320,2)</f>
      </c>
      <c r="AC320" s="33">
        <f>ROUND(I320-S320,2)</f>
      </c>
      <c r="AD320" s="33">
        <f>ROUND(J320-T320,2)</f>
      </c>
      <c r="AE320" s="33">
        <f>ROUND(K320-U320,2)</f>
      </c>
      <c r="AF320" s="33">
        <f>IF(V320&lt;=0,0,MAX(0,MIN(V320,ROUND($AZ320-SUMPRODUCT($V320:$AE320*($V320:$AE320&gt;0)*(($V320:$AE320&lt;V320)+($V320:$AE320=V320)*($V$3:$AE$3&gt;V$3)+($V320:$AE320=V320)*($V$3:$AE$3=V$3)*($V$2:$AE$2&lt;V$2))),2))))</f>
      </c>
      <c r="AG320" s="33">
        <f>IF(W320&lt;=0,0,MAX(0,MIN(W320,ROUND($AZ320-SUMPRODUCT($V320:$AE320*($V320:$AE320&gt;0)*(($V320:$AE320&lt;W320)+($V320:$AE320=W320)*($V$3:$AE$3&gt;W$3)+($V320:$AE320=W320)*($V$3:$AE$3=W$3)*($V$2:$AE$2&lt;W$2))),2))))</f>
      </c>
      <c r="AH320" s="33">
        <f>IF(X320&lt;=0,0,MAX(0,MIN(X320,ROUND($AZ320-SUMPRODUCT($V320:$AE320*($V320:$AE320&gt;0)*(($V320:$AE320&lt;X320)+($V320:$AE320=X320)*($V$3:$AE$3&gt;X$3)+($V320:$AE320=X320)*($V$3:$AE$3=X$3)*($V$2:$AE$2&lt;X$2))),2))))</f>
      </c>
      <c r="AI320" s="33">
        <f>IF(Y320&lt;=0,0,MAX(0,MIN(Y320,ROUND($AZ320-SUMPRODUCT($V320:$AE320*($V320:$AE320&gt;0)*(($V320:$AE320&lt;Y320)+($V320:$AE320=Y320)*($V$3:$AE$3&gt;Y$3)+($V320:$AE320=Y320)*($V$3:$AE$3=Y$3)*($V$2:$AE$2&lt;Y$2))),2))))</f>
      </c>
      <c r="AJ320" s="33">
        <f>IF(Z320&lt;=0,0,MAX(0,MIN(Z320,ROUND($AZ320-SUMPRODUCT($V320:$AE320*($V320:$AE320&gt;0)*(($V320:$AE320&lt;Z320)+($V320:$AE320=Z320)*($V$3:$AE$3&gt;Z$3)+($V320:$AE320=Z320)*($V$3:$AE$3=Z$3)*($V$2:$AE$2&lt;Z$2))),2))))</f>
      </c>
      <c r="AK320" s="33">
        <f>IF(AA320&lt;=0,0,MAX(0,MIN(AA320,ROUND($AZ320-SUMPRODUCT($V320:$AE320*($V320:$AE320&gt;0)*(($V320:$AE320&lt;AA320)+($V320:$AE320=AA320)*($V$3:$AE$3&gt;AA$3)+($V320:$AE320=AA320)*($V$3:$AE$3=AA$3)*($V$2:$AE$2&lt;AA$2))),2))))</f>
      </c>
      <c r="AL320" s="33">
        <f>IF(AB320&lt;=0,0,MAX(0,MIN(AB320,ROUND($AZ320-SUMPRODUCT($V320:$AE320*($V320:$AE320&gt;0)*(($V320:$AE320&lt;AB320)+($V320:$AE320=AB320)*($V$3:$AE$3&gt;AB$3)+($V320:$AE320=AB320)*($V$3:$AE$3=AB$3)*($V$2:$AE$2&lt;AB$2))),2))))</f>
      </c>
      <c r="AM320" s="33">
        <f>IF(AC320&lt;=0,0,MAX(0,MIN(AC320,ROUND($AZ320-SUMPRODUCT($V320:$AE320*($V320:$AE320&gt;0)*(($V320:$AE320&lt;AC320)+($V320:$AE320=AC320)*($V$3:$AE$3&gt;AC$3)+($V320:$AE320=AC320)*($V$3:$AE$3=AC$3)*($V$2:$AE$2&lt;AC$2))),2))))</f>
      </c>
      <c r="AN320" s="33">
        <f>IF(AD320&lt;=0,0,MAX(0,MIN(AD320,ROUND($AZ320-SUMPRODUCT($V320:$AE320*($V320:$AE320&gt;0)*(($V320:$AE320&lt;AD320)+($V320:$AE320=AD320)*($V$3:$AE$3&gt;AD$3)+($V320:$AE320=AD320)*($V$3:$AE$3=AD$3)*($V$2:$AE$2&lt;AD$2))),2))))</f>
      </c>
      <c r="AO320" s="33">
        <f>IF(AE320&lt;=0,0,MAX(0,MIN(AE320,ROUND($AZ320-SUMPRODUCT($V320:$AE320*($V320:$AE320&gt;0)*(($V320:$AE320&lt;AE320)+($V320:$AE320=AE320)*($V$3:$AE$3&gt;AE$3)+($V320:$AE320=AE320)*($V$3:$AE$3=AE$3)*($V$2:$AE$2&lt;AE$2))),2))))</f>
      </c>
      <c r="AP320" s="33">
        <f>ROUND(V320-AF320,2)</f>
      </c>
      <c r="AQ320" s="33">
        <f>ROUND(W320-AG320,2)</f>
      </c>
      <c r="AR320" s="33">
        <f>ROUND(X320-AH320,2)</f>
      </c>
      <c r="AS320" s="33">
        <f>ROUND(Y320-AI320,2)</f>
      </c>
      <c r="AT320" s="33">
        <f>ROUND(Z320-AJ320,2)</f>
      </c>
      <c r="AU320" s="33">
        <f>ROUND(AA320-AK320,2)</f>
      </c>
      <c r="AV320" s="33">
        <f>ROUND(AB320-AL320,2)</f>
      </c>
      <c r="AW320" s="33">
        <f>ROUND(AC320-AM320,2)</f>
      </c>
      <c r="AX320" s="33">
        <f>ROUND(AD320-AN320,2)</f>
      </c>
      <c r="AY320" s="33">
        <f>ROUND(AE320-AO320,2)</f>
      </c>
      <c r="AZ320" s="33">
        <f>ROUND(MAX(0,'Your debts'!$D$22-SUM($L320:$U320)),2)</f>
      </c>
      <c r="BA320" s="33">
        <f>ROUND(SUM($B320:$K320)-SUM($AP319:$AY319),2)</f>
      </c>
      <c r="BB320" s="33">
        <f>SUM($AP320:$AY320)</f>
      </c>
      <c r="BC320" s="33">
        <f>ROUND(SUM($L320:$U320)+SUM($AF320:$AO320),2)</f>
      </c>
    </row>
    <row r="321" spans="1:55" x14ac:dyDescent="0.25">
      <c r="A321">
        <v>314</v>
      </c>
      <c r="B321" s="33">
        <f>IF(AP320&lt;=0,0,ROUND(AP320+ROUND(AP320*V$3/12,2),2))</f>
      </c>
      <c r="C321" s="33">
        <f>IF(AQ320&lt;=0,0,ROUND(AQ320+ROUND(AQ320*W$3/12,2),2))</f>
      </c>
      <c r="D321" s="33">
        <f>IF(AR320&lt;=0,0,ROUND(AR320+ROUND(AR320*X$3/12,2),2))</f>
      </c>
      <c r="E321" s="33">
        <f>IF(AS320&lt;=0,0,ROUND(AS320+ROUND(AS320*Y$3/12,2),2))</f>
      </c>
      <c r="F321" s="33">
        <f>IF(AT320&lt;=0,0,ROUND(AT320+ROUND(AT320*Z$3/12,2),2))</f>
      </c>
      <c r="G321" s="33">
        <f>IF(AU320&lt;=0,0,ROUND(AU320+ROUND(AU320*AA$3/12,2),2))</f>
      </c>
      <c r="H321" s="33">
        <f>IF(AV320&lt;=0,0,ROUND(AV320+ROUND(AV320*AB$3/12,2),2))</f>
      </c>
      <c r="I321" s="33">
        <f>IF(AW320&lt;=0,0,ROUND(AW320+ROUND(AW320*AC$3/12,2),2))</f>
      </c>
      <c r="J321" s="33">
        <f>IF(AX320&lt;=0,0,ROUND(AX320+ROUND(AX320*AD$3/12,2),2))</f>
      </c>
      <c r="K321" s="33">
        <f>IF(AY320&lt;=0,0,ROUND(AY320+ROUND(AY320*AE$3/12,2),2))</f>
      </c>
      <c r="L321" s="33">
        <f>ROUND(MIN(MAX(0,N('Your debts'!$E$6)),B321),2)</f>
      </c>
      <c r="M321" s="33">
        <f>ROUND(MIN(MAX(0,N('Your debts'!$E$7)),C321),2)</f>
      </c>
      <c r="N321" s="33">
        <f>ROUND(MIN(MAX(0,N('Your debts'!$E$8)),D321),2)</f>
      </c>
      <c r="O321" s="33">
        <f>ROUND(MIN(MAX(0,N('Your debts'!$E$9)),E321),2)</f>
      </c>
      <c r="P321" s="33">
        <f>ROUND(MIN(MAX(0,N('Your debts'!$E$10)),F321),2)</f>
      </c>
      <c r="Q321" s="33">
        <f>ROUND(MIN(MAX(0,N('Your debts'!$E$11)),G321),2)</f>
      </c>
      <c r="R321" s="33">
        <f>ROUND(MIN(MAX(0,N('Your debts'!$E$12)),H321),2)</f>
      </c>
      <c r="S321" s="33">
        <f>ROUND(MIN(MAX(0,N('Your debts'!$E$13)),I321),2)</f>
      </c>
      <c r="T321" s="33">
        <f>ROUND(MIN(MAX(0,N('Your debts'!$E$14)),J321),2)</f>
      </c>
      <c r="U321" s="33">
        <f>ROUND(MIN(MAX(0,N('Your debts'!$E$15)),K321),2)</f>
      </c>
      <c r="V321" s="33">
        <f>ROUND(B321-L321,2)</f>
      </c>
      <c r="W321" s="33">
        <f>ROUND(C321-M321,2)</f>
      </c>
      <c r="X321" s="33">
        <f>ROUND(D321-N321,2)</f>
      </c>
      <c r="Y321" s="33">
        <f>ROUND(E321-O321,2)</f>
      </c>
      <c r="Z321" s="33">
        <f>ROUND(F321-P321,2)</f>
      </c>
      <c r="AA321" s="33">
        <f>ROUND(G321-Q321,2)</f>
      </c>
      <c r="AB321" s="33">
        <f>ROUND(H321-R321,2)</f>
      </c>
      <c r="AC321" s="33">
        <f>ROUND(I321-S321,2)</f>
      </c>
      <c r="AD321" s="33">
        <f>ROUND(J321-T321,2)</f>
      </c>
      <c r="AE321" s="33">
        <f>ROUND(K321-U321,2)</f>
      </c>
      <c r="AF321" s="33">
        <f>IF(V321&lt;=0,0,MAX(0,MIN(V321,ROUND($AZ321-SUMPRODUCT($V321:$AE321*($V321:$AE321&gt;0)*(($V321:$AE321&lt;V321)+($V321:$AE321=V321)*($V$3:$AE$3&gt;V$3)+($V321:$AE321=V321)*($V$3:$AE$3=V$3)*($V$2:$AE$2&lt;V$2))),2))))</f>
      </c>
      <c r="AG321" s="33">
        <f>IF(W321&lt;=0,0,MAX(0,MIN(W321,ROUND($AZ321-SUMPRODUCT($V321:$AE321*($V321:$AE321&gt;0)*(($V321:$AE321&lt;W321)+($V321:$AE321=W321)*($V$3:$AE$3&gt;W$3)+($V321:$AE321=W321)*($V$3:$AE$3=W$3)*($V$2:$AE$2&lt;W$2))),2))))</f>
      </c>
      <c r="AH321" s="33">
        <f>IF(X321&lt;=0,0,MAX(0,MIN(X321,ROUND($AZ321-SUMPRODUCT($V321:$AE321*($V321:$AE321&gt;0)*(($V321:$AE321&lt;X321)+($V321:$AE321=X321)*($V$3:$AE$3&gt;X$3)+($V321:$AE321=X321)*($V$3:$AE$3=X$3)*($V$2:$AE$2&lt;X$2))),2))))</f>
      </c>
      <c r="AI321" s="33">
        <f>IF(Y321&lt;=0,0,MAX(0,MIN(Y321,ROUND($AZ321-SUMPRODUCT($V321:$AE321*($V321:$AE321&gt;0)*(($V321:$AE321&lt;Y321)+($V321:$AE321=Y321)*($V$3:$AE$3&gt;Y$3)+($V321:$AE321=Y321)*($V$3:$AE$3=Y$3)*($V$2:$AE$2&lt;Y$2))),2))))</f>
      </c>
      <c r="AJ321" s="33">
        <f>IF(Z321&lt;=0,0,MAX(0,MIN(Z321,ROUND($AZ321-SUMPRODUCT($V321:$AE321*($V321:$AE321&gt;0)*(($V321:$AE321&lt;Z321)+($V321:$AE321=Z321)*($V$3:$AE$3&gt;Z$3)+($V321:$AE321=Z321)*($V$3:$AE$3=Z$3)*($V$2:$AE$2&lt;Z$2))),2))))</f>
      </c>
      <c r="AK321" s="33">
        <f>IF(AA321&lt;=0,0,MAX(0,MIN(AA321,ROUND($AZ321-SUMPRODUCT($V321:$AE321*($V321:$AE321&gt;0)*(($V321:$AE321&lt;AA321)+($V321:$AE321=AA321)*($V$3:$AE$3&gt;AA$3)+($V321:$AE321=AA321)*($V$3:$AE$3=AA$3)*($V$2:$AE$2&lt;AA$2))),2))))</f>
      </c>
      <c r="AL321" s="33">
        <f>IF(AB321&lt;=0,0,MAX(0,MIN(AB321,ROUND($AZ321-SUMPRODUCT($V321:$AE321*($V321:$AE321&gt;0)*(($V321:$AE321&lt;AB321)+($V321:$AE321=AB321)*($V$3:$AE$3&gt;AB$3)+($V321:$AE321=AB321)*($V$3:$AE$3=AB$3)*($V$2:$AE$2&lt;AB$2))),2))))</f>
      </c>
      <c r="AM321" s="33">
        <f>IF(AC321&lt;=0,0,MAX(0,MIN(AC321,ROUND($AZ321-SUMPRODUCT($V321:$AE321*($V321:$AE321&gt;0)*(($V321:$AE321&lt;AC321)+($V321:$AE321=AC321)*($V$3:$AE$3&gt;AC$3)+($V321:$AE321=AC321)*($V$3:$AE$3=AC$3)*($V$2:$AE$2&lt;AC$2))),2))))</f>
      </c>
      <c r="AN321" s="33">
        <f>IF(AD321&lt;=0,0,MAX(0,MIN(AD321,ROUND($AZ321-SUMPRODUCT($V321:$AE321*($V321:$AE321&gt;0)*(($V321:$AE321&lt;AD321)+($V321:$AE321=AD321)*($V$3:$AE$3&gt;AD$3)+($V321:$AE321=AD321)*($V$3:$AE$3=AD$3)*($V$2:$AE$2&lt;AD$2))),2))))</f>
      </c>
      <c r="AO321" s="33">
        <f>IF(AE321&lt;=0,0,MAX(0,MIN(AE321,ROUND($AZ321-SUMPRODUCT($V321:$AE321*($V321:$AE321&gt;0)*(($V321:$AE321&lt;AE321)+($V321:$AE321=AE321)*($V$3:$AE$3&gt;AE$3)+($V321:$AE321=AE321)*($V$3:$AE$3=AE$3)*($V$2:$AE$2&lt;AE$2))),2))))</f>
      </c>
      <c r="AP321" s="33">
        <f>ROUND(V321-AF321,2)</f>
      </c>
      <c r="AQ321" s="33">
        <f>ROUND(W321-AG321,2)</f>
      </c>
      <c r="AR321" s="33">
        <f>ROUND(X321-AH321,2)</f>
      </c>
      <c r="AS321" s="33">
        <f>ROUND(Y321-AI321,2)</f>
      </c>
      <c r="AT321" s="33">
        <f>ROUND(Z321-AJ321,2)</f>
      </c>
      <c r="AU321" s="33">
        <f>ROUND(AA321-AK321,2)</f>
      </c>
      <c r="AV321" s="33">
        <f>ROUND(AB321-AL321,2)</f>
      </c>
      <c r="AW321" s="33">
        <f>ROUND(AC321-AM321,2)</f>
      </c>
      <c r="AX321" s="33">
        <f>ROUND(AD321-AN321,2)</f>
      </c>
      <c r="AY321" s="33">
        <f>ROUND(AE321-AO321,2)</f>
      </c>
      <c r="AZ321" s="33">
        <f>ROUND(MAX(0,'Your debts'!$D$22-SUM($L321:$U321)),2)</f>
      </c>
      <c r="BA321" s="33">
        <f>ROUND(SUM($B321:$K321)-SUM($AP320:$AY320),2)</f>
      </c>
      <c r="BB321" s="33">
        <f>SUM($AP321:$AY321)</f>
      </c>
      <c r="BC321" s="33">
        <f>ROUND(SUM($L321:$U321)+SUM($AF321:$AO321),2)</f>
      </c>
    </row>
    <row r="322" spans="1:55" x14ac:dyDescent="0.25">
      <c r="A322">
        <v>315</v>
      </c>
      <c r="B322" s="33">
        <f>IF(AP321&lt;=0,0,ROUND(AP321+ROUND(AP321*V$3/12,2),2))</f>
      </c>
      <c r="C322" s="33">
        <f>IF(AQ321&lt;=0,0,ROUND(AQ321+ROUND(AQ321*W$3/12,2),2))</f>
      </c>
      <c r="D322" s="33">
        <f>IF(AR321&lt;=0,0,ROUND(AR321+ROUND(AR321*X$3/12,2),2))</f>
      </c>
      <c r="E322" s="33">
        <f>IF(AS321&lt;=0,0,ROUND(AS321+ROUND(AS321*Y$3/12,2),2))</f>
      </c>
      <c r="F322" s="33">
        <f>IF(AT321&lt;=0,0,ROUND(AT321+ROUND(AT321*Z$3/12,2),2))</f>
      </c>
      <c r="G322" s="33">
        <f>IF(AU321&lt;=0,0,ROUND(AU321+ROUND(AU321*AA$3/12,2),2))</f>
      </c>
      <c r="H322" s="33">
        <f>IF(AV321&lt;=0,0,ROUND(AV321+ROUND(AV321*AB$3/12,2),2))</f>
      </c>
      <c r="I322" s="33">
        <f>IF(AW321&lt;=0,0,ROUND(AW321+ROUND(AW321*AC$3/12,2),2))</f>
      </c>
      <c r="J322" s="33">
        <f>IF(AX321&lt;=0,0,ROUND(AX321+ROUND(AX321*AD$3/12,2),2))</f>
      </c>
      <c r="K322" s="33">
        <f>IF(AY321&lt;=0,0,ROUND(AY321+ROUND(AY321*AE$3/12,2),2))</f>
      </c>
      <c r="L322" s="33">
        <f>ROUND(MIN(MAX(0,N('Your debts'!$E$6)),B322),2)</f>
      </c>
      <c r="M322" s="33">
        <f>ROUND(MIN(MAX(0,N('Your debts'!$E$7)),C322),2)</f>
      </c>
      <c r="N322" s="33">
        <f>ROUND(MIN(MAX(0,N('Your debts'!$E$8)),D322),2)</f>
      </c>
      <c r="O322" s="33">
        <f>ROUND(MIN(MAX(0,N('Your debts'!$E$9)),E322),2)</f>
      </c>
      <c r="P322" s="33">
        <f>ROUND(MIN(MAX(0,N('Your debts'!$E$10)),F322),2)</f>
      </c>
      <c r="Q322" s="33">
        <f>ROUND(MIN(MAX(0,N('Your debts'!$E$11)),G322),2)</f>
      </c>
      <c r="R322" s="33">
        <f>ROUND(MIN(MAX(0,N('Your debts'!$E$12)),H322),2)</f>
      </c>
      <c r="S322" s="33">
        <f>ROUND(MIN(MAX(0,N('Your debts'!$E$13)),I322),2)</f>
      </c>
      <c r="T322" s="33">
        <f>ROUND(MIN(MAX(0,N('Your debts'!$E$14)),J322),2)</f>
      </c>
      <c r="U322" s="33">
        <f>ROUND(MIN(MAX(0,N('Your debts'!$E$15)),K322),2)</f>
      </c>
      <c r="V322" s="33">
        <f>ROUND(B322-L322,2)</f>
      </c>
      <c r="W322" s="33">
        <f>ROUND(C322-M322,2)</f>
      </c>
      <c r="X322" s="33">
        <f>ROUND(D322-N322,2)</f>
      </c>
      <c r="Y322" s="33">
        <f>ROUND(E322-O322,2)</f>
      </c>
      <c r="Z322" s="33">
        <f>ROUND(F322-P322,2)</f>
      </c>
      <c r="AA322" s="33">
        <f>ROUND(G322-Q322,2)</f>
      </c>
      <c r="AB322" s="33">
        <f>ROUND(H322-R322,2)</f>
      </c>
      <c r="AC322" s="33">
        <f>ROUND(I322-S322,2)</f>
      </c>
      <c r="AD322" s="33">
        <f>ROUND(J322-T322,2)</f>
      </c>
      <c r="AE322" s="33">
        <f>ROUND(K322-U322,2)</f>
      </c>
      <c r="AF322" s="33">
        <f>IF(V322&lt;=0,0,MAX(0,MIN(V322,ROUND($AZ322-SUMPRODUCT($V322:$AE322*($V322:$AE322&gt;0)*(($V322:$AE322&lt;V322)+($V322:$AE322=V322)*($V$3:$AE$3&gt;V$3)+($V322:$AE322=V322)*($V$3:$AE$3=V$3)*($V$2:$AE$2&lt;V$2))),2))))</f>
      </c>
      <c r="AG322" s="33">
        <f>IF(W322&lt;=0,0,MAX(0,MIN(W322,ROUND($AZ322-SUMPRODUCT($V322:$AE322*($V322:$AE322&gt;0)*(($V322:$AE322&lt;W322)+($V322:$AE322=W322)*($V$3:$AE$3&gt;W$3)+($V322:$AE322=W322)*($V$3:$AE$3=W$3)*($V$2:$AE$2&lt;W$2))),2))))</f>
      </c>
      <c r="AH322" s="33">
        <f>IF(X322&lt;=0,0,MAX(0,MIN(X322,ROUND($AZ322-SUMPRODUCT($V322:$AE322*($V322:$AE322&gt;0)*(($V322:$AE322&lt;X322)+($V322:$AE322=X322)*($V$3:$AE$3&gt;X$3)+($V322:$AE322=X322)*($V$3:$AE$3=X$3)*($V$2:$AE$2&lt;X$2))),2))))</f>
      </c>
      <c r="AI322" s="33">
        <f>IF(Y322&lt;=0,0,MAX(0,MIN(Y322,ROUND($AZ322-SUMPRODUCT($V322:$AE322*($V322:$AE322&gt;0)*(($V322:$AE322&lt;Y322)+($V322:$AE322=Y322)*($V$3:$AE$3&gt;Y$3)+($V322:$AE322=Y322)*($V$3:$AE$3=Y$3)*($V$2:$AE$2&lt;Y$2))),2))))</f>
      </c>
      <c r="AJ322" s="33">
        <f>IF(Z322&lt;=0,0,MAX(0,MIN(Z322,ROUND($AZ322-SUMPRODUCT($V322:$AE322*($V322:$AE322&gt;0)*(($V322:$AE322&lt;Z322)+($V322:$AE322=Z322)*($V$3:$AE$3&gt;Z$3)+($V322:$AE322=Z322)*($V$3:$AE$3=Z$3)*($V$2:$AE$2&lt;Z$2))),2))))</f>
      </c>
      <c r="AK322" s="33">
        <f>IF(AA322&lt;=0,0,MAX(0,MIN(AA322,ROUND($AZ322-SUMPRODUCT($V322:$AE322*($V322:$AE322&gt;0)*(($V322:$AE322&lt;AA322)+($V322:$AE322=AA322)*($V$3:$AE$3&gt;AA$3)+($V322:$AE322=AA322)*($V$3:$AE$3=AA$3)*($V$2:$AE$2&lt;AA$2))),2))))</f>
      </c>
      <c r="AL322" s="33">
        <f>IF(AB322&lt;=0,0,MAX(0,MIN(AB322,ROUND($AZ322-SUMPRODUCT($V322:$AE322*($V322:$AE322&gt;0)*(($V322:$AE322&lt;AB322)+($V322:$AE322=AB322)*($V$3:$AE$3&gt;AB$3)+($V322:$AE322=AB322)*($V$3:$AE$3=AB$3)*($V$2:$AE$2&lt;AB$2))),2))))</f>
      </c>
      <c r="AM322" s="33">
        <f>IF(AC322&lt;=0,0,MAX(0,MIN(AC322,ROUND($AZ322-SUMPRODUCT($V322:$AE322*($V322:$AE322&gt;0)*(($V322:$AE322&lt;AC322)+($V322:$AE322=AC322)*($V$3:$AE$3&gt;AC$3)+($V322:$AE322=AC322)*($V$3:$AE$3=AC$3)*($V$2:$AE$2&lt;AC$2))),2))))</f>
      </c>
      <c r="AN322" s="33">
        <f>IF(AD322&lt;=0,0,MAX(0,MIN(AD322,ROUND($AZ322-SUMPRODUCT($V322:$AE322*($V322:$AE322&gt;0)*(($V322:$AE322&lt;AD322)+($V322:$AE322=AD322)*($V$3:$AE$3&gt;AD$3)+($V322:$AE322=AD322)*($V$3:$AE$3=AD$3)*($V$2:$AE$2&lt;AD$2))),2))))</f>
      </c>
      <c r="AO322" s="33">
        <f>IF(AE322&lt;=0,0,MAX(0,MIN(AE322,ROUND($AZ322-SUMPRODUCT($V322:$AE322*($V322:$AE322&gt;0)*(($V322:$AE322&lt;AE322)+($V322:$AE322=AE322)*($V$3:$AE$3&gt;AE$3)+($V322:$AE322=AE322)*($V$3:$AE$3=AE$3)*($V$2:$AE$2&lt;AE$2))),2))))</f>
      </c>
      <c r="AP322" s="33">
        <f>ROUND(V322-AF322,2)</f>
      </c>
      <c r="AQ322" s="33">
        <f>ROUND(W322-AG322,2)</f>
      </c>
      <c r="AR322" s="33">
        <f>ROUND(X322-AH322,2)</f>
      </c>
      <c r="AS322" s="33">
        <f>ROUND(Y322-AI322,2)</f>
      </c>
      <c r="AT322" s="33">
        <f>ROUND(Z322-AJ322,2)</f>
      </c>
      <c r="AU322" s="33">
        <f>ROUND(AA322-AK322,2)</f>
      </c>
      <c r="AV322" s="33">
        <f>ROUND(AB322-AL322,2)</f>
      </c>
      <c r="AW322" s="33">
        <f>ROUND(AC322-AM322,2)</f>
      </c>
      <c r="AX322" s="33">
        <f>ROUND(AD322-AN322,2)</f>
      </c>
      <c r="AY322" s="33">
        <f>ROUND(AE322-AO322,2)</f>
      </c>
      <c r="AZ322" s="33">
        <f>ROUND(MAX(0,'Your debts'!$D$22-SUM($L322:$U322)),2)</f>
      </c>
      <c r="BA322" s="33">
        <f>ROUND(SUM($B322:$K322)-SUM($AP321:$AY321),2)</f>
      </c>
      <c r="BB322" s="33">
        <f>SUM($AP322:$AY322)</f>
      </c>
      <c r="BC322" s="33">
        <f>ROUND(SUM($L322:$U322)+SUM($AF322:$AO322),2)</f>
      </c>
    </row>
    <row r="323" spans="1:55" x14ac:dyDescent="0.25">
      <c r="A323">
        <v>316</v>
      </c>
      <c r="B323" s="33">
        <f>IF(AP322&lt;=0,0,ROUND(AP322+ROUND(AP322*V$3/12,2),2))</f>
      </c>
      <c r="C323" s="33">
        <f>IF(AQ322&lt;=0,0,ROUND(AQ322+ROUND(AQ322*W$3/12,2),2))</f>
      </c>
      <c r="D323" s="33">
        <f>IF(AR322&lt;=0,0,ROUND(AR322+ROUND(AR322*X$3/12,2),2))</f>
      </c>
      <c r="E323" s="33">
        <f>IF(AS322&lt;=0,0,ROUND(AS322+ROUND(AS322*Y$3/12,2),2))</f>
      </c>
      <c r="F323" s="33">
        <f>IF(AT322&lt;=0,0,ROUND(AT322+ROUND(AT322*Z$3/12,2),2))</f>
      </c>
      <c r="G323" s="33">
        <f>IF(AU322&lt;=0,0,ROUND(AU322+ROUND(AU322*AA$3/12,2),2))</f>
      </c>
      <c r="H323" s="33">
        <f>IF(AV322&lt;=0,0,ROUND(AV322+ROUND(AV322*AB$3/12,2),2))</f>
      </c>
      <c r="I323" s="33">
        <f>IF(AW322&lt;=0,0,ROUND(AW322+ROUND(AW322*AC$3/12,2),2))</f>
      </c>
      <c r="J323" s="33">
        <f>IF(AX322&lt;=0,0,ROUND(AX322+ROUND(AX322*AD$3/12,2),2))</f>
      </c>
      <c r="K323" s="33">
        <f>IF(AY322&lt;=0,0,ROUND(AY322+ROUND(AY322*AE$3/12,2),2))</f>
      </c>
      <c r="L323" s="33">
        <f>ROUND(MIN(MAX(0,N('Your debts'!$E$6)),B323),2)</f>
      </c>
      <c r="M323" s="33">
        <f>ROUND(MIN(MAX(0,N('Your debts'!$E$7)),C323),2)</f>
      </c>
      <c r="N323" s="33">
        <f>ROUND(MIN(MAX(0,N('Your debts'!$E$8)),D323),2)</f>
      </c>
      <c r="O323" s="33">
        <f>ROUND(MIN(MAX(0,N('Your debts'!$E$9)),E323),2)</f>
      </c>
      <c r="P323" s="33">
        <f>ROUND(MIN(MAX(0,N('Your debts'!$E$10)),F323),2)</f>
      </c>
      <c r="Q323" s="33">
        <f>ROUND(MIN(MAX(0,N('Your debts'!$E$11)),G323),2)</f>
      </c>
      <c r="R323" s="33">
        <f>ROUND(MIN(MAX(0,N('Your debts'!$E$12)),H323),2)</f>
      </c>
      <c r="S323" s="33">
        <f>ROUND(MIN(MAX(0,N('Your debts'!$E$13)),I323),2)</f>
      </c>
      <c r="T323" s="33">
        <f>ROUND(MIN(MAX(0,N('Your debts'!$E$14)),J323),2)</f>
      </c>
      <c r="U323" s="33">
        <f>ROUND(MIN(MAX(0,N('Your debts'!$E$15)),K323),2)</f>
      </c>
      <c r="V323" s="33">
        <f>ROUND(B323-L323,2)</f>
      </c>
      <c r="W323" s="33">
        <f>ROUND(C323-M323,2)</f>
      </c>
      <c r="X323" s="33">
        <f>ROUND(D323-N323,2)</f>
      </c>
      <c r="Y323" s="33">
        <f>ROUND(E323-O323,2)</f>
      </c>
      <c r="Z323" s="33">
        <f>ROUND(F323-P323,2)</f>
      </c>
      <c r="AA323" s="33">
        <f>ROUND(G323-Q323,2)</f>
      </c>
      <c r="AB323" s="33">
        <f>ROUND(H323-R323,2)</f>
      </c>
      <c r="AC323" s="33">
        <f>ROUND(I323-S323,2)</f>
      </c>
      <c r="AD323" s="33">
        <f>ROUND(J323-T323,2)</f>
      </c>
      <c r="AE323" s="33">
        <f>ROUND(K323-U323,2)</f>
      </c>
      <c r="AF323" s="33">
        <f>IF(V323&lt;=0,0,MAX(0,MIN(V323,ROUND($AZ323-SUMPRODUCT($V323:$AE323*($V323:$AE323&gt;0)*(($V323:$AE323&lt;V323)+($V323:$AE323=V323)*($V$3:$AE$3&gt;V$3)+($V323:$AE323=V323)*($V$3:$AE$3=V$3)*($V$2:$AE$2&lt;V$2))),2))))</f>
      </c>
      <c r="AG323" s="33">
        <f>IF(W323&lt;=0,0,MAX(0,MIN(W323,ROUND($AZ323-SUMPRODUCT($V323:$AE323*($V323:$AE323&gt;0)*(($V323:$AE323&lt;W323)+($V323:$AE323=W323)*($V$3:$AE$3&gt;W$3)+($V323:$AE323=W323)*($V$3:$AE$3=W$3)*($V$2:$AE$2&lt;W$2))),2))))</f>
      </c>
      <c r="AH323" s="33">
        <f>IF(X323&lt;=0,0,MAX(0,MIN(X323,ROUND($AZ323-SUMPRODUCT($V323:$AE323*($V323:$AE323&gt;0)*(($V323:$AE323&lt;X323)+($V323:$AE323=X323)*($V$3:$AE$3&gt;X$3)+($V323:$AE323=X323)*($V$3:$AE$3=X$3)*($V$2:$AE$2&lt;X$2))),2))))</f>
      </c>
      <c r="AI323" s="33">
        <f>IF(Y323&lt;=0,0,MAX(0,MIN(Y323,ROUND($AZ323-SUMPRODUCT($V323:$AE323*($V323:$AE323&gt;0)*(($V323:$AE323&lt;Y323)+($V323:$AE323=Y323)*($V$3:$AE$3&gt;Y$3)+($V323:$AE323=Y323)*($V$3:$AE$3=Y$3)*($V$2:$AE$2&lt;Y$2))),2))))</f>
      </c>
      <c r="AJ323" s="33">
        <f>IF(Z323&lt;=0,0,MAX(0,MIN(Z323,ROUND($AZ323-SUMPRODUCT($V323:$AE323*($V323:$AE323&gt;0)*(($V323:$AE323&lt;Z323)+($V323:$AE323=Z323)*($V$3:$AE$3&gt;Z$3)+($V323:$AE323=Z323)*($V$3:$AE$3=Z$3)*($V$2:$AE$2&lt;Z$2))),2))))</f>
      </c>
      <c r="AK323" s="33">
        <f>IF(AA323&lt;=0,0,MAX(0,MIN(AA323,ROUND($AZ323-SUMPRODUCT($V323:$AE323*($V323:$AE323&gt;0)*(($V323:$AE323&lt;AA323)+($V323:$AE323=AA323)*($V$3:$AE$3&gt;AA$3)+($V323:$AE323=AA323)*($V$3:$AE$3=AA$3)*($V$2:$AE$2&lt;AA$2))),2))))</f>
      </c>
      <c r="AL323" s="33">
        <f>IF(AB323&lt;=0,0,MAX(0,MIN(AB323,ROUND($AZ323-SUMPRODUCT($V323:$AE323*($V323:$AE323&gt;0)*(($V323:$AE323&lt;AB323)+($V323:$AE323=AB323)*($V$3:$AE$3&gt;AB$3)+($V323:$AE323=AB323)*($V$3:$AE$3=AB$3)*($V$2:$AE$2&lt;AB$2))),2))))</f>
      </c>
      <c r="AM323" s="33">
        <f>IF(AC323&lt;=0,0,MAX(0,MIN(AC323,ROUND($AZ323-SUMPRODUCT($V323:$AE323*($V323:$AE323&gt;0)*(($V323:$AE323&lt;AC323)+($V323:$AE323=AC323)*($V$3:$AE$3&gt;AC$3)+($V323:$AE323=AC323)*($V$3:$AE$3=AC$3)*($V$2:$AE$2&lt;AC$2))),2))))</f>
      </c>
      <c r="AN323" s="33">
        <f>IF(AD323&lt;=0,0,MAX(0,MIN(AD323,ROUND($AZ323-SUMPRODUCT($V323:$AE323*($V323:$AE323&gt;0)*(($V323:$AE323&lt;AD323)+($V323:$AE323=AD323)*($V$3:$AE$3&gt;AD$3)+($V323:$AE323=AD323)*($V$3:$AE$3=AD$3)*($V$2:$AE$2&lt;AD$2))),2))))</f>
      </c>
      <c r="AO323" s="33">
        <f>IF(AE323&lt;=0,0,MAX(0,MIN(AE323,ROUND($AZ323-SUMPRODUCT($V323:$AE323*($V323:$AE323&gt;0)*(($V323:$AE323&lt;AE323)+($V323:$AE323=AE323)*($V$3:$AE$3&gt;AE$3)+($V323:$AE323=AE323)*($V$3:$AE$3=AE$3)*($V$2:$AE$2&lt;AE$2))),2))))</f>
      </c>
      <c r="AP323" s="33">
        <f>ROUND(V323-AF323,2)</f>
      </c>
      <c r="AQ323" s="33">
        <f>ROUND(W323-AG323,2)</f>
      </c>
      <c r="AR323" s="33">
        <f>ROUND(X323-AH323,2)</f>
      </c>
      <c r="AS323" s="33">
        <f>ROUND(Y323-AI323,2)</f>
      </c>
      <c r="AT323" s="33">
        <f>ROUND(Z323-AJ323,2)</f>
      </c>
      <c r="AU323" s="33">
        <f>ROUND(AA323-AK323,2)</f>
      </c>
      <c r="AV323" s="33">
        <f>ROUND(AB323-AL323,2)</f>
      </c>
      <c r="AW323" s="33">
        <f>ROUND(AC323-AM323,2)</f>
      </c>
      <c r="AX323" s="33">
        <f>ROUND(AD323-AN323,2)</f>
      </c>
      <c r="AY323" s="33">
        <f>ROUND(AE323-AO323,2)</f>
      </c>
      <c r="AZ323" s="33">
        <f>ROUND(MAX(0,'Your debts'!$D$22-SUM($L323:$U323)),2)</f>
      </c>
      <c r="BA323" s="33">
        <f>ROUND(SUM($B323:$K323)-SUM($AP322:$AY322),2)</f>
      </c>
      <c r="BB323" s="33">
        <f>SUM($AP323:$AY323)</f>
      </c>
      <c r="BC323" s="33">
        <f>ROUND(SUM($L323:$U323)+SUM($AF323:$AO323),2)</f>
      </c>
    </row>
    <row r="324" spans="1:55" x14ac:dyDescent="0.25">
      <c r="A324">
        <v>317</v>
      </c>
      <c r="B324" s="33">
        <f>IF(AP323&lt;=0,0,ROUND(AP323+ROUND(AP323*V$3/12,2),2))</f>
      </c>
      <c r="C324" s="33">
        <f>IF(AQ323&lt;=0,0,ROUND(AQ323+ROUND(AQ323*W$3/12,2),2))</f>
      </c>
      <c r="D324" s="33">
        <f>IF(AR323&lt;=0,0,ROUND(AR323+ROUND(AR323*X$3/12,2),2))</f>
      </c>
      <c r="E324" s="33">
        <f>IF(AS323&lt;=0,0,ROUND(AS323+ROUND(AS323*Y$3/12,2),2))</f>
      </c>
      <c r="F324" s="33">
        <f>IF(AT323&lt;=0,0,ROUND(AT323+ROUND(AT323*Z$3/12,2),2))</f>
      </c>
      <c r="G324" s="33">
        <f>IF(AU323&lt;=0,0,ROUND(AU323+ROUND(AU323*AA$3/12,2),2))</f>
      </c>
      <c r="H324" s="33">
        <f>IF(AV323&lt;=0,0,ROUND(AV323+ROUND(AV323*AB$3/12,2),2))</f>
      </c>
      <c r="I324" s="33">
        <f>IF(AW323&lt;=0,0,ROUND(AW323+ROUND(AW323*AC$3/12,2),2))</f>
      </c>
      <c r="J324" s="33">
        <f>IF(AX323&lt;=0,0,ROUND(AX323+ROUND(AX323*AD$3/12,2),2))</f>
      </c>
      <c r="K324" s="33">
        <f>IF(AY323&lt;=0,0,ROUND(AY323+ROUND(AY323*AE$3/12,2),2))</f>
      </c>
      <c r="L324" s="33">
        <f>ROUND(MIN(MAX(0,N('Your debts'!$E$6)),B324),2)</f>
      </c>
      <c r="M324" s="33">
        <f>ROUND(MIN(MAX(0,N('Your debts'!$E$7)),C324),2)</f>
      </c>
      <c r="N324" s="33">
        <f>ROUND(MIN(MAX(0,N('Your debts'!$E$8)),D324),2)</f>
      </c>
      <c r="O324" s="33">
        <f>ROUND(MIN(MAX(0,N('Your debts'!$E$9)),E324),2)</f>
      </c>
      <c r="P324" s="33">
        <f>ROUND(MIN(MAX(0,N('Your debts'!$E$10)),F324),2)</f>
      </c>
      <c r="Q324" s="33">
        <f>ROUND(MIN(MAX(0,N('Your debts'!$E$11)),G324),2)</f>
      </c>
      <c r="R324" s="33">
        <f>ROUND(MIN(MAX(0,N('Your debts'!$E$12)),H324),2)</f>
      </c>
      <c r="S324" s="33">
        <f>ROUND(MIN(MAX(0,N('Your debts'!$E$13)),I324),2)</f>
      </c>
      <c r="T324" s="33">
        <f>ROUND(MIN(MAX(0,N('Your debts'!$E$14)),J324),2)</f>
      </c>
      <c r="U324" s="33">
        <f>ROUND(MIN(MAX(0,N('Your debts'!$E$15)),K324),2)</f>
      </c>
      <c r="V324" s="33">
        <f>ROUND(B324-L324,2)</f>
      </c>
      <c r="W324" s="33">
        <f>ROUND(C324-M324,2)</f>
      </c>
      <c r="X324" s="33">
        <f>ROUND(D324-N324,2)</f>
      </c>
      <c r="Y324" s="33">
        <f>ROUND(E324-O324,2)</f>
      </c>
      <c r="Z324" s="33">
        <f>ROUND(F324-P324,2)</f>
      </c>
      <c r="AA324" s="33">
        <f>ROUND(G324-Q324,2)</f>
      </c>
      <c r="AB324" s="33">
        <f>ROUND(H324-R324,2)</f>
      </c>
      <c r="AC324" s="33">
        <f>ROUND(I324-S324,2)</f>
      </c>
      <c r="AD324" s="33">
        <f>ROUND(J324-T324,2)</f>
      </c>
      <c r="AE324" s="33">
        <f>ROUND(K324-U324,2)</f>
      </c>
      <c r="AF324" s="33">
        <f>IF(V324&lt;=0,0,MAX(0,MIN(V324,ROUND($AZ324-SUMPRODUCT($V324:$AE324*($V324:$AE324&gt;0)*(($V324:$AE324&lt;V324)+($V324:$AE324=V324)*($V$3:$AE$3&gt;V$3)+($V324:$AE324=V324)*($V$3:$AE$3=V$3)*($V$2:$AE$2&lt;V$2))),2))))</f>
      </c>
      <c r="AG324" s="33">
        <f>IF(W324&lt;=0,0,MAX(0,MIN(W324,ROUND($AZ324-SUMPRODUCT($V324:$AE324*($V324:$AE324&gt;0)*(($V324:$AE324&lt;W324)+($V324:$AE324=W324)*($V$3:$AE$3&gt;W$3)+($V324:$AE324=W324)*($V$3:$AE$3=W$3)*($V$2:$AE$2&lt;W$2))),2))))</f>
      </c>
      <c r="AH324" s="33">
        <f>IF(X324&lt;=0,0,MAX(0,MIN(X324,ROUND($AZ324-SUMPRODUCT($V324:$AE324*($V324:$AE324&gt;0)*(($V324:$AE324&lt;X324)+($V324:$AE324=X324)*($V$3:$AE$3&gt;X$3)+($V324:$AE324=X324)*($V$3:$AE$3=X$3)*($V$2:$AE$2&lt;X$2))),2))))</f>
      </c>
      <c r="AI324" s="33">
        <f>IF(Y324&lt;=0,0,MAX(0,MIN(Y324,ROUND($AZ324-SUMPRODUCT($V324:$AE324*($V324:$AE324&gt;0)*(($V324:$AE324&lt;Y324)+($V324:$AE324=Y324)*($V$3:$AE$3&gt;Y$3)+($V324:$AE324=Y324)*($V$3:$AE$3=Y$3)*($V$2:$AE$2&lt;Y$2))),2))))</f>
      </c>
      <c r="AJ324" s="33">
        <f>IF(Z324&lt;=0,0,MAX(0,MIN(Z324,ROUND($AZ324-SUMPRODUCT($V324:$AE324*($V324:$AE324&gt;0)*(($V324:$AE324&lt;Z324)+($V324:$AE324=Z324)*($V$3:$AE$3&gt;Z$3)+($V324:$AE324=Z324)*($V$3:$AE$3=Z$3)*($V$2:$AE$2&lt;Z$2))),2))))</f>
      </c>
      <c r="AK324" s="33">
        <f>IF(AA324&lt;=0,0,MAX(0,MIN(AA324,ROUND($AZ324-SUMPRODUCT($V324:$AE324*($V324:$AE324&gt;0)*(($V324:$AE324&lt;AA324)+($V324:$AE324=AA324)*($V$3:$AE$3&gt;AA$3)+($V324:$AE324=AA324)*($V$3:$AE$3=AA$3)*($V$2:$AE$2&lt;AA$2))),2))))</f>
      </c>
      <c r="AL324" s="33">
        <f>IF(AB324&lt;=0,0,MAX(0,MIN(AB324,ROUND($AZ324-SUMPRODUCT($V324:$AE324*($V324:$AE324&gt;0)*(($V324:$AE324&lt;AB324)+($V324:$AE324=AB324)*($V$3:$AE$3&gt;AB$3)+($V324:$AE324=AB324)*($V$3:$AE$3=AB$3)*($V$2:$AE$2&lt;AB$2))),2))))</f>
      </c>
      <c r="AM324" s="33">
        <f>IF(AC324&lt;=0,0,MAX(0,MIN(AC324,ROUND($AZ324-SUMPRODUCT($V324:$AE324*($V324:$AE324&gt;0)*(($V324:$AE324&lt;AC324)+($V324:$AE324=AC324)*($V$3:$AE$3&gt;AC$3)+($V324:$AE324=AC324)*($V$3:$AE$3=AC$3)*($V$2:$AE$2&lt;AC$2))),2))))</f>
      </c>
      <c r="AN324" s="33">
        <f>IF(AD324&lt;=0,0,MAX(0,MIN(AD324,ROUND($AZ324-SUMPRODUCT($V324:$AE324*($V324:$AE324&gt;0)*(($V324:$AE324&lt;AD324)+($V324:$AE324=AD324)*($V$3:$AE$3&gt;AD$3)+($V324:$AE324=AD324)*($V$3:$AE$3=AD$3)*($V$2:$AE$2&lt;AD$2))),2))))</f>
      </c>
      <c r="AO324" s="33">
        <f>IF(AE324&lt;=0,0,MAX(0,MIN(AE324,ROUND($AZ324-SUMPRODUCT($V324:$AE324*($V324:$AE324&gt;0)*(($V324:$AE324&lt;AE324)+($V324:$AE324=AE324)*($V$3:$AE$3&gt;AE$3)+($V324:$AE324=AE324)*($V$3:$AE$3=AE$3)*($V$2:$AE$2&lt;AE$2))),2))))</f>
      </c>
      <c r="AP324" s="33">
        <f>ROUND(V324-AF324,2)</f>
      </c>
      <c r="AQ324" s="33">
        <f>ROUND(W324-AG324,2)</f>
      </c>
      <c r="AR324" s="33">
        <f>ROUND(X324-AH324,2)</f>
      </c>
      <c r="AS324" s="33">
        <f>ROUND(Y324-AI324,2)</f>
      </c>
      <c r="AT324" s="33">
        <f>ROUND(Z324-AJ324,2)</f>
      </c>
      <c r="AU324" s="33">
        <f>ROUND(AA324-AK324,2)</f>
      </c>
      <c r="AV324" s="33">
        <f>ROUND(AB324-AL324,2)</f>
      </c>
      <c r="AW324" s="33">
        <f>ROUND(AC324-AM324,2)</f>
      </c>
      <c r="AX324" s="33">
        <f>ROUND(AD324-AN324,2)</f>
      </c>
      <c r="AY324" s="33">
        <f>ROUND(AE324-AO324,2)</f>
      </c>
      <c r="AZ324" s="33">
        <f>ROUND(MAX(0,'Your debts'!$D$22-SUM($L324:$U324)),2)</f>
      </c>
      <c r="BA324" s="33">
        <f>ROUND(SUM($B324:$K324)-SUM($AP323:$AY323),2)</f>
      </c>
      <c r="BB324" s="33">
        <f>SUM($AP324:$AY324)</f>
      </c>
      <c r="BC324" s="33">
        <f>ROUND(SUM($L324:$U324)+SUM($AF324:$AO324),2)</f>
      </c>
    </row>
    <row r="325" spans="1:55" x14ac:dyDescent="0.25">
      <c r="A325">
        <v>318</v>
      </c>
      <c r="B325" s="33">
        <f>IF(AP324&lt;=0,0,ROUND(AP324+ROUND(AP324*V$3/12,2),2))</f>
      </c>
      <c r="C325" s="33">
        <f>IF(AQ324&lt;=0,0,ROUND(AQ324+ROUND(AQ324*W$3/12,2),2))</f>
      </c>
      <c r="D325" s="33">
        <f>IF(AR324&lt;=0,0,ROUND(AR324+ROUND(AR324*X$3/12,2),2))</f>
      </c>
      <c r="E325" s="33">
        <f>IF(AS324&lt;=0,0,ROUND(AS324+ROUND(AS324*Y$3/12,2),2))</f>
      </c>
      <c r="F325" s="33">
        <f>IF(AT324&lt;=0,0,ROUND(AT324+ROUND(AT324*Z$3/12,2),2))</f>
      </c>
      <c r="G325" s="33">
        <f>IF(AU324&lt;=0,0,ROUND(AU324+ROUND(AU324*AA$3/12,2),2))</f>
      </c>
      <c r="H325" s="33">
        <f>IF(AV324&lt;=0,0,ROUND(AV324+ROUND(AV324*AB$3/12,2),2))</f>
      </c>
      <c r="I325" s="33">
        <f>IF(AW324&lt;=0,0,ROUND(AW324+ROUND(AW324*AC$3/12,2),2))</f>
      </c>
      <c r="J325" s="33">
        <f>IF(AX324&lt;=0,0,ROUND(AX324+ROUND(AX324*AD$3/12,2),2))</f>
      </c>
      <c r="K325" s="33">
        <f>IF(AY324&lt;=0,0,ROUND(AY324+ROUND(AY324*AE$3/12,2),2))</f>
      </c>
      <c r="L325" s="33">
        <f>ROUND(MIN(MAX(0,N('Your debts'!$E$6)),B325),2)</f>
      </c>
      <c r="M325" s="33">
        <f>ROUND(MIN(MAX(0,N('Your debts'!$E$7)),C325),2)</f>
      </c>
      <c r="N325" s="33">
        <f>ROUND(MIN(MAX(0,N('Your debts'!$E$8)),D325),2)</f>
      </c>
      <c r="O325" s="33">
        <f>ROUND(MIN(MAX(0,N('Your debts'!$E$9)),E325),2)</f>
      </c>
      <c r="P325" s="33">
        <f>ROUND(MIN(MAX(0,N('Your debts'!$E$10)),F325),2)</f>
      </c>
      <c r="Q325" s="33">
        <f>ROUND(MIN(MAX(0,N('Your debts'!$E$11)),G325),2)</f>
      </c>
      <c r="R325" s="33">
        <f>ROUND(MIN(MAX(0,N('Your debts'!$E$12)),H325),2)</f>
      </c>
      <c r="S325" s="33">
        <f>ROUND(MIN(MAX(0,N('Your debts'!$E$13)),I325),2)</f>
      </c>
      <c r="T325" s="33">
        <f>ROUND(MIN(MAX(0,N('Your debts'!$E$14)),J325),2)</f>
      </c>
      <c r="U325" s="33">
        <f>ROUND(MIN(MAX(0,N('Your debts'!$E$15)),K325),2)</f>
      </c>
      <c r="V325" s="33">
        <f>ROUND(B325-L325,2)</f>
      </c>
      <c r="W325" s="33">
        <f>ROUND(C325-M325,2)</f>
      </c>
      <c r="X325" s="33">
        <f>ROUND(D325-N325,2)</f>
      </c>
      <c r="Y325" s="33">
        <f>ROUND(E325-O325,2)</f>
      </c>
      <c r="Z325" s="33">
        <f>ROUND(F325-P325,2)</f>
      </c>
      <c r="AA325" s="33">
        <f>ROUND(G325-Q325,2)</f>
      </c>
      <c r="AB325" s="33">
        <f>ROUND(H325-R325,2)</f>
      </c>
      <c r="AC325" s="33">
        <f>ROUND(I325-S325,2)</f>
      </c>
      <c r="AD325" s="33">
        <f>ROUND(J325-T325,2)</f>
      </c>
      <c r="AE325" s="33">
        <f>ROUND(K325-U325,2)</f>
      </c>
      <c r="AF325" s="33">
        <f>IF(V325&lt;=0,0,MAX(0,MIN(V325,ROUND($AZ325-SUMPRODUCT($V325:$AE325*($V325:$AE325&gt;0)*(($V325:$AE325&lt;V325)+($V325:$AE325=V325)*($V$3:$AE$3&gt;V$3)+($V325:$AE325=V325)*($V$3:$AE$3=V$3)*($V$2:$AE$2&lt;V$2))),2))))</f>
      </c>
      <c r="AG325" s="33">
        <f>IF(W325&lt;=0,0,MAX(0,MIN(W325,ROUND($AZ325-SUMPRODUCT($V325:$AE325*($V325:$AE325&gt;0)*(($V325:$AE325&lt;W325)+($V325:$AE325=W325)*($V$3:$AE$3&gt;W$3)+($V325:$AE325=W325)*($V$3:$AE$3=W$3)*($V$2:$AE$2&lt;W$2))),2))))</f>
      </c>
      <c r="AH325" s="33">
        <f>IF(X325&lt;=0,0,MAX(0,MIN(X325,ROUND($AZ325-SUMPRODUCT($V325:$AE325*($V325:$AE325&gt;0)*(($V325:$AE325&lt;X325)+($V325:$AE325=X325)*($V$3:$AE$3&gt;X$3)+($V325:$AE325=X325)*($V$3:$AE$3=X$3)*($V$2:$AE$2&lt;X$2))),2))))</f>
      </c>
      <c r="AI325" s="33">
        <f>IF(Y325&lt;=0,0,MAX(0,MIN(Y325,ROUND($AZ325-SUMPRODUCT($V325:$AE325*($V325:$AE325&gt;0)*(($V325:$AE325&lt;Y325)+($V325:$AE325=Y325)*($V$3:$AE$3&gt;Y$3)+($V325:$AE325=Y325)*($V$3:$AE$3=Y$3)*($V$2:$AE$2&lt;Y$2))),2))))</f>
      </c>
      <c r="AJ325" s="33">
        <f>IF(Z325&lt;=0,0,MAX(0,MIN(Z325,ROUND($AZ325-SUMPRODUCT($V325:$AE325*($V325:$AE325&gt;0)*(($V325:$AE325&lt;Z325)+($V325:$AE325=Z325)*($V$3:$AE$3&gt;Z$3)+($V325:$AE325=Z325)*($V$3:$AE$3=Z$3)*($V$2:$AE$2&lt;Z$2))),2))))</f>
      </c>
      <c r="AK325" s="33">
        <f>IF(AA325&lt;=0,0,MAX(0,MIN(AA325,ROUND($AZ325-SUMPRODUCT($V325:$AE325*($V325:$AE325&gt;0)*(($V325:$AE325&lt;AA325)+($V325:$AE325=AA325)*($V$3:$AE$3&gt;AA$3)+($V325:$AE325=AA325)*($V$3:$AE$3=AA$3)*($V$2:$AE$2&lt;AA$2))),2))))</f>
      </c>
      <c r="AL325" s="33">
        <f>IF(AB325&lt;=0,0,MAX(0,MIN(AB325,ROUND($AZ325-SUMPRODUCT($V325:$AE325*($V325:$AE325&gt;0)*(($V325:$AE325&lt;AB325)+($V325:$AE325=AB325)*($V$3:$AE$3&gt;AB$3)+($V325:$AE325=AB325)*($V$3:$AE$3=AB$3)*($V$2:$AE$2&lt;AB$2))),2))))</f>
      </c>
      <c r="AM325" s="33">
        <f>IF(AC325&lt;=0,0,MAX(0,MIN(AC325,ROUND($AZ325-SUMPRODUCT($V325:$AE325*($V325:$AE325&gt;0)*(($V325:$AE325&lt;AC325)+($V325:$AE325=AC325)*($V$3:$AE$3&gt;AC$3)+($V325:$AE325=AC325)*($V$3:$AE$3=AC$3)*($V$2:$AE$2&lt;AC$2))),2))))</f>
      </c>
      <c r="AN325" s="33">
        <f>IF(AD325&lt;=0,0,MAX(0,MIN(AD325,ROUND($AZ325-SUMPRODUCT($V325:$AE325*($V325:$AE325&gt;0)*(($V325:$AE325&lt;AD325)+($V325:$AE325=AD325)*($V$3:$AE$3&gt;AD$3)+($V325:$AE325=AD325)*($V$3:$AE$3=AD$3)*($V$2:$AE$2&lt;AD$2))),2))))</f>
      </c>
      <c r="AO325" s="33">
        <f>IF(AE325&lt;=0,0,MAX(0,MIN(AE325,ROUND($AZ325-SUMPRODUCT($V325:$AE325*($V325:$AE325&gt;0)*(($V325:$AE325&lt;AE325)+($V325:$AE325=AE325)*($V$3:$AE$3&gt;AE$3)+($V325:$AE325=AE325)*($V$3:$AE$3=AE$3)*($V$2:$AE$2&lt;AE$2))),2))))</f>
      </c>
      <c r="AP325" s="33">
        <f>ROUND(V325-AF325,2)</f>
      </c>
      <c r="AQ325" s="33">
        <f>ROUND(W325-AG325,2)</f>
      </c>
      <c r="AR325" s="33">
        <f>ROUND(X325-AH325,2)</f>
      </c>
      <c r="AS325" s="33">
        <f>ROUND(Y325-AI325,2)</f>
      </c>
      <c r="AT325" s="33">
        <f>ROUND(Z325-AJ325,2)</f>
      </c>
      <c r="AU325" s="33">
        <f>ROUND(AA325-AK325,2)</f>
      </c>
      <c r="AV325" s="33">
        <f>ROUND(AB325-AL325,2)</f>
      </c>
      <c r="AW325" s="33">
        <f>ROUND(AC325-AM325,2)</f>
      </c>
      <c r="AX325" s="33">
        <f>ROUND(AD325-AN325,2)</f>
      </c>
      <c r="AY325" s="33">
        <f>ROUND(AE325-AO325,2)</f>
      </c>
      <c r="AZ325" s="33">
        <f>ROUND(MAX(0,'Your debts'!$D$22-SUM($L325:$U325)),2)</f>
      </c>
      <c r="BA325" s="33">
        <f>ROUND(SUM($B325:$K325)-SUM($AP324:$AY324),2)</f>
      </c>
      <c r="BB325" s="33">
        <f>SUM($AP325:$AY325)</f>
      </c>
      <c r="BC325" s="33">
        <f>ROUND(SUM($L325:$U325)+SUM($AF325:$AO325),2)</f>
      </c>
    </row>
    <row r="326" spans="1:55" x14ac:dyDescent="0.25">
      <c r="A326">
        <v>319</v>
      </c>
      <c r="B326" s="33">
        <f>IF(AP325&lt;=0,0,ROUND(AP325+ROUND(AP325*V$3/12,2),2))</f>
      </c>
      <c r="C326" s="33">
        <f>IF(AQ325&lt;=0,0,ROUND(AQ325+ROUND(AQ325*W$3/12,2),2))</f>
      </c>
      <c r="D326" s="33">
        <f>IF(AR325&lt;=0,0,ROUND(AR325+ROUND(AR325*X$3/12,2),2))</f>
      </c>
      <c r="E326" s="33">
        <f>IF(AS325&lt;=0,0,ROUND(AS325+ROUND(AS325*Y$3/12,2),2))</f>
      </c>
      <c r="F326" s="33">
        <f>IF(AT325&lt;=0,0,ROUND(AT325+ROUND(AT325*Z$3/12,2),2))</f>
      </c>
      <c r="G326" s="33">
        <f>IF(AU325&lt;=0,0,ROUND(AU325+ROUND(AU325*AA$3/12,2),2))</f>
      </c>
      <c r="H326" s="33">
        <f>IF(AV325&lt;=0,0,ROUND(AV325+ROUND(AV325*AB$3/12,2),2))</f>
      </c>
      <c r="I326" s="33">
        <f>IF(AW325&lt;=0,0,ROUND(AW325+ROUND(AW325*AC$3/12,2),2))</f>
      </c>
      <c r="J326" s="33">
        <f>IF(AX325&lt;=0,0,ROUND(AX325+ROUND(AX325*AD$3/12,2),2))</f>
      </c>
      <c r="K326" s="33">
        <f>IF(AY325&lt;=0,0,ROUND(AY325+ROUND(AY325*AE$3/12,2),2))</f>
      </c>
      <c r="L326" s="33">
        <f>ROUND(MIN(MAX(0,N('Your debts'!$E$6)),B326),2)</f>
      </c>
      <c r="M326" s="33">
        <f>ROUND(MIN(MAX(0,N('Your debts'!$E$7)),C326),2)</f>
      </c>
      <c r="N326" s="33">
        <f>ROUND(MIN(MAX(0,N('Your debts'!$E$8)),D326),2)</f>
      </c>
      <c r="O326" s="33">
        <f>ROUND(MIN(MAX(0,N('Your debts'!$E$9)),E326),2)</f>
      </c>
      <c r="P326" s="33">
        <f>ROUND(MIN(MAX(0,N('Your debts'!$E$10)),F326),2)</f>
      </c>
      <c r="Q326" s="33">
        <f>ROUND(MIN(MAX(0,N('Your debts'!$E$11)),G326),2)</f>
      </c>
      <c r="R326" s="33">
        <f>ROUND(MIN(MAX(0,N('Your debts'!$E$12)),H326),2)</f>
      </c>
      <c r="S326" s="33">
        <f>ROUND(MIN(MAX(0,N('Your debts'!$E$13)),I326),2)</f>
      </c>
      <c r="T326" s="33">
        <f>ROUND(MIN(MAX(0,N('Your debts'!$E$14)),J326),2)</f>
      </c>
      <c r="U326" s="33">
        <f>ROUND(MIN(MAX(0,N('Your debts'!$E$15)),K326),2)</f>
      </c>
      <c r="V326" s="33">
        <f>ROUND(B326-L326,2)</f>
      </c>
      <c r="W326" s="33">
        <f>ROUND(C326-M326,2)</f>
      </c>
      <c r="X326" s="33">
        <f>ROUND(D326-N326,2)</f>
      </c>
      <c r="Y326" s="33">
        <f>ROUND(E326-O326,2)</f>
      </c>
      <c r="Z326" s="33">
        <f>ROUND(F326-P326,2)</f>
      </c>
      <c r="AA326" s="33">
        <f>ROUND(G326-Q326,2)</f>
      </c>
      <c r="AB326" s="33">
        <f>ROUND(H326-R326,2)</f>
      </c>
      <c r="AC326" s="33">
        <f>ROUND(I326-S326,2)</f>
      </c>
      <c r="AD326" s="33">
        <f>ROUND(J326-T326,2)</f>
      </c>
      <c r="AE326" s="33">
        <f>ROUND(K326-U326,2)</f>
      </c>
      <c r="AF326" s="33">
        <f>IF(V326&lt;=0,0,MAX(0,MIN(V326,ROUND($AZ326-SUMPRODUCT($V326:$AE326*($V326:$AE326&gt;0)*(($V326:$AE326&lt;V326)+($V326:$AE326=V326)*($V$3:$AE$3&gt;V$3)+($V326:$AE326=V326)*($V$3:$AE$3=V$3)*($V$2:$AE$2&lt;V$2))),2))))</f>
      </c>
      <c r="AG326" s="33">
        <f>IF(W326&lt;=0,0,MAX(0,MIN(W326,ROUND($AZ326-SUMPRODUCT($V326:$AE326*($V326:$AE326&gt;0)*(($V326:$AE326&lt;W326)+($V326:$AE326=W326)*($V$3:$AE$3&gt;W$3)+($V326:$AE326=W326)*($V$3:$AE$3=W$3)*($V$2:$AE$2&lt;W$2))),2))))</f>
      </c>
      <c r="AH326" s="33">
        <f>IF(X326&lt;=0,0,MAX(0,MIN(X326,ROUND($AZ326-SUMPRODUCT($V326:$AE326*($V326:$AE326&gt;0)*(($V326:$AE326&lt;X326)+($V326:$AE326=X326)*($V$3:$AE$3&gt;X$3)+($V326:$AE326=X326)*($V$3:$AE$3=X$3)*($V$2:$AE$2&lt;X$2))),2))))</f>
      </c>
      <c r="AI326" s="33">
        <f>IF(Y326&lt;=0,0,MAX(0,MIN(Y326,ROUND($AZ326-SUMPRODUCT($V326:$AE326*($V326:$AE326&gt;0)*(($V326:$AE326&lt;Y326)+($V326:$AE326=Y326)*($V$3:$AE$3&gt;Y$3)+($V326:$AE326=Y326)*($V$3:$AE$3=Y$3)*($V$2:$AE$2&lt;Y$2))),2))))</f>
      </c>
      <c r="AJ326" s="33">
        <f>IF(Z326&lt;=0,0,MAX(0,MIN(Z326,ROUND($AZ326-SUMPRODUCT($V326:$AE326*($V326:$AE326&gt;0)*(($V326:$AE326&lt;Z326)+($V326:$AE326=Z326)*($V$3:$AE$3&gt;Z$3)+($V326:$AE326=Z326)*($V$3:$AE$3=Z$3)*($V$2:$AE$2&lt;Z$2))),2))))</f>
      </c>
      <c r="AK326" s="33">
        <f>IF(AA326&lt;=0,0,MAX(0,MIN(AA326,ROUND($AZ326-SUMPRODUCT($V326:$AE326*($V326:$AE326&gt;0)*(($V326:$AE326&lt;AA326)+($V326:$AE326=AA326)*($V$3:$AE$3&gt;AA$3)+($V326:$AE326=AA326)*($V$3:$AE$3=AA$3)*($V$2:$AE$2&lt;AA$2))),2))))</f>
      </c>
      <c r="AL326" s="33">
        <f>IF(AB326&lt;=0,0,MAX(0,MIN(AB326,ROUND($AZ326-SUMPRODUCT($V326:$AE326*($V326:$AE326&gt;0)*(($V326:$AE326&lt;AB326)+($V326:$AE326=AB326)*($V$3:$AE$3&gt;AB$3)+($V326:$AE326=AB326)*($V$3:$AE$3=AB$3)*($V$2:$AE$2&lt;AB$2))),2))))</f>
      </c>
      <c r="AM326" s="33">
        <f>IF(AC326&lt;=0,0,MAX(0,MIN(AC326,ROUND($AZ326-SUMPRODUCT($V326:$AE326*($V326:$AE326&gt;0)*(($V326:$AE326&lt;AC326)+($V326:$AE326=AC326)*($V$3:$AE$3&gt;AC$3)+($V326:$AE326=AC326)*($V$3:$AE$3=AC$3)*($V$2:$AE$2&lt;AC$2))),2))))</f>
      </c>
      <c r="AN326" s="33">
        <f>IF(AD326&lt;=0,0,MAX(0,MIN(AD326,ROUND($AZ326-SUMPRODUCT($V326:$AE326*($V326:$AE326&gt;0)*(($V326:$AE326&lt;AD326)+($V326:$AE326=AD326)*($V$3:$AE$3&gt;AD$3)+($V326:$AE326=AD326)*($V$3:$AE$3=AD$3)*($V$2:$AE$2&lt;AD$2))),2))))</f>
      </c>
      <c r="AO326" s="33">
        <f>IF(AE326&lt;=0,0,MAX(0,MIN(AE326,ROUND($AZ326-SUMPRODUCT($V326:$AE326*($V326:$AE326&gt;0)*(($V326:$AE326&lt;AE326)+($V326:$AE326=AE326)*($V$3:$AE$3&gt;AE$3)+($V326:$AE326=AE326)*($V$3:$AE$3=AE$3)*($V$2:$AE$2&lt;AE$2))),2))))</f>
      </c>
      <c r="AP326" s="33">
        <f>ROUND(V326-AF326,2)</f>
      </c>
      <c r="AQ326" s="33">
        <f>ROUND(W326-AG326,2)</f>
      </c>
      <c r="AR326" s="33">
        <f>ROUND(X326-AH326,2)</f>
      </c>
      <c r="AS326" s="33">
        <f>ROUND(Y326-AI326,2)</f>
      </c>
      <c r="AT326" s="33">
        <f>ROUND(Z326-AJ326,2)</f>
      </c>
      <c r="AU326" s="33">
        <f>ROUND(AA326-AK326,2)</f>
      </c>
      <c r="AV326" s="33">
        <f>ROUND(AB326-AL326,2)</f>
      </c>
      <c r="AW326" s="33">
        <f>ROUND(AC326-AM326,2)</f>
      </c>
      <c r="AX326" s="33">
        <f>ROUND(AD326-AN326,2)</f>
      </c>
      <c r="AY326" s="33">
        <f>ROUND(AE326-AO326,2)</f>
      </c>
      <c r="AZ326" s="33">
        <f>ROUND(MAX(0,'Your debts'!$D$22-SUM($L326:$U326)),2)</f>
      </c>
      <c r="BA326" s="33">
        <f>ROUND(SUM($B326:$K326)-SUM($AP325:$AY325),2)</f>
      </c>
      <c r="BB326" s="33">
        <f>SUM($AP326:$AY326)</f>
      </c>
      <c r="BC326" s="33">
        <f>ROUND(SUM($L326:$U326)+SUM($AF326:$AO326),2)</f>
      </c>
    </row>
    <row r="327" spans="1:55" x14ac:dyDescent="0.25">
      <c r="A327">
        <v>320</v>
      </c>
      <c r="B327" s="33">
        <f>IF(AP326&lt;=0,0,ROUND(AP326+ROUND(AP326*V$3/12,2),2))</f>
      </c>
      <c r="C327" s="33">
        <f>IF(AQ326&lt;=0,0,ROUND(AQ326+ROUND(AQ326*W$3/12,2),2))</f>
      </c>
      <c r="D327" s="33">
        <f>IF(AR326&lt;=0,0,ROUND(AR326+ROUND(AR326*X$3/12,2),2))</f>
      </c>
      <c r="E327" s="33">
        <f>IF(AS326&lt;=0,0,ROUND(AS326+ROUND(AS326*Y$3/12,2),2))</f>
      </c>
      <c r="F327" s="33">
        <f>IF(AT326&lt;=0,0,ROUND(AT326+ROUND(AT326*Z$3/12,2),2))</f>
      </c>
      <c r="G327" s="33">
        <f>IF(AU326&lt;=0,0,ROUND(AU326+ROUND(AU326*AA$3/12,2),2))</f>
      </c>
      <c r="H327" s="33">
        <f>IF(AV326&lt;=0,0,ROUND(AV326+ROUND(AV326*AB$3/12,2),2))</f>
      </c>
      <c r="I327" s="33">
        <f>IF(AW326&lt;=0,0,ROUND(AW326+ROUND(AW326*AC$3/12,2),2))</f>
      </c>
      <c r="J327" s="33">
        <f>IF(AX326&lt;=0,0,ROUND(AX326+ROUND(AX326*AD$3/12,2),2))</f>
      </c>
      <c r="K327" s="33">
        <f>IF(AY326&lt;=0,0,ROUND(AY326+ROUND(AY326*AE$3/12,2),2))</f>
      </c>
      <c r="L327" s="33">
        <f>ROUND(MIN(MAX(0,N('Your debts'!$E$6)),B327),2)</f>
      </c>
      <c r="M327" s="33">
        <f>ROUND(MIN(MAX(0,N('Your debts'!$E$7)),C327),2)</f>
      </c>
      <c r="N327" s="33">
        <f>ROUND(MIN(MAX(0,N('Your debts'!$E$8)),D327),2)</f>
      </c>
      <c r="O327" s="33">
        <f>ROUND(MIN(MAX(0,N('Your debts'!$E$9)),E327),2)</f>
      </c>
      <c r="P327" s="33">
        <f>ROUND(MIN(MAX(0,N('Your debts'!$E$10)),F327),2)</f>
      </c>
      <c r="Q327" s="33">
        <f>ROUND(MIN(MAX(0,N('Your debts'!$E$11)),G327),2)</f>
      </c>
      <c r="R327" s="33">
        <f>ROUND(MIN(MAX(0,N('Your debts'!$E$12)),H327),2)</f>
      </c>
      <c r="S327" s="33">
        <f>ROUND(MIN(MAX(0,N('Your debts'!$E$13)),I327),2)</f>
      </c>
      <c r="T327" s="33">
        <f>ROUND(MIN(MAX(0,N('Your debts'!$E$14)),J327),2)</f>
      </c>
      <c r="U327" s="33">
        <f>ROUND(MIN(MAX(0,N('Your debts'!$E$15)),K327),2)</f>
      </c>
      <c r="V327" s="33">
        <f>ROUND(B327-L327,2)</f>
      </c>
      <c r="W327" s="33">
        <f>ROUND(C327-M327,2)</f>
      </c>
      <c r="X327" s="33">
        <f>ROUND(D327-N327,2)</f>
      </c>
      <c r="Y327" s="33">
        <f>ROUND(E327-O327,2)</f>
      </c>
      <c r="Z327" s="33">
        <f>ROUND(F327-P327,2)</f>
      </c>
      <c r="AA327" s="33">
        <f>ROUND(G327-Q327,2)</f>
      </c>
      <c r="AB327" s="33">
        <f>ROUND(H327-R327,2)</f>
      </c>
      <c r="AC327" s="33">
        <f>ROUND(I327-S327,2)</f>
      </c>
      <c r="AD327" s="33">
        <f>ROUND(J327-T327,2)</f>
      </c>
      <c r="AE327" s="33">
        <f>ROUND(K327-U327,2)</f>
      </c>
      <c r="AF327" s="33">
        <f>IF(V327&lt;=0,0,MAX(0,MIN(V327,ROUND($AZ327-SUMPRODUCT($V327:$AE327*($V327:$AE327&gt;0)*(($V327:$AE327&lt;V327)+($V327:$AE327=V327)*($V$3:$AE$3&gt;V$3)+($V327:$AE327=V327)*($V$3:$AE$3=V$3)*($V$2:$AE$2&lt;V$2))),2))))</f>
      </c>
      <c r="AG327" s="33">
        <f>IF(W327&lt;=0,0,MAX(0,MIN(W327,ROUND($AZ327-SUMPRODUCT($V327:$AE327*($V327:$AE327&gt;0)*(($V327:$AE327&lt;W327)+($V327:$AE327=W327)*($V$3:$AE$3&gt;W$3)+($V327:$AE327=W327)*($V$3:$AE$3=W$3)*($V$2:$AE$2&lt;W$2))),2))))</f>
      </c>
      <c r="AH327" s="33">
        <f>IF(X327&lt;=0,0,MAX(0,MIN(X327,ROUND($AZ327-SUMPRODUCT($V327:$AE327*($V327:$AE327&gt;0)*(($V327:$AE327&lt;X327)+($V327:$AE327=X327)*($V$3:$AE$3&gt;X$3)+($V327:$AE327=X327)*($V$3:$AE$3=X$3)*($V$2:$AE$2&lt;X$2))),2))))</f>
      </c>
      <c r="AI327" s="33">
        <f>IF(Y327&lt;=0,0,MAX(0,MIN(Y327,ROUND($AZ327-SUMPRODUCT($V327:$AE327*($V327:$AE327&gt;0)*(($V327:$AE327&lt;Y327)+($V327:$AE327=Y327)*($V$3:$AE$3&gt;Y$3)+($V327:$AE327=Y327)*($V$3:$AE$3=Y$3)*($V$2:$AE$2&lt;Y$2))),2))))</f>
      </c>
      <c r="AJ327" s="33">
        <f>IF(Z327&lt;=0,0,MAX(0,MIN(Z327,ROUND($AZ327-SUMPRODUCT($V327:$AE327*($V327:$AE327&gt;0)*(($V327:$AE327&lt;Z327)+($V327:$AE327=Z327)*($V$3:$AE$3&gt;Z$3)+($V327:$AE327=Z327)*($V$3:$AE$3=Z$3)*($V$2:$AE$2&lt;Z$2))),2))))</f>
      </c>
      <c r="AK327" s="33">
        <f>IF(AA327&lt;=0,0,MAX(0,MIN(AA327,ROUND($AZ327-SUMPRODUCT($V327:$AE327*($V327:$AE327&gt;0)*(($V327:$AE327&lt;AA327)+($V327:$AE327=AA327)*($V$3:$AE$3&gt;AA$3)+($V327:$AE327=AA327)*($V$3:$AE$3=AA$3)*($V$2:$AE$2&lt;AA$2))),2))))</f>
      </c>
      <c r="AL327" s="33">
        <f>IF(AB327&lt;=0,0,MAX(0,MIN(AB327,ROUND($AZ327-SUMPRODUCT($V327:$AE327*($V327:$AE327&gt;0)*(($V327:$AE327&lt;AB327)+($V327:$AE327=AB327)*($V$3:$AE$3&gt;AB$3)+($V327:$AE327=AB327)*($V$3:$AE$3=AB$3)*($V$2:$AE$2&lt;AB$2))),2))))</f>
      </c>
      <c r="AM327" s="33">
        <f>IF(AC327&lt;=0,0,MAX(0,MIN(AC327,ROUND($AZ327-SUMPRODUCT($V327:$AE327*($V327:$AE327&gt;0)*(($V327:$AE327&lt;AC327)+($V327:$AE327=AC327)*($V$3:$AE$3&gt;AC$3)+($V327:$AE327=AC327)*($V$3:$AE$3=AC$3)*($V$2:$AE$2&lt;AC$2))),2))))</f>
      </c>
      <c r="AN327" s="33">
        <f>IF(AD327&lt;=0,0,MAX(0,MIN(AD327,ROUND($AZ327-SUMPRODUCT($V327:$AE327*($V327:$AE327&gt;0)*(($V327:$AE327&lt;AD327)+($V327:$AE327=AD327)*($V$3:$AE$3&gt;AD$3)+($V327:$AE327=AD327)*($V$3:$AE$3=AD$3)*($V$2:$AE$2&lt;AD$2))),2))))</f>
      </c>
      <c r="AO327" s="33">
        <f>IF(AE327&lt;=0,0,MAX(0,MIN(AE327,ROUND($AZ327-SUMPRODUCT($V327:$AE327*($V327:$AE327&gt;0)*(($V327:$AE327&lt;AE327)+($V327:$AE327=AE327)*($V$3:$AE$3&gt;AE$3)+($V327:$AE327=AE327)*($V$3:$AE$3=AE$3)*($V$2:$AE$2&lt;AE$2))),2))))</f>
      </c>
      <c r="AP327" s="33">
        <f>ROUND(V327-AF327,2)</f>
      </c>
      <c r="AQ327" s="33">
        <f>ROUND(W327-AG327,2)</f>
      </c>
      <c r="AR327" s="33">
        <f>ROUND(X327-AH327,2)</f>
      </c>
      <c r="AS327" s="33">
        <f>ROUND(Y327-AI327,2)</f>
      </c>
      <c r="AT327" s="33">
        <f>ROUND(Z327-AJ327,2)</f>
      </c>
      <c r="AU327" s="33">
        <f>ROUND(AA327-AK327,2)</f>
      </c>
      <c r="AV327" s="33">
        <f>ROUND(AB327-AL327,2)</f>
      </c>
      <c r="AW327" s="33">
        <f>ROUND(AC327-AM327,2)</f>
      </c>
      <c r="AX327" s="33">
        <f>ROUND(AD327-AN327,2)</f>
      </c>
      <c r="AY327" s="33">
        <f>ROUND(AE327-AO327,2)</f>
      </c>
      <c r="AZ327" s="33">
        <f>ROUND(MAX(0,'Your debts'!$D$22-SUM($L327:$U327)),2)</f>
      </c>
      <c r="BA327" s="33">
        <f>ROUND(SUM($B327:$K327)-SUM($AP326:$AY326),2)</f>
      </c>
      <c r="BB327" s="33">
        <f>SUM($AP327:$AY327)</f>
      </c>
      <c r="BC327" s="33">
        <f>ROUND(SUM($L327:$U327)+SUM($AF327:$AO327),2)</f>
      </c>
    </row>
    <row r="328" spans="1:55" x14ac:dyDescent="0.25">
      <c r="A328">
        <v>321</v>
      </c>
      <c r="B328" s="33">
        <f>IF(AP327&lt;=0,0,ROUND(AP327+ROUND(AP327*V$3/12,2),2))</f>
      </c>
      <c r="C328" s="33">
        <f>IF(AQ327&lt;=0,0,ROUND(AQ327+ROUND(AQ327*W$3/12,2),2))</f>
      </c>
      <c r="D328" s="33">
        <f>IF(AR327&lt;=0,0,ROUND(AR327+ROUND(AR327*X$3/12,2),2))</f>
      </c>
      <c r="E328" s="33">
        <f>IF(AS327&lt;=0,0,ROUND(AS327+ROUND(AS327*Y$3/12,2),2))</f>
      </c>
      <c r="F328" s="33">
        <f>IF(AT327&lt;=0,0,ROUND(AT327+ROUND(AT327*Z$3/12,2),2))</f>
      </c>
      <c r="G328" s="33">
        <f>IF(AU327&lt;=0,0,ROUND(AU327+ROUND(AU327*AA$3/12,2),2))</f>
      </c>
      <c r="H328" s="33">
        <f>IF(AV327&lt;=0,0,ROUND(AV327+ROUND(AV327*AB$3/12,2),2))</f>
      </c>
      <c r="I328" s="33">
        <f>IF(AW327&lt;=0,0,ROUND(AW327+ROUND(AW327*AC$3/12,2),2))</f>
      </c>
      <c r="J328" s="33">
        <f>IF(AX327&lt;=0,0,ROUND(AX327+ROUND(AX327*AD$3/12,2),2))</f>
      </c>
      <c r="K328" s="33">
        <f>IF(AY327&lt;=0,0,ROUND(AY327+ROUND(AY327*AE$3/12,2),2))</f>
      </c>
      <c r="L328" s="33">
        <f>ROUND(MIN(MAX(0,N('Your debts'!$E$6)),B328),2)</f>
      </c>
      <c r="M328" s="33">
        <f>ROUND(MIN(MAX(0,N('Your debts'!$E$7)),C328),2)</f>
      </c>
      <c r="N328" s="33">
        <f>ROUND(MIN(MAX(0,N('Your debts'!$E$8)),D328),2)</f>
      </c>
      <c r="O328" s="33">
        <f>ROUND(MIN(MAX(0,N('Your debts'!$E$9)),E328),2)</f>
      </c>
      <c r="P328" s="33">
        <f>ROUND(MIN(MAX(0,N('Your debts'!$E$10)),F328),2)</f>
      </c>
      <c r="Q328" s="33">
        <f>ROUND(MIN(MAX(0,N('Your debts'!$E$11)),G328),2)</f>
      </c>
      <c r="R328" s="33">
        <f>ROUND(MIN(MAX(0,N('Your debts'!$E$12)),H328),2)</f>
      </c>
      <c r="S328" s="33">
        <f>ROUND(MIN(MAX(0,N('Your debts'!$E$13)),I328),2)</f>
      </c>
      <c r="T328" s="33">
        <f>ROUND(MIN(MAX(0,N('Your debts'!$E$14)),J328),2)</f>
      </c>
      <c r="U328" s="33">
        <f>ROUND(MIN(MAX(0,N('Your debts'!$E$15)),K328),2)</f>
      </c>
      <c r="V328" s="33">
        <f>ROUND(B328-L328,2)</f>
      </c>
      <c r="W328" s="33">
        <f>ROUND(C328-M328,2)</f>
      </c>
      <c r="X328" s="33">
        <f>ROUND(D328-N328,2)</f>
      </c>
      <c r="Y328" s="33">
        <f>ROUND(E328-O328,2)</f>
      </c>
      <c r="Z328" s="33">
        <f>ROUND(F328-P328,2)</f>
      </c>
      <c r="AA328" s="33">
        <f>ROUND(G328-Q328,2)</f>
      </c>
      <c r="AB328" s="33">
        <f>ROUND(H328-R328,2)</f>
      </c>
      <c r="AC328" s="33">
        <f>ROUND(I328-S328,2)</f>
      </c>
      <c r="AD328" s="33">
        <f>ROUND(J328-T328,2)</f>
      </c>
      <c r="AE328" s="33">
        <f>ROUND(K328-U328,2)</f>
      </c>
      <c r="AF328" s="33">
        <f>IF(V328&lt;=0,0,MAX(0,MIN(V328,ROUND($AZ328-SUMPRODUCT($V328:$AE328*($V328:$AE328&gt;0)*(($V328:$AE328&lt;V328)+($V328:$AE328=V328)*($V$3:$AE$3&gt;V$3)+($V328:$AE328=V328)*($V$3:$AE$3=V$3)*($V$2:$AE$2&lt;V$2))),2))))</f>
      </c>
      <c r="AG328" s="33">
        <f>IF(W328&lt;=0,0,MAX(0,MIN(W328,ROUND($AZ328-SUMPRODUCT($V328:$AE328*($V328:$AE328&gt;0)*(($V328:$AE328&lt;W328)+($V328:$AE328=W328)*($V$3:$AE$3&gt;W$3)+($V328:$AE328=W328)*($V$3:$AE$3=W$3)*($V$2:$AE$2&lt;W$2))),2))))</f>
      </c>
      <c r="AH328" s="33">
        <f>IF(X328&lt;=0,0,MAX(0,MIN(X328,ROUND($AZ328-SUMPRODUCT($V328:$AE328*($V328:$AE328&gt;0)*(($V328:$AE328&lt;X328)+($V328:$AE328=X328)*($V$3:$AE$3&gt;X$3)+($V328:$AE328=X328)*($V$3:$AE$3=X$3)*($V$2:$AE$2&lt;X$2))),2))))</f>
      </c>
      <c r="AI328" s="33">
        <f>IF(Y328&lt;=0,0,MAX(0,MIN(Y328,ROUND($AZ328-SUMPRODUCT($V328:$AE328*($V328:$AE328&gt;0)*(($V328:$AE328&lt;Y328)+($V328:$AE328=Y328)*($V$3:$AE$3&gt;Y$3)+($V328:$AE328=Y328)*($V$3:$AE$3=Y$3)*($V$2:$AE$2&lt;Y$2))),2))))</f>
      </c>
      <c r="AJ328" s="33">
        <f>IF(Z328&lt;=0,0,MAX(0,MIN(Z328,ROUND($AZ328-SUMPRODUCT($V328:$AE328*($V328:$AE328&gt;0)*(($V328:$AE328&lt;Z328)+($V328:$AE328=Z328)*($V$3:$AE$3&gt;Z$3)+($V328:$AE328=Z328)*($V$3:$AE$3=Z$3)*($V$2:$AE$2&lt;Z$2))),2))))</f>
      </c>
      <c r="AK328" s="33">
        <f>IF(AA328&lt;=0,0,MAX(0,MIN(AA328,ROUND($AZ328-SUMPRODUCT($V328:$AE328*($V328:$AE328&gt;0)*(($V328:$AE328&lt;AA328)+($V328:$AE328=AA328)*($V$3:$AE$3&gt;AA$3)+($V328:$AE328=AA328)*($V$3:$AE$3=AA$3)*($V$2:$AE$2&lt;AA$2))),2))))</f>
      </c>
      <c r="AL328" s="33">
        <f>IF(AB328&lt;=0,0,MAX(0,MIN(AB328,ROUND($AZ328-SUMPRODUCT($V328:$AE328*($V328:$AE328&gt;0)*(($V328:$AE328&lt;AB328)+($V328:$AE328=AB328)*($V$3:$AE$3&gt;AB$3)+($V328:$AE328=AB328)*($V$3:$AE$3=AB$3)*($V$2:$AE$2&lt;AB$2))),2))))</f>
      </c>
      <c r="AM328" s="33">
        <f>IF(AC328&lt;=0,0,MAX(0,MIN(AC328,ROUND($AZ328-SUMPRODUCT($V328:$AE328*($V328:$AE328&gt;0)*(($V328:$AE328&lt;AC328)+($V328:$AE328=AC328)*($V$3:$AE$3&gt;AC$3)+($V328:$AE328=AC328)*($V$3:$AE$3=AC$3)*($V$2:$AE$2&lt;AC$2))),2))))</f>
      </c>
      <c r="AN328" s="33">
        <f>IF(AD328&lt;=0,0,MAX(0,MIN(AD328,ROUND($AZ328-SUMPRODUCT($V328:$AE328*($V328:$AE328&gt;0)*(($V328:$AE328&lt;AD328)+($V328:$AE328=AD328)*($V$3:$AE$3&gt;AD$3)+($V328:$AE328=AD328)*($V$3:$AE$3=AD$3)*($V$2:$AE$2&lt;AD$2))),2))))</f>
      </c>
      <c r="AO328" s="33">
        <f>IF(AE328&lt;=0,0,MAX(0,MIN(AE328,ROUND($AZ328-SUMPRODUCT($V328:$AE328*($V328:$AE328&gt;0)*(($V328:$AE328&lt;AE328)+($V328:$AE328=AE328)*($V$3:$AE$3&gt;AE$3)+($V328:$AE328=AE328)*($V$3:$AE$3=AE$3)*($V$2:$AE$2&lt;AE$2))),2))))</f>
      </c>
      <c r="AP328" s="33">
        <f>ROUND(V328-AF328,2)</f>
      </c>
      <c r="AQ328" s="33">
        <f>ROUND(W328-AG328,2)</f>
      </c>
      <c r="AR328" s="33">
        <f>ROUND(X328-AH328,2)</f>
      </c>
      <c r="AS328" s="33">
        <f>ROUND(Y328-AI328,2)</f>
      </c>
      <c r="AT328" s="33">
        <f>ROUND(Z328-AJ328,2)</f>
      </c>
      <c r="AU328" s="33">
        <f>ROUND(AA328-AK328,2)</f>
      </c>
      <c r="AV328" s="33">
        <f>ROUND(AB328-AL328,2)</f>
      </c>
      <c r="AW328" s="33">
        <f>ROUND(AC328-AM328,2)</f>
      </c>
      <c r="AX328" s="33">
        <f>ROUND(AD328-AN328,2)</f>
      </c>
      <c r="AY328" s="33">
        <f>ROUND(AE328-AO328,2)</f>
      </c>
      <c r="AZ328" s="33">
        <f>ROUND(MAX(0,'Your debts'!$D$22-SUM($L328:$U328)),2)</f>
      </c>
      <c r="BA328" s="33">
        <f>ROUND(SUM($B328:$K328)-SUM($AP327:$AY327),2)</f>
      </c>
      <c r="BB328" s="33">
        <f>SUM($AP328:$AY328)</f>
      </c>
      <c r="BC328" s="33">
        <f>ROUND(SUM($L328:$U328)+SUM($AF328:$AO328),2)</f>
      </c>
    </row>
    <row r="329" spans="1:55" x14ac:dyDescent="0.25">
      <c r="A329">
        <v>322</v>
      </c>
      <c r="B329" s="33">
        <f>IF(AP328&lt;=0,0,ROUND(AP328+ROUND(AP328*V$3/12,2),2))</f>
      </c>
      <c r="C329" s="33">
        <f>IF(AQ328&lt;=0,0,ROUND(AQ328+ROUND(AQ328*W$3/12,2),2))</f>
      </c>
      <c r="D329" s="33">
        <f>IF(AR328&lt;=0,0,ROUND(AR328+ROUND(AR328*X$3/12,2),2))</f>
      </c>
      <c r="E329" s="33">
        <f>IF(AS328&lt;=0,0,ROUND(AS328+ROUND(AS328*Y$3/12,2),2))</f>
      </c>
      <c r="F329" s="33">
        <f>IF(AT328&lt;=0,0,ROUND(AT328+ROUND(AT328*Z$3/12,2),2))</f>
      </c>
      <c r="G329" s="33">
        <f>IF(AU328&lt;=0,0,ROUND(AU328+ROUND(AU328*AA$3/12,2),2))</f>
      </c>
      <c r="H329" s="33">
        <f>IF(AV328&lt;=0,0,ROUND(AV328+ROUND(AV328*AB$3/12,2),2))</f>
      </c>
      <c r="I329" s="33">
        <f>IF(AW328&lt;=0,0,ROUND(AW328+ROUND(AW328*AC$3/12,2),2))</f>
      </c>
      <c r="J329" s="33">
        <f>IF(AX328&lt;=0,0,ROUND(AX328+ROUND(AX328*AD$3/12,2),2))</f>
      </c>
      <c r="K329" s="33">
        <f>IF(AY328&lt;=0,0,ROUND(AY328+ROUND(AY328*AE$3/12,2),2))</f>
      </c>
      <c r="L329" s="33">
        <f>ROUND(MIN(MAX(0,N('Your debts'!$E$6)),B329),2)</f>
      </c>
      <c r="M329" s="33">
        <f>ROUND(MIN(MAX(0,N('Your debts'!$E$7)),C329),2)</f>
      </c>
      <c r="N329" s="33">
        <f>ROUND(MIN(MAX(0,N('Your debts'!$E$8)),D329),2)</f>
      </c>
      <c r="O329" s="33">
        <f>ROUND(MIN(MAX(0,N('Your debts'!$E$9)),E329),2)</f>
      </c>
      <c r="P329" s="33">
        <f>ROUND(MIN(MAX(0,N('Your debts'!$E$10)),F329),2)</f>
      </c>
      <c r="Q329" s="33">
        <f>ROUND(MIN(MAX(0,N('Your debts'!$E$11)),G329),2)</f>
      </c>
      <c r="R329" s="33">
        <f>ROUND(MIN(MAX(0,N('Your debts'!$E$12)),H329),2)</f>
      </c>
      <c r="S329" s="33">
        <f>ROUND(MIN(MAX(0,N('Your debts'!$E$13)),I329),2)</f>
      </c>
      <c r="T329" s="33">
        <f>ROUND(MIN(MAX(0,N('Your debts'!$E$14)),J329),2)</f>
      </c>
      <c r="U329" s="33">
        <f>ROUND(MIN(MAX(0,N('Your debts'!$E$15)),K329),2)</f>
      </c>
      <c r="V329" s="33">
        <f>ROUND(B329-L329,2)</f>
      </c>
      <c r="W329" s="33">
        <f>ROUND(C329-M329,2)</f>
      </c>
      <c r="X329" s="33">
        <f>ROUND(D329-N329,2)</f>
      </c>
      <c r="Y329" s="33">
        <f>ROUND(E329-O329,2)</f>
      </c>
      <c r="Z329" s="33">
        <f>ROUND(F329-P329,2)</f>
      </c>
      <c r="AA329" s="33">
        <f>ROUND(G329-Q329,2)</f>
      </c>
      <c r="AB329" s="33">
        <f>ROUND(H329-R329,2)</f>
      </c>
      <c r="AC329" s="33">
        <f>ROUND(I329-S329,2)</f>
      </c>
      <c r="AD329" s="33">
        <f>ROUND(J329-T329,2)</f>
      </c>
      <c r="AE329" s="33">
        <f>ROUND(K329-U329,2)</f>
      </c>
      <c r="AF329" s="33">
        <f>IF(V329&lt;=0,0,MAX(0,MIN(V329,ROUND($AZ329-SUMPRODUCT($V329:$AE329*($V329:$AE329&gt;0)*(($V329:$AE329&lt;V329)+($V329:$AE329=V329)*($V$3:$AE$3&gt;V$3)+($V329:$AE329=V329)*($V$3:$AE$3=V$3)*($V$2:$AE$2&lt;V$2))),2))))</f>
      </c>
      <c r="AG329" s="33">
        <f>IF(W329&lt;=0,0,MAX(0,MIN(W329,ROUND($AZ329-SUMPRODUCT($V329:$AE329*($V329:$AE329&gt;0)*(($V329:$AE329&lt;W329)+($V329:$AE329=W329)*($V$3:$AE$3&gt;W$3)+($V329:$AE329=W329)*($V$3:$AE$3=W$3)*($V$2:$AE$2&lt;W$2))),2))))</f>
      </c>
      <c r="AH329" s="33">
        <f>IF(X329&lt;=0,0,MAX(0,MIN(X329,ROUND($AZ329-SUMPRODUCT($V329:$AE329*($V329:$AE329&gt;0)*(($V329:$AE329&lt;X329)+($V329:$AE329=X329)*($V$3:$AE$3&gt;X$3)+($V329:$AE329=X329)*($V$3:$AE$3=X$3)*($V$2:$AE$2&lt;X$2))),2))))</f>
      </c>
      <c r="AI329" s="33">
        <f>IF(Y329&lt;=0,0,MAX(0,MIN(Y329,ROUND($AZ329-SUMPRODUCT($V329:$AE329*($V329:$AE329&gt;0)*(($V329:$AE329&lt;Y329)+($V329:$AE329=Y329)*($V$3:$AE$3&gt;Y$3)+($V329:$AE329=Y329)*($V$3:$AE$3=Y$3)*($V$2:$AE$2&lt;Y$2))),2))))</f>
      </c>
      <c r="AJ329" s="33">
        <f>IF(Z329&lt;=0,0,MAX(0,MIN(Z329,ROUND($AZ329-SUMPRODUCT($V329:$AE329*($V329:$AE329&gt;0)*(($V329:$AE329&lt;Z329)+($V329:$AE329=Z329)*($V$3:$AE$3&gt;Z$3)+($V329:$AE329=Z329)*($V$3:$AE$3=Z$3)*($V$2:$AE$2&lt;Z$2))),2))))</f>
      </c>
      <c r="AK329" s="33">
        <f>IF(AA329&lt;=0,0,MAX(0,MIN(AA329,ROUND($AZ329-SUMPRODUCT($V329:$AE329*($V329:$AE329&gt;0)*(($V329:$AE329&lt;AA329)+($V329:$AE329=AA329)*($V$3:$AE$3&gt;AA$3)+($V329:$AE329=AA329)*($V$3:$AE$3=AA$3)*($V$2:$AE$2&lt;AA$2))),2))))</f>
      </c>
      <c r="AL329" s="33">
        <f>IF(AB329&lt;=0,0,MAX(0,MIN(AB329,ROUND($AZ329-SUMPRODUCT($V329:$AE329*($V329:$AE329&gt;0)*(($V329:$AE329&lt;AB329)+($V329:$AE329=AB329)*($V$3:$AE$3&gt;AB$3)+($V329:$AE329=AB329)*($V$3:$AE$3=AB$3)*($V$2:$AE$2&lt;AB$2))),2))))</f>
      </c>
      <c r="AM329" s="33">
        <f>IF(AC329&lt;=0,0,MAX(0,MIN(AC329,ROUND($AZ329-SUMPRODUCT($V329:$AE329*($V329:$AE329&gt;0)*(($V329:$AE329&lt;AC329)+($V329:$AE329=AC329)*($V$3:$AE$3&gt;AC$3)+($V329:$AE329=AC329)*($V$3:$AE$3=AC$3)*($V$2:$AE$2&lt;AC$2))),2))))</f>
      </c>
      <c r="AN329" s="33">
        <f>IF(AD329&lt;=0,0,MAX(0,MIN(AD329,ROUND($AZ329-SUMPRODUCT($V329:$AE329*($V329:$AE329&gt;0)*(($V329:$AE329&lt;AD329)+($V329:$AE329=AD329)*($V$3:$AE$3&gt;AD$3)+($V329:$AE329=AD329)*($V$3:$AE$3=AD$3)*($V$2:$AE$2&lt;AD$2))),2))))</f>
      </c>
      <c r="AO329" s="33">
        <f>IF(AE329&lt;=0,0,MAX(0,MIN(AE329,ROUND($AZ329-SUMPRODUCT($V329:$AE329*($V329:$AE329&gt;0)*(($V329:$AE329&lt;AE329)+($V329:$AE329=AE329)*($V$3:$AE$3&gt;AE$3)+($V329:$AE329=AE329)*($V$3:$AE$3=AE$3)*($V$2:$AE$2&lt;AE$2))),2))))</f>
      </c>
      <c r="AP329" s="33">
        <f>ROUND(V329-AF329,2)</f>
      </c>
      <c r="AQ329" s="33">
        <f>ROUND(W329-AG329,2)</f>
      </c>
      <c r="AR329" s="33">
        <f>ROUND(X329-AH329,2)</f>
      </c>
      <c r="AS329" s="33">
        <f>ROUND(Y329-AI329,2)</f>
      </c>
      <c r="AT329" s="33">
        <f>ROUND(Z329-AJ329,2)</f>
      </c>
      <c r="AU329" s="33">
        <f>ROUND(AA329-AK329,2)</f>
      </c>
      <c r="AV329" s="33">
        <f>ROUND(AB329-AL329,2)</f>
      </c>
      <c r="AW329" s="33">
        <f>ROUND(AC329-AM329,2)</f>
      </c>
      <c r="AX329" s="33">
        <f>ROUND(AD329-AN329,2)</f>
      </c>
      <c r="AY329" s="33">
        <f>ROUND(AE329-AO329,2)</f>
      </c>
      <c r="AZ329" s="33">
        <f>ROUND(MAX(0,'Your debts'!$D$22-SUM($L329:$U329)),2)</f>
      </c>
      <c r="BA329" s="33">
        <f>ROUND(SUM($B329:$K329)-SUM($AP328:$AY328),2)</f>
      </c>
      <c r="BB329" s="33">
        <f>SUM($AP329:$AY329)</f>
      </c>
      <c r="BC329" s="33">
        <f>ROUND(SUM($L329:$U329)+SUM($AF329:$AO329),2)</f>
      </c>
    </row>
    <row r="330" spans="1:55" x14ac:dyDescent="0.25">
      <c r="A330">
        <v>323</v>
      </c>
      <c r="B330" s="33">
        <f>IF(AP329&lt;=0,0,ROUND(AP329+ROUND(AP329*V$3/12,2),2))</f>
      </c>
      <c r="C330" s="33">
        <f>IF(AQ329&lt;=0,0,ROUND(AQ329+ROUND(AQ329*W$3/12,2),2))</f>
      </c>
      <c r="D330" s="33">
        <f>IF(AR329&lt;=0,0,ROUND(AR329+ROUND(AR329*X$3/12,2),2))</f>
      </c>
      <c r="E330" s="33">
        <f>IF(AS329&lt;=0,0,ROUND(AS329+ROUND(AS329*Y$3/12,2),2))</f>
      </c>
      <c r="F330" s="33">
        <f>IF(AT329&lt;=0,0,ROUND(AT329+ROUND(AT329*Z$3/12,2),2))</f>
      </c>
      <c r="G330" s="33">
        <f>IF(AU329&lt;=0,0,ROUND(AU329+ROUND(AU329*AA$3/12,2),2))</f>
      </c>
      <c r="H330" s="33">
        <f>IF(AV329&lt;=0,0,ROUND(AV329+ROUND(AV329*AB$3/12,2),2))</f>
      </c>
      <c r="I330" s="33">
        <f>IF(AW329&lt;=0,0,ROUND(AW329+ROUND(AW329*AC$3/12,2),2))</f>
      </c>
      <c r="J330" s="33">
        <f>IF(AX329&lt;=0,0,ROUND(AX329+ROUND(AX329*AD$3/12,2),2))</f>
      </c>
      <c r="K330" s="33">
        <f>IF(AY329&lt;=0,0,ROUND(AY329+ROUND(AY329*AE$3/12,2),2))</f>
      </c>
      <c r="L330" s="33">
        <f>ROUND(MIN(MAX(0,N('Your debts'!$E$6)),B330),2)</f>
      </c>
      <c r="M330" s="33">
        <f>ROUND(MIN(MAX(0,N('Your debts'!$E$7)),C330),2)</f>
      </c>
      <c r="N330" s="33">
        <f>ROUND(MIN(MAX(0,N('Your debts'!$E$8)),D330),2)</f>
      </c>
      <c r="O330" s="33">
        <f>ROUND(MIN(MAX(0,N('Your debts'!$E$9)),E330),2)</f>
      </c>
      <c r="P330" s="33">
        <f>ROUND(MIN(MAX(0,N('Your debts'!$E$10)),F330),2)</f>
      </c>
      <c r="Q330" s="33">
        <f>ROUND(MIN(MAX(0,N('Your debts'!$E$11)),G330),2)</f>
      </c>
      <c r="R330" s="33">
        <f>ROUND(MIN(MAX(0,N('Your debts'!$E$12)),H330),2)</f>
      </c>
      <c r="S330" s="33">
        <f>ROUND(MIN(MAX(0,N('Your debts'!$E$13)),I330),2)</f>
      </c>
      <c r="T330" s="33">
        <f>ROUND(MIN(MAX(0,N('Your debts'!$E$14)),J330),2)</f>
      </c>
      <c r="U330" s="33">
        <f>ROUND(MIN(MAX(0,N('Your debts'!$E$15)),K330),2)</f>
      </c>
      <c r="V330" s="33">
        <f>ROUND(B330-L330,2)</f>
      </c>
      <c r="W330" s="33">
        <f>ROUND(C330-M330,2)</f>
      </c>
      <c r="X330" s="33">
        <f>ROUND(D330-N330,2)</f>
      </c>
      <c r="Y330" s="33">
        <f>ROUND(E330-O330,2)</f>
      </c>
      <c r="Z330" s="33">
        <f>ROUND(F330-P330,2)</f>
      </c>
      <c r="AA330" s="33">
        <f>ROUND(G330-Q330,2)</f>
      </c>
      <c r="AB330" s="33">
        <f>ROUND(H330-R330,2)</f>
      </c>
      <c r="AC330" s="33">
        <f>ROUND(I330-S330,2)</f>
      </c>
      <c r="AD330" s="33">
        <f>ROUND(J330-T330,2)</f>
      </c>
      <c r="AE330" s="33">
        <f>ROUND(K330-U330,2)</f>
      </c>
      <c r="AF330" s="33">
        <f>IF(V330&lt;=0,0,MAX(0,MIN(V330,ROUND($AZ330-SUMPRODUCT($V330:$AE330*($V330:$AE330&gt;0)*(($V330:$AE330&lt;V330)+($V330:$AE330=V330)*($V$3:$AE$3&gt;V$3)+($V330:$AE330=V330)*($V$3:$AE$3=V$3)*($V$2:$AE$2&lt;V$2))),2))))</f>
      </c>
      <c r="AG330" s="33">
        <f>IF(W330&lt;=0,0,MAX(0,MIN(W330,ROUND($AZ330-SUMPRODUCT($V330:$AE330*($V330:$AE330&gt;0)*(($V330:$AE330&lt;W330)+($V330:$AE330=W330)*($V$3:$AE$3&gt;W$3)+($V330:$AE330=W330)*($V$3:$AE$3=W$3)*($V$2:$AE$2&lt;W$2))),2))))</f>
      </c>
      <c r="AH330" s="33">
        <f>IF(X330&lt;=0,0,MAX(0,MIN(X330,ROUND($AZ330-SUMPRODUCT($V330:$AE330*($V330:$AE330&gt;0)*(($V330:$AE330&lt;X330)+($V330:$AE330=X330)*($V$3:$AE$3&gt;X$3)+($V330:$AE330=X330)*($V$3:$AE$3=X$3)*($V$2:$AE$2&lt;X$2))),2))))</f>
      </c>
      <c r="AI330" s="33">
        <f>IF(Y330&lt;=0,0,MAX(0,MIN(Y330,ROUND($AZ330-SUMPRODUCT($V330:$AE330*($V330:$AE330&gt;0)*(($V330:$AE330&lt;Y330)+($V330:$AE330=Y330)*($V$3:$AE$3&gt;Y$3)+($V330:$AE330=Y330)*($V$3:$AE$3=Y$3)*($V$2:$AE$2&lt;Y$2))),2))))</f>
      </c>
      <c r="AJ330" s="33">
        <f>IF(Z330&lt;=0,0,MAX(0,MIN(Z330,ROUND($AZ330-SUMPRODUCT($V330:$AE330*($V330:$AE330&gt;0)*(($V330:$AE330&lt;Z330)+($V330:$AE330=Z330)*($V$3:$AE$3&gt;Z$3)+($V330:$AE330=Z330)*($V$3:$AE$3=Z$3)*($V$2:$AE$2&lt;Z$2))),2))))</f>
      </c>
      <c r="AK330" s="33">
        <f>IF(AA330&lt;=0,0,MAX(0,MIN(AA330,ROUND($AZ330-SUMPRODUCT($V330:$AE330*($V330:$AE330&gt;0)*(($V330:$AE330&lt;AA330)+($V330:$AE330=AA330)*($V$3:$AE$3&gt;AA$3)+($V330:$AE330=AA330)*($V$3:$AE$3=AA$3)*($V$2:$AE$2&lt;AA$2))),2))))</f>
      </c>
      <c r="AL330" s="33">
        <f>IF(AB330&lt;=0,0,MAX(0,MIN(AB330,ROUND($AZ330-SUMPRODUCT($V330:$AE330*($V330:$AE330&gt;0)*(($V330:$AE330&lt;AB330)+($V330:$AE330=AB330)*($V$3:$AE$3&gt;AB$3)+($V330:$AE330=AB330)*($V$3:$AE$3=AB$3)*($V$2:$AE$2&lt;AB$2))),2))))</f>
      </c>
      <c r="AM330" s="33">
        <f>IF(AC330&lt;=0,0,MAX(0,MIN(AC330,ROUND($AZ330-SUMPRODUCT($V330:$AE330*($V330:$AE330&gt;0)*(($V330:$AE330&lt;AC330)+($V330:$AE330=AC330)*($V$3:$AE$3&gt;AC$3)+($V330:$AE330=AC330)*($V$3:$AE$3=AC$3)*($V$2:$AE$2&lt;AC$2))),2))))</f>
      </c>
      <c r="AN330" s="33">
        <f>IF(AD330&lt;=0,0,MAX(0,MIN(AD330,ROUND($AZ330-SUMPRODUCT($V330:$AE330*($V330:$AE330&gt;0)*(($V330:$AE330&lt;AD330)+($V330:$AE330=AD330)*($V$3:$AE$3&gt;AD$3)+($V330:$AE330=AD330)*($V$3:$AE$3=AD$3)*($V$2:$AE$2&lt;AD$2))),2))))</f>
      </c>
      <c r="AO330" s="33">
        <f>IF(AE330&lt;=0,0,MAX(0,MIN(AE330,ROUND($AZ330-SUMPRODUCT($V330:$AE330*($V330:$AE330&gt;0)*(($V330:$AE330&lt;AE330)+($V330:$AE330=AE330)*($V$3:$AE$3&gt;AE$3)+($V330:$AE330=AE330)*($V$3:$AE$3=AE$3)*($V$2:$AE$2&lt;AE$2))),2))))</f>
      </c>
      <c r="AP330" s="33">
        <f>ROUND(V330-AF330,2)</f>
      </c>
      <c r="AQ330" s="33">
        <f>ROUND(W330-AG330,2)</f>
      </c>
      <c r="AR330" s="33">
        <f>ROUND(X330-AH330,2)</f>
      </c>
      <c r="AS330" s="33">
        <f>ROUND(Y330-AI330,2)</f>
      </c>
      <c r="AT330" s="33">
        <f>ROUND(Z330-AJ330,2)</f>
      </c>
      <c r="AU330" s="33">
        <f>ROUND(AA330-AK330,2)</f>
      </c>
      <c r="AV330" s="33">
        <f>ROUND(AB330-AL330,2)</f>
      </c>
      <c r="AW330" s="33">
        <f>ROUND(AC330-AM330,2)</f>
      </c>
      <c r="AX330" s="33">
        <f>ROUND(AD330-AN330,2)</f>
      </c>
      <c r="AY330" s="33">
        <f>ROUND(AE330-AO330,2)</f>
      </c>
      <c r="AZ330" s="33">
        <f>ROUND(MAX(0,'Your debts'!$D$22-SUM($L330:$U330)),2)</f>
      </c>
      <c r="BA330" s="33">
        <f>ROUND(SUM($B330:$K330)-SUM($AP329:$AY329),2)</f>
      </c>
      <c r="BB330" s="33">
        <f>SUM($AP330:$AY330)</f>
      </c>
      <c r="BC330" s="33">
        <f>ROUND(SUM($L330:$U330)+SUM($AF330:$AO330),2)</f>
      </c>
    </row>
    <row r="331" spans="1:55" x14ac:dyDescent="0.25">
      <c r="A331">
        <v>324</v>
      </c>
      <c r="B331" s="33">
        <f>IF(AP330&lt;=0,0,ROUND(AP330+ROUND(AP330*V$3/12,2),2))</f>
      </c>
      <c r="C331" s="33">
        <f>IF(AQ330&lt;=0,0,ROUND(AQ330+ROUND(AQ330*W$3/12,2),2))</f>
      </c>
      <c r="D331" s="33">
        <f>IF(AR330&lt;=0,0,ROUND(AR330+ROUND(AR330*X$3/12,2),2))</f>
      </c>
      <c r="E331" s="33">
        <f>IF(AS330&lt;=0,0,ROUND(AS330+ROUND(AS330*Y$3/12,2),2))</f>
      </c>
      <c r="F331" s="33">
        <f>IF(AT330&lt;=0,0,ROUND(AT330+ROUND(AT330*Z$3/12,2),2))</f>
      </c>
      <c r="G331" s="33">
        <f>IF(AU330&lt;=0,0,ROUND(AU330+ROUND(AU330*AA$3/12,2),2))</f>
      </c>
      <c r="H331" s="33">
        <f>IF(AV330&lt;=0,0,ROUND(AV330+ROUND(AV330*AB$3/12,2),2))</f>
      </c>
      <c r="I331" s="33">
        <f>IF(AW330&lt;=0,0,ROUND(AW330+ROUND(AW330*AC$3/12,2),2))</f>
      </c>
      <c r="J331" s="33">
        <f>IF(AX330&lt;=0,0,ROUND(AX330+ROUND(AX330*AD$3/12,2),2))</f>
      </c>
      <c r="K331" s="33">
        <f>IF(AY330&lt;=0,0,ROUND(AY330+ROUND(AY330*AE$3/12,2),2))</f>
      </c>
      <c r="L331" s="33">
        <f>ROUND(MIN(MAX(0,N('Your debts'!$E$6)),B331),2)</f>
      </c>
      <c r="M331" s="33">
        <f>ROUND(MIN(MAX(0,N('Your debts'!$E$7)),C331),2)</f>
      </c>
      <c r="N331" s="33">
        <f>ROUND(MIN(MAX(0,N('Your debts'!$E$8)),D331),2)</f>
      </c>
      <c r="O331" s="33">
        <f>ROUND(MIN(MAX(0,N('Your debts'!$E$9)),E331),2)</f>
      </c>
      <c r="P331" s="33">
        <f>ROUND(MIN(MAX(0,N('Your debts'!$E$10)),F331),2)</f>
      </c>
      <c r="Q331" s="33">
        <f>ROUND(MIN(MAX(0,N('Your debts'!$E$11)),G331),2)</f>
      </c>
      <c r="R331" s="33">
        <f>ROUND(MIN(MAX(0,N('Your debts'!$E$12)),H331),2)</f>
      </c>
      <c r="S331" s="33">
        <f>ROUND(MIN(MAX(0,N('Your debts'!$E$13)),I331),2)</f>
      </c>
      <c r="T331" s="33">
        <f>ROUND(MIN(MAX(0,N('Your debts'!$E$14)),J331),2)</f>
      </c>
      <c r="U331" s="33">
        <f>ROUND(MIN(MAX(0,N('Your debts'!$E$15)),K331),2)</f>
      </c>
      <c r="V331" s="33">
        <f>ROUND(B331-L331,2)</f>
      </c>
      <c r="W331" s="33">
        <f>ROUND(C331-M331,2)</f>
      </c>
      <c r="X331" s="33">
        <f>ROUND(D331-N331,2)</f>
      </c>
      <c r="Y331" s="33">
        <f>ROUND(E331-O331,2)</f>
      </c>
      <c r="Z331" s="33">
        <f>ROUND(F331-P331,2)</f>
      </c>
      <c r="AA331" s="33">
        <f>ROUND(G331-Q331,2)</f>
      </c>
      <c r="AB331" s="33">
        <f>ROUND(H331-R331,2)</f>
      </c>
      <c r="AC331" s="33">
        <f>ROUND(I331-S331,2)</f>
      </c>
      <c r="AD331" s="33">
        <f>ROUND(J331-T331,2)</f>
      </c>
      <c r="AE331" s="33">
        <f>ROUND(K331-U331,2)</f>
      </c>
      <c r="AF331" s="33">
        <f>IF(V331&lt;=0,0,MAX(0,MIN(V331,ROUND($AZ331-SUMPRODUCT($V331:$AE331*($V331:$AE331&gt;0)*(($V331:$AE331&lt;V331)+($V331:$AE331=V331)*($V$3:$AE$3&gt;V$3)+($V331:$AE331=V331)*($V$3:$AE$3=V$3)*($V$2:$AE$2&lt;V$2))),2))))</f>
      </c>
      <c r="AG331" s="33">
        <f>IF(W331&lt;=0,0,MAX(0,MIN(W331,ROUND($AZ331-SUMPRODUCT($V331:$AE331*($V331:$AE331&gt;0)*(($V331:$AE331&lt;W331)+($V331:$AE331=W331)*($V$3:$AE$3&gt;W$3)+($V331:$AE331=W331)*($V$3:$AE$3=W$3)*($V$2:$AE$2&lt;W$2))),2))))</f>
      </c>
      <c r="AH331" s="33">
        <f>IF(X331&lt;=0,0,MAX(0,MIN(X331,ROUND($AZ331-SUMPRODUCT($V331:$AE331*($V331:$AE331&gt;0)*(($V331:$AE331&lt;X331)+($V331:$AE331=X331)*($V$3:$AE$3&gt;X$3)+($V331:$AE331=X331)*($V$3:$AE$3=X$3)*($V$2:$AE$2&lt;X$2))),2))))</f>
      </c>
      <c r="AI331" s="33">
        <f>IF(Y331&lt;=0,0,MAX(0,MIN(Y331,ROUND($AZ331-SUMPRODUCT($V331:$AE331*($V331:$AE331&gt;0)*(($V331:$AE331&lt;Y331)+($V331:$AE331=Y331)*($V$3:$AE$3&gt;Y$3)+($V331:$AE331=Y331)*($V$3:$AE$3=Y$3)*($V$2:$AE$2&lt;Y$2))),2))))</f>
      </c>
      <c r="AJ331" s="33">
        <f>IF(Z331&lt;=0,0,MAX(0,MIN(Z331,ROUND($AZ331-SUMPRODUCT($V331:$AE331*($V331:$AE331&gt;0)*(($V331:$AE331&lt;Z331)+($V331:$AE331=Z331)*($V$3:$AE$3&gt;Z$3)+($V331:$AE331=Z331)*($V$3:$AE$3=Z$3)*($V$2:$AE$2&lt;Z$2))),2))))</f>
      </c>
      <c r="AK331" s="33">
        <f>IF(AA331&lt;=0,0,MAX(0,MIN(AA331,ROUND($AZ331-SUMPRODUCT($V331:$AE331*($V331:$AE331&gt;0)*(($V331:$AE331&lt;AA331)+($V331:$AE331=AA331)*($V$3:$AE$3&gt;AA$3)+($V331:$AE331=AA331)*($V$3:$AE$3=AA$3)*($V$2:$AE$2&lt;AA$2))),2))))</f>
      </c>
      <c r="AL331" s="33">
        <f>IF(AB331&lt;=0,0,MAX(0,MIN(AB331,ROUND($AZ331-SUMPRODUCT($V331:$AE331*($V331:$AE331&gt;0)*(($V331:$AE331&lt;AB331)+($V331:$AE331=AB331)*($V$3:$AE$3&gt;AB$3)+($V331:$AE331=AB331)*($V$3:$AE$3=AB$3)*($V$2:$AE$2&lt;AB$2))),2))))</f>
      </c>
      <c r="AM331" s="33">
        <f>IF(AC331&lt;=0,0,MAX(0,MIN(AC331,ROUND($AZ331-SUMPRODUCT($V331:$AE331*($V331:$AE331&gt;0)*(($V331:$AE331&lt;AC331)+($V331:$AE331=AC331)*($V$3:$AE$3&gt;AC$3)+($V331:$AE331=AC331)*($V$3:$AE$3=AC$3)*($V$2:$AE$2&lt;AC$2))),2))))</f>
      </c>
      <c r="AN331" s="33">
        <f>IF(AD331&lt;=0,0,MAX(0,MIN(AD331,ROUND($AZ331-SUMPRODUCT($V331:$AE331*($V331:$AE331&gt;0)*(($V331:$AE331&lt;AD331)+($V331:$AE331=AD331)*($V$3:$AE$3&gt;AD$3)+($V331:$AE331=AD331)*($V$3:$AE$3=AD$3)*($V$2:$AE$2&lt;AD$2))),2))))</f>
      </c>
      <c r="AO331" s="33">
        <f>IF(AE331&lt;=0,0,MAX(0,MIN(AE331,ROUND($AZ331-SUMPRODUCT($V331:$AE331*($V331:$AE331&gt;0)*(($V331:$AE331&lt;AE331)+($V331:$AE331=AE331)*($V$3:$AE$3&gt;AE$3)+($V331:$AE331=AE331)*($V$3:$AE$3=AE$3)*($V$2:$AE$2&lt;AE$2))),2))))</f>
      </c>
      <c r="AP331" s="33">
        <f>ROUND(V331-AF331,2)</f>
      </c>
      <c r="AQ331" s="33">
        <f>ROUND(W331-AG331,2)</f>
      </c>
      <c r="AR331" s="33">
        <f>ROUND(X331-AH331,2)</f>
      </c>
      <c r="AS331" s="33">
        <f>ROUND(Y331-AI331,2)</f>
      </c>
      <c r="AT331" s="33">
        <f>ROUND(Z331-AJ331,2)</f>
      </c>
      <c r="AU331" s="33">
        <f>ROUND(AA331-AK331,2)</f>
      </c>
      <c r="AV331" s="33">
        <f>ROUND(AB331-AL331,2)</f>
      </c>
      <c r="AW331" s="33">
        <f>ROUND(AC331-AM331,2)</f>
      </c>
      <c r="AX331" s="33">
        <f>ROUND(AD331-AN331,2)</f>
      </c>
      <c r="AY331" s="33">
        <f>ROUND(AE331-AO331,2)</f>
      </c>
      <c r="AZ331" s="33">
        <f>ROUND(MAX(0,'Your debts'!$D$22-SUM($L331:$U331)),2)</f>
      </c>
      <c r="BA331" s="33">
        <f>ROUND(SUM($B331:$K331)-SUM($AP330:$AY330),2)</f>
      </c>
      <c r="BB331" s="33">
        <f>SUM($AP331:$AY331)</f>
      </c>
      <c r="BC331" s="33">
        <f>ROUND(SUM($L331:$U331)+SUM($AF331:$AO331),2)</f>
      </c>
    </row>
    <row r="332" spans="1:55" x14ac:dyDescent="0.25">
      <c r="A332">
        <v>325</v>
      </c>
      <c r="B332" s="33">
        <f>IF(AP331&lt;=0,0,ROUND(AP331+ROUND(AP331*V$3/12,2),2))</f>
      </c>
      <c r="C332" s="33">
        <f>IF(AQ331&lt;=0,0,ROUND(AQ331+ROUND(AQ331*W$3/12,2),2))</f>
      </c>
      <c r="D332" s="33">
        <f>IF(AR331&lt;=0,0,ROUND(AR331+ROUND(AR331*X$3/12,2),2))</f>
      </c>
      <c r="E332" s="33">
        <f>IF(AS331&lt;=0,0,ROUND(AS331+ROUND(AS331*Y$3/12,2),2))</f>
      </c>
      <c r="F332" s="33">
        <f>IF(AT331&lt;=0,0,ROUND(AT331+ROUND(AT331*Z$3/12,2),2))</f>
      </c>
      <c r="G332" s="33">
        <f>IF(AU331&lt;=0,0,ROUND(AU331+ROUND(AU331*AA$3/12,2),2))</f>
      </c>
      <c r="H332" s="33">
        <f>IF(AV331&lt;=0,0,ROUND(AV331+ROUND(AV331*AB$3/12,2),2))</f>
      </c>
      <c r="I332" s="33">
        <f>IF(AW331&lt;=0,0,ROUND(AW331+ROUND(AW331*AC$3/12,2),2))</f>
      </c>
      <c r="J332" s="33">
        <f>IF(AX331&lt;=0,0,ROUND(AX331+ROUND(AX331*AD$3/12,2),2))</f>
      </c>
      <c r="K332" s="33">
        <f>IF(AY331&lt;=0,0,ROUND(AY331+ROUND(AY331*AE$3/12,2),2))</f>
      </c>
      <c r="L332" s="33">
        <f>ROUND(MIN(MAX(0,N('Your debts'!$E$6)),B332),2)</f>
      </c>
      <c r="M332" s="33">
        <f>ROUND(MIN(MAX(0,N('Your debts'!$E$7)),C332),2)</f>
      </c>
      <c r="N332" s="33">
        <f>ROUND(MIN(MAX(0,N('Your debts'!$E$8)),D332),2)</f>
      </c>
      <c r="O332" s="33">
        <f>ROUND(MIN(MAX(0,N('Your debts'!$E$9)),E332),2)</f>
      </c>
      <c r="P332" s="33">
        <f>ROUND(MIN(MAX(0,N('Your debts'!$E$10)),F332),2)</f>
      </c>
      <c r="Q332" s="33">
        <f>ROUND(MIN(MAX(0,N('Your debts'!$E$11)),G332),2)</f>
      </c>
      <c r="R332" s="33">
        <f>ROUND(MIN(MAX(0,N('Your debts'!$E$12)),H332),2)</f>
      </c>
      <c r="S332" s="33">
        <f>ROUND(MIN(MAX(0,N('Your debts'!$E$13)),I332),2)</f>
      </c>
      <c r="T332" s="33">
        <f>ROUND(MIN(MAX(0,N('Your debts'!$E$14)),J332),2)</f>
      </c>
      <c r="U332" s="33">
        <f>ROUND(MIN(MAX(0,N('Your debts'!$E$15)),K332),2)</f>
      </c>
      <c r="V332" s="33">
        <f>ROUND(B332-L332,2)</f>
      </c>
      <c r="W332" s="33">
        <f>ROUND(C332-M332,2)</f>
      </c>
      <c r="X332" s="33">
        <f>ROUND(D332-N332,2)</f>
      </c>
      <c r="Y332" s="33">
        <f>ROUND(E332-O332,2)</f>
      </c>
      <c r="Z332" s="33">
        <f>ROUND(F332-P332,2)</f>
      </c>
      <c r="AA332" s="33">
        <f>ROUND(G332-Q332,2)</f>
      </c>
      <c r="AB332" s="33">
        <f>ROUND(H332-R332,2)</f>
      </c>
      <c r="AC332" s="33">
        <f>ROUND(I332-S332,2)</f>
      </c>
      <c r="AD332" s="33">
        <f>ROUND(J332-T332,2)</f>
      </c>
      <c r="AE332" s="33">
        <f>ROUND(K332-U332,2)</f>
      </c>
      <c r="AF332" s="33">
        <f>IF(V332&lt;=0,0,MAX(0,MIN(V332,ROUND($AZ332-SUMPRODUCT($V332:$AE332*($V332:$AE332&gt;0)*(($V332:$AE332&lt;V332)+($V332:$AE332=V332)*($V$3:$AE$3&gt;V$3)+($V332:$AE332=V332)*($V$3:$AE$3=V$3)*($V$2:$AE$2&lt;V$2))),2))))</f>
      </c>
      <c r="AG332" s="33">
        <f>IF(W332&lt;=0,0,MAX(0,MIN(W332,ROUND($AZ332-SUMPRODUCT($V332:$AE332*($V332:$AE332&gt;0)*(($V332:$AE332&lt;W332)+($V332:$AE332=W332)*($V$3:$AE$3&gt;W$3)+($V332:$AE332=W332)*($V$3:$AE$3=W$3)*($V$2:$AE$2&lt;W$2))),2))))</f>
      </c>
      <c r="AH332" s="33">
        <f>IF(X332&lt;=0,0,MAX(0,MIN(X332,ROUND($AZ332-SUMPRODUCT($V332:$AE332*($V332:$AE332&gt;0)*(($V332:$AE332&lt;X332)+($V332:$AE332=X332)*($V$3:$AE$3&gt;X$3)+($V332:$AE332=X332)*($V$3:$AE$3=X$3)*($V$2:$AE$2&lt;X$2))),2))))</f>
      </c>
      <c r="AI332" s="33">
        <f>IF(Y332&lt;=0,0,MAX(0,MIN(Y332,ROUND($AZ332-SUMPRODUCT($V332:$AE332*($V332:$AE332&gt;0)*(($V332:$AE332&lt;Y332)+($V332:$AE332=Y332)*($V$3:$AE$3&gt;Y$3)+($V332:$AE332=Y332)*($V$3:$AE$3=Y$3)*($V$2:$AE$2&lt;Y$2))),2))))</f>
      </c>
      <c r="AJ332" s="33">
        <f>IF(Z332&lt;=0,0,MAX(0,MIN(Z332,ROUND($AZ332-SUMPRODUCT($V332:$AE332*($V332:$AE332&gt;0)*(($V332:$AE332&lt;Z332)+($V332:$AE332=Z332)*($V$3:$AE$3&gt;Z$3)+($V332:$AE332=Z332)*($V$3:$AE$3=Z$3)*($V$2:$AE$2&lt;Z$2))),2))))</f>
      </c>
      <c r="AK332" s="33">
        <f>IF(AA332&lt;=0,0,MAX(0,MIN(AA332,ROUND($AZ332-SUMPRODUCT($V332:$AE332*($V332:$AE332&gt;0)*(($V332:$AE332&lt;AA332)+($V332:$AE332=AA332)*($V$3:$AE$3&gt;AA$3)+($V332:$AE332=AA332)*($V$3:$AE$3=AA$3)*($V$2:$AE$2&lt;AA$2))),2))))</f>
      </c>
      <c r="AL332" s="33">
        <f>IF(AB332&lt;=0,0,MAX(0,MIN(AB332,ROUND($AZ332-SUMPRODUCT($V332:$AE332*($V332:$AE332&gt;0)*(($V332:$AE332&lt;AB332)+($V332:$AE332=AB332)*($V$3:$AE$3&gt;AB$3)+($V332:$AE332=AB332)*($V$3:$AE$3=AB$3)*($V$2:$AE$2&lt;AB$2))),2))))</f>
      </c>
      <c r="AM332" s="33">
        <f>IF(AC332&lt;=0,0,MAX(0,MIN(AC332,ROUND($AZ332-SUMPRODUCT($V332:$AE332*($V332:$AE332&gt;0)*(($V332:$AE332&lt;AC332)+($V332:$AE332=AC332)*($V$3:$AE$3&gt;AC$3)+($V332:$AE332=AC332)*($V$3:$AE$3=AC$3)*($V$2:$AE$2&lt;AC$2))),2))))</f>
      </c>
      <c r="AN332" s="33">
        <f>IF(AD332&lt;=0,0,MAX(0,MIN(AD332,ROUND($AZ332-SUMPRODUCT($V332:$AE332*($V332:$AE332&gt;0)*(($V332:$AE332&lt;AD332)+($V332:$AE332=AD332)*($V$3:$AE$3&gt;AD$3)+($V332:$AE332=AD332)*($V$3:$AE$3=AD$3)*($V$2:$AE$2&lt;AD$2))),2))))</f>
      </c>
      <c r="AO332" s="33">
        <f>IF(AE332&lt;=0,0,MAX(0,MIN(AE332,ROUND($AZ332-SUMPRODUCT($V332:$AE332*($V332:$AE332&gt;0)*(($V332:$AE332&lt;AE332)+($V332:$AE332=AE332)*($V$3:$AE$3&gt;AE$3)+($V332:$AE332=AE332)*($V$3:$AE$3=AE$3)*($V$2:$AE$2&lt;AE$2))),2))))</f>
      </c>
      <c r="AP332" s="33">
        <f>ROUND(V332-AF332,2)</f>
      </c>
      <c r="AQ332" s="33">
        <f>ROUND(W332-AG332,2)</f>
      </c>
      <c r="AR332" s="33">
        <f>ROUND(X332-AH332,2)</f>
      </c>
      <c r="AS332" s="33">
        <f>ROUND(Y332-AI332,2)</f>
      </c>
      <c r="AT332" s="33">
        <f>ROUND(Z332-AJ332,2)</f>
      </c>
      <c r="AU332" s="33">
        <f>ROUND(AA332-AK332,2)</f>
      </c>
      <c r="AV332" s="33">
        <f>ROUND(AB332-AL332,2)</f>
      </c>
      <c r="AW332" s="33">
        <f>ROUND(AC332-AM332,2)</f>
      </c>
      <c r="AX332" s="33">
        <f>ROUND(AD332-AN332,2)</f>
      </c>
      <c r="AY332" s="33">
        <f>ROUND(AE332-AO332,2)</f>
      </c>
      <c r="AZ332" s="33">
        <f>ROUND(MAX(0,'Your debts'!$D$22-SUM($L332:$U332)),2)</f>
      </c>
      <c r="BA332" s="33">
        <f>ROUND(SUM($B332:$K332)-SUM($AP331:$AY331),2)</f>
      </c>
      <c r="BB332" s="33">
        <f>SUM($AP332:$AY332)</f>
      </c>
      <c r="BC332" s="33">
        <f>ROUND(SUM($L332:$U332)+SUM($AF332:$AO332),2)</f>
      </c>
    </row>
    <row r="333" spans="1:55" x14ac:dyDescent="0.25">
      <c r="A333">
        <v>326</v>
      </c>
      <c r="B333" s="33">
        <f>IF(AP332&lt;=0,0,ROUND(AP332+ROUND(AP332*V$3/12,2),2))</f>
      </c>
      <c r="C333" s="33">
        <f>IF(AQ332&lt;=0,0,ROUND(AQ332+ROUND(AQ332*W$3/12,2),2))</f>
      </c>
      <c r="D333" s="33">
        <f>IF(AR332&lt;=0,0,ROUND(AR332+ROUND(AR332*X$3/12,2),2))</f>
      </c>
      <c r="E333" s="33">
        <f>IF(AS332&lt;=0,0,ROUND(AS332+ROUND(AS332*Y$3/12,2),2))</f>
      </c>
      <c r="F333" s="33">
        <f>IF(AT332&lt;=0,0,ROUND(AT332+ROUND(AT332*Z$3/12,2),2))</f>
      </c>
      <c r="G333" s="33">
        <f>IF(AU332&lt;=0,0,ROUND(AU332+ROUND(AU332*AA$3/12,2),2))</f>
      </c>
      <c r="H333" s="33">
        <f>IF(AV332&lt;=0,0,ROUND(AV332+ROUND(AV332*AB$3/12,2),2))</f>
      </c>
      <c r="I333" s="33">
        <f>IF(AW332&lt;=0,0,ROUND(AW332+ROUND(AW332*AC$3/12,2),2))</f>
      </c>
      <c r="J333" s="33">
        <f>IF(AX332&lt;=0,0,ROUND(AX332+ROUND(AX332*AD$3/12,2),2))</f>
      </c>
      <c r="K333" s="33">
        <f>IF(AY332&lt;=0,0,ROUND(AY332+ROUND(AY332*AE$3/12,2),2))</f>
      </c>
      <c r="L333" s="33">
        <f>ROUND(MIN(MAX(0,N('Your debts'!$E$6)),B333),2)</f>
      </c>
      <c r="M333" s="33">
        <f>ROUND(MIN(MAX(0,N('Your debts'!$E$7)),C333),2)</f>
      </c>
      <c r="N333" s="33">
        <f>ROUND(MIN(MAX(0,N('Your debts'!$E$8)),D333),2)</f>
      </c>
      <c r="O333" s="33">
        <f>ROUND(MIN(MAX(0,N('Your debts'!$E$9)),E333),2)</f>
      </c>
      <c r="P333" s="33">
        <f>ROUND(MIN(MAX(0,N('Your debts'!$E$10)),F333),2)</f>
      </c>
      <c r="Q333" s="33">
        <f>ROUND(MIN(MAX(0,N('Your debts'!$E$11)),G333),2)</f>
      </c>
      <c r="R333" s="33">
        <f>ROUND(MIN(MAX(0,N('Your debts'!$E$12)),H333),2)</f>
      </c>
      <c r="S333" s="33">
        <f>ROUND(MIN(MAX(0,N('Your debts'!$E$13)),I333),2)</f>
      </c>
      <c r="T333" s="33">
        <f>ROUND(MIN(MAX(0,N('Your debts'!$E$14)),J333),2)</f>
      </c>
      <c r="U333" s="33">
        <f>ROUND(MIN(MAX(0,N('Your debts'!$E$15)),K333),2)</f>
      </c>
      <c r="V333" s="33">
        <f>ROUND(B333-L333,2)</f>
      </c>
      <c r="W333" s="33">
        <f>ROUND(C333-M333,2)</f>
      </c>
      <c r="X333" s="33">
        <f>ROUND(D333-N333,2)</f>
      </c>
      <c r="Y333" s="33">
        <f>ROUND(E333-O333,2)</f>
      </c>
      <c r="Z333" s="33">
        <f>ROUND(F333-P333,2)</f>
      </c>
      <c r="AA333" s="33">
        <f>ROUND(G333-Q333,2)</f>
      </c>
      <c r="AB333" s="33">
        <f>ROUND(H333-R333,2)</f>
      </c>
      <c r="AC333" s="33">
        <f>ROUND(I333-S333,2)</f>
      </c>
      <c r="AD333" s="33">
        <f>ROUND(J333-T333,2)</f>
      </c>
      <c r="AE333" s="33">
        <f>ROUND(K333-U333,2)</f>
      </c>
      <c r="AF333" s="33">
        <f>IF(V333&lt;=0,0,MAX(0,MIN(V333,ROUND($AZ333-SUMPRODUCT($V333:$AE333*($V333:$AE333&gt;0)*(($V333:$AE333&lt;V333)+($V333:$AE333=V333)*($V$3:$AE$3&gt;V$3)+($V333:$AE333=V333)*($V$3:$AE$3=V$3)*($V$2:$AE$2&lt;V$2))),2))))</f>
      </c>
      <c r="AG333" s="33">
        <f>IF(W333&lt;=0,0,MAX(0,MIN(W333,ROUND($AZ333-SUMPRODUCT($V333:$AE333*($V333:$AE333&gt;0)*(($V333:$AE333&lt;W333)+($V333:$AE333=W333)*($V$3:$AE$3&gt;W$3)+($V333:$AE333=W333)*($V$3:$AE$3=W$3)*($V$2:$AE$2&lt;W$2))),2))))</f>
      </c>
      <c r="AH333" s="33">
        <f>IF(X333&lt;=0,0,MAX(0,MIN(X333,ROUND($AZ333-SUMPRODUCT($V333:$AE333*($V333:$AE333&gt;0)*(($V333:$AE333&lt;X333)+($V333:$AE333=X333)*($V$3:$AE$3&gt;X$3)+($V333:$AE333=X333)*($V$3:$AE$3=X$3)*($V$2:$AE$2&lt;X$2))),2))))</f>
      </c>
      <c r="AI333" s="33">
        <f>IF(Y333&lt;=0,0,MAX(0,MIN(Y333,ROUND($AZ333-SUMPRODUCT($V333:$AE333*($V333:$AE333&gt;0)*(($V333:$AE333&lt;Y333)+($V333:$AE333=Y333)*($V$3:$AE$3&gt;Y$3)+($V333:$AE333=Y333)*($V$3:$AE$3=Y$3)*($V$2:$AE$2&lt;Y$2))),2))))</f>
      </c>
      <c r="AJ333" s="33">
        <f>IF(Z333&lt;=0,0,MAX(0,MIN(Z333,ROUND($AZ333-SUMPRODUCT($V333:$AE333*($V333:$AE333&gt;0)*(($V333:$AE333&lt;Z333)+($V333:$AE333=Z333)*($V$3:$AE$3&gt;Z$3)+($V333:$AE333=Z333)*($V$3:$AE$3=Z$3)*($V$2:$AE$2&lt;Z$2))),2))))</f>
      </c>
      <c r="AK333" s="33">
        <f>IF(AA333&lt;=0,0,MAX(0,MIN(AA333,ROUND($AZ333-SUMPRODUCT($V333:$AE333*($V333:$AE333&gt;0)*(($V333:$AE333&lt;AA333)+($V333:$AE333=AA333)*($V$3:$AE$3&gt;AA$3)+($V333:$AE333=AA333)*($V$3:$AE$3=AA$3)*($V$2:$AE$2&lt;AA$2))),2))))</f>
      </c>
      <c r="AL333" s="33">
        <f>IF(AB333&lt;=0,0,MAX(0,MIN(AB333,ROUND($AZ333-SUMPRODUCT($V333:$AE333*($V333:$AE333&gt;0)*(($V333:$AE333&lt;AB333)+($V333:$AE333=AB333)*($V$3:$AE$3&gt;AB$3)+($V333:$AE333=AB333)*($V$3:$AE$3=AB$3)*($V$2:$AE$2&lt;AB$2))),2))))</f>
      </c>
      <c r="AM333" s="33">
        <f>IF(AC333&lt;=0,0,MAX(0,MIN(AC333,ROUND($AZ333-SUMPRODUCT($V333:$AE333*($V333:$AE333&gt;0)*(($V333:$AE333&lt;AC333)+($V333:$AE333=AC333)*($V$3:$AE$3&gt;AC$3)+($V333:$AE333=AC333)*($V$3:$AE$3=AC$3)*($V$2:$AE$2&lt;AC$2))),2))))</f>
      </c>
      <c r="AN333" s="33">
        <f>IF(AD333&lt;=0,0,MAX(0,MIN(AD333,ROUND($AZ333-SUMPRODUCT($V333:$AE333*($V333:$AE333&gt;0)*(($V333:$AE333&lt;AD333)+($V333:$AE333=AD333)*($V$3:$AE$3&gt;AD$3)+($V333:$AE333=AD333)*($V$3:$AE$3=AD$3)*($V$2:$AE$2&lt;AD$2))),2))))</f>
      </c>
      <c r="AO333" s="33">
        <f>IF(AE333&lt;=0,0,MAX(0,MIN(AE333,ROUND($AZ333-SUMPRODUCT($V333:$AE333*($V333:$AE333&gt;0)*(($V333:$AE333&lt;AE333)+($V333:$AE333=AE333)*($V$3:$AE$3&gt;AE$3)+($V333:$AE333=AE333)*($V$3:$AE$3=AE$3)*($V$2:$AE$2&lt;AE$2))),2))))</f>
      </c>
      <c r="AP333" s="33">
        <f>ROUND(V333-AF333,2)</f>
      </c>
      <c r="AQ333" s="33">
        <f>ROUND(W333-AG333,2)</f>
      </c>
      <c r="AR333" s="33">
        <f>ROUND(X333-AH333,2)</f>
      </c>
      <c r="AS333" s="33">
        <f>ROUND(Y333-AI333,2)</f>
      </c>
      <c r="AT333" s="33">
        <f>ROUND(Z333-AJ333,2)</f>
      </c>
      <c r="AU333" s="33">
        <f>ROUND(AA333-AK333,2)</f>
      </c>
      <c r="AV333" s="33">
        <f>ROUND(AB333-AL333,2)</f>
      </c>
      <c r="AW333" s="33">
        <f>ROUND(AC333-AM333,2)</f>
      </c>
      <c r="AX333" s="33">
        <f>ROUND(AD333-AN333,2)</f>
      </c>
      <c r="AY333" s="33">
        <f>ROUND(AE333-AO333,2)</f>
      </c>
      <c r="AZ333" s="33">
        <f>ROUND(MAX(0,'Your debts'!$D$22-SUM($L333:$U333)),2)</f>
      </c>
      <c r="BA333" s="33">
        <f>ROUND(SUM($B333:$K333)-SUM($AP332:$AY332),2)</f>
      </c>
      <c r="BB333" s="33">
        <f>SUM($AP333:$AY333)</f>
      </c>
      <c r="BC333" s="33">
        <f>ROUND(SUM($L333:$U333)+SUM($AF333:$AO333),2)</f>
      </c>
    </row>
    <row r="334" spans="1:55" x14ac:dyDescent="0.25">
      <c r="A334">
        <v>327</v>
      </c>
      <c r="B334" s="33">
        <f>IF(AP333&lt;=0,0,ROUND(AP333+ROUND(AP333*V$3/12,2),2))</f>
      </c>
      <c r="C334" s="33">
        <f>IF(AQ333&lt;=0,0,ROUND(AQ333+ROUND(AQ333*W$3/12,2),2))</f>
      </c>
      <c r="D334" s="33">
        <f>IF(AR333&lt;=0,0,ROUND(AR333+ROUND(AR333*X$3/12,2),2))</f>
      </c>
      <c r="E334" s="33">
        <f>IF(AS333&lt;=0,0,ROUND(AS333+ROUND(AS333*Y$3/12,2),2))</f>
      </c>
      <c r="F334" s="33">
        <f>IF(AT333&lt;=0,0,ROUND(AT333+ROUND(AT333*Z$3/12,2),2))</f>
      </c>
      <c r="G334" s="33">
        <f>IF(AU333&lt;=0,0,ROUND(AU333+ROUND(AU333*AA$3/12,2),2))</f>
      </c>
      <c r="H334" s="33">
        <f>IF(AV333&lt;=0,0,ROUND(AV333+ROUND(AV333*AB$3/12,2),2))</f>
      </c>
      <c r="I334" s="33">
        <f>IF(AW333&lt;=0,0,ROUND(AW333+ROUND(AW333*AC$3/12,2),2))</f>
      </c>
      <c r="J334" s="33">
        <f>IF(AX333&lt;=0,0,ROUND(AX333+ROUND(AX333*AD$3/12,2),2))</f>
      </c>
      <c r="K334" s="33">
        <f>IF(AY333&lt;=0,0,ROUND(AY333+ROUND(AY333*AE$3/12,2),2))</f>
      </c>
      <c r="L334" s="33">
        <f>ROUND(MIN(MAX(0,N('Your debts'!$E$6)),B334),2)</f>
      </c>
      <c r="M334" s="33">
        <f>ROUND(MIN(MAX(0,N('Your debts'!$E$7)),C334),2)</f>
      </c>
      <c r="N334" s="33">
        <f>ROUND(MIN(MAX(0,N('Your debts'!$E$8)),D334),2)</f>
      </c>
      <c r="O334" s="33">
        <f>ROUND(MIN(MAX(0,N('Your debts'!$E$9)),E334),2)</f>
      </c>
      <c r="P334" s="33">
        <f>ROUND(MIN(MAX(0,N('Your debts'!$E$10)),F334),2)</f>
      </c>
      <c r="Q334" s="33">
        <f>ROUND(MIN(MAX(0,N('Your debts'!$E$11)),G334),2)</f>
      </c>
      <c r="R334" s="33">
        <f>ROUND(MIN(MAX(0,N('Your debts'!$E$12)),H334),2)</f>
      </c>
      <c r="S334" s="33">
        <f>ROUND(MIN(MAX(0,N('Your debts'!$E$13)),I334),2)</f>
      </c>
      <c r="T334" s="33">
        <f>ROUND(MIN(MAX(0,N('Your debts'!$E$14)),J334),2)</f>
      </c>
      <c r="U334" s="33">
        <f>ROUND(MIN(MAX(0,N('Your debts'!$E$15)),K334),2)</f>
      </c>
      <c r="V334" s="33">
        <f>ROUND(B334-L334,2)</f>
      </c>
      <c r="W334" s="33">
        <f>ROUND(C334-M334,2)</f>
      </c>
      <c r="X334" s="33">
        <f>ROUND(D334-N334,2)</f>
      </c>
      <c r="Y334" s="33">
        <f>ROUND(E334-O334,2)</f>
      </c>
      <c r="Z334" s="33">
        <f>ROUND(F334-P334,2)</f>
      </c>
      <c r="AA334" s="33">
        <f>ROUND(G334-Q334,2)</f>
      </c>
      <c r="AB334" s="33">
        <f>ROUND(H334-R334,2)</f>
      </c>
      <c r="AC334" s="33">
        <f>ROUND(I334-S334,2)</f>
      </c>
      <c r="AD334" s="33">
        <f>ROUND(J334-T334,2)</f>
      </c>
      <c r="AE334" s="33">
        <f>ROUND(K334-U334,2)</f>
      </c>
      <c r="AF334" s="33">
        <f>IF(V334&lt;=0,0,MAX(0,MIN(V334,ROUND($AZ334-SUMPRODUCT($V334:$AE334*($V334:$AE334&gt;0)*(($V334:$AE334&lt;V334)+($V334:$AE334=V334)*($V$3:$AE$3&gt;V$3)+($V334:$AE334=V334)*($V$3:$AE$3=V$3)*($V$2:$AE$2&lt;V$2))),2))))</f>
      </c>
      <c r="AG334" s="33">
        <f>IF(W334&lt;=0,0,MAX(0,MIN(W334,ROUND($AZ334-SUMPRODUCT($V334:$AE334*($V334:$AE334&gt;0)*(($V334:$AE334&lt;W334)+($V334:$AE334=W334)*($V$3:$AE$3&gt;W$3)+($V334:$AE334=W334)*($V$3:$AE$3=W$3)*($V$2:$AE$2&lt;W$2))),2))))</f>
      </c>
      <c r="AH334" s="33">
        <f>IF(X334&lt;=0,0,MAX(0,MIN(X334,ROUND($AZ334-SUMPRODUCT($V334:$AE334*($V334:$AE334&gt;0)*(($V334:$AE334&lt;X334)+($V334:$AE334=X334)*($V$3:$AE$3&gt;X$3)+($V334:$AE334=X334)*($V$3:$AE$3=X$3)*($V$2:$AE$2&lt;X$2))),2))))</f>
      </c>
      <c r="AI334" s="33">
        <f>IF(Y334&lt;=0,0,MAX(0,MIN(Y334,ROUND($AZ334-SUMPRODUCT($V334:$AE334*($V334:$AE334&gt;0)*(($V334:$AE334&lt;Y334)+($V334:$AE334=Y334)*($V$3:$AE$3&gt;Y$3)+($V334:$AE334=Y334)*($V$3:$AE$3=Y$3)*($V$2:$AE$2&lt;Y$2))),2))))</f>
      </c>
      <c r="AJ334" s="33">
        <f>IF(Z334&lt;=0,0,MAX(0,MIN(Z334,ROUND($AZ334-SUMPRODUCT($V334:$AE334*($V334:$AE334&gt;0)*(($V334:$AE334&lt;Z334)+($V334:$AE334=Z334)*($V$3:$AE$3&gt;Z$3)+($V334:$AE334=Z334)*($V$3:$AE$3=Z$3)*($V$2:$AE$2&lt;Z$2))),2))))</f>
      </c>
      <c r="AK334" s="33">
        <f>IF(AA334&lt;=0,0,MAX(0,MIN(AA334,ROUND($AZ334-SUMPRODUCT($V334:$AE334*($V334:$AE334&gt;0)*(($V334:$AE334&lt;AA334)+($V334:$AE334=AA334)*($V$3:$AE$3&gt;AA$3)+($V334:$AE334=AA334)*($V$3:$AE$3=AA$3)*($V$2:$AE$2&lt;AA$2))),2))))</f>
      </c>
      <c r="AL334" s="33">
        <f>IF(AB334&lt;=0,0,MAX(0,MIN(AB334,ROUND($AZ334-SUMPRODUCT($V334:$AE334*($V334:$AE334&gt;0)*(($V334:$AE334&lt;AB334)+($V334:$AE334=AB334)*($V$3:$AE$3&gt;AB$3)+($V334:$AE334=AB334)*($V$3:$AE$3=AB$3)*($V$2:$AE$2&lt;AB$2))),2))))</f>
      </c>
      <c r="AM334" s="33">
        <f>IF(AC334&lt;=0,0,MAX(0,MIN(AC334,ROUND($AZ334-SUMPRODUCT($V334:$AE334*($V334:$AE334&gt;0)*(($V334:$AE334&lt;AC334)+($V334:$AE334=AC334)*($V$3:$AE$3&gt;AC$3)+($V334:$AE334=AC334)*($V$3:$AE$3=AC$3)*($V$2:$AE$2&lt;AC$2))),2))))</f>
      </c>
      <c r="AN334" s="33">
        <f>IF(AD334&lt;=0,0,MAX(0,MIN(AD334,ROUND($AZ334-SUMPRODUCT($V334:$AE334*($V334:$AE334&gt;0)*(($V334:$AE334&lt;AD334)+($V334:$AE334=AD334)*($V$3:$AE$3&gt;AD$3)+($V334:$AE334=AD334)*($V$3:$AE$3=AD$3)*($V$2:$AE$2&lt;AD$2))),2))))</f>
      </c>
      <c r="AO334" s="33">
        <f>IF(AE334&lt;=0,0,MAX(0,MIN(AE334,ROUND($AZ334-SUMPRODUCT($V334:$AE334*($V334:$AE334&gt;0)*(($V334:$AE334&lt;AE334)+($V334:$AE334=AE334)*($V$3:$AE$3&gt;AE$3)+($V334:$AE334=AE334)*($V$3:$AE$3=AE$3)*($V$2:$AE$2&lt;AE$2))),2))))</f>
      </c>
      <c r="AP334" s="33">
        <f>ROUND(V334-AF334,2)</f>
      </c>
      <c r="AQ334" s="33">
        <f>ROUND(W334-AG334,2)</f>
      </c>
      <c r="AR334" s="33">
        <f>ROUND(X334-AH334,2)</f>
      </c>
      <c r="AS334" s="33">
        <f>ROUND(Y334-AI334,2)</f>
      </c>
      <c r="AT334" s="33">
        <f>ROUND(Z334-AJ334,2)</f>
      </c>
      <c r="AU334" s="33">
        <f>ROUND(AA334-AK334,2)</f>
      </c>
      <c r="AV334" s="33">
        <f>ROUND(AB334-AL334,2)</f>
      </c>
      <c r="AW334" s="33">
        <f>ROUND(AC334-AM334,2)</f>
      </c>
      <c r="AX334" s="33">
        <f>ROUND(AD334-AN334,2)</f>
      </c>
      <c r="AY334" s="33">
        <f>ROUND(AE334-AO334,2)</f>
      </c>
      <c r="AZ334" s="33">
        <f>ROUND(MAX(0,'Your debts'!$D$22-SUM($L334:$U334)),2)</f>
      </c>
      <c r="BA334" s="33">
        <f>ROUND(SUM($B334:$K334)-SUM($AP333:$AY333),2)</f>
      </c>
      <c r="BB334" s="33">
        <f>SUM($AP334:$AY334)</f>
      </c>
      <c r="BC334" s="33">
        <f>ROUND(SUM($L334:$U334)+SUM($AF334:$AO334),2)</f>
      </c>
    </row>
    <row r="335" spans="1:55" x14ac:dyDescent="0.25">
      <c r="A335">
        <v>328</v>
      </c>
      <c r="B335" s="33">
        <f>IF(AP334&lt;=0,0,ROUND(AP334+ROUND(AP334*V$3/12,2),2))</f>
      </c>
      <c r="C335" s="33">
        <f>IF(AQ334&lt;=0,0,ROUND(AQ334+ROUND(AQ334*W$3/12,2),2))</f>
      </c>
      <c r="D335" s="33">
        <f>IF(AR334&lt;=0,0,ROUND(AR334+ROUND(AR334*X$3/12,2),2))</f>
      </c>
      <c r="E335" s="33">
        <f>IF(AS334&lt;=0,0,ROUND(AS334+ROUND(AS334*Y$3/12,2),2))</f>
      </c>
      <c r="F335" s="33">
        <f>IF(AT334&lt;=0,0,ROUND(AT334+ROUND(AT334*Z$3/12,2),2))</f>
      </c>
      <c r="G335" s="33">
        <f>IF(AU334&lt;=0,0,ROUND(AU334+ROUND(AU334*AA$3/12,2),2))</f>
      </c>
      <c r="H335" s="33">
        <f>IF(AV334&lt;=0,0,ROUND(AV334+ROUND(AV334*AB$3/12,2),2))</f>
      </c>
      <c r="I335" s="33">
        <f>IF(AW334&lt;=0,0,ROUND(AW334+ROUND(AW334*AC$3/12,2),2))</f>
      </c>
      <c r="J335" s="33">
        <f>IF(AX334&lt;=0,0,ROUND(AX334+ROUND(AX334*AD$3/12,2),2))</f>
      </c>
      <c r="K335" s="33">
        <f>IF(AY334&lt;=0,0,ROUND(AY334+ROUND(AY334*AE$3/12,2),2))</f>
      </c>
      <c r="L335" s="33">
        <f>ROUND(MIN(MAX(0,N('Your debts'!$E$6)),B335),2)</f>
      </c>
      <c r="M335" s="33">
        <f>ROUND(MIN(MAX(0,N('Your debts'!$E$7)),C335),2)</f>
      </c>
      <c r="N335" s="33">
        <f>ROUND(MIN(MAX(0,N('Your debts'!$E$8)),D335),2)</f>
      </c>
      <c r="O335" s="33">
        <f>ROUND(MIN(MAX(0,N('Your debts'!$E$9)),E335),2)</f>
      </c>
      <c r="P335" s="33">
        <f>ROUND(MIN(MAX(0,N('Your debts'!$E$10)),F335),2)</f>
      </c>
      <c r="Q335" s="33">
        <f>ROUND(MIN(MAX(0,N('Your debts'!$E$11)),G335),2)</f>
      </c>
      <c r="R335" s="33">
        <f>ROUND(MIN(MAX(0,N('Your debts'!$E$12)),H335),2)</f>
      </c>
      <c r="S335" s="33">
        <f>ROUND(MIN(MAX(0,N('Your debts'!$E$13)),I335),2)</f>
      </c>
      <c r="T335" s="33">
        <f>ROUND(MIN(MAX(0,N('Your debts'!$E$14)),J335),2)</f>
      </c>
      <c r="U335" s="33">
        <f>ROUND(MIN(MAX(0,N('Your debts'!$E$15)),K335),2)</f>
      </c>
      <c r="V335" s="33">
        <f>ROUND(B335-L335,2)</f>
      </c>
      <c r="W335" s="33">
        <f>ROUND(C335-M335,2)</f>
      </c>
      <c r="X335" s="33">
        <f>ROUND(D335-N335,2)</f>
      </c>
      <c r="Y335" s="33">
        <f>ROUND(E335-O335,2)</f>
      </c>
      <c r="Z335" s="33">
        <f>ROUND(F335-P335,2)</f>
      </c>
      <c r="AA335" s="33">
        <f>ROUND(G335-Q335,2)</f>
      </c>
      <c r="AB335" s="33">
        <f>ROUND(H335-R335,2)</f>
      </c>
      <c r="AC335" s="33">
        <f>ROUND(I335-S335,2)</f>
      </c>
      <c r="AD335" s="33">
        <f>ROUND(J335-T335,2)</f>
      </c>
      <c r="AE335" s="33">
        <f>ROUND(K335-U335,2)</f>
      </c>
      <c r="AF335" s="33">
        <f>IF(V335&lt;=0,0,MAX(0,MIN(V335,ROUND($AZ335-SUMPRODUCT($V335:$AE335*($V335:$AE335&gt;0)*(($V335:$AE335&lt;V335)+($V335:$AE335=V335)*($V$3:$AE$3&gt;V$3)+($V335:$AE335=V335)*($V$3:$AE$3=V$3)*($V$2:$AE$2&lt;V$2))),2))))</f>
      </c>
      <c r="AG335" s="33">
        <f>IF(W335&lt;=0,0,MAX(0,MIN(W335,ROUND($AZ335-SUMPRODUCT($V335:$AE335*($V335:$AE335&gt;0)*(($V335:$AE335&lt;W335)+($V335:$AE335=W335)*($V$3:$AE$3&gt;W$3)+($V335:$AE335=W335)*($V$3:$AE$3=W$3)*($V$2:$AE$2&lt;W$2))),2))))</f>
      </c>
      <c r="AH335" s="33">
        <f>IF(X335&lt;=0,0,MAX(0,MIN(X335,ROUND($AZ335-SUMPRODUCT($V335:$AE335*($V335:$AE335&gt;0)*(($V335:$AE335&lt;X335)+($V335:$AE335=X335)*($V$3:$AE$3&gt;X$3)+($V335:$AE335=X335)*($V$3:$AE$3=X$3)*($V$2:$AE$2&lt;X$2))),2))))</f>
      </c>
      <c r="AI335" s="33">
        <f>IF(Y335&lt;=0,0,MAX(0,MIN(Y335,ROUND($AZ335-SUMPRODUCT($V335:$AE335*($V335:$AE335&gt;0)*(($V335:$AE335&lt;Y335)+($V335:$AE335=Y335)*($V$3:$AE$3&gt;Y$3)+($V335:$AE335=Y335)*($V$3:$AE$3=Y$3)*($V$2:$AE$2&lt;Y$2))),2))))</f>
      </c>
      <c r="AJ335" s="33">
        <f>IF(Z335&lt;=0,0,MAX(0,MIN(Z335,ROUND($AZ335-SUMPRODUCT($V335:$AE335*($V335:$AE335&gt;0)*(($V335:$AE335&lt;Z335)+($V335:$AE335=Z335)*($V$3:$AE$3&gt;Z$3)+($V335:$AE335=Z335)*($V$3:$AE$3=Z$3)*($V$2:$AE$2&lt;Z$2))),2))))</f>
      </c>
      <c r="AK335" s="33">
        <f>IF(AA335&lt;=0,0,MAX(0,MIN(AA335,ROUND($AZ335-SUMPRODUCT($V335:$AE335*($V335:$AE335&gt;0)*(($V335:$AE335&lt;AA335)+($V335:$AE335=AA335)*($V$3:$AE$3&gt;AA$3)+($V335:$AE335=AA335)*($V$3:$AE$3=AA$3)*($V$2:$AE$2&lt;AA$2))),2))))</f>
      </c>
      <c r="AL335" s="33">
        <f>IF(AB335&lt;=0,0,MAX(0,MIN(AB335,ROUND($AZ335-SUMPRODUCT($V335:$AE335*($V335:$AE335&gt;0)*(($V335:$AE335&lt;AB335)+($V335:$AE335=AB335)*($V$3:$AE$3&gt;AB$3)+($V335:$AE335=AB335)*($V$3:$AE$3=AB$3)*($V$2:$AE$2&lt;AB$2))),2))))</f>
      </c>
      <c r="AM335" s="33">
        <f>IF(AC335&lt;=0,0,MAX(0,MIN(AC335,ROUND($AZ335-SUMPRODUCT($V335:$AE335*($V335:$AE335&gt;0)*(($V335:$AE335&lt;AC335)+($V335:$AE335=AC335)*($V$3:$AE$3&gt;AC$3)+($V335:$AE335=AC335)*($V$3:$AE$3=AC$3)*($V$2:$AE$2&lt;AC$2))),2))))</f>
      </c>
      <c r="AN335" s="33">
        <f>IF(AD335&lt;=0,0,MAX(0,MIN(AD335,ROUND($AZ335-SUMPRODUCT($V335:$AE335*($V335:$AE335&gt;0)*(($V335:$AE335&lt;AD335)+($V335:$AE335=AD335)*($V$3:$AE$3&gt;AD$3)+($V335:$AE335=AD335)*($V$3:$AE$3=AD$3)*($V$2:$AE$2&lt;AD$2))),2))))</f>
      </c>
      <c r="AO335" s="33">
        <f>IF(AE335&lt;=0,0,MAX(0,MIN(AE335,ROUND($AZ335-SUMPRODUCT($V335:$AE335*($V335:$AE335&gt;0)*(($V335:$AE335&lt;AE335)+($V335:$AE335=AE335)*($V$3:$AE$3&gt;AE$3)+($V335:$AE335=AE335)*($V$3:$AE$3=AE$3)*($V$2:$AE$2&lt;AE$2))),2))))</f>
      </c>
      <c r="AP335" s="33">
        <f>ROUND(V335-AF335,2)</f>
      </c>
      <c r="AQ335" s="33">
        <f>ROUND(W335-AG335,2)</f>
      </c>
      <c r="AR335" s="33">
        <f>ROUND(X335-AH335,2)</f>
      </c>
      <c r="AS335" s="33">
        <f>ROUND(Y335-AI335,2)</f>
      </c>
      <c r="AT335" s="33">
        <f>ROUND(Z335-AJ335,2)</f>
      </c>
      <c r="AU335" s="33">
        <f>ROUND(AA335-AK335,2)</f>
      </c>
      <c r="AV335" s="33">
        <f>ROUND(AB335-AL335,2)</f>
      </c>
      <c r="AW335" s="33">
        <f>ROUND(AC335-AM335,2)</f>
      </c>
      <c r="AX335" s="33">
        <f>ROUND(AD335-AN335,2)</f>
      </c>
      <c r="AY335" s="33">
        <f>ROUND(AE335-AO335,2)</f>
      </c>
      <c r="AZ335" s="33">
        <f>ROUND(MAX(0,'Your debts'!$D$22-SUM($L335:$U335)),2)</f>
      </c>
      <c r="BA335" s="33">
        <f>ROUND(SUM($B335:$K335)-SUM($AP334:$AY334),2)</f>
      </c>
      <c r="BB335" s="33">
        <f>SUM($AP335:$AY335)</f>
      </c>
      <c r="BC335" s="33">
        <f>ROUND(SUM($L335:$U335)+SUM($AF335:$AO335),2)</f>
      </c>
    </row>
    <row r="336" spans="1:55" x14ac:dyDescent="0.25">
      <c r="A336">
        <v>329</v>
      </c>
      <c r="B336" s="33">
        <f>IF(AP335&lt;=0,0,ROUND(AP335+ROUND(AP335*V$3/12,2),2))</f>
      </c>
      <c r="C336" s="33">
        <f>IF(AQ335&lt;=0,0,ROUND(AQ335+ROUND(AQ335*W$3/12,2),2))</f>
      </c>
      <c r="D336" s="33">
        <f>IF(AR335&lt;=0,0,ROUND(AR335+ROUND(AR335*X$3/12,2),2))</f>
      </c>
      <c r="E336" s="33">
        <f>IF(AS335&lt;=0,0,ROUND(AS335+ROUND(AS335*Y$3/12,2),2))</f>
      </c>
      <c r="F336" s="33">
        <f>IF(AT335&lt;=0,0,ROUND(AT335+ROUND(AT335*Z$3/12,2),2))</f>
      </c>
      <c r="G336" s="33">
        <f>IF(AU335&lt;=0,0,ROUND(AU335+ROUND(AU335*AA$3/12,2),2))</f>
      </c>
      <c r="H336" s="33">
        <f>IF(AV335&lt;=0,0,ROUND(AV335+ROUND(AV335*AB$3/12,2),2))</f>
      </c>
      <c r="I336" s="33">
        <f>IF(AW335&lt;=0,0,ROUND(AW335+ROUND(AW335*AC$3/12,2),2))</f>
      </c>
      <c r="J336" s="33">
        <f>IF(AX335&lt;=0,0,ROUND(AX335+ROUND(AX335*AD$3/12,2),2))</f>
      </c>
      <c r="K336" s="33">
        <f>IF(AY335&lt;=0,0,ROUND(AY335+ROUND(AY335*AE$3/12,2),2))</f>
      </c>
      <c r="L336" s="33">
        <f>ROUND(MIN(MAX(0,N('Your debts'!$E$6)),B336),2)</f>
      </c>
      <c r="M336" s="33">
        <f>ROUND(MIN(MAX(0,N('Your debts'!$E$7)),C336),2)</f>
      </c>
      <c r="N336" s="33">
        <f>ROUND(MIN(MAX(0,N('Your debts'!$E$8)),D336),2)</f>
      </c>
      <c r="O336" s="33">
        <f>ROUND(MIN(MAX(0,N('Your debts'!$E$9)),E336),2)</f>
      </c>
      <c r="P336" s="33">
        <f>ROUND(MIN(MAX(0,N('Your debts'!$E$10)),F336),2)</f>
      </c>
      <c r="Q336" s="33">
        <f>ROUND(MIN(MAX(0,N('Your debts'!$E$11)),G336),2)</f>
      </c>
      <c r="R336" s="33">
        <f>ROUND(MIN(MAX(0,N('Your debts'!$E$12)),H336),2)</f>
      </c>
      <c r="S336" s="33">
        <f>ROUND(MIN(MAX(0,N('Your debts'!$E$13)),I336),2)</f>
      </c>
      <c r="T336" s="33">
        <f>ROUND(MIN(MAX(0,N('Your debts'!$E$14)),J336),2)</f>
      </c>
      <c r="U336" s="33">
        <f>ROUND(MIN(MAX(0,N('Your debts'!$E$15)),K336),2)</f>
      </c>
      <c r="V336" s="33">
        <f>ROUND(B336-L336,2)</f>
      </c>
      <c r="W336" s="33">
        <f>ROUND(C336-M336,2)</f>
      </c>
      <c r="X336" s="33">
        <f>ROUND(D336-N336,2)</f>
      </c>
      <c r="Y336" s="33">
        <f>ROUND(E336-O336,2)</f>
      </c>
      <c r="Z336" s="33">
        <f>ROUND(F336-P336,2)</f>
      </c>
      <c r="AA336" s="33">
        <f>ROUND(G336-Q336,2)</f>
      </c>
      <c r="AB336" s="33">
        <f>ROUND(H336-R336,2)</f>
      </c>
      <c r="AC336" s="33">
        <f>ROUND(I336-S336,2)</f>
      </c>
      <c r="AD336" s="33">
        <f>ROUND(J336-T336,2)</f>
      </c>
      <c r="AE336" s="33">
        <f>ROUND(K336-U336,2)</f>
      </c>
      <c r="AF336" s="33">
        <f>IF(V336&lt;=0,0,MAX(0,MIN(V336,ROUND($AZ336-SUMPRODUCT($V336:$AE336*($V336:$AE336&gt;0)*(($V336:$AE336&lt;V336)+($V336:$AE336=V336)*($V$3:$AE$3&gt;V$3)+($V336:$AE336=V336)*($V$3:$AE$3=V$3)*($V$2:$AE$2&lt;V$2))),2))))</f>
      </c>
      <c r="AG336" s="33">
        <f>IF(W336&lt;=0,0,MAX(0,MIN(W336,ROUND($AZ336-SUMPRODUCT($V336:$AE336*($V336:$AE336&gt;0)*(($V336:$AE336&lt;W336)+($V336:$AE336=W336)*($V$3:$AE$3&gt;W$3)+($V336:$AE336=W336)*($V$3:$AE$3=W$3)*($V$2:$AE$2&lt;W$2))),2))))</f>
      </c>
      <c r="AH336" s="33">
        <f>IF(X336&lt;=0,0,MAX(0,MIN(X336,ROUND($AZ336-SUMPRODUCT($V336:$AE336*($V336:$AE336&gt;0)*(($V336:$AE336&lt;X336)+($V336:$AE336=X336)*($V$3:$AE$3&gt;X$3)+($V336:$AE336=X336)*($V$3:$AE$3=X$3)*($V$2:$AE$2&lt;X$2))),2))))</f>
      </c>
      <c r="AI336" s="33">
        <f>IF(Y336&lt;=0,0,MAX(0,MIN(Y336,ROUND($AZ336-SUMPRODUCT($V336:$AE336*($V336:$AE336&gt;0)*(($V336:$AE336&lt;Y336)+($V336:$AE336=Y336)*($V$3:$AE$3&gt;Y$3)+($V336:$AE336=Y336)*($V$3:$AE$3=Y$3)*($V$2:$AE$2&lt;Y$2))),2))))</f>
      </c>
      <c r="AJ336" s="33">
        <f>IF(Z336&lt;=0,0,MAX(0,MIN(Z336,ROUND($AZ336-SUMPRODUCT($V336:$AE336*($V336:$AE336&gt;0)*(($V336:$AE336&lt;Z336)+($V336:$AE336=Z336)*($V$3:$AE$3&gt;Z$3)+($V336:$AE336=Z336)*($V$3:$AE$3=Z$3)*($V$2:$AE$2&lt;Z$2))),2))))</f>
      </c>
      <c r="AK336" s="33">
        <f>IF(AA336&lt;=0,0,MAX(0,MIN(AA336,ROUND($AZ336-SUMPRODUCT($V336:$AE336*($V336:$AE336&gt;0)*(($V336:$AE336&lt;AA336)+($V336:$AE336=AA336)*($V$3:$AE$3&gt;AA$3)+($V336:$AE336=AA336)*($V$3:$AE$3=AA$3)*($V$2:$AE$2&lt;AA$2))),2))))</f>
      </c>
      <c r="AL336" s="33">
        <f>IF(AB336&lt;=0,0,MAX(0,MIN(AB336,ROUND($AZ336-SUMPRODUCT($V336:$AE336*($V336:$AE336&gt;0)*(($V336:$AE336&lt;AB336)+($V336:$AE336=AB336)*($V$3:$AE$3&gt;AB$3)+($V336:$AE336=AB336)*($V$3:$AE$3=AB$3)*($V$2:$AE$2&lt;AB$2))),2))))</f>
      </c>
      <c r="AM336" s="33">
        <f>IF(AC336&lt;=0,0,MAX(0,MIN(AC336,ROUND($AZ336-SUMPRODUCT($V336:$AE336*($V336:$AE336&gt;0)*(($V336:$AE336&lt;AC336)+($V336:$AE336=AC336)*($V$3:$AE$3&gt;AC$3)+($V336:$AE336=AC336)*($V$3:$AE$3=AC$3)*($V$2:$AE$2&lt;AC$2))),2))))</f>
      </c>
      <c r="AN336" s="33">
        <f>IF(AD336&lt;=0,0,MAX(0,MIN(AD336,ROUND($AZ336-SUMPRODUCT($V336:$AE336*($V336:$AE336&gt;0)*(($V336:$AE336&lt;AD336)+($V336:$AE336=AD336)*($V$3:$AE$3&gt;AD$3)+($V336:$AE336=AD336)*($V$3:$AE$3=AD$3)*($V$2:$AE$2&lt;AD$2))),2))))</f>
      </c>
      <c r="AO336" s="33">
        <f>IF(AE336&lt;=0,0,MAX(0,MIN(AE336,ROUND($AZ336-SUMPRODUCT($V336:$AE336*($V336:$AE336&gt;0)*(($V336:$AE336&lt;AE336)+($V336:$AE336=AE336)*($V$3:$AE$3&gt;AE$3)+($V336:$AE336=AE336)*($V$3:$AE$3=AE$3)*($V$2:$AE$2&lt;AE$2))),2))))</f>
      </c>
      <c r="AP336" s="33">
        <f>ROUND(V336-AF336,2)</f>
      </c>
      <c r="AQ336" s="33">
        <f>ROUND(W336-AG336,2)</f>
      </c>
      <c r="AR336" s="33">
        <f>ROUND(X336-AH336,2)</f>
      </c>
      <c r="AS336" s="33">
        <f>ROUND(Y336-AI336,2)</f>
      </c>
      <c r="AT336" s="33">
        <f>ROUND(Z336-AJ336,2)</f>
      </c>
      <c r="AU336" s="33">
        <f>ROUND(AA336-AK336,2)</f>
      </c>
      <c r="AV336" s="33">
        <f>ROUND(AB336-AL336,2)</f>
      </c>
      <c r="AW336" s="33">
        <f>ROUND(AC336-AM336,2)</f>
      </c>
      <c r="AX336" s="33">
        <f>ROUND(AD336-AN336,2)</f>
      </c>
      <c r="AY336" s="33">
        <f>ROUND(AE336-AO336,2)</f>
      </c>
      <c r="AZ336" s="33">
        <f>ROUND(MAX(0,'Your debts'!$D$22-SUM($L336:$U336)),2)</f>
      </c>
      <c r="BA336" s="33">
        <f>ROUND(SUM($B336:$K336)-SUM($AP335:$AY335),2)</f>
      </c>
      <c r="BB336" s="33">
        <f>SUM($AP336:$AY336)</f>
      </c>
      <c r="BC336" s="33">
        <f>ROUND(SUM($L336:$U336)+SUM($AF336:$AO336),2)</f>
      </c>
    </row>
    <row r="337" spans="1:55" x14ac:dyDescent="0.25">
      <c r="A337">
        <v>330</v>
      </c>
      <c r="B337" s="33">
        <f>IF(AP336&lt;=0,0,ROUND(AP336+ROUND(AP336*V$3/12,2),2))</f>
      </c>
      <c r="C337" s="33">
        <f>IF(AQ336&lt;=0,0,ROUND(AQ336+ROUND(AQ336*W$3/12,2),2))</f>
      </c>
      <c r="D337" s="33">
        <f>IF(AR336&lt;=0,0,ROUND(AR336+ROUND(AR336*X$3/12,2),2))</f>
      </c>
      <c r="E337" s="33">
        <f>IF(AS336&lt;=0,0,ROUND(AS336+ROUND(AS336*Y$3/12,2),2))</f>
      </c>
      <c r="F337" s="33">
        <f>IF(AT336&lt;=0,0,ROUND(AT336+ROUND(AT336*Z$3/12,2),2))</f>
      </c>
      <c r="G337" s="33">
        <f>IF(AU336&lt;=0,0,ROUND(AU336+ROUND(AU336*AA$3/12,2),2))</f>
      </c>
      <c r="H337" s="33">
        <f>IF(AV336&lt;=0,0,ROUND(AV336+ROUND(AV336*AB$3/12,2),2))</f>
      </c>
      <c r="I337" s="33">
        <f>IF(AW336&lt;=0,0,ROUND(AW336+ROUND(AW336*AC$3/12,2),2))</f>
      </c>
      <c r="J337" s="33">
        <f>IF(AX336&lt;=0,0,ROUND(AX336+ROUND(AX336*AD$3/12,2),2))</f>
      </c>
      <c r="K337" s="33">
        <f>IF(AY336&lt;=0,0,ROUND(AY336+ROUND(AY336*AE$3/12,2),2))</f>
      </c>
      <c r="L337" s="33">
        <f>ROUND(MIN(MAX(0,N('Your debts'!$E$6)),B337),2)</f>
      </c>
      <c r="M337" s="33">
        <f>ROUND(MIN(MAX(0,N('Your debts'!$E$7)),C337),2)</f>
      </c>
      <c r="N337" s="33">
        <f>ROUND(MIN(MAX(0,N('Your debts'!$E$8)),D337),2)</f>
      </c>
      <c r="O337" s="33">
        <f>ROUND(MIN(MAX(0,N('Your debts'!$E$9)),E337),2)</f>
      </c>
      <c r="P337" s="33">
        <f>ROUND(MIN(MAX(0,N('Your debts'!$E$10)),F337),2)</f>
      </c>
      <c r="Q337" s="33">
        <f>ROUND(MIN(MAX(0,N('Your debts'!$E$11)),G337),2)</f>
      </c>
      <c r="R337" s="33">
        <f>ROUND(MIN(MAX(0,N('Your debts'!$E$12)),H337),2)</f>
      </c>
      <c r="S337" s="33">
        <f>ROUND(MIN(MAX(0,N('Your debts'!$E$13)),I337),2)</f>
      </c>
      <c r="T337" s="33">
        <f>ROUND(MIN(MAX(0,N('Your debts'!$E$14)),J337),2)</f>
      </c>
      <c r="U337" s="33">
        <f>ROUND(MIN(MAX(0,N('Your debts'!$E$15)),K337),2)</f>
      </c>
      <c r="V337" s="33">
        <f>ROUND(B337-L337,2)</f>
      </c>
      <c r="W337" s="33">
        <f>ROUND(C337-M337,2)</f>
      </c>
      <c r="X337" s="33">
        <f>ROUND(D337-N337,2)</f>
      </c>
      <c r="Y337" s="33">
        <f>ROUND(E337-O337,2)</f>
      </c>
      <c r="Z337" s="33">
        <f>ROUND(F337-P337,2)</f>
      </c>
      <c r="AA337" s="33">
        <f>ROUND(G337-Q337,2)</f>
      </c>
      <c r="AB337" s="33">
        <f>ROUND(H337-R337,2)</f>
      </c>
      <c r="AC337" s="33">
        <f>ROUND(I337-S337,2)</f>
      </c>
      <c r="AD337" s="33">
        <f>ROUND(J337-T337,2)</f>
      </c>
      <c r="AE337" s="33">
        <f>ROUND(K337-U337,2)</f>
      </c>
      <c r="AF337" s="33">
        <f>IF(V337&lt;=0,0,MAX(0,MIN(V337,ROUND($AZ337-SUMPRODUCT($V337:$AE337*($V337:$AE337&gt;0)*(($V337:$AE337&lt;V337)+($V337:$AE337=V337)*($V$3:$AE$3&gt;V$3)+($V337:$AE337=V337)*($V$3:$AE$3=V$3)*($V$2:$AE$2&lt;V$2))),2))))</f>
      </c>
      <c r="AG337" s="33">
        <f>IF(W337&lt;=0,0,MAX(0,MIN(W337,ROUND($AZ337-SUMPRODUCT($V337:$AE337*($V337:$AE337&gt;0)*(($V337:$AE337&lt;W337)+($V337:$AE337=W337)*($V$3:$AE$3&gt;W$3)+($V337:$AE337=W337)*($V$3:$AE$3=W$3)*($V$2:$AE$2&lt;W$2))),2))))</f>
      </c>
      <c r="AH337" s="33">
        <f>IF(X337&lt;=0,0,MAX(0,MIN(X337,ROUND($AZ337-SUMPRODUCT($V337:$AE337*($V337:$AE337&gt;0)*(($V337:$AE337&lt;X337)+($V337:$AE337=X337)*($V$3:$AE$3&gt;X$3)+($V337:$AE337=X337)*($V$3:$AE$3=X$3)*($V$2:$AE$2&lt;X$2))),2))))</f>
      </c>
      <c r="AI337" s="33">
        <f>IF(Y337&lt;=0,0,MAX(0,MIN(Y337,ROUND($AZ337-SUMPRODUCT($V337:$AE337*($V337:$AE337&gt;0)*(($V337:$AE337&lt;Y337)+($V337:$AE337=Y337)*($V$3:$AE$3&gt;Y$3)+($V337:$AE337=Y337)*($V$3:$AE$3=Y$3)*($V$2:$AE$2&lt;Y$2))),2))))</f>
      </c>
      <c r="AJ337" s="33">
        <f>IF(Z337&lt;=0,0,MAX(0,MIN(Z337,ROUND($AZ337-SUMPRODUCT($V337:$AE337*($V337:$AE337&gt;0)*(($V337:$AE337&lt;Z337)+($V337:$AE337=Z337)*($V$3:$AE$3&gt;Z$3)+($V337:$AE337=Z337)*($V$3:$AE$3=Z$3)*($V$2:$AE$2&lt;Z$2))),2))))</f>
      </c>
      <c r="AK337" s="33">
        <f>IF(AA337&lt;=0,0,MAX(0,MIN(AA337,ROUND($AZ337-SUMPRODUCT($V337:$AE337*($V337:$AE337&gt;0)*(($V337:$AE337&lt;AA337)+($V337:$AE337=AA337)*($V$3:$AE$3&gt;AA$3)+($V337:$AE337=AA337)*($V$3:$AE$3=AA$3)*($V$2:$AE$2&lt;AA$2))),2))))</f>
      </c>
      <c r="AL337" s="33">
        <f>IF(AB337&lt;=0,0,MAX(0,MIN(AB337,ROUND($AZ337-SUMPRODUCT($V337:$AE337*($V337:$AE337&gt;0)*(($V337:$AE337&lt;AB337)+($V337:$AE337=AB337)*($V$3:$AE$3&gt;AB$3)+($V337:$AE337=AB337)*($V$3:$AE$3=AB$3)*($V$2:$AE$2&lt;AB$2))),2))))</f>
      </c>
      <c r="AM337" s="33">
        <f>IF(AC337&lt;=0,0,MAX(0,MIN(AC337,ROUND($AZ337-SUMPRODUCT($V337:$AE337*($V337:$AE337&gt;0)*(($V337:$AE337&lt;AC337)+($V337:$AE337=AC337)*($V$3:$AE$3&gt;AC$3)+($V337:$AE337=AC337)*($V$3:$AE$3=AC$3)*($V$2:$AE$2&lt;AC$2))),2))))</f>
      </c>
      <c r="AN337" s="33">
        <f>IF(AD337&lt;=0,0,MAX(0,MIN(AD337,ROUND($AZ337-SUMPRODUCT($V337:$AE337*($V337:$AE337&gt;0)*(($V337:$AE337&lt;AD337)+($V337:$AE337=AD337)*($V$3:$AE$3&gt;AD$3)+($V337:$AE337=AD337)*($V$3:$AE$3=AD$3)*($V$2:$AE$2&lt;AD$2))),2))))</f>
      </c>
      <c r="AO337" s="33">
        <f>IF(AE337&lt;=0,0,MAX(0,MIN(AE337,ROUND($AZ337-SUMPRODUCT($V337:$AE337*($V337:$AE337&gt;0)*(($V337:$AE337&lt;AE337)+($V337:$AE337=AE337)*($V$3:$AE$3&gt;AE$3)+($V337:$AE337=AE337)*($V$3:$AE$3=AE$3)*($V$2:$AE$2&lt;AE$2))),2))))</f>
      </c>
      <c r="AP337" s="33">
        <f>ROUND(V337-AF337,2)</f>
      </c>
      <c r="AQ337" s="33">
        <f>ROUND(W337-AG337,2)</f>
      </c>
      <c r="AR337" s="33">
        <f>ROUND(X337-AH337,2)</f>
      </c>
      <c r="AS337" s="33">
        <f>ROUND(Y337-AI337,2)</f>
      </c>
      <c r="AT337" s="33">
        <f>ROUND(Z337-AJ337,2)</f>
      </c>
      <c r="AU337" s="33">
        <f>ROUND(AA337-AK337,2)</f>
      </c>
      <c r="AV337" s="33">
        <f>ROUND(AB337-AL337,2)</f>
      </c>
      <c r="AW337" s="33">
        <f>ROUND(AC337-AM337,2)</f>
      </c>
      <c r="AX337" s="33">
        <f>ROUND(AD337-AN337,2)</f>
      </c>
      <c r="AY337" s="33">
        <f>ROUND(AE337-AO337,2)</f>
      </c>
      <c r="AZ337" s="33">
        <f>ROUND(MAX(0,'Your debts'!$D$22-SUM($L337:$U337)),2)</f>
      </c>
      <c r="BA337" s="33">
        <f>ROUND(SUM($B337:$K337)-SUM($AP336:$AY336),2)</f>
      </c>
      <c r="BB337" s="33">
        <f>SUM($AP337:$AY337)</f>
      </c>
      <c r="BC337" s="33">
        <f>ROUND(SUM($L337:$U337)+SUM($AF337:$AO337),2)</f>
      </c>
    </row>
    <row r="338" spans="1:55" x14ac:dyDescent="0.25">
      <c r="A338">
        <v>331</v>
      </c>
      <c r="B338" s="33">
        <f>IF(AP337&lt;=0,0,ROUND(AP337+ROUND(AP337*V$3/12,2),2))</f>
      </c>
      <c r="C338" s="33">
        <f>IF(AQ337&lt;=0,0,ROUND(AQ337+ROUND(AQ337*W$3/12,2),2))</f>
      </c>
      <c r="D338" s="33">
        <f>IF(AR337&lt;=0,0,ROUND(AR337+ROUND(AR337*X$3/12,2),2))</f>
      </c>
      <c r="E338" s="33">
        <f>IF(AS337&lt;=0,0,ROUND(AS337+ROUND(AS337*Y$3/12,2),2))</f>
      </c>
      <c r="F338" s="33">
        <f>IF(AT337&lt;=0,0,ROUND(AT337+ROUND(AT337*Z$3/12,2),2))</f>
      </c>
      <c r="G338" s="33">
        <f>IF(AU337&lt;=0,0,ROUND(AU337+ROUND(AU337*AA$3/12,2),2))</f>
      </c>
      <c r="H338" s="33">
        <f>IF(AV337&lt;=0,0,ROUND(AV337+ROUND(AV337*AB$3/12,2),2))</f>
      </c>
      <c r="I338" s="33">
        <f>IF(AW337&lt;=0,0,ROUND(AW337+ROUND(AW337*AC$3/12,2),2))</f>
      </c>
      <c r="J338" s="33">
        <f>IF(AX337&lt;=0,0,ROUND(AX337+ROUND(AX337*AD$3/12,2),2))</f>
      </c>
      <c r="K338" s="33">
        <f>IF(AY337&lt;=0,0,ROUND(AY337+ROUND(AY337*AE$3/12,2),2))</f>
      </c>
      <c r="L338" s="33">
        <f>ROUND(MIN(MAX(0,N('Your debts'!$E$6)),B338),2)</f>
      </c>
      <c r="M338" s="33">
        <f>ROUND(MIN(MAX(0,N('Your debts'!$E$7)),C338),2)</f>
      </c>
      <c r="N338" s="33">
        <f>ROUND(MIN(MAX(0,N('Your debts'!$E$8)),D338),2)</f>
      </c>
      <c r="O338" s="33">
        <f>ROUND(MIN(MAX(0,N('Your debts'!$E$9)),E338),2)</f>
      </c>
      <c r="P338" s="33">
        <f>ROUND(MIN(MAX(0,N('Your debts'!$E$10)),F338),2)</f>
      </c>
      <c r="Q338" s="33">
        <f>ROUND(MIN(MAX(0,N('Your debts'!$E$11)),G338),2)</f>
      </c>
      <c r="R338" s="33">
        <f>ROUND(MIN(MAX(0,N('Your debts'!$E$12)),H338),2)</f>
      </c>
      <c r="S338" s="33">
        <f>ROUND(MIN(MAX(0,N('Your debts'!$E$13)),I338),2)</f>
      </c>
      <c r="T338" s="33">
        <f>ROUND(MIN(MAX(0,N('Your debts'!$E$14)),J338),2)</f>
      </c>
      <c r="U338" s="33">
        <f>ROUND(MIN(MAX(0,N('Your debts'!$E$15)),K338),2)</f>
      </c>
      <c r="V338" s="33">
        <f>ROUND(B338-L338,2)</f>
      </c>
      <c r="W338" s="33">
        <f>ROUND(C338-M338,2)</f>
      </c>
      <c r="X338" s="33">
        <f>ROUND(D338-N338,2)</f>
      </c>
      <c r="Y338" s="33">
        <f>ROUND(E338-O338,2)</f>
      </c>
      <c r="Z338" s="33">
        <f>ROUND(F338-P338,2)</f>
      </c>
      <c r="AA338" s="33">
        <f>ROUND(G338-Q338,2)</f>
      </c>
      <c r="AB338" s="33">
        <f>ROUND(H338-R338,2)</f>
      </c>
      <c r="AC338" s="33">
        <f>ROUND(I338-S338,2)</f>
      </c>
      <c r="AD338" s="33">
        <f>ROUND(J338-T338,2)</f>
      </c>
      <c r="AE338" s="33">
        <f>ROUND(K338-U338,2)</f>
      </c>
      <c r="AF338" s="33">
        <f>IF(V338&lt;=0,0,MAX(0,MIN(V338,ROUND($AZ338-SUMPRODUCT($V338:$AE338*($V338:$AE338&gt;0)*(($V338:$AE338&lt;V338)+($V338:$AE338=V338)*($V$3:$AE$3&gt;V$3)+($V338:$AE338=V338)*($V$3:$AE$3=V$3)*($V$2:$AE$2&lt;V$2))),2))))</f>
      </c>
      <c r="AG338" s="33">
        <f>IF(W338&lt;=0,0,MAX(0,MIN(W338,ROUND($AZ338-SUMPRODUCT($V338:$AE338*($V338:$AE338&gt;0)*(($V338:$AE338&lt;W338)+($V338:$AE338=W338)*($V$3:$AE$3&gt;W$3)+($V338:$AE338=W338)*($V$3:$AE$3=W$3)*($V$2:$AE$2&lt;W$2))),2))))</f>
      </c>
      <c r="AH338" s="33">
        <f>IF(X338&lt;=0,0,MAX(0,MIN(X338,ROUND($AZ338-SUMPRODUCT($V338:$AE338*($V338:$AE338&gt;0)*(($V338:$AE338&lt;X338)+($V338:$AE338=X338)*($V$3:$AE$3&gt;X$3)+($V338:$AE338=X338)*($V$3:$AE$3=X$3)*($V$2:$AE$2&lt;X$2))),2))))</f>
      </c>
      <c r="AI338" s="33">
        <f>IF(Y338&lt;=0,0,MAX(0,MIN(Y338,ROUND($AZ338-SUMPRODUCT($V338:$AE338*($V338:$AE338&gt;0)*(($V338:$AE338&lt;Y338)+($V338:$AE338=Y338)*($V$3:$AE$3&gt;Y$3)+($V338:$AE338=Y338)*($V$3:$AE$3=Y$3)*($V$2:$AE$2&lt;Y$2))),2))))</f>
      </c>
      <c r="AJ338" s="33">
        <f>IF(Z338&lt;=0,0,MAX(0,MIN(Z338,ROUND($AZ338-SUMPRODUCT($V338:$AE338*($V338:$AE338&gt;0)*(($V338:$AE338&lt;Z338)+($V338:$AE338=Z338)*($V$3:$AE$3&gt;Z$3)+($V338:$AE338=Z338)*($V$3:$AE$3=Z$3)*($V$2:$AE$2&lt;Z$2))),2))))</f>
      </c>
      <c r="AK338" s="33">
        <f>IF(AA338&lt;=0,0,MAX(0,MIN(AA338,ROUND($AZ338-SUMPRODUCT($V338:$AE338*($V338:$AE338&gt;0)*(($V338:$AE338&lt;AA338)+($V338:$AE338=AA338)*($V$3:$AE$3&gt;AA$3)+($V338:$AE338=AA338)*($V$3:$AE$3=AA$3)*($V$2:$AE$2&lt;AA$2))),2))))</f>
      </c>
      <c r="AL338" s="33">
        <f>IF(AB338&lt;=0,0,MAX(0,MIN(AB338,ROUND($AZ338-SUMPRODUCT($V338:$AE338*($V338:$AE338&gt;0)*(($V338:$AE338&lt;AB338)+($V338:$AE338=AB338)*($V$3:$AE$3&gt;AB$3)+($V338:$AE338=AB338)*($V$3:$AE$3=AB$3)*($V$2:$AE$2&lt;AB$2))),2))))</f>
      </c>
      <c r="AM338" s="33">
        <f>IF(AC338&lt;=0,0,MAX(0,MIN(AC338,ROUND($AZ338-SUMPRODUCT($V338:$AE338*($V338:$AE338&gt;0)*(($V338:$AE338&lt;AC338)+($V338:$AE338=AC338)*($V$3:$AE$3&gt;AC$3)+($V338:$AE338=AC338)*($V$3:$AE$3=AC$3)*($V$2:$AE$2&lt;AC$2))),2))))</f>
      </c>
      <c r="AN338" s="33">
        <f>IF(AD338&lt;=0,0,MAX(0,MIN(AD338,ROUND($AZ338-SUMPRODUCT($V338:$AE338*($V338:$AE338&gt;0)*(($V338:$AE338&lt;AD338)+($V338:$AE338=AD338)*($V$3:$AE$3&gt;AD$3)+($V338:$AE338=AD338)*($V$3:$AE$3=AD$3)*($V$2:$AE$2&lt;AD$2))),2))))</f>
      </c>
      <c r="AO338" s="33">
        <f>IF(AE338&lt;=0,0,MAX(0,MIN(AE338,ROUND($AZ338-SUMPRODUCT($V338:$AE338*($V338:$AE338&gt;0)*(($V338:$AE338&lt;AE338)+($V338:$AE338=AE338)*($V$3:$AE$3&gt;AE$3)+($V338:$AE338=AE338)*($V$3:$AE$3=AE$3)*($V$2:$AE$2&lt;AE$2))),2))))</f>
      </c>
      <c r="AP338" s="33">
        <f>ROUND(V338-AF338,2)</f>
      </c>
      <c r="AQ338" s="33">
        <f>ROUND(W338-AG338,2)</f>
      </c>
      <c r="AR338" s="33">
        <f>ROUND(X338-AH338,2)</f>
      </c>
      <c r="AS338" s="33">
        <f>ROUND(Y338-AI338,2)</f>
      </c>
      <c r="AT338" s="33">
        <f>ROUND(Z338-AJ338,2)</f>
      </c>
      <c r="AU338" s="33">
        <f>ROUND(AA338-AK338,2)</f>
      </c>
      <c r="AV338" s="33">
        <f>ROUND(AB338-AL338,2)</f>
      </c>
      <c r="AW338" s="33">
        <f>ROUND(AC338-AM338,2)</f>
      </c>
      <c r="AX338" s="33">
        <f>ROUND(AD338-AN338,2)</f>
      </c>
      <c r="AY338" s="33">
        <f>ROUND(AE338-AO338,2)</f>
      </c>
      <c r="AZ338" s="33">
        <f>ROUND(MAX(0,'Your debts'!$D$22-SUM($L338:$U338)),2)</f>
      </c>
      <c r="BA338" s="33">
        <f>ROUND(SUM($B338:$K338)-SUM($AP337:$AY337),2)</f>
      </c>
      <c r="BB338" s="33">
        <f>SUM($AP338:$AY338)</f>
      </c>
      <c r="BC338" s="33">
        <f>ROUND(SUM($L338:$U338)+SUM($AF338:$AO338),2)</f>
      </c>
    </row>
    <row r="339" spans="1:55" x14ac:dyDescent="0.25">
      <c r="A339">
        <v>332</v>
      </c>
      <c r="B339" s="33">
        <f>IF(AP338&lt;=0,0,ROUND(AP338+ROUND(AP338*V$3/12,2),2))</f>
      </c>
      <c r="C339" s="33">
        <f>IF(AQ338&lt;=0,0,ROUND(AQ338+ROUND(AQ338*W$3/12,2),2))</f>
      </c>
      <c r="D339" s="33">
        <f>IF(AR338&lt;=0,0,ROUND(AR338+ROUND(AR338*X$3/12,2),2))</f>
      </c>
      <c r="E339" s="33">
        <f>IF(AS338&lt;=0,0,ROUND(AS338+ROUND(AS338*Y$3/12,2),2))</f>
      </c>
      <c r="F339" s="33">
        <f>IF(AT338&lt;=0,0,ROUND(AT338+ROUND(AT338*Z$3/12,2),2))</f>
      </c>
      <c r="G339" s="33">
        <f>IF(AU338&lt;=0,0,ROUND(AU338+ROUND(AU338*AA$3/12,2),2))</f>
      </c>
      <c r="H339" s="33">
        <f>IF(AV338&lt;=0,0,ROUND(AV338+ROUND(AV338*AB$3/12,2),2))</f>
      </c>
      <c r="I339" s="33">
        <f>IF(AW338&lt;=0,0,ROUND(AW338+ROUND(AW338*AC$3/12,2),2))</f>
      </c>
      <c r="J339" s="33">
        <f>IF(AX338&lt;=0,0,ROUND(AX338+ROUND(AX338*AD$3/12,2),2))</f>
      </c>
      <c r="K339" s="33">
        <f>IF(AY338&lt;=0,0,ROUND(AY338+ROUND(AY338*AE$3/12,2),2))</f>
      </c>
      <c r="L339" s="33">
        <f>ROUND(MIN(MAX(0,N('Your debts'!$E$6)),B339),2)</f>
      </c>
      <c r="M339" s="33">
        <f>ROUND(MIN(MAX(0,N('Your debts'!$E$7)),C339),2)</f>
      </c>
      <c r="N339" s="33">
        <f>ROUND(MIN(MAX(0,N('Your debts'!$E$8)),D339),2)</f>
      </c>
      <c r="O339" s="33">
        <f>ROUND(MIN(MAX(0,N('Your debts'!$E$9)),E339),2)</f>
      </c>
      <c r="P339" s="33">
        <f>ROUND(MIN(MAX(0,N('Your debts'!$E$10)),F339),2)</f>
      </c>
      <c r="Q339" s="33">
        <f>ROUND(MIN(MAX(0,N('Your debts'!$E$11)),G339),2)</f>
      </c>
      <c r="R339" s="33">
        <f>ROUND(MIN(MAX(0,N('Your debts'!$E$12)),H339),2)</f>
      </c>
      <c r="S339" s="33">
        <f>ROUND(MIN(MAX(0,N('Your debts'!$E$13)),I339),2)</f>
      </c>
      <c r="T339" s="33">
        <f>ROUND(MIN(MAX(0,N('Your debts'!$E$14)),J339),2)</f>
      </c>
      <c r="U339" s="33">
        <f>ROUND(MIN(MAX(0,N('Your debts'!$E$15)),K339),2)</f>
      </c>
      <c r="V339" s="33">
        <f>ROUND(B339-L339,2)</f>
      </c>
      <c r="W339" s="33">
        <f>ROUND(C339-M339,2)</f>
      </c>
      <c r="X339" s="33">
        <f>ROUND(D339-N339,2)</f>
      </c>
      <c r="Y339" s="33">
        <f>ROUND(E339-O339,2)</f>
      </c>
      <c r="Z339" s="33">
        <f>ROUND(F339-P339,2)</f>
      </c>
      <c r="AA339" s="33">
        <f>ROUND(G339-Q339,2)</f>
      </c>
      <c r="AB339" s="33">
        <f>ROUND(H339-R339,2)</f>
      </c>
      <c r="AC339" s="33">
        <f>ROUND(I339-S339,2)</f>
      </c>
      <c r="AD339" s="33">
        <f>ROUND(J339-T339,2)</f>
      </c>
      <c r="AE339" s="33">
        <f>ROUND(K339-U339,2)</f>
      </c>
      <c r="AF339" s="33">
        <f>IF(V339&lt;=0,0,MAX(0,MIN(V339,ROUND($AZ339-SUMPRODUCT($V339:$AE339*($V339:$AE339&gt;0)*(($V339:$AE339&lt;V339)+($V339:$AE339=V339)*($V$3:$AE$3&gt;V$3)+($V339:$AE339=V339)*($V$3:$AE$3=V$3)*($V$2:$AE$2&lt;V$2))),2))))</f>
      </c>
      <c r="AG339" s="33">
        <f>IF(W339&lt;=0,0,MAX(0,MIN(W339,ROUND($AZ339-SUMPRODUCT($V339:$AE339*($V339:$AE339&gt;0)*(($V339:$AE339&lt;W339)+($V339:$AE339=W339)*($V$3:$AE$3&gt;W$3)+($V339:$AE339=W339)*($V$3:$AE$3=W$3)*($V$2:$AE$2&lt;W$2))),2))))</f>
      </c>
      <c r="AH339" s="33">
        <f>IF(X339&lt;=0,0,MAX(0,MIN(X339,ROUND($AZ339-SUMPRODUCT($V339:$AE339*($V339:$AE339&gt;0)*(($V339:$AE339&lt;X339)+($V339:$AE339=X339)*($V$3:$AE$3&gt;X$3)+($V339:$AE339=X339)*($V$3:$AE$3=X$3)*($V$2:$AE$2&lt;X$2))),2))))</f>
      </c>
      <c r="AI339" s="33">
        <f>IF(Y339&lt;=0,0,MAX(0,MIN(Y339,ROUND($AZ339-SUMPRODUCT($V339:$AE339*($V339:$AE339&gt;0)*(($V339:$AE339&lt;Y339)+($V339:$AE339=Y339)*($V$3:$AE$3&gt;Y$3)+($V339:$AE339=Y339)*($V$3:$AE$3=Y$3)*($V$2:$AE$2&lt;Y$2))),2))))</f>
      </c>
      <c r="AJ339" s="33">
        <f>IF(Z339&lt;=0,0,MAX(0,MIN(Z339,ROUND($AZ339-SUMPRODUCT($V339:$AE339*($V339:$AE339&gt;0)*(($V339:$AE339&lt;Z339)+($V339:$AE339=Z339)*($V$3:$AE$3&gt;Z$3)+($V339:$AE339=Z339)*($V$3:$AE$3=Z$3)*($V$2:$AE$2&lt;Z$2))),2))))</f>
      </c>
      <c r="AK339" s="33">
        <f>IF(AA339&lt;=0,0,MAX(0,MIN(AA339,ROUND($AZ339-SUMPRODUCT($V339:$AE339*($V339:$AE339&gt;0)*(($V339:$AE339&lt;AA339)+($V339:$AE339=AA339)*($V$3:$AE$3&gt;AA$3)+($V339:$AE339=AA339)*($V$3:$AE$3=AA$3)*($V$2:$AE$2&lt;AA$2))),2))))</f>
      </c>
      <c r="AL339" s="33">
        <f>IF(AB339&lt;=0,0,MAX(0,MIN(AB339,ROUND($AZ339-SUMPRODUCT($V339:$AE339*($V339:$AE339&gt;0)*(($V339:$AE339&lt;AB339)+($V339:$AE339=AB339)*($V$3:$AE$3&gt;AB$3)+($V339:$AE339=AB339)*($V$3:$AE$3=AB$3)*($V$2:$AE$2&lt;AB$2))),2))))</f>
      </c>
      <c r="AM339" s="33">
        <f>IF(AC339&lt;=0,0,MAX(0,MIN(AC339,ROUND($AZ339-SUMPRODUCT($V339:$AE339*($V339:$AE339&gt;0)*(($V339:$AE339&lt;AC339)+($V339:$AE339=AC339)*($V$3:$AE$3&gt;AC$3)+($V339:$AE339=AC339)*($V$3:$AE$3=AC$3)*($V$2:$AE$2&lt;AC$2))),2))))</f>
      </c>
      <c r="AN339" s="33">
        <f>IF(AD339&lt;=0,0,MAX(0,MIN(AD339,ROUND($AZ339-SUMPRODUCT($V339:$AE339*($V339:$AE339&gt;0)*(($V339:$AE339&lt;AD339)+($V339:$AE339=AD339)*($V$3:$AE$3&gt;AD$3)+($V339:$AE339=AD339)*($V$3:$AE$3=AD$3)*($V$2:$AE$2&lt;AD$2))),2))))</f>
      </c>
      <c r="AO339" s="33">
        <f>IF(AE339&lt;=0,0,MAX(0,MIN(AE339,ROUND($AZ339-SUMPRODUCT($V339:$AE339*($V339:$AE339&gt;0)*(($V339:$AE339&lt;AE339)+($V339:$AE339=AE339)*($V$3:$AE$3&gt;AE$3)+($V339:$AE339=AE339)*($V$3:$AE$3=AE$3)*($V$2:$AE$2&lt;AE$2))),2))))</f>
      </c>
      <c r="AP339" s="33">
        <f>ROUND(V339-AF339,2)</f>
      </c>
      <c r="AQ339" s="33">
        <f>ROUND(W339-AG339,2)</f>
      </c>
      <c r="AR339" s="33">
        <f>ROUND(X339-AH339,2)</f>
      </c>
      <c r="AS339" s="33">
        <f>ROUND(Y339-AI339,2)</f>
      </c>
      <c r="AT339" s="33">
        <f>ROUND(Z339-AJ339,2)</f>
      </c>
      <c r="AU339" s="33">
        <f>ROUND(AA339-AK339,2)</f>
      </c>
      <c r="AV339" s="33">
        <f>ROUND(AB339-AL339,2)</f>
      </c>
      <c r="AW339" s="33">
        <f>ROUND(AC339-AM339,2)</f>
      </c>
      <c r="AX339" s="33">
        <f>ROUND(AD339-AN339,2)</f>
      </c>
      <c r="AY339" s="33">
        <f>ROUND(AE339-AO339,2)</f>
      </c>
      <c r="AZ339" s="33">
        <f>ROUND(MAX(0,'Your debts'!$D$22-SUM($L339:$U339)),2)</f>
      </c>
      <c r="BA339" s="33">
        <f>ROUND(SUM($B339:$K339)-SUM($AP338:$AY338),2)</f>
      </c>
      <c r="BB339" s="33">
        <f>SUM($AP339:$AY339)</f>
      </c>
      <c r="BC339" s="33">
        <f>ROUND(SUM($L339:$U339)+SUM($AF339:$AO339),2)</f>
      </c>
    </row>
    <row r="340" spans="1:55" x14ac:dyDescent="0.25">
      <c r="A340">
        <v>333</v>
      </c>
      <c r="B340" s="33">
        <f>IF(AP339&lt;=0,0,ROUND(AP339+ROUND(AP339*V$3/12,2),2))</f>
      </c>
      <c r="C340" s="33">
        <f>IF(AQ339&lt;=0,0,ROUND(AQ339+ROUND(AQ339*W$3/12,2),2))</f>
      </c>
      <c r="D340" s="33">
        <f>IF(AR339&lt;=0,0,ROUND(AR339+ROUND(AR339*X$3/12,2),2))</f>
      </c>
      <c r="E340" s="33">
        <f>IF(AS339&lt;=0,0,ROUND(AS339+ROUND(AS339*Y$3/12,2),2))</f>
      </c>
      <c r="F340" s="33">
        <f>IF(AT339&lt;=0,0,ROUND(AT339+ROUND(AT339*Z$3/12,2),2))</f>
      </c>
      <c r="G340" s="33">
        <f>IF(AU339&lt;=0,0,ROUND(AU339+ROUND(AU339*AA$3/12,2),2))</f>
      </c>
      <c r="H340" s="33">
        <f>IF(AV339&lt;=0,0,ROUND(AV339+ROUND(AV339*AB$3/12,2),2))</f>
      </c>
      <c r="I340" s="33">
        <f>IF(AW339&lt;=0,0,ROUND(AW339+ROUND(AW339*AC$3/12,2),2))</f>
      </c>
      <c r="J340" s="33">
        <f>IF(AX339&lt;=0,0,ROUND(AX339+ROUND(AX339*AD$3/12,2),2))</f>
      </c>
      <c r="K340" s="33">
        <f>IF(AY339&lt;=0,0,ROUND(AY339+ROUND(AY339*AE$3/12,2),2))</f>
      </c>
      <c r="L340" s="33">
        <f>ROUND(MIN(MAX(0,N('Your debts'!$E$6)),B340),2)</f>
      </c>
      <c r="M340" s="33">
        <f>ROUND(MIN(MAX(0,N('Your debts'!$E$7)),C340),2)</f>
      </c>
      <c r="N340" s="33">
        <f>ROUND(MIN(MAX(0,N('Your debts'!$E$8)),D340),2)</f>
      </c>
      <c r="O340" s="33">
        <f>ROUND(MIN(MAX(0,N('Your debts'!$E$9)),E340),2)</f>
      </c>
      <c r="P340" s="33">
        <f>ROUND(MIN(MAX(0,N('Your debts'!$E$10)),F340),2)</f>
      </c>
      <c r="Q340" s="33">
        <f>ROUND(MIN(MAX(0,N('Your debts'!$E$11)),G340),2)</f>
      </c>
      <c r="R340" s="33">
        <f>ROUND(MIN(MAX(0,N('Your debts'!$E$12)),H340),2)</f>
      </c>
      <c r="S340" s="33">
        <f>ROUND(MIN(MAX(0,N('Your debts'!$E$13)),I340),2)</f>
      </c>
      <c r="T340" s="33">
        <f>ROUND(MIN(MAX(0,N('Your debts'!$E$14)),J340),2)</f>
      </c>
      <c r="U340" s="33">
        <f>ROUND(MIN(MAX(0,N('Your debts'!$E$15)),K340),2)</f>
      </c>
      <c r="V340" s="33">
        <f>ROUND(B340-L340,2)</f>
      </c>
      <c r="W340" s="33">
        <f>ROUND(C340-M340,2)</f>
      </c>
      <c r="X340" s="33">
        <f>ROUND(D340-N340,2)</f>
      </c>
      <c r="Y340" s="33">
        <f>ROUND(E340-O340,2)</f>
      </c>
      <c r="Z340" s="33">
        <f>ROUND(F340-P340,2)</f>
      </c>
      <c r="AA340" s="33">
        <f>ROUND(G340-Q340,2)</f>
      </c>
      <c r="AB340" s="33">
        <f>ROUND(H340-R340,2)</f>
      </c>
      <c r="AC340" s="33">
        <f>ROUND(I340-S340,2)</f>
      </c>
      <c r="AD340" s="33">
        <f>ROUND(J340-T340,2)</f>
      </c>
      <c r="AE340" s="33">
        <f>ROUND(K340-U340,2)</f>
      </c>
      <c r="AF340" s="33">
        <f>IF(V340&lt;=0,0,MAX(0,MIN(V340,ROUND($AZ340-SUMPRODUCT($V340:$AE340*($V340:$AE340&gt;0)*(($V340:$AE340&lt;V340)+($V340:$AE340=V340)*($V$3:$AE$3&gt;V$3)+($V340:$AE340=V340)*($V$3:$AE$3=V$3)*($V$2:$AE$2&lt;V$2))),2))))</f>
      </c>
      <c r="AG340" s="33">
        <f>IF(W340&lt;=0,0,MAX(0,MIN(W340,ROUND($AZ340-SUMPRODUCT($V340:$AE340*($V340:$AE340&gt;0)*(($V340:$AE340&lt;W340)+($V340:$AE340=W340)*($V$3:$AE$3&gt;W$3)+($V340:$AE340=W340)*($V$3:$AE$3=W$3)*($V$2:$AE$2&lt;W$2))),2))))</f>
      </c>
      <c r="AH340" s="33">
        <f>IF(X340&lt;=0,0,MAX(0,MIN(X340,ROUND($AZ340-SUMPRODUCT($V340:$AE340*($V340:$AE340&gt;0)*(($V340:$AE340&lt;X340)+($V340:$AE340=X340)*($V$3:$AE$3&gt;X$3)+($V340:$AE340=X340)*($V$3:$AE$3=X$3)*($V$2:$AE$2&lt;X$2))),2))))</f>
      </c>
      <c r="AI340" s="33">
        <f>IF(Y340&lt;=0,0,MAX(0,MIN(Y340,ROUND($AZ340-SUMPRODUCT($V340:$AE340*($V340:$AE340&gt;0)*(($V340:$AE340&lt;Y340)+($V340:$AE340=Y340)*($V$3:$AE$3&gt;Y$3)+($V340:$AE340=Y340)*($V$3:$AE$3=Y$3)*($V$2:$AE$2&lt;Y$2))),2))))</f>
      </c>
      <c r="AJ340" s="33">
        <f>IF(Z340&lt;=0,0,MAX(0,MIN(Z340,ROUND($AZ340-SUMPRODUCT($V340:$AE340*($V340:$AE340&gt;0)*(($V340:$AE340&lt;Z340)+($V340:$AE340=Z340)*($V$3:$AE$3&gt;Z$3)+($V340:$AE340=Z340)*($V$3:$AE$3=Z$3)*($V$2:$AE$2&lt;Z$2))),2))))</f>
      </c>
      <c r="AK340" s="33">
        <f>IF(AA340&lt;=0,0,MAX(0,MIN(AA340,ROUND($AZ340-SUMPRODUCT($V340:$AE340*($V340:$AE340&gt;0)*(($V340:$AE340&lt;AA340)+($V340:$AE340=AA340)*($V$3:$AE$3&gt;AA$3)+($V340:$AE340=AA340)*($V$3:$AE$3=AA$3)*($V$2:$AE$2&lt;AA$2))),2))))</f>
      </c>
      <c r="AL340" s="33">
        <f>IF(AB340&lt;=0,0,MAX(0,MIN(AB340,ROUND($AZ340-SUMPRODUCT($V340:$AE340*($V340:$AE340&gt;0)*(($V340:$AE340&lt;AB340)+($V340:$AE340=AB340)*($V$3:$AE$3&gt;AB$3)+($V340:$AE340=AB340)*($V$3:$AE$3=AB$3)*($V$2:$AE$2&lt;AB$2))),2))))</f>
      </c>
      <c r="AM340" s="33">
        <f>IF(AC340&lt;=0,0,MAX(0,MIN(AC340,ROUND($AZ340-SUMPRODUCT($V340:$AE340*($V340:$AE340&gt;0)*(($V340:$AE340&lt;AC340)+($V340:$AE340=AC340)*($V$3:$AE$3&gt;AC$3)+($V340:$AE340=AC340)*($V$3:$AE$3=AC$3)*($V$2:$AE$2&lt;AC$2))),2))))</f>
      </c>
      <c r="AN340" s="33">
        <f>IF(AD340&lt;=0,0,MAX(0,MIN(AD340,ROUND($AZ340-SUMPRODUCT($V340:$AE340*($V340:$AE340&gt;0)*(($V340:$AE340&lt;AD340)+($V340:$AE340=AD340)*($V$3:$AE$3&gt;AD$3)+($V340:$AE340=AD340)*($V$3:$AE$3=AD$3)*($V$2:$AE$2&lt;AD$2))),2))))</f>
      </c>
      <c r="AO340" s="33">
        <f>IF(AE340&lt;=0,0,MAX(0,MIN(AE340,ROUND($AZ340-SUMPRODUCT($V340:$AE340*($V340:$AE340&gt;0)*(($V340:$AE340&lt;AE340)+($V340:$AE340=AE340)*($V$3:$AE$3&gt;AE$3)+($V340:$AE340=AE340)*($V$3:$AE$3=AE$3)*($V$2:$AE$2&lt;AE$2))),2))))</f>
      </c>
      <c r="AP340" s="33">
        <f>ROUND(V340-AF340,2)</f>
      </c>
      <c r="AQ340" s="33">
        <f>ROUND(W340-AG340,2)</f>
      </c>
      <c r="AR340" s="33">
        <f>ROUND(X340-AH340,2)</f>
      </c>
      <c r="AS340" s="33">
        <f>ROUND(Y340-AI340,2)</f>
      </c>
      <c r="AT340" s="33">
        <f>ROUND(Z340-AJ340,2)</f>
      </c>
      <c r="AU340" s="33">
        <f>ROUND(AA340-AK340,2)</f>
      </c>
      <c r="AV340" s="33">
        <f>ROUND(AB340-AL340,2)</f>
      </c>
      <c r="AW340" s="33">
        <f>ROUND(AC340-AM340,2)</f>
      </c>
      <c r="AX340" s="33">
        <f>ROUND(AD340-AN340,2)</f>
      </c>
      <c r="AY340" s="33">
        <f>ROUND(AE340-AO340,2)</f>
      </c>
      <c r="AZ340" s="33">
        <f>ROUND(MAX(0,'Your debts'!$D$22-SUM($L340:$U340)),2)</f>
      </c>
      <c r="BA340" s="33">
        <f>ROUND(SUM($B340:$K340)-SUM($AP339:$AY339),2)</f>
      </c>
      <c r="BB340" s="33">
        <f>SUM($AP340:$AY340)</f>
      </c>
      <c r="BC340" s="33">
        <f>ROUND(SUM($L340:$U340)+SUM($AF340:$AO340),2)</f>
      </c>
    </row>
    <row r="341" spans="1:55" x14ac:dyDescent="0.25">
      <c r="A341">
        <v>334</v>
      </c>
      <c r="B341" s="33">
        <f>IF(AP340&lt;=0,0,ROUND(AP340+ROUND(AP340*V$3/12,2),2))</f>
      </c>
      <c r="C341" s="33">
        <f>IF(AQ340&lt;=0,0,ROUND(AQ340+ROUND(AQ340*W$3/12,2),2))</f>
      </c>
      <c r="D341" s="33">
        <f>IF(AR340&lt;=0,0,ROUND(AR340+ROUND(AR340*X$3/12,2),2))</f>
      </c>
      <c r="E341" s="33">
        <f>IF(AS340&lt;=0,0,ROUND(AS340+ROUND(AS340*Y$3/12,2),2))</f>
      </c>
      <c r="F341" s="33">
        <f>IF(AT340&lt;=0,0,ROUND(AT340+ROUND(AT340*Z$3/12,2),2))</f>
      </c>
      <c r="G341" s="33">
        <f>IF(AU340&lt;=0,0,ROUND(AU340+ROUND(AU340*AA$3/12,2),2))</f>
      </c>
      <c r="H341" s="33">
        <f>IF(AV340&lt;=0,0,ROUND(AV340+ROUND(AV340*AB$3/12,2),2))</f>
      </c>
      <c r="I341" s="33">
        <f>IF(AW340&lt;=0,0,ROUND(AW340+ROUND(AW340*AC$3/12,2),2))</f>
      </c>
      <c r="J341" s="33">
        <f>IF(AX340&lt;=0,0,ROUND(AX340+ROUND(AX340*AD$3/12,2),2))</f>
      </c>
      <c r="K341" s="33">
        <f>IF(AY340&lt;=0,0,ROUND(AY340+ROUND(AY340*AE$3/12,2),2))</f>
      </c>
      <c r="L341" s="33">
        <f>ROUND(MIN(MAX(0,N('Your debts'!$E$6)),B341),2)</f>
      </c>
      <c r="M341" s="33">
        <f>ROUND(MIN(MAX(0,N('Your debts'!$E$7)),C341),2)</f>
      </c>
      <c r="N341" s="33">
        <f>ROUND(MIN(MAX(0,N('Your debts'!$E$8)),D341),2)</f>
      </c>
      <c r="O341" s="33">
        <f>ROUND(MIN(MAX(0,N('Your debts'!$E$9)),E341),2)</f>
      </c>
      <c r="P341" s="33">
        <f>ROUND(MIN(MAX(0,N('Your debts'!$E$10)),F341),2)</f>
      </c>
      <c r="Q341" s="33">
        <f>ROUND(MIN(MAX(0,N('Your debts'!$E$11)),G341),2)</f>
      </c>
      <c r="R341" s="33">
        <f>ROUND(MIN(MAX(0,N('Your debts'!$E$12)),H341),2)</f>
      </c>
      <c r="S341" s="33">
        <f>ROUND(MIN(MAX(0,N('Your debts'!$E$13)),I341),2)</f>
      </c>
      <c r="T341" s="33">
        <f>ROUND(MIN(MAX(0,N('Your debts'!$E$14)),J341),2)</f>
      </c>
      <c r="U341" s="33">
        <f>ROUND(MIN(MAX(0,N('Your debts'!$E$15)),K341),2)</f>
      </c>
      <c r="V341" s="33">
        <f>ROUND(B341-L341,2)</f>
      </c>
      <c r="W341" s="33">
        <f>ROUND(C341-M341,2)</f>
      </c>
      <c r="X341" s="33">
        <f>ROUND(D341-N341,2)</f>
      </c>
      <c r="Y341" s="33">
        <f>ROUND(E341-O341,2)</f>
      </c>
      <c r="Z341" s="33">
        <f>ROUND(F341-P341,2)</f>
      </c>
      <c r="AA341" s="33">
        <f>ROUND(G341-Q341,2)</f>
      </c>
      <c r="AB341" s="33">
        <f>ROUND(H341-R341,2)</f>
      </c>
      <c r="AC341" s="33">
        <f>ROUND(I341-S341,2)</f>
      </c>
      <c r="AD341" s="33">
        <f>ROUND(J341-T341,2)</f>
      </c>
      <c r="AE341" s="33">
        <f>ROUND(K341-U341,2)</f>
      </c>
      <c r="AF341" s="33">
        <f>IF(V341&lt;=0,0,MAX(0,MIN(V341,ROUND($AZ341-SUMPRODUCT($V341:$AE341*($V341:$AE341&gt;0)*(($V341:$AE341&lt;V341)+($V341:$AE341=V341)*($V$3:$AE$3&gt;V$3)+($V341:$AE341=V341)*($V$3:$AE$3=V$3)*($V$2:$AE$2&lt;V$2))),2))))</f>
      </c>
      <c r="AG341" s="33">
        <f>IF(W341&lt;=0,0,MAX(0,MIN(W341,ROUND($AZ341-SUMPRODUCT($V341:$AE341*($V341:$AE341&gt;0)*(($V341:$AE341&lt;W341)+($V341:$AE341=W341)*($V$3:$AE$3&gt;W$3)+($V341:$AE341=W341)*($V$3:$AE$3=W$3)*($V$2:$AE$2&lt;W$2))),2))))</f>
      </c>
      <c r="AH341" s="33">
        <f>IF(X341&lt;=0,0,MAX(0,MIN(X341,ROUND($AZ341-SUMPRODUCT($V341:$AE341*($V341:$AE341&gt;0)*(($V341:$AE341&lt;X341)+($V341:$AE341=X341)*($V$3:$AE$3&gt;X$3)+($V341:$AE341=X341)*($V$3:$AE$3=X$3)*($V$2:$AE$2&lt;X$2))),2))))</f>
      </c>
      <c r="AI341" s="33">
        <f>IF(Y341&lt;=0,0,MAX(0,MIN(Y341,ROUND($AZ341-SUMPRODUCT($V341:$AE341*($V341:$AE341&gt;0)*(($V341:$AE341&lt;Y341)+($V341:$AE341=Y341)*($V$3:$AE$3&gt;Y$3)+($V341:$AE341=Y341)*($V$3:$AE$3=Y$3)*($V$2:$AE$2&lt;Y$2))),2))))</f>
      </c>
      <c r="AJ341" s="33">
        <f>IF(Z341&lt;=0,0,MAX(0,MIN(Z341,ROUND($AZ341-SUMPRODUCT($V341:$AE341*($V341:$AE341&gt;0)*(($V341:$AE341&lt;Z341)+($V341:$AE341=Z341)*($V$3:$AE$3&gt;Z$3)+($V341:$AE341=Z341)*($V$3:$AE$3=Z$3)*($V$2:$AE$2&lt;Z$2))),2))))</f>
      </c>
      <c r="AK341" s="33">
        <f>IF(AA341&lt;=0,0,MAX(0,MIN(AA341,ROUND($AZ341-SUMPRODUCT($V341:$AE341*($V341:$AE341&gt;0)*(($V341:$AE341&lt;AA341)+($V341:$AE341=AA341)*($V$3:$AE$3&gt;AA$3)+($V341:$AE341=AA341)*($V$3:$AE$3=AA$3)*($V$2:$AE$2&lt;AA$2))),2))))</f>
      </c>
      <c r="AL341" s="33">
        <f>IF(AB341&lt;=0,0,MAX(0,MIN(AB341,ROUND($AZ341-SUMPRODUCT($V341:$AE341*($V341:$AE341&gt;0)*(($V341:$AE341&lt;AB341)+($V341:$AE341=AB341)*($V$3:$AE$3&gt;AB$3)+($V341:$AE341=AB341)*($V$3:$AE$3=AB$3)*($V$2:$AE$2&lt;AB$2))),2))))</f>
      </c>
      <c r="AM341" s="33">
        <f>IF(AC341&lt;=0,0,MAX(0,MIN(AC341,ROUND($AZ341-SUMPRODUCT($V341:$AE341*($V341:$AE341&gt;0)*(($V341:$AE341&lt;AC341)+($V341:$AE341=AC341)*($V$3:$AE$3&gt;AC$3)+($V341:$AE341=AC341)*($V$3:$AE$3=AC$3)*($V$2:$AE$2&lt;AC$2))),2))))</f>
      </c>
      <c r="AN341" s="33">
        <f>IF(AD341&lt;=0,0,MAX(0,MIN(AD341,ROUND($AZ341-SUMPRODUCT($V341:$AE341*($V341:$AE341&gt;0)*(($V341:$AE341&lt;AD341)+($V341:$AE341=AD341)*($V$3:$AE$3&gt;AD$3)+($V341:$AE341=AD341)*($V$3:$AE$3=AD$3)*($V$2:$AE$2&lt;AD$2))),2))))</f>
      </c>
      <c r="AO341" s="33">
        <f>IF(AE341&lt;=0,0,MAX(0,MIN(AE341,ROUND($AZ341-SUMPRODUCT($V341:$AE341*($V341:$AE341&gt;0)*(($V341:$AE341&lt;AE341)+($V341:$AE341=AE341)*($V$3:$AE$3&gt;AE$3)+($V341:$AE341=AE341)*($V$3:$AE$3=AE$3)*($V$2:$AE$2&lt;AE$2))),2))))</f>
      </c>
      <c r="AP341" s="33">
        <f>ROUND(V341-AF341,2)</f>
      </c>
      <c r="AQ341" s="33">
        <f>ROUND(W341-AG341,2)</f>
      </c>
      <c r="AR341" s="33">
        <f>ROUND(X341-AH341,2)</f>
      </c>
      <c r="AS341" s="33">
        <f>ROUND(Y341-AI341,2)</f>
      </c>
      <c r="AT341" s="33">
        <f>ROUND(Z341-AJ341,2)</f>
      </c>
      <c r="AU341" s="33">
        <f>ROUND(AA341-AK341,2)</f>
      </c>
      <c r="AV341" s="33">
        <f>ROUND(AB341-AL341,2)</f>
      </c>
      <c r="AW341" s="33">
        <f>ROUND(AC341-AM341,2)</f>
      </c>
      <c r="AX341" s="33">
        <f>ROUND(AD341-AN341,2)</f>
      </c>
      <c r="AY341" s="33">
        <f>ROUND(AE341-AO341,2)</f>
      </c>
      <c r="AZ341" s="33">
        <f>ROUND(MAX(0,'Your debts'!$D$22-SUM($L341:$U341)),2)</f>
      </c>
      <c r="BA341" s="33">
        <f>ROUND(SUM($B341:$K341)-SUM($AP340:$AY340),2)</f>
      </c>
      <c r="BB341" s="33">
        <f>SUM($AP341:$AY341)</f>
      </c>
      <c r="BC341" s="33">
        <f>ROUND(SUM($L341:$U341)+SUM($AF341:$AO341),2)</f>
      </c>
    </row>
    <row r="342" spans="1:55" x14ac:dyDescent="0.25">
      <c r="A342">
        <v>335</v>
      </c>
      <c r="B342" s="33">
        <f>IF(AP341&lt;=0,0,ROUND(AP341+ROUND(AP341*V$3/12,2),2))</f>
      </c>
      <c r="C342" s="33">
        <f>IF(AQ341&lt;=0,0,ROUND(AQ341+ROUND(AQ341*W$3/12,2),2))</f>
      </c>
      <c r="D342" s="33">
        <f>IF(AR341&lt;=0,0,ROUND(AR341+ROUND(AR341*X$3/12,2),2))</f>
      </c>
      <c r="E342" s="33">
        <f>IF(AS341&lt;=0,0,ROUND(AS341+ROUND(AS341*Y$3/12,2),2))</f>
      </c>
      <c r="F342" s="33">
        <f>IF(AT341&lt;=0,0,ROUND(AT341+ROUND(AT341*Z$3/12,2),2))</f>
      </c>
      <c r="G342" s="33">
        <f>IF(AU341&lt;=0,0,ROUND(AU341+ROUND(AU341*AA$3/12,2),2))</f>
      </c>
      <c r="H342" s="33">
        <f>IF(AV341&lt;=0,0,ROUND(AV341+ROUND(AV341*AB$3/12,2),2))</f>
      </c>
      <c r="I342" s="33">
        <f>IF(AW341&lt;=0,0,ROUND(AW341+ROUND(AW341*AC$3/12,2),2))</f>
      </c>
      <c r="J342" s="33">
        <f>IF(AX341&lt;=0,0,ROUND(AX341+ROUND(AX341*AD$3/12,2),2))</f>
      </c>
      <c r="K342" s="33">
        <f>IF(AY341&lt;=0,0,ROUND(AY341+ROUND(AY341*AE$3/12,2),2))</f>
      </c>
      <c r="L342" s="33">
        <f>ROUND(MIN(MAX(0,N('Your debts'!$E$6)),B342),2)</f>
      </c>
      <c r="M342" s="33">
        <f>ROUND(MIN(MAX(0,N('Your debts'!$E$7)),C342),2)</f>
      </c>
      <c r="N342" s="33">
        <f>ROUND(MIN(MAX(0,N('Your debts'!$E$8)),D342),2)</f>
      </c>
      <c r="O342" s="33">
        <f>ROUND(MIN(MAX(0,N('Your debts'!$E$9)),E342),2)</f>
      </c>
      <c r="P342" s="33">
        <f>ROUND(MIN(MAX(0,N('Your debts'!$E$10)),F342),2)</f>
      </c>
      <c r="Q342" s="33">
        <f>ROUND(MIN(MAX(0,N('Your debts'!$E$11)),G342),2)</f>
      </c>
      <c r="R342" s="33">
        <f>ROUND(MIN(MAX(0,N('Your debts'!$E$12)),H342),2)</f>
      </c>
      <c r="S342" s="33">
        <f>ROUND(MIN(MAX(0,N('Your debts'!$E$13)),I342),2)</f>
      </c>
      <c r="T342" s="33">
        <f>ROUND(MIN(MAX(0,N('Your debts'!$E$14)),J342),2)</f>
      </c>
      <c r="U342" s="33">
        <f>ROUND(MIN(MAX(0,N('Your debts'!$E$15)),K342),2)</f>
      </c>
      <c r="V342" s="33">
        <f>ROUND(B342-L342,2)</f>
      </c>
      <c r="W342" s="33">
        <f>ROUND(C342-M342,2)</f>
      </c>
      <c r="X342" s="33">
        <f>ROUND(D342-N342,2)</f>
      </c>
      <c r="Y342" s="33">
        <f>ROUND(E342-O342,2)</f>
      </c>
      <c r="Z342" s="33">
        <f>ROUND(F342-P342,2)</f>
      </c>
      <c r="AA342" s="33">
        <f>ROUND(G342-Q342,2)</f>
      </c>
      <c r="AB342" s="33">
        <f>ROUND(H342-R342,2)</f>
      </c>
      <c r="AC342" s="33">
        <f>ROUND(I342-S342,2)</f>
      </c>
      <c r="AD342" s="33">
        <f>ROUND(J342-T342,2)</f>
      </c>
      <c r="AE342" s="33">
        <f>ROUND(K342-U342,2)</f>
      </c>
      <c r="AF342" s="33">
        <f>IF(V342&lt;=0,0,MAX(0,MIN(V342,ROUND($AZ342-SUMPRODUCT($V342:$AE342*($V342:$AE342&gt;0)*(($V342:$AE342&lt;V342)+($V342:$AE342=V342)*($V$3:$AE$3&gt;V$3)+($V342:$AE342=V342)*($V$3:$AE$3=V$3)*($V$2:$AE$2&lt;V$2))),2))))</f>
      </c>
      <c r="AG342" s="33">
        <f>IF(W342&lt;=0,0,MAX(0,MIN(W342,ROUND($AZ342-SUMPRODUCT($V342:$AE342*($V342:$AE342&gt;0)*(($V342:$AE342&lt;W342)+($V342:$AE342=W342)*($V$3:$AE$3&gt;W$3)+($V342:$AE342=W342)*($V$3:$AE$3=W$3)*($V$2:$AE$2&lt;W$2))),2))))</f>
      </c>
      <c r="AH342" s="33">
        <f>IF(X342&lt;=0,0,MAX(0,MIN(X342,ROUND($AZ342-SUMPRODUCT($V342:$AE342*($V342:$AE342&gt;0)*(($V342:$AE342&lt;X342)+($V342:$AE342=X342)*($V$3:$AE$3&gt;X$3)+($V342:$AE342=X342)*($V$3:$AE$3=X$3)*($V$2:$AE$2&lt;X$2))),2))))</f>
      </c>
      <c r="AI342" s="33">
        <f>IF(Y342&lt;=0,0,MAX(0,MIN(Y342,ROUND($AZ342-SUMPRODUCT($V342:$AE342*($V342:$AE342&gt;0)*(($V342:$AE342&lt;Y342)+($V342:$AE342=Y342)*($V$3:$AE$3&gt;Y$3)+($V342:$AE342=Y342)*($V$3:$AE$3=Y$3)*($V$2:$AE$2&lt;Y$2))),2))))</f>
      </c>
      <c r="AJ342" s="33">
        <f>IF(Z342&lt;=0,0,MAX(0,MIN(Z342,ROUND($AZ342-SUMPRODUCT($V342:$AE342*($V342:$AE342&gt;0)*(($V342:$AE342&lt;Z342)+($V342:$AE342=Z342)*($V$3:$AE$3&gt;Z$3)+($V342:$AE342=Z342)*($V$3:$AE$3=Z$3)*($V$2:$AE$2&lt;Z$2))),2))))</f>
      </c>
      <c r="AK342" s="33">
        <f>IF(AA342&lt;=0,0,MAX(0,MIN(AA342,ROUND($AZ342-SUMPRODUCT($V342:$AE342*($V342:$AE342&gt;0)*(($V342:$AE342&lt;AA342)+($V342:$AE342=AA342)*($V$3:$AE$3&gt;AA$3)+($V342:$AE342=AA342)*($V$3:$AE$3=AA$3)*($V$2:$AE$2&lt;AA$2))),2))))</f>
      </c>
      <c r="AL342" s="33">
        <f>IF(AB342&lt;=0,0,MAX(0,MIN(AB342,ROUND($AZ342-SUMPRODUCT($V342:$AE342*($V342:$AE342&gt;0)*(($V342:$AE342&lt;AB342)+($V342:$AE342=AB342)*($V$3:$AE$3&gt;AB$3)+($V342:$AE342=AB342)*($V$3:$AE$3=AB$3)*($V$2:$AE$2&lt;AB$2))),2))))</f>
      </c>
      <c r="AM342" s="33">
        <f>IF(AC342&lt;=0,0,MAX(0,MIN(AC342,ROUND($AZ342-SUMPRODUCT($V342:$AE342*($V342:$AE342&gt;0)*(($V342:$AE342&lt;AC342)+($V342:$AE342=AC342)*($V$3:$AE$3&gt;AC$3)+($V342:$AE342=AC342)*($V$3:$AE$3=AC$3)*($V$2:$AE$2&lt;AC$2))),2))))</f>
      </c>
      <c r="AN342" s="33">
        <f>IF(AD342&lt;=0,0,MAX(0,MIN(AD342,ROUND($AZ342-SUMPRODUCT($V342:$AE342*($V342:$AE342&gt;0)*(($V342:$AE342&lt;AD342)+($V342:$AE342=AD342)*($V$3:$AE$3&gt;AD$3)+($V342:$AE342=AD342)*($V$3:$AE$3=AD$3)*($V$2:$AE$2&lt;AD$2))),2))))</f>
      </c>
      <c r="AO342" s="33">
        <f>IF(AE342&lt;=0,0,MAX(0,MIN(AE342,ROUND($AZ342-SUMPRODUCT($V342:$AE342*($V342:$AE342&gt;0)*(($V342:$AE342&lt;AE342)+($V342:$AE342=AE342)*($V$3:$AE$3&gt;AE$3)+($V342:$AE342=AE342)*($V$3:$AE$3=AE$3)*($V$2:$AE$2&lt;AE$2))),2))))</f>
      </c>
      <c r="AP342" s="33">
        <f>ROUND(V342-AF342,2)</f>
      </c>
      <c r="AQ342" s="33">
        <f>ROUND(W342-AG342,2)</f>
      </c>
      <c r="AR342" s="33">
        <f>ROUND(X342-AH342,2)</f>
      </c>
      <c r="AS342" s="33">
        <f>ROUND(Y342-AI342,2)</f>
      </c>
      <c r="AT342" s="33">
        <f>ROUND(Z342-AJ342,2)</f>
      </c>
      <c r="AU342" s="33">
        <f>ROUND(AA342-AK342,2)</f>
      </c>
      <c r="AV342" s="33">
        <f>ROUND(AB342-AL342,2)</f>
      </c>
      <c r="AW342" s="33">
        <f>ROUND(AC342-AM342,2)</f>
      </c>
      <c r="AX342" s="33">
        <f>ROUND(AD342-AN342,2)</f>
      </c>
      <c r="AY342" s="33">
        <f>ROUND(AE342-AO342,2)</f>
      </c>
      <c r="AZ342" s="33">
        <f>ROUND(MAX(0,'Your debts'!$D$22-SUM($L342:$U342)),2)</f>
      </c>
      <c r="BA342" s="33">
        <f>ROUND(SUM($B342:$K342)-SUM($AP341:$AY341),2)</f>
      </c>
      <c r="BB342" s="33">
        <f>SUM($AP342:$AY342)</f>
      </c>
      <c r="BC342" s="33">
        <f>ROUND(SUM($L342:$U342)+SUM($AF342:$AO342),2)</f>
      </c>
    </row>
    <row r="343" spans="1:55" x14ac:dyDescent="0.25">
      <c r="A343">
        <v>336</v>
      </c>
      <c r="B343" s="33">
        <f>IF(AP342&lt;=0,0,ROUND(AP342+ROUND(AP342*V$3/12,2),2))</f>
      </c>
      <c r="C343" s="33">
        <f>IF(AQ342&lt;=0,0,ROUND(AQ342+ROUND(AQ342*W$3/12,2),2))</f>
      </c>
      <c r="D343" s="33">
        <f>IF(AR342&lt;=0,0,ROUND(AR342+ROUND(AR342*X$3/12,2),2))</f>
      </c>
      <c r="E343" s="33">
        <f>IF(AS342&lt;=0,0,ROUND(AS342+ROUND(AS342*Y$3/12,2),2))</f>
      </c>
      <c r="F343" s="33">
        <f>IF(AT342&lt;=0,0,ROUND(AT342+ROUND(AT342*Z$3/12,2),2))</f>
      </c>
      <c r="G343" s="33">
        <f>IF(AU342&lt;=0,0,ROUND(AU342+ROUND(AU342*AA$3/12,2),2))</f>
      </c>
      <c r="H343" s="33">
        <f>IF(AV342&lt;=0,0,ROUND(AV342+ROUND(AV342*AB$3/12,2),2))</f>
      </c>
      <c r="I343" s="33">
        <f>IF(AW342&lt;=0,0,ROUND(AW342+ROUND(AW342*AC$3/12,2),2))</f>
      </c>
      <c r="J343" s="33">
        <f>IF(AX342&lt;=0,0,ROUND(AX342+ROUND(AX342*AD$3/12,2),2))</f>
      </c>
      <c r="K343" s="33">
        <f>IF(AY342&lt;=0,0,ROUND(AY342+ROUND(AY342*AE$3/12,2),2))</f>
      </c>
      <c r="L343" s="33">
        <f>ROUND(MIN(MAX(0,N('Your debts'!$E$6)),B343),2)</f>
      </c>
      <c r="M343" s="33">
        <f>ROUND(MIN(MAX(0,N('Your debts'!$E$7)),C343),2)</f>
      </c>
      <c r="N343" s="33">
        <f>ROUND(MIN(MAX(0,N('Your debts'!$E$8)),D343),2)</f>
      </c>
      <c r="O343" s="33">
        <f>ROUND(MIN(MAX(0,N('Your debts'!$E$9)),E343),2)</f>
      </c>
      <c r="P343" s="33">
        <f>ROUND(MIN(MAX(0,N('Your debts'!$E$10)),F343),2)</f>
      </c>
      <c r="Q343" s="33">
        <f>ROUND(MIN(MAX(0,N('Your debts'!$E$11)),G343),2)</f>
      </c>
      <c r="R343" s="33">
        <f>ROUND(MIN(MAX(0,N('Your debts'!$E$12)),H343),2)</f>
      </c>
      <c r="S343" s="33">
        <f>ROUND(MIN(MAX(0,N('Your debts'!$E$13)),I343),2)</f>
      </c>
      <c r="T343" s="33">
        <f>ROUND(MIN(MAX(0,N('Your debts'!$E$14)),J343),2)</f>
      </c>
      <c r="U343" s="33">
        <f>ROUND(MIN(MAX(0,N('Your debts'!$E$15)),K343),2)</f>
      </c>
      <c r="V343" s="33">
        <f>ROUND(B343-L343,2)</f>
      </c>
      <c r="W343" s="33">
        <f>ROUND(C343-M343,2)</f>
      </c>
      <c r="X343" s="33">
        <f>ROUND(D343-N343,2)</f>
      </c>
      <c r="Y343" s="33">
        <f>ROUND(E343-O343,2)</f>
      </c>
      <c r="Z343" s="33">
        <f>ROUND(F343-P343,2)</f>
      </c>
      <c r="AA343" s="33">
        <f>ROUND(G343-Q343,2)</f>
      </c>
      <c r="AB343" s="33">
        <f>ROUND(H343-R343,2)</f>
      </c>
      <c r="AC343" s="33">
        <f>ROUND(I343-S343,2)</f>
      </c>
      <c r="AD343" s="33">
        <f>ROUND(J343-T343,2)</f>
      </c>
      <c r="AE343" s="33">
        <f>ROUND(K343-U343,2)</f>
      </c>
      <c r="AF343" s="33">
        <f>IF(V343&lt;=0,0,MAX(0,MIN(V343,ROUND($AZ343-SUMPRODUCT($V343:$AE343*($V343:$AE343&gt;0)*(($V343:$AE343&lt;V343)+($V343:$AE343=V343)*($V$3:$AE$3&gt;V$3)+($V343:$AE343=V343)*($V$3:$AE$3=V$3)*($V$2:$AE$2&lt;V$2))),2))))</f>
      </c>
      <c r="AG343" s="33">
        <f>IF(W343&lt;=0,0,MAX(0,MIN(W343,ROUND($AZ343-SUMPRODUCT($V343:$AE343*($V343:$AE343&gt;0)*(($V343:$AE343&lt;W343)+($V343:$AE343=W343)*($V$3:$AE$3&gt;W$3)+($V343:$AE343=W343)*($V$3:$AE$3=W$3)*($V$2:$AE$2&lt;W$2))),2))))</f>
      </c>
      <c r="AH343" s="33">
        <f>IF(X343&lt;=0,0,MAX(0,MIN(X343,ROUND($AZ343-SUMPRODUCT($V343:$AE343*($V343:$AE343&gt;0)*(($V343:$AE343&lt;X343)+($V343:$AE343=X343)*($V$3:$AE$3&gt;X$3)+($V343:$AE343=X343)*($V$3:$AE$3=X$3)*($V$2:$AE$2&lt;X$2))),2))))</f>
      </c>
      <c r="AI343" s="33">
        <f>IF(Y343&lt;=0,0,MAX(0,MIN(Y343,ROUND($AZ343-SUMPRODUCT($V343:$AE343*($V343:$AE343&gt;0)*(($V343:$AE343&lt;Y343)+($V343:$AE343=Y343)*($V$3:$AE$3&gt;Y$3)+($V343:$AE343=Y343)*($V$3:$AE$3=Y$3)*($V$2:$AE$2&lt;Y$2))),2))))</f>
      </c>
      <c r="AJ343" s="33">
        <f>IF(Z343&lt;=0,0,MAX(0,MIN(Z343,ROUND($AZ343-SUMPRODUCT($V343:$AE343*($V343:$AE343&gt;0)*(($V343:$AE343&lt;Z343)+($V343:$AE343=Z343)*($V$3:$AE$3&gt;Z$3)+($V343:$AE343=Z343)*($V$3:$AE$3=Z$3)*($V$2:$AE$2&lt;Z$2))),2))))</f>
      </c>
      <c r="AK343" s="33">
        <f>IF(AA343&lt;=0,0,MAX(0,MIN(AA343,ROUND($AZ343-SUMPRODUCT($V343:$AE343*($V343:$AE343&gt;0)*(($V343:$AE343&lt;AA343)+($V343:$AE343=AA343)*($V$3:$AE$3&gt;AA$3)+($V343:$AE343=AA343)*($V$3:$AE$3=AA$3)*($V$2:$AE$2&lt;AA$2))),2))))</f>
      </c>
      <c r="AL343" s="33">
        <f>IF(AB343&lt;=0,0,MAX(0,MIN(AB343,ROUND($AZ343-SUMPRODUCT($V343:$AE343*($V343:$AE343&gt;0)*(($V343:$AE343&lt;AB343)+($V343:$AE343=AB343)*($V$3:$AE$3&gt;AB$3)+($V343:$AE343=AB343)*($V$3:$AE$3=AB$3)*($V$2:$AE$2&lt;AB$2))),2))))</f>
      </c>
      <c r="AM343" s="33">
        <f>IF(AC343&lt;=0,0,MAX(0,MIN(AC343,ROUND($AZ343-SUMPRODUCT($V343:$AE343*($V343:$AE343&gt;0)*(($V343:$AE343&lt;AC343)+($V343:$AE343=AC343)*($V$3:$AE$3&gt;AC$3)+($V343:$AE343=AC343)*($V$3:$AE$3=AC$3)*($V$2:$AE$2&lt;AC$2))),2))))</f>
      </c>
      <c r="AN343" s="33">
        <f>IF(AD343&lt;=0,0,MAX(0,MIN(AD343,ROUND($AZ343-SUMPRODUCT($V343:$AE343*($V343:$AE343&gt;0)*(($V343:$AE343&lt;AD343)+($V343:$AE343=AD343)*($V$3:$AE$3&gt;AD$3)+($V343:$AE343=AD343)*($V$3:$AE$3=AD$3)*($V$2:$AE$2&lt;AD$2))),2))))</f>
      </c>
      <c r="AO343" s="33">
        <f>IF(AE343&lt;=0,0,MAX(0,MIN(AE343,ROUND($AZ343-SUMPRODUCT($V343:$AE343*($V343:$AE343&gt;0)*(($V343:$AE343&lt;AE343)+($V343:$AE343=AE343)*($V$3:$AE$3&gt;AE$3)+($V343:$AE343=AE343)*($V$3:$AE$3=AE$3)*($V$2:$AE$2&lt;AE$2))),2))))</f>
      </c>
      <c r="AP343" s="33">
        <f>ROUND(V343-AF343,2)</f>
      </c>
      <c r="AQ343" s="33">
        <f>ROUND(W343-AG343,2)</f>
      </c>
      <c r="AR343" s="33">
        <f>ROUND(X343-AH343,2)</f>
      </c>
      <c r="AS343" s="33">
        <f>ROUND(Y343-AI343,2)</f>
      </c>
      <c r="AT343" s="33">
        <f>ROUND(Z343-AJ343,2)</f>
      </c>
      <c r="AU343" s="33">
        <f>ROUND(AA343-AK343,2)</f>
      </c>
      <c r="AV343" s="33">
        <f>ROUND(AB343-AL343,2)</f>
      </c>
      <c r="AW343" s="33">
        <f>ROUND(AC343-AM343,2)</f>
      </c>
      <c r="AX343" s="33">
        <f>ROUND(AD343-AN343,2)</f>
      </c>
      <c r="AY343" s="33">
        <f>ROUND(AE343-AO343,2)</f>
      </c>
      <c r="AZ343" s="33">
        <f>ROUND(MAX(0,'Your debts'!$D$22-SUM($L343:$U343)),2)</f>
      </c>
      <c r="BA343" s="33">
        <f>ROUND(SUM($B343:$K343)-SUM($AP342:$AY342),2)</f>
      </c>
      <c r="BB343" s="33">
        <f>SUM($AP343:$AY343)</f>
      </c>
      <c r="BC343" s="33">
        <f>ROUND(SUM($L343:$U343)+SUM($AF343:$AO343),2)</f>
      </c>
    </row>
    <row r="344" spans="1:55" x14ac:dyDescent="0.25">
      <c r="A344">
        <v>337</v>
      </c>
      <c r="B344" s="33">
        <f>IF(AP343&lt;=0,0,ROUND(AP343+ROUND(AP343*V$3/12,2),2))</f>
      </c>
      <c r="C344" s="33">
        <f>IF(AQ343&lt;=0,0,ROUND(AQ343+ROUND(AQ343*W$3/12,2),2))</f>
      </c>
      <c r="D344" s="33">
        <f>IF(AR343&lt;=0,0,ROUND(AR343+ROUND(AR343*X$3/12,2),2))</f>
      </c>
      <c r="E344" s="33">
        <f>IF(AS343&lt;=0,0,ROUND(AS343+ROUND(AS343*Y$3/12,2),2))</f>
      </c>
      <c r="F344" s="33">
        <f>IF(AT343&lt;=0,0,ROUND(AT343+ROUND(AT343*Z$3/12,2),2))</f>
      </c>
      <c r="G344" s="33">
        <f>IF(AU343&lt;=0,0,ROUND(AU343+ROUND(AU343*AA$3/12,2),2))</f>
      </c>
      <c r="H344" s="33">
        <f>IF(AV343&lt;=0,0,ROUND(AV343+ROUND(AV343*AB$3/12,2),2))</f>
      </c>
      <c r="I344" s="33">
        <f>IF(AW343&lt;=0,0,ROUND(AW343+ROUND(AW343*AC$3/12,2),2))</f>
      </c>
      <c r="J344" s="33">
        <f>IF(AX343&lt;=0,0,ROUND(AX343+ROUND(AX343*AD$3/12,2),2))</f>
      </c>
      <c r="K344" s="33">
        <f>IF(AY343&lt;=0,0,ROUND(AY343+ROUND(AY343*AE$3/12,2),2))</f>
      </c>
      <c r="L344" s="33">
        <f>ROUND(MIN(MAX(0,N('Your debts'!$E$6)),B344),2)</f>
      </c>
      <c r="M344" s="33">
        <f>ROUND(MIN(MAX(0,N('Your debts'!$E$7)),C344),2)</f>
      </c>
      <c r="N344" s="33">
        <f>ROUND(MIN(MAX(0,N('Your debts'!$E$8)),D344),2)</f>
      </c>
      <c r="O344" s="33">
        <f>ROUND(MIN(MAX(0,N('Your debts'!$E$9)),E344),2)</f>
      </c>
      <c r="P344" s="33">
        <f>ROUND(MIN(MAX(0,N('Your debts'!$E$10)),F344),2)</f>
      </c>
      <c r="Q344" s="33">
        <f>ROUND(MIN(MAX(0,N('Your debts'!$E$11)),G344),2)</f>
      </c>
      <c r="R344" s="33">
        <f>ROUND(MIN(MAX(0,N('Your debts'!$E$12)),H344),2)</f>
      </c>
      <c r="S344" s="33">
        <f>ROUND(MIN(MAX(0,N('Your debts'!$E$13)),I344),2)</f>
      </c>
      <c r="T344" s="33">
        <f>ROUND(MIN(MAX(0,N('Your debts'!$E$14)),J344),2)</f>
      </c>
      <c r="U344" s="33">
        <f>ROUND(MIN(MAX(0,N('Your debts'!$E$15)),K344),2)</f>
      </c>
      <c r="V344" s="33">
        <f>ROUND(B344-L344,2)</f>
      </c>
      <c r="W344" s="33">
        <f>ROUND(C344-M344,2)</f>
      </c>
      <c r="X344" s="33">
        <f>ROUND(D344-N344,2)</f>
      </c>
      <c r="Y344" s="33">
        <f>ROUND(E344-O344,2)</f>
      </c>
      <c r="Z344" s="33">
        <f>ROUND(F344-P344,2)</f>
      </c>
      <c r="AA344" s="33">
        <f>ROUND(G344-Q344,2)</f>
      </c>
      <c r="AB344" s="33">
        <f>ROUND(H344-R344,2)</f>
      </c>
      <c r="AC344" s="33">
        <f>ROUND(I344-S344,2)</f>
      </c>
      <c r="AD344" s="33">
        <f>ROUND(J344-T344,2)</f>
      </c>
      <c r="AE344" s="33">
        <f>ROUND(K344-U344,2)</f>
      </c>
      <c r="AF344" s="33">
        <f>IF(V344&lt;=0,0,MAX(0,MIN(V344,ROUND($AZ344-SUMPRODUCT($V344:$AE344*($V344:$AE344&gt;0)*(($V344:$AE344&lt;V344)+($V344:$AE344=V344)*($V$3:$AE$3&gt;V$3)+($V344:$AE344=V344)*($V$3:$AE$3=V$3)*($V$2:$AE$2&lt;V$2))),2))))</f>
      </c>
      <c r="AG344" s="33">
        <f>IF(W344&lt;=0,0,MAX(0,MIN(W344,ROUND($AZ344-SUMPRODUCT($V344:$AE344*($V344:$AE344&gt;0)*(($V344:$AE344&lt;W344)+($V344:$AE344=W344)*($V$3:$AE$3&gt;W$3)+($V344:$AE344=W344)*($V$3:$AE$3=W$3)*($V$2:$AE$2&lt;W$2))),2))))</f>
      </c>
      <c r="AH344" s="33">
        <f>IF(X344&lt;=0,0,MAX(0,MIN(X344,ROUND($AZ344-SUMPRODUCT($V344:$AE344*($V344:$AE344&gt;0)*(($V344:$AE344&lt;X344)+($V344:$AE344=X344)*($V$3:$AE$3&gt;X$3)+($V344:$AE344=X344)*($V$3:$AE$3=X$3)*($V$2:$AE$2&lt;X$2))),2))))</f>
      </c>
      <c r="AI344" s="33">
        <f>IF(Y344&lt;=0,0,MAX(0,MIN(Y344,ROUND($AZ344-SUMPRODUCT($V344:$AE344*($V344:$AE344&gt;0)*(($V344:$AE344&lt;Y344)+($V344:$AE344=Y344)*($V$3:$AE$3&gt;Y$3)+($V344:$AE344=Y344)*($V$3:$AE$3=Y$3)*($V$2:$AE$2&lt;Y$2))),2))))</f>
      </c>
      <c r="AJ344" s="33">
        <f>IF(Z344&lt;=0,0,MAX(0,MIN(Z344,ROUND($AZ344-SUMPRODUCT($V344:$AE344*($V344:$AE344&gt;0)*(($V344:$AE344&lt;Z344)+($V344:$AE344=Z344)*($V$3:$AE$3&gt;Z$3)+($V344:$AE344=Z344)*($V$3:$AE$3=Z$3)*($V$2:$AE$2&lt;Z$2))),2))))</f>
      </c>
      <c r="AK344" s="33">
        <f>IF(AA344&lt;=0,0,MAX(0,MIN(AA344,ROUND($AZ344-SUMPRODUCT($V344:$AE344*($V344:$AE344&gt;0)*(($V344:$AE344&lt;AA344)+($V344:$AE344=AA344)*($V$3:$AE$3&gt;AA$3)+($V344:$AE344=AA344)*($V$3:$AE$3=AA$3)*($V$2:$AE$2&lt;AA$2))),2))))</f>
      </c>
      <c r="AL344" s="33">
        <f>IF(AB344&lt;=0,0,MAX(0,MIN(AB344,ROUND($AZ344-SUMPRODUCT($V344:$AE344*($V344:$AE344&gt;0)*(($V344:$AE344&lt;AB344)+($V344:$AE344=AB344)*($V$3:$AE$3&gt;AB$3)+($V344:$AE344=AB344)*($V$3:$AE$3=AB$3)*($V$2:$AE$2&lt;AB$2))),2))))</f>
      </c>
      <c r="AM344" s="33">
        <f>IF(AC344&lt;=0,0,MAX(0,MIN(AC344,ROUND($AZ344-SUMPRODUCT($V344:$AE344*($V344:$AE344&gt;0)*(($V344:$AE344&lt;AC344)+($V344:$AE344=AC344)*($V$3:$AE$3&gt;AC$3)+($V344:$AE344=AC344)*($V$3:$AE$3=AC$3)*($V$2:$AE$2&lt;AC$2))),2))))</f>
      </c>
      <c r="AN344" s="33">
        <f>IF(AD344&lt;=0,0,MAX(0,MIN(AD344,ROUND($AZ344-SUMPRODUCT($V344:$AE344*($V344:$AE344&gt;0)*(($V344:$AE344&lt;AD344)+($V344:$AE344=AD344)*($V$3:$AE$3&gt;AD$3)+($V344:$AE344=AD344)*($V$3:$AE$3=AD$3)*($V$2:$AE$2&lt;AD$2))),2))))</f>
      </c>
      <c r="AO344" s="33">
        <f>IF(AE344&lt;=0,0,MAX(0,MIN(AE344,ROUND($AZ344-SUMPRODUCT($V344:$AE344*($V344:$AE344&gt;0)*(($V344:$AE344&lt;AE344)+($V344:$AE344=AE344)*($V$3:$AE$3&gt;AE$3)+($V344:$AE344=AE344)*($V$3:$AE$3=AE$3)*($V$2:$AE$2&lt;AE$2))),2))))</f>
      </c>
      <c r="AP344" s="33">
        <f>ROUND(V344-AF344,2)</f>
      </c>
      <c r="AQ344" s="33">
        <f>ROUND(W344-AG344,2)</f>
      </c>
      <c r="AR344" s="33">
        <f>ROUND(X344-AH344,2)</f>
      </c>
      <c r="AS344" s="33">
        <f>ROUND(Y344-AI344,2)</f>
      </c>
      <c r="AT344" s="33">
        <f>ROUND(Z344-AJ344,2)</f>
      </c>
      <c r="AU344" s="33">
        <f>ROUND(AA344-AK344,2)</f>
      </c>
      <c r="AV344" s="33">
        <f>ROUND(AB344-AL344,2)</f>
      </c>
      <c r="AW344" s="33">
        <f>ROUND(AC344-AM344,2)</f>
      </c>
      <c r="AX344" s="33">
        <f>ROUND(AD344-AN344,2)</f>
      </c>
      <c r="AY344" s="33">
        <f>ROUND(AE344-AO344,2)</f>
      </c>
      <c r="AZ344" s="33">
        <f>ROUND(MAX(0,'Your debts'!$D$22-SUM($L344:$U344)),2)</f>
      </c>
      <c r="BA344" s="33">
        <f>ROUND(SUM($B344:$K344)-SUM($AP343:$AY343),2)</f>
      </c>
      <c r="BB344" s="33">
        <f>SUM($AP344:$AY344)</f>
      </c>
      <c r="BC344" s="33">
        <f>ROUND(SUM($L344:$U344)+SUM($AF344:$AO344),2)</f>
      </c>
    </row>
    <row r="345" spans="1:55" x14ac:dyDescent="0.25">
      <c r="A345">
        <v>338</v>
      </c>
      <c r="B345" s="33">
        <f>IF(AP344&lt;=0,0,ROUND(AP344+ROUND(AP344*V$3/12,2),2))</f>
      </c>
      <c r="C345" s="33">
        <f>IF(AQ344&lt;=0,0,ROUND(AQ344+ROUND(AQ344*W$3/12,2),2))</f>
      </c>
      <c r="D345" s="33">
        <f>IF(AR344&lt;=0,0,ROUND(AR344+ROUND(AR344*X$3/12,2),2))</f>
      </c>
      <c r="E345" s="33">
        <f>IF(AS344&lt;=0,0,ROUND(AS344+ROUND(AS344*Y$3/12,2),2))</f>
      </c>
      <c r="F345" s="33">
        <f>IF(AT344&lt;=0,0,ROUND(AT344+ROUND(AT344*Z$3/12,2),2))</f>
      </c>
      <c r="G345" s="33">
        <f>IF(AU344&lt;=0,0,ROUND(AU344+ROUND(AU344*AA$3/12,2),2))</f>
      </c>
      <c r="H345" s="33">
        <f>IF(AV344&lt;=0,0,ROUND(AV344+ROUND(AV344*AB$3/12,2),2))</f>
      </c>
      <c r="I345" s="33">
        <f>IF(AW344&lt;=0,0,ROUND(AW344+ROUND(AW344*AC$3/12,2),2))</f>
      </c>
      <c r="J345" s="33">
        <f>IF(AX344&lt;=0,0,ROUND(AX344+ROUND(AX344*AD$3/12,2),2))</f>
      </c>
      <c r="K345" s="33">
        <f>IF(AY344&lt;=0,0,ROUND(AY344+ROUND(AY344*AE$3/12,2),2))</f>
      </c>
      <c r="L345" s="33">
        <f>ROUND(MIN(MAX(0,N('Your debts'!$E$6)),B345),2)</f>
      </c>
      <c r="M345" s="33">
        <f>ROUND(MIN(MAX(0,N('Your debts'!$E$7)),C345),2)</f>
      </c>
      <c r="N345" s="33">
        <f>ROUND(MIN(MAX(0,N('Your debts'!$E$8)),D345),2)</f>
      </c>
      <c r="O345" s="33">
        <f>ROUND(MIN(MAX(0,N('Your debts'!$E$9)),E345),2)</f>
      </c>
      <c r="P345" s="33">
        <f>ROUND(MIN(MAX(0,N('Your debts'!$E$10)),F345),2)</f>
      </c>
      <c r="Q345" s="33">
        <f>ROUND(MIN(MAX(0,N('Your debts'!$E$11)),G345),2)</f>
      </c>
      <c r="R345" s="33">
        <f>ROUND(MIN(MAX(0,N('Your debts'!$E$12)),H345),2)</f>
      </c>
      <c r="S345" s="33">
        <f>ROUND(MIN(MAX(0,N('Your debts'!$E$13)),I345),2)</f>
      </c>
      <c r="T345" s="33">
        <f>ROUND(MIN(MAX(0,N('Your debts'!$E$14)),J345),2)</f>
      </c>
      <c r="U345" s="33">
        <f>ROUND(MIN(MAX(0,N('Your debts'!$E$15)),K345),2)</f>
      </c>
      <c r="V345" s="33">
        <f>ROUND(B345-L345,2)</f>
      </c>
      <c r="W345" s="33">
        <f>ROUND(C345-M345,2)</f>
      </c>
      <c r="X345" s="33">
        <f>ROUND(D345-N345,2)</f>
      </c>
      <c r="Y345" s="33">
        <f>ROUND(E345-O345,2)</f>
      </c>
      <c r="Z345" s="33">
        <f>ROUND(F345-P345,2)</f>
      </c>
      <c r="AA345" s="33">
        <f>ROUND(G345-Q345,2)</f>
      </c>
      <c r="AB345" s="33">
        <f>ROUND(H345-R345,2)</f>
      </c>
      <c r="AC345" s="33">
        <f>ROUND(I345-S345,2)</f>
      </c>
      <c r="AD345" s="33">
        <f>ROUND(J345-T345,2)</f>
      </c>
      <c r="AE345" s="33">
        <f>ROUND(K345-U345,2)</f>
      </c>
      <c r="AF345" s="33">
        <f>IF(V345&lt;=0,0,MAX(0,MIN(V345,ROUND($AZ345-SUMPRODUCT($V345:$AE345*($V345:$AE345&gt;0)*(($V345:$AE345&lt;V345)+($V345:$AE345=V345)*($V$3:$AE$3&gt;V$3)+($V345:$AE345=V345)*($V$3:$AE$3=V$3)*($V$2:$AE$2&lt;V$2))),2))))</f>
      </c>
      <c r="AG345" s="33">
        <f>IF(W345&lt;=0,0,MAX(0,MIN(W345,ROUND($AZ345-SUMPRODUCT($V345:$AE345*($V345:$AE345&gt;0)*(($V345:$AE345&lt;W345)+($V345:$AE345=W345)*($V$3:$AE$3&gt;W$3)+($V345:$AE345=W345)*($V$3:$AE$3=W$3)*($V$2:$AE$2&lt;W$2))),2))))</f>
      </c>
      <c r="AH345" s="33">
        <f>IF(X345&lt;=0,0,MAX(0,MIN(X345,ROUND($AZ345-SUMPRODUCT($V345:$AE345*($V345:$AE345&gt;0)*(($V345:$AE345&lt;X345)+($V345:$AE345=X345)*($V$3:$AE$3&gt;X$3)+($V345:$AE345=X345)*($V$3:$AE$3=X$3)*($V$2:$AE$2&lt;X$2))),2))))</f>
      </c>
      <c r="AI345" s="33">
        <f>IF(Y345&lt;=0,0,MAX(0,MIN(Y345,ROUND($AZ345-SUMPRODUCT($V345:$AE345*($V345:$AE345&gt;0)*(($V345:$AE345&lt;Y345)+($V345:$AE345=Y345)*($V$3:$AE$3&gt;Y$3)+($V345:$AE345=Y345)*($V$3:$AE$3=Y$3)*($V$2:$AE$2&lt;Y$2))),2))))</f>
      </c>
      <c r="AJ345" s="33">
        <f>IF(Z345&lt;=0,0,MAX(0,MIN(Z345,ROUND($AZ345-SUMPRODUCT($V345:$AE345*($V345:$AE345&gt;0)*(($V345:$AE345&lt;Z345)+($V345:$AE345=Z345)*($V$3:$AE$3&gt;Z$3)+($V345:$AE345=Z345)*($V$3:$AE$3=Z$3)*($V$2:$AE$2&lt;Z$2))),2))))</f>
      </c>
      <c r="AK345" s="33">
        <f>IF(AA345&lt;=0,0,MAX(0,MIN(AA345,ROUND($AZ345-SUMPRODUCT($V345:$AE345*($V345:$AE345&gt;0)*(($V345:$AE345&lt;AA345)+($V345:$AE345=AA345)*($V$3:$AE$3&gt;AA$3)+($V345:$AE345=AA345)*($V$3:$AE$3=AA$3)*($V$2:$AE$2&lt;AA$2))),2))))</f>
      </c>
      <c r="AL345" s="33">
        <f>IF(AB345&lt;=0,0,MAX(0,MIN(AB345,ROUND($AZ345-SUMPRODUCT($V345:$AE345*($V345:$AE345&gt;0)*(($V345:$AE345&lt;AB345)+($V345:$AE345=AB345)*($V$3:$AE$3&gt;AB$3)+($V345:$AE345=AB345)*($V$3:$AE$3=AB$3)*($V$2:$AE$2&lt;AB$2))),2))))</f>
      </c>
      <c r="AM345" s="33">
        <f>IF(AC345&lt;=0,0,MAX(0,MIN(AC345,ROUND($AZ345-SUMPRODUCT($V345:$AE345*($V345:$AE345&gt;0)*(($V345:$AE345&lt;AC345)+($V345:$AE345=AC345)*($V$3:$AE$3&gt;AC$3)+($V345:$AE345=AC345)*($V$3:$AE$3=AC$3)*($V$2:$AE$2&lt;AC$2))),2))))</f>
      </c>
      <c r="AN345" s="33">
        <f>IF(AD345&lt;=0,0,MAX(0,MIN(AD345,ROUND($AZ345-SUMPRODUCT($V345:$AE345*($V345:$AE345&gt;0)*(($V345:$AE345&lt;AD345)+($V345:$AE345=AD345)*($V$3:$AE$3&gt;AD$3)+($V345:$AE345=AD345)*($V$3:$AE$3=AD$3)*($V$2:$AE$2&lt;AD$2))),2))))</f>
      </c>
      <c r="AO345" s="33">
        <f>IF(AE345&lt;=0,0,MAX(0,MIN(AE345,ROUND($AZ345-SUMPRODUCT($V345:$AE345*($V345:$AE345&gt;0)*(($V345:$AE345&lt;AE345)+($V345:$AE345=AE345)*($V$3:$AE$3&gt;AE$3)+($V345:$AE345=AE345)*($V$3:$AE$3=AE$3)*($V$2:$AE$2&lt;AE$2))),2))))</f>
      </c>
      <c r="AP345" s="33">
        <f>ROUND(V345-AF345,2)</f>
      </c>
      <c r="AQ345" s="33">
        <f>ROUND(W345-AG345,2)</f>
      </c>
      <c r="AR345" s="33">
        <f>ROUND(X345-AH345,2)</f>
      </c>
      <c r="AS345" s="33">
        <f>ROUND(Y345-AI345,2)</f>
      </c>
      <c r="AT345" s="33">
        <f>ROUND(Z345-AJ345,2)</f>
      </c>
      <c r="AU345" s="33">
        <f>ROUND(AA345-AK345,2)</f>
      </c>
      <c r="AV345" s="33">
        <f>ROUND(AB345-AL345,2)</f>
      </c>
      <c r="AW345" s="33">
        <f>ROUND(AC345-AM345,2)</f>
      </c>
      <c r="AX345" s="33">
        <f>ROUND(AD345-AN345,2)</f>
      </c>
      <c r="AY345" s="33">
        <f>ROUND(AE345-AO345,2)</f>
      </c>
      <c r="AZ345" s="33">
        <f>ROUND(MAX(0,'Your debts'!$D$22-SUM($L345:$U345)),2)</f>
      </c>
      <c r="BA345" s="33">
        <f>ROUND(SUM($B345:$K345)-SUM($AP344:$AY344),2)</f>
      </c>
      <c r="BB345" s="33">
        <f>SUM($AP345:$AY345)</f>
      </c>
      <c r="BC345" s="33">
        <f>ROUND(SUM($L345:$U345)+SUM($AF345:$AO345),2)</f>
      </c>
    </row>
    <row r="346" spans="1:55" x14ac:dyDescent="0.25">
      <c r="A346">
        <v>339</v>
      </c>
      <c r="B346" s="33">
        <f>IF(AP345&lt;=0,0,ROUND(AP345+ROUND(AP345*V$3/12,2),2))</f>
      </c>
      <c r="C346" s="33">
        <f>IF(AQ345&lt;=0,0,ROUND(AQ345+ROUND(AQ345*W$3/12,2),2))</f>
      </c>
      <c r="D346" s="33">
        <f>IF(AR345&lt;=0,0,ROUND(AR345+ROUND(AR345*X$3/12,2),2))</f>
      </c>
      <c r="E346" s="33">
        <f>IF(AS345&lt;=0,0,ROUND(AS345+ROUND(AS345*Y$3/12,2),2))</f>
      </c>
      <c r="F346" s="33">
        <f>IF(AT345&lt;=0,0,ROUND(AT345+ROUND(AT345*Z$3/12,2),2))</f>
      </c>
      <c r="G346" s="33">
        <f>IF(AU345&lt;=0,0,ROUND(AU345+ROUND(AU345*AA$3/12,2),2))</f>
      </c>
      <c r="H346" s="33">
        <f>IF(AV345&lt;=0,0,ROUND(AV345+ROUND(AV345*AB$3/12,2),2))</f>
      </c>
      <c r="I346" s="33">
        <f>IF(AW345&lt;=0,0,ROUND(AW345+ROUND(AW345*AC$3/12,2),2))</f>
      </c>
      <c r="J346" s="33">
        <f>IF(AX345&lt;=0,0,ROUND(AX345+ROUND(AX345*AD$3/12,2),2))</f>
      </c>
      <c r="K346" s="33">
        <f>IF(AY345&lt;=0,0,ROUND(AY345+ROUND(AY345*AE$3/12,2),2))</f>
      </c>
      <c r="L346" s="33">
        <f>ROUND(MIN(MAX(0,N('Your debts'!$E$6)),B346),2)</f>
      </c>
      <c r="M346" s="33">
        <f>ROUND(MIN(MAX(0,N('Your debts'!$E$7)),C346),2)</f>
      </c>
      <c r="N346" s="33">
        <f>ROUND(MIN(MAX(0,N('Your debts'!$E$8)),D346),2)</f>
      </c>
      <c r="O346" s="33">
        <f>ROUND(MIN(MAX(0,N('Your debts'!$E$9)),E346),2)</f>
      </c>
      <c r="P346" s="33">
        <f>ROUND(MIN(MAX(0,N('Your debts'!$E$10)),F346),2)</f>
      </c>
      <c r="Q346" s="33">
        <f>ROUND(MIN(MAX(0,N('Your debts'!$E$11)),G346),2)</f>
      </c>
      <c r="R346" s="33">
        <f>ROUND(MIN(MAX(0,N('Your debts'!$E$12)),H346),2)</f>
      </c>
      <c r="S346" s="33">
        <f>ROUND(MIN(MAX(0,N('Your debts'!$E$13)),I346),2)</f>
      </c>
      <c r="T346" s="33">
        <f>ROUND(MIN(MAX(0,N('Your debts'!$E$14)),J346),2)</f>
      </c>
      <c r="U346" s="33">
        <f>ROUND(MIN(MAX(0,N('Your debts'!$E$15)),K346),2)</f>
      </c>
      <c r="V346" s="33">
        <f>ROUND(B346-L346,2)</f>
      </c>
      <c r="W346" s="33">
        <f>ROUND(C346-M346,2)</f>
      </c>
      <c r="X346" s="33">
        <f>ROUND(D346-N346,2)</f>
      </c>
      <c r="Y346" s="33">
        <f>ROUND(E346-O346,2)</f>
      </c>
      <c r="Z346" s="33">
        <f>ROUND(F346-P346,2)</f>
      </c>
      <c r="AA346" s="33">
        <f>ROUND(G346-Q346,2)</f>
      </c>
      <c r="AB346" s="33">
        <f>ROUND(H346-R346,2)</f>
      </c>
      <c r="AC346" s="33">
        <f>ROUND(I346-S346,2)</f>
      </c>
      <c r="AD346" s="33">
        <f>ROUND(J346-T346,2)</f>
      </c>
      <c r="AE346" s="33">
        <f>ROUND(K346-U346,2)</f>
      </c>
      <c r="AF346" s="33">
        <f>IF(V346&lt;=0,0,MAX(0,MIN(V346,ROUND($AZ346-SUMPRODUCT($V346:$AE346*($V346:$AE346&gt;0)*(($V346:$AE346&lt;V346)+($V346:$AE346=V346)*($V$3:$AE$3&gt;V$3)+($V346:$AE346=V346)*($V$3:$AE$3=V$3)*($V$2:$AE$2&lt;V$2))),2))))</f>
      </c>
      <c r="AG346" s="33">
        <f>IF(W346&lt;=0,0,MAX(0,MIN(W346,ROUND($AZ346-SUMPRODUCT($V346:$AE346*($V346:$AE346&gt;0)*(($V346:$AE346&lt;W346)+($V346:$AE346=W346)*($V$3:$AE$3&gt;W$3)+($V346:$AE346=W346)*($V$3:$AE$3=W$3)*($V$2:$AE$2&lt;W$2))),2))))</f>
      </c>
      <c r="AH346" s="33">
        <f>IF(X346&lt;=0,0,MAX(0,MIN(X346,ROUND($AZ346-SUMPRODUCT($V346:$AE346*($V346:$AE346&gt;0)*(($V346:$AE346&lt;X346)+($V346:$AE346=X346)*($V$3:$AE$3&gt;X$3)+($V346:$AE346=X346)*($V$3:$AE$3=X$3)*($V$2:$AE$2&lt;X$2))),2))))</f>
      </c>
      <c r="AI346" s="33">
        <f>IF(Y346&lt;=0,0,MAX(0,MIN(Y346,ROUND($AZ346-SUMPRODUCT($V346:$AE346*($V346:$AE346&gt;0)*(($V346:$AE346&lt;Y346)+($V346:$AE346=Y346)*($V$3:$AE$3&gt;Y$3)+($V346:$AE346=Y346)*($V$3:$AE$3=Y$3)*($V$2:$AE$2&lt;Y$2))),2))))</f>
      </c>
      <c r="AJ346" s="33">
        <f>IF(Z346&lt;=0,0,MAX(0,MIN(Z346,ROUND($AZ346-SUMPRODUCT($V346:$AE346*($V346:$AE346&gt;0)*(($V346:$AE346&lt;Z346)+($V346:$AE346=Z346)*($V$3:$AE$3&gt;Z$3)+($V346:$AE346=Z346)*($V$3:$AE$3=Z$3)*($V$2:$AE$2&lt;Z$2))),2))))</f>
      </c>
      <c r="AK346" s="33">
        <f>IF(AA346&lt;=0,0,MAX(0,MIN(AA346,ROUND($AZ346-SUMPRODUCT($V346:$AE346*($V346:$AE346&gt;0)*(($V346:$AE346&lt;AA346)+($V346:$AE346=AA346)*($V$3:$AE$3&gt;AA$3)+($V346:$AE346=AA346)*($V$3:$AE$3=AA$3)*($V$2:$AE$2&lt;AA$2))),2))))</f>
      </c>
      <c r="AL346" s="33">
        <f>IF(AB346&lt;=0,0,MAX(0,MIN(AB346,ROUND($AZ346-SUMPRODUCT($V346:$AE346*($V346:$AE346&gt;0)*(($V346:$AE346&lt;AB346)+($V346:$AE346=AB346)*($V$3:$AE$3&gt;AB$3)+($V346:$AE346=AB346)*($V$3:$AE$3=AB$3)*($V$2:$AE$2&lt;AB$2))),2))))</f>
      </c>
      <c r="AM346" s="33">
        <f>IF(AC346&lt;=0,0,MAX(0,MIN(AC346,ROUND($AZ346-SUMPRODUCT($V346:$AE346*($V346:$AE346&gt;0)*(($V346:$AE346&lt;AC346)+($V346:$AE346=AC346)*($V$3:$AE$3&gt;AC$3)+($V346:$AE346=AC346)*($V$3:$AE$3=AC$3)*($V$2:$AE$2&lt;AC$2))),2))))</f>
      </c>
      <c r="AN346" s="33">
        <f>IF(AD346&lt;=0,0,MAX(0,MIN(AD346,ROUND($AZ346-SUMPRODUCT($V346:$AE346*($V346:$AE346&gt;0)*(($V346:$AE346&lt;AD346)+($V346:$AE346=AD346)*($V$3:$AE$3&gt;AD$3)+($V346:$AE346=AD346)*($V$3:$AE$3=AD$3)*($V$2:$AE$2&lt;AD$2))),2))))</f>
      </c>
      <c r="AO346" s="33">
        <f>IF(AE346&lt;=0,0,MAX(0,MIN(AE346,ROUND($AZ346-SUMPRODUCT($V346:$AE346*($V346:$AE346&gt;0)*(($V346:$AE346&lt;AE346)+($V346:$AE346=AE346)*($V$3:$AE$3&gt;AE$3)+($V346:$AE346=AE346)*($V$3:$AE$3=AE$3)*($V$2:$AE$2&lt;AE$2))),2))))</f>
      </c>
      <c r="AP346" s="33">
        <f>ROUND(V346-AF346,2)</f>
      </c>
      <c r="AQ346" s="33">
        <f>ROUND(W346-AG346,2)</f>
      </c>
      <c r="AR346" s="33">
        <f>ROUND(X346-AH346,2)</f>
      </c>
      <c r="AS346" s="33">
        <f>ROUND(Y346-AI346,2)</f>
      </c>
      <c r="AT346" s="33">
        <f>ROUND(Z346-AJ346,2)</f>
      </c>
      <c r="AU346" s="33">
        <f>ROUND(AA346-AK346,2)</f>
      </c>
      <c r="AV346" s="33">
        <f>ROUND(AB346-AL346,2)</f>
      </c>
      <c r="AW346" s="33">
        <f>ROUND(AC346-AM346,2)</f>
      </c>
      <c r="AX346" s="33">
        <f>ROUND(AD346-AN346,2)</f>
      </c>
      <c r="AY346" s="33">
        <f>ROUND(AE346-AO346,2)</f>
      </c>
      <c r="AZ346" s="33">
        <f>ROUND(MAX(0,'Your debts'!$D$22-SUM($L346:$U346)),2)</f>
      </c>
      <c r="BA346" s="33">
        <f>ROUND(SUM($B346:$K346)-SUM($AP345:$AY345),2)</f>
      </c>
      <c r="BB346" s="33">
        <f>SUM($AP346:$AY346)</f>
      </c>
      <c r="BC346" s="33">
        <f>ROUND(SUM($L346:$U346)+SUM($AF346:$AO346),2)</f>
      </c>
    </row>
    <row r="347" spans="1:55" x14ac:dyDescent="0.25">
      <c r="A347">
        <v>340</v>
      </c>
      <c r="B347" s="33">
        <f>IF(AP346&lt;=0,0,ROUND(AP346+ROUND(AP346*V$3/12,2),2))</f>
      </c>
      <c r="C347" s="33">
        <f>IF(AQ346&lt;=0,0,ROUND(AQ346+ROUND(AQ346*W$3/12,2),2))</f>
      </c>
      <c r="D347" s="33">
        <f>IF(AR346&lt;=0,0,ROUND(AR346+ROUND(AR346*X$3/12,2),2))</f>
      </c>
      <c r="E347" s="33">
        <f>IF(AS346&lt;=0,0,ROUND(AS346+ROUND(AS346*Y$3/12,2),2))</f>
      </c>
      <c r="F347" s="33">
        <f>IF(AT346&lt;=0,0,ROUND(AT346+ROUND(AT346*Z$3/12,2),2))</f>
      </c>
      <c r="G347" s="33">
        <f>IF(AU346&lt;=0,0,ROUND(AU346+ROUND(AU346*AA$3/12,2),2))</f>
      </c>
      <c r="H347" s="33">
        <f>IF(AV346&lt;=0,0,ROUND(AV346+ROUND(AV346*AB$3/12,2),2))</f>
      </c>
      <c r="I347" s="33">
        <f>IF(AW346&lt;=0,0,ROUND(AW346+ROUND(AW346*AC$3/12,2),2))</f>
      </c>
      <c r="J347" s="33">
        <f>IF(AX346&lt;=0,0,ROUND(AX346+ROUND(AX346*AD$3/12,2),2))</f>
      </c>
      <c r="K347" s="33">
        <f>IF(AY346&lt;=0,0,ROUND(AY346+ROUND(AY346*AE$3/12,2),2))</f>
      </c>
      <c r="L347" s="33">
        <f>ROUND(MIN(MAX(0,N('Your debts'!$E$6)),B347),2)</f>
      </c>
      <c r="M347" s="33">
        <f>ROUND(MIN(MAX(0,N('Your debts'!$E$7)),C347),2)</f>
      </c>
      <c r="N347" s="33">
        <f>ROUND(MIN(MAX(0,N('Your debts'!$E$8)),D347),2)</f>
      </c>
      <c r="O347" s="33">
        <f>ROUND(MIN(MAX(0,N('Your debts'!$E$9)),E347),2)</f>
      </c>
      <c r="P347" s="33">
        <f>ROUND(MIN(MAX(0,N('Your debts'!$E$10)),F347),2)</f>
      </c>
      <c r="Q347" s="33">
        <f>ROUND(MIN(MAX(0,N('Your debts'!$E$11)),G347),2)</f>
      </c>
      <c r="R347" s="33">
        <f>ROUND(MIN(MAX(0,N('Your debts'!$E$12)),H347),2)</f>
      </c>
      <c r="S347" s="33">
        <f>ROUND(MIN(MAX(0,N('Your debts'!$E$13)),I347),2)</f>
      </c>
      <c r="T347" s="33">
        <f>ROUND(MIN(MAX(0,N('Your debts'!$E$14)),J347),2)</f>
      </c>
      <c r="U347" s="33">
        <f>ROUND(MIN(MAX(0,N('Your debts'!$E$15)),K347),2)</f>
      </c>
      <c r="V347" s="33">
        <f>ROUND(B347-L347,2)</f>
      </c>
      <c r="W347" s="33">
        <f>ROUND(C347-M347,2)</f>
      </c>
      <c r="X347" s="33">
        <f>ROUND(D347-N347,2)</f>
      </c>
      <c r="Y347" s="33">
        <f>ROUND(E347-O347,2)</f>
      </c>
      <c r="Z347" s="33">
        <f>ROUND(F347-P347,2)</f>
      </c>
      <c r="AA347" s="33">
        <f>ROUND(G347-Q347,2)</f>
      </c>
      <c r="AB347" s="33">
        <f>ROUND(H347-R347,2)</f>
      </c>
      <c r="AC347" s="33">
        <f>ROUND(I347-S347,2)</f>
      </c>
      <c r="AD347" s="33">
        <f>ROUND(J347-T347,2)</f>
      </c>
      <c r="AE347" s="33">
        <f>ROUND(K347-U347,2)</f>
      </c>
      <c r="AF347" s="33">
        <f>IF(V347&lt;=0,0,MAX(0,MIN(V347,ROUND($AZ347-SUMPRODUCT($V347:$AE347*($V347:$AE347&gt;0)*(($V347:$AE347&lt;V347)+($V347:$AE347=V347)*($V$3:$AE$3&gt;V$3)+($V347:$AE347=V347)*($V$3:$AE$3=V$3)*($V$2:$AE$2&lt;V$2))),2))))</f>
      </c>
      <c r="AG347" s="33">
        <f>IF(W347&lt;=0,0,MAX(0,MIN(W347,ROUND($AZ347-SUMPRODUCT($V347:$AE347*($V347:$AE347&gt;0)*(($V347:$AE347&lt;W347)+($V347:$AE347=W347)*($V$3:$AE$3&gt;W$3)+($V347:$AE347=W347)*($V$3:$AE$3=W$3)*($V$2:$AE$2&lt;W$2))),2))))</f>
      </c>
      <c r="AH347" s="33">
        <f>IF(X347&lt;=0,0,MAX(0,MIN(X347,ROUND($AZ347-SUMPRODUCT($V347:$AE347*($V347:$AE347&gt;0)*(($V347:$AE347&lt;X347)+($V347:$AE347=X347)*($V$3:$AE$3&gt;X$3)+($V347:$AE347=X347)*($V$3:$AE$3=X$3)*($V$2:$AE$2&lt;X$2))),2))))</f>
      </c>
      <c r="AI347" s="33">
        <f>IF(Y347&lt;=0,0,MAX(0,MIN(Y347,ROUND($AZ347-SUMPRODUCT($V347:$AE347*($V347:$AE347&gt;0)*(($V347:$AE347&lt;Y347)+($V347:$AE347=Y347)*($V$3:$AE$3&gt;Y$3)+($V347:$AE347=Y347)*($V$3:$AE$3=Y$3)*($V$2:$AE$2&lt;Y$2))),2))))</f>
      </c>
      <c r="AJ347" s="33">
        <f>IF(Z347&lt;=0,0,MAX(0,MIN(Z347,ROUND($AZ347-SUMPRODUCT($V347:$AE347*($V347:$AE347&gt;0)*(($V347:$AE347&lt;Z347)+($V347:$AE347=Z347)*($V$3:$AE$3&gt;Z$3)+($V347:$AE347=Z347)*($V$3:$AE$3=Z$3)*($V$2:$AE$2&lt;Z$2))),2))))</f>
      </c>
      <c r="AK347" s="33">
        <f>IF(AA347&lt;=0,0,MAX(0,MIN(AA347,ROUND($AZ347-SUMPRODUCT($V347:$AE347*($V347:$AE347&gt;0)*(($V347:$AE347&lt;AA347)+($V347:$AE347=AA347)*($V$3:$AE$3&gt;AA$3)+($V347:$AE347=AA347)*($V$3:$AE$3=AA$3)*($V$2:$AE$2&lt;AA$2))),2))))</f>
      </c>
      <c r="AL347" s="33">
        <f>IF(AB347&lt;=0,0,MAX(0,MIN(AB347,ROUND($AZ347-SUMPRODUCT($V347:$AE347*($V347:$AE347&gt;0)*(($V347:$AE347&lt;AB347)+($V347:$AE347=AB347)*($V$3:$AE$3&gt;AB$3)+($V347:$AE347=AB347)*($V$3:$AE$3=AB$3)*($V$2:$AE$2&lt;AB$2))),2))))</f>
      </c>
      <c r="AM347" s="33">
        <f>IF(AC347&lt;=0,0,MAX(0,MIN(AC347,ROUND($AZ347-SUMPRODUCT($V347:$AE347*($V347:$AE347&gt;0)*(($V347:$AE347&lt;AC347)+($V347:$AE347=AC347)*($V$3:$AE$3&gt;AC$3)+($V347:$AE347=AC347)*($V$3:$AE$3=AC$3)*($V$2:$AE$2&lt;AC$2))),2))))</f>
      </c>
      <c r="AN347" s="33">
        <f>IF(AD347&lt;=0,0,MAX(0,MIN(AD347,ROUND($AZ347-SUMPRODUCT($V347:$AE347*($V347:$AE347&gt;0)*(($V347:$AE347&lt;AD347)+($V347:$AE347=AD347)*($V$3:$AE$3&gt;AD$3)+($V347:$AE347=AD347)*($V$3:$AE$3=AD$3)*($V$2:$AE$2&lt;AD$2))),2))))</f>
      </c>
      <c r="AO347" s="33">
        <f>IF(AE347&lt;=0,0,MAX(0,MIN(AE347,ROUND($AZ347-SUMPRODUCT($V347:$AE347*($V347:$AE347&gt;0)*(($V347:$AE347&lt;AE347)+($V347:$AE347=AE347)*($V$3:$AE$3&gt;AE$3)+($V347:$AE347=AE347)*($V$3:$AE$3=AE$3)*($V$2:$AE$2&lt;AE$2))),2))))</f>
      </c>
      <c r="AP347" s="33">
        <f>ROUND(V347-AF347,2)</f>
      </c>
      <c r="AQ347" s="33">
        <f>ROUND(W347-AG347,2)</f>
      </c>
      <c r="AR347" s="33">
        <f>ROUND(X347-AH347,2)</f>
      </c>
      <c r="AS347" s="33">
        <f>ROUND(Y347-AI347,2)</f>
      </c>
      <c r="AT347" s="33">
        <f>ROUND(Z347-AJ347,2)</f>
      </c>
      <c r="AU347" s="33">
        <f>ROUND(AA347-AK347,2)</f>
      </c>
      <c r="AV347" s="33">
        <f>ROUND(AB347-AL347,2)</f>
      </c>
      <c r="AW347" s="33">
        <f>ROUND(AC347-AM347,2)</f>
      </c>
      <c r="AX347" s="33">
        <f>ROUND(AD347-AN347,2)</f>
      </c>
      <c r="AY347" s="33">
        <f>ROUND(AE347-AO347,2)</f>
      </c>
      <c r="AZ347" s="33">
        <f>ROUND(MAX(0,'Your debts'!$D$22-SUM($L347:$U347)),2)</f>
      </c>
      <c r="BA347" s="33">
        <f>ROUND(SUM($B347:$K347)-SUM($AP346:$AY346),2)</f>
      </c>
      <c r="BB347" s="33">
        <f>SUM($AP347:$AY347)</f>
      </c>
      <c r="BC347" s="33">
        <f>ROUND(SUM($L347:$U347)+SUM($AF347:$AO347),2)</f>
      </c>
    </row>
    <row r="348" spans="1:55" x14ac:dyDescent="0.25">
      <c r="A348">
        <v>341</v>
      </c>
      <c r="B348" s="33">
        <f>IF(AP347&lt;=0,0,ROUND(AP347+ROUND(AP347*V$3/12,2),2))</f>
      </c>
      <c r="C348" s="33">
        <f>IF(AQ347&lt;=0,0,ROUND(AQ347+ROUND(AQ347*W$3/12,2),2))</f>
      </c>
      <c r="D348" s="33">
        <f>IF(AR347&lt;=0,0,ROUND(AR347+ROUND(AR347*X$3/12,2),2))</f>
      </c>
      <c r="E348" s="33">
        <f>IF(AS347&lt;=0,0,ROUND(AS347+ROUND(AS347*Y$3/12,2),2))</f>
      </c>
      <c r="F348" s="33">
        <f>IF(AT347&lt;=0,0,ROUND(AT347+ROUND(AT347*Z$3/12,2),2))</f>
      </c>
      <c r="G348" s="33">
        <f>IF(AU347&lt;=0,0,ROUND(AU347+ROUND(AU347*AA$3/12,2),2))</f>
      </c>
      <c r="H348" s="33">
        <f>IF(AV347&lt;=0,0,ROUND(AV347+ROUND(AV347*AB$3/12,2),2))</f>
      </c>
      <c r="I348" s="33">
        <f>IF(AW347&lt;=0,0,ROUND(AW347+ROUND(AW347*AC$3/12,2),2))</f>
      </c>
      <c r="J348" s="33">
        <f>IF(AX347&lt;=0,0,ROUND(AX347+ROUND(AX347*AD$3/12,2),2))</f>
      </c>
      <c r="K348" s="33">
        <f>IF(AY347&lt;=0,0,ROUND(AY347+ROUND(AY347*AE$3/12,2),2))</f>
      </c>
      <c r="L348" s="33">
        <f>ROUND(MIN(MAX(0,N('Your debts'!$E$6)),B348),2)</f>
      </c>
      <c r="M348" s="33">
        <f>ROUND(MIN(MAX(0,N('Your debts'!$E$7)),C348),2)</f>
      </c>
      <c r="N348" s="33">
        <f>ROUND(MIN(MAX(0,N('Your debts'!$E$8)),D348),2)</f>
      </c>
      <c r="O348" s="33">
        <f>ROUND(MIN(MAX(0,N('Your debts'!$E$9)),E348),2)</f>
      </c>
      <c r="P348" s="33">
        <f>ROUND(MIN(MAX(0,N('Your debts'!$E$10)),F348),2)</f>
      </c>
      <c r="Q348" s="33">
        <f>ROUND(MIN(MAX(0,N('Your debts'!$E$11)),G348),2)</f>
      </c>
      <c r="R348" s="33">
        <f>ROUND(MIN(MAX(0,N('Your debts'!$E$12)),H348),2)</f>
      </c>
      <c r="S348" s="33">
        <f>ROUND(MIN(MAX(0,N('Your debts'!$E$13)),I348),2)</f>
      </c>
      <c r="T348" s="33">
        <f>ROUND(MIN(MAX(0,N('Your debts'!$E$14)),J348),2)</f>
      </c>
      <c r="U348" s="33">
        <f>ROUND(MIN(MAX(0,N('Your debts'!$E$15)),K348),2)</f>
      </c>
      <c r="V348" s="33">
        <f>ROUND(B348-L348,2)</f>
      </c>
      <c r="W348" s="33">
        <f>ROUND(C348-M348,2)</f>
      </c>
      <c r="X348" s="33">
        <f>ROUND(D348-N348,2)</f>
      </c>
      <c r="Y348" s="33">
        <f>ROUND(E348-O348,2)</f>
      </c>
      <c r="Z348" s="33">
        <f>ROUND(F348-P348,2)</f>
      </c>
      <c r="AA348" s="33">
        <f>ROUND(G348-Q348,2)</f>
      </c>
      <c r="AB348" s="33">
        <f>ROUND(H348-R348,2)</f>
      </c>
      <c r="AC348" s="33">
        <f>ROUND(I348-S348,2)</f>
      </c>
      <c r="AD348" s="33">
        <f>ROUND(J348-T348,2)</f>
      </c>
      <c r="AE348" s="33">
        <f>ROUND(K348-U348,2)</f>
      </c>
      <c r="AF348" s="33">
        <f>IF(V348&lt;=0,0,MAX(0,MIN(V348,ROUND($AZ348-SUMPRODUCT($V348:$AE348*($V348:$AE348&gt;0)*(($V348:$AE348&lt;V348)+($V348:$AE348=V348)*($V$3:$AE$3&gt;V$3)+($V348:$AE348=V348)*($V$3:$AE$3=V$3)*($V$2:$AE$2&lt;V$2))),2))))</f>
      </c>
      <c r="AG348" s="33">
        <f>IF(W348&lt;=0,0,MAX(0,MIN(W348,ROUND($AZ348-SUMPRODUCT($V348:$AE348*($V348:$AE348&gt;0)*(($V348:$AE348&lt;W348)+($V348:$AE348=W348)*($V$3:$AE$3&gt;W$3)+($V348:$AE348=W348)*($V$3:$AE$3=W$3)*($V$2:$AE$2&lt;W$2))),2))))</f>
      </c>
      <c r="AH348" s="33">
        <f>IF(X348&lt;=0,0,MAX(0,MIN(X348,ROUND($AZ348-SUMPRODUCT($V348:$AE348*($V348:$AE348&gt;0)*(($V348:$AE348&lt;X348)+($V348:$AE348=X348)*($V$3:$AE$3&gt;X$3)+($V348:$AE348=X348)*($V$3:$AE$3=X$3)*($V$2:$AE$2&lt;X$2))),2))))</f>
      </c>
      <c r="AI348" s="33">
        <f>IF(Y348&lt;=0,0,MAX(0,MIN(Y348,ROUND($AZ348-SUMPRODUCT($V348:$AE348*($V348:$AE348&gt;0)*(($V348:$AE348&lt;Y348)+($V348:$AE348=Y348)*($V$3:$AE$3&gt;Y$3)+($V348:$AE348=Y348)*($V$3:$AE$3=Y$3)*($V$2:$AE$2&lt;Y$2))),2))))</f>
      </c>
      <c r="AJ348" s="33">
        <f>IF(Z348&lt;=0,0,MAX(0,MIN(Z348,ROUND($AZ348-SUMPRODUCT($V348:$AE348*($V348:$AE348&gt;0)*(($V348:$AE348&lt;Z348)+($V348:$AE348=Z348)*($V$3:$AE$3&gt;Z$3)+($V348:$AE348=Z348)*($V$3:$AE$3=Z$3)*($V$2:$AE$2&lt;Z$2))),2))))</f>
      </c>
      <c r="AK348" s="33">
        <f>IF(AA348&lt;=0,0,MAX(0,MIN(AA348,ROUND($AZ348-SUMPRODUCT($V348:$AE348*($V348:$AE348&gt;0)*(($V348:$AE348&lt;AA348)+($V348:$AE348=AA348)*($V$3:$AE$3&gt;AA$3)+($V348:$AE348=AA348)*($V$3:$AE$3=AA$3)*($V$2:$AE$2&lt;AA$2))),2))))</f>
      </c>
      <c r="AL348" s="33">
        <f>IF(AB348&lt;=0,0,MAX(0,MIN(AB348,ROUND($AZ348-SUMPRODUCT($V348:$AE348*($V348:$AE348&gt;0)*(($V348:$AE348&lt;AB348)+($V348:$AE348=AB348)*($V$3:$AE$3&gt;AB$3)+($V348:$AE348=AB348)*($V$3:$AE$3=AB$3)*($V$2:$AE$2&lt;AB$2))),2))))</f>
      </c>
      <c r="AM348" s="33">
        <f>IF(AC348&lt;=0,0,MAX(0,MIN(AC348,ROUND($AZ348-SUMPRODUCT($V348:$AE348*($V348:$AE348&gt;0)*(($V348:$AE348&lt;AC348)+($V348:$AE348=AC348)*($V$3:$AE$3&gt;AC$3)+($V348:$AE348=AC348)*($V$3:$AE$3=AC$3)*($V$2:$AE$2&lt;AC$2))),2))))</f>
      </c>
      <c r="AN348" s="33">
        <f>IF(AD348&lt;=0,0,MAX(0,MIN(AD348,ROUND($AZ348-SUMPRODUCT($V348:$AE348*($V348:$AE348&gt;0)*(($V348:$AE348&lt;AD348)+($V348:$AE348=AD348)*($V$3:$AE$3&gt;AD$3)+($V348:$AE348=AD348)*($V$3:$AE$3=AD$3)*($V$2:$AE$2&lt;AD$2))),2))))</f>
      </c>
      <c r="AO348" s="33">
        <f>IF(AE348&lt;=0,0,MAX(0,MIN(AE348,ROUND($AZ348-SUMPRODUCT($V348:$AE348*($V348:$AE348&gt;0)*(($V348:$AE348&lt;AE348)+($V348:$AE348=AE348)*($V$3:$AE$3&gt;AE$3)+($V348:$AE348=AE348)*($V$3:$AE$3=AE$3)*($V$2:$AE$2&lt;AE$2))),2))))</f>
      </c>
      <c r="AP348" s="33">
        <f>ROUND(V348-AF348,2)</f>
      </c>
      <c r="AQ348" s="33">
        <f>ROUND(W348-AG348,2)</f>
      </c>
      <c r="AR348" s="33">
        <f>ROUND(X348-AH348,2)</f>
      </c>
      <c r="AS348" s="33">
        <f>ROUND(Y348-AI348,2)</f>
      </c>
      <c r="AT348" s="33">
        <f>ROUND(Z348-AJ348,2)</f>
      </c>
      <c r="AU348" s="33">
        <f>ROUND(AA348-AK348,2)</f>
      </c>
      <c r="AV348" s="33">
        <f>ROUND(AB348-AL348,2)</f>
      </c>
      <c r="AW348" s="33">
        <f>ROUND(AC348-AM348,2)</f>
      </c>
      <c r="AX348" s="33">
        <f>ROUND(AD348-AN348,2)</f>
      </c>
      <c r="AY348" s="33">
        <f>ROUND(AE348-AO348,2)</f>
      </c>
      <c r="AZ348" s="33">
        <f>ROUND(MAX(0,'Your debts'!$D$22-SUM($L348:$U348)),2)</f>
      </c>
      <c r="BA348" s="33">
        <f>ROUND(SUM($B348:$K348)-SUM($AP347:$AY347),2)</f>
      </c>
      <c r="BB348" s="33">
        <f>SUM($AP348:$AY348)</f>
      </c>
      <c r="BC348" s="33">
        <f>ROUND(SUM($L348:$U348)+SUM($AF348:$AO348),2)</f>
      </c>
    </row>
    <row r="349" spans="1:55" x14ac:dyDescent="0.25">
      <c r="A349">
        <v>342</v>
      </c>
      <c r="B349" s="33">
        <f>IF(AP348&lt;=0,0,ROUND(AP348+ROUND(AP348*V$3/12,2),2))</f>
      </c>
      <c r="C349" s="33">
        <f>IF(AQ348&lt;=0,0,ROUND(AQ348+ROUND(AQ348*W$3/12,2),2))</f>
      </c>
      <c r="D349" s="33">
        <f>IF(AR348&lt;=0,0,ROUND(AR348+ROUND(AR348*X$3/12,2),2))</f>
      </c>
      <c r="E349" s="33">
        <f>IF(AS348&lt;=0,0,ROUND(AS348+ROUND(AS348*Y$3/12,2),2))</f>
      </c>
      <c r="F349" s="33">
        <f>IF(AT348&lt;=0,0,ROUND(AT348+ROUND(AT348*Z$3/12,2),2))</f>
      </c>
      <c r="G349" s="33">
        <f>IF(AU348&lt;=0,0,ROUND(AU348+ROUND(AU348*AA$3/12,2),2))</f>
      </c>
      <c r="H349" s="33">
        <f>IF(AV348&lt;=0,0,ROUND(AV348+ROUND(AV348*AB$3/12,2),2))</f>
      </c>
      <c r="I349" s="33">
        <f>IF(AW348&lt;=0,0,ROUND(AW348+ROUND(AW348*AC$3/12,2),2))</f>
      </c>
      <c r="J349" s="33">
        <f>IF(AX348&lt;=0,0,ROUND(AX348+ROUND(AX348*AD$3/12,2),2))</f>
      </c>
      <c r="K349" s="33">
        <f>IF(AY348&lt;=0,0,ROUND(AY348+ROUND(AY348*AE$3/12,2),2))</f>
      </c>
      <c r="L349" s="33">
        <f>ROUND(MIN(MAX(0,N('Your debts'!$E$6)),B349),2)</f>
      </c>
      <c r="M349" s="33">
        <f>ROUND(MIN(MAX(0,N('Your debts'!$E$7)),C349),2)</f>
      </c>
      <c r="N349" s="33">
        <f>ROUND(MIN(MAX(0,N('Your debts'!$E$8)),D349),2)</f>
      </c>
      <c r="O349" s="33">
        <f>ROUND(MIN(MAX(0,N('Your debts'!$E$9)),E349),2)</f>
      </c>
      <c r="P349" s="33">
        <f>ROUND(MIN(MAX(0,N('Your debts'!$E$10)),F349),2)</f>
      </c>
      <c r="Q349" s="33">
        <f>ROUND(MIN(MAX(0,N('Your debts'!$E$11)),G349),2)</f>
      </c>
      <c r="R349" s="33">
        <f>ROUND(MIN(MAX(0,N('Your debts'!$E$12)),H349),2)</f>
      </c>
      <c r="S349" s="33">
        <f>ROUND(MIN(MAX(0,N('Your debts'!$E$13)),I349),2)</f>
      </c>
      <c r="T349" s="33">
        <f>ROUND(MIN(MAX(0,N('Your debts'!$E$14)),J349),2)</f>
      </c>
      <c r="U349" s="33">
        <f>ROUND(MIN(MAX(0,N('Your debts'!$E$15)),K349),2)</f>
      </c>
      <c r="V349" s="33">
        <f>ROUND(B349-L349,2)</f>
      </c>
      <c r="W349" s="33">
        <f>ROUND(C349-M349,2)</f>
      </c>
      <c r="X349" s="33">
        <f>ROUND(D349-N349,2)</f>
      </c>
      <c r="Y349" s="33">
        <f>ROUND(E349-O349,2)</f>
      </c>
      <c r="Z349" s="33">
        <f>ROUND(F349-P349,2)</f>
      </c>
      <c r="AA349" s="33">
        <f>ROUND(G349-Q349,2)</f>
      </c>
      <c r="AB349" s="33">
        <f>ROUND(H349-R349,2)</f>
      </c>
      <c r="AC349" s="33">
        <f>ROUND(I349-S349,2)</f>
      </c>
      <c r="AD349" s="33">
        <f>ROUND(J349-T349,2)</f>
      </c>
      <c r="AE349" s="33">
        <f>ROUND(K349-U349,2)</f>
      </c>
      <c r="AF349" s="33">
        <f>IF(V349&lt;=0,0,MAX(0,MIN(V349,ROUND($AZ349-SUMPRODUCT($V349:$AE349*($V349:$AE349&gt;0)*(($V349:$AE349&lt;V349)+($V349:$AE349=V349)*($V$3:$AE$3&gt;V$3)+($V349:$AE349=V349)*($V$3:$AE$3=V$3)*($V$2:$AE$2&lt;V$2))),2))))</f>
      </c>
      <c r="AG349" s="33">
        <f>IF(W349&lt;=0,0,MAX(0,MIN(W349,ROUND($AZ349-SUMPRODUCT($V349:$AE349*($V349:$AE349&gt;0)*(($V349:$AE349&lt;W349)+($V349:$AE349=W349)*($V$3:$AE$3&gt;W$3)+($V349:$AE349=W349)*($V$3:$AE$3=W$3)*($V$2:$AE$2&lt;W$2))),2))))</f>
      </c>
      <c r="AH349" s="33">
        <f>IF(X349&lt;=0,0,MAX(0,MIN(X349,ROUND($AZ349-SUMPRODUCT($V349:$AE349*($V349:$AE349&gt;0)*(($V349:$AE349&lt;X349)+($V349:$AE349=X349)*($V$3:$AE$3&gt;X$3)+($V349:$AE349=X349)*($V$3:$AE$3=X$3)*($V$2:$AE$2&lt;X$2))),2))))</f>
      </c>
      <c r="AI349" s="33">
        <f>IF(Y349&lt;=0,0,MAX(0,MIN(Y349,ROUND($AZ349-SUMPRODUCT($V349:$AE349*($V349:$AE349&gt;0)*(($V349:$AE349&lt;Y349)+($V349:$AE349=Y349)*($V$3:$AE$3&gt;Y$3)+($V349:$AE349=Y349)*($V$3:$AE$3=Y$3)*($V$2:$AE$2&lt;Y$2))),2))))</f>
      </c>
      <c r="AJ349" s="33">
        <f>IF(Z349&lt;=0,0,MAX(0,MIN(Z349,ROUND($AZ349-SUMPRODUCT($V349:$AE349*($V349:$AE349&gt;0)*(($V349:$AE349&lt;Z349)+($V349:$AE349=Z349)*($V$3:$AE$3&gt;Z$3)+($V349:$AE349=Z349)*($V$3:$AE$3=Z$3)*($V$2:$AE$2&lt;Z$2))),2))))</f>
      </c>
      <c r="AK349" s="33">
        <f>IF(AA349&lt;=0,0,MAX(0,MIN(AA349,ROUND($AZ349-SUMPRODUCT($V349:$AE349*($V349:$AE349&gt;0)*(($V349:$AE349&lt;AA349)+($V349:$AE349=AA349)*($V$3:$AE$3&gt;AA$3)+($V349:$AE349=AA349)*($V$3:$AE$3=AA$3)*($V$2:$AE$2&lt;AA$2))),2))))</f>
      </c>
      <c r="AL349" s="33">
        <f>IF(AB349&lt;=0,0,MAX(0,MIN(AB349,ROUND($AZ349-SUMPRODUCT($V349:$AE349*($V349:$AE349&gt;0)*(($V349:$AE349&lt;AB349)+($V349:$AE349=AB349)*($V$3:$AE$3&gt;AB$3)+($V349:$AE349=AB349)*($V$3:$AE$3=AB$3)*($V$2:$AE$2&lt;AB$2))),2))))</f>
      </c>
      <c r="AM349" s="33">
        <f>IF(AC349&lt;=0,0,MAX(0,MIN(AC349,ROUND($AZ349-SUMPRODUCT($V349:$AE349*($V349:$AE349&gt;0)*(($V349:$AE349&lt;AC349)+($V349:$AE349=AC349)*($V$3:$AE$3&gt;AC$3)+($V349:$AE349=AC349)*($V$3:$AE$3=AC$3)*($V$2:$AE$2&lt;AC$2))),2))))</f>
      </c>
      <c r="AN349" s="33">
        <f>IF(AD349&lt;=0,0,MAX(0,MIN(AD349,ROUND($AZ349-SUMPRODUCT($V349:$AE349*($V349:$AE349&gt;0)*(($V349:$AE349&lt;AD349)+($V349:$AE349=AD349)*($V$3:$AE$3&gt;AD$3)+($V349:$AE349=AD349)*($V$3:$AE$3=AD$3)*($V$2:$AE$2&lt;AD$2))),2))))</f>
      </c>
      <c r="AO349" s="33">
        <f>IF(AE349&lt;=0,0,MAX(0,MIN(AE349,ROUND($AZ349-SUMPRODUCT($V349:$AE349*($V349:$AE349&gt;0)*(($V349:$AE349&lt;AE349)+($V349:$AE349=AE349)*($V$3:$AE$3&gt;AE$3)+($V349:$AE349=AE349)*($V$3:$AE$3=AE$3)*($V$2:$AE$2&lt;AE$2))),2))))</f>
      </c>
      <c r="AP349" s="33">
        <f>ROUND(V349-AF349,2)</f>
      </c>
      <c r="AQ349" s="33">
        <f>ROUND(W349-AG349,2)</f>
      </c>
      <c r="AR349" s="33">
        <f>ROUND(X349-AH349,2)</f>
      </c>
      <c r="AS349" s="33">
        <f>ROUND(Y349-AI349,2)</f>
      </c>
      <c r="AT349" s="33">
        <f>ROUND(Z349-AJ349,2)</f>
      </c>
      <c r="AU349" s="33">
        <f>ROUND(AA349-AK349,2)</f>
      </c>
      <c r="AV349" s="33">
        <f>ROUND(AB349-AL349,2)</f>
      </c>
      <c r="AW349" s="33">
        <f>ROUND(AC349-AM349,2)</f>
      </c>
      <c r="AX349" s="33">
        <f>ROUND(AD349-AN349,2)</f>
      </c>
      <c r="AY349" s="33">
        <f>ROUND(AE349-AO349,2)</f>
      </c>
      <c r="AZ349" s="33">
        <f>ROUND(MAX(0,'Your debts'!$D$22-SUM($L349:$U349)),2)</f>
      </c>
      <c r="BA349" s="33">
        <f>ROUND(SUM($B349:$K349)-SUM($AP348:$AY348),2)</f>
      </c>
      <c r="BB349" s="33">
        <f>SUM($AP349:$AY349)</f>
      </c>
      <c r="BC349" s="33">
        <f>ROUND(SUM($L349:$U349)+SUM($AF349:$AO349),2)</f>
      </c>
    </row>
    <row r="350" spans="1:55" x14ac:dyDescent="0.25">
      <c r="A350">
        <v>343</v>
      </c>
      <c r="B350" s="33">
        <f>IF(AP349&lt;=0,0,ROUND(AP349+ROUND(AP349*V$3/12,2),2))</f>
      </c>
      <c r="C350" s="33">
        <f>IF(AQ349&lt;=0,0,ROUND(AQ349+ROUND(AQ349*W$3/12,2),2))</f>
      </c>
      <c r="D350" s="33">
        <f>IF(AR349&lt;=0,0,ROUND(AR349+ROUND(AR349*X$3/12,2),2))</f>
      </c>
      <c r="E350" s="33">
        <f>IF(AS349&lt;=0,0,ROUND(AS349+ROUND(AS349*Y$3/12,2),2))</f>
      </c>
      <c r="F350" s="33">
        <f>IF(AT349&lt;=0,0,ROUND(AT349+ROUND(AT349*Z$3/12,2),2))</f>
      </c>
      <c r="G350" s="33">
        <f>IF(AU349&lt;=0,0,ROUND(AU349+ROUND(AU349*AA$3/12,2),2))</f>
      </c>
      <c r="H350" s="33">
        <f>IF(AV349&lt;=0,0,ROUND(AV349+ROUND(AV349*AB$3/12,2),2))</f>
      </c>
      <c r="I350" s="33">
        <f>IF(AW349&lt;=0,0,ROUND(AW349+ROUND(AW349*AC$3/12,2),2))</f>
      </c>
      <c r="J350" s="33">
        <f>IF(AX349&lt;=0,0,ROUND(AX349+ROUND(AX349*AD$3/12,2),2))</f>
      </c>
      <c r="K350" s="33">
        <f>IF(AY349&lt;=0,0,ROUND(AY349+ROUND(AY349*AE$3/12,2),2))</f>
      </c>
      <c r="L350" s="33">
        <f>ROUND(MIN(MAX(0,N('Your debts'!$E$6)),B350),2)</f>
      </c>
      <c r="M350" s="33">
        <f>ROUND(MIN(MAX(0,N('Your debts'!$E$7)),C350),2)</f>
      </c>
      <c r="N350" s="33">
        <f>ROUND(MIN(MAX(0,N('Your debts'!$E$8)),D350),2)</f>
      </c>
      <c r="O350" s="33">
        <f>ROUND(MIN(MAX(0,N('Your debts'!$E$9)),E350),2)</f>
      </c>
      <c r="P350" s="33">
        <f>ROUND(MIN(MAX(0,N('Your debts'!$E$10)),F350),2)</f>
      </c>
      <c r="Q350" s="33">
        <f>ROUND(MIN(MAX(0,N('Your debts'!$E$11)),G350),2)</f>
      </c>
      <c r="R350" s="33">
        <f>ROUND(MIN(MAX(0,N('Your debts'!$E$12)),H350),2)</f>
      </c>
      <c r="S350" s="33">
        <f>ROUND(MIN(MAX(0,N('Your debts'!$E$13)),I350),2)</f>
      </c>
      <c r="T350" s="33">
        <f>ROUND(MIN(MAX(0,N('Your debts'!$E$14)),J350),2)</f>
      </c>
      <c r="U350" s="33">
        <f>ROUND(MIN(MAX(0,N('Your debts'!$E$15)),K350),2)</f>
      </c>
      <c r="V350" s="33">
        <f>ROUND(B350-L350,2)</f>
      </c>
      <c r="W350" s="33">
        <f>ROUND(C350-M350,2)</f>
      </c>
      <c r="X350" s="33">
        <f>ROUND(D350-N350,2)</f>
      </c>
      <c r="Y350" s="33">
        <f>ROUND(E350-O350,2)</f>
      </c>
      <c r="Z350" s="33">
        <f>ROUND(F350-P350,2)</f>
      </c>
      <c r="AA350" s="33">
        <f>ROUND(G350-Q350,2)</f>
      </c>
      <c r="AB350" s="33">
        <f>ROUND(H350-R350,2)</f>
      </c>
      <c r="AC350" s="33">
        <f>ROUND(I350-S350,2)</f>
      </c>
      <c r="AD350" s="33">
        <f>ROUND(J350-T350,2)</f>
      </c>
      <c r="AE350" s="33">
        <f>ROUND(K350-U350,2)</f>
      </c>
      <c r="AF350" s="33">
        <f>IF(V350&lt;=0,0,MAX(0,MIN(V350,ROUND($AZ350-SUMPRODUCT($V350:$AE350*($V350:$AE350&gt;0)*(($V350:$AE350&lt;V350)+($V350:$AE350=V350)*($V$3:$AE$3&gt;V$3)+($V350:$AE350=V350)*($V$3:$AE$3=V$3)*($V$2:$AE$2&lt;V$2))),2))))</f>
      </c>
      <c r="AG350" s="33">
        <f>IF(W350&lt;=0,0,MAX(0,MIN(W350,ROUND($AZ350-SUMPRODUCT($V350:$AE350*($V350:$AE350&gt;0)*(($V350:$AE350&lt;W350)+($V350:$AE350=W350)*($V$3:$AE$3&gt;W$3)+($V350:$AE350=W350)*($V$3:$AE$3=W$3)*($V$2:$AE$2&lt;W$2))),2))))</f>
      </c>
      <c r="AH350" s="33">
        <f>IF(X350&lt;=0,0,MAX(0,MIN(X350,ROUND($AZ350-SUMPRODUCT($V350:$AE350*($V350:$AE350&gt;0)*(($V350:$AE350&lt;X350)+($V350:$AE350=X350)*($V$3:$AE$3&gt;X$3)+($V350:$AE350=X350)*($V$3:$AE$3=X$3)*($V$2:$AE$2&lt;X$2))),2))))</f>
      </c>
      <c r="AI350" s="33">
        <f>IF(Y350&lt;=0,0,MAX(0,MIN(Y350,ROUND($AZ350-SUMPRODUCT($V350:$AE350*($V350:$AE350&gt;0)*(($V350:$AE350&lt;Y350)+($V350:$AE350=Y350)*($V$3:$AE$3&gt;Y$3)+($V350:$AE350=Y350)*($V$3:$AE$3=Y$3)*($V$2:$AE$2&lt;Y$2))),2))))</f>
      </c>
      <c r="AJ350" s="33">
        <f>IF(Z350&lt;=0,0,MAX(0,MIN(Z350,ROUND($AZ350-SUMPRODUCT($V350:$AE350*($V350:$AE350&gt;0)*(($V350:$AE350&lt;Z350)+($V350:$AE350=Z350)*($V$3:$AE$3&gt;Z$3)+($V350:$AE350=Z350)*($V$3:$AE$3=Z$3)*($V$2:$AE$2&lt;Z$2))),2))))</f>
      </c>
      <c r="AK350" s="33">
        <f>IF(AA350&lt;=0,0,MAX(0,MIN(AA350,ROUND($AZ350-SUMPRODUCT($V350:$AE350*($V350:$AE350&gt;0)*(($V350:$AE350&lt;AA350)+($V350:$AE350=AA350)*($V$3:$AE$3&gt;AA$3)+($V350:$AE350=AA350)*($V$3:$AE$3=AA$3)*($V$2:$AE$2&lt;AA$2))),2))))</f>
      </c>
      <c r="AL350" s="33">
        <f>IF(AB350&lt;=0,0,MAX(0,MIN(AB350,ROUND($AZ350-SUMPRODUCT($V350:$AE350*($V350:$AE350&gt;0)*(($V350:$AE350&lt;AB350)+($V350:$AE350=AB350)*($V$3:$AE$3&gt;AB$3)+($V350:$AE350=AB350)*($V$3:$AE$3=AB$3)*($V$2:$AE$2&lt;AB$2))),2))))</f>
      </c>
      <c r="AM350" s="33">
        <f>IF(AC350&lt;=0,0,MAX(0,MIN(AC350,ROUND($AZ350-SUMPRODUCT($V350:$AE350*($V350:$AE350&gt;0)*(($V350:$AE350&lt;AC350)+($V350:$AE350=AC350)*($V$3:$AE$3&gt;AC$3)+($V350:$AE350=AC350)*($V$3:$AE$3=AC$3)*($V$2:$AE$2&lt;AC$2))),2))))</f>
      </c>
      <c r="AN350" s="33">
        <f>IF(AD350&lt;=0,0,MAX(0,MIN(AD350,ROUND($AZ350-SUMPRODUCT($V350:$AE350*($V350:$AE350&gt;0)*(($V350:$AE350&lt;AD350)+($V350:$AE350=AD350)*($V$3:$AE$3&gt;AD$3)+($V350:$AE350=AD350)*($V$3:$AE$3=AD$3)*($V$2:$AE$2&lt;AD$2))),2))))</f>
      </c>
      <c r="AO350" s="33">
        <f>IF(AE350&lt;=0,0,MAX(0,MIN(AE350,ROUND($AZ350-SUMPRODUCT($V350:$AE350*($V350:$AE350&gt;0)*(($V350:$AE350&lt;AE350)+($V350:$AE350=AE350)*($V$3:$AE$3&gt;AE$3)+($V350:$AE350=AE350)*($V$3:$AE$3=AE$3)*($V$2:$AE$2&lt;AE$2))),2))))</f>
      </c>
      <c r="AP350" s="33">
        <f>ROUND(V350-AF350,2)</f>
      </c>
      <c r="AQ350" s="33">
        <f>ROUND(W350-AG350,2)</f>
      </c>
      <c r="AR350" s="33">
        <f>ROUND(X350-AH350,2)</f>
      </c>
      <c r="AS350" s="33">
        <f>ROUND(Y350-AI350,2)</f>
      </c>
      <c r="AT350" s="33">
        <f>ROUND(Z350-AJ350,2)</f>
      </c>
      <c r="AU350" s="33">
        <f>ROUND(AA350-AK350,2)</f>
      </c>
      <c r="AV350" s="33">
        <f>ROUND(AB350-AL350,2)</f>
      </c>
      <c r="AW350" s="33">
        <f>ROUND(AC350-AM350,2)</f>
      </c>
      <c r="AX350" s="33">
        <f>ROUND(AD350-AN350,2)</f>
      </c>
      <c r="AY350" s="33">
        <f>ROUND(AE350-AO350,2)</f>
      </c>
      <c r="AZ350" s="33">
        <f>ROUND(MAX(0,'Your debts'!$D$22-SUM($L350:$U350)),2)</f>
      </c>
      <c r="BA350" s="33">
        <f>ROUND(SUM($B350:$K350)-SUM($AP349:$AY349),2)</f>
      </c>
      <c r="BB350" s="33">
        <f>SUM($AP350:$AY350)</f>
      </c>
      <c r="BC350" s="33">
        <f>ROUND(SUM($L350:$U350)+SUM($AF350:$AO350),2)</f>
      </c>
    </row>
    <row r="351" spans="1:55" x14ac:dyDescent="0.25">
      <c r="A351">
        <v>344</v>
      </c>
      <c r="B351" s="33">
        <f>IF(AP350&lt;=0,0,ROUND(AP350+ROUND(AP350*V$3/12,2),2))</f>
      </c>
      <c r="C351" s="33">
        <f>IF(AQ350&lt;=0,0,ROUND(AQ350+ROUND(AQ350*W$3/12,2),2))</f>
      </c>
      <c r="D351" s="33">
        <f>IF(AR350&lt;=0,0,ROUND(AR350+ROUND(AR350*X$3/12,2),2))</f>
      </c>
      <c r="E351" s="33">
        <f>IF(AS350&lt;=0,0,ROUND(AS350+ROUND(AS350*Y$3/12,2),2))</f>
      </c>
      <c r="F351" s="33">
        <f>IF(AT350&lt;=0,0,ROUND(AT350+ROUND(AT350*Z$3/12,2),2))</f>
      </c>
      <c r="G351" s="33">
        <f>IF(AU350&lt;=0,0,ROUND(AU350+ROUND(AU350*AA$3/12,2),2))</f>
      </c>
      <c r="H351" s="33">
        <f>IF(AV350&lt;=0,0,ROUND(AV350+ROUND(AV350*AB$3/12,2),2))</f>
      </c>
      <c r="I351" s="33">
        <f>IF(AW350&lt;=0,0,ROUND(AW350+ROUND(AW350*AC$3/12,2),2))</f>
      </c>
      <c r="J351" s="33">
        <f>IF(AX350&lt;=0,0,ROUND(AX350+ROUND(AX350*AD$3/12,2),2))</f>
      </c>
      <c r="K351" s="33">
        <f>IF(AY350&lt;=0,0,ROUND(AY350+ROUND(AY350*AE$3/12,2),2))</f>
      </c>
      <c r="L351" s="33">
        <f>ROUND(MIN(MAX(0,N('Your debts'!$E$6)),B351),2)</f>
      </c>
      <c r="M351" s="33">
        <f>ROUND(MIN(MAX(0,N('Your debts'!$E$7)),C351),2)</f>
      </c>
      <c r="N351" s="33">
        <f>ROUND(MIN(MAX(0,N('Your debts'!$E$8)),D351),2)</f>
      </c>
      <c r="O351" s="33">
        <f>ROUND(MIN(MAX(0,N('Your debts'!$E$9)),E351),2)</f>
      </c>
      <c r="P351" s="33">
        <f>ROUND(MIN(MAX(0,N('Your debts'!$E$10)),F351),2)</f>
      </c>
      <c r="Q351" s="33">
        <f>ROUND(MIN(MAX(0,N('Your debts'!$E$11)),G351),2)</f>
      </c>
      <c r="R351" s="33">
        <f>ROUND(MIN(MAX(0,N('Your debts'!$E$12)),H351),2)</f>
      </c>
      <c r="S351" s="33">
        <f>ROUND(MIN(MAX(0,N('Your debts'!$E$13)),I351),2)</f>
      </c>
      <c r="T351" s="33">
        <f>ROUND(MIN(MAX(0,N('Your debts'!$E$14)),J351),2)</f>
      </c>
      <c r="U351" s="33">
        <f>ROUND(MIN(MAX(0,N('Your debts'!$E$15)),K351),2)</f>
      </c>
      <c r="V351" s="33">
        <f>ROUND(B351-L351,2)</f>
      </c>
      <c r="W351" s="33">
        <f>ROUND(C351-M351,2)</f>
      </c>
      <c r="X351" s="33">
        <f>ROUND(D351-N351,2)</f>
      </c>
      <c r="Y351" s="33">
        <f>ROUND(E351-O351,2)</f>
      </c>
      <c r="Z351" s="33">
        <f>ROUND(F351-P351,2)</f>
      </c>
      <c r="AA351" s="33">
        <f>ROUND(G351-Q351,2)</f>
      </c>
      <c r="AB351" s="33">
        <f>ROUND(H351-R351,2)</f>
      </c>
      <c r="AC351" s="33">
        <f>ROUND(I351-S351,2)</f>
      </c>
      <c r="AD351" s="33">
        <f>ROUND(J351-T351,2)</f>
      </c>
      <c r="AE351" s="33">
        <f>ROUND(K351-U351,2)</f>
      </c>
      <c r="AF351" s="33">
        <f>IF(V351&lt;=0,0,MAX(0,MIN(V351,ROUND($AZ351-SUMPRODUCT($V351:$AE351*($V351:$AE351&gt;0)*(($V351:$AE351&lt;V351)+($V351:$AE351=V351)*($V$3:$AE$3&gt;V$3)+($V351:$AE351=V351)*($V$3:$AE$3=V$3)*($V$2:$AE$2&lt;V$2))),2))))</f>
      </c>
      <c r="AG351" s="33">
        <f>IF(W351&lt;=0,0,MAX(0,MIN(W351,ROUND($AZ351-SUMPRODUCT($V351:$AE351*($V351:$AE351&gt;0)*(($V351:$AE351&lt;W351)+($V351:$AE351=W351)*($V$3:$AE$3&gt;W$3)+($V351:$AE351=W351)*($V$3:$AE$3=W$3)*($V$2:$AE$2&lt;W$2))),2))))</f>
      </c>
      <c r="AH351" s="33">
        <f>IF(X351&lt;=0,0,MAX(0,MIN(X351,ROUND($AZ351-SUMPRODUCT($V351:$AE351*($V351:$AE351&gt;0)*(($V351:$AE351&lt;X351)+($V351:$AE351=X351)*($V$3:$AE$3&gt;X$3)+($V351:$AE351=X351)*($V$3:$AE$3=X$3)*($V$2:$AE$2&lt;X$2))),2))))</f>
      </c>
      <c r="AI351" s="33">
        <f>IF(Y351&lt;=0,0,MAX(0,MIN(Y351,ROUND($AZ351-SUMPRODUCT($V351:$AE351*($V351:$AE351&gt;0)*(($V351:$AE351&lt;Y351)+($V351:$AE351=Y351)*($V$3:$AE$3&gt;Y$3)+($V351:$AE351=Y351)*($V$3:$AE$3=Y$3)*($V$2:$AE$2&lt;Y$2))),2))))</f>
      </c>
      <c r="AJ351" s="33">
        <f>IF(Z351&lt;=0,0,MAX(0,MIN(Z351,ROUND($AZ351-SUMPRODUCT($V351:$AE351*($V351:$AE351&gt;0)*(($V351:$AE351&lt;Z351)+($V351:$AE351=Z351)*($V$3:$AE$3&gt;Z$3)+($V351:$AE351=Z351)*($V$3:$AE$3=Z$3)*($V$2:$AE$2&lt;Z$2))),2))))</f>
      </c>
      <c r="AK351" s="33">
        <f>IF(AA351&lt;=0,0,MAX(0,MIN(AA351,ROUND($AZ351-SUMPRODUCT($V351:$AE351*($V351:$AE351&gt;0)*(($V351:$AE351&lt;AA351)+($V351:$AE351=AA351)*($V$3:$AE$3&gt;AA$3)+($V351:$AE351=AA351)*($V$3:$AE$3=AA$3)*($V$2:$AE$2&lt;AA$2))),2))))</f>
      </c>
      <c r="AL351" s="33">
        <f>IF(AB351&lt;=0,0,MAX(0,MIN(AB351,ROUND($AZ351-SUMPRODUCT($V351:$AE351*($V351:$AE351&gt;0)*(($V351:$AE351&lt;AB351)+($V351:$AE351=AB351)*($V$3:$AE$3&gt;AB$3)+($V351:$AE351=AB351)*($V$3:$AE$3=AB$3)*($V$2:$AE$2&lt;AB$2))),2))))</f>
      </c>
      <c r="AM351" s="33">
        <f>IF(AC351&lt;=0,0,MAX(0,MIN(AC351,ROUND($AZ351-SUMPRODUCT($V351:$AE351*($V351:$AE351&gt;0)*(($V351:$AE351&lt;AC351)+($V351:$AE351=AC351)*($V$3:$AE$3&gt;AC$3)+($V351:$AE351=AC351)*($V$3:$AE$3=AC$3)*($V$2:$AE$2&lt;AC$2))),2))))</f>
      </c>
      <c r="AN351" s="33">
        <f>IF(AD351&lt;=0,0,MAX(0,MIN(AD351,ROUND($AZ351-SUMPRODUCT($V351:$AE351*($V351:$AE351&gt;0)*(($V351:$AE351&lt;AD351)+($V351:$AE351=AD351)*($V$3:$AE$3&gt;AD$3)+($V351:$AE351=AD351)*($V$3:$AE$3=AD$3)*($V$2:$AE$2&lt;AD$2))),2))))</f>
      </c>
      <c r="AO351" s="33">
        <f>IF(AE351&lt;=0,0,MAX(0,MIN(AE351,ROUND($AZ351-SUMPRODUCT($V351:$AE351*($V351:$AE351&gt;0)*(($V351:$AE351&lt;AE351)+($V351:$AE351=AE351)*($V$3:$AE$3&gt;AE$3)+($V351:$AE351=AE351)*($V$3:$AE$3=AE$3)*($V$2:$AE$2&lt;AE$2))),2))))</f>
      </c>
      <c r="AP351" s="33">
        <f>ROUND(V351-AF351,2)</f>
      </c>
      <c r="AQ351" s="33">
        <f>ROUND(W351-AG351,2)</f>
      </c>
      <c r="AR351" s="33">
        <f>ROUND(X351-AH351,2)</f>
      </c>
      <c r="AS351" s="33">
        <f>ROUND(Y351-AI351,2)</f>
      </c>
      <c r="AT351" s="33">
        <f>ROUND(Z351-AJ351,2)</f>
      </c>
      <c r="AU351" s="33">
        <f>ROUND(AA351-AK351,2)</f>
      </c>
      <c r="AV351" s="33">
        <f>ROUND(AB351-AL351,2)</f>
      </c>
      <c r="AW351" s="33">
        <f>ROUND(AC351-AM351,2)</f>
      </c>
      <c r="AX351" s="33">
        <f>ROUND(AD351-AN351,2)</f>
      </c>
      <c r="AY351" s="33">
        <f>ROUND(AE351-AO351,2)</f>
      </c>
      <c r="AZ351" s="33">
        <f>ROUND(MAX(0,'Your debts'!$D$22-SUM($L351:$U351)),2)</f>
      </c>
      <c r="BA351" s="33">
        <f>ROUND(SUM($B351:$K351)-SUM($AP350:$AY350),2)</f>
      </c>
      <c r="BB351" s="33">
        <f>SUM($AP351:$AY351)</f>
      </c>
      <c r="BC351" s="33">
        <f>ROUND(SUM($L351:$U351)+SUM($AF351:$AO351),2)</f>
      </c>
    </row>
    <row r="352" spans="1:55" x14ac:dyDescent="0.25">
      <c r="A352">
        <v>345</v>
      </c>
      <c r="B352" s="33">
        <f>IF(AP351&lt;=0,0,ROUND(AP351+ROUND(AP351*V$3/12,2),2))</f>
      </c>
      <c r="C352" s="33">
        <f>IF(AQ351&lt;=0,0,ROUND(AQ351+ROUND(AQ351*W$3/12,2),2))</f>
      </c>
      <c r="D352" s="33">
        <f>IF(AR351&lt;=0,0,ROUND(AR351+ROUND(AR351*X$3/12,2),2))</f>
      </c>
      <c r="E352" s="33">
        <f>IF(AS351&lt;=0,0,ROUND(AS351+ROUND(AS351*Y$3/12,2),2))</f>
      </c>
      <c r="F352" s="33">
        <f>IF(AT351&lt;=0,0,ROUND(AT351+ROUND(AT351*Z$3/12,2),2))</f>
      </c>
      <c r="G352" s="33">
        <f>IF(AU351&lt;=0,0,ROUND(AU351+ROUND(AU351*AA$3/12,2),2))</f>
      </c>
      <c r="H352" s="33">
        <f>IF(AV351&lt;=0,0,ROUND(AV351+ROUND(AV351*AB$3/12,2),2))</f>
      </c>
      <c r="I352" s="33">
        <f>IF(AW351&lt;=0,0,ROUND(AW351+ROUND(AW351*AC$3/12,2),2))</f>
      </c>
      <c r="J352" s="33">
        <f>IF(AX351&lt;=0,0,ROUND(AX351+ROUND(AX351*AD$3/12,2),2))</f>
      </c>
      <c r="K352" s="33">
        <f>IF(AY351&lt;=0,0,ROUND(AY351+ROUND(AY351*AE$3/12,2),2))</f>
      </c>
      <c r="L352" s="33">
        <f>ROUND(MIN(MAX(0,N('Your debts'!$E$6)),B352),2)</f>
      </c>
      <c r="M352" s="33">
        <f>ROUND(MIN(MAX(0,N('Your debts'!$E$7)),C352),2)</f>
      </c>
      <c r="N352" s="33">
        <f>ROUND(MIN(MAX(0,N('Your debts'!$E$8)),D352),2)</f>
      </c>
      <c r="O352" s="33">
        <f>ROUND(MIN(MAX(0,N('Your debts'!$E$9)),E352),2)</f>
      </c>
      <c r="P352" s="33">
        <f>ROUND(MIN(MAX(0,N('Your debts'!$E$10)),F352),2)</f>
      </c>
      <c r="Q352" s="33">
        <f>ROUND(MIN(MAX(0,N('Your debts'!$E$11)),G352),2)</f>
      </c>
      <c r="R352" s="33">
        <f>ROUND(MIN(MAX(0,N('Your debts'!$E$12)),H352),2)</f>
      </c>
      <c r="S352" s="33">
        <f>ROUND(MIN(MAX(0,N('Your debts'!$E$13)),I352),2)</f>
      </c>
      <c r="T352" s="33">
        <f>ROUND(MIN(MAX(0,N('Your debts'!$E$14)),J352),2)</f>
      </c>
      <c r="U352" s="33">
        <f>ROUND(MIN(MAX(0,N('Your debts'!$E$15)),K352),2)</f>
      </c>
      <c r="V352" s="33">
        <f>ROUND(B352-L352,2)</f>
      </c>
      <c r="W352" s="33">
        <f>ROUND(C352-M352,2)</f>
      </c>
      <c r="X352" s="33">
        <f>ROUND(D352-N352,2)</f>
      </c>
      <c r="Y352" s="33">
        <f>ROUND(E352-O352,2)</f>
      </c>
      <c r="Z352" s="33">
        <f>ROUND(F352-P352,2)</f>
      </c>
      <c r="AA352" s="33">
        <f>ROUND(G352-Q352,2)</f>
      </c>
      <c r="AB352" s="33">
        <f>ROUND(H352-R352,2)</f>
      </c>
      <c r="AC352" s="33">
        <f>ROUND(I352-S352,2)</f>
      </c>
      <c r="AD352" s="33">
        <f>ROUND(J352-T352,2)</f>
      </c>
      <c r="AE352" s="33">
        <f>ROUND(K352-U352,2)</f>
      </c>
      <c r="AF352" s="33">
        <f>IF(V352&lt;=0,0,MAX(0,MIN(V352,ROUND($AZ352-SUMPRODUCT($V352:$AE352*($V352:$AE352&gt;0)*(($V352:$AE352&lt;V352)+($V352:$AE352=V352)*($V$3:$AE$3&gt;V$3)+($V352:$AE352=V352)*($V$3:$AE$3=V$3)*($V$2:$AE$2&lt;V$2))),2))))</f>
      </c>
      <c r="AG352" s="33">
        <f>IF(W352&lt;=0,0,MAX(0,MIN(W352,ROUND($AZ352-SUMPRODUCT($V352:$AE352*($V352:$AE352&gt;0)*(($V352:$AE352&lt;W352)+($V352:$AE352=W352)*($V$3:$AE$3&gt;W$3)+($V352:$AE352=W352)*($V$3:$AE$3=W$3)*($V$2:$AE$2&lt;W$2))),2))))</f>
      </c>
      <c r="AH352" s="33">
        <f>IF(X352&lt;=0,0,MAX(0,MIN(X352,ROUND($AZ352-SUMPRODUCT($V352:$AE352*($V352:$AE352&gt;0)*(($V352:$AE352&lt;X352)+($V352:$AE352=X352)*($V$3:$AE$3&gt;X$3)+($V352:$AE352=X352)*($V$3:$AE$3=X$3)*($V$2:$AE$2&lt;X$2))),2))))</f>
      </c>
      <c r="AI352" s="33">
        <f>IF(Y352&lt;=0,0,MAX(0,MIN(Y352,ROUND($AZ352-SUMPRODUCT($V352:$AE352*($V352:$AE352&gt;0)*(($V352:$AE352&lt;Y352)+($V352:$AE352=Y352)*($V$3:$AE$3&gt;Y$3)+($V352:$AE352=Y352)*($V$3:$AE$3=Y$3)*($V$2:$AE$2&lt;Y$2))),2))))</f>
      </c>
      <c r="AJ352" s="33">
        <f>IF(Z352&lt;=0,0,MAX(0,MIN(Z352,ROUND($AZ352-SUMPRODUCT($V352:$AE352*($V352:$AE352&gt;0)*(($V352:$AE352&lt;Z352)+($V352:$AE352=Z352)*($V$3:$AE$3&gt;Z$3)+($V352:$AE352=Z352)*($V$3:$AE$3=Z$3)*($V$2:$AE$2&lt;Z$2))),2))))</f>
      </c>
      <c r="AK352" s="33">
        <f>IF(AA352&lt;=0,0,MAX(0,MIN(AA352,ROUND($AZ352-SUMPRODUCT($V352:$AE352*($V352:$AE352&gt;0)*(($V352:$AE352&lt;AA352)+($V352:$AE352=AA352)*($V$3:$AE$3&gt;AA$3)+($V352:$AE352=AA352)*($V$3:$AE$3=AA$3)*($V$2:$AE$2&lt;AA$2))),2))))</f>
      </c>
      <c r="AL352" s="33">
        <f>IF(AB352&lt;=0,0,MAX(0,MIN(AB352,ROUND($AZ352-SUMPRODUCT($V352:$AE352*($V352:$AE352&gt;0)*(($V352:$AE352&lt;AB352)+($V352:$AE352=AB352)*($V$3:$AE$3&gt;AB$3)+($V352:$AE352=AB352)*($V$3:$AE$3=AB$3)*($V$2:$AE$2&lt;AB$2))),2))))</f>
      </c>
      <c r="AM352" s="33">
        <f>IF(AC352&lt;=0,0,MAX(0,MIN(AC352,ROUND($AZ352-SUMPRODUCT($V352:$AE352*($V352:$AE352&gt;0)*(($V352:$AE352&lt;AC352)+($V352:$AE352=AC352)*($V$3:$AE$3&gt;AC$3)+($V352:$AE352=AC352)*($V$3:$AE$3=AC$3)*($V$2:$AE$2&lt;AC$2))),2))))</f>
      </c>
      <c r="AN352" s="33">
        <f>IF(AD352&lt;=0,0,MAX(0,MIN(AD352,ROUND($AZ352-SUMPRODUCT($V352:$AE352*($V352:$AE352&gt;0)*(($V352:$AE352&lt;AD352)+($V352:$AE352=AD352)*($V$3:$AE$3&gt;AD$3)+($V352:$AE352=AD352)*($V$3:$AE$3=AD$3)*($V$2:$AE$2&lt;AD$2))),2))))</f>
      </c>
      <c r="AO352" s="33">
        <f>IF(AE352&lt;=0,0,MAX(0,MIN(AE352,ROUND($AZ352-SUMPRODUCT($V352:$AE352*($V352:$AE352&gt;0)*(($V352:$AE352&lt;AE352)+($V352:$AE352=AE352)*($V$3:$AE$3&gt;AE$3)+($V352:$AE352=AE352)*($V$3:$AE$3=AE$3)*($V$2:$AE$2&lt;AE$2))),2))))</f>
      </c>
      <c r="AP352" s="33">
        <f>ROUND(V352-AF352,2)</f>
      </c>
      <c r="AQ352" s="33">
        <f>ROUND(W352-AG352,2)</f>
      </c>
      <c r="AR352" s="33">
        <f>ROUND(X352-AH352,2)</f>
      </c>
      <c r="AS352" s="33">
        <f>ROUND(Y352-AI352,2)</f>
      </c>
      <c r="AT352" s="33">
        <f>ROUND(Z352-AJ352,2)</f>
      </c>
      <c r="AU352" s="33">
        <f>ROUND(AA352-AK352,2)</f>
      </c>
      <c r="AV352" s="33">
        <f>ROUND(AB352-AL352,2)</f>
      </c>
      <c r="AW352" s="33">
        <f>ROUND(AC352-AM352,2)</f>
      </c>
      <c r="AX352" s="33">
        <f>ROUND(AD352-AN352,2)</f>
      </c>
      <c r="AY352" s="33">
        <f>ROUND(AE352-AO352,2)</f>
      </c>
      <c r="AZ352" s="33">
        <f>ROUND(MAX(0,'Your debts'!$D$22-SUM($L352:$U352)),2)</f>
      </c>
      <c r="BA352" s="33">
        <f>ROUND(SUM($B352:$K352)-SUM($AP351:$AY351),2)</f>
      </c>
      <c r="BB352" s="33">
        <f>SUM($AP352:$AY352)</f>
      </c>
      <c r="BC352" s="33">
        <f>ROUND(SUM($L352:$U352)+SUM($AF352:$AO352),2)</f>
      </c>
    </row>
    <row r="353" spans="1:55" x14ac:dyDescent="0.25">
      <c r="A353">
        <v>346</v>
      </c>
      <c r="B353" s="33">
        <f>IF(AP352&lt;=0,0,ROUND(AP352+ROUND(AP352*V$3/12,2),2))</f>
      </c>
      <c r="C353" s="33">
        <f>IF(AQ352&lt;=0,0,ROUND(AQ352+ROUND(AQ352*W$3/12,2),2))</f>
      </c>
      <c r="D353" s="33">
        <f>IF(AR352&lt;=0,0,ROUND(AR352+ROUND(AR352*X$3/12,2),2))</f>
      </c>
      <c r="E353" s="33">
        <f>IF(AS352&lt;=0,0,ROUND(AS352+ROUND(AS352*Y$3/12,2),2))</f>
      </c>
      <c r="F353" s="33">
        <f>IF(AT352&lt;=0,0,ROUND(AT352+ROUND(AT352*Z$3/12,2),2))</f>
      </c>
      <c r="G353" s="33">
        <f>IF(AU352&lt;=0,0,ROUND(AU352+ROUND(AU352*AA$3/12,2),2))</f>
      </c>
      <c r="H353" s="33">
        <f>IF(AV352&lt;=0,0,ROUND(AV352+ROUND(AV352*AB$3/12,2),2))</f>
      </c>
      <c r="I353" s="33">
        <f>IF(AW352&lt;=0,0,ROUND(AW352+ROUND(AW352*AC$3/12,2),2))</f>
      </c>
      <c r="J353" s="33">
        <f>IF(AX352&lt;=0,0,ROUND(AX352+ROUND(AX352*AD$3/12,2),2))</f>
      </c>
      <c r="K353" s="33">
        <f>IF(AY352&lt;=0,0,ROUND(AY352+ROUND(AY352*AE$3/12,2),2))</f>
      </c>
      <c r="L353" s="33">
        <f>ROUND(MIN(MAX(0,N('Your debts'!$E$6)),B353),2)</f>
      </c>
      <c r="M353" s="33">
        <f>ROUND(MIN(MAX(0,N('Your debts'!$E$7)),C353),2)</f>
      </c>
      <c r="N353" s="33">
        <f>ROUND(MIN(MAX(0,N('Your debts'!$E$8)),D353),2)</f>
      </c>
      <c r="O353" s="33">
        <f>ROUND(MIN(MAX(0,N('Your debts'!$E$9)),E353),2)</f>
      </c>
      <c r="P353" s="33">
        <f>ROUND(MIN(MAX(0,N('Your debts'!$E$10)),F353),2)</f>
      </c>
      <c r="Q353" s="33">
        <f>ROUND(MIN(MAX(0,N('Your debts'!$E$11)),G353),2)</f>
      </c>
      <c r="R353" s="33">
        <f>ROUND(MIN(MAX(0,N('Your debts'!$E$12)),H353),2)</f>
      </c>
      <c r="S353" s="33">
        <f>ROUND(MIN(MAX(0,N('Your debts'!$E$13)),I353),2)</f>
      </c>
      <c r="T353" s="33">
        <f>ROUND(MIN(MAX(0,N('Your debts'!$E$14)),J353),2)</f>
      </c>
      <c r="U353" s="33">
        <f>ROUND(MIN(MAX(0,N('Your debts'!$E$15)),K353),2)</f>
      </c>
      <c r="V353" s="33">
        <f>ROUND(B353-L353,2)</f>
      </c>
      <c r="W353" s="33">
        <f>ROUND(C353-M353,2)</f>
      </c>
      <c r="X353" s="33">
        <f>ROUND(D353-N353,2)</f>
      </c>
      <c r="Y353" s="33">
        <f>ROUND(E353-O353,2)</f>
      </c>
      <c r="Z353" s="33">
        <f>ROUND(F353-P353,2)</f>
      </c>
      <c r="AA353" s="33">
        <f>ROUND(G353-Q353,2)</f>
      </c>
      <c r="AB353" s="33">
        <f>ROUND(H353-R353,2)</f>
      </c>
      <c r="AC353" s="33">
        <f>ROUND(I353-S353,2)</f>
      </c>
      <c r="AD353" s="33">
        <f>ROUND(J353-T353,2)</f>
      </c>
      <c r="AE353" s="33">
        <f>ROUND(K353-U353,2)</f>
      </c>
      <c r="AF353" s="33">
        <f>IF(V353&lt;=0,0,MAX(0,MIN(V353,ROUND($AZ353-SUMPRODUCT($V353:$AE353*($V353:$AE353&gt;0)*(($V353:$AE353&lt;V353)+($V353:$AE353=V353)*($V$3:$AE$3&gt;V$3)+($V353:$AE353=V353)*($V$3:$AE$3=V$3)*($V$2:$AE$2&lt;V$2))),2))))</f>
      </c>
      <c r="AG353" s="33">
        <f>IF(W353&lt;=0,0,MAX(0,MIN(W353,ROUND($AZ353-SUMPRODUCT($V353:$AE353*($V353:$AE353&gt;0)*(($V353:$AE353&lt;W353)+($V353:$AE353=W353)*($V$3:$AE$3&gt;W$3)+($V353:$AE353=W353)*($V$3:$AE$3=W$3)*($V$2:$AE$2&lt;W$2))),2))))</f>
      </c>
      <c r="AH353" s="33">
        <f>IF(X353&lt;=0,0,MAX(0,MIN(X353,ROUND($AZ353-SUMPRODUCT($V353:$AE353*($V353:$AE353&gt;0)*(($V353:$AE353&lt;X353)+($V353:$AE353=X353)*($V$3:$AE$3&gt;X$3)+($V353:$AE353=X353)*($V$3:$AE$3=X$3)*($V$2:$AE$2&lt;X$2))),2))))</f>
      </c>
      <c r="AI353" s="33">
        <f>IF(Y353&lt;=0,0,MAX(0,MIN(Y353,ROUND($AZ353-SUMPRODUCT($V353:$AE353*($V353:$AE353&gt;0)*(($V353:$AE353&lt;Y353)+($V353:$AE353=Y353)*($V$3:$AE$3&gt;Y$3)+($V353:$AE353=Y353)*($V$3:$AE$3=Y$3)*($V$2:$AE$2&lt;Y$2))),2))))</f>
      </c>
      <c r="AJ353" s="33">
        <f>IF(Z353&lt;=0,0,MAX(0,MIN(Z353,ROUND($AZ353-SUMPRODUCT($V353:$AE353*($V353:$AE353&gt;0)*(($V353:$AE353&lt;Z353)+($V353:$AE353=Z353)*($V$3:$AE$3&gt;Z$3)+($V353:$AE353=Z353)*($V$3:$AE$3=Z$3)*($V$2:$AE$2&lt;Z$2))),2))))</f>
      </c>
      <c r="AK353" s="33">
        <f>IF(AA353&lt;=0,0,MAX(0,MIN(AA353,ROUND($AZ353-SUMPRODUCT($V353:$AE353*($V353:$AE353&gt;0)*(($V353:$AE353&lt;AA353)+($V353:$AE353=AA353)*($V$3:$AE$3&gt;AA$3)+($V353:$AE353=AA353)*($V$3:$AE$3=AA$3)*($V$2:$AE$2&lt;AA$2))),2))))</f>
      </c>
      <c r="AL353" s="33">
        <f>IF(AB353&lt;=0,0,MAX(0,MIN(AB353,ROUND($AZ353-SUMPRODUCT($V353:$AE353*($V353:$AE353&gt;0)*(($V353:$AE353&lt;AB353)+($V353:$AE353=AB353)*($V$3:$AE$3&gt;AB$3)+($V353:$AE353=AB353)*($V$3:$AE$3=AB$3)*($V$2:$AE$2&lt;AB$2))),2))))</f>
      </c>
      <c r="AM353" s="33">
        <f>IF(AC353&lt;=0,0,MAX(0,MIN(AC353,ROUND($AZ353-SUMPRODUCT($V353:$AE353*($V353:$AE353&gt;0)*(($V353:$AE353&lt;AC353)+($V353:$AE353=AC353)*($V$3:$AE$3&gt;AC$3)+($V353:$AE353=AC353)*($V$3:$AE$3=AC$3)*($V$2:$AE$2&lt;AC$2))),2))))</f>
      </c>
      <c r="AN353" s="33">
        <f>IF(AD353&lt;=0,0,MAX(0,MIN(AD353,ROUND($AZ353-SUMPRODUCT($V353:$AE353*($V353:$AE353&gt;0)*(($V353:$AE353&lt;AD353)+($V353:$AE353=AD353)*($V$3:$AE$3&gt;AD$3)+($V353:$AE353=AD353)*($V$3:$AE$3=AD$3)*($V$2:$AE$2&lt;AD$2))),2))))</f>
      </c>
      <c r="AO353" s="33">
        <f>IF(AE353&lt;=0,0,MAX(0,MIN(AE353,ROUND($AZ353-SUMPRODUCT($V353:$AE353*($V353:$AE353&gt;0)*(($V353:$AE353&lt;AE353)+($V353:$AE353=AE353)*($V$3:$AE$3&gt;AE$3)+($V353:$AE353=AE353)*($V$3:$AE$3=AE$3)*($V$2:$AE$2&lt;AE$2))),2))))</f>
      </c>
      <c r="AP353" s="33">
        <f>ROUND(V353-AF353,2)</f>
      </c>
      <c r="AQ353" s="33">
        <f>ROUND(W353-AG353,2)</f>
      </c>
      <c r="AR353" s="33">
        <f>ROUND(X353-AH353,2)</f>
      </c>
      <c r="AS353" s="33">
        <f>ROUND(Y353-AI353,2)</f>
      </c>
      <c r="AT353" s="33">
        <f>ROUND(Z353-AJ353,2)</f>
      </c>
      <c r="AU353" s="33">
        <f>ROUND(AA353-AK353,2)</f>
      </c>
      <c r="AV353" s="33">
        <f>ROUND(AB353-AL353,2)</f>
      </c>
      <c r="AW353" s="33">
        <f>ROUND(AC353-AM353,2)</f>
      </c>
      <c r="AX353" s="33">
        <f>ROUND(AD353-AN353,2)</f>
      </c>
      <c r="AY353" s="33">
        <f>ROUND(AE353-AO353,2)</f>
      </c>
      <c r="AZ353" s="33">
        <f>ROUND(MAX(0,'Your debts'!$D$22-SUM($L353:$U353)),2)</f>
      </c>
      <c r="BA353" s="33">
        <f>ROUND(SUM($B353:$K353)-SUM($AP352:$AY352),2)</f>
      </c>
      <c r="BB353" s="33">
        <f>SUM($AP353:$AY353)</f>
      </c>
      <c r="BC353" s="33">
        <f>ROUND(SUM($L353:$U353)+SUM($AF353:$AO353),2)</f>
      </c>
    </row>
    <row r="354" spans="1:55" x14ac:dyDescent="0.25">
      <c r="A354">
        <v>347</v>
      </c>
      <c r="B354" s="33">
        <f>IF(AP353&lt;=0,0,ROUND(AP353+ROUND(AP353*V$3/12,2),2))</f>
      </c>
      <c r="C354" s="33">
        <f>IF(AQ353&lt;=0,0,ROUND(AQ353+ROUND(AQ353*W$3/12,2),2))</f>
      </c>
      <c r="D354" s="33">
        <f>IF(AR353&lt;=0,0,ROUND(AR353+ROUND(AR353*X$3/12,2),2))</f>
      </c>
      <c r="E354" s="33">
        <f>IF(AS353&lt;=0,0,ROUND(AS353+ROUND(AS353*Y$3/12,2),2))</f>
      </c>
      <c r="F354" s="33">
        <f>IF(AT353&lt;=0,0,ROUND(AT353+ROUND(AT353*Z$3/12,2),2))</f>
      </c>
      <c r="G354" s="33">
        <f>IF(AU353&lt;=0,0,ROUND(AU353+ROUND(AU353*AA$3/12,2),2))</f>
      </c>
      <c r="H354" s="33">
        <f>IF(AV353&lt;=0,0,ROUND(AV353+ROUND(AV353*AB$3/12,2),2))</f>
      </c>
      <c r="I354" s="33">
        <f>IF(AW353&lt;=0,0,ROUND(AW353+ROUND(AW353*AC$3/12,2),2))</f>
      </c>
      <c r="J354" s="33">
        <f>IF(AX353&lt;=0,0,ROUND(AX353+ROUND(AX353*AD$3/12,2),2))</f>
      </c>
      <c r="K354" s="33">
        <f>IF(AY353&lt;=0,0,ROUND(AY353+ROUND(AY353*AE$3/12,2),2))</f>
      </c>
      <c r="L354" s="33">
        <f>ROUND(MIN(MAX(0,N('Your debts'!$E$6)),B354),2)</f>
      </c>
      <c r="M354" s="33">
        <f>ROUND(MIN(MAX(0,N('Your debts'!$E$7)),C354),2)</f>
      </c>
      <c r="N354" s="33">
        <f>ROUND(MIN(MAX(0,N('Your debts'!$E$8)),D354),2)</f>
      </c>
      <c r="O354" s="33">
        <f>ROUND(MIN(MAX(0,N('Your debts'!$E$9)),E354),2)</f>
      </c>
      <c r="P354" s="33">
        <f>ROUND(MIN(MAX(0,N('Your debts'!$E$10)),F354),2)</f>
      </c>
      <c r="Q354" s="33">
        <f>ROUND(MIN(MAX(0,N('Your debts'!$E$11)),G354),2)</f>
      </c>
      <c r="R354" s="33">
        <f>ROUND(MIN(MAX(0,N('Your debts'!$E$12)),H354),2)</f>
      </c>
      <c r="S354" s="33">
        <f>ROUND(MIN(MAX(0,N('Your debts'!$E$13)),I354),2)</f>
      </c>
      <c r="T354" s="33">
        <f>ROUND(MIN(MAX(0,N('Your debts'!$E$14)),J354),2)</f>
      </c>
      <c r="U354" s="33">
        <f>ROUND(MIN(MAX(0,N('Your debts'!$E$15)),K354),2)</f>
      </c>
      <c r="V354" s="33">
        <f>ROUND(B354-L354,2)</f>
      </c>
      <c r="W354" s="33">
        <f>ROUND(C354-M354,2)</f>
      </c>
      <c r="X354" s="33">
        <f>ROUND(D354-N354,2)</f>
      </c>
      <c r="Y354" s="33">
        <f>ROUND(E354-O354,2)</f>
      </c>
      <c r="Z354" s="33">
        <f>ROUND(F354-P354,2)</f>
      </c>
      <c r="AA354" s="33">
        <f>ROUND(G354-Q354,2)</f>
      </c>
      <c r="AB354" s="33">
        <f>ROUND(H354-R354,2)</f>
      </c>
      <c r="AC354" s="33">
        <f>ROUND(I354-S354,2)</f>
      </c>
      <c r="AD354" s="33">
        <f>ROUND(J354-T354,2)</f>
      </c>
      <c r="AE354" s="33">
        <f>ROUND(K354-U354,2)</f>
      </c>
      <c r="AF354" s="33">
        <f>IF(V354&lt;=0,0,MAX(0,MIN(V354,ROUND($AZ354-SUMPRODUCT($V354:$AE354*($V354:$AE354&gt;0)*(($V354:$AE354&lt;V354)+($V354:$AE354=V354)*($V$3:$AE$3&gt;V$3)+($V354:$AE354=V354)*($V$3:$AE$3=V$3)*($V$2:$AE$2&lt;V$2))),2))))</f>
      </c>
      <c r="AG354" s="33">
        <f>IF(W354&lt;=0,0,MAX(0,MIN(W354,ROUND($AZ354-SUMPRODUCT($V354:$AE354*($V354:$AE354&gt;0)*(($V354:$AE354&lt;W354)+($V354:$AE354=W354)*($V$3:$AE$3&gt;W$3)+($V354:$AE354=W354)*($V$3:$AE$3=W$3)*($V$2:$AE$2&lt;W$2))),2))))</f>
      </c>
      <c r="AH354" s="33">
        <f>IF(X354&lt;=0,0,MAX(0,MIN(X354,ROUND($AZ354-SUMPRODUCT($V354:$AE354*($V354:$AE354&gt;0)*(($V354:$AE354&lt;X354)+($V354:$AE354=X354)*($V$3:$AE$3&gt;X$3)+($V354:$AE354=X354)*($V$3:$AE$3=X$3)*($V$2:$AE$2&lt;X$2))),2))))</f>
      </c>
      <c r="AI354" s="33">
        <f>IF(Y354&lt;=0,0,MAX(0,MIN(Y354,ROUND($AZ354-SUMPRODUCT($V354:$AE354*($V354:$AE354&gt;0)*(($V354:$AE354&lt;Y354)+($V354:$AE354=Y354)*($V$3:$AE$3&gt;Y$3)+($V354:$AE354=Y354)*($V$3:$AE$3=Y$3)*($V$2:$AE$2&lt;Y$2))),2))))</f>
      </c>
      <c r="AJ354" s="33">
        <f>IF(Z354&lt;=0,0,MAX(0,MIN(Z354,ROUND($AZ354-SUMPRODUCT($V354:$AE354*($V354:$AE354&gt;0)*(($V354:$AE354&lt;Z354)+($V354:$AE354=Z354)*($V$3:$AE$3&gt;Z$3)+($V354:$AE354=Z354)*($V$3:$AE$3=Z$3)*($V$2:$AE$2&lt;Z$2))),2))))</f>
      </c>
      <c r="AK354" s="33">
        <f>IF(AA354&lt;=0,0,MAX(0,MIN(AA354,ROUND($AZ354-SUMPRODUCT($V354:$AE354*($V354:$AE354&gt;0)*(($V354:$AE354&lt;AA354)+($V354:$AE354=AA354)*($V$3:$AE$3&gt;AA$3)+($V354:$AE354=AA354)*($V$3:$AE$3=AA$3)*($V$2:$AE$2&lt;AA$2))),2))))</f>
      </c>
      <c r="AL354" s="33">
        <f>IF(AB354&lt;=0,0,MAX(0,MIN(AB354,ROUND($AZ354-SUMPRODUCT($V354:$AE354*($V354:$AE354&gt;0)*(($V354:$AE354&lt;AB354)+($V354:$AE354=AB354)*($V$3:$AE$3&gt;AB$3)+($V354:$AE354=AB354)*($V$3:$AE$3=AB$3)*($V$2:$AE$2&lt;AB$2))),2))))</f>
      </c>
      <c r="AM354" s="33">
        <f>IF(AC354&lt;=0,0,MAX(0,MIN(AC354,ROUND($AZ354-SUMPRODUCT($V354:$AE354*($V354:$AE354&gt;0)*(($V354:$AE354&lt;AC354)+($V354:$AE354=AC354)*($V$3:$AE$3&gt;AC$3)+($V354:$AE354=AC354)*($V$3:$AE$3=AC$3)*($V$2:$AE$2&lt;AC$2))),2))))</f>
      </c>
      <c r="AN354" s="33">
        <f>IF(AD354&lt;=0,0,MAX(0,MIN(AD354,ROUND($AZ354-SUMPRODUCT($V354:$AE354*($V354:$AE354&gt;0)*(($V354:$AE354&lt;AD354)+($V354:$AE354=AD354)*($V$3:$AE$3&gt;AD$3)+($V354:$AE354=AD354)*($V$3:$AE$3=AD$3)*($V$2:$AE$2&lt;AD$2))),2))))</f>
      </c>
      <c r="AO354" s="33">
        <f>IF(AE354&lt;=0,0,MAX(0,MIN(AE354,ROUND($AZ354-SUMPRODUCT($V354:$AE354*($V354:$AE354&gt;0)*(($V354:$AE354&lt;AE354)+($V354:$AE354=AE354)*($V$3:$AE$3&gt;AE$3)+($V354:$AE354=AE354)*($V$3:$AE$3=AE$3)*($V$2:$AE$2&lt;AE$2))),2))))</f>
      </c>
      <c r="AP354" s="33">
        <f>ROUND(V354-AF354,2)</f>
      </c>
      <c r="AQ354" s="33">
        <f>ROUND(W354-AG354,2)</f>
      </c>
      <c r="AR354" s="33">
        <f>ROUND(X354-AH354,2)</f>
      </c>
      <c r="AS354" s="33">
        <f>ROUND(Y354-AI354,2)</f>
      </c>
      <c r="AT354" s="33">
        <f>ROUND(Z354-AJ354,2)</f>
      </c>
      <c r="AU354" s="33">
        <f>ROUND(AA354-AK354,2)</f>
      </c>
      <c r="AV354" s="33">
        <f>ROUND(AB354-AL354,2)</f>
      </c>
      <c r="AW354" s="33">
        <f>ROUND(AC354-AM354,2)</f>
      </c>
      <c r="AX354" s="33">
        <f>ROUND(AD354-AN354,2)</f>
      </c>
      <c r="AY354" s="33">
        <f>ROUND(AE354-AO354,2)</f>
      </c>
      <c r="AZ354" s="33">
        <f>ROUND(MAX(0,'Your debts'!$D$22-SUM($L354:$U354)),2)</f>
      </c>
      <c r="BA354" s="33">
        <f>ROUND(SUM($B354:$K354)-SUM($AP353:$AY353),2)</f>
      </c>
      <c r="BB354" s="33">
        <f>SUM($AP354:$AY354)</f>
      </c>
      <c r="BC354" s="33">
        <f>ROUND(SUM($L354:$U354)+SUM($AF354:$AO354),2)</f>
      </c>
    </row>
    <row r="355" spans="1:55" x14ac:dyDescent="0.25">
      <c r="A355">
        <v>348</v>
      </c>
      <c r="B355" s="33">
        <f>IF(AP354&lt;=0,0,ROUND(AP354+ROUND(AP354*V$3/12,2),2))</f>
      </c>
      <c r="C355" s="33">
        <f>IF(AQ354&lt;=0,0,ROUND(AQ354+ROUND(AQ354*W$3/12,2),2))</f>
      </c>
      <c r="D355" s="33">
        <f>IF(AR354&lt;=0,0,ROUND(AR354+ROUND(AR354*X$3/12,2),2))</f>
      </c>
      <c r="E355" s="33">
        <f>IF(AS354&lt;=0,0,ROUND(AS354+ROUND(AS354*Y$3/12,2),2))</f>
      </c>
      <c r="F355" s="33">
        <f>IF(AT354&lt;=0,0,ROUND(AT354+ROUND(AT354*Z$3/12,2),2))</f>
      </c>
      <c r="G355" s="33">
        <f>IF(AU354&lt;=0,0,ROUND(AU354+ROUND(AU354*AA$3/12,2),2))</f>
      </c>
      <c r="H355" s="33">
        <f>IF(AV354&lt;=0,0,ROUND(AV354+ROUND(AV354*AB$3/12,2),2))</f>
      </c>
      <c r="I355" s="33">
        <f>IF(AW354&lt;=0,0,ROUND(AW354+ROUND(AW354*AC$3/12,2),2))</f>
      </c>
      <c r="J355" s="33">
        <f>IF(AX354&lt;=0,0,ROUND(AX354+ROUND(AX354*AD$3/12,2),2))</f>
      </c>
      <c r="K355" s="33">
        <f>IF(AY354&lt;=0,0,ROUND(AY354+ROUND(AY354*AE$3/12,2),2))</f>
      </c>
      <c r="L355" s="33">
        <f>ROUND(MIN(MAX(0,N('Your debts'!$E$6)),B355),2)</f>
      </c>
      <c r="M355" s="33">
        <f>ROUND(MIN(MAX(0,N('Your debts'!$E$7)),C355),2)</f>
      </c>
      <c r="N355" s="33">
        <f>ROUND(MIN(MAX(0,N('Your debts'!$E$8)),D355),2)</f>
      </c>
      <c r="O355" s="33">
        <f>ROUND(MIN(MAX(0,N('Your debts'!$E$9)),E355),2)</f>
      </c>
      <c r="P355" s="33">
        <f>ROUND(MIN(MAX(0,N('Your debts'!$E$10)),F355),2)</f>
      </c>
      <c r="Q355" s="33">
        <f>ROUND(MIN(MAX(0,N('Your debts'!$E$11)),G355),2)</f>
      </c>
      <c r="R355" s="33">
        <f>ROUND(MIN(MAX(0,N('Your debts'!$E$12)),H355),2)</f>
      </c>
      <c r="S355" s="33">
        <f>ROUND(MIN(MAX(0,N('Your debts'!$E$13)),I355),2)</f>
      </c>
      <c r="T355" s="33">
        <f>ROUND(MIN(MAX(0,N('Your debts'!$E$14)),J355),2)</f>
      </c>
      <c r="U355" s="33">
        <f>ROUND(MIN(MAX(0,N('Your debts'!$E$15)),K355),2)</f>
      </c>
      <c r="V355" s="33">
        <f>ROUND(B355-L355,2)</f>
      </c>
      <c r="W355" s="33">
        <f>ROUND(C355-M355,2)</f>
      </c>
      <c r="X355" s="33">
        <f>ROUND(D355-N355,2)</f>
      </c>
      <c r="Y355" s="33">
        <f>ROUND(E355-O355,2)</f>
      </c>
      <c r="Z355" s="33">
        <f>ROUND(F355-P355,2)</f>
      </c>
      <c r="AA355" s="33">
        <f>ROUND(G355-Q355,2)</f>
      </c>
      <c r="AB355" s="33">
        <f>ROUND(H355-R355,2)</f>
      </c>
      <c r="AC355" s="33">
        <f>ROUND(I355-S355,2)</f>
      </c>
      <c r="AD355" s="33">
        <f>ROUND(J355-T355,2)</f>
      </c>
      <c r="AE355" s="33">
        <f>ROUND(K355-U355,2)</f>
      </c>
      <c r="AF355" s="33">
        <f>IF(V355&lt;=0,0,MAX(0,MIN(V355,ROUND($AZ355-SUMPRODUCT($V355:$AE355*($V355:$AE355&gt;0)*(($V355:$AE355&lt;V355)+($V355:$AE355=V355)*($V$3:$AE$3&gt;V$3)+($V355:$AE355=V355)*($V$3:$AE$3=V$3)*($V$2:$AE$2&lt;V$2))),2))))</f>
      </c>
      <c r="AG355" s="33">
        <f>IF(W355&lt;=0,0,MAX(0,MIN(W355,ROUND($AZ355-SUMPRODUCT($V355:$AE355*($V355:$AE355&gt;0)*(($V355:$AE355&lt;W355)+($V355:$AE355=W355)*($V$3:$AE$3&gt;W$3)+($V355:$AE355=W355)*($V$3:$AE$3=W$3)*($V$2:$AE$2&lt;W$2))),2))))</f>
      </c>
      <c r="AH355" s="33">
        <f>IF(X355&lt;=0,0,MAX(0,MIN(X355,ROUND($AZ355-SUMPRODUCT($V355:$AE355*($V355:$AE355&gt;0)*(($V355:$AE355&lt;X355)+($V355:$AE355=X355)*($V$3:$AE$3&gt;X$3)+($V355:$AE355=X355)*($V$3:$AE$3=X$3)*($V$2:$AE$2&lt;X$2))),2))))</f>
      </c>
      <c r="AI355" s="33">
        <f>IF(Y355&lt;=0,0,MAX(0,MIN(Y355,ROUND($AZ355-SUMPRODUCT($V355:$AE355*($V355:$AE355&gt;0)*(($V355:$AE355&lt;Y355)+($V355:$AE355=Y355)*($V$3:$AE$3&gt;Y$3)+($V355:$AE355=Y355)*($V$3:$AE$3=Y$3)*($V$2:$AE$2&lt;Y$2))),2))))</f>
      </c>
      <c r="AJ355" s="33">
        <f>IF(Z355&lt;=0,0,MAX(0,MIN(Z355,ROUND($AZ355-SUMPRODUCT($V355:$AE355*($V355:$AE355&gt;0)*(($V355:$AE355&lt;Z355)+($V355:$AE355=Z355)*($V$3:$AE$3&gt;Z$3)+($V355:$AE355=Z355)*($V$3:$AE$3=Z$3)*($V$2:$AE$2&lt;Z$2))),2))))</f>
      </c>
      <c r="AK355" s="33">
        <f>IF(AA355&lt;=0,0,MAX(0,MIN(AA355,ROUND($AZ355-SUMPRODUCT($V355:$AE355*($V355:$AE355&gt;0)*(($V355:$AE355&lt;AA355)+($V355:$AE355=AA355)*($V$3:$AE$3&gt;AA$3)+($V355:$AE355=AA355)*($V$3:$AE$3=AA$3)*($V$2:$AE$2&lt;AA$2))),2))))</f>
      </c>
      <c r="AL355" s="33">
        <f>IF(AB355&lt;=0,0,MAX(0,MIN(AB355,ROUND($AZ355-SUMPRODUCT($V355:$AE355*($V355:$AE355&gt;0)*(($V355:$AE355&lt;AB355)+($V355:$AE355=AB355)*($V$3:$AE$3&gt;AB$3)+($V355:$AE355=AB355)*($V$3:$AE$3=AB$3)*($V$2:$AE$2&lt;AB$2))),2))))</f>
      </c>
      <c r="AM355" s="33">
        <f>IF(AC355&lt;=0,0,MAX(0,MIN(AC355,ROUND($AZ355-SUMPRODUCT($V355:$AE355*($V355:$AE355&gt;0)*(($V355:$AE355&lt;AC355)+($V355:$AE355=AC355)*($V$3:$AE$3&gt;AC$3)+($V355:$AE355=AC355)*($V$3:$AE$3=AC$3)*($V$2:$AE$2&lt;AC$2))),2))))</f>
      </c>
      <c r="AN355" s="33">
        <f>IF(AD355&lt;=0,0,MAX(0,MIN(AD355,ROUND($AZ355-SUMPRODUCT($V355:$AE355*($V355:$AE355&gt;0)*(($V355:$AE355&lt;AD355)+($V355:$AE355=AD355)*($V$3:$AE$3&gt;AD$3)+($V355:$AE355=AD355)*($V$3:$AE$3=AD$3)*($V$2:$AE$2&lt;AD$2))),2))))</f>
      </c>
      <c r="AO355" s="33">
        <f>IF(AE355&lt;=0,0,MAX(0,MIN(AE355,ROUND($AZ355-SUMPRODUCT($V355:$AE355*($V355:$AE355&gt;0)*(($V355:$AE355&lt;AE355)+($V355:$AE355=AE355)*($V$3:$AE$3&gt;AE$3)+($V355:$AE355=AE355)*($V$3:$AE$3=AE$3)*($V$2:$AE$2&lt;AE$2))),2))))</f>
      </c>
      <c r="AP355" s="33">
        <f>ROUND(V355-AF355,2)</f>
      </c>
      <c r="AQ355" s="33">
        <f>ROUND(W355-AG355,2)</f>
      </c>
      <c r="AR355" s="33">
        <f>ROUND(X355-AH355,2)</f>
      </c>
      <c r="AS355" s="33">
        <f>ROUND(Y355-AI355,2)</f>
      </c>
      <c r="AT355" s="33">
        <f>ROUND(Z355-AJ355,2)</f>
      </c>
      <c r="AU355" s="33">
        <f>ROUND(AA355-AK355,2)</f>
      </c>
      <c r="AV355" s="33">
        <f>ROUND(AB355-AL355,2)</f>
      </c>
      <c r="AW355" s="33">
        <f>ROUND(AC355-AM355,2)</f>
      </c>
      <c r="AX355" s="33">
        <f>ROUND(AD355-AN355,2)</f>
      </c>
      <c r="AY355" s="33">
        <f>ROUND(AE355-AO355,2)</f>
      </c>
      <c r="AZ355" s="33">
        <f>ROUND(MAX(0,'Your debts'!$D$22-SUM($L355:$U355)),2)</f>
      </c>
      <c r="BA355" s="33">
        <f>ROUND(SUM($B355:$K355)-SUM($AP354:$AY354),2)</f>
      </c>
      <c r="BB355" s="33">
        <f>SUM($AP355:$AY355)</f>
      </c>
      <c r="BC355" s="33">
        <f>ROUND(SUM($L355:$U355)+SUM($AF355:$AO355),2)</f>
      </c>
    </row>
    <row r="356" spans="1:55" x14ac:dyDescent="0.25">
      <c r="A356">
        <v>349</v>
      </c>
      <c r="B356" s="33">
        <f>IF(AP355&lt;=0,0,ROUND(AP355+ROUND(AP355*V$3/12,2),2))</f>
      </c>
      <c r="C356" s="33">
        <f>IF(AQ355&lt;=0,0,ROUND(AQ355+ROUND(AQ355*W$3/12,2),2))</f>
      </c>
      <c r="D356" s="33">
        <f>IF(AR355&lt;=0,0,ROUND(AR355+ROUND(AR355*X$3/12,2),2))</f>
      </c>
      <c r="E356" s="33">
        <f>IF(AS355&lt;=0,0,ROUND(AS355+ROUND(AS355*Y$3/12,2),2))</f>
      </c>
      <c r="F356" s="33">
        <f>IF(AT355&lt;=0,0,ROUND(AT355+ROUND(AT355*Z$3/12,2),2))</f>
      </c>
      <c r="G356" s="33">
        <f>IF(AU355&lt;=0,0,ROUND(AU355+ROUND(AU355*AA$3/12,2),2))</f>
      </c>
      <c r="H356" s="33">
        <f>IF(AV355&lt;=0,0,ROUND(AV355+ROUND(AV355*AB$3/12,2),2))</f>
      </c>
      <c r="I356" s="33">
        <f>IF(AW355&lt;=0,0,ROUND(AW355+ROUND(AW355*AC$3/12,2),2))</f>
      </c>
      <c r="J356" s="33">
        <f>IF(AX355&lt;=0,0,ROUND(AX355+ROUND(AX355*AD$3/12,2),2))</f>
      </c>
      <c r="K356" s="33">
        <f>IF(AY355&lt;=0,0,ROUND(AY355+ROUND(AY355*AE$3/12,2),2))</f>
      </c>
      <c r="L356" s="33">
        <f>ROUND(MIN(MAX(0,N('Your debts'!$E$6)),B356),2)</f>
      </c>
      <c r="M356" s="33">
        <f>ROUND(MIN(MAX(0,N('Your debts'!$E$7)),C356),2)</f>
      </c>
      <c r="N356" s="33">
        <f>ROUND(MIN(MAX(0,N('Your debts'!$E$8)),D356),2)</f>
      </c>
      <c r="O356" s="33">
        <f>ROUND(MIN(MAX(0,N('Your debts'!$E$9)),E356),2)</f>
      </c>
      <c r="P356" s="33">
        <f>ROUND(MIN(MAX(0,N('Your debts'!$E$10)),F356),2)</f>
      </c>
      <c r="Q356" s="33">
        <f>ROUND(MIN(MAX(0,N('Your debts'!$E$11)),G356),2)</f>
      </c>
      <c r="R356" s="33">
        <f>ROUND(MIN(MAX(0,N('Your debts'!$E$12)),H356),2)</f>
      </c>
      <c r="S356" s="33">
        <f>ROUND(MIN(MAX(0,N('Your debts'!$E$13)),I356),2)</f>
      </c>
      <c r="T356" s="33">
        <f>ROUND(MIN(MAX(0,N('Your debts'!$E$14)),J356),2)</f>
      </c>
      <c r="U356" s="33">
        <f>ROUND(MIN(MAX(0,N('Your debts'!$E$15)),K356),2)</f>
      </c>
      <c r="V356" s="33">
        <f>ROUND(B356-L356,2)</f>
      </c>
      <c r="W356" s="33">
        <f>ROUND(C356-M356,2)</f>
      </c>
      <c r="X356" s="33">
        <f>ROUND(D356-N356,2)</f>
      </c>
      <c r="Y356" s="33">
        <f>ROUND(E356-O356,2)</f>
      </c>
      <c r="Z356" s="33">
        <f>ROUND(F356-P356,2)</f>
      </c>
      <c r="AA356" s="33">
        <f>ROUND(G356-Q356,2)</f>
      </c>
      <c r="AB356" s="33">
        <f>ROUND(H356-R356,2)</f>
      </c>
      <c r="AC356" s="33">
        <f>ROUND(I356-S356,2)</f>
      </c>
      <c r="AD356" s="33">
        <f>ROUND(J356-T356,2)</f>
      </c>
      <c r="AE356" s="33">
        <f>ROUND(K356-U356,2)</f>
      </c>
      <c r="AF356" s="33">
        <f>IF(V356&lt;=0,0,MAX(0,MIN(V356,ROUND($AZ356-SUMPRODUCT($V356:$AE356*($V356:$AE356&gt;0)*(($V356:$AE356&lt;V356)+($V356:$AE356=V356)*($V$3:$AE$3&gt;V$3)+($V356:$AE356=V356)*($V$3:$AE$3=V$3)*($V$2:$AE$2&lt;V$2))),2))))</f>
      </c>
      <c r="AG356" s="33">
        <f>IF(W356&lt;=0,0,MAX(0,MIN(W356,ROUND($AZ356-SUMPRODUCT($V356:$AE356*($V356:$AE356&gt;0)*(($V356:$AE356&lt;W356)+($V356:$AE356=W356)*($V$3:$AE$3&gt;W$3)+($V356:$AE356=W356)*($V$3:$AE$3=W$3)*($V$2:$AE$2&lt;W$2))),2))))</f>
      </c>
      <c r="AH356" s="33">
        <f>IF(X356&lt;=0,0,MAX(0,MIN(X356,ROUND($AZ356-SUMPRODUCT($V356:$AE356*($V356:$AE356&gt;0)*(($V356:$AE356&lt;X356)+($V356:$AE356=X356)*($V$3:$AE$3&gt;X$3)+($V356:$AE356=X356)*($V$3:$AE$3=X$3)*($V$2:$AE$2&lt;X$2))),2))))</f>
      </c>
      <c r="AI356" s="33">
        <f>IF(Y356&lt;=0,0,MAX(0,MIN(Y356,ROUND($AZ356-SUMPRODUCT($V356:$AE356*($V356:$AE356&gt;0)*(($V356:$AE356&lt;Y356)+($V356:$AE356=Y356)*($V$3:$AE$3&gt;Y$3)+($V356:$AE356=Y356)*($V$3:$AE$3=Y$3)*($V$2:$AE$2&lt;Y$2))),2))))</f>
      </c>
      <c r="AJ356" s="33">
        <f>IF(Z356&lt;=0,0,MAX(0,MIN(Z356,ROUND($AZ356-SUMPRODUCT($V356:$AE356*($V356:$AE356&gt;0)*(($V356:$AE356&lt;Z356)+($V356:$AE356=Z356)*($V$3:$AE$3&gt;Z$3)+($V356:$AE356=Z356)*($V$3:$AE$3=Z$3)*($V$2:$AE$2&lt;Z$2))),2))))</f>
      </c>
      <c r="AK356" s="33">
        <f>IF(AA356&lt;=0,0,MAX(0,MIN(AA356,ROUND($AZ356-SUMPRODUCT($V356:$AE356*($V356:$AE356&gt;0)*(($V356:$AE356&lt;AA356)+($V356:$AE356=AA356)*($V$3:$AE$3&gt;AA$3)+($V356:$AE356=AA356)*($V$3:$AE$3=AA$3)*($V$2:$AE$2&lt;AA$2))),2))))</f>
      </c>
      <c r="AL356" s="33">
        <f>IF(AB356&lt;=0,0,MAX(0,MIN(AB356,ROUND($AZ356-SUMPRODUCT($V356:$AE356*($V356:$AE356&gt;0)*(($V356:$AE356&lt;AB356)+($V356:$AE356=AB356)*($V$3:$AE$3&gt;AB$3)+($V356:$AE356=AB356)*($V$3:$AE$3=AB$3)*($V$2:$AE$2&lt;AB$2))),2))))</f>
      </c>
      <c r="AM356" s="33">
        <f>IF(AC356&lt;=0,0,MAX(0,MIN(AC356,ROUND($AZ356-SUMPRODUCT($V356:$AE356*($V356:$AE356&gt;0)*(($V356:$AE356&lt;AC356)+($V356:$AE356=AC356)*($V$3:$AE$3&gt;AC$3)+($V356:$AE356=AC356)*($V$3:$AE$3=AC$3)*($V$2:$AE$2&lt;AC$2))),2))))</f>
      </c>
      <c r="AN356" s="33">
        <f>IF(AD356&lt;=0,0,MAX(0,MIN(AD356,ROUND($AZ356-SUMPRODUCT($V356:$AE356*($V356:$AE356&gt;0)*(($V356:$AE356&lt;AD356)+($V356:$AE356=AD356)*($V$3:$AE$3&gt;AD$3)+($V356:$AE356=AD356)*($V$3:$AE$3=AD$3)*($V$2:$AE$2&lt;AD$2))),2))))</f>
      </c>
      <c r="AO356" s="33">
        <f>IF(AE356&lt;=0,0,MAX(0,MIN(AE356,ROUND($AZ356-SUMPRODUCT($V356:$AE356*($V356:$AE356&gt;0)*(($V356:$AE356&lt;AE356)+($V356:$AE356=AE356)*($V$3:$AE$3&gt;AE$3)+($V356:$AE356=AE356)*($V$3:$AE$3=AE$3)*($V$2:$AE$2&lt;AE$2))),2))))</f>
      </c>
      <c r="AP356" s="33">
        <f>ROUND(V356-AF356,2)</f>
      </c>
      <c r="AQ356" s="33">
        <f>ROUND(W356-AG356,2)</f>
      </c>
      <c r="AR356" s="33">
        <f>ROUND(X356-AH356,2)</f>
      </c>
      <c r="AS356" s="33">
        <f>ROUND(Y356-AI356,2)</f>
      </c>
      <c r="AT356" s="33">
        <f>ROUND(Z356-AJ356,2)</f>
      </c>
      <c r="AU356" s="33">
        <f>ROUND(AA356-AK356,2)</f>
      </c>
      <c r="AV356" s="33">
        <f>ROUND(AB356-AL356,2)</f>
      </c>
      <c r="AW356" s="33">
        <f>ROUND(AC356-AM356,2)</f>
      </c>
      <c r="AX356" s="33">
        <f>ROUND(AD356-AN356,2)</f>
      </c>
      <c r="AY356" s="33">
        <f>ROUND(AE356-AO356,2)</f>
      </c>
      <c r="AZ356" s="33">
        <f>ROUND(MAX(0,'Your debts'!$D$22-SUM($L356:$U356)),2)</f>
      </c>
      <c r="BA356" s="33">
        <f>ROUND(SUM($B356:$K356)-SUM($AP355:$AY355),2)</f>
      </c>
      <c r="BB356" s="33">
        <f>SUM($AP356:$AY356)</f>
      </c>
      <c r="BC356" s="33">
        <f>ROUND(SUM($L356:$U356)+SUM($AF356:$AO356),2)</f>
      </c>
    </row>
    <row r="357" spans="1:55" x14ac:dyDescent="0.25">
      <c r="A357">
        <v>350</v>
      </c>
      <c r="B357" s="33">
        <f>IF(AP356&lt;=0,0,ROUND(AP356+ROUND(AP356*V$3/12,2),2))</f>
      </c>
      <c r="C357" s="33">
        <f>IF(AQ356&lt;=0,0,ROUND(AQ356+ROUND(AQ356*W$3/12,2),2))</f>
      </c>
      <c r="D357" s="33">
        <f>IF(AR356&lt;=0,0,ROUND(AR356+ROUND(AR356*X$3/12,2),2))</f>
      </c>
      <c r="E357" s="33">
        <f>IF(AS356&lt;=0,0,ROUND(AS356+ROUND(AS356*Y$3/12,2),2))</f>
      </c>
      <c r="F357" s="33">
        <f>IF(AT356&lt;=0,0,ROUND(AT356+ROUND(AT356*Z$3/12,2),2))</f>
      </c>
      <c r="G357" s="33">
        <f>IF(AU356&lt;=0,0,ROUND(AU356+ROUND(AU356*AA$3/12,2),2))</f>
      </c>
      <c r="H357" s="33">
        <f>IF(AV356&lt;=0,0,ROUND(AV356+ROUND(AV356*AB$3/12,2),2))</f>
      </c>
      <c r="I357" s="33">
        <f>IF(AW356&lt;=0,0,ROUND(AW356+ROUND(AW356*AC$3/12,2),2))</f>
      </c>
      <c r="J357" s="33">
        <f>IF(AX356&lt;=0,0,ROUND(AX356+ROUND(AX356*AD$3/12,2),2))</f>
      </c>
      <c r="K357" s="33">
        <f>IF(AY356&lt;=0,0,ROUND(AY356+ROUND(AY356*AE$3/12,2),2))</f>
      </c>
      <c r="L357" s="33">
        <f>ROUND(MIN(MAX(0,N('Your debts'!$E$6)),B357),2)</f>
      </c>
      <c r="M357" s="33">
        <f>ROUND(MIN(MAX(0,N('Your debts'!$E$7)),C357),2)</f>
      </c>
      <c r="N357" s="33">
        <f>ROUND(MIN(MAX(0,N('Your debts'!$E$8)),D357),2)</f>
      </c>
      <c r="O357" s="33">
        <f>ROUND(MIN(MAX(0,N('Your debts'!$E$9)),E357),2)</f>
      </c>
      <c r="P357" s="33">
        <f>ROUND(MIN(MAX(0,N('Your debts'!$E$10)),F357),2)</f>
      </c>
      <c r="Q357" s="33">
        <f>ROUND(MIN(MAX(0,N('Your debts'!$E$11)),G357),2)</f>
      </c>
      <c r="R357" s="33">
        <f>ROUND(MIN(MAX(0,N('Your debts'!$E$12)),H357),2)</f>
      </c>
      <c r="S357" s="33">
        <f>ROUND(MIN(MAX(0,N('Your debts'!$E$13)),I357),2)</f>
      </c>
      <c r="T357" s="33">
        <f>ROUND(MIN(MAX(0,N('Your debts'!$E$14)),J357),2)</f>
      </c>
      <c r="U357" s="33">
        <f>ROUND(MIN(MAX(0,N('Your debts'!$E$15)),K357),2)</f>
      </c>
      <c r="V357" s="33">
        <f>ROUND(B357-L357,2)</f>
      </c>
      <c r="W357" s="33">
        <f>ROUND(C357-M357,2)</f>
      </c>
      <c r="X357" s="33">
        <f>ROUND(D357-N357,2)</f>
      </c>
      <c r="Y357" s="33">
        <f>ROUND(E357-O357,2)</f>
      </c>
      <c r="Z357" s="33">
        <f>ROUND(F357-P357,2)</f>
      </c>
      <c r="AA357" s="33">
        <f>ROUND(G357-Q357,2)</f>
      </c>
      <c r="AB357" s="33">
        <f>ROUND(H357-R357,2)</f>
      </c>
      <c r="AC357" s="33">
        <f>ROUND(I357-S357,2)</f>
      </c>
      <c r="AD357" s="33">
        <f>ROUND(J357-T357,2)</f>
      </c>
      <c r="AE357" s="33">
        <f>ROUND(K357-U357,2)</f>
      </c>
      <c r="AF357" s="33">
        <f>IF(V357&lt;=0,0,MAX(0,MIN(V357,ROUND($AZ357-SUMPRODUCT($V357:$AE357*($V357:$AE357&gt;0)*(($V357:$AE357&lt;V357)+($V357:$AE357=V357)*($V$3:$AE$3&gt;V$3)+($V357:$AE357=V357)*($V$3:$AE$3=V$3)*($V$2:$AE$2&lt;V$2))),2))))</f>
      </c>
      <c r="AG357" s="33">
        <f>IF(W357&lt;=0,0,MAX(0,MIN(W357,ROUND($AZ357-SUMPRODUCT($V357:$AE357*($V357:$AE357&gt;0)*(($V357:$AE357&lt;W357)+($V357:$AE357=W357)*($V$3:$AE$3&gt;W$3)+($V357:$AE357=W357)*($V$3:$AE$3=W$3)*($V$2:$AE$2&lt;W$2))),2))))</f>
      </c>
      <c r="AH357" s="33">
        <f>IF(X357&lt;=0,0,MAX(0,MIN(X357,ROUND($AZ357-SUMPRODUCT($V357:$AE357*($V357:$AE357&gt;0)*(($V357:$AE357&lt;X357)+($V357:$AE357=X357)*($V$3:$AE$3&gt;X$3)+($V357:$AE357=X357)*($V$3:$AE$3=X$3)*($V$2:$AE$2&lt;X$2))),2))))</f>
      </c>
      <c r="AI357" s="33">
        <f>IF(Y357&lt;=0,0,MAX(0,MIN(Y357,ROUND($AZ357-SUMPRODUCT($V357:$AE357*($V357:$AE357&gt;0)*(($V357:$AE357&lt;Y357)+($V357:$AE357=Y357)*($V$3:$AE$3&gt;Y$3)+($V357:$AE357=Y357)*($V$3:$AE$3=Y$3)*($V$2:$AE$2&lt;Y$2))),2))))</f>
      </c>
      <c r="AJ357" s="33">
        <f>IF(Z357&lt;=0,0,MAX(0,MIN(Z357,ROUND($AZ357-SUMPRODUCT($V357:$AE357*($V357:$AE357&gt;0)*(($V357:$AE357&lt;Z357)+($V357:$AE357=Z357)*($V$3:$AE$3&gt;Z$3)+($V357:$AE357=Z357)*($V$3:$AE$3=Z$3)*($V$2:$AE$2&lt;Z$2))),2))))</f>
      </c>
      <c r="AK357" s="33">
        <f>IF(AA357&lt;=0,0,MAX(0,MIN(AA357,ROUND($AZ357-SUMPRODUCT($V357:$AE357*($V357:$AE357&gt;0)*(($V357:$AE357&lt;AA357)+($V357:$AE357=AA357)*($V$3:$AE$3&gt;AA$3)+($V357:$AE357=AA357)*($V$3:$AE$3=AA$3)*($V$2:$AE$2&lt;AA$2))),2))))</f>
      </c>
      <c r="AL357" s="33">
        <f>IF(AB357&lt;=0,0,MAX(0,MIN(AB357,ROUND($AZ357-SUMPRODUCT($V357:$AE357*($V357:$AE357&gt;0)*(($V357:$AE357&lt;AB357)+($V357:$AE357=AB357)*($V$3:$AE$3&gt;AB$3)+($V357:$AE357=AB357)*($V$3:$AE$3=AB$3)*($V$2:$AE$2&lt;AB$2))),2))))</f>
      </c>
      <c r="AM357" s="33">
        <f>IF(AC357&lt;=0,0,MAX(0,MIN(AC357,ROUND($AZ357-SUMPRODUCT($V357:$AE357*($V357:$AE357&gt;0)*(($V357:$AE357&lt;AC357)+($V357:$AE357=AC357)*($V$3:$AE$3&gt;AC$3)+($V357:$AE357=AC357)*($V$3:$AE$3=AC$3)*($V$2:$AE$2&lt;AC$2))),2))))</f>
      </c>
      <c r="AN357" s="33">
        <f>IF(AD357&lt;=0,0,MAX(0,MIN(AD357,ROUND($AZ357-SUMPRODUCT($V357:$AE357*($V357:$AE357&gt;0)*(($V357:$AE357&lt;AD357)+($V357:$AE357=AD357)*($V$3:$AE$3&gt;AD$3)+($V357:$AE357=AD357)*($V$3:$AE$3=AD$3)*($V$2:$AE$2&lt;AD$2))),2))))</f>
      </c>
      <c r="AO357" s="33">
        <f>IF(AE357&lt;=0,0,MAX(0,MIN(AE357,ROUND($AZ357-SUMPRODUCT($V357:$AE357*($V357:$AE357&gt;0)*(($V357:$AE357&lt;AE357)+($V357:$AE357=AE357)*($V$3:$AE$3&gt;AE$3)+($V357:$AE357=AE357)*($V$3:$AE$3=AE$3)*($V$2:$AE$2&lt;AE$2))),2))))</f>
      </c>
      <c r="AP357" s="33">
        <f>ROUND(V357-AF357,2)</f>
      </c>
      <c r="AQ357" s="33">
        <f>ROUND(W357-AG357,2)</f>
      </c>
      <c r="AR357" s="33">
        <f>ROUND(X357-AH357,2)</f>
      </c>
      <c r="AS357" s="33">
        <f>ROUND(Y357-AI357,2)</f>
      </c>
      <c r="AT357" s="33">
        <f>ROUND(Z357-AJ357,2)</f>
      </c>
      <c r="AU357" s="33">
        <f>ROUND(AA357-AK357,2)</f>
      </c>
      <c r="AV357" s="33">
        <f>ROUND(AB357-AL357,2)</f>
      </c>
      <c r="AW357" s="33">
        <f>ROUND(AC357-AM357,2)</f>
      </c>
      <c r="AX357" s="33">
        <f>ROUND(AD357-AN357,2)</f>
      </c>
      <c r="AY357" s="33">
        <f>ROUND(AE357-AO357,2)</f>
      </c>
      <c r="AZ357" s="33">
        <f>ROUND(MAX(0,'Your debts'!$D$22-SUM($L357:$U357)),2)</f>
      </c>
      <c r="BA357" s="33">
        <f>ROUND(SUM($B357:$K357)-SUM($AP356:$AY356),2)</f>
      </c>
      <c r="BB357" s="33">
        <f>SUM($AP357:$AY357)</f>
      </c>
      <c r="BC357" s="33">
        <f>ROUND(SUM($L357:$U357)+SUM($AF357:$AO357),2)</f>
      </c>
    </row>
    <row r="358" spans="1:55" x14ac:dyDescent="0.25">
      <c r="A358">
        <v>351</v>
      </c>
      <c r="B358" s="33">
        <f>IF(AP357&lt;=0,0,ROUND(AP357+ROUND(AP357*V$3/12,2),2))</f>
      </c>
      <c r="C358" s="33">
        <f>IF(AQ357&lt;=0,0,ROUND(AQ357+ROUND(AQ357*W$3/12,2),2))</f>
      </c>
      <c r="D358" s="33">
        <f>IF(AR357&lt;=0,0,ROUND(AR357+ROUND(AR357*X$3/12,2),2))</f>
      </c>
      <c r="E358" s="33">
        <f>IF(AS357&lt;=0,0,ROUND(AS357+ROUND(AS357*Y$3/12,2),2))</f>
      </c>
      <c r="F358" s="33">
        <f>IF(AT357&lt;=0,0,ROUND(AT357+ROUND(AT357*Z$3/12,2),2))</f>
      </c>
      <c r="G358" s="33">
        <f>IF(AU357&lt;=0,0,ROUND(AU357+ROUND(AU357*AA$3/12,2),2))</f>
      </c>
      <c r="H358" s="33">
        <f>IF(AV357&lt;=0,0,ROUND(AV357+ROUND(AV357*AB$3/12,2),2))</f>
      </c>
      <c r="I358" s="33">
        <f>IF(AW357&lt;=0,0,ROUND(AW357+ROUND(AW357*AC$3/12,2),2))</f>
      </c>
      <c r="J358" s="33">
        <f>IF(AX357&lt;=0,0,ROUND(AX357+ROUND(AX357*AD$3/12,2),2))</f>
      </c>
      <c r="K358" s="33">
        <f>IF(AY357&lt;=0,0,ROUND(AY357+ROUND(AY357*AE$3/12,2),2))</f>
      </c>
      <c r="L358" s="33">
        <f>ROUND(MIN(MAX(0,N('Your debts'!$E$6)),B358),2)</f>
      </c>
      <c r="M358" s="33">
        <f>ROUND(MIN(MAX(0,N('Your debts'!$E$7)),C358),2)</f>
      </c>
      <c r="N358" s="33">
        <f>ROUND(MIN(MAX(0,N('Your debts'!$E$8)),D358),2)</f>
      </c>
      <c r="O358" s="33">
        <f>ROUND(MIN(MAX(0,N('Your debts'!$E$9)),E358),2)</f>
      </c>
      <c r="P358" s="33">
        <f>ROUND(MIN(MAX(0,N('Your debts'!$E$10)),F358),2)</f>
      </c>
      <c r="Q358" s="33">
        <f>ROUND(MIN(MAX(0,N('Your debts'!$E$11)),G358),2)</f>
      </c>
      <c r="R358" s="33">
        <f>ROUND(MIN(MAX(0,N('Your debts'!$E$12)),H358),2)</f>
      </c>
      <c r="S358" s="33">
        <f>ROUND(MIN(MAX(0,N('Your debts'!$E$13)),I358),2)</f>
      </c>
      <c r="T358" s="33">
        <f>ROUND(MIN(MAX(0,N('Your debts'!$E$14)),J358),2)</f>
      </c>
      <c r="U358" s="33">
        <f>ROUND(MIN(MAX(0,N('Your debts'!$E$15)),K358),2)</f>
      </c>
      <c r="V358" s="33">
        <f>ROUND(B358-L358,2)</f>
      </c>
      <c r="W358" s="33">
        <f>ROUND(C358-M358,2)</f>
      </c>
      <c r="X358" s="33">
        <f>ROUND(D358-N358,2)</f>
      </c>
      <c r="Y358" s="33">
        <f>ROUND(E358-O358,2)</f>
      </c>
      <c r="Z358" s="33">
        <f>ROUND(F358-P358,2)</f>
      </c>
      <c r="AA358" s="33">
        <f>ROUND(G358-Q358,2)</f>
      </c>
      <c r="AB358" s="33">
        <f>ROUND(H358-R358,2)</f>
      </c>
      <c r="AC358" s="33">
        <f>ROUND(I358-S358,2)</f>
      </c>
      <c r="AD358" s="33">
        <f>ROUND(J358-T358,2)</f>
      </c>
      <c r="AE358" s="33">
        <f>ROUND(K358-U358,2)</f>
      </c>
      <c r="AF358" s="33">
        <f>IF(V358&lt;=0,0,MAX(0,MIN(V358,ROUND($AZ358-SUMPRODUCT($V358:$AE358*($V358:$AE358&gt;0)*(($V358:$AE358&lt;V358)+($V358:$AE358=V358)*($V$3:$AE$3&gt;V$3)+($V358:$AE358=V358)*($V$3:$AE$3=V$3)*($V$2:$AE$2&lt;V$2))),2))))</f>
      </c>
      <c r="AG358" s="33">
        <f>IF(W358&lt;=0,0,MAX(0,MIN(W358,ROUND($AZ358-SUMPRODUCT($V358:$AE358*($V358:$AE358&gt;0)*(($V358:$AE358&lt;W358)+($V358:$AE358=W358)*($V$3:$AE$3&gt;W$3)+($V358:$AE358=W358)*($V$3:$AE$3=W$3)*($V$2:$AE$2&lt;W$2))),2))))</f>
      </c>
      <c r="AH358" s="33">
        <f>IF(X358&lt;=0,0,MAX(0,MIN(X358,ROUND($AZ358-SUMPRODUCT($V358:$AE358*($V358:$AE358&gt;0)*(($V358:$AE358&lt;X358)+($V358:$AE358=X358)*($V$3:$AE$3&gt;X$3)+($V358:$AE358=X358)*($V$3:$AE$3=X$3)*($V$2:$AE$2&lt;X$2))),2))))</f>
      </c>
      <c r="AI358" s="33">
        <f>IF(Y358&lt;=0,0,MAX(0,MIN(Y358,ROUND($AZ358-SUMPRODUCT($V358:$AE358*($V358:$AE358&gt;0)*(($V358:$AE358&lt;Y358)+($V358:$AE358=Y358)*($V$3:$AE$3&gt;Y$3)+($V358:$AE358=Y358)*($V$3:$AE$3=Y$3)*($V$2:$AE$2&lt;Y$2))),2))))</f>
      </c>
      <c r="AJ358" s="33">
        <f>IF(Z358&lt;=0,0,MAX(0,MIN(Z358,ROUND($AZ358-SUMPRODUCT($V358:$AE358*($V358:$AE358&gt;0)*(($V358:$AE358&lt;Z358)+($V358:$AE358=Z358)*($V$3:$AE$3&gt;Z$3)+($V358:$AE358=Z358)*($V$3:$AE$3=Z$3)*($V$2:$AE$2&lt;Z$2))),2))))</f>
      </c>
      <c r="AK358" s="33">
        <f>IF(AA358&lt;=0,0,MAX(0,MIN(AA358,ROUND($AZ358-SUMPRODUCT($V358:$AE358*($V358:$AE358&gt;0)*(($V358:$AE358&lt;AA358)+($V358:$AE358=AA358)*($V$3:$AE$3&gt;AA$3)+($V358:$AE358=AA358)*($V$3:$AE$3=AA$3)*($V$2:$AE$2&lt;AA$2))),2))))</f>
      </c>
      <c r="AL358" s="33">
        <f>IF(AB358&lt;=0,0,MAX(0,MIN(AB358,ROUND($AZ358-SUMPRODUCT($V358:$AE358*($V358:$AE358&gt;0)*(($V358:$AE358&lt;AB358)+($V358:$AE358=AB358)*($V$3:$AE$3&gt;AB$3)+($V358:$AE358=AB358)*($V$3:$AE$3=AB$3)*($V$2:$AE$2&lt;AB$2))),2))))</f>
      </c>
      <c r="AM358" s="33">
        <f>IF(AC358&lt;=0,0,MAX(0,MIN(AC358,ROUND($AZ358-SUMPRODUCT($V358:$AE358*($V358:$AE358&gt;0)*(($V358:$AE358&lt;AC358)+($V358:$AE358=AC358)*($V$3:$AE$3&gt;AC$3)+($V358:$AE358=AC358)*($V$3:$AE$3=AC$3)*($V$2:$AE$2&lt;AC$2))),2))))</f>
      </c>
      <c r="AN358" s="33">
        <f>IF(AD358&lt;=0,0,MAX(0,MIN(AD358,ROUND($AZ358-SUMPRODUCT($V358:$AE358*($V358:$AE358&gt;0)*(($V358:$AE358&lt;AD358)+($V358:$AE358=AD358)*($V$3:$AE$3&gt;AD$3)+($V358:$AE358=AD358)*($V$3:$AE$3=AD$3)*($V$2:$AE$2&lt;AD$2))),2))))</f>
      </c>
      <c r="AO358" s="33">
        <f>IF(AE358&lt;=0,0,MAX(0,MIN(AE358,ROUND($AZ358-SUMPRODUCT($V358:$AE358*($V358:$AE358&gt;0)*(($V358:$AE358&lt;AE358)+($V358:$AE358=AE358)*($V$3:$AE$3&gt;AE$3)+($V358:$AE358=AE358)*($V$3:$AE$3=AE$3)*($V$2:$AE$2&lt;AE$2))),2))))</f>
      </c>
      <c r="AP358" s="33">
        <f>ROUND(V358-AF358,2)</f>
      </c>
      <c r="AQ358" s="33">
        <f>ROUND(W358-AG358,2)</f>
      </c>
      <c r="AR358" s="33">
        <f>ROUND(X358-AH358,2)</f>
      </c>
      <c r="AS358" s="33">
        <f>ROUND(Y358-AI358,2)</f>
      </c>
      <c r="AT358" s="33">
        <f>ROUND(Z358-AJ358,2)</f>
      </c>
      <c r="AU358" s="33">
        <f>ROUND(AA358-AK358,2)</f>
      </c>
      <c r="AV358" s="33">
        <f>ROUND(AB358-AL358,2)</f>
      </c>
      <c r="AW358" s="33">
        <f>ROUND(AC358-AM358,2)</f>
      </c>
      <c r="AX358" s="33">
        <f>ROUND(AD358-AN358,2)</f>
      </c>
      <c r="AY358" s="33">
        <f>ROUND(AE358-AO358,2)</f>
      </c>
      <c r="AZ358" s="33">
        <f>ROUND(MAX(0,'Your debts'!$D$22-SUM($L358:$U358)),2)</f>
      </c>
      <c r="BA358" s="33">
        <f>ROUND(SUM($B358:$K358)-SUM($AP357:$AY357),2)</f>
      </c>
      <c r="BB358" s="33">
        <f>SUM($AP358:$AY358)</f>
      </c>
      <c r="BC358" s="33">
        <f>ROUND(SUM($L358:$U358)+SUM($AF358:$AO358),2)</f>
      </c>
    </row>
    <row r="359" spans="1:55" x14ac:dyDescent="0.25">
      <c r="A359">
        <v>352</v>
      </c>
      <c r="B359" s="33">
        <f>IF(AP358&lt;=0,0,ROUND(AP358+ROUND(AP358*V$3/12,2),2))</f>
      </c>
      <c r="C359" s="33">
        <f>IF(AQ358&lt;=0,0,ROUND(AQ358+ROUND(AQ358*W$3/12,2),2))</f>
      </c>
      <c r="D359" s="33">
        <f>IF(AR358&lt;=0,0,ROUND(AR358+ROUND(AR358*X$3/12,2),2))</f>
      </c>
      <c r="E359" s="33">
        <f>IF(AS358&lt;=0,0,ROUND(AS358+ROUND(AS358*Y$3/12,2),2))</f>
      </c>
      <c r="F359" s="33">
        <f>IF(AT358&lt;=0,0,ROUND(AT358+ROUND(AT358*Z$3/12,2),2))</f>
      </c>
      <c r="G359" s="33">
        <f>IF(AU358&lt;=0,0,ROUND(AU358+ROUND(AU358*AA$3/12,2),2))</f>
      </c>
      <c r="H359" s="33">
        <f>IF(AV358&lt;=0,0,ROUND(AV358+ROUND(AV358*AB$3/12,2),2))</f>
      </c>
      <c r="I359" s="33">
        <f>IF(AW358&lt;=0,0,ROUND(AW358+ROUND(AW358*AC$3/12,2),2))</f>
      </c>
      <c r="J359" s="33">
        <f>IF(AX358&lt;=0,0,ROUND(AX358+ROUND(AX358*AD$3/12,2),2))</f>
      </c>
      <c r="K359" s="33">
        <f>IF(AY358&lt;=0,0,ROUND(AY358+ROUND(AY358*AE$3/12,2),2))</f>
      </c>
      <c r="L359" s="33">
        <f>ROUND(MIN(MAX(0,N('Your debts'!$E$6)),B359),2)</f>
      </c>
      <c r="M359" s="33">
        <f>ROUND(MIN(MAX(0,N('Your debts'!$E$7)),C359),2)</f>
      </c>
      <c r="N359" s="33">
        <f>ROUND(MIN(MAX(0,N('Your debts'!$E$8)),D359),2)</f>
      </c>
      <c r="O359" s="33">
        <f>ROUND(MIN(MAX(0,N('Your debts'!$E$9)),E359),2)</f>
      </c>
      <c r="P359" s="33">
        <f>ROUND(MIN(MAX(0,N('Your debts'!$E$10)),F359),2)</f>
      </c>
      <c r="Q359" s="33">
        <f>ROUND(MIN(MAX(0,N('Your debts'!$E$11)),G359),2)</f>
      </c>
      <c r="R359" s="33">
        <f>ROUND(MIN(MAX(0,N('Your debts'!$E$12)),H359),2)</f>
      </c>
      <c r="S359" s="33">
        <f>ROUND(MIN(MAX(0,N('Your debts'!$E$13)),I359),2)</f>
      </c>
      <c r="T359" s="33">
        <f>ROUND(MIN(MAX(0,N('Your debts'!$E$14)),J359),2)</f>
      </c>
      <c r="U359" s="33">
        <f>ROUND(MIN(MAX(0,N('Your debts'!$E$15)),K359),2)</f>
      </c>
      <c r="V359" s="33">
        <f>ROUND(B359-L359,2)</f>
      </c>
      <c r="W359" s="33">
        <f>ROUND(C359-M359,2)</f>
      </c>
      <c r="X359" s="33">
        <f>ROUND(D359-N359,2)</f>
      </c>
      <c r="Y359" s="33">
        <f>ROUND(E359-O359,2)</f>
      </c>
      <c r="Z359" s="33">
        <f>ROUND(F359-P359,2)</f>
      </c>
      <c r="AA359" s="33">
        <f>ROUND(G359-Q359,2)</f>
      </c>
      <c r="AB359" s="33">
        <f>ROUND(H359-R359,2)</f>
      </c>
      <c r="AC359" s="33">
        <f>ROUND(I359-S359,2)</f>
      </c>
      <c r="AD359" s="33">
        <f>ROUND(J359-T359,2)</f>
      </c>
      <c r="AE359" s="33">
        <f>ROUND(K359-U359,2)</f>
      </c>
      <c r="AF359" s="33">
        <f>IF(V359&lt;=0,0,MAX(0,MIN(V359,ROUND($AZ359-SUMPRODUCT($V359:$AE359*($V359:$AE359&gt;0)*(($V359:$AE359&lt;V359)+($V359:$AE359=V359)*($V$3:$AE$3&gt;V$3)+($V359:$AE359=V359)*($V$3:$AE$3=V$3)*($V$2:$AE$2&lt;V$2))),2))))</f>
      </c>
      <c r="AG359" s="33">
        <f>IF(W359&lt;=0,0,MAX(0,MIN(W359,ROUND($AZ359-SUMPRODUCT($V359:$AE359*($V359:$AE359&gt;0)*(($V359:$AE359&lt;W359)+($V359:$AE359=W359)*($V$3:$AE$3&gt;W$3)+($V359:$AE359=W359)*($V$3:$AE$3=W$3)*($V$2:$AE$2&lt;W$2))),2))))</f>
      </c>
      <c r="AH359" s="33">
        <f>IF(X359&lt;=0,0,MAX(0,MIN(X359,ROUND($AZ359-SUMPRODUCT($V359:$AE359*($V359:$AE359&gt;0)*(($V359:$AE359&lt;X359)+($V359:$AE359=X359)*($V$3:$AE$3&gt;X$3)+($V359:$AE359=X359)*($V$3:$AE$3=X$3)*($V$2:$AE$2&lt;X$2))),2))))</f>
      </c>
      <c r="AI359" s="33">
        <f>IF(Y359&lt;=0,0,MAX(0,MIN(Y359,ROUND($AZ359-SUMPRODUCT($V359:$AE359*($V359:$AE359&gt;0)*(($V359:$AE359&lt;Y359)+($V359:$AE359=Y359)*($V$3:$AE$3&gt;Y$3)+($V359:$AE359=Y359)*($V$3:$AE$3=Y$3)*($V$2:$AE$2&lt;Y$2))),2))))</f>
      </c>
      <c r="AJ359" s="33">
        <f>IF(Z359&lt;=0,0,MAX(0,MIN(Z359,ROUND($AZ359-SUMPRODUCT($V359:$AE359*($V359:$AE359&gt;0)*(($V359:$AE359&lt;Z359)+($V359:$AE359=Z359)*($V$3:$AE$3&gt;Z$3)+($V359:$AE359=Z359)*($V$3:$AE$3=Z$3)*($V$2:$AE$2&lt;Z$2))),2))))</f>
      </c>
      <c r="AK359" s="33">
        <f>IF(AA359&lt;=0,0,MAX(0,MIN(AA359,ROUND($AZ359-SUMPRODUCT($V359:$AE359*($V359:$AE359&gt;0)*(($V359:$AE359&lt;AA359)+($V359:$AE359=AA359)*($V$3:$AE$3&gt;AA$3)+($V359:$AE359=AA359)*($V$3:$AE$3=AA$3)*($V$2:$AE$2&lt;AA$2))),2))))</f>
      </c>
      <c r="AL359" s="33">
        <f>IF(AB359&lt;=0,0,MAX(0,MIN(AB359,ROUND($AZ359-SUMPRODUCT($V359:$AE359*($V359:$AE359&gt;0)*(($V359:$AE359&lt;AB359)+($V359:$AE359=AB359)*($V$3:$AE$3&gt;AB$3)+($V359:$AE359=AB359)*($V$3:$AE$3=AB$3)*($V$2:$AE$2&lt;AB$2))),2))))</f>
      </c>
      <c r="AM359" s="33">
        <f>IF(AC359&lt;=0,0,MAX(0,MIN(AC359,ROUND($AZ359-SUMPRODUCT($V359:$AE359*($V359:$AE359&gt;0)*(($V359:$AE359&lt;AC359)+($V359:$AE359=AC359)*($V$3:$AE$3&gt;AC$3)+($V359:$AE359=AC359)*($V$3:$AE$3=AC$3)*($V$2:$AE$2&lt;AC$2))),2))))</f>
      </c>
      <c r="AN359" s="33">
        <f>IF(AD359&lt;=0,0,MAX(0,MIN(AD359,ROUND($AZ359-SUMPRODUCT($V359:$AE359*($V359:$AE359&gt;0)*(($V359:$AE359&lt;AD359)+($V359:$AE359=AD359)*($V$3:$AE$3&gt;AD$3)+($V359:$AE359=AD359)*($V$3:$AE$3=AD$3)*($V$2:$AE$2&lt;AD$2))),2))))</f>
      </c>
      <c r="AO359" s="33">
        <f>IF(AE359&lt;=0,0,MAX(0,MIN(AE359,ROUND($AZ359-SUMPRODUCT($V359:$AE359*($V359:$AE359&gt;0)*(($V359:$AE359&lt;AE359)+($V359:$AE359=AE359)*($V$3:$AE$3&gt;AE$3)+($V359:$AE359=AE359)*($V$3:$AE$3=AE$3)*($V$2:$AE$2&lt;AE$2))),2))))</f>
      </c>
      <c r="AP359" s="33">
        <f>ROUND(V359-AF359,2)</f>
      </c>
      <c r="AQ359" s="33">
        <f>ROUND(W359-AG359,2)</f>
      </c>
      <c r="AR359" s="33">
        <f>ROUND(X359-AH359,2)</f>
      </c>
      <c r="AS359" s="33">
        <f>ROUND(Y359-AI359,2)</f>
      </c>
      <c r="AT359" s="33">
        <f>ROUND(Z359-AJ359,2)</f>
      </c>
      <c r="AU359" s="33">
        <f>ROUND(AA359-AK359,2)</f>
      </c>
      <c r="AV359" s="33">
        <f>ROUND(AB359-AL359,2)</f>
      </c>
      <c r="AW359" s="33">
        <f>ROUND(AC359-AM359,2)</f>
      </c>
      <c r="AX359" s="33">
        <f>ROUND(AD359-AN359,2)</f>
      </c>
      <c r="AY359" s="33">
        <f>ROUND(AE359-AO359,2)</f>
      </c>
      <c r="AZ359" s="33">
        <f>ROUND(MAX(0,'Your debts'!$D$22-SUM($L359:$U359)),2)</f>
      </c>
      <c r="BA359" s="33">
        <f>ROUND(SUM($B359:$K359)-SUM($AP358:$AY358),2)</f>
      </c>
      <c r="BB359" s="33">
        <f>SUM($AP359:$AY359)</f>
      </c>
      <c r="BC359" s="33">
        <f>ROUND(SUM($L359:$U359)+SUM($AF359:$AO359),2)</f>
      </c>
    </row>
    <row r="360" spans="1:55" x14ac:dyDescent="0.25">
      <c r="A360">
        <v>353</v>
      </c>
      <c r="B360" s="33">
        <f>IF(AP359&lt;=0,0,ROUND(AP359+ROUND(AP359*V$3/12,2),2))</f>
      </c>
      <c r="C360" s="33">
        <f>IF(AQ359&lt;=0,0,ROUND(AQ359+ROUND(AQ359*W$3/12,2),2))</f>
      </c>
      <c r="D360" s="33">
        <f>IF(AR359&lt;=0,0,ROUND(AR359+ROUND(AR359*X$3/12,2),2))</f>
      </c>
      <c r="E360" s="33">
        <f>IF(AS359&lt;=0,0,ROUND(AS359+ROUND(AS359*Y$3/12,2),2))</f>
      </c>
      <c r="F360" s="33">
        <f>IF(AT359&lt;=0,0,ROUND(AT359+ROUND(AT359*Z$3/12,2),2))</f>
      </c>
      <c r="G360" s="33">
        <f>IF(AU359&lt;=0,0,ROUND(AU359+ROUND(AU359*AA$3/12,2),2))</f>
      </c>
      <c r="H360" s="33">
        <f>IF(AV359&lt;=0,0,ROUND(AV359+ROUND(AV359*AB$3/12,2),2))</f>
      </c>
      <c r="I360" s="33">
        <f>IF(AW359&lt;=0,0,ROUND(AW359+ROUND(AW359*AC$3/12,2),2))</f>
      </c>
      <c r="J360" s="33">
        <f>IF(AX359&lt;=0,0,ROUND(AX359+ROUND(AX359*AD$3/12,2),2))</f>
      </c>
      <c r="K360" s="33">
        <f>IF(AY359&lt;=0,0,ROUND(AY359+ROUND(AY359*AE$3/12,2),2))</f>
      </c>
      <c r="L360" s="33">
        <f>ROUND(MIN(MAX(0,N('Your debts'!$E$6)),B360),2)</f>
      </c>
      <c r="M360" s="33">
        <f>ROUND(MIN(MAX(0,N('Your debts'!$E$7)),C360),2)</f>
      </c>
      <c r="N360" s="33">
        <f>ROUND(MIN(MAX(0,N('Your debts'!$E$8)),D360),2)</f>
      </c>
      <c r="O360" s="33">
        <f>ROUND(MIN(MAX(0,N('Your debts'!$E$9)),E360),2)</f>
      </c>
      <c r="P360" s="33">
        <f>ROUND(MIN(MAX(0,N('Your debts'!$E$10)),F360),2)</f>
      </c>
      <c r="Q360" s="33">
        <f>ROUND(MIN(MAX(0,N('Your debts'!$E$11)),G360),2)</f>
      </c>
      <c r="R360" s="33">
        <f>ROUND(MIN(MAX(0,N('Your debts'!$E$12)),H360),2)</f>
      </c>
      <c r="S360" s="33">
        <f>ROUND(MIN(MAX(0,N('Your debts'!$E$13)),I360),2)</f>
      </c>
      <c r="T360" s="33">
        <f>ROUND(MIN(MAX(0,N('Your debts'!$E$14)),J360),2)</f>
      </c>
      <c r="U360" s="33">
        <f>ROUND(MIN(MAX(0,N('Your debts'!$E$15)),K360),2)</f>
      </c>
      <c r="V360" s="33">
        <f>ROUND(B360-L360,2)</f>
      </c>
      <c r="W360" s="33">
        <f>ROUND(C360-M360,2)</f>
      </c>
      <c r="X360" s="33">
        <f>ROUND(D360-N360,2)</f>
      </c>
      <c r="Y360" s="33">
        <f>ROUND(E360-O360,2)</f>
      </c>
      <c r="Z360" s="33">
        <f>ROUND(F360-P360,2)</f>
      </c>
      <c r="AA360" s="33">
        <f>ROUND(G360-Q360,2)</f>
      </c>
      <c r="AB360" s="33">
        <f>ROUND(H360-R360,2)</f>
      </c>
      <c r="AC360" s="33">
        <f>ROUND(I360-S360,2)</f>
      </c>
      <c r="AD360" s="33">
        <f>ROUND(J360-T360,2)</f>
      </c>
      <c r="AE360" s="33">
        <f>ROUND(K360-U360,2)</f>
      </c>
      <c r="AF360" s="33">
        <f>IF(V360&lt;=0,0,MAX(0,MIN(V360,ROUND($AZ360-SUMPRODUCT($V360:$AE360*($V360:$AE360&gt;0)*(($V360:$AE360&lt;V360)+($V360:$AE360=V360)*($V$3:$AE$3&gt;V$3)+($V360:$AE360=V360)*($V$3:$AE$3=V$3)*($V$2:$AE$2&lt;V$2))),2))))</f>
      </c>
      <c r="AG360" s="33">
        <f>IF(W360&lt;=0,0,MAX(0,MIN(W360,ROUND($AZ360-SUMPRODUCT($V360:$AE360*($V360:$AE360&gt;0)*(($V360:$AE360&lt;W360)+($V360:$AE360=W360)*($V$3:$AE$3&gt;W$3)+($V360:$AE360=W360)*($V$3:$AE$3=W$3)*($V$2:$AE$2&lt;W$2))),2))))</f>
      </c>
      <c r="AH360" s="33">
        <f>IF(X360&lt;=0,0,MAX(0,MIN(X360,ROUND($AZ360-SUMPRODUCT($V360:$AE360*($V360:$AE360&gt;0)*(($V360:$AE360&lt;X360)+($V360:$AE360=X360)*($V$3:$AE$3&gt;X$3)+($V360:$AE360=X360)*($V$3:$AE$3=X$3)*($V$2:$AE$2&lt;X$2))),2))))</f>
      </c>
      <c r="AI360" s="33">
        <f>IF(Y360&lt;=0,0,MAX(0,MIN(Y360,ROUND($AZ360-SUMPRODUCT($V360:$AE360*($V360:$AE360&gt;0)*(($V360:$AE360&lt;Y360)+($V360:$AE360=Y360)*($V$3:$AE$3&gt;Y$3)+($V360:$AE360=Y360)*($V$3:$AE$3=Y$3)*($V$2:$AE$2&lt;Y$2))),2))))</f>
      </c>
      <c r="AJ360" s="33">
        <f>IF(Z360&lt;=0,0,MAX(0,MIN(Z360,ROUND($AZ360-SUMPRODUCT($V360:$AE360*($V360:$AE360&gt;0)*(($V360:$AE360&lt;Z360)+($V360:$AE360=Z360)*($V$3:$AE$3&gt;Z$3)+($V360:$AE360=Z360)*($V$3:$AE$3=Z$3)*($V$2:$AE$2&lt;Z$2))),2))))</f>
      </c>
      <c r="AK360" s="33">
        <f>IF(AA360&lt;=0,0,MAX(0,MIN(AA360,ROUND($AZ360-SUMPRODUCT($V360:$AE360*($V360:$AE360&gt;0)*(($V360:$AE360&lt;AA360)+($V360:$AE360=AA360)*($V$3:$AE$3&gt;AA$3)+($V360:$AE360=AA360)*($V$3:$AE$3=AA$3)*($V$2:$AE$2&lt;AA$2))),2))))</f>
      </c>
      <c r="AL360" s="33">
        <f>IF(AB360&lt;=0,0,MAX(0,MIN(AB360,ROUND($AZ360-SUMPRODUCT($V360:$AE360*($V360:$AE360&gt;0)*(($V360:$AE360&lt;AB360)+($V360:$AE360=AB360)*($V$3:$AE$3&gt;AB$3)+($V360:$AE360=AB360)*($V$3:$AE$3=AB$3)*($V$2:$AE$2&lt;AB$2))),2))))</f>
      </c>
      <c r="AM360" s="33">
        <f>IF(AC360&lt;=0,0,MAX(0,MIN(AC360,ROUND($AZ360-SUMPRODUCT($V360:$AE360*($V360:$AE360&gt;0)*(($V360:$AE360&lt;AC360)+($V360:$AE360=AC360)*($V$3:$AE$3&gt;AC$3)+($V360:$AE360=AC360)*($V$3:$AE$3=AC$3)*($V$2:$AE$2&lt;AC$2))),2))))</f>
      </c>
      <c r="AN360" s="33">
        <f>IF(AD360&lt;=0,0,MAX(0,MIN(AD360,ROUND($AZ360-SUMPRODUCT($V360:$AE360*($V360:$AE360&gt;0)*(($V360:$AE360&lt;AD360)+($V360:$AE360=AD360)*($V$3:$AE$3&gt;AD$3)+($V360:$AE360=AD360)*($V$3:$AE$3=AD$3)*($V$2:$AE$2&lt;AD$2))),2))))</f>
      </c>
      <c r="AO360" s="33">
        <f>IF(AE360&lt;=0,0,MAX(0,MIN(AE360,ROUND($AZ360-SUMPRODUCT($V360:$AE360*($V360:$AE360&gt;0)*(($V360:$AE360&lt;AE360)+($V360:$AE360=AE360)*($V$3:$AE$3&gt;AE$3)+($V360:$AE360=AE360)*($V$3:$AE$3=AE$3)*($V$2:$AE$2&lt;AE$2))),2))))</f>
      </c>
      <c r="AP360" s="33">
        <f>ROUND(V360-AF360,2)</f>
      </c>
      <c r="AQ360" s="33">
        <f>ROUND(W360-AG360,2)</f>
      </c>
      <c r="AR360" s="33">
        <f>ROUND(X360-AH360,2)</f>
      </c>
      <c r="AS360" s="33">
        <f>ROUND(Y360-AI360,2)</f>
      </c>
      <c r="AT360" s="33">
        <f>ROUND(Z360-AJ360,2)</f>
      </c>
      <c r="AU360" s="33">
        <f>ROUND(AA360-AK360,2)</f>
      </c>
      <c r="AV360" s="33">
        <f>ROUND(AB360-AL360,2)</f>
      </c>
      <c r="AW360" s="33">
        <f>ROUND(AC360-AM360,2)</f>
      </c>
      <c r="AX360" s="33">
        <f>ROUND(AD360-AN360,2)</f>
      </c>
      <c r="AY360" s="33">
        <f>ROUND(AE360-AO360,2)</f>
      </c>
      <c r="AZ360" s="33">
        <f>ROUND(MAX(0,'Your debts'!$D$22-SUM($L360:$U360)),2)</f>
      </c>
      <c r="BA360" s="33">
        <f>ROUND(SUM($B360:$K360)-SUM($AP359:$AY359),2)</f>
      </c>
      <c r="BB360" s="33">
        <f>SUM($AP360:$AY360)</f>
      </c>
      <c r="BC360" s="33">
        <f>ROUND(SUM($L360:$U360)+SUM($AF360:$AO360),2)</f>
      </c>
    </row>
    <row r="361" spans="1:55" x14ac:dyDescent="0.25">
      <c r="A361">
        <v>354</v>
      </c>
      <c r="B361" s="33">
        <f>IF(AP360&lt;=0,0,ROUND(AP360+ROUND(AP360*V$3/12,2),2))</f>
      </c>
      <c r="C361" s="33">
        <f>IF(AQ360&lt;=0,0,ROUND(AQ360+ROUND(AQ360*W$3/12,2),2))</f>
      </c>
      <c r="D361" s="33">
        <f>IF(AR360&lt;=0,0,ROUND(AR360+ROUND(AR360*X$3/12,2),2))</f>
      </c>
      <c r="E361" s="33">
        <f>IF(AS360&lt;=0,0,ROUND(AS360+ROUND(AS360*Y$3/12,2),2))</f>
      </c>
      <c r="F361" s="33">
        <f>IF(AT360&lt;=0,0,ROUND(AT360+ROUND(AT360*Z$3/12,2),2))</f>
      </c>
      <c r="G361" s="33">
        <f>IF(AU360&lt;=0,0,ROUND(AU360+ROUND(AU360*AA$3/12,2),2))</f>
      </c>
      <c r="H361" s="33">
        <f>IF(AV360&lt;=0,0,ROUND(AV360+ROUND(AV360*AB$3/12,2),2))</f>
      </c>
      <c r="I361" s="33">
        <f>IF(AW360&lt;=0,0,ROUND(AW360+ROUND(AW360*AC$3/12,2),2))</f>
      </c>
      <c r="J361" s="33">
        <f>IF(AX360&lt;=0,0,ROUND(AX360+ROUND(AX360*AD$3/12,2),2))</f>
      </c>
      <c r="K361" s="33">
        <f>IF(AY360&lt;=0,0,ROUND(AY360+ROUND(AY360*AE$3/12,2),2))</f>
      </c>
      <c r="L361" s="33">
        <f>ROUND(MIN(MAX(0,N('Your debts'!$E$6)),B361),2)</f>
      </c>
      <c r="M361" s="33">
        <f>ROUND(MIN(MAX(0,N('Your debts'!$E$7)),C361),2)</f>
      </c>
      <c r="N361" s="33">
        <f>ROUND(MIN(MAX(0,N('Your debts'!$E$8)),D361),2)</f>
      </c>
      <c r="O361" s="33">
        <f>ROUND(MIN(MAX(0,N('Your debts'!$E$9)),E361),2)</f>
      </c>
      <c r="P361" s="33">
        <f>ROUND(MIN(MAX(0,N('Your debts'!$E$10)),F361),2)</f>
      </c>
      <c r="Q361" s="33">
        <f>ROUND(MIN(MAX(0,N('Your debts'!$E$11)),G361),2)</f>
      </c>
      <c r="R361" s="33">
        <f>ROUND(MIN(MAX(0,N('Your debts'!$E$12)),H361),2)</f>
      </c>
      <c r="S361" s="33">
        <f>ROUND(MIN(MAX(0,N('Your debts'!$E$13)),I361),2)</f>
      </c>
      <c r="T361" s="33">
        <f>ROUND(MIN(MAX(0,N('Your debts'!$E$14)),J361),2)</f>
      </c>
      <c r="U361" s="33">
        <f>ROUND(MIN(MAX(0,N('Your debts'!$E$15)),K361),2)</f>
      </c>
      <c r="V361" s="33">
        <f>ROUND(B361-L361,2)</f>
      </c>
      <c r="W361" s="33">
        <f>ROUND(C361-M361,2)</f>
      </c>
      <c r="X361" s="33">
        <f>ROUND(D361-N361,2)</f>
      </c>
      <c r="Y361" s="33">
        <f>ROUND(E361-O361,2)</f>
      </c>
      <c r="Z361" s="33">
        <f>ROUND(F361-P361,2)</f>
      </c>
      <c r="AA361" s="33">
        <f>ROUND(G361-Q361,2)</f>
      </c>
      <c r="AB361" s="33">
        <f>ROUND(H361-R361,2)</f>
      </c>
      <c r="AC361" s="33">
        <f>ROUND(I361-S361,2)</f>
      </c>
      <c r="AD361" s="33">
        <f>ROUND(J361-T361,2)</f>
      </c>
      <c r="AE361" s="33">
        <f>ROUND(K361-U361,2)</f>
      </c>
      <c r="AF361" s="33">
        <f>IF(V361&lt;=0,0,MAX(0,MIN(V361,ROUND($AZ361-SUMPRODUCT($V361:$AE361*($V361:$AE361&gt;0)*(($V361:$AE361&lt;V361)+($V361:$AE361=V361)*($V$3:$AE$3&gt;V$3)+($V361:$AE361=V361)*($V$3:$AE$3=V$3)*($V$2:$AE$2&lt;V$2))),2))))</f>
      </c>
      <c r="AG361" s="33">
        <f>IF(W361&lt;=0,0,MAX(0,MIN(W361,ROUND($AZ361-SUMPRODUCT($V361:$AE361*($V361:$AE361&gt;0)*(($V361:$AE361&lt;W361)+($V361:$AE361=W361)*($V$3:$AE$3&gt;W$3)+($V361:$AE361=W361)*($V$3:$AE$3=W$3)*($V$2:$AE$2&lt;W$2))),2))))</f>
      </c>
      <c r="AH361" s="33">
        <f>IF(X361&lt;=0,0,MAX(0,MIN(X361,ROUND($AZ361-SUMPRODUCT($V361:$AE361*($V361:$AE361&gt;0)*(($V361:$AE361&lt;X361)+($V361:$AE361=X361)*($V$3:$AE$3&gt;X$3)+($V361:$AE361=X361)*($V$3:$AE$3=X$3)*($V$2:$AE$2&lt;X$2))),2))))</f>
      </c>
      <c r="AI361" s="33">
        <f>IF(Y361&lt;=0,0,MAX(0,MIN(Y361,ROUND($AZ361-SUMPRODUCT($V361:$AE361*($V361:$AE361&gt;0)*(($V361:$AE361&lt;Y361)+($V361:$AE361=Y361)*($V$3:$AE$3&gt;Y$3)+($V361:$AE361=Y361)*($V$3:$AE$3=Y$3)*($V$2:$AE$2&lt;Y$2))),2))))</f>
      </c>
      <c r="AJ361" s="33">
        <f>IF(Z361&lt;=0,0,MAX(0,MIN(Z361,ROUND($AZ361-SUMPRODUCT($V361:$AE361*($V361:$AE361&gt;0)*(($V361:$AE361&lt;Z361)+($V361:$AE361=Z361)*($V$3:$AE$3&gt;Z$3)+($V361:$AE361=Z361)*($V$3:$AE$3=Z$3)*($V$2:$AE$2&lt;Z$2))),2))))</f>
      </c>
      <c r="AK361" s="33">
        <f>IF(AA361&lt;=0,0,MAX(0,MIN(AA361,ROUND($AZ361-SUMPRODUCT($V361:$AE361*($V361:$AE361&gt;0)*(($V361:$AE361&lt;AA361)+($V361:$AE361=AA361)*($V$3:$AE$3&gt;AA$3)+($V361:$AE361=AA361)*($V$3:$AE$3=AA$3)*($V$2:$AE$2&lt;AA$2))),2))))</f>
      </c>
      <c r="AL361" s="33">
        <f>IF(AB361&lt;=0,0,MAX(0,MIN(AB361,ROUND($AZ361-SUMPRODUCT($V361:$AE361*($V361:$AE361&gt;0)*(($V361:$AE361&lt;AB361)+($V361:$AE361=AB361)*($V$3:$AE$3&gt;AB$3)+($V361:$AE361=AB361)*($V$3:$AE$3=AB$3)*($V$2:$AE$2&lt;AB$2))),2))))</f>
      </c>
      <c r="AM361" s="33">
        <f>IF(AC361&lt;=0,0,MAX(0,MIN(AC361,ROUND($AZ361-SUMPRODUCT($V361:$AE361*($V361:$AE361&gt;0)*(($V361:$AE361&lt;AC361)+($V361:$AE361=AC361)*($V$3:$AE$3&gt;AC$3)+($V361:$AE361=AC361)*($V$3:$AE$3=AC$3)*($V$2:$AE$2&lt;AC$2))),2))))</f>
      </c>
      <c r="AN361" s="33">
        <f>IF(AD361&lt;=0,0,MAX(0,MIN(AD361,ROUND($AZ361-SUMPRODUCT($V361:$AE361*($V361:$AE361&gt;0)*(($V361:$AE361&lt;AD361)+($V361:$AE361=AD361)*($V$3:$AE$3&gt;AD$3)+($V361:$AE361=AD361)*($V$3:$AE$3=AD$3)*($V$2:$AE$2&lt;AD$2))),2))))</f>
      </c>
      <c r="AO361" s="33">
        <f>IF(AE361&lt;=0,0,MAX(0,MIN(AE361,ROUND($AZ361-SUMPRODUCT($V361:$AE361*($V361:$AE361&gt;0)*(($V361:$AE361&lt;AE361)+($V361:$AE361=AE361)*($V$3:$AE$3&gt;AE$3)+($V361:$AE361=AE361)*($V$3:$AE$3=AE$3)*($V$2:$AE$2&lt;AE$2))),2))))</f>
      </c>
      <c r="AP361" s="33">
        <f>ROUND(V361-AF361,2)</f>
      </c>
      <c r="AQ361" s="33">
        <f>ROUND(W361-AG361,2)</f>
      </c>
      <c r="AR361" s="33">
        <f>ROUND(X361-AH361,2)</f>
      </c>
      <c r="AS361" s="33">
        <f>ROUND(Y361-AI361,2)</f>
      </c>
      <c r="AT361" s="33">
        <f>ROUND(Z361-AJ361,2)</f>
      </c>
      <c r="AU361" s="33">
        <f>ROUND(AA361-AK361,2)</f>
      </c>
      <c r="AV361" s="33">
        <f>ROUND(AB361-AL361,2)</f>
      </c>
      <c r="AW361" s="33">
        <f>ROUND(AC361-AM361,2)</f>
      </c>
      <c r="AX361" s="33">
        <f>ROUND(AD361-AN361,2)</f>
      </c>
      <c r="AY361" s="33">
        <f>ROUND(AE361-AO361,2)</f>
      </c>
      <c r="AZ361" s="33">
        <f>ROUND(MAX(0,'Your debts'!$D$22-SUM($L361:$U361)),2)</f>
      </c>
      <c r="BA361" s="33">
        <f>ROUND(SUM($B361:$K361)-SUM($AP360:$AY360),2)</f>
      </c>
      <c r="BB361" s="33">
        <f>SUM($AP361:$AY361)</f>
      </c>
      <c r="BC361" s="33">
        <f>ROUND(SUM($L361:$U361)+SUM($AF361:$AO361),2)</f>
      </c>
    </row>
    <row r="362" spans="1:55" x14ac:dyDescent="0.25">
      <c r="A362">
        <v>355</v>
      </c>
      <c r="B362" s="33">
        <f>IF(AP361&lt;=0,0,ROUND(AP361+ROUND(AP361*V$3/12,2),2))</f>
      </c>
      <c r="C362" s="33">
        <f>IF(AQ361&lt;=0,0,ROUND(AQ361+ROUND(AQ361*W$3/12,2),2))</f>
      </c>
      <c r="D362" s="33">
        <f>IF(AR361&lt;=0,0,ROUND(AR361+ROUND(AR361*X$3/12,2),2))</f>
      </c>
      <c r="E362" s="33">
        <f>IF(AS361&lt;=0,0,ROUND(AS361+ROUND(AS361*Y$3/12,2),2))</f>
      </c>
      <c r="F362" s="33">
        <f>IF(AT361&lt;=0,0,ROUND(AT361+ROUND(AT361*Z$3/12,2),2))</f>
      </c>
      <c r="G362" s="33">
        <f>IF(AU361&lt;=0,0,ROUND(AU361+ROUND(AU361*AA$3/12,2),2))</f>
      </c>
      <c r="H362" s="33">
        <f>IF(AV361&lt;=0,0,ROUND(AV361+ROUND(AV361*AB$3/12,2),2))</f>
      </c>
      <c r="I362" s="33">
        <f>IF(AW361&lt;=0,0,ROUND(AW361+ROUND(AW361*AC$3/12,2),2))</f>
      </c>
      <c r="J362" s="33">
        <f>IF(AX361&lt;=0,0,ROUND(AX361+ROUND(AX361*AD$3/12,2),2))</f>
      </c>
      <c r="K362" s="33">
        <f>IF(AY361&lt;=0,0,ROUND(AY361+ROUND(AY361*AE$3/12,2),2))</f>
      </c>
      <c r="L362" s="33">
        <f>ROUND(MIN(MAX(0,N('Your debts'!$E$6)),B362),2)</f>
      </c>
      <c r="M362" s="33">
        <f>ROUND(MIN(MAX(0,N('Your debts'!$E$7)),C362),2)</f>
      </c>
      <c r="N362" s="33">
        <f>ROUND(MIN(MAX(0,N('Your debts'!$E$8)),D362),2)</f>
      </c>
      <c r="O362" s="33">
        <f>ROUND(MIN(MAX(0,N('Your debts'!$E$9)),E362),2)</f>
      </c>
      <c r="P362" s="33">
        <f>ROUND(MIN(MAX(0,N('Your debts'!$E$10)),F362),2)</f>
      </c>
      <c r="Q362" s="33">
        <f>ROUND(MIN(MAX(0,N('Your debts'!$E$11)),G362),2)</f>
      </c>
      <c r="R362" s="33">
        <f>ROUND(MIN(MAX(0,N('Your debts'!$E$12)),H362),2)</f>
      </c>
      <c r="S362" s="33">
        <f>ROUND(MIN(MAX(0,N('Your debts'!$E$13)),I362),2)</f>
      </c>
      <c r="T362" s="33">
        <f>ROUND(MIN(MAX(0,N('Your debts'!$E$14)),J362),2)</f>
      </c>
      <c r="U362" s="33">
        <f>ROUND(MIN(MAX(0,N('Your debts'!$E$15)),K362),2)</f>
      </c>
      <c r="V362" s="33">
        <f>ROUND(B362-L362,2)</f>
      </c>
      <c r="W362" s="33">
        <f>ROUND(C362-M362,2)</f>
      </c>
      <c r="X362" s="33">
        <f>ROUND(D362-N362,2)</f>
      </c>
      <c r="Y362" s="33">
        <f>ROUND(E362-O362,2)</f>
      </c>
      <c r="Z362" s="33">
        <f>ROUND(F362-P362,2)</f>
      </c>
      <c r="AA362" s="33">
        <f>ROUND(G362-Q362,2)</f>
      </c>
      <c r="AB362" s="33">
        <f>ROUND(H362-R362,2)</f>
      </c>
      <c r="AC362" s="33">
        <f>ROUND(I362-S362,2)</f>
      </c>
      <c r="AD362" s="33">
        <f>ROUND(J362-T362,2)</f>
      </c>
      <c r="AE362" s="33">
        <f>ROUND(K362-U362,2)</f>
      </c>
      <c r="AF362" s="33">
        <f>IF(V362&lt;=0,0,MAX(0,MIN(V362,ROUND($AZ362-SUMPRODUCT($V362:$AE362*($V362:$AE362&gt;0)*(($V362:$AE362&lt;V362)+($V362:$AE362=V362)*($V$3:$AE$3&gt;V$3)+($V362:$AE362=V362)*($V$3:$AE$3=V$3)*($V$2:$AE$2&lt;V$2))),2))))</f>
      </c>
      <c r="AG362" s="33">
        <f>IF(W362&lt;=0,0,MAX(0,MIN(W362,ROUND($AZ362-SUMPRODUCT($V362:$AE362*($V362:$AE362&gt;0)*(($V362:$AE362&lt;W362)+($V362:$AE362=W362)*($V$3:$AE$3&gt;W$3)+($V362:$AE362=W362)*($V$3:$AE$3=W$3)*($V$2:$AE$2&lt;W$2))),2))))</f>
      </c>
      <c r="AH362" s="33">
        <f>IF(X362&lt;=0,0,MAX(0,MIN(X362,ROUND($AZ362-SUMPRODUCT($V362:$AE362*($V362:$AE362&gt;0)*(($V362:$AE362&lt;X362)+($V362:$AE362=X362)*($V$3:$AE$3&gt;X$3)+($V362:$AE362=X362)*($V$3:$AE$3=X$3)*($V$2:$AE$2&lt;X$2))),2))))</f>
      </c>
      <c r="AI362" s="33">
        <f>IF(Y362&lt;=0,0,MAX(0,MIN(Y362,ROUND($AZ362-SUMPRODUCT($V362:$AE362*($V362:$AE362&gt;0)*(($V362:$AE362&lt;Y362)+($V362:$AE362=Y362)*($V$3:$AE$3&gt;Y$3)+($V362:$AE362=Y362)*($V$3:$AE$3=Y$3)*($V$2:$AE$2&lt;Y$2))),2))))</f>
      </c>
      <c r="AJ362" s="33">
        <f>IF(Z362&lt;=0,0,MAX(0,MIN(Z362,ROUND($AZ362-SUMPRODUCT($V362:$AE362*($V362:$AE362&gt;0)*(($V362:$AE362&lt;Z362)+($V362:$AE362=Z362)*($V$3:$AE$3&gt;Z$3)+($V362:$AE362=Z362)*($V$3:$AE$3=Z$3)*($V$2:$AE$2&lt;Z$2))),2))))</f>
      </c>
      <c r="AK362" s="33">
        <f>IF(AA362&lt;=0,0,MAX(0,MIN(AA362,ROUND($AZ362-SUMPRODUCT($V362:$AE362*($V362:$AE362&gt;0)*(($V362:$AE362&lt;AA362)+($V362:$AE362=AA362)*($V$3:$AE$3&gt;AA$3)+($V362:$AE362=AA362)*($V$3:$AE$3=AA$3)*($V$2:$AE$2&lt;AA$2))),2))))</f>
      </c>
      <c r="AL362" s="33">
        <f>IF(AB362&lt;=0,0,MAX(0,MIN(AB362,ROUND($AZ362-SUMPRODUCT($V362:$AE362*($V362:$AE362&gt;0)*(($V362:$AE362&lt;AB362)+($V362:$AE362=AB362)*($V$3:$AE$3&gt;AB$3)+($V362:$AE362=AB362)*($V$3:$AE$3=AB$3)*($V$2:$AE$2&lt;AB$2))),2))))</f>
      </c>
      <c r="AM362" s="33">
        <f>IF(AC362&lt;=0,0,MAX(0,MIN(AC362,ROUND($AZ362-SUMPRODUCT($V362:$AE362*($V362:$AE362&gt;0)*(($V362:$AE362&lt;AC362)+($V362:$AE362=AC362)*($V$3:$AE$3&gt;AC$3)+($V362:$AE362=AC362)*($V$3:$AE$3=AC$3)*($V$2:$AE$2&lt;AC$2))),2))))</f>
      </c>
      <c r="AN362" s="33">
        <f>IF(AD362&lt;=0,0,MAX(0,MIN(AD362,ROUND($AZ362-SUMPRODUCT($V362:$AE362*($V362:$AE362&gt;0)*(($V362:$AE362&lt;AD362)+($V362:$AE362=AD362)*($V$3:$AE$3&gt;AD$3)+($V362:$AE362=AD362)*($V$3:$AE$3=AD$3)*($V$2:$AE$2&lt;AD$2))),2))))</f>
      </c>
      <c r="AO362" s="33">
        <f>IF(AE362&lt;=0,0,MAX(0,MIN(AE362,ROUND($AZ362-SUMPRODUCT($V362:$AE362*($V362:$AE362&gt;0)*(($V362:$AE362&lt;AE362)+($V362:$AE362=AE362)*($V$3:$AE$3&gt;AE$3)+($V362:$AE362=AE362)*($V$3:$AE$3=AE$3)*($V$2:$AE$2&lt;AE$2))),2))))</f>
      </c>
      <c r="AP362" s="33">
        <f>ROUND(V362-AF362,2)</f>
      </c>
      <c r="AQ362" s="33">
        <f>ROUND(W362-AG362,2)</f>
      </c>
      <c r="AR362" s="33">
        <f>ROUND(X362-AH362,2)</f>
      </c>
      <c r="AS362" s="33">
        <f>ROUND(Y362-AI362,2)</f>
      </c>
      <c r="AT362" s="33">
        <f>ROUND(Z362-AJ362,2)</f>
      </c>
      <c r="AU362" s="33">
        <f>ROUND(AA362-AK362,2)</f>
      </c>
      <c r="AV362" s="33">
        <f>ROUND(AB362-AL362,2)</f>
      </c>
      <c r="AW362" s="33">
        <f>ROUND(AC362-AM362,2)</f>
      </c>
      <c r="AX362" s="33">
        <f>ROUND(AD362-AN362,2)</f>
      </c>
      <c r="AY362" s="33">
        <f>ROUND(AE362-AO362,2)</f>
      </c>
      <c r="AZ362" s="33">
        <f>ROUND(MAX(0,'Your debts'!$D$22-SUM($L362:$U362)),2)</f>
      </c>
      <c r="BA362" s="33">
        <f>ROUND(SUM($B362:$K362)-SUM($AP361:$AY361),2)</f>
      </c>
      <c r="BB362" s="33">
        <f>SUM($AP362:$AY362)</f>
      </c>
      <c r="BC362" s="33">
        <f>ROUND(SUM($L362:$U362)+SUM($AF362:$AO362),2)</f>
      </c>
    </row>
    <row r="363" spans="1:55" x14ac:dyDescent="0.25">
      <c r="A363">
        <v>356</v>
      </c>
      <c r="B363" s="33">
        <f>IF(AP362&lt;=0,0,ROUND(AP362+ROUND(AP362*V$3/12,2),2))</f>
      </c>
      <c r="C363" s="33">
        <f>IF(AQ362&lt;=0,0,ROUND(AQ362+ROUND(AQ362*W$3/12,2),2))</f>
      </c>
      <c r="D363" s="33">
        <f>IF(AR362&lt;=0,0,ROUND(AR362+ROUND(AR362*X$3/12,2),2))</f>
      </c>
      <c r="E363" s="33">
        <f>IF(AS362&lt;=0,0,ROUND(AS362+ROUND(AS362*Y$3/12,2),2))</f>
      </c>
      <c r="F363" s="33">
        <f>IF(AT362&lt;=0,0,ROUND(AT362+ROUND(AT362*Z$3/12,2),2))</f>
      </c>
      <c r="G363" s="33">
        <f>IF(AU362&lt;=0,0,ROUND(AU362+ROUND(AU362*AA$3/12,2),2))</f>
      </c>
      <c r="H363" s="33">
        <f>IF(AV362&lt;=0,0,ROUND(AV362+ROUND(AV362*AB$3/12,2),2))</f>
      </c>
      <c r="I363" s="33">
        <f>IF(AW362&lt;=0,0,ROUND(AW362+ROUND(AW362*AC$3/12,2),2))</f>
      </c>
      <c r="J363" s="33">
        <f>IF(AX362&lt;=0,0,ROUND(AX362+ROUND(AX362*AD$3/12,2),2))</f>
      </c>
      <c r="K363" s="33">
        <f>IF(AY362&lt;=0,0,ROUND(AY362+ROUND(AY362*AE$3/12,2),2))</f>
      </c>
      <c r="L363" s="33">
        <f>ROUND(MIN(MAX(0,N('Your debts'!$E$6)),B363),2)</f>
      </c>
      <c r="M363" s="33">
        <f>ROUND(MIN(MAX(0,N('Your debts'!$E$7)),C363),2)</f>
      </c>
      <c r="N363" s="33">
        <f>ROUND(MIN(MAX(0,N('Your debts'!$E$8)),D363),2)</f>
      </c>
      <c r="O363" s="33">
        <f>ROUND(MIN(MAX(0,N('Your debts'!$E$9)),E363),2)</f>
      </c>
      <c r="P363" s="33">
        <f>ROUND(MIN(MAX(0,N('Your debts'!$E$10)),F363),2)</f>
      </c>
      <c r="Q363" s="33">
        <f>ROUND(MIN(MAX(0,N('Your debts'!$E$11)),G363),2)</f>
      </c>
      <c r="R363" s="33">
        <f>ROUND(MIN(MAX(0,N('Your debts'!$E$12)),H363),2)</f>
      </c>
      <c r="S363" s="33">
        <f>ROUND(MIN(MAX(0,N('Your debts'!$E$13)),I363),2)</f>
      </c>
      <c r="T363" s="33">
        <f>ROUND(MIN(MAX(0,N('Your debts'!$E$14)),J363),2)</f>
      </c>
      <c r="U363" s="33">
        <f>ROUND(MIN(MAX(0,N('Your debts'!$E$15)),K363),2)</f>
      </c>
      <c r="V363" s="33">
        <f>ROUND(B363-L363,2)</f>
      </c>
      <c r="W363" s="33">
        <f>ROUND(C363-M363,2)</f>
      </c>
      <c r="X363" s="33">
        <f>ROUND(D363-N363,2)</f>
      </c>
      <c r="Y363" s="33">
        <f>ROUND(E363-O363,2)</f>
      </c>
      <c r="Z363" s="33">
        <f>ROUND(F363-P363,2)</f>
      </c>
      <c r="AA363" s="33">
        <f>ROUND(G363-Q363,2)</f>
      </c>
      <c r="AB363" s="33">
        <f>ROUND(H363-R363,2)</f>
      </c>
      <c r="AC363" s="33">
        <f>ROUND(I363-S363,2)</f>
      </c>
      <c r="AD363" s="33">
        <f>ROUND(J363-T363,2)</f>
      </c>
      <c r="AE363" s="33">
        <f>ROUND(K363-U363,2)</f>
      </c>
      <c r="AF363" s="33">
        <f>IF(V363&lt;=0,0,MAX(0,MIN(V363,ROUND($AZ363-SUMPRODUCT($V363:$AE363*($V363:$AE363&gt;0)*(($V363:$AE363&lt;V363)+($V363:$AE363=V363)*($V$3:$AE$3&gt;V$3)+($V363:$AE363=V363)*($V$3:$AE$3=V$3)*($V$2:$AE$2&lt;V$2))),2))))</f>
      </c>
      <c r="AG363" s="33">
        <f>IF(W363&lt;=0,0,MAX(0,MIN(W363,ROUND($AZ363-SUMPRODUCT($V363:$AE363*($V363:$AE363&gt;0)*(($V363:$AE363&lt;W363)+($V363:$AE363=W363)*($V$3:$AE$3&gt;W$3)+($V363:$AE363=W363)*($V$3:$AE$3=W$3)*($V$2:$AE$2&lt;W$2))),2))))</f>
      </c>
      <c r="AH363" s="33">
        <f>IF(X363&lt;=0,0,MAX(0,MIN(X363,ROUND($AZ363-SUMPRODUCT($V363:$AE363*($V363:$AE363&gt;0)*(($V363:$AE363&lt;X363)+($V363:$AE363=X363)*($V$3:$AE$3&gt;X$3)+($V363:$AE363=X363)*($V$3:$AE$3=X$3)*($V$2:$AE$2&lt;X$2))),2))))</f>
      </c>
      <c r="AI363" s="33">
        <f>IF(Y363&lt;=0,0,MAX(0,MIN(Y363,ROUND($AZ363-SUMPRODUCT($V363:$AE363*($V363:$AE363&gt;0)*(($V363:$AE363&lt;Y363)+($V363:$AE363=Y363)*($V$3:$AE$3&gt;Y$3)+($V363:$AE363=Y363)*($V$3:$AE$3=Y$3)*($V$2:$AE$2&lt;Y$2))),2))))</f>
      </c>
      <c r="AJ363" s="33">
        <f>IF(Z363&lt;=0,0,MAX(0,MIN(Z363,ROUND($AZ363-SUMPRODUCT($V363:$AE363*($V363:$AE363&gt;0)*(($V363:$AE363&lt;Z363)+($V363:$AE363=Z363)*($V$3:$AE$3&gt;Z$3)+($V363:$AE363=Z363)*($V$3:$AE$3=Z$3)*($V$2:$AE$2&lt;Z$2))),2))))</f>
      </c>
      <c r="AK363" s="33">
        <f>IF(AA363&lt;=0,0,MAX(0,MIN(AA363,ROUND($AZ363-SUMPRODUCT($V363:$AE363*($V363:$AE363&gt;0)*(($V363:$AE363&lt;AA363)+($V363:$AE363=AA363)*($V$3:$AE$3&gt;AA$3)+($V363:$AE363=AA363)*($V$3:$AE$3=AA$3)*($V$2:$AE$2&lt;AA$2))),2))))</f>
      </c>
      <c r="AL363" s="33">
        <f>IF(AB363&lt;=0,0,MAX(0,MIN(AB363,ROUND($AZ363-SUMPRODUCT($V363:$AE363*($V363:$AE363&gt;0)*(($V363:$AE363&lt;AB363)+($V363:$AE363=AB363)*($V$3:$AE$3&gt;AB$3)+($V363:$AE363=AB363)*($V$3:$AE$3=AB$3)*($V$2:$AE$2&lt;AB$2))),2))))</f>
      </c>
      <c r="AM363" s="33">
        <f>IF(AC363&lt;=0,0,MAX(0,MIN(AC363,ROUND($AZ363-SUMPRODUCT($V363:$AE363*($V363:$AE363&gt;0)*(($V363:$AE363&lt;AC363)+($V363:$AE363=AC363)*($V$3:$AE$3&gt;AC$3)+($V363:$AE363=AC363)*($V$3:$AE$3=AC$3)*($V$2:$AE$2&lt;AC$2))),2))))</f>
      </c>
      <c r="AN363" s="33">
        <f>IF(AD363&lt;=0,0,MAX(0,MIN(AD363,ROUND($AZ363-SUMPRODUCT($V363:$AE363*($V363:$AE363&gt;0)*(($V363:$AE363&lt;AD363)+($V363:$AE363=AD363)*($V$3:$AE$3&gt;AD$3)+($V363:$AE363=AD363)*($V$3:$AE$3=AD$3)*($V$2:$AE$2&lt;AD$2))),2))))</f>
      </c>
      <c r="AO363" s="33">
        <f>IF(AE363&lt;=0,0,MAX(0,MIN(AE363,ROUND($AZ363-SUMPRODUCT($V363:$AE363*($V363:$AE363&gt;0)*(($V363:$AE363&lt;AE363)+($V363:$AE363=AE363)*($V$3:$AE$3&gt;AE$3)+($V363:$AE363=AE363)*($V$3:$AE$3=AE$3)*($V$2:$AE$2&lt;AE$2))),2))))</f>
      </c>
      <c r="AP363" s="33">
        <f>ROUND(V363-AF363,2)</f>
      </c>
      <c r="AQ363" s="33">
        <f>ROUND(W363-AG363,2)</f>
      </c>
      <c r="AR363" s="33">
        <f>ROUND(X363-AH363,2)</f>
      </c>
      <c r="AS363" s="33">
        <f>ROUND(Y363-AI363,2)</f>
      </c>
      <c r="AT363" s="33">
        <f>ROUND(Z363-AJ363,2)</f>
      </c>
      <c r="AU363" s="33">
        <f>ROUND(AA363-AK363,2)</f>
      </c>
      <c r="AV363" s="33">
        <f>ROUND(AB363-AL363,2)</f>
      </c>
      <c r="AW363" s="33">
        <f>ROUND(AC363-AM363,2)</f>
      </c>
      <c r="AX363" s="33">
        <f>ROUND(AD363-AN363,2)</f>
      </c>
      <c r="AY363" s="33">
        <f>ROUND(AE363-AO363,2)</f>
      </c>
      <c r="AZ363" s="33">
        <f>ROUND(MAX(0,'Your debts'!$D$22-SUM($L363:$U363)),2)</f>
      </c>
      <c r="BA363" s="33">
        <f>ROUND(SUM($B363:$K363)-SUM($AP362:$AY362),2)</f>
      </c>
      <c r="BB363" s="33">
        <f>SUM($AP363:$AY363)</f>
      </c>
      <c r="BC363" s="33">
        <f>ROUND(SUM($L363:$U363)+SUM($AF363:$AO363),2)</f>
      </c>
    </row>
    <row r="364" spans="1:55" x14ac:dyDescent="0.25">
      <c r="A364">
        <v>357</v>
      </c>
      <c r="B364" s="33">
        <f>IF(AP363&lt;=0,0,ROUND(AP363+ROUND(AP363*V$3/12,2),2))</f>
      </c>
      <c r="C364" s="33">
        <f>IF(AQ363&lt;=0,0,ROUND(AQ363+ROUND(AQ363*W$3/12,2),2))</f>
      </c>
      <c r="D364" s="33">
        <f>IF(AR363&lt;=0,0,ROUND(AR363+ROUND(AR363*X$3/12,2),2))</f>
      </c>
      <c r="E364" s="33">
        <f>IF(AS363&lt;=0,0,ROUND(AS363+ROUND(AS363*Y$3/12,2),2))</f>
      </c>
      <c r="F364" s="33">
        <f>IF(AT363&lt;=0,0,ROUND(AT363+ROUND(AT363*Z$3/12,2),2))</f>
      </c>
      <c r="G364" s="33">
        <f>IF(AU363&lt;=0,0,ROUND(AU363+ROUND(AU363*AA$3/12,2),2))</f>
      </c>
      <c r="H364" s="33">
        <f>IF(AV363&lt;=0,0,ROUND(AV363+ROUND(AV363*AB$3/12,2),2))</f>
      </c>
      <c r="I364" s="33">
        <f>IF(AW363&lt;=0,0,ROUND(AW363+ROUND(AW363*AC$3/12,2),2))</f>
      </c>
      <c r="J364" s="33">
        <f>IF(AX363&lt;=0,0,ROUND(AX363+ROUND(AX363*AD$3/12,2),2))</f>
      </c>
      <c r="K364" s="33">
        <f>IF(AY363&lt;=0,0,ROUND(AY363+ROUND(AY363*AE$3/12,2),2))</f>
      </c>
      <c r="L364" s="33">
        <f>ROUND(MIN(MAX(0,N('Your debts'!$E$6)),B364),2)</f>
      </c>
      <c r="M364" s="33">
        <f>ROUND(MIN(MAX(0,N('Your debts'!$E$7)),C364),2)</f>
      </c>
      <c r="N364" s="33">
        <f>ROUND(MIN(MAX(0,N('Your debts'!$E$8)),D364),2)</f>
      </c>
      <c r="O364" s="33">
        <f>ROUND(MIN(MAX(0,N('Your debts'!$E$9)),E364),2)</f>
      </c>
      <c r="P364" s="33">
        <f>ROUND(MIN(MAX(0,N('Your debts'!$E$10)),F364),2)</f>
      </c>
      <c r="Q364" s="33">
        <f>ROUND(MIN(MAX(0,N('Your debts'!$E$11)),G364),2)</f>
      </c>
      <c r="R364" s="33">
        <f>ROUND(MIN(MAX(0,N('Your debts'!$E$12)),H364),2)</f>
      </c>
      <c r="S364" s="33">
        <f>ROUND(MIN(MAX(0,N('Your debts'!$E$13)),I364),2)</f>
      </c>
      <c r="T364" s="33">
        <f>ROUND(MIN(MAX(0,N('Your debts'!$E$14)),J364),2)</f>
      </c>
      <c r="U364" s="33">
        <f>ROUND(MIN(MAX(0,N('Your debts'!$E$15)),K364),2)</f>
      </c>
      <c r="V364" s="33">
        <f>ROUND(B364-L364,2)</f>
      </c>
      <c r="W364" s="33">
        <f>ROUND(C364-M364,2)</f>
      </c>
      <c r="X364" s="33">
        <f>ROUND(D364-N364,2)</f>
      </c>
      <c r="Y364" s="33">
        <f>ROUND(E364-O364,2)</f>
      </c>
      <c r="Z364" s="33">
        <f>ROUND(F364-P364,2)</f>
      </c>
      <c r="AA364" s="33">
        <f>ROUND(G364-Q364,2)</f>
      </c>
      <c r="AB364" s="33">
        <f>ROUND(H364-R364,2)</f>
      </c>
      <c r="AC364" s="33">
        <f>ROUND(I364-S364,2)</f>
      </c>
      <c r="AD364" s="33">
        <f>ROUND(J364-T364,2)</f>
      </c>
      <c r="AE364" s="33">
        <f>ROUND(K364-U364,2)</f>
      </c>
      <c r="AF364" s="33">
        <f>IF(V364&lt;=0,0,MAX(0,MIN(V364,ROUND($AZ364-SUMPRODUCT($V364:$AE364*($V364:$AE364&gt;0)*(($V364:$AE364&lt;V364)+($V364:$AE364=V364)*($V$3:$AE$3&gt;V$3)+($V364:$AE364=V364)*($V$3:$AE$3=V$3)*($V$2:$AE$2&lt;V$2))),2))))</f>
      </c>
      <c r="AG364" s="33">
        <f>IF(W364&lt;=0,0,MAX(0,MIN(W364,ROUND($AZ364-SUMPRODUCT($V364:$AE364*($V364:$AE364&gt;0)*(($V364:$AE364&lt;W364)+($V364:$AE364=W364)*($V$3:$AE$3&gt;W$3)+($V364:$AE364=W364)*($V$3:$AE$3=W$3)*($V$2:$AE$2&lt;W$2))),2))))</f>
      </c>
      <c r="AH364" s="33">
        <f>IF(X364&lt;=0,0,MAX(0,MIN(X364,ROUND($AZ364-SUMPRODUCT($V364:$AE364*($V364:$AE364&gt;0)*(($V364:$AE364&lt;X364)+($V364:$AE364=X364)*($V$3:$AE$3&gt;X$3)+($V364:$AE364=X364)*($V$3:$AE$3=X$3)*($V$2:$AE$2&lt;X$2))),2))))</f>
      </c>
      <c r="AI364" s="33">
        <f>IF(Y364&lt;=0,0,MAX(0,MIN(Y364,ROUND($AZ364-SUMPRODUCT($V364:$AE364*($V364:$AE364&gt;0)*(($V364:$AE364&lt;Y364)+($V364:$AE364=Y364)*($V$3:$AE$3&gt;Y$3)+($V364:$AE364=Y364)*($V$3:$AE$3=Y$3)*($V$2:$AE$2&lt;Y$2))),2))))</f>
      </c>
      <c r="AJ364" s="33">
        <f>IF(Z364&lt;=0,0,MAX(0,MIN(Z364,ROUND($AZ364-SUMPRODUCT($V364:$AE364*($V364:$AE364&gt;0)*(($V364:$AE364&lt;Z364)+($V364:$AE364=Z364)*($V$3:$AE$3&gt;Z$3)+($V364:$AE364=Z364)*($V$3:$AE$3=Z$3)*($V$2:$AE$2&lt;Z$2))),2))))</f>
      </c>
      <c r="AK364" s="33">
        <f>IF(AA364&lt;=0,0,MAX(0,MIN(AA364,ROUND($AZ364-SUMPRODUCT($V364:$AE364*($V364:$AE364&gt;0)*(($V364:$AE364&lt;AA364)+($V364:$AE364=AA364)*($V$3:$AE$3&gt;AA$3)+($V364:$AE364=AA364)*($V$3:$AE$3=AA$3)*($V$2:$AE$2&lt;AA$2))),2))))</f>
      </c>
      <c r="AL364" s="33">
        <f>IF(AB364&lt;=0,0,MAX(0,MIN(AB364,ROUND($AZ364-SUMPRODUCT($V364:$AE364*($V364:$AE364&gt;0)*(($V364:$AE364&lt;AB364)+($V364:$AE364=AB364)*($V$3:$AE$3&gt;AB$3)+($V364:$AE364=AB364)*($V$3:$AE$3=AB$3)*($V$2:$AE$2&lt;AB$2))),2))))</f>
      </c>
      <c r="AM364" s="33">
        <f>IF(AC364&lt;=0,0,MAX(0,MIN(AC364,ROUND($AZ364-SUMPRODUCT($V364:$AE364*($V364:$AE364&gt;0)*(($V364:$AE364&lt;AC364)+($V364:$AE364=AC364)*($V$3:$AE$3&gt;AC$3)+($V364:$AE364=AC364)*($V$3:$AE$3=AC$3)*($V$2:$AE$2&lt;AC$2))),2))))</f>
      </c>
      <c r="AN364" s="33">
        <f>IF(AD364&lt;=0,0,MAX(0,MIN(AD364,ROUND($AZ364-SUMPRODUCT($V364:$AE364*($V364:$AE364&gt;0)*(($V364:$AE364&lt;AD364)+($V364:$AE364=AD364)*($V$3:$AE$3&gt;AD$3)+($V364:$AE364=AD364)*($V$3:$AE$3=AD$3)*($V$2:$AE$2&lt;AD$2))),2))))</f>
      </c>
      <c r="AO364" s="33">
        <f>IF(AE364&lt;=0,0,MAX(0,MIN(AE364,ROUND($AZ364-SUMPRODUCT($V364:$AE364*($V364:$AE364&gt;0)*(($V364:$AE364&lt;AE364)+($V364:$AE364=AE364)*($V$3:$AE$3&gt;AE$3)+($V364:$AE364=AE364)*($V$3:$AE$3=AE$3)*($V$2:$AE$2&lt;AE$2))),2))))</f>
      </c>
      <c r="AP364" s="33">
        <f>ROUND(V364-AF364,2)</f>
      </c>
      <c r="AQ364" s="33">
        <f>ROUND(W364-AG364,2)</f>
      </c>
      <c r="AR364" s="33">
        <f>ROUND(X364-AH364,2)</f>
      </c>
      <c r="AS364" s="33">
        <f>ROUND(Y364-AI364,2)</f>
      </c>
      <c r="AT364" s="33">
        <f>ROUND(Z364-AJ364,2)</f>
      </c>
      <c r="AU364" s="33">
        <f>ROUND(AA364-AK364,2)</f>
      </c>
      <c r="AV364" s="33">
        <f>ROUND(AB364-AL364,2)</f>
      </c>
      <c r="AW364" s="33">
        <f>ROUND(AC364-AM364,2)</f>
      </c>
      <c r="AX364" s="33">
        <f>ROUND(AD364-AN364,2)</f>
      </c>
      <c r="AY364" s="33">
        <f>ROUND(AE364-AO364,2)</f>
      </c>
      <c r="AZ364" s="33">
        <f>ROUND(MAX(0,'Your debts'!$D$22-SUM($L364:$U364)),2)</f>
      </c>
      <c r="BA364" s="33">
        <f>ROUND(SUM($B364:$K364)-SUM($AP363:$AY363),2)</f>
      </c>
      <c r="BB364" s="33">
        <f>SUM($AP364:$AY364)</f>
      </c>
      <c r="BC364" s="33">
        <f>ROUND(SUM($L364:$U364)+SUM($AF364:$AO364),2)</f>
      </c>
    </row>
    <row r="365" spans="1:55" x14ac:dyDescent="0.25">
      <c r="A365">
        <v>358</v>
      </c>
      <c r="B365" s="33">
        <f>IF(AP364&lt;=0,0,ROUND(AP364+ROUND(AP364*V$3/12,2),2))</f>
      </c>
      <c r="C365" s="33">
        <f>IF(AQ364&lt;=0,0,ROUND(AQ364+ROUND(AQ364*W$3/12,2),2))</f>
      </c>
      <c r="D365" s="33">
        <f>IF(AR364&lt;=0,0,ROUND(AR364+ROUND(AR364*X$3/12,2),2))</f>
      </c>
      <c r="E365" s="33">
        <f>IF(AS364&lt;=0,0,ROUND(AS364+ROUND(AS364*Y$3/12,2),2))</f>
      </c>
      <c r="F365" s="33">
        <f>IF(AT364&lt;=0,0,ROUND(AT364+ROUND(AT364*Z$3/12,2),2))</f>
      </c>
      <c r="G365" s="33">
        <f>IF(AU364&lt;=0,0,ROUND(AU364+ROUND(AU364*AA$3/12,2),2))</f>
      </c>
      <c r="H365" s="33">
        <f>IF(AV364&lt;=0,0,ROUND(AV364+ROUND(AV364*AB$3/12,2),2))</f>
      </c>
      <c r="I365" s="33">
        <f>IF(AW364&lt;=0,0,ROUND(AW364+ROUND(AW364*AC$3/12,2),2))</f>
      </c>
      <c r="J365" s="33">
        <f>IF(AX364&lt;=0,0,ROUND(AX364+ROUND(AX364*AD$3/12,2),2))</f>
      </c>
      <c r="K365" s="33">
        <f>IF(AY364&lt;=0,0,ROUND(AY364+ROUND(AY364*AE$3/12,2),2))</f>
      </c>
      <c r="L365" s="33">
        <f>ROUND(MIN(MAX(0,N('Your debts'!$E$6)),B365),2)</f>
      </c>
      <c r="M365" s="33">
        <f>ROUND(MIN(MAX(0,N('Your debts'!$E$7)),C365),2)</f>
      </c>
      <c r="N365" s="33">
        <f>ROUND(MIN(MAX(0,N('Your debts'!$E$8)),D365),2)</f>
      </c>
      <c r="O365" s="33">
        <f>ROUND(MIN(MAX(0,N('Your debts'!$E$9)),E365),2)</f>
      </c>
      <c r="P365" s="33">
        <f>ROUND(MIN(MAX(0,N('Your debts'!$E$10)),F365),2)</f>
      </c>
      <c r="Q365" s="33">
        <f>ROUND(MIN(MAX(0,N('Your debts'!$E$11)),G365),2)</f>
      </c>
      <c r="R365" s="33">
        <f>ROUND(MIN(MAX(0,N('Your debts'!$E$12)),H365),2)</f>
      </c>
      <c r="S365" s="33">
        <f>ROUND(MIN(MAX(0,N('Your debts'!$E$13)),I365),2)</f>
      </c>
      <c r="T365" s="33">
        <f>ROUND(MIN(MAX(0,N('Your debts'!$E$14)),J365),2)</f>
      </c>
      <c r="U365" s="33">
        <f>ROUND(MIN(MAX(0,N('Your debts'!$E$15)),K365),2)</f>
      </c>
      <c r="V365" s="33">
        <f>ROUND(B365-L365,2)</f>
      </c>
      <c r="W365" s="33">
        <f>ROUND(C365-M365,2)</f>
      </c>
      <c r="X365" s="33">
        <f>ROUND(D365-N365,2)</f>
      </c>
      <c r="Y365" s="33">
        <f>ROUND(E365-O365,2)</f>
      </c>
      <c r="Z365" s="33">
        <f>ROUND(F365-P365,2)</f>
      </c>
      <c r="AA365" s="33">
        <f>ROUND(G365-Q365,2)</f>
      </c>
      <c r="AB365" s="33">
        <f>ROUND(H365-R365,2)</f>
      </c>
      <c r="AC365" s="33">
        <f>ROUND(I365-S365,2)</f>
      </c>
      <c r="AD365" s="33">
        <f>ROUND(J365-T365,2)</f>
      </c>
      <c r="AE365" s="33">
        <f>ROUND(K365-U365,2)</f>
      </c>
      <c r="AF365" s="33">
        <f>IF(V365&lt;=0,0,MAX(0,MIN(V365,ROUND($AZ365-SUMPRODUCT($V365:$AE365*($V365:$AE365&gt;0)*(($V365:$AE365&lt;V365)+($V365:$AE365=V365)*($V$3:$AE$3&gt;V$3)+($V365:$AE365=V365)*($V$3:$AE$3=V$3)*($V$2:$AE$2&lt;V$2))),2))))</f>
      </c>
      <c r="AG365" s="33">
        <f>IF(W365&lt;=0,0,MAX(0,MIN(W365,ROUND($AZ365-SUMPRODUCT($V365:$AE365*($V365:$AE365&gt;0)*(($V365:$AE365&lt;W365)+($V365:$AE365=W365)*($V$3:$AE$3&gt;W$3)+($V365:$AE365=W365)*($V$3:$AE$3=W$3)*($V$2:$AE$2&lt;W$2))),2))))</f>
      </c>
      <c r="AH365" s="33">
        <f>IF(X365&lt;=0,0,MAX(0,MIN(X365,ROUND($AZ365-SUMPRODUCT($V365:$AE365*($V365:$AE365&gt;0)*(($V365:$AE365&lt;X365)+($V365:$AE365=X365)*($V$3:$AE$3&gt;X$3)+($V365:$AE365=X365)*($V$3:$AE$3=X$3)*($V$2:$AE$2&lt;X$2))),2))))</f>
      </c>
      <c r="AI365" s="33">
        <f>IF(Y365&lt;=0,0,MAX(0,MIN(Y365,ROUND($AZ365-SUMPRODUCT($V365:$AE365*($V365:$AE365&gt;0)*(($V365:$AE365&lt;Y365)+($V365:$AE365=Y365)*($V$3:$AE$3&gt;Y$3)+($V365:$AE365=Y365)*($V$3:$AE$3=Y$3)*($V$2:$AE$2&lt;Y$2))),2))))</f>
      </c>
      <c r="AJ365" s="33">
        <f>IF(Z365&lt;=0,0,MAX(0,MIN(Z365,ROUND($AZ365-SUMPRODUCT($V365:$AE365*($V365:$AE365&gt;0)*(($V365:$AE365&lt;Z365)+($V365:$AE365=Z365)*($V$3:$AE$3&gt;Z$3)+($V365:$AE365=Z365)*($V$3:$AE$3=Z$3)*($V$2:$AE$2&lt;Z$2))),2))))</f>
      </c>
      <c r="AK365" s="33">
        <f>IF(AA365&lt;=0,0,MAX(0,MIN(AA365,ROUND($AZ365-SUMPRODUCT($V365:$AE365*($V365:$AE365&gt;0)*(($V365:$AE365&lt;AA365)+($V365:$AE365=AA365)*($V$3:$AE$3&gt;AA$3)+($V365:$AE365=AA365)*($V$3:$AE$3=AA$3)*($V$2:$AE$2&lt;AA$2))),2))))</f>
      </c>
      <c r="AL365" s="33">
        <f>IF(AB365&lt;=0,0,MAX(0,MIN(AB365,ROUND($AZ365-SUMPRODUCT($V365:$AE365*($V365:$AE365&gt;0)*(($V365:$AE365&lt;AB365)+($V365:$AE365=AB365)*($V$3:$AE$3&gt;AB$3)+($V365:$AE365=AB365)*($V$3:$AE$3=AB$3)*($V$2:$AE$2&lt;AB$2))),2))))</f>
      </c>
      <c r="AM365" s="33">
        <f>IF(AC365&lt;=0,0,MAX(0,MIN(AC365,ROUND($AZ365-SUMPRODUCT($V365:$AE365*($V365:$AE365&gt;0)*(($V365:$AE365&lt;AC365)+($V365:$AE365=AC365)*($V$3:$AE$3&gt;AC$3)+($V365:$AE365=AC365)*($V$3:$AE$3=AC$3)*($V$2:$AE$2&lt;AC$2))),2))))</f>
      </c>
      <c r="AN365" s="33">
        <f>IF(AD365&lt;=0,0,MAX(0,MIN(AD365,ROUND($AZ365-SUMPRODUCT($V365:$AE365*($V365:$AE365&gt;0)*(($V365:$AE365&lt;AD365)+($V365:$AE365=AD365)*($V$3:$AE$3&gt;AD$3)+($V365:$AE365=AD365)*($V$3:$AE$3=AD$3)*($V$2:$AE$2&lt;AD$2))),2))))</f>
      </c>
      <c r="AO365" s="33">
        <f>IF(AE365&lt;=0,0,MAX(0,MIN(AE365,ROUND($AZ365-SUMPRODUCT($V365:$AE365*($V365:$AE365&gt;0)*(($V365:$AE365&lt;AE365)+($V365:$AE365=AE365)*($V$3:$AE$3&gt;AE$3)+($V365:$AE365=AE365)*($V$3:$AE$3=AE$3)*($V$2:$AE$2&lt;AE$2))),2))))</f>
      </c>
      <c r="AP365" s="33">
        <f>ROUND(V365-AF365,2)</f>
      </c>
      <c r="AQ365" s="33">
        <f>ROUND(W365-AG365,2)</f>
      </c>
      <c r="AR365" s="33">
        <f>ROUND(X365-AH365,2)</f>
      </c>
      <c r="AS365" s="33">
        <f>ROUND(Y365-AI365,2)</f>
      </c>
      <c r="AT365" s="33">
        <f>ROUND(Z365-AJ365,2)</f>
      </c>
      <c r="AU365" s="33">
        <f>ROUND(AA365-AK365,2)</f>
      </c>
      <c r="AV365" s="33">
        <f>ROUND(AB365-AL365,2)</f>
      </c>
      <c r="AW365" s="33">
        <f>ROUND(AC365-AM365,2)</f>
      </c>
      <c r="AX365" s="33">
        <f>ROUND(AD365-AN365,2)</f>
      </c>
      <c r="AY365" s="33">
        <f>ROUND(AE365-AO365,2)</f>
      </c>
      <c r="AZ365" s="33">
        <f>ROUND(MAX(0,'Your debts'!$D$22-SUM($L365:$U365)),2)</f>
      </c>
      <c r="BA365" s="33">
        <f>ROUND(SUM($B365:$K365)-SUM($AP364:$AY364),2)</f>
      </c>
      <c r="BB365" s="33">
        <f>SUM($AP365:$AY365)</f>
      </c>
      <c r="BC365" s="33">
        <f>ROUND(SUM($L365:$U365)+SUM($AF365:$AO365),2)</f>
      </c>
    </row>
    <row r="366" spans="1:55" x14ac:dyDescent="0.25">
      <c r="A366">
        <v>359</v>
      </c>
      <c r="B366" s="33">
        <f>IF(AP365&lt;=0,0,ROUND(AP365+ROUND(AP365*V$3/12,2),2))</f>
      </c>
      <c r="C366" s="33">
        <f>IF(AQ365&lt;=0,0,ROUND(AQ365+ROUND(AQ365*W$3/12,2),2))</f>
      </c>
      <c r="D366" s="33">
        <f>IF(AR365&lt;=0,0,ROUND(AR365+ROUND(AR365*X$3/12,2),2))</f>
      </c>
      <c r="E366" s="33">
        <f>IF(AS365&lt;=0,0,ROUND(AS365+ROUND(AS365*Y$3/12,2),2))</f>
      </c>
      <c r="F366" s="33">
        <f>IF(AT365&lt;=0,0,ROUND(AT365+ROUND(AT365*Z$3/12,2),2))</f>
      </c>
      <c r="G366" s="33">
        <f>IF(AU365&lt;=0,0,ROUND(AU365+ROUND(AU365*AA$3/12,2),2))</f>
      </c>
      <c r="H366" s="33">
        <f>IF(AV365&lt;=0,0,ROUND(AV365+ROUND(AV365*AB$3/12,2),2))</f>
      </c>
      <c r="I366" s="33">
        <f>IF(AW365&lt;=0,0,ROUND(AW365+ROUND(AW365*AC$3/12,2),2))</f>
      </c>
      <c r="J366" s="33">
        <f>IF(AX365&lt;=0,0,ROUND(AX365+ROUND(AX365*AD$3/12,2),2))</f>
      </c>
      <c r="K366" s="33">
        <f>IF(AY365&lt;=0,0,ROUND(AY365+ROUND(AY365*AE$3/12,2),2))</f>
      </c>
      <c r="L366" s="33">
        <f>ROUND(MIN(MAX(0,N('Your debts'!$E$6)),B366),2)</f>
      </c>
      <c r="M366" s="33">
        <f>ROUND(MIN(MAX(0,N('Your debts'!$E$7)),C366),2)</f>
      </c>
      <c r="N366" s="33">
        <f>ROUND(MIN(MAX(0,N('Your debts'!$E$8)),D366),2)</f>
      </c>
      <c r="O366" s="33">
        <f>ROUND(MIN(MAX(0,N('Your debts'!$E$9)),E366),2)</f>
      </c>
      <c r="P366" s="33">
        <f>ROUND(MIN(MAX(0,N('Your debts'!$E$10)),F366),2)</f>
      </c>
      <c r="Q366" s="33">
        <f>ROUND(MIN(MAX(0,N('Your debts'!$E$11)),G366),2)</f>
      </c>
      <c r="R366" s="33">
        <f>ROUND(MIN(MAX(0,N('Your debts'!$E$12)),H366),2)</f>
      </c>
      <c r="S366" s="33">
        <f>ROUND(MIN(MAX(0,N('Your debts'!$E$13)),I366),2)</f>
      </c>
      <c r="T366" s="33">
        <f>ROUND(MIN(MAX(0,N('Your debts'!$E$14)),J366),2)</f>
      </c>
      <c r="U366" s="33">
        <f>ROUND(MIN(MAX(0,N('Your debts'!$E$15)),K366),2)</f>
      </c>
      <c r="V366" s="33">
        <f>ROUND(B366-L366,2)</f>
      </c>
      <c r="W366" s="33">
        <f>ROUND(C366-M366,2)</f>
      </c>
      <c r="X366" s="33">
        <f>ROUND(D366-N366,2)</f>
      </c>
      <c r="Y366" s="33">
        <f>ROUND(E366-O366,2)</f>
      </c>
      <c r="Z366" s="33">
        <f>ROUND(F366-P366,2)</f>
      </c>
      <c r="AA366" s="33">
        <f>ROUND(G366-Q366,2)</f>
      </c>
      <c r="AB366" s="33">
        <f>ROUND(H366-R366,2)</f>
      </c>
      <c r="AC366" s="33">
        <f>ROUND(I366-S366,2)</f>
      </c>
      <c r="AD366" s="33">
        <f>ROUND(J366-T366,2)</f>
      </c>
      <c r="AE366" s="33">
        <f>ROUND(K366-U366,2)</f>
      </c>
      <c r="AF366" s="33">
        <f>IF(V366&lt;=0,0,MAX(0,MIN(V366,ROUND($AZ366-SUMPRODUCT($V366:$AE366*($V366:$AE366&gt;0)*(($V366:$AE366&lt;V366)+($V366:$AE366=V366)*($V$3:$AE$3&gt;V$3)+($V366:$AE366=V366)*($V$3:$AE$3=V$3)*($V$2:$AE$2&lt;V$2))),2))))</f>
      </c>
      <c r="AG366" s="33">
        <f>IF(W366&lt;=0,0,MAX(0,MIN(W366,ROUND($AZ366-SUMPRODUCT($V366:$AE366*($V366:$AE366&gt;0)*(($V366:$AE366&lt;W366)+($V366:$AE366=W366)*($V$3:$AE$3&gt;W$3)+($V366:$AE366=W366)*($V$3:$AE$3=W$3)*($V$2:$AE$2&lt;W$2))),2))))</f>
      </c>
      <c r="AH366" s="33">
        <f>IF(X366&lt;=0,0,MAX(0,MIN(X366,ROUND($AZ366-SUMPRODUCT($V366:$AE366*($V366:$AE366&gt;0)*(($V366:$AE366&lt;X366)+($V366:$AE366=X366)*($V$3:$AE$3&gt;X$3)+($V366:$AE366=X366)*($V$3:$AE$3=X$3)*($V$2:$AE$2&lt;X$2))),2))))</f>
      </c>
      <c r="AI366" s="33">
        <f>IF(Y366&lt;=0,0,MAX(0,MIN(Y366,ROUND($AZ366-SUMPRODUCT($V366:$AE366*($V366:$AE366&gt;0)*(($V366:$AE366&lt;Y366)+($V366:$AE366=Y366)*($V$3:$AE$3&gt;Y$3)+($V366:$AE366=Y366)*($V$3:$AE$3=Y$3)*($V$2:$AE$2&lt;Y$2))),2))))</f>
      </c>
      <c r="AJ366" s="33">
        <f>IF(Z366&lt;=0,0,MAX(0,MIN(Z366,ROUND($AZ366-SUMPRODUCT($V366:$AE366*($V366:$AE366&gt;0)*(($V366:$AE366&lt;Z366)+($V366:$AE366=Z366)*($V$3:$AE$3&gt;Z$3)+($V366:$AE366=Z366)*($V$3:$AE$3=Z$3)*($V$2:$AE$2&lt;Z$2))),2))))</f>
      </c>
      <c r="AK366" s="33">
        <f>IF(AA366&lt;=0,0,MAX(0,MIN(AA366,ROUND($AZ366-SUMPRODUCT($V366:$AE366*($V366:$AE366&gt;0)*(($V366:$AE366&lt;AA366)+($V366:$AE366=AA366)*($V$3:$AE$3&gt;AA$3)+($V366:$AE366=AA366)*($V$3:$AE$3=AA$3)*($V$2:$AE$2&lt;AA$2))),2))))</f>
      </c>
      <c r="AL366" s="33">
        <f>IF(AB366&lt;=0,0,MAX(0,MIN(AB366,ROUND($AZ366-SUMPRODUCT($V366:$AE366*($V366:$AE366&gt;0)*(($V366:$AE366&lt;AB366)+($V366:$AE366=AB366)*($V$3:$AE$3&gt;AB$3)+($V366:$AE366=AB366)*($V$3:$AE$3=AB$3)*($V$2:$AE$2&lt;AB$2))),2))))</f>
      </c>
      <c r="AM366" s="33">
        <f>IF(AC366&lt;=0,0,MAX(0,MIN(AC366,ROUND($AZ366-SUMPRODUCT($V366:$AE366*($V366:$AE366&gt;0)*(($V366:$AE366&lt;AC366)+($V366:$AE366=AC366)*($V$3:$AE$3&gt;AC$3)+($V366:$AE366=AC366)*($V$3:$AE$3=AC$3)*($V$2:$AE$2&lt;AC$2))),2))))</f>
      </c>
      <c r="AN366" s="33">
        <f>IF(AD366&lt;=0,0,MAX(0,MIN(AD366,ROUND($AZ366-SUMPRODUCT($V366:$AE366*($V366:$AE366&gt;0)*(($V366:$AE366&lt;AD366)+($V366:$AE366=AD366)*($V$3:$AE$3&gt;AD$3)+($V366:$AE366=AD366)*($V$3:$AE$3=AD$3)*($V$2:$AE$2&lt;AD$2))),2))))</f>
      </c>
      <c r="AO366" s="33">
        <f>IF(AE366&lt;=0,0,MAX(0,MIN(AE366,ROUND($AZ366-SUMPRODUCT($V366:$AE366*($V366:$AE366&gt;0)*(($V366:$AE366&lt;AE366)+($V366:$AE366=AE366)*($V$3:$AE$3&gt;AE$3)+($V366:$AE366=AE366)*($V$3:$AE$3=AE$3)*($V$2:$AE$2&lt;AE$2))),2))))</f>
      </c>
      <c r="AP366" s="33">
        <f>ROUND(V366-AF366,2)</f>
      </c>
      <c r="AQ366" s="33">
        <f>ROUND(W366-AG366,2)</f>
      </c>
      <c r="AR366" s="33">
        <f>ROUND(X366-AH366,2)</f>
      </c>
      <c r="AS366" s="33">
        <f>ROUND(Y366-AI366,2)</f>
      </c>
      <c r="AT366" s="33">
        <f>ROUND(Z366-AJ366,2)</f>
      </c>
      <c r="AU366" s="33">
        <f>ROUND(AA366-AK366,2)</f>
      </c>
      <c r="AV366" s="33">
        <f>ROUND(AB366-AL366,2)</f>
      </c>
      <c r="AW366" s="33">
        <f>ROUND(AC366-AM366,2)</f>
      </c>
      <c r="AX366" s="33">
        <f>ROUND(AD366-AN366,2)</f>
      </c>
      <c r="AY366" s="33">
        <f>ROUND(AE366-AO366,2)</f>
      </c>
      <c r="AZ366" s="33">
        <f>ROUND(MAX(0,'Your debts'!$D$22-SUM($L366:$U366)),2)</f>
      </c>
      <c r="BA366" s="33">
        <f>ROUND(SUM($B366:$K366)-SUM($AP365:$AY365),2)</f>
      </c>
      <c r="BB366" s="33">
        <f>SUM($AP366:$AY366)</f>
      </c>
      <c r="BC366" s="33">
        <f>ROUND(SUM($L366:$U366)+SUM($AF366:$AO366),2)</f>
      </c>
    </row>
    <row r="367" spans="1:55" x14ac:dyDescent="0.25">
      <c r="A367">
        <v>360</v>
      </c>
      <c r="B367" s="33">
        <f>IF(AP366&lt;=0,0,ROUND(AP366+ROUND(AP366*V$3/12,2),2))</f>
      </c>
      <c r="C367" s="33">
        <f>IF(AQ366&lt;=0,0,ROUND(AQ366+ROUND(AQ366*W$3/12,2),2))</f>
      </c>
      <c r="D367" s="33">
        <f>IF(AR366&lt;=0,0,ROUND(AR366+ROUND(AR366*X$3/12,2),2))</f>
      </c>
      <c r="E367" s="33">
        <f>IF(AS366&lt;=0,0,ROUND(AS366+ROUND(AS366*Y$3/12,2),2))</f>
      </c>
      <c r="F367" s="33">
        <f>IF(AT366&lt;=0,0,ROUND(AT366+ROUND(AT366*Z$3/12,2),2))</f>
      </c>
      <c r="G367" s="33">
        <f>IF(AU366&lt;=0,0,ROUND(AU366+ROUND(AU366*AA$3/12,2),2))</f>
      </c>
      <c r="H367" s="33">
        <f>IF(AV366&lt;=0,0,ROUND(AV366+ROUND(AV366*AB$3/12,2),2))</f>
      </c>
      <c r="I367" s="33">
        <f>IF(AW366&lt;=0,0,ROUND(AW366+ROUND(AW366*AC$3/12,2),2))</f>
      </c>
      <c r="J367" s="33">
        <f>IF(AX366&lt;=0,0,ROUND(AX366+ROUND(AX366*AD$3/12,2),2))</f>
      </c>
      <c r="K367" s="33">
        <f>IF(AY366&lt;=0,0,ROUND(AY366+ROUND(AY366*AE$3/12,2),2))</f>
      </c>
      <c r="L367" s="33">
        <f>ROUND(MIN(MAX(0,N('Your debts'!$E$6)),B367),2)</f>
      </c>
      <c r="M367" s="33">
        <f>ROUND(MIN(MAX(0,N('Your debts'!$E$7)),C367),2)</f>
      </c>
      <c r="N367" s="33">
        <f>ROUND(MIN(MAX(0,N('Your debts'!$E$8)),D367),2)</f>
      </c>
      <c r="O367" s="33">
        <f>ROUND(MIN(MAX(0,N('Your debts'!$E$9)),E367),2)</f>
      </c>
      <c r="P367" s="33">
        <f>ROUND(MIN(MAX(0,N('Your debts'!$E$10)),F367),2)</f>
      </c>
      <c r="Q367" s="33">
        <f>ROUND(MIN(MAX(0,N('Your debts'!$E$11)),G367),2)</f>
      </c>
      <c r="R367" s="33">
        <f>ROUND(MIN(MAX(0,N('Your debts'!$E$12)),H367),2)</f>
      </c>
      <c r="S367" s="33">
        <f>ROUND(MIN(MAX(0,N('Your debts'!$E$13)),I367),2)</f>
      </c>
      <c r="T367" s="33">
        <f>ROUND(MIN(MAX(0,N('Your debts'!$E$14)),J367),2)</f>
      </c>
      <c r="U367" s="33">
        <f>ROUND(MIN(MAX(0,N('Your debts'!$E$15)),K367),2)</f>
      </c>
      <c r="V367" s="33">
        <f>ROUND(B367-L367,2)</f>
      </c>
      <c r="W367" s="33">
        <f>ROUND(C367-M367,2)</f>
      </c>
      <c r="X367" s="33">
        <f>ROUND(D367-N367,2)</f>
      </c>
      <c r="Y367" s="33">
        <f>ROUND(E367-O367,2)</f>
      </c>
      <c r="Z367" s="33">
        <f>ROUND(F367-P367,2)</f>
      </c>
      <c r="AA367" s="33">
        <f>ROUND(G367-Q367,2)</f>
      </c>
      <c r="AB367" s="33">
        <f>ROUND(H367-R367,2)</f>
      </c>
      <c r="AC367" s="33">
        <f>ROUND(I367-S367,2)</f>
      </c>
      <c r="AD367" s="33">
        <f>ROUND(J367-T367,2)</f>
      </c>
      <c r="AE367" s="33">
        <f>ROUND(K367-U367,2)</f>
      </c>
      <c r="AF367" s="33">
        <f>IF(V367&lt;=0,0,MAX(0,MIN(V367,ROUND($AZ367-SUMPRODUCT($V367:$AE367*($V367:$AE367&gt;0)*(($V367:$AE367&lt;V367)+($V367:$AE367=V367)*($V$3:$AE$3&gt;V$3)+($V367:$AE367=V367)*($V$3:$AE$3=V$3)*($V$2:$AE$2&lt;V$2))),2))))</f>
      </c>
      <c r="AG367" s="33">
        <f>IF(W367&lt;=0,0,MAX(0,MIN(W367,ROUND($AZ367-SUMPRODUCT($V367:$AE367*($V367:$AE367&gt;0)*(($V367:$AE367&lt;W367)+($V367:$AE367=W367)*($V$3:$AE$3&gt;W$3)+($V367:$AE367=W367)*($V$3:$AE$3=W$3)*($V$2:$AE$2&lt;W$2))),2))))</f>
      </c>
      <c r="AH367" s="33">
        <f>IF(X367&lt;=0,0,MAX(0,MIN(X367,ROUND($AZ367-SUMPRODUCT($V367:$AE367*($V367:$AE367&gt;0)*(($V367:$AE367&lt;X367)+($V367:$AE367=X367)*($V$3:$AE$3&gt;X$3)+($V367:$AE367=X367)*($V$3:$AE$3=X$3)*($V$2:$AE$2&lt;X$2))),2))))</f>
      </c>
      <c r="AI367" s="33">
        <f>IF(Y367&lt;=0,0,MAX(0,MIN(Y367,ROUND($AZ367-SUMPRODUCT($V367:$AE367*($V367:$AE367&gt;0)*(($V367:$AE367&lt;Y367)+($V367:$AE367=Y367)*($V$3:$AE$3&gt;Y$3)+($V367:$AE367=Y367)*($V$3:$AE$3=Y$3)*($V$2:$AE$2&lt;Y$2))),2))))</f>
      </c>
      <c r="AJ367" s="33">
        <f>IF(Z367&lt;=0,0,MAX(0,MIN(Z367,ROUND($AZ367-SUMPRODUCT($V367:$AE367*($V367:$AE367&gt;0)*(($V367:$AE367&lt;Z367)+($V367:$AE367=Z367)*($V$3:$AE$3&gt;Z$3)+($V367:$AE367=Z367)*($V$3:$AE$3=Z$3)*($V$2:$AE$2&lt;Z$2))),2))))</f>
      </c>
      <c r="AK367" s="33">
        <f>IF(AA367&lt;=0,0,MAX(0,MIN(AA367,ROUND($AZ367-SUMPRODUCT($V367:$AE367*($V367:$AE367&gt;0)*(($V367:$AE367&lt;AA367)+($V367:$AE367=AA367)*($V$3:$AE$3&gt;AA$3)+($V367:$AE367=AA367)*($V$3:$AE$3=AA$3)*($V$2:$AE$2&lt;AA$2))),2))))</f>
      </c>
      <c r="AL367" s="33">
        <f>IF(AB367&lt;=0,0,MAX(0,MIN(AB367,ROUND($AZ367-SUMPRODUCT($V367:$AE367*($V367:$AE367&gt;0)*(($V367:$AE367&lt;AB367)+($V367:$AE367=AB367)*($V$3:$AE$3&gt;AB$3)+($V367:$AE367=AB367)*($V$3:$AE$3=AB$3)*($V$2:$AE$2&lt;AB$2))),2))))</f>
      </c>
      <c r="AM367" s="33">
        <f>IF(AC367&lt;=0,0,MAX(0,MIN(AC367,ROUND($AZ367-SUMPRODUCT($V367:$AE367*($V367:$AE367&gt;0)*(($V367:$AE367&lt;AC367)+($V367:$AE367=AC367)*($V$3:$AE$3&gt;AC$3)+($V367:$AE367=AC367)*($V$3:$AE$3=AC$3)*($V$2:$AE$2&lt;AC$2))),2))))</f>
      </c>
      <c r="AN367" s="33">
        <f>IF(AD367&lt;=0,0,MAX(0,MIN(AD367,ROUND($AZ367-SUMPRODUCT($V367:$AE367*($V367:$AE367&gt;0)*(($V367:$AE367&lt;AD367)+($V367:$AE367=AD367)*($V$3:$AE$3&gt;AD$3)+($V367:$AE367=AD367)*($V$3:$AE$3=AD$3)*($V$2:$AE$2&lt;AD$2))),2))))</f>
      </c>
      <c r="AO367" s="33">
        <f>IF(AE367&lt;=0,0,MAX(0,MIN(AE367,ROUND($AZ367-SUMPRODUCT($V367:$AE367*($V367:$AE367&gt;0)*(($V367:$AE367&lt;AE367)+($V367:$AE367=AE367)*($V$3:$AE$3&gt;AE$3)+($V367:$AE367=AE367)*($V$3:$AE$3=AE$3)*($V$2:$AE$2&lt;AE$2))),2))))</f>
      </c>
      <c r="AP367" s="33">
        <f>ROUND(V367-AF367,2)</f>
      </c>
      <c r="AQ367" s="33">
        <f>ROUND(W367-AG367,2)</f>
      </c>
      <c r="AR367" s="33">
        <f>ROUND(X367-AH367,2)</f>
      </c>
      <c r="AS367" s="33">
        <f>ROUND(Y367-AI367,2)</f>
      </c>
      <c r="AT367" s="33">
        <f>ROUND(Z367-AJ367,2)</f>
      </c>
      <c r="AU367" s="33">
        <f>ROUND(AA367-AK367,2)</f>
      </c>
      <c r="AV367" s="33">
        <f>ROUND(AB367-AL367,2)</f>
      </c>
      <c r="AW367" s="33">
        <f>ROUND(AC367-AM367,2)</f>
      </c>
      <c r="AX367" s="33">
        <f>ROUND(AD367-AN367,2)</f>
      </c>
      <c r="AY367" s="33">
        <f>ROUND(AE367-AO367,2)</f>
      </c>
      <c r="AZ367" s="33">
        <f>ROUND(MAX(0,'Your debts'!$D$22-SUM($L367:$U367)),2)</f>
      </c>
      <c r="BA367" s="33">
        <f>ROUND(SUM($B367:$K367)-SUM($AP366:$AY366),2)</f>
      </c>
      <c r="BB367" s="33">
        <f>SUM($AP367:$AY367)</f>
      </c>
      <c r="BC367" s="33">
        <f>ROUND(SUM($L367:$U367)+SUM($AF367:$AO367),2)</f>
      </c>
    </row>
    <row r="368" spans="1:55" x14ac:dyDescent="0.25">
      <c r="A368">
        <v>361</v>
      </c>
      <c r="B368" s="33">
        <f>IF(AP367&lt;=0,0,ROUND(AP367+ROUND(AP367*V$3/12,2),2))</f>
      </c>
      <c r="C368" s="33">
        <f>IF(AQ367&lt;=0,0,ROUND(AQ367+ROUND(AQ367*W$3/12,2),2))</f>
      </c>
      <c r="D368" s="33">
        <f>IF(AR367&lt;=0,0,ROUND(AR367+ROUND(AR367*X$3/12,2),2))</f>
      </c>
      <c r="E368" s="33">
        <f>IF(AS367&lt;=0,0,ROUND(AS367+ROUND(AS367*Y$3/12,2),2))</f>
      </c>
      <c r="F368" s="33">
        <f>IF(AT367&lt;=0,0,ROUND(AT367+ROUND(AT367*Z$3/12,2),2))</f>
      </c>
      <c r="G368" s="33">
        <f>IF(AU367&lt;=0,0,ROUND(AU367+ROUND(AU367*AA$3/12,2),2))</f>
      </c>
      <c r="H368" s="33">
        <f>IF(AV367&lt;=0,0,ROUND(AV367+ROUND(AV367*AB$3/12,2),2))</f>
      </c>
      <c r="I368" s="33">
        <f>IF(AW367&lt;=0,0,ROUND(AW367+ROUND(AW367*AC$3/12,2),2))</f>
      </c>
      <c r="J368" s="33">
        <f>IF(AX367&lt;=0,0,ROUND(AX367+ROUND(AX367*AD$3/12,2),2))</f>
      </c>
      <c r="K368" s="33">
        <f>IF(AY367&lt;=0,0,ROUND(AY367+ROUND(AY367*AE$3/12,2),2))</f>
      </c>
      <c r="L368" s="33">
        <f>ROUND(MIN(MAX(0,N('Your debts'!$E$6)),B368),2)</f>
      </c>
      <c r="M368" s="33">
        <f>ROUND(MIN(MAX(0,N('Your debts'!$E$7)),C368),2)</f>
      </c>
      <c r="N368" s="33">
        <f>ROUND(MIN(MAX(0,N('Your debts'!$E$8)),D368),2)</f>
      </c>
      <c r="O368" s="33">
        <f>ROUND(MIN(MAX(0,N('Your debts'!$E$9)),E368),2)</f>
      </c>
      <c r="P368" s="33">
        <f>ROUND(MIN(MAX(0,N('Your debts'!$E$10)),F368),2)</f>
      </c>
      <c r="Q368" s="33">
        <f>ROUND(MIN(MAX(0,N('Your debts'!$E$11)),G368),2)</f>
      </c>
      <c r="R368" s="33">
        <f>ROUND(MIN(MAX(0,N('Your debts'!$E$12)),H368),2)</f>
      </c>
      <c r="S368" s="33">
        <f>ROUND(MIN(MAX(0,N('Your debts'!$E$13)),I368),2)</f>
      </c>
      <c r="T368" s="33">
        <f>ROUND(MIN(MAX(0,N('Your debts'!$E$14)),J368),2)</f>
      </c>
      <c r="U368" s="33">
        <f>ROUND(MIN(MAX(0,N('Your debts'!$E$15)),K368),2)</f>
      </c>
      <c r="V368" s="33">
        <f>ROUND(B368-L368,2)</f>
      </c>
      <c r="W368" s="33">
        <f>ROUND(C368-M368,2)</f>
      </c>
      <c r="X368" s="33">
        <f>ROUND(D368-N368,2)</f>
      </c>
      <c r="Y368" s="33">
        <f>ROUND(E368-O368,2)</f>
      </c>
      <c r="Z368" s="33">
        <f>ROUND(F368-P368,2)</f>
      </c>
      <c r="AA368" s="33">
        <f>ROUND(G368-Q368,2)</f>
      </c>
      <c r="AB368" s="33">
        <f>ROUND(H368-R368,2)</f>
      </c>
      <c r="AC368" s="33">
        <f>ROUND(I368-S368,2)</f>
      </c>
      <c r="AD368" s="33">
        <f>ROUND(J368-T368,2)</f>
      </c>
      <c r="AE368" s="33">
        <f>ROUND(K368-U368,2)</f>
      </c>
      <c r="AF368" s="33">
        <f>IF(V368&lt;=0,0,MAX(0,MIN(V368,ROUND($AZ368-SUMPRODUCT($V368:$AE368*($V368:$AE368&gt;0)*(($V368:$AE368&lt;V368)+($V368:$AE368=V368)*($V$3:$AE$3&gt;V$3)+($V368:$AE368=V368)*($V$3:$AE$3=V$3)*($V$2:$AE$2&lt;V$2))),2))))</f>
      </c>
      <c r="AG368" s="33">
        <f>IF(W368&lt;=0,0,MAX(0,MIN(W368,ROUND($AZ368-SUMPRODUCT($V368:$AE368*($V368:$AE368&gt;0)*(($V368:$AE368&lt;W368)+($V368:$AE368=W368)*($V$3:$AE$3&gt;W$3)+($V368:$AE368=W368)*($V$3:$AE$3=W$3)*($V$2:$AE$2&lt;W$2))),2))))</f>
      </c>
      <c r="AH368" s="33">
        <f>IF(X368&lt;=0,0,MAX(0,MIN(X368,ROUND($AZ368-SUMPRODUCT($V368:$AE368*($V368:$AE368&gt;0)*(($V368:$AE368&lt;X368)+($V368:$AE368=X368)*($V$3:$AE$3&gt;X$3)+($V368:$AE368=X368)*($V$3:$AE$3=X$3)*($V$2:$AE$2&lt;X$2))),2))))</f>
      </c>
      <c r="AI368" s="33">
        <f>IF(Y368&lt;=0,0,MAX(0,MIN(Y368,ROUND($AZ368-SUMPRODUCT($V368:$AE368*($V368:$AE368&gt;0)*(($V368:$AE368&lt;Y368)+($V368:$AE368=Y368)*($V$3:$AE$3&gt;Y$3)+($V368:$AE368=Y368)*($V$3:$AE$3=Y$3)*($V$2:$AE$2&lt;Y$2))),2))))</f>
      </c>
      <c r="AJ368" s="33">
        <f>IF(Z368&lt;=0,0,MAX(0,MIN(Z368,ROUND($AZ368-SUMPRODUCT($V368:$AE368*($V368:$AE368&gt;0)*(($V368:$AE368&lt;Z368)+($V368:$AE368=Z368)*($V$3:$AE$3&gt;Z$3)+($V368:$AE368=Z368)*($V$3:$AE$3=Z$3)*($V$2:$AE$2&lt;Z$2))),2))))</f>
      </c>
      <c r="AK368" s="33">
        <f>IF(AA368&lt;=0,0,MAX(0,MIN(AA368,ROUND($AZ368-SUMPRODUCT($V368:$AE368*($V368:$AE368&gt;0)*(($V368:$AE368&lt;AA368)+($V368:$AE368=AA368)*($V$3:$AE$3&gt;AA$3)+($V368:$AE368=AA368)*($V$3:$AE$3=AA$3)*($V$2:$AE$2&lt;AA$2))),2))))</f>
      </c>
      <c r="AL368" s="33">
        <f>IF(AB368&lt;=0,0,MAX(0,MIN(AB368,ROUND($AZ368-SUMPRODUCT($V368:$AE368*($V368:$AE368&gt;0)*(($V368:$AE368&lt;AB368)+($V368:$AE368=AB368)*($V$3:$AE$3&gt;AB$3)+($V368:$AE368=AB368)*($V$3:$AE$3=AB$3)*($V$2:$AE$2&lt;AB$2))),2))))</f>
      </c>
      <c r="AM368" s="33">
        <f>IF(AC368&lt;=0,0,MAX(0,MIN(AC368,ROUND($AZ368-SUMPRODUCT($V368:$AE368*($V368:$AE368&gt;0)*(($V368:$AE368&lt;AC368)+($V368:$AE368=AC368)*($V$3:$AE$3&gt;AC$3)+($V368:$AE368=AC368)*($V$3:$AE$3=AC$3)*($V$2:$AE$2&lt;AC$2))),2))))</f>
      </c>
      <c r="AN368" s="33">
        <f>IF(AD368&lt;=0,0,MAX(0,MIN(AD368,ROUND($AZ368-SUMPRODUCT($V368:$AE368*($V368:$AE368&gt;0)*(($V368:$AE368&lt;AD368)+($V368:$AE368=AD368)*($V$3:$AE$3&gt;AD$3)+($V368:$AE368=AD368)*($V$3:$AE$3=AD$3)*($V$2:$AE$2&lt;AD$2))),2))))</f>
      </c>
      <c r="AO368" s="33">
        <f>IF(AE368&lt;=0,0,MAX(0,MIN(AE368,ROUND($AZ368-SUMPRODUCT($V368:$AE368*($V368:$AE368&gt;0)*(($V368:$AE368&lt;AE368)+($V368:$AE368=AE368)*($V$3:$AE$3&gt;AE$3)+($V368:$AE368=AE368)*($V$3:$AE$3=AE$3)*($V$2:$AE$2&lt;AE$2))),2))))</f>
      </c>
      <c r="AP368" s="33">
        <f>ROUND(V368-AF368,2)</f>
      </c>
      <c r="AQ368" s="33">
        <f>ROUND(W368-AG368,2)</f>
      </c>
      <c r="AR368" s="33">
        <f>ROUND(X368-AH368,2)</f>
      </c>
      <c r="AS368" s="33">
        <f>ROUND(Y368-AI368,2)</f>
      </c>
      <c r="AT368" s="33">
        <f>ROUND(Z368-AJ368,2)</f>
      </c>
      <c r="AU368" s="33">
        <f>ROUND(AA368-AK368,2)</f>
      </c>
      <c r="AV368" s="33">
        <f>ROUND(AB368-AL368,2)</f>
      </c>
      <c r="AW368" s="33">
        <f>ROUND(AC368-AM368,2)</f>
      </c>
      <c r="AX368" s="33">
        <f>ROUND(AD368-AN368,2)</f>
      </c>
      <c r="AY368" s="33">
        <f>ROUND(AE368-AO368,2)</f>
      </c>
      <c r="AZ368" s="33">
        <f>ROUND(MAX(0,'Your debts'!$D$22-SUM($L368:$U368)),2)</f>
      </c>
      <c r="BA368" s="33">
        <f>ROUND(SUM($B368:$K368)-SUM($AP367:$AY367),2)</f>
      </c>
      <c r="BB368" s="33">
        <f>SUM($AP368:$AY368)</f>
      </c>
      <c r="BC368" s="33">
        <f>ROUND(SUM($L368:$U368)+SUM($AF368:$AO368),2)</f>
      </c>
    </row>
    <row r="369" spans="1:55" x14ac:dyDescent="0.25">
      <c r="A369">
        <v>362</v>
      </c>
      <c r="B369" s="33">
        <f>IF(AP368&lt;=0,0,ROUND(AP368+ROUND(AP368*V$3/12,2),2))</f>
      </c>
      <c r="C369" s="33">
        <f>IF(AQ368&lt;=0,0,ROUND(AQ368+ROUND(AQ368*W$3/12,2),2))</f>
      </c>
      <c r="D369" s="33">
        <f>IF(AR368&lt;=0,0,ROUND(AR368+ROUND(AR368*X$3/12,2),2))</f>
      </c>
      <c r="E369" s="33">
        <f>IF(AS368&lt;=0,0,ROUND(AS368+ROUND(AS368*Y$3/12,2),2))</f>
      </c>
      <c r="F369" s="33">
        <f>IF(AT368&lt;=0,0,ROUND(AT368+ROUND(AT368*Z$3/12,2),2))</f>
      </c>
      <c r="G369" s="33">
        <f>IF(AU368&lt;=0,0,ROUND(AU368+ROUND(AU368*AA$3/12,2),2))</f>
      </c>
      <c r="H369" s="33">
        <f>IF(AV368&lt;=0,0,ROUND(AV368+ROUND(AV368*AB$3/12,2),2))</f>
      </c>
      <c r="I369" s="33">
        <f>IF(AW368&lt;=0,0,ROUND(AW368+ROUND(AW368*AC$3/12,2),2))</f>
      </c>
      <c r="J369" s="33">
        <f>IF(AX368&lt;=0,0,ROUND(AX368+ROUND(AX368*AD$3/12,2),2))</f>
      </c>
      <c r="K369" s="33">
        <f>IF(AY368&lt;=0,0,ROUND(AY368+ROUND(AY368*AE$3/12,2),2))</f>
      </c>
      <c r="L369" s="33">
        <f>ROUND(MIN(MAX(0,N('Your debts'!$E$6)),B369),2)</f>
      </c>
      <c r="M369" s="33">
        <f>ROUND(MIN(MAX(0,N('Your debts'!$E$7)),C369),2)</f>
      </c>
      <c r="N369" s="33">
        <f>ROUND(MIN(MAX(0,N('Your debts'!$E$8)),D369),2)</f>
      </c>
      <c r="O369" s="33">
        <f>ROUND(MIN(MAX(0,N('Your debts'!$E$9)),E369),2)</f>
      </c>
      <c r="P369" s="33">
        <f>ROUND(MIN(MAX(0,N('Your debts'!$E$10)),F369),2)</f>
      </c>
      <c r="Q369" s="33">
        <f>ROUND(MIN(MAX(0,N('Your debts'!$E$11)),G369),2)</f>
      </c>
      <c r="R369" s="33">
        <f>ROUND(MIN(MAX(0,N('Your debts'!$E$12)),H369),2)</f>
      </c>
      <c r="S369" s="33">
        <f>ROUND(MIN(MAX(0,N('Your debts'!$E$13)),I369),2)</f>
      </c>
      <c r="T369" s="33">
        <f>ROUND(MIN(MAX(0,N('Your debts'!$E$14)),J369),2)</f>
      </c>
      <c r="U369" s="33">
        <f>ROUND(MIN(MAX(0,N('Your debts'!$E$15)),K369),2)</f>
      </c>
      <c r="V369" s="33">
        <f>ROUND(B369-L369,2)</f>
      </c>
      <c r="W369" s="33">
        <f>ROUND(C369-M369,2)</f>
      </c>
      <c r="X369" s="33">
        <f>ROUND(D369-N369,2)</f>
      </c>
      <c r="Y369" s="33">
        <f>ROUND(E369-O369,2)</f>
      </c>
      <c r="Z369" s="33">
        <f>ROUND(F369-P369,2)</f>
      </c>
      <c r="AA369" s="33">
        <f>ROUND(G369-Q369,2)</f>
      </c>
      <c r="AB369" s="33">
        <f>ROUND(H369-R369,2)</f>
      </c>
      <c r="AC369" s="33">
        <f>ROUND(I369-S369,2)</f>
      </c>
      <c r="AD369" s="33">
        <f>ROUND(J369-T369,2)</f>
      </c>
      <c r="AE369" s="33">
        <f>ROUND(K369-U369,2)</f>
      </c>
      <c r="AF369" s="33">
        <f>IF(V369&lt;=0,0,MAX(0,MIN(V369,ROUND($AZ369-SUMPRODUCT($V369:$AE369*($V369:$AE369&gt;0)*(($V369:$AE369&lt;V369)+($V369:$AE369=V369)*($V$3:$AE$3&gt;V$3)+($V369:$AE369=V369)*($V$3:$AE$3=V$3)*($V$2:$AE$2&lt;V$2))),2))))</f>
      </c>
      <c r="AG369" s="33">
        <f>IF(W369&lt;=0,0,MAX(0,MIN(W369,ROUND($AZ369-SUMPRODUCT($V369:$AE369*($V369:$AE369&gt;0)*(($V369:$AE369&lt;W369)+($V369:$AE369=W369)*($V$3:$AE$3&gt;W$3)+($V369:$AE369=W369)*($V$3:$AE$3=W$3)*($V$2:$AE$2&lt;W$2))),2))))</f>
      </c>
      <c r="AH369" s="33">
        <f>IF(X369&lt;=0,0,MAX(0,MIN(X369,ROUND($AZ369-SUMPRODUCT($V369:$AE369*($V369:$AE369&gt;0)*(($V369:$AE369&lt;X369)+($V369:$AE369=X369)*($V$3:$AE$3&gt;X$3)+($V369:$AE369=X369)*($V$3:$AE$3=X$3)*($V$2:$AE$2&lt;X$2))),2))))</f>
      </c>
      <c r="AI369" s="33">
        <f>IF(Y369&lt;=0,0,MAX(0,MIN(Y369,ROUND($AZ369-SUMPRODUCT($V369:$AE369*($V369:$AE369&gt;0)*(($V369:$AE369&lt;Y369)+($V369:$AE369=Y369)*($V$3:$AE$3&gt;Y$3)+($V369:$AE369=Y369)*($V$3:$AE$3=Y$3)*($V$2:$AE$2&lt;Y$2))),2))))</f>
      </c>
      <c r="AJ369" s="33">
        <f>IF(Z369&lt;=0,0,MAX(0,MIN(Z369,ROUND($AZ369-SUMPRODUCT($V369:$AE369*($V369:$AE369&gt;0)*(($V369:$AE369&lt;Z369)+($V369:$AE369=Z369)*($V$3:$AE$3&gt;Z$3)+($V369:$AE369=Z369)*($V$3:$AE$3=Z$3)*($V$2:$AE$2&lt;Z$2))),2))))</f>
      </c>
      <c r="AK369" s="33">
        <f>IF(AA369&lt;=0,0,MAX(0,MIN(AA369,ROUND($AZ369-SUMPRODUCT($V369:$AE369*($V369:$AE369&gt;0)*(($V369:$AE369&lt;AA369)+($V369:$AE369=AA369)*($V$3:$AE$3&gt;AA$3)+($V369:$AE369=AA369)*($V$3:$AE$3=AA$3)*($V$2:$AE$2&lt;AA$2))),2))))</f>
      </c>
      <c r="AL369" s="33">
        <f>IF(AB369&lt;=0,0,MAX(0,MIN(AB369,ROUND($AZ369-SUMPRODUCT($V369:$AE369*($V369:$AE369&gt;0)*(($V369:$AE369&lt;AB369)+($V369:$AE369=AB369)*($V$3:$AE$3&gt;AB$3)+($V369:$AE369=AB369)*($V$3:$AE$3=AB$3)*($V$2:$AE$2&lt;AB$2))),2))))</f>
      </c>
      <c r="AM369" s="33">
        <f>IF(AC369&lt;=0,0,MAX(0,MIN(AC369,ROUND($AZ369-SUMPRODUCT($V369:$AE369*($V369:$AE369&gt;0)*(($V369:$AE369&lt;AC369)+($V369:$AE369=AC369)*($V$3:$AE$3&gt;AC$3)+($V369:$AE369=AC369)*($V$3:$AE$3=AC$3)*($V$2:$AE$2&lt;AC$2))),2))))</f>
      </c>
      <c r="AN369" s="33">
        <f>IF(AD369&lt;=0,0,MAX(0,MIN(AD369,ROUND($AZ369-SUMPRODUCT($V369:$AE369*($V369:$AE369&gt;0)*(($V369:$AE369&lt;AD369)+($V369:$AE369=AD369)*($V$3:$AE$3&gt;AD$3)+($V369:$AE369=AD369)*($V$3:$AE$3=AD$3)*($V$2:$AE$2&lt;AD$2))),2))))</f>
      </c>
      <c r="AO369" s="33">
        <f>IF(AE369&lt;=0,0,MAX(0,MIN(AE369,ROUND($AZ369-SUMPRODUCT($V369:$AE369*($V369:$AE369&gt;0)*(($V369:$AE369&lt;AE369)+($V369:$AE369=AE369)*($V$3:$AE$3&gt;AE$3)+($V369:$AE369=AE369)*($V$3:$AE$3=AE$3)*($V$2:$AE$2&lt;AE$2))),2))))</f>
      </c>
      <c r="AP369" s="33">
        <f>ROUND(V369-AF369,2)</f>
      </c>
      <c r="AQ369" s="33">
        <f>ROUND(W369-AG369,2)</f>
      </c>
      <c r="AR369" s="33">
        <f>ROUND(X369-AH369,2)</f>
      </c>
      <c r="AS369" s="33">
        <f>ROUND(Y369-AI369,2)</f>
      </c>
      <c r="AT369" s="33">
        <f>ROUND(Z369-AJ369,2)</f>
      </c>
      <c r="AU369" s="33">
        <f>ROUND(AA369-AK369,2)</f>
      </c>
      <c r="AV369" s="33">
        <f>ROUND(AB369-AL369,2)</f>
      </c>
      <c r="AW369" s="33">
        <f>ROUND(AC369-AM369,2)</f>
      </c>
      <c r="AX369" s="33">
        <f>ROUND(AD369-AN369,2)</f>
      </c>
      <c r="AY369" s="33">
        <f>ROUND(AE369-AO369,2)</f>
      </c>
      <c r="AZ369" s="33">
        <f>ROUND(MAX(0,'Your debts'!$D$22-SUM($L369:$U369)),2)</f>
      </c>
      <c r="BA369" s="33">
        <f>ROUND(SUM($B369:$K369)-SUM($AP368:$AY368),2)</f>
      </c>
      <c r="BB369" s="33">
        <f>SUM($AP369:$AY369)</f>
      </c>
      <c r="BC369" s="33">
        <f>ROUND(SUM($L369:$U369)+SUM($AF369:$AO369),2)</f>
      </c>
    </row>
    <row r="370" spans="1:55" x14ac:dyDescent="0.25">
      <c r="A370">
        <v>363</v>
      </c>
      <c r="B370" s="33">
        <f>IF(AP369&lt;=0,0,ROUND(AP369+ROUND(AP369*V$3/12,2),2))</f>
      </c>
      <c r="C370" s="33">
        <f>IF(AQ369&lt;=0,0,ROUND(AQ369+ROUND(AQ369*W$3/12,2),2))</f>
      </c>
      <c r="D370" s="33">
        <f>IF(AR369&lt;=0,0,ROUND(AR369+ROUND(AR369*X$3/12,2),2))</f>
      </c>
      <c r="E370" s="33">
        <f>IF(AS369&lt;=0,0,ROUND(AS369+ROUND(AS369*Y$3/12,2),2))</f>
      </c>
      <c r="F370" s="33">
        <f>IF(AT369&lt;=0,0,ROUND(AT369+ROUND(AT369*Z$3/12,2),2))</f>
      </c>
      <c r="G370" s="33">
        <f>IF(AU369&lt;=0,0,ROUND(AU369+ROUND(AU369*AA$3/12,2),2))</f>
      </c>
      <c r="H370" s="33">
        <f>IF(AV369&lt;=0,0,ROUND(AV369+ROUND(AV369*AB$3/12,2),2))</f>
      </c>
      <c r="I370" s="33">
        <f>IF(AW369&lt;=0,0,ROUND(AW369+ROUND(AW369*AC$3/12,2),2))</f>
      </c>
      <c r="J370" s="33">
        <f>IF(AX369&lt;=0,0,ROUND(AX369+ROUND(AX369*AD$3/12,2),2))</f>
      </c>
      <c r="K370" s="33">
        <f>IF(AY369&lt;=0,0,ROUND(AY369+ROUND(AY369*AE$3/12,2),2))</f>
      </c>
      <c r="L370" s="33">
        <f>ROUND(MIN(MAX(0,N('Your debts'!$E$6)),B370),2)</f>
      </c>
      <c r="M370" s="33">
        <f>ROUND(MIN(MAX(0,N('Your debts'!$E$7)),C370),2)</f>
      </c>
      <c r="N370" s="33">
        <f>ROUND(MIN(MAX(0,N('Your debts'!$E$8)),D370),2)</f>
      </c>
      <c r="O370" s="33">
        <f>ROUND(MIN(MAX(0,N('Your debts'!$E$9)),E370),2)</f>
      </c>
      <c r="P370" s="33">
        <f>ROUND(MIN(MAX(0,N('Your debts'!$E$10)),F370),2)</f>
      </c>
      <c r="Q370" s="33">
        <f>ROUND(MIN(MAX(0,N('Your debts'!$E$11)),G370),2)</f>
      </c>
      <c r="R370" s="33">
        <f>ROUND(MIN(MAX(0,N('Your debts'!$E$12)),H370),2)</f>
      </c>
      <c r="S370" s="33">
        <f>ROUND(MIN(MAX(0,N('Your debts'!$E$13)),I370),2)</f>
      </c>
      <c r="T370" s="33">
        <f>ROUND(MIN(MAX(0,N('Your debts'!$E$14)),J370),2)</f>
      </c>
      <c r="U370" s="33">
        <f>ROUND(MIN(MAX(0,N('Your debts'!$E$15)),K370),2)</f>
      </c>
      <c r="V370" s="33">
        <f>ROUND(B370-L370,2)</f>
      </c>
      <c r="W370" s="33">
        <f>ROUND(C370-M370,2)</f>
      </c>
      <c r="X370" s="33">
        <f>ROUND(D370-N370,2)</f>
      </c>
      <c r="Y370" s="33">
        <f>ROUND(E370-O370,2)</f>
      </c>
      <c r="Z370" s="33">
        <f>ROUND(F370-P370,2)</f>
      </c>
      <c r="AA370" s="33">
        <f>ROUND(G370-Q370,2)</f>
      </c>
      <c r="AB370" s="33">
        <f>ROUND(H370-R370,2)</f>
      </c>
      <c r="AC370" s="33">
        <f>ROUND(I370-S370,2)</f>
      </c>
      <c r="AD370" s="33">
        <f>ROUND(J370-T370,2)</f>
      </c>
      <c r="AE370" s="33">
        <f>ROUND(K370-U370,2)</f>
      </c>
      <c r="AF370" s="33">
        <f>IF(V370&lt;=0,0,MAX(0,MIN(V370,ROUND($AZ370-SUMPRODUCT($V370:$AE370*($V370:$AE370&gt;0)*(($V370:$AE370&lt;V370)+($V370:$AE370=V370)*($V$3:$AE$3&gt;V$3)+($V370:$AE370=V370)*($V$3:$AE$3=V$3)*($V$2:$AE$2&lt;V$2))),2))))</f>
      </c>
      <c r="AG370" s="33">
        <f>IF(W370&lt;=0,0,MAX(0,MIN(W370,ROUND($AZ370-SUMPRODUCT($V370:$AE370*($V370:$AE370&gt;0)*(($V370:$AE370&lt;W370)+($V370:$AE370=W370)*($V$3:$AE$3&gt;W$3)+($V370:$AE370=W370)*($V$3:$AE$3=W$3)*($V$2:$AE$2&lt;W$2))),2))))</f>
      </c>
      <c r="AH370" s="33">
        <f>IF(X370&lt;=0,0,MAX(0,MIN(X370,ROUND($AZ370-SUMPRODUCT($V370:$AE370*($V370:$AE370&gt;0)*(($V370:$AE370&lt;X370)+($V370:$AE370=X370)*($V$3:$AE$3&gt;X$3)+($V370:$AE370=X370)*($V$3:$AE$3=X$3)*($V$2:$AE$2&lt;X$2))),2))))</f>
      </c>
      <c r="AI370" s="33">
        <f>IF(Y370&lt;=0,0,MAX(0,MIN(Y370,ROUND($AZ370-SUMPRODUCT($V370:$AE370*($V370:$AE370&gt;0)*(($V370:$AE370&lt;Y370)+($V370:$AE370=Y370)*($V$3:$AE$3&gt;Y$3)+($V370:$AE370=Y370)*($V$3:$AE$3=Y$3)*($V$2:$AE$2&lt;Y$2))),2))))</f>
      </c>
      <c r="AJ370" s="33">
        <f>IF(Z370&lt;=0,0,MAX(0,MIN(Z370,ROUND($AZ370-SUMPRODUCT($V370:$AE370*($V370:$AE370&gt;0)*(($V370:$AE370&lt;Z370)+($V370:$AE370=Z370)*($V$3:$AE$3&gt;Z$3)+($V370:$AE370=Z370)*($V$3:$AE$3=Z$3)*($V$2:$AE$2&lt;Z$2))),2))))</f>
      </c>
      <c r="AK370" s="33">
        <f>IF(AA370&lt;=0,0,MAX(0,MIN(AA370,ROUND($AZ370-SUMPRODUCT($V370:$AE370*($V370:$AE370&gt;0)*(($V370:$AE370&lt;AA370)+($V370:$AE370=AA370)*($V$3:$AE$3&gt;AA$3)+($V370:$AE370=AA370)*($V$3:$AE$3=AA$3)*($V$2:$AE$2&lt;AA$2))),2))))</f>
      </c>
      <c r="AL370" s="33">
        <f>IF(AB370&lt;=0,0,MAX(0,MIN(AB370,ROUND($AZ370-SUMPRODUCT($V370:$AE370*($V370:$AE370&gt;0)*(($V370:$AE370&lt;AB370)+($V370:$AE370=AB370)*($V$3:$AE$3&gt;AB$3)+($V370:$AE370=AB370)*($V$3:$AE$3=AB$3)*($V$2:$AE$2&lt;AB$2))),2))))</f>
      </c>
      <c r="AM370" s="33">
        <f>IF(AC370&lt;=0,0,MAX(0,MIN(AC370,ROUND($AZ370-SUMPRODUCT($V370:$AE370*($V370:$AE370&gt;0)*(($V370:$AE370&lt;AC370)+($V370:$AE370=AC370)*($V$3:$AE$3&gt;AC$3)+($V370:$AE370=AC370)*($V$3:$AE$3=AC$3)*($V$2:$AE$2&lt;AC$2))),2))))</f>
      </c>
      <c r="AN370" s="33">
        <f>IF(AD370&lt;=0,0,MAX(0,MIN(AD370,ROUND($AZ370-SUMPRODUCT($V370:$AE370*($V370:$AE370&gt;0)*(($V370:$AE370&lt;AD370)+($V370:$AE370=AD370)*($V$3:$AE$3&gt;AD$3)+($V370:$AE370=AD370)*($V$3:$AE$3=AD$3)*($V$2:$AE$2&lt;AD$2))),2))))</f>
      </c>
      <c r="AO370" s="33">
        <f>IF(AE370&lt;=0,0,MAX(0,MIN(AE370,ROUND($AZ370-SUMPRODUCT($V370:$AE370*($V370:$AE370&gt;0)*(($V370:$AE370&lt;AE370)+($V370:$AE370=AE370)*($V$3:$AE$3&gt;AE$3)+($V370:$AE370=AE370)*($V$3:$AE$3=AE$3)*($V$2:$AE$2&lt;AE$2))),2))))</f>
      </c>
      <c r="AP370" s="33">
        <f>ROUND(V370-AF370,2)</f>
      </c>
      <c r="AQ370" s="33">
        <f>ROUND(W370-AG370,2)</f>
      </c>
      <c r="AR370" s="33">
        <f>ROUND(X370-AH370,2)</f>
      </c>
      <c r="AS370" s="33">
        <f>ROUND(Y370-AI370,2)</f>
      </c>
      <c r="AT370" s="33">
        <f>ROUND(Z370-AJ370,2)</f>
      </c>
      <c r="AU370" s="33">
        <f>ROUND(AA370-AK370,2)</f>
      </c>
      <c r="AV370" s="33">
        <f>ROUND(AB370-AL370,2)</f>
      </c>
      <c r="AW370" s="33">
        <f>ROUND(AC370-AM370,2)</f>
      </c>
      <c r="AX370" s="33">
        <f>ROUND(AD370-AN370,2)</f>
      </c>
      <c r="AY370" s="33">
        <f>ROUND(AE370-AO370,2)</f>
      </c>
      <c r="AZ370" s="33">
        <f>ROUND(MAX(0,'Your debts'!$D$22-SUM($L370:$U370)),2)</f>
      </c>
      <c r="BA370" s="33">
        <f>ROUND(SUM($B370:$K370)-SUM($AP369:$AY369),2)</f>
      </c>
      <c r="BB370" s="33">
        <f>SUM($AP370:$AY370)</f>
      </c>
      <c r="BC370" s="33">
        <f>ROUND(SUM($L370:$U370)+SUM($AF370:$AO370),2)</f>
      </c>
    </row>
    <row r="371" spans="1:55" x14ac:dyDescent="0.25">
      <c r="A371">
        <v>364</v>
      </c>
      <c r="B371" s="33">
        <f>IF(AP370&lt;=0,0,ROUND(AP370+ROUND(AP370*V$3/12,2),2))</f>
      </c>
      <c r="C371" s="33">
        <f>IF(AQ370&lt;=0,0,ROUND(AQ370+ROUND(AQ370*W$3/12,2),2))</f>
      </c>
      <c r="D371" s="33">
        <f>IF(AR370&lt;=0,0,ROUND(AR370+ROUND(AR370*X$3/12,2),2))</f>
      </c>
      <c r="E371" s="33">
        <f>IF(AS370&lt;=0,0,ROUND(AS370+ROUND(AS370*Y$3/12,2),2))</f>
      </c>
      <c r="F371" s="33">
        <f>IF(AT370&lt;=0,0,ROUND(AT370+ROUND(AT370*Z$3/12,2),2))</f>
      </c>
      <c r="G371" s="33">
        <f>IF(AU370&lt;=0,0,ROUND(AU370+ROUND(AU370*AA$3/12,2),2))</f>
      </c>
      <c r="H371" s="33">
        <f>IF(AV370&lt;=0,0,ROUND(AV370+ROUND(AV370*AB$3/12,2),2))</f>
      </c>
      <c r="I371" s="33">
        <f>IF(AW370&lt;=0,0,ROUND(AW370+ROUND(AW370*AC$3/12,2),2))</f>
      </c>
      <c r="J371" s="33">
        <f>IF(AX370&lt;=0,0,ROUND(AX370+ROUND(AX370*AD$3/12,2),2))</f>
      </c>
      <c r="K371" s="33">
        <f>IF(AY370&lt;=0,0,ROUND(AY370+ROUND(AY370*AE$3/12,2),2))</f>
      </c>
      <c r="L371" s="33">
        <f>ROUND(MIN(MAX(0,N('Your debts'!$E$6)),B371),2)</f>
      </c>
      <c r="M371" s="33">
        <f>ROUND(MIN(MAX(0,N('Your debts'!$E$7)),C371),2)</f>
      </c>
      <c r="N371" s="33">
        <f>ROUND(MIN(MAX(0,N('Your debts'!$E$8)),D371),2)</f>
      </c>
      <c r="O371" s="33">
        <f>ROUND(MIN(MAX(0,N('Your debts'!$E$9)),E371),2)</f>
      </c>
      <c r="P371" s="33">
        <f>ROUND(MIN(MAX(0,N('Your debts'!$E$10)),F371),2)</f>
      </c>
      <c r="Q371" s="33">
        <f>ROUND(MIN(MAX(0,N('Your debts'!$E$11)),G371),2)</f>
      </c>
      <c r="R371" s="33">
        <f>ROUND(MIN(MAX(0,N('Your debts'!$E$12)),H371),2)</f>
      </c>
      <c r="S371" s="33">
        <f>ROUND(MIN(MAX(0,N('Your debts'!$E$13)),I371),2)</f>
      </c>
      <c r="T371" s="33">
        <f>ROUND(MIN(MAX(0,N('Your debts'!$E$14)),J371),2)</f>
      </c>
      <c r="U371" s="33">
        <f>ROUND(MIN(MAX(0,N('Your debts'!$E$15)),K371),2)</f>
      </c>
      <c r="V371" s="33">
        <f>ROUND(B371-L371,2)</f>
      </c>
      <c r="W371" s="33">
        <f>ROUND(C371-M371,2)</f>
      </c>
      <c r="X371" s="33">
        <f>ROUND(D371-N371,2)</f>
      </c>
      <c r="Y371" s="33">
        <f>ROUND(E371-O371,2)</f>
      </c>
      <c r="Z371" s="33">
        <f>ROUND(F371-P371,2)</f>
      </c>
      <c r="AA371" s="33">
        <f>ROUND(G371-Q371,2)</f>
      </c>
      <c r="AB371" s="33">
        <f>ROUND(H371-R371,2)</f>
      </c>
      <c r="AC371" s="33">
        <f>ROUND(I371-S371,2)</f>
      </c>
      <c r="AD371" s="33">
        <f>ROUND(J371-T371,2)</f>
      </c>
      <c r="AE371" s="33">
        <f>ROUND(K371-U371,2)</f>
      </c>
      <c r="AF371" s="33">
        <f>IF(V371&lt;=0,0,MAX(0,MIN(V371,ROUND($AZ371-SUMPRODUCT($V371:$AE371*($V371:$AE371&gt;0)*(($V371:$AE371&lt;V371)+($V371:$AE371=V371)*($V$3:$AE$3&gt;V$3)+($V371:$AE371=V371)*($V$3:$AE$3=V$3)*($V$2:$AE$2&lt;V$2))),2))))</f>
      </c>
      <c r="AG371" s="33">
        <f>IF(W371&lt;=0,0,MAX(0,MIN(W371,ROUND($AZ371-SUMPRODUCT($V371:$AE371*($V371:$AE371&gt;0)*(($V371:$AE371&lt;W371)+($V371:$AE371=W371)*($V$3:$AE$3&gt;W$3)+($V371:$AE371=W371)*($V$3:$AE$3=W$3)*($V$2:$AE$2&lt;W$2))),2))))</f>
      </c>
      <c r="AH371" s="33">
        <f>IF(X371&lt;=0,0,MAX(0,MIN(X371,ROUND($AZ371-SUMPRODUCT($V371:$AE371*($V371:$AE371&gt;0)*(($V371:$AE371&lt;X371)+($V371:$AE371=X371)*($V$3:$AE$3&gt;X$3)+($V371:$AE371=X371)*($V$3:$AE$3=X$3)*($V$2:$AE$2&lt;X$2))),2))))</f>
      </c>
      <c r="AI371" s="33">
        <f>IF(Y371&lt;=0,0,MAX(0,MIN(Y371,ROUND($AZ371-SUMPRODUCT($V371:$AE371*($V371:$AE371&gt;0)*(($V371:$AE371&lt;Y371)+($V371:$AE371=Y371)*($V$3:$AE$3&gt;Y$3)+($V371:$AE371=Y371)*($V$3:$AE$3=Y$3)*($V$2:$AE$2&lt;Y$2))),2))))</f>
      </c>
      <c r="AJ371" s="33">
        <f>IF(Z371&lt;=0,0,MAX(0,MIN(Z371,ROUND($AZ371-SUMPRODUCT($V371:$AE371*($V371:$AE371&gt;0)*(($V371:$AE371&lt;Z371)+($V371:$AE371=Z371)*($V$3:$AE$3&gt;Z$3)+($V371:$AE371=Z371)*($V$3:$AE$3=Z$3)*($V$2:$AE$2&lt;Z$2))),2))))</f>
      </c>
      <c r="AK371" s="33">
        <f>IF(AA371&lt;=0,0,MAX(0,MIN(AA371,ROUND($AZ371-SUMPRODUCT($V371:$AE371*($V371:$AE371&gt;0)*(($V371:$AE371&lt;AA371)+($V371:$AE371=AA371)*($V$3:$AE$3&gt;AA$3)+($V371:$AE371=AA371)*($V$3:$AE$3=AA$3)*($V$2:$AE$2&lt;AA$2))),2))))</f>
      </c>
      <c r="AL371" s="33">
        <f>IF(AB371&lt;=0,0,MAX(0,MIN(AB371,ROUND($AZ371-SUMPRODUCT($V371:$AE371*($V371:$AE371&gt;0)*(($V371:$AE371&lt;AB371)+($V371:$AE371=AB371)*($V$3:$AE$3&gt;AB$3)+($V371:$AE371=AB371)*($V$3:$AE$3=AB$3)*($V$2:$AE$2&lt;AB$2))),2))))</f>
      </c>
      <c r="AM371" s="33">
        <f>IF(AC371&lt;=0,0,MAX(0,MIN(AC371,ROUND($AZ371-SUMPRODUCT($V371:$AE371*($V371:$AE371&gt;0)*(($V371:$AE371&lt;AC371)+($V371:$AE371=AC371)*($V$3:$AE$3&gt;AC$3)+($V371:$AE371=AC371)*($V$3:$AE$3=AC$3)*($V$2:$AE$2&lt;AC$2))),2))))</f>
      </c>
      <c r="AN371" s="33">
        <f>IF(AD371&lt;=0,0,MAX(0,MIN(AD371,ROUND($AZ371-SUMPRODUCT($V371:$AE371*($V371:$AE371&gt;0)*(($V371:$AE371&lt;AD371)+($V371:$AE371=AD371)*($V$3:$AE$3&gt;AD$3)+($V371:$AE371=AD371)*($V$3:$AE$3=AD$3)*($V$2:$AE$2&lt;AD$2))),2))))</f>
      </c>
      <c r="AO371" s="33">
        <f>IF(AE371&lt;=0,0,MAX(0,MIN(AE371,ROUND($AZ371-SUMPRODUCT($V371:$AE371*($V371:$AE371&gt;0)*(($V371:$AE371&lt;AE371)+($V371:$AE371=AE371)*($V$3:$AE$3&gt;AE$3)+($V371:$AE371=AE371)*($V$3:$AE$3=AE$3)*($V$2:$AE$2&lt;AE$2))),2))))</f>
      </c>
      <c r="AP371" s="33">
        <f>ROUND(V371-AF371,2)</f>
      </c>
      <c r="AQ371" s="33">
        <f>ROUND(W371-AG371,2)</f>
      </c>
      <c r="AR371" s="33">
        <f>ROUND(X371-AH371,2)</f>
      </c>
      <c r="AS371" s="33">
        <f>ROUND(Y371-AI371,2)</f>
      </c>
      <c r="AT371" s="33">
        <f>ROUND(Z371-AJ371,2)</f>
      </c>
      <c r="AU371" s="33">
        <f>ROUND(AA371-AK371,2)</f>
      </c>
      <c r="AV371" s="33">
        <f>ROUND(AB371-AL371,2)</f>
      </c>
      <c r="AW371" s="33">
        <f>ROUND(AC371-AM371,2)</f>
      </c>
      <c r="AX371" s="33">
        <f>ROUND(AD371-AN371,2)</f>
      </c>
      <c r="AY371" s="33">
        <f>ROUND(AE371-AO371,2)</f>
      </c>
      <c r="AZ371" s="33">
        <f>ROUND(MAX(0,'Your debts'!$D$22-SUM($L371:$U371)),2)</f>
      </c>
      <c r="BA371" s="33">
        <f>ROUND(SUM($B371:$K371)-SUM($AP370:$AY370),2)</f>
      </c>
      <c r="BB371" s="33">
        <f>SUM($AP371:$AY371)</f>
      </c>
      <c r="BC371" s="33">
        <f>ROUND(SUM($L371:$U371)+SUM($AF371:$AO371),2)</f>
      </c>
    </row>
    <row r="372" spans="1:55" x14ac:dyDescent="0.25">
      <c r="A372">
        <v>365</v>
      </c>
      <c r="B372" s="33">
        <f>IF(AP371&lt;=0,0,ROUND(AP371+ROUND(AP371*V$3/12,2),2))</f>
      </c>
      <c r="C372" s="33">
        <f>IF(AQ371&lt;=0,0,ROUND(AQ371+ROUND(AQ371*W$3/12,2),2))</f>
      </c>
      <c r="D372" s="33">
        <f>IF(AR371&lt;=0,0,ROUND(AR371+ROUND(AR371*X$3/12,2),2))</f>
      </c>
      <c r="E372" s="33">
        <f>IF(AS371&lt;=0,0,ROUND(AS371+ROUND(AS371*Y$3/12,2),2))</f>
      </c>
      <c r="F372" s="33">
        <f>IF(AT371&lt;=0,0,ROUND(AT371+ROUND(AT371*Z$3/12,2),2))</f>
      </c>
      <c r="G372" s="33">
        <f>IF(AU371&lt;=0,0,ROUND(AU371+ROUND(AU371*AA$3/12,2),2))</f>
      </c>
      <c r="H372" s="33">
        <f>IF(AV371&lt;=0,0,ROUND(AV371+ROUND(AV371*AB$3/12,2),2))</f>
      </c>
      <c r="I372" s="33">
        <f>IF(AW371&lt;=0,0,ROUND(AW371+ROUND(AW371*AC$3/12,2),2))</f>
      </c>
      <c r="J372" s="33">
        <f>IF(AX371&lt;=0,0,ROUND(AX371+ROUND(AX371*AD$3/12,2),2))</f>
      </c>
      <c r="K372" s="33">
        <f>IF(AY371&lt;=0,0,ROUND(AY371+ROUND(AY371*AE$3/12,2),2))</f>
      </c>
      <c r="L372" s="33">
        <f>ROUND(MIN(MAX(0,N('Your debts'!$E$6)),B372),2)</f>
      </c>
      <c r="M372" s="33">
        <f>ROUND(MIN(MAX(0,N('Your debts'!$E$7)),C372),2)</f>
      </c>
      <c r="N372" s="33">
        <f>ROUND(MIN(MAX(0,N('Your debts'!$E$8)),D372),2)</f>
      </c>
      <c r="O372" s="33">
        <f>ROUND(MIN(MAX(0,N('Your debts'!$E$9)),E372),2)</f>
      </c>
      <c r="P372" s="33">
        <f>ROUND(MIN(MAX(0,N('Your debts'!$E$10)),F372),2)</f>
      </c>
      <c r="Q372" s="33">
        <f>ROUND(MIN(MAX(0,N('Your debts'!$E$11)),G372),2)</f>
      </c>
      <c r="R372" s="33">
        <f>ROUND(MIN(MAX(0,N('Your debts'!$E$12)),H372),2)</f>
      </c>
      <c r="S372" s="33">
        <f>ROUND(MIN(MAX(0,N('Your debts'!$E$13)),I372),2)</f>
      </c>
      <c r="T372" s="33">
        <f>ROUND(MIN(MAX(0,N('Your debts'!$E$14)),J372),2)</f>
      </c>
      <c r="U372" s="33">
        <f>ROUND(MIN(MAX(0,N('Your debts'!$E$15)),K372),2)</f>
      </c>
      <c r="V372" s="33">
        <f>ROUND(B372-L372,2)</f>
      </c>
      <c r="W372" s="33">
        <f>ROUND(C372-M372,2)</f>
      </c>
      <c r="X372" s="33">
        <f>ROUND(D372-N372,2)</f>
      </c>
      <c r="Y372" s="33">
        <f>ROUND(E372-O372,2)</f>
      </c>
      <c r="Z372" s="33">
        <f>ROUND(F372-P372,2)</f>
      </c>
      <c r="AA372" s="33">
        <f>ROUND(G372-Q372,2)</f>
      </c>
      <c r="AB372" s="33">
        <f>ROUND(H372-R372,2)</f>
      </c>
      <c r="AC372" s="33">
        <f>ROUND(I372-S372,2)</f>
      </c>
      <c r="AD372" s="33">
        <f>ROUND(J372-T372,2)</f>
      </c>
      <c r="AE372" s="33">
        <f>ROUND(K372-U372,2)</f>
      </c>
      <c r="AF372" s="33">
        <f>IF(V372&lt;=0,0,MAX(0,MIN(V372,ROUND($AZ372-SUMPRODUCT($V372:$AE372*($V372:$AE372&gt;0)*(($V372:$AE372&lt;V372)+($V372:$AE372=V372)*($V$3:$AE$3&gt;V$3)+($V372:$AE372=V372)*($V$3:$AE$3=V$3)*($V$2:$AE$2&lt;V$2))),2))))</f>
      </c>
      <c r="AG372" s="33">
        <f>IF(W372&lt;=0,0,MAX(0,MIN(W372,ROUND($AZ372-SUMPRODUCT($V372:$AE372*($V372:$AE372&gt;0)*(($V372:$AE372&lt;W372)+($V372:$AE372=W372)*($V$3:$AE$3&gt;W$3)+($V372:$AE372=W372)*($V$3:$AE$3=W$3)*($V$2:$AE$2&lt;W$2))),2))))</f>
      </c>
      <c r="AH372" s="33">
        <f>IF(X372&lt;=0,0,MAX(0,MIN(X372,ROUND($AZ372-SUMPRODUCT($V372:$AE372*($V372:$AE372&gt;0)*(($V372:$AE372&lt;X372)+($V372:$AE372=X372)*($V$3:$AE$3&gt;X$3)+($V372:$AE372=X372)*($V$3:$AE$3=X$3)*($V$2:$AE$2&lt;X$2))),2))))</f>
      </c>
      <c r="AI372" s="33">
        <f>IF(Y372&lt;=0,0,MAX(0,MIN(Y372,ROUND($AZ372-SUMPRODUCT($V372:$AE372*($V372:$AE372&gt;0)*(($V372:$AE372&lt;Y372)+($V372:$AE372=Y372)*($V$3:$AE$3&gt;Y$3)+($V372:$AE372=Y372)*($V$3:$AE$3=Y$3)*($V$2:$AE$2&lt;Y$2))),2))))</f>
      </c>
      <c r="AJ372" s="33">
        <f>IF(Z372&lt;=0,0,MAX(0,MIN(Z372,ROUND($AZ372-SUMPRODUCT($V372:$AE372*($V372:$AE372&gt;0)*(($V372:$AE372&lt;Z372)+($V372:$AE372=Z372)*($V$3:$AE$3&gt;Z$3)+($V372:$AE372=Z372)*($V$3:$AE$3=Z$3)*($V$2:$AE$2&lt;Z$2))),2))))</f>
      </c>
      <c r="AK372" s="33">
        <f>IF(AA372&lt;=0,0,MAX(0,MIN(AA372,ROUND($AZ372-SUMPRODUCT($V372:$AE372*($V372:$AE372&gt;0)*(($V372:$AE372&lt;AA372)+($V372:$AE372=AA372)*($V$3:$AE$3&gt;AA$3)+($V372:$AE372=AA372)*($V$3:$AE$3=AA$3)*($V$2:$AE$2&lt;AA$2))),2))))</f>
      </c>
      <c r="AL372" s="33">
        <f>IF(AB372&lt;=0,0,MAX(0,MIN(AB372,ROUND($AZ372-SUMPRODUCT($V372:$AE372*($V372:$AE372&gt;0)*(($V372:$AE372&lt;AB372)+($V372:$AE372=AB372)*($V$3:$AE$3&gt;AB$3)+($V372:$AE372=AB372)*($V$3:$AE$3=AB$3)*($V$2:$AE$2&lt;AB$2))),2))))</f>
      </c>
      <c r="AM372" s="33">
        <f>IF(AC372&lt;=0,0,MAX(0,MIN(AC372,ROUND($AZ372-SUMPRODUCT($V372:$AE372*($V372:$AE372&gt;0)*(($V372:$AE372&lt;AC372)+($V372:$AE372=AC372)*($V$3:$AE$3&gt;AC$3)+($V372:$AE372=AC372)*($V$3:$AE$3=AC$3)*($V$2:$AE$2&lt;AC$2))),2))))</f>
      </c>
      <c r="AN372" s="33">
        <f>IF(AD372&lt;=0,0,MAX(0,MIN(AD372,ROUND($AZ372-SUMPRODUCT($V372:$AE372*($V372:$AE372&gt;0)*(($V372:$AE372&lt;AD372)+($V372:$AE372=AD372)*($V$3:$AE$3&gt;AD$3)+($V372:$AE372=AD372)*($V$3:$AE$3=AD$3)*($V$2:$AE$2&lt;AD$2))),2))))</f>
      </c>
      <c r="AO372" s="33">
        <f>IF(AE372&lt;=0,0,MAX(0,MIN(AE372,ROUND($AZ372-SUMPRODUCT($V372:$AE372*($V372:$AE372&gt;0)*(($V372:$AE372&lt;AE372)+($V372:$AE372=AE372)*($V$3:$AE$3&gt;AE$3)+($V372:$AE372=AE372)*($V$3:$AE$3=AE$3)*($V$2:$AE$2&lt;AE$2))),2))))</f>
      </c>
      <c r="AP372" s="33">
        <f>ROUND(V372-AF372,2)</f>
      </c>
      <c r="AQ372" s="33">
        <f>ROUND(W372-AG372,2)</f>
      </c>
      <c r="AR372" s="33">
        <f>ROUND(X372-AH372,2)</f>
      </c>
      <c r="AS372" s="33">
        <f>ROUND(Y372-AI372,2)</f>
      </c>
      <c r="AT372" s="33">
        <f>ROUND(Z372-AJ372,2)</f>
      </c>
      <c r="AU372" s="33">
        <f>ROUND(AA372-AK372,2)</f>
      </c>
      <c r="AV372" s="33">
        <f>ROUND(AB372-AL372,2)</f>
      </c>
      <c r="AW372" s="33">
        <f>ROUND(AC372-AM372,2)</f>
      </c>
      <c r="AX372" s="33">
        <f>ROUND(AD372-AN372,2)</f>
      </c>
      <c r="AY372" s="33">
        <f>ROUND(AE372-AO372,2)</f>
      </c>
      <c r="AZ372" s="33">
        <f>ROUND(MAX(0,'Your debts'!$D$22-SUM($L372:$U372)),2)</f>
      </c>
      <c r="BA372" s="33">
        <f>ROUND(SUM($B372:$K372)-SUM($AP371:$AY371),2)</f>
      </c>
      <c r="BB372" s="33">
        <f>SUM($AP372:$AY372)</f>
      </c>
      <c r="BC372" s="33">
        <f>ROUND(SUM($L372:$U372)+SUM($AF372:$AO372),2)</f>
      </c>
    </row>
    <row r="373" spans="1:55" x14ac:dyDescent="0.25">
      <c r="A373">
        <v>366</v>
      </c>
      <c r="B373" s="33">
        <f>IF(AP372&lt;=0,0,ROUND(AP372+ROUND(AP372*V$3/12,2),2))</f>
      </c>
      <c r="C373" s="33">
        <f>IF(AQ372&lt;=0,0,ROUND(AQ372+ROUND(AQ372*W$3/12,2),2))</f>
      </c>
      <c r="D373" s="33">
        <f>IF(AR372&lt;=0,0,ROUND(AR372+ROUND(AR372*X$3/12,2),2))</f>
      </c>
      <c r="E373" s="33">
        <f>IF(AS372&lt;=0,0,ROUND(AS372+ROUND(AS372*Y$3/12,2),2))</f>
      </c>
      <c r="F373" s="33">
        <f>IF(AT372&lt;=0,0,ROUND(AT372+ROUND(AT372*Z$3/12,2),2))</f>
      </c>
      <c r="G373" s="33">
        <f>IF(AU372&lt;=0,0,ROUND(AU372+ROUND(AU372*AA$3/12,2),2))</f>
      </c>
      <c r="H373" s="33">
        <f>IF(AV372&lt;=0,0,ROUND(AV372+ROUND(AV372*AB$3/12,2),2))</f>
      </c>
      <c r="I373" s="33">
        <f>IF(AW372&lt;=0,0,ROUND(AW372+ROUND(AW372*AC$3/12,2),2))</f>
      </c>
      <c r="J373" s="33">
        <f>IF(AX372&lt;=0,0,ROUND(AX372+ROUND(AX372*AD$3/12,2),2))</f>
      </c>
      <c r="K373" s="33">
        <f>IF(AY372&lt;=0,0,ROUND(AY372+ROUND(AY372*AE$3/12,2),2))</f>
      </c>
      <c r="L373" s="33">
        <f>ROUND(MIN(MAX(0,N('Your debts'!$E$6)),B373),2)</f>
      </c>
      <c r="M373" s="33">
        <f>ROUND(MIN(MAX(0,N('Your debts'!$E$7)),C373),2)</f>
      </c>
      <c r="N373" s="33">
        <f>ROUND(MIN(MAX(0,N('Your debts'!$E$8)),D373),2)</f>
      </c>
      <c r="O373" s="33">
        <f>ROUND(MIN(MAX(0,N('Your debts'!$E$9)),E373),2)</f>
      </c>
      <c r="P373" s="33">
        <f>ROUND(MIN(MAX(0,N('Your debts'!$E$10)),F373),2)</f>
      </c>
      <c r="Q373" s="33">
        <f>ROUND(MIN(MAX(0,N('Your debts'!$E$11)),G373),2)</f>
      </c>
      <c r="R373" s="33">
        <f>ROUND(MIN(MAX(0,N('Your debts'!$E$12)),H373),2)</f>
      </c>
      <c r="S373" s="33">
        <f>ROUND(MIN(MAX(0,N('Your debts'!$E$13)),I373),2)</f>
      </c>
      <c r="T373" s="33">
        <f>ROUND(MIN(MAX(0,N('Your debts'!$E$14)),J373),2)</f>
      </c>
      <c r="U373" s="33">
        <f>ROUND(MIN(MAX(0,N('Your debts'!$E$15)),K373),2)</f>
      </c>
      <c r="V373" s="33">
        <f>ROUND(B373-L373,2)</f>
      </c>
      <c r="W373" s="33">
        <f>ROUND(C373-M373,2)</f>
      </c>
      <c r="X373" s="33">
        <f>ROUND(D373-N373,2)</f>
      </c>
      <c r="Y373" s="33">
        <f>ROUND(E373-O373,2)</f>
      </c>
      <c r="Z373" s="33">
        <f>ROUND(F373-P373,2)</f>
      </c>
      <c r="AA373" s="33">
        <f>ROUND(G373-Q373,2)</f>
      </c>
      <c r="AB373" s="33">
        <f>ROUND(H373-R373,2)</f>
      </c>
      <c r="AC373" s="33">
        <f>ROUND(I373-S373,2)</f>
      </c>
      <c r="AD373" s="33">
        <f>ROUND(J373-T373,2)</f>
      </c>
      <c r="AE373" s="33">
        <f>ROUND(K373-U373,2)</f>
      </c>
      <c r="AF373" s="33">
        <f>IF(V373&lt;=0,0,MAX(0,MIN(V373,ROUND($AZ373-SUMPRODUCT($V373:$AE373*($V373:$AE373&gt;0)*(($V373:$AE373&lt;V373)+($V373:$AE373=V373)*($V$3:$AE$3&gt;V$3)+($V373:$AE373=V373)*($V$3:$AE$3=V$3)*($V$2:$AE$2&lt;V$2))),2))))</f>
      </c>
      <c r="AG373" s="33">
        <f>IF(W373&lt;=0,0,MAX(0,MIN(W373,ROUND($AZ373-SUMPRODUCT($V373:$AE373*($V373:$AE373&gt;0)*(($V373:$AE373&lt;W373)+($V373:$AE373=W373)*($V$3:$AE$3&gt;W$3)+($V373:$AE373=W373)*($V$3:$AE$3=W$3)*($V$2:$AE$2&lt;W$2))),2))))</f>
      </c>
      <c r="AH373" s="33">
        <f>IF(X373&lt;=0,0,MAX(0,MIN(X373,ROUND($AZ373-SUMPRODUCT($V373:$AE373*($V373:$AE373&gt;0)*(($V373:$AE373&lt;X373)+($V373:$AE373=X373)*($V$3:$AE$3&gt;X$3)+($V373:$AE373=X373)*($V$3:$AE$3=X$3)*($V$2:$AE$2&lt;X$2))),2))))</f>
      </c>
      <c r="AI373" s="33">
        <f>IF(Y373&lt;=0,0,MAX(0,MIN(Y373,ROUND($AZ373-SUMPRODUCT($V373:$AE373*($V373:$AE373&gt;0)*(($V373:$AE373&lt;Y373)+($V373:$AE373=Y373)*($V$3:$AE$3&gt;Y$3)+($V373:$AE373=Y373)*($V$3:$AE$3=Y$3)*($V$2:$AE$2&lt;Y$2))),2))))</f>
      </c>
      <c r="AJ373" s="33">
        <f>IF(Z373&lt;=0,0,MAX(0,MIN(Z373,ROUND($AZ373-SUMPRODUCT($V373:$AE373*($V373:$AE373&gt;0)*(($V373:$AE373&lt;Z373)+($V373:$AE373=Z373)*($V$3:$AE$3&gt;Z$3)+($V373:$AE373=Z373)*($V$3:$AE$3=Z$3)*($V$2:$AE$2&lt;Z$2))),2))))</f>
      </c>
      <c r="AK373" s="33">
        <f>IF(AA373&lt;=0,0,MAX(0,MIN(AA373,ROUND($AZ373-SUMPRODUCT($V373:$AE373*($V373:$AE373&gt;0)*(($V373:$AE373&lt;AA373)+($V373:$AE373=AA373)*($V$3:$AE$3&gt;AA$3)+($V373:$AE373=AA373)*($V$3:$AE$3=AA$3)*($V$2:$AE$2&lt;AA$2))),2))))</f>
      </c>
      <c r="AL373" s="33">
        <f>IF(AB373&lt;=0,0,MAX(0,MIN(AB373,ROUND($AZ373-SUMPRODUCT($V373:$AE373*($V373:$AE373&gt;0)*(($V373:$AE373&lt;AB373)+($V373:$AE373=AB373)*($V$3:$AE$3&gt;AB$3)+($V373:$AE373=AB373)*($V$3:$AE$3=AB$3)*($V$2:$AE$2&lt;AB$2))),2))))</f>
      </c>
      <c r="AM373" s="33">
        <f>IF(AC373&lt;=0,0,MAX(0,MIN(AC373,ROUND($AZ373-SUMPRODUCT($V373:$AE373*($V373:$AE373&gt;0)*(($V373:$AE373&lt;AC373)+($V373:$AE373=AC373)*($V$3:$AE$3&gt;AC$3)+($V373:$AE373=AC373)*($V$3:$AE$3=AC$3)*($V$2:$AE$2&lt;AC$2))),2))))</f>
      </c>
      <c r="AN373" s="33">
        <f>IF(AD373&lt;=0,0,MAX(0,MIN(AD373,ROUND($AZ373-SUMPRODUCT($V373:$AE373*($V373:$AE373&gt;0)*(($V373:$AE373&lt;AD373)+($V373:$AE373=AD373)*($V$3:$AE$3&gt;AD$3)+($V373:$AE373=AD373)*($V$3:$AE$3=AD$3)*($V$2:$AE$2&lt;AD$2))),2))))</f>
      </c>
      <c r="AO373" s="33">
        <f>IF(AE373&lt;=0,0,MAX(0,MIN(AE373,ROUND($AZ373-SUMPRODUCT($V373:$AE373*($V373:$AE373&gt;0)*(($V373:$AE373&lt;AE373)+($V373:$AE373=AE373)*($V$3:$AE$3&gt;AE$3)+($V373:$AE373=AE373)*($V$3:$AE$3=AE$3)*($V$2:$AE$2&lt;AE$2))),2))))</f>
      </c>
      <c r="AP373" s="33">
        <f>ROUND(V373-AF373,2)</f>
      </c>
      <c r="AQ373" s="33">
        <f>ROUND(W373-AG373,2)</f>
      </c>
      <c r="AR373" s="33">
        <f>ROUND(X373-AH373,2)</f>
      </c>
      <c r="AS373" s="33">
        <f>ROUND(Y373-AI373,2)</f>
      </c>
      <c r="AT373" s="33">
        <f>ROUND(Z373-AJ373,2)</f>
      </c>
      <c r="AU373" s="33">
        <f>ROUND(AA373-AK373,2)</f>
      </c>
      <c r="AV373" s="33">
        <f>ROUND(AB373-AL373,2)</f>
      </c>
      <c r="AW373" s="33">
        <f>ROUND(AC373-AM373,2)</f>
      </c>
      <c r="AX373" s="33">
        <f>ROUND(AD373-AN373,2)</f>
      </c>
      <c r="AY373" s="33">
        <f>ROUND(AE373-AO373,2)</f>
      </c>
      <c r="AZ373" s="33">
        <f>ROUND(MAX(0,'Your debts'!$D$22-SUM($L373:$U373)),2)</f>
      </c>
      <c r="BA373" s="33">
        <f>ROUND(SUM($B373:$K373)-SUM($AP372:$AY372),2)</f>
      </c>
      <c r="BB373" s="33">
        <f>SUM($AP373:$AY373)</f>
      </c>
      <c r="BC373" s="33">
        <f>ROUND(SUM($L373:$U373)+SUM($AF373:$AO373),2)</f>
      </c>
    </row>
    <row r="374" spans="1:55" x14ac:dyDescent="0.25">
      <c r="A374">
        <v>367</v>
      </c>
      <c r="B374" s="33">
        <f>IF(AP373&lt;=0,0,ROUND(AP373+ROUND(AP373*V$3/12,2),2))</f>
      </c>
      <c r="C374" s="33">
        <f>IF(AQ373&lt;=0,0,ROUND(AQ373+ROUND(AQ373*W$3/12,2),2))</f>
      </c>
      <c r="D374" s="33">
        <f>IF(AR373&lt;=0,0,ROUND(AR373+ROUND(AR373*X$3/12,2),2))</f>
      </c>
      <c r="E374" s="33">
        <f>IF(AS373&lt;=0,0,ROUND(AS373+ROUND(AS373*Y$3/12,2),2))</f>
      </c>
      <c r="F374" s="33">
        <f>IF(AT373&lt;=0,0,ROUND(AT373+ROUND(AT373*Z$3/12,2),2))</f>
      </c>
      <c r="G374" s="33">
        <f>IF(AU373&lt;=0,0,ROUND(AU373+ROUND(AU373*AA$3/12,2),2))</f>
      </c>
      <c r="H374" s="33">
        <f>IF(AV373&lt;=0,0,ROUND(AV373+ROUND(AV373*AB$3/12,2),2))</f>
      </c>
      <c r="I374" s="33">
        <f>IF(AW373&lt;=0,0,ROUND(AW373+ROUND(AW373*AC$3/12,2),2))</f>
      </c>
      <c r="J374" s="33">
        <f>IF(AX373&lt;=0,0,ROUND(AX373+ROUND(AX373*AD$3/12,2),2))</f>
      </c>
      <c r="K374" s="33">
        <f>IF(AY373&lt;=0,0,ROUND(AY373+ROUND(AY373*AE$3/12,2),2))</f>
      </c>
      <c r="L374" s="33">
        <f>ROUND(MIN(MAX(0,N('Your debts'!$E$6)),B374),2)</f>
      </c>
      <c r="M374" s="33">
        <f>ROUND(MIN(MAX(0,N('Your debts'!$E$7)),C374),2)</f>
      </c>
      <c r="N374" s="33">
        <f>ROUND(MIN(MAX(0,N('Your debts'!$E$8)),D374),2)</f>
      </c>
      <c r="O374" s="33">
        <f>ROUND(MIN(MAX(0,N('Your debts'!$E$9)),E374),2)</f>
      </c>
      <c r="P374" s="33">
        <f>ROUND(MIN(MAX(0,N('Your debts'!$E$10)),F374),2)</f>
      </c>
      <c r="Q374" s="33">
        <f>ROUND(MIN(MAX(0,N('Your debts'!$E$11)),G374),2)</f>
      </c>
      <c r="R374" s="33">
        <f>ROUND(MIN(MAX(0,N('Your debts'!$E$12)),H374),2)</f>
      </c>
      <c r="S374" s="33">
        <f>ROUND(MIN(MAX(0,N('Your debts'!$E$13)),I374),2)</f>
      </c>
      <c r="T374" s="33">
        <f>ROUND(MIN(MAX(0,N('Your debts'!$E$14)),J374),2)</f>
      </c>
      <c r="U374" s="33">
        <f>ROUND(MIN(MAX(0,N('Your debts'!$E$15)),K374),2)</f>
      </c>
      <c r="V374" s="33">
        <f>ROUND(B374-L374,2)</f>
      </c>
      <c r="W374" s="33">
        <f>ROUND(C374-M374,2)</f>
      </c>
      <c r="X374" s="33">
        <f>ROUND(D374-N374,2)</f>
      </c>
      <c r="Y374" s="33">
        <f>ROUND(E374-O374,2)</f>
      </c>
      <c r="Z374" s="33">
        <f>ROUND(F374-P374,2)</f>
      </c>
      <c r="AA374" s="33">
        <f>ROUND(G374-Q374,2)</f>
      </c>
      <c r="AB374" s="33">
        <f>ROUND(H374-R374,2)</f>
      </c>
      <c r="AC374" s="33">
        <f>ROUND(I374-S374,2)</f>
      </c>
      <c r="AD374" s="33">
        <f>ROUND(J374-T374,2)</f>
      </c>
      <c r="AE374" s="33">
        <f>ROUND(K374-U374,2)</f>
      </c>
      <c r="AF374" s="33">
        <f>IF(V374&lt;=0,0,MAX(0,MIN(V374,ROUND($AZ374-SUMPRODUCT($V374:$AE374*($V374:$AE374&gt;0)*(($V374:$AE374&lt;V374)+($V374:$AE374=V374)*($V$3:$AE$3&gt;V$3)+($V374:$AE374=V374)*($V$3:$AE$3=V$3)*($V$2:$AE$2&lt;V$2))),2))))</f>
      </c>
      <c r="AG374" s="33">
        <f>IF(W374&lt;=0,0,MAX(0,MIN(W374,ROUND($AZ374-SUMPRODUCT($V374:$AE374*($V374:$AE374&gt;0)*(($V374:$AE374&lt;W374)+($V374:$AE374=W374)*($V$3:$AE$3&gt;W$3)+($V374:$AE374=W374)*($V$3:$AE$3=W$3)*($V$2:$AE$2&lt;W$2))),2))))</f>
      </c>
      <c r="AH374" s="33">
        <f>IF(X374&lt;=0,0,MAX(0,MIN(X374,ROUND($AZ374-SUMPRODUCT($V374:$AE374*($V374:$AE374&gt;0)*(($V374:$AE374&lt;X374)+($V374:$AE374=X374)*($V$3:$AE$3&gt;X$3)+($V374:$AE374=X374)*($V$3:$AE$3=X$3)*($V$2:$AE$2&lt;X$2))),2))))</f>
      </c>
      <c r="AI374" s="33">
        <f>IF(Y374&lt;=0,0,MAX(0,MIN(Y374,ROUND($AZ374-SUMPRODUCT($V374:$AE374*($V374:$AE374&gt;0)*(($V374:$AE374&lt;Y374)+($V374:$AE374=Y374)*($V$3:$AE$3&gt;Y$3)+($V374:$AE374=Y374)*($V$3:$AE$3=Y$3)*($V$2:$AE$2&lt;Y$2))),2))))</f>
      </c>
      <c r="AJ374" s="33">
        <f>IF(Z374&lt;=0,0,MAX(0,MIN(Z374,ROUND($AZ374-SUMPRODUCT($V374:$AE374*($V374:$AE374&gt;0)*(($V374:$AE374&lt;Z374)+($V374:$AE374=Z374)*($V$3:$AE$3&gt;Z$3)+($V374:$AE374=Z374)*($V$3:$AE$3=Z$3)*($V$2:$AE$2&lt;Z$2))),2))))</f>
      </c>
      <c r="AK374" s="33">
        <f>IF(AA374&lt;=0,0,MAX(0,MIN(AA374,ROUND($AZ374-SUMPRODUCT($V374:$AE374*($V374:$AE374&gt;0)*(($V374:$AE374&lt;AA374)+($V374:$AE374=AA374)*($V$3:$AE$3&gt;AA$3)+($V374:$AE374=AA374)*($V$3:$AE$3=AA$3)*($V$2:$AE$2&lt;AA$2))),2))))</f>
      </c>
      <c r="AL374" s="33">
        <f>IF(AB374&lt;=0,0,MAX(0,MIN(AB374,ROUND($AZ374-SUMPRODUCT($V374:$AE374*($V374:$AE374&gt;0)*(($V374:$AE374&lt;AB374)+($V374:$AE374=AB374)*($V$3:$AE$3&gt;AB$3)+($V374:$AE374=AB374)*($V$3:$AE$3=AB$3)*($V$2:$AE$2&lt;AB$2))),2))))</f>
      </c>
      <c r="AM374" s="33">
        <f>IF(AC374&lt;=0,0,MAX(0,MIN(AC374,ROUND($AZ374-SUMPRODUCT($V374:$AE374*($V374:$AE374&gt;0)*(($V374:$AE374&lt;AC374)+($V374:$AE374=AC374)*($V$3:$AE$3&gt;AC$3)+($V374:$AE374=AC374)*($V$3:$AE$3=AC$3)*($V$2:$AE$2&lt;AC$2))),2))))</f>
      </c>
      <c r="AN374" s="33">
        <f>IF(AD374&lt;=0,0,MAX(0,MIN(AD374,ROUND($AZ374-SUMPRODUCT($V374:$AE374*($V374:$AE374&gt;0)*(($V374:$AE374&lt;AD374)+($V374:$AE374=AD374)*($V$3:$AE$3&gt;AD$3)+($V374:$AE374=AD374)*($V$3:$AE$3=AD$3)*($V$2:$AE$2&lt;AD$2))),2))))</f>
      </c>
      <c r="AO374" s="33">
        <f>IF(AE374&lt;=0,0,MAX(0,MIN(AE374,ROUND($AZ374-SUMPRODUCT($V374:$AE374*($V374:$AE374&gt;0)*(($V374:$AE374&lt;AE374)+($V374:$AE374=AE374)*($V$3:$AE$3&gt;AE$3)+($V374:$AE374=AE374)*($V$3:$AE$3=AE$3)*($V$2:$AE$2&lt;AE$2))),2))))</f>
      </c>
      <c r="AP374" s="33">
        <f>ROUND(V374-AF374,2)</f>
      </c>
      <c r="AQ374" s="33">
        <f>ROUND(W374-AG374,2)</f>
      </c>
      <c r="AR374" s="33">
        <f>ROUND(X374-AH374,2)</f>
      </c>
      <c r="AS374" s="33">
        <f>ROUND(Y374-AI374,2)</f>
      </c>
      <c r="AT374" s="33">
        <f>ROUND(Z374-AJ374,2)</f>
      </c>
      <c r="AU374" s="33">
        <f>ROUND(AA374-AK374,2)</f>
      </c>
      <c r="AV374" s="33">
        <f>ROUND(AB374-AL374,2)</f>
      </c>
      <c r="AW374" s="33">
        <f>ROUND(AC374-AM374,2)</f>
      </c>
      <c r="AX374" s="33">
        <f>ROUND(AD374-AN374,2)</f>
      </c>
      <c r="AY374" s="33">
        <f>ROUND(AE374-AO374,2)</f>
      </c>
      <c r="AZ374" s="33">
        <f>ROUND(MAX(0,'Your debts'!$D$22-SUM($L374:$U374)),2)</f>
      </c>
      <c r="BA374" s="33">
        <f>ROUND(SUM($B374:$K374)-SUM($AP373:$AY373),2)</f>
      </c>
      <c r="BB374" s="33">
        <f>SUM($AP374:$AY374)</f>
      </c>
      <c r="BC374" s="33">
        <f>ROUND(SUM($L374:$U374)+SUM($AF374:$AO374),2)</f>
      </c>
    </row>
    <row r="375" spans="1:55" x14ac:dyDescent="0.25">
      <c r="A375">
        <v>368</v>
      </c>
      <c r="B375" s="33">
        <f>IF(AP374&lt;=0,0,ROUND(AP374+ROUND(AP374*V$3/12,2),2))</f>
      </c>
      <c r="C375" s="33">
        <f>IF(AQ374&lt;=0,0,ROUND(AQ374+ROUND(AQ374*W$3/12,2),2))</f>
      </c>
      <c r="D375" s="33">
        <f>IF(AR374&lt;=0,0,ROUND(AR374+ROUND(AR374*X$3/12,2),2))</f>
      </c>
      <c r="E375" s="33">
        <f>IF(AS374&lt;=0,0,ROUND(AS374+ROUND(AS374*Y$3/12,2),2))</f>
      </c>
      <c r="F375" s="33">
        <f>IF(AT374&lt;=0,0,ROUND(AT374+ROUND(AT374*Z$3/12,2),2))</f>
      </c>
      <c r="G375" s="33">
        <f>IF(AU374&lt;=0,0,ROUND(AU374+ROUND(AU374*AA$3/12,2),2))</f>
      </c>
      <c r="H375" s="33">
        <f>IF(AV374&lt;=0,0,ROUND(AV374+ROUND(AV374*AB$3/12,2),2))</f>
      </c>
      <c r="I375" s="33">
        <f>IF(AW374&lt;=0,0,ROUND(AW374+ROUND(AW374*AC$3/12,2),2))</f>
      </c>
      <c r="J375" s="33">
        <f>IF(AX374&lt;=0,0,ROUND(AX374+ROUND(AX374*AD$3/12,2),2))</f>
      </c>
      <c r="K375" s="33">
        <f>IF(AY374&lt;=0,0,ROUND(AY374+ROUND(AY374*AE$3/12,2),2))</f>
      </c>
      <c r="L375" s="33">
        <f>ROUND(MIN(MAX(0,N('Your debts'!$E$6)),B375),2)</f>
      </c>
      <c r="M375" s="33">
        <f>ROUND(MIN(MAX(0,N('Your debts'!$E$7)),C375),2)</f>
      </c>
      <c r="N375" s="33">
        <f>ROUND(MIN(MAX(0,N('Your debts'!$E$8)),D375),2)</f>
      </c>
      <c r="O375" s="33">
        <f>ROUND(MIN(MAX(0,N('Your debts'!$E$9)),E375),2)</f>
      </c>
      <c r="P375" s="33">
        <f>ROUND(MIN(MAX(0,N('Your debts'!$E$10)),F375),2)</f>
      </c>
      <c r="Q375" s="33">
        <f>ROUND(MIN(MAX(0,N('Your debts'!$E$11)),G375),2)</f>
      </c>
      <c r="R375" s="33">
        <f>ROUND(MIN(MAX(0,N('Your debts'!$E$12)),H375),2)</f>
      </c>
      <c r="S375" s="33">
        <f>ROUND(MIN(MAX(0,N('Your debts'!$E$13)),I375),2)</f>
      </c>
      <c r="T375" s="33">
        <f>ROUND(MIN(MAX(0,N('Your debts'!$E$14)),J375),2)</f>
      </c>
      <c r="U375" s="33">
        <f>ROUND(MIN(MAX(0,N('Your debts'!$E$15)),K375),2)</f>
      </c>
      <c r="V375" s="33">
        <f>ROUND(B375-L375,2)</f>
      </c>
      <c r="W375" s="33">
        <f>ROUND(C375-M375,2)</f>
      </c>
      <c r="X375" s="33">
        <f>ROUND(D375-N375,2)</f>
      </c>
      <c r="Y375" s="33">
        <f>ROUND(E375-O375,2)</f>
      </c>
      <c r="Z375" s="33">
        <f>ROUND(F375-P375,2)</f>
      </c>
      <c r="AA375" s="33">
        <f>ROUND(G375-Q375,2)</f>
      </c>
      <c r="AB375" s="33">
        <f>ROUND(H375-R375,2)</f>
      </c>
      <c r="AC375" s="33">
        <f>ROUND(I375-S375,2)</f>
      </c>
      <c r="AD375" s="33">
        <f>ROUND(J375-T375,2)</f>
      </c>
      <c r="AE375" s="33">
        <f>ROUND(K375-U375,2)</f>
      </c>
      <c r="AF375" s="33">
        <f>IF(V375&lt;=0,0,MAX(0,MIN(V375,ROUND($AZ375-SUMPRODUCT($V375:$AE375*($V375:$AE375&gt;0)*(($V375:$AE375&lt;V375)+($V375:$AE375=V375)*($V$3:$AE$3&gt;V$3)+($V375:$AE375=V375)*($V$3:$AE$3=V$3)*($V$2:$AE$2&lt;V$2))),2))))</f>
      </c>
      <c r="AG375" s="33">
        <f>IF(W375&lt;=0,0,MAX(0,MIN(W375,ROUND($AZ375-SUMPRODUCT($V375:$AE375*($V375:$AE375&gt;0)*(($V375:$AE375&lt;W375)+($V375:$AE375=W375)*($V$3:$AE$3&gt;W$3)+($V375:$AE375=W375)*($V$3:$AE$3=W$3)*($V$2:$AE$2&lt;W$2))),2))))</f>
      </c>
      <c r="AH375" s="33">
        <f>IF(X375&lt;=0,0,MAX(0,MIN(X375,ROUND($AZ375-SUMPRODUCT($V375:$AE375*($V375:$AE375&gt;0)*(($V375:$AE375&lt;X375)+($V375:$AE375=X375)*($V$3:$AE$3&gt;X$3)+($V375:$AE375=X375)*($V$3:$AE$3=X$3)*($V$2:$AE$2&lt;X$2))),2))))</f>
      </c>
      <c r="AI375" s="33">
        <f>IF(Y375&lt;=0,0,MAX(0,MIN(Y375,ROUND($AZ375-SUMPRODUCT($V375:$AE375*($V375:$AE375&gt;0)*(($V375:$AE375&lt;Y375)+($V375:$AE375=Y375)*($V$3:$AE$3&gt;Y$3)+($V375:$AE375=Y375)*($V$3:$AE$3=Y$3)*($V$2:$AE$2&lt;Y$2))),2))))</f>
      </c>
      <c r="AJ375" s="33">
        <f>IF(Z375&lt;=0,0,MAX(0,MIN(Z375,ROUND($AZ375-SUMPRODUCT($V375:$AE375*($V375:$AE375&gt;0)*(($V375:$AE375&lt;Z375)+($V375:$AE375=Z375)*($V$3:$AE$3&gt;Z$3)+($V375:$AE375=Z375)*($V$3:$AE$3=Z$3)*($V$2:$AE$2&lt;Z$2))),2))))</f>
      </c>
      <c r="AK375" s="33">
        <f>IF(AA375&lt;=0,0,MAX(0,MIN(AA375,ROUND($AZ375-SUMPRODUCT($V375:$AE375*($V375:$AE375&gt;0)*(($V375:$AE375&lt;AA375)+($V375:$AE375=AA375)*($V$3:$AE$3&gt;AA$3)+($V375:$AE375=AA375)*($V$3:$AE$3=AA$3)*($V$2:$AE$2&lt;AA$2))),2))))</f>
      </c>
      <c r="AL375" s="33">
        <f>IF(AB375&lt;=0,0,MAX(0,MIN(AB375,ROUND($AZ375-SUMPRODUCT($V375:$AE375*($V375:$AE375&gt;0)*(($V375:$AE375&lt;AB375)+($V375:$AE375=AB375)*($V$3:$AE$3&gt;AB$3)+($V375:$AE375=AB375)*($V$3:$AE$3=AB$3)*($V$2:$AE$2&lt;AB$2))),2))))</f>
      </c>
      <c r="AM375" s="33">
        <f>IF(AC375&lt;=0,0,MAX(0,MIN(AC375,ROUND($AZ375-SUMPRODUCT($V375:$AE375*($V375:$AE375&gt;0)*(($V375:$AE375&lt;AC375)+($V375:$AE375=AC375)*($V$3:$AE$3&gt;AC$3)+($V375:$AE375=AC375)*($V$3:$AE$3=AC$3)*($V$2:$AE$2&lt;AC$2))),2))))</f>
      </c>
      <c r="AN375" s="33">
        <f>IF(AD375&lt;=0,0,MAX(0,MIN(AD375,ROUND($AZ375-SUMPRODUCT($V375:$AE375*($V375:$AE375&gt;0)*(($V375:$AE375&lt;AD375)+($V375:$AE375=AD375)*($V$3:$AE$3&gt;AD$3)+($V375:$AE375=AD375)*($V$3:$AE$3=AD$3)*($V$2:$AE$2&lt;AD$2))),2))))</f>
      </c>
      <c r="AO375" s="33">
        <f>IF(AE375&lt;=0,0,MAX(0,MIN(AE375,ROUND($AZ375-SUMPRODUCT($V375:$AE375*($V375:$AE375&gt;0)*(($V375:$AE375&lt;AE375)+($V375:$AE375=AE375)*($V$3:$AE$3&gt;AE$3)+($V375:$AE375=AE375)*($V$3:$AE$3=AE$3)*($V$2:$AE$2&lt;AE$2))),2))))</f>
      </c>
      <c r="AP375" s="33">
        <f>ROUND(V375-AF375,2)</f>
      </c>
      <c r="AQ375" s="33">
        <f>ROUND(W375-AG375,2)</f>
      </c>
      <c r="AR375" s="33">
        <f>ROUND(X375-AH375,2)</f>
      </c>
      <c r="AS375" s="33">
        <f>ROUND(Y375-AI375,2)</f>
      </c>
      <c r="AT375" s="33">
        <f>ROUND(Z375-AJ375,2)</f>
      </c>
      <c r="AU375" s="33">
        <f>ROUND(AA375-AK375,2)</f>
      </c>
      <c r="AV375" s="33">
        <f>ROUND(AB375-AL375,2)</f>
      </c>
      <c r="AW375" s="33">
        <f>ROUND(AC375-AM375,2)</f>
      </c>
      <c r="AX375" s="33">
        <f>ROUND(AD375-AN375,2)</f>
      </c>
      <c r="AY375" s="33">
        <f>ROUND(AE375-AO375,2)</f>
      </c>
      <c r="AZ375" s="33">
        <f>ROUND(MAX(0,'Your debts'!$D$22-SUM($L375:$U375)),2)</f>
      </c>
      <c r="BA375" s="33">
        <f>ROUND(SUM($B375:$K375)-SUM($AP374:$AY374),2)</f>
      </c>
      <c r="BB375" s="33">
        <f>SUM($AP375:$AY375)</f>
      </c>
      <c r="BC375" s="33">
        <f>ROUND(SUM($L375:$U375)+SUM($AF375:$AO375),2)</f>
      </c>
    </row>
    <row r="376" spans="1:55" x14ac:dyDescent="0.25">
      <c r="A376">
        <v>369</v>
      </c>
      <c r="B376" s="33">
        <f>IF(AP375&lt;=0,0,ROUND(AP375+ROUND(AP375*V$3/12,2),2))</f>
      </c>
      <c r="C376" s="33">
        <f>IF(AQ375&lt;=0,0,ROUND(AQ375+ROUND(AQ375*W$3/12,2),2))</f>
      </c>
      <c r="D376" s="33">
        <f>IF(AR375&lt;=0,0,ROUND(AR375+ROUND(AR375*X$3/12,2),2))</f>
      </c>
      <c r="E376" s="33">
        <f>IF(AS375&lt;=0,0,ROUND(AS375+ROUND(AS375*Y$3/12,2),2))</f>
      </c>
      <c r="F376" s="33">
        <f>IF(AT375&lt;=0,0,ROUND(AT375+ROUND(AT375*Z$3/12,2),2))</f>
      </c>
      <c r="G376" s="33">
        <f>IF(AU375&lt;=0,0,ROUND(AU375+ROUND(AU375*AA$3/12,2),2))</f>
      </c>
      <c r="H376" s="33">
        <f>IF(AV375&lt;=0,0,ROUND(AV375+ROUND(AV375*AB$3/12,2),2))</f>
      </c>
      <c r="I376" s="33">
        <f>IF(AW375&lt;=0,0,ROUND(AW375+ROUND(AW375*AC$3/12,2),2))</f>
      </c>
      <c r="J376" s="33">
        <f>IF(AX375&lt;=0,0,ROUND(AX375+ROUND(AX375*AD$3/12,2),2))</f>
      </c>
      <c r="K376" s="33">
        <f>IF(AY375&lt;=0,0,ROUND(AY375+ROUND(AY375*AE$3/12,2),2))</f>
      </c>
      <c r="L376" s="33">
        <f>ROUND(MIN(MAX(0,N('Your debts'!$E$6)),B376),2)</f>
      </c>
      <c r="M376" s="33">
        <f>ROUND(MIN(MAX(0,N('Your debts'!$E$7)),C376),2)</f>
      </c>
      <c r="N376" s="33">
        <f>ROUND(MIN(MAX(0,N('Your debts'!$E$8)),D376),2)</f>
      </c>
      <c r="O376" s="33">
        <f>ROUND(MIN(MAX(0,N('Your debts'!$E$9)),E376),2)</f>
      </c>
      <c r="P376" s="33">
        <f>ROUND(MIN(MAX(0,N('Your debts'!$E$10)),F376),2)</f>
      </c>
      <c r="Q376" s="33">
        <f>ROUND(MIN(MAX(0,N('Your debts'!$E$11)),G376),2)</f>
      </c>
      <c r="R376" s="33">
        <f>ROUND(MIN(MAX(0,N('Your debts'!$E$12)),H376),2)</f>
      </c>
      <c r="S376" s="33">
        <f>ROUND(MIN(MAX(0,N('Your debts'!$E$13)),I376),2)</f>
      </c>
      <c r="T376" s="33">
        <f>ROUND(MIN(MAX(0,N('Your debts'!$E$14)),J376),2)</f>
      </c>
      <c r="U376" s="33">
        <f>ROUND(MIN(MAX(0,N('Your debts'!$E$15)),K376),2)</f>
      </c>
      <c r="V376" s="33">
        <f>ROUND(B376-L376,2)</f>
      </c>
      <c r="W376" s="33">
        <f>ROUND(C376-M376,2)</f>
      </c>
      <c r="X376" s="33">
        <f>ROUND(D376-N376,2)</f>
      </c>
      <c r="Y376" s="33">
        <f>ROUND(E376-O376,2)</f>
      </c>
      <c r="Z376" s="33">
        <f>ROUND(F376-P376,2)</f>
      </c>
      <c r="AA376" s="33">
        <f>ROUND(G376-Q376,2)</f>
      </c>
      <c r="AB376" s="33">
        <f>ROUND(H376-R376,2)</f>
      </c>
      <c r="AC376" s="33">
        <f>ROUND(I376-S376,2)</f>
      </c>
      <c r="AD376" s="33">
        <f>ROUND(J376-T376,2)</f>
      </c>
      <c r="AE376" s="33">
        <f>ROUND(K376-U376,2)</f>
      </c>
      <c r="AF376" s="33">
        <f>IF(V376&lt;=0,0,MAX(0,MIN(V376,ROUND($AZ376-SUMPRODUCT($V376:$AE376*($V376:$AE376&gt;0)*(($V376:$AE376&lt;V376)+($V376:$AE376=V376)*($V$3:$AE$3&gt;V$3)+($V376:$AE376=V376)*($V$3:$AE$3=V$3)*($V$2:$AE$2&lt;V$2))),2))))</f>
      </c>
      <c r="AG376" s="33">
        <f>IF(W376&lt;=0,0,MAX(0,MIN(W376,ROUND($AZ376-SUMPRODUCT($V376:$AE376*($V376:$AE376&gt;0)*(($V376:$AE376&lt;W376)+($V376:$AE376=W376)*($V$3:$AE$3&gt;W$3)+($V376:$AE376=W376)*($V$3:$AE$3=W$3)*($V$2:$AE$2&lt;W$2))),2))))</f>
      </c>
      <c r="AH376" s="33">
        <f>IF(X376&lt;=0,0,MAX(0,MIN(X376,ROUND($AZ376-SUMPRODUCT($V376:$AE376*($V376:$AE376&gt;0)*(($V376:$AE376&lt;X376)+($V376:$AE376=X376)*($V$3:$AE$3&gt;X$3)+($V376:$AE376=X376)*($V$3:$AE$3=X$3)*($V$2:$AE$2&lt;X$2))),2))))</f>
      </c>
      <c r="AI376" s="33">
        <f>IF(Y376&lt;=0,0,MAX(0,MIN(Y376,ROUND($AZ376-SUMPRODUCT($V376:$AE376*($V376:$AE376&gt;0)*(($V376:$AE376&lt;Y376)+($V376:$AE376=Y376)*($V$3:$AE$3&gt;Y$3)+($V376:$AE376=Y376)*($V$3:$AE$3=Y$3)*($V$2:$AE$2&lt;Y$2))),2))))</f>
      </c>
      <c r="AJ376" s="33">
        <f>IF(Z376&lt;=0,0,MAX(0,MIN(Z376,ROUND($AZ376-SUMPRODUCT($V376:$AE376*($V376:$AE376&gt;0)*(($V376:$AE376&lt;Z376)+($V376:$AE376=Z376)*($V$3:$AE$3&gt;Z$3)+($V376:$AE376=Z376)*($V$3:$AE$3=Z$3)*($V$2:$AE$2&lt;Z$2))),2))))</f>
      </c>
      <c r="AK376" s="33">
        <f>IF(AA376&lt;=0,0,MAX(0,MIN(AA376,ROUND($AZ376-SUMPRODUCT($V376:$AE376*($V376:$AE376&gt;0)*(($V376:$AE376&lt;AA376)+($V376:$AE376=AA376)*($V$3:$AE$3&gt;AA$3)+($V376:$AE376=AA376)*($V$3:$AE$3=AA$3)*($V$2:$AE$2&lt;AA$2))),2))))</f>
      </c>
      <c r="AL376" s="33">
        <f>IF(AB376&lt;=0,0,MAX(0,MIN(AB376,ROUND($AZ376-SUMPRODUCT($V376:$AE376*($V376:$AE376&gt;0)*(($V376:$AE376&lt;AB376)+($V376:$AE376=AB376)*($V$3:$AE$3&gt;AB$3)+($V376:$AE376=AB376)*($V$3:$AE$3=AB$3)*($V$2:$AE$2&lt;AB$2))),2))))</f>
      </c>
      <c r="AM376" s="33">
        <f>IF(AC376&lt;=0,0,MAX(0,MIN(AC376,ROUND($AZ376-SUMPRODUCT($V376:$AE376*($V376:$AE376&gt;0)*(($V376:$AE376&lt;AC376)+($V376:$AE376=AC376)*($V$3:$AE$3&gt;AC$3)+($V376:$AE376=AC376)*($V$3:$AE$3=AC$3)*($V$2:$AE$2&lt;AC$2))),2))))</f>
      </c>
      <c r="AN376" s="33">
        <f>IF(AD376&lt;=0,0,MAX(0,MIN(AD376,ROUND($AZ376-SUMPRODUCT($V376:$AE376*($V376:$AE376&gt;0)*(($V376:$AE376&lt;AD376)+($V376:$AE376=AD376)*($V$3:$AE$3&gt;AD$3)+($V376:$AE376=AD376)*($V$3:$AE$3=AD$3)*($V$2:$AE$2&lt;AD$2))),2))))</f>
      </c>
      <c r="AO376" s="33">
        <f>IF(AE376&lt;=0,0,MAX(0,MIN(AE376,ROUND($AZ376-SUMPRODUCT($V376:$AE376*($V376:$AE376&gt;0)*(($V376:$AE376&lt;AE376)+($V376:$AE376=AE376)*($V$3:$AE$3&gt;AE$3)+($V376:$AE376=AE376)*($V$3:$AE$3=AE$3)*($V$2:$AE$2&lt;AE$2))),2))))</f>
      </c>
      <c r="AP376" s="33">
        <f>ROUND(V376-AF376,2)</f>
      </c>
      <c r="AQ376" s="33">
        <f>ROUND(W376-AG376,2)</f>
      </c>
      <c r="AR376" s="33">
        <f>ROUND(X376-AH376,2)</f>
      </c>
      <c r="AS376" s="33">
        <f>ROUND(Y376-AI376,2)</f>
      </c>
      <c r="AT376" s="33">
        <f>ROUND(Z376-AJ376,2)</f>
      </c>
      <c r="AU376" s="33">
        <f>ROUND(AA376-AK376,2)</f>
      </c>
      <c r="AV376" s="33">
        <f>ROUND(AB376-AL376,2)</f>
      </c>
      <c r="AW376" s="33">
        <f>ROUND(AC376-AM376,2)</f>
      </c>
      <c r="AX376" s="33">
        <f>ROUND(AD376-AN376,2)</f>
      </c>
      <c r="AY376" s="33">
        <f>ROUND(AE376-AO376,2)</f>
      </c>
      <c r="AZ376" s="33">
        <f>ROUND(MAX(0,'Your debts'!$D$22-SUM($L376:$U376)),2)</f>
      </c>
      <c r="BA376" s="33">
        <f>ROUND(SUM($B376:$K376)-SUM($AP375:$AY375),2)</f>
      </c>
      <c r="BB376" s="33">
        <f>SUM($AP376:$AY376)</f>
      </c>
      <c r="BC376" s="33">
        <f>ROUND(SUM($L376:$U376)+SUM($AF376:$AO376),2)</f>
      </c>
    </row>
    <row r="377" spans="1:55" x14ac:dyDescent="0.25">
      <c r="A377">
        <v>370</v>
      </c>
      <c r="B377" s="33">
        <f>IF(AP376&lt;=0,0,ROUND(AP376+ROUND(AP376*V$3/12,2),2))</f>
      </c>
      <c r="C377" s="33">
        <f>IF(AQ376&lt;=0,0,ROUND(AQ376+ROUND(AQ376*W$3/12,2),2))</f>
      </c>
      <c r="D377" s="33">
        <f>IF(AR376&lt;=0,0,ROUND(AR376+ROUND(AR376*X$3/12,2),2))</f>
      </c>
      <c r="E377" s="33">
        <f>IF(AS376&lt;=0,0,ROUND(AS376+ROUND(AS376*Y$3/12,2),2))</f>
      </c>
      <c r="F377" s="33">
        <f>IF(AT376&lt;=0,0,ROUND(AT376+ROUND(AT376*Z$3/12,2),2))</f>
      </c>
      <c r="G377" s="33">
        <f>IF(AU376&lt;=0,0,ROUND(AU376+ROUND(AU376*AA$3/12,2),2))</f>
      </c>
      <c r="H377" s="33">
        <f>IF(AV376&lt;=0,0,ROUND(AV376+ROUND(AV376*AB$3/12,2),2))</f>
      </c>
      <c r="I377" s="33">
        <f>IF(AW376&lt;=0,0,ROUND(AW376+ROUND(AW376*AC$3/12,2),2))</f>
      </c>
      <c r="J377" s="33">
        <f>IF(AX376&lt;=0,0,ROUND(AX376+ROUND(AX376*AD$3/12,2),2))</f>
      </c>
      <c r="K377" s="33">
        <f>IF(AY376&lt;=0,0,ROUND(AY376+ROUND(AY376*AE$3/12,2),2))</f>
      </c>
      <c r="L377" s="33">
        <f>ROUND(MIN(MAX(0,N('Your debts'!$E$6)),B377),2)</f>
      </c>
      <c r="M377" s="33">
        <f>ROUND(MIN(MAX(0,N('Your debts'!$E$7)),C377),2)</f>
      </c>
      <c r="N377" s="33">
        <f>ROUND(MIN(MAX(0,N('Your debts'!$E$8)),D377),2)</f>
      </c>
      <c r="O377" s="33">
        <f>ROUND(MIN(MAX(0,N('Your debts'!$E$9)),E377),2)</f>
      </c>
      <c r="P377" s="33">
        <f>ROUND(MIN(MAX(0,N('Your debts'!$E$10)),F377),2)</f>
      </c>
      <c r="Q377" s="33">
        <f>ROUND(MIN(MAX(0,N('Your debts'!$E$11)),G377),2)</f>
      </c>
      <c r="R377" s="33">
        <f>ROUND(MIN(MAX(0,N('Your debts'!$E$12)),H377),2)</f>
      </c>
      <c r="S377" s="33">
        <f>ROUND(MIN(MAX(0,N('Your debts'!$E$13)),I377),2)</f>
      </c>
      <c r="T377" s="33">
        <f>ROUND(MIN(MAX(0,N('Your debts'!$E$14)),J377),2)</f>
      </c>
      <c r="U377" s="33">
        <f>ROUND(MIN(MAX(0,N('Your debts'!$E$15)),K377),2)</f>
      </c>
      <c r="V377" s="33">
        <f>ROUND(B377-L377,2)</f>
      </c>
      <c r="W377" s="33">
        <f>ROUND(C377-M377,2)</f>
      </c>
      <c r="X377" s="33">
        <f>ROUND(D377-N377,2)</f>
      </c>
      <c r="Y377" s="33">
        <f>ROUND(E377-O377,2)</f>
      </c>
      <c r="Z377" s="33">
        <f>ROUND(F377-P377,2)</f>
      </c>
      <c r="AA377" s="33">
        <f>ROUND(G377-Q377,2)</f>
      </c>
      <c r="AB377" s="33">
        <f>ROUND(H377-R377,2)</f>
      </c>
      <c r="AC377" s="33">
        <f>ROUND(I377-S377,2)</f>
      </c>
      <c r="AD377" s="33">
        <f>ROUND(J377-T377,2)</f>
      </c>
      <c r="AE377" s="33">
        <f>ROUND(K377-U377,2)</f>
      </c>
      <c r="AF377" s="33">
        <f>IF(V377&lt;=0,0,MAX(0,MIN(V377,ROUND($AZ377-SUMPRODUCT($V377:$AE377*($V377:$AE377&gt;0)*(($V377:$AE377&lt;V377)+($V377:$AE377=V377)*($V$3:$AE$3&gt;V$3)+($V377:$AE377=V377)*($V$3:$AE$3=V$3)*($V$2:$AE$2&lt;V$2))),2))))</f>
      </c>
      <c r="AG377" s="33">
        <f>IF(W377&lt;=0,0,MAX(0,MIN(W377,ROUND($AZ377-SUMPRODUCT($V377:$AE377*($V377:$AE377&gt;0)*(($V377:$AE377&lt;W377)+($V377:$AE377=W377)*($V$3:$AE$3&gt;W$3)+($V377:$AE377=W377)*($V$3:$AE$3=W$3)*($V$2:$AE$2&lt;W$2))),2))))</f>
      </c>
      <c r="AH377" s="33">
        <f>IF(X377&lt;=0,0,MAX(0,MIN(X377,ROUND($AZ377-SUMPRODUCT($V377:$AE377*($V377:$AE377&gt;0)*(($V377:$AE377&lt;X377)+($V377:$AE377=X377)*($V$3:$AE$3&gt;X$3)+($V377:$AE377=X377)*($V$3:$AE$3=X$3)*($V$2:$AE$2&lt;X$2))),2))))</f>
      </c>
      <c r="AI377" s="33">
        <f>IF(Y377&lt;=0,0,MAX(0,MIN(Y377,ROUND($AZ377-SUMPRODUCT($V377:$AE377*($V377:$AE377&gt;0)*(($V377:$AE377&lt;Y377)+($V377:$AE377=Y377)*($V$3:$AE$3&gt;Y$3)+($V377:$AE377=Y377)*($V$3:$AE$3=Y$3)*($V$2:$AE$2&lt;Y$2))),2))))</f>
      </c>
      <c r="AJ377" s="33">
        <f>IF(Z377&lt;=0,0,MAX(0,MIN(Z377,ROUND($AZ377-SUMPRODUCT($V377:$AE377*($V377:$AE377&gt;0)*(($V377:$AE377&lt;Z377)+($V377:$AE377=Z377)*($V$3:$AE$3&gt;Z$3)+($V377:$AE377=Z377)*($V$3:$AE$3=Z$3)*($V$2:$AE$2&lt;Z$2))),2))))</f>
      </c>
      <c r="AK377" s="33">
        <f>IF(AA377&lt;=0,0,MAX(0,MIN(AA377,ROUND($AZ377-SUMPRODUCT($V377:$AE377*($V377:$AE377&gt;0)*(($V377:$AE377&lt;AA377)+($V377:$AE377=AA377)*($V$3:$AE$3&gt;AA$3)+($V377:$AE377=AA377)*($V$3:$AE$3=AA$3)*($V$2:$AE$2&lt;AA$2))),2))))</f>
      </c>
      <c r="AL377" s="33">
        <f>IF(AB377&lt;=0,0,MAX(0,MIN(AB377,ROUND($AZ377-SUMPRODUCT($V377:$AE377*($V377:$AE377&gt;0)*(($V377:$AE377&lt;AB377)+($V377:$AE377=AB377)*($V$3:$AE$3&gt;AB$3)+($V377:$AE377=AB377)*($V$3:$AE$3=AB$3)*($V$2:$AE$2&lt;AB$2))),2))))</f>
      </c>
      <c r="AM377" s="33">
        <f>IF(AC377&lt;=0,0,MAX(0,MIN(AC377,ROUND($AZ377-SUMPRODUCT($V377:$AE377*($V377:$AE377&gt;0)*(($V377:$AE377&lt;AC377)+($V377:$AE377=AC377)*($V$3:$AE$3&gt;AC$3)+($V377:$AE377=AC377)*($V$3:$AE$3=AC$3)*($V$2:$AE$2&lt;AC$2))),2))))</f>
      </c>
      <c r="AN377" s="33">
        <f>IF(AD377&lt;=0,0,MAX(0,MIN(AD377,ROUND($AZ377-SUMPRODUCT($V377:$AE377*($V377:$AE377&gt;0)*(($V377:$AE377&lt;AD377)+($V377:$AE377=AD377)*($V$3:$AE$3&gt;AD$3)+($V377:$AE377=AD377)*($V$3:$AE$3=AD$3)*($V$2:$AE$2&lt;AD$2))),2))))</f>
      </c>
      <c r="AO377" s="33">
        <f>IF(AE377&lt;=0,0,MAX(0,MIN(AE377,ROUND($AZ377-SUMPRODUCT($V377:$AE377*($V377:$AE377&gt;0)*(($V377:$AE377&lt;AE377)+($V377:$AE377=AE377)*($V$3:$AE$3&gt;AE$3)+($V377:$AE377=AE377)*($V$3:$AE$3=AE$3)*($V$2:$AE$2&lt;AE$2))),2))))</f>
      </c>
      <c r="AP377" s="33">
        <f>ROUND(V377-AF377,2)</f>
      </c>
      <c r="AQ377" s="33">
        <f>ROUND(W377-AG377,2)</f>
      </c>
      <c r="AR377" s="33">
        <f>ROUND(X377-AH377,2)</f>
      </c>
      <c r="AS377" s="33">
        <f>ROUND(Y377-AI377,2)</f>
      </c>
      <c r="AT377" s="33">
        <f>ROUND(Z377-AJ377,2)</f>
      </c>
      <c r="AU377" s="33">
        <f>ROUND(AA377-AK377,2)</f>
      </c>
      <c r="AV377" s="33">
        <f>ROUND(AB377-AL377,2)</f>
      </c>
      <c r="AW377" s="33">
        <f>ROUND(AC377-AM377,2)</f>
      </c>
      <c r="AX377" s="33">
        <f>ROUND(AD377-AN377,2)</f>
      </c>
      <c r="AY377" s="33">
        <f>ROUND(AE377-AO377,2)</f>
      </c>
      <c r="AZ377" s="33">
        <f>ROUND(MAX(0,'Your debts'!$D$22-SUM($L377:$U377)),2)</f>
      </c>
      <c r="BA377" s="33">
        <f>ROUND(SUM($B377:$K377)-SUM($AP376:$AY376),2)</f>
      </c>
      <c r="BB377" s="33">
        <f>SUM($AP377:$AY377)</f>
      </c>
      <c r="BC377" s="33">
        <f>ROUND(SUM($L377:$U377)+SUM($AF377:$AO377),2)</f>
      </c>
    </row>
    <row r="378" spans="1:55" x14ac:dyDescent="0.25">
      <c r="A378">
        <v>371</v>
      </c>
      <c r="B378" s="33">
        <f>IF(AP377&lt;=0,0,ROUND(AP377+ROUND(AP377*V$3/12,2),2))</f>
      </c>
      <c r="C378" s="33">
        <f>IF(AQ377&lt;=0,0,ROUND(AQ377+ROUND(AQ377*W$3/12,2),2))</f>
      </c>
      <c r="D378" s="33">
        <f>IF(AR377&lt;=0,0,ROUND(AR377+ROUND(AR377*X$3/12,2),2))</f>
      </c>
      <c r="E378" s="33">
        <f>IF(AS377&lt;=0,0,ROUND(AS377+ROUND(AS377*Y$3/12,2),2))</f>
      </c>
      <c r="F378" s="33">
        <f>IF(AT377&lt;=0,0,ROUND(AT377+ROUND(AT377*Z$3/12,2),2))</f>
      </c>
      <c r="G378" s="33">
        <f>IF(AU377&lt;=0,0,ROUND(AU377+ROUND(AU377*AA$3/12,2),2))</f>
      </c>
      <c r="H378" s="33">
        <f>IF(AV377&lt;=0,0,ROUND(AV377+ROUND(AV377*AB$3/12,2),2))</f>
      </c>
      <c r="I378" s="33">
        <f>IF(AW377&lt;=0,0,ROUND(AW377+ROUND(AW377*AC$3/12,2),2))</f>
      </c>
      <c r="J378" s="33">
        <f>IF(AX377&lt;=0,0,ROUND(AX377+ROUND(AX377*AD$3/12,2),2))</f>
      </c>
      <c r="K378" s="33">
        <f>IF(AY377&lt;=0,0,ROUND(AY377+ROUND(AY377*AE$3/12,2),2))</f>
      </c>
      <c r="L378" s="33">
        <f>ROUND(MIN(MAX(0,N('Your debts'!$E$6)),B378),2)</f>
      </c>
      <c r="M378" s="33">
        <f>ROUND(MIN(MAX(0,N('Your debts'!$E$7)),C378),2)</f>
      </c>
      <c r="N378" s="33">
        <f>ROUND(MIN(MAX(0,N('Your debts'!$E$8)),D378),2)</f>
      </c>
      <c r="O378" s="33">
        <f>ROUND(MIN(MAX(0,N('Your debts'!$E$9)),E378),2)</f>
      </c>
      <c r="P378" s="33">
        <f>ROUND(MIN(MAX(0,N('Your debts'!$E$10)),F378),2)</f>
      </c>
      <c r="Q378" s="33">
        <f>ROUND(MIN(MAX(0,N('Your debts'!$E$11)),G378),2)</f>
      </c>
      <c r="R378" s="33">
        <f>ROUND(MIN(MAX(0,N('Your debts'!$E$12)),H378),2)</f>
      </c>
      <c r="S378" s="33">
        <f>ROUND(MIN(MAX(0,N('Your debts'!$E$13)),I378),2)</f>
      </c>
      <c r="T378" s="33">
        <f>ROUND(MIN(MAX(0,N('Your debts'!$E$14)),J378),2)</f>
      </c>
      <c r="U378" s="33">
        <f>ROUND(MIN(MAX(0,N('Your debts'!$E$15)),K378),2)</f>
      </c>
      <c r="V378" s="33">
        <f>ROUND(B378-L378,2)</f>
      </c>
      <c r="W378" s="33">
        <f>ROUND(C378-M378,2)</f>
      </c>
      <c r="X378" s="33">
        <f>ROUND(D378-N378,2)</f>
      </c>
      <c r="Y378" s="33">
        <f>ROUND(E378-O378,2)</f>
      </c>
      <c r="Z378" s="33">
        <f>ROUND(F378-P378,2)</f>
      </c>
      <c r="AA378" s="33">
        <f>ROUND(G378-Q378,2)</f>
      </c>
      <c r="AB378" s="33">
        <f>ROUND(H378-R378,2)</f>
      </c>
      <c r="AC378" s="33">
        <f>ROUND(I378-S378,2)</f>
      </c>
      <c r="AD378" s="33">
        <f>ROUND(J378-T378,2)</f>
      </c>
      <c r="AE378" s="33">
        <f>ROUND(K378-U378,2)</f>
      </c>
      <c r="AF378" s="33">
        <f>IF(V378&lt;=0,0,MAX(0,MIN(V378,ROUND($AZ378-SUMPRODUCT($V378:$AE378*($V378:$AE378&gt;0)*(($V378:$AE378&lt;V378)+($V378:$AE378=V378)*($V$3:$AE$3&gt;V$3)+($V378:$AE378=V378)*($V$3:$AE$3=V$3)*($V$2:$AE$2&lt;V$2))),2))))</f>
      </c>
      <c r="AG378" s="33">
        <f>IF(W378&lt;=0,0,MAX(0,MIN(W378,ROUND($AZ378-SUMPRODUCT($V378:$AE378*($V378:$AE378&gt;0)*(($V378:$AE378&lt;W378)+($V378:$AE378=W378)*($V$3:$AE$3&gt;W$3)+($V378:$AE378=W378)*($V$3:$AE$3=W$3)*($V$2:$AE$2&lt;W$2))),2))))</f>
      </c>
      <c r="AH378" s="33">
        <f>IF(X378&lt;=0,0,MAX(0,MIN(X378,ROUND($AZ378-SUMPRODUCT($V378:$AE378*($V378:$AE378&gt;0)*(($V378:$AE378&lt;X378)+($V378:$AE378=X378)*($V$3:$AE$3&gt;X$3)+($V378:$AE378=X378)*($V$3:$AE$3=X$3)*($V$2:$AE$2&lt;X$2))),2))))</f>
      </c>
      <c r="AI378" s="33">
        <f>IF(Y378&lt;=0,0,MAX(0,MIN(Y378,ROUND($AZ378-SUMPRODUCT($V378:$AE378*($V378:$AE378&gt;0)*(($V378:$AE378&lt;Y378)+($V378:$AE378=Y378)*($V$3:$AE$3&gt;Y$3)+($V378:$AE378=Y378)*($V$3:$AE$3=Y$3)*($V$2:$AE$2&lt;Y$2))),2))))</f>
      </c>
      <c r="AJ378" s="33">
        <f>IF(Z378&lt;=0,0,MAX(0,MIN(Z378,ROUND($AZ378-SUMPRODUCT($V378:$AE378*($V378:$AE378&gt;0)*(($V378:$AE378&lt;Z378)+($V378:$AE378=Z378)*($V$3:$AE$3&gt;Z$3)+($V378:$AE378=Z378)*($V$3:$AE$3=Z$3)*($V$2:$AE$2&lt;Z$2))),2))))</f>
      </c>
      <c r="AK378" s="33">
        <f>IF(AA378&lt;=0,0,MAX(0,MIN(AA378,ROUND($AZ378-SUMPRODUCT($V378:$AE378*($V378:$AE378&gt;0)*(($V378:$AE378&lt;AA378)+($V378:$AE378=AA378)*($V$3:$AE$3&gt;AA$3)+($V378:$AE378=AA378)*($V$3:$AE$3=AA$3)*($V$2:$AE$2&lt;AA$2))),2))))</f>
      </c>
      <c r="AL378" s="33">
        <f>IF(AB378&lt;=0,0,MAX(0,MIN(AB378,ROUND($AZ378-SUMPRODUCT($V378:$AE378*($V378:$AE378&gt;0)*(($V378:$AE378&lt;AB378)+($V378:$AE378=AB378)*($V$3:$AE$3&gt;AB$3)+($V378:$AE378=AB378)*($V$3:$AE$3=AB$3)*($V$2:$AE$2&lt;AB$2))),2))))</f>
      </c>
      <c r="AM378" s="33">
        <f>IF(AC378&lt;=0,0,MAX(0,MIN(AC378,ROUND($AZ378-SUMPRODUCT($V378:$AE378*($V378:$AE378&gt;0)*(($V378:$AE378&lt;AC378)+($V378:$AE378=AC378)*($V$3:$AE$3&gt;AC$3)+($V378:$AE378=AC378)*($V$3:$AE$3=AC$3)*($V$2:$AE$2&lt;AC$2))),2))))</f>
      </c>
      <c r="AN378" s="33">
        <f>IF(AD378&lt;=0,0,MAX(0,MIN(AD378,ROUND($AZ378-SUMPRODUCT($V378:$AE378*($V378:$AE378&gt;0)*(($V378:$AE378&lt;AD378)+($V378:$AE378=AD378)*($V$3:$AE$3&gt;AD$3)+($V378:$AE378=AD378)*($V$3:$AE$3=AD$3)*($V$2:$AE$2&lt;AD$2))),2))))</f>
      </c>
      <c r="AO378" s="33">
        <f>IF(AE378&lt;=0,0,MAX(0,MIN(AE378,ROUND($AZ378-SUMPRODUCT($V378:$AE378*($V378:$AE378&gt;0)*(($V378:$AE378&lt;AE378)+($V378:$AE378=AE378)*($V$3:$AE$3&gt;AE$3)+($V378:$AE378=AE378)*($V$3:$AE$3=AE$3)*($V$2:$AE$2&lt;AE$2))),2))))</f>
      </c>
      <c r="AP378" s="33">
        <f>ROUND(V378-AF378,2)</f>
      </c>
      <c r="AQ378" s="33">
        <f>ROUND(W378-AG378,2)</f>
      </c>
      <c r="AR378" s="33">
        <f>ROUND(X378-AH378,2)</f>
      </c>
      <c r="AS378" s="33">
        <f>ROUND(Y378-AI378,2)</f>
      </c>
      <c r="AT378" s="33">
        <f>ROUND(Z378-AJ378,2)</f>
      </c>
      <c r="AU378" s="33">
        <f>ROUND(AA378-AK378,2)</f>
      </c>
      <c r="AV378" s="33">
        <f>ROUND(AB378-AL378,2)</f>
      </c>
      <c r="AW378" s="33">
        <f>ROUND(AC378-AM378,2)</f>
      </c>
      <c r="AX378" s="33">
        <f>ROUND(AD378-AN378,2)</f>
      </c>
      <c r="AY378" s="33">
        <f>ROUND(AE378-AO378,2)</f>
      </c>
      <c r="AZ378" s="33">
        <f>ROUND(MAX(0,'Your debts'!$D$22-SUM($L378:$U378)),2)</f>
      </c>
      <c r="BA378" s="33">
        <f>ROUND(SUM($B378:$K378)-SUM($AP377:$AY377),2)</f>
      </c>
      <c r="BB378" s="33">
        <f>SUM($AP378:$AY378)</f>
      </c>
      <c r="BC378" s="33">
        <f>ROUND(SUM($L378:$U378)+SUM($AF378:$AO378),2)</f>
      </c>
    </row>
    <row r="379" spans="1:55" x14ac:dyDescent="0.25">
      <c r="A379">
        <v>372</v>
      </c>
      <c r="B379" s="33">
        <f>IF(AP378&lt;=0,0,ROUND(AP378+ROUND(AP378*V$3/12,2),2))</f>
      </c>
      <c r="C379" s="33">
        <f>IF(AQ378&lt;=0,0,ROUND(AQ378+ROUND(AQ378*W$3/12,2),2))</f>
      </c>
      <c r="D379" s="33">
        <f>IF(AR378&lt;=0,0,ROUND(AR378+ROUND(AR378*X$3/12,2),2))</f>
      </c>
      <c r="E379" s="33">
        <f>IF(AS378&lt;=0,0,ROUND(AS378+ROUND(AS378*Y$3/12,2),2))</f>
      </c>
      <c r="F379" s="33">
        <f>IF(AT378&lt;=0,0,ROUND(AT378+ROUND(AT378*Z$3/12,2),2))</f>
      </c>
      <c r="G379" s="33">
        <f>IF(AU378&lt;=0,0,ROUND(AU378+ROUND(AU378*AA$3/12,2),2))</f>
      </c>
      <c r="H379" s="33">
        <f>IF(AV378&lt;=0,0,ROUND(AV378+ROUND(AV378*AB$3/12,2),2))</f>
      </c>
      <c r="I379" s="33">
        <f>IF(AW378&lt;=0,0,ROUND(AW378+ROUND(AW378*AC$3/12,2),2))</f>
      </c>
      <c r="J379" s="33">
        <f>IF(AX378&lt;=0,0,ROUND(AX378+ROUND(AX378*AD$3/12,2),2))</f>
      </c>
      <c r="K379" s="33">
        <f>IF(AY378&lt;=0,0,ROUND(AY378+ROUND(AY378*AE$3/12,2),2))</f>
      </c>
      <c r="L379" s="33">
        <f>ROUND(MIN(MAX(0,N('Your debts'!$E$6)),B379),2)</f>
      </c>
      <c r="M379" s="33">
        <f>ROUND(MIN(MAX(0,N('Your debts'!$E$7)),C379),2)</f>
      </c>
      <c r="N379" s="33">
        <f>ROUND(MIN(MAX(0,N('Your debts'!$E$8)),D379),2)</f>
      </c>
      <c r="O379" s="33">
        <f>ROUND(MIN(MAX(0,N('Your debts'!$E$9)),E379),2)</f>
      </c>
      <c r="P379" s="33">
        <f>ROUND(MIN(MAX(0,N('Your debts'!$E$10)),F379),2)</f>
      </c>
      <c r="Q379" s="33">
        <f>ROUND(MIN(MAX(0,N('Your debts'!$E$11)),G379),2)</f>
      </c>
      <c r="R379" s="33">
        <f>ROUND(MIN(MAX(0,N('Your debts'!$E$12)),H379),2)</f>
      </c>
      <c r="S379" s="33">
        <f>ROUND(MIN(MAX(0,N('Your debts'!$E$13)),I379),2)</f>
      </c>
      <c r="T379" s="33">
        <f>ROUND(MIN(MAX(0,N('Your debts'!$E$14)),J379),2)</f>
      </c>
      <c r="U379" s="33">
        <f>ROUND(MIN(MAX(0,N('Your debts'!$E$15)),K379),2)</f>
      </c>
      <c r="V379" s="33">
        <f>ROUND(B379-L379,2)</f>
      </c>
      <c r="W379" s="33">
        <f>ROUND(C379-M379,2)</f>
      </c>
      <c r="X379" s="33">
        <f>ROUND(D379-N379,2)</f>
      </c>
      <c r="Y379" s="33">
        <f>ROUND(E379-O379,2)</f>
      </c>
      <c r="Z379" s="33">
        <f>ROUND(F379-P379,2)</f>
      </c>
      <c r="AA379" s="33">
        <f>ROUND(G379-Q379,2)</f>
      </c>
      <c r="AB379" s="33">
        <f>ROUND(H379-R379,2)</f>
      </c>
      <c r="AC379" s="33">
        <f>ROUND(I379-S379,2)</f>
      </c>
      <c r="AD379" s="33">
        <f>ROUND(J379-T379,2)</f>
      </c>
      <c r="AE379" s="33">
        <f>ROUND(K379-U379,2)</f>
      </c>
      <c r="AF379" s="33">
        <f>IF(V379&lt;=0,0,MAX(0,MIN(V379,ROUND($AZ379-SUMPRODUCT($V379:$AE379*($V379:$AE379&gt;0)*(($V379:$AE379&lt;V379)+($V379:$AE379=V379)*($V$3:$AE$3&gt;V$3)+($V379:$AE379=V379)*($V$3:$AE$3=V$3)*($V$2:$AE$2&lt;V$2))),2))))</f>
      </c>
      <c r="AG379" s="33">
        <f>IF(W379&lt;=0,0,MAX(0,MIN(W379,ROUND($AZ379-SUMPRODUCT($V379:$AE379*($V379:$AE379&gt;0)*(($V379:$AE379&lt;W379)+($V379:$AE379=W379)*($V$3:$AE$3&gt;W$3)+($V379:$AE379=W379)*($V$3:$AE$3=W$3)*($V$2:$AE$2&lt;W$2))),2))))</f>
      </c>
      <c r="AH379" s="33">
        <f>IF(X379&lt;=0,0,MAX(0,MIN(X379,ROUND($AZ379-SUMPRODUCT($V379:$AE379*($V379:$AE379&gt;0)*(($V379:$AE379&lt;X379)+($V379:$AE379=X379)*($V$3:$AE$3&gt;X$3)+($V379:$AE379=X379)*($V$3:$AE$3=X$3)*($V$2:$AE$2&lt;X$2))),2))))</f>
      </c>
      <c r="AI379" s="33">
        <f>IF(Y379&lt;=0,0,MAX(0,MIN(Y379,ROUND($AZ379-SUMPRODUCT($V379:$AE379*($V379:$AE379&gt;0)*(($V379:$AE379&lt;Y379)+($V379:$AE379=Y379)*($V$3:$AE$3&gt;Y$3)+($V379:$AE379=Y379)*($V$3:$AE$3=Y$3)*($V$2:$AE$2&lt;Y$2))),2))))</f>
      </c>
      <c r="AJ379" s="33">
        <f>IF(Z379&lt;=0,0,MAX(0,MIN(Z379,ROUND($AZ379-SUMPRODUCT($V379:$AE379*($V379:$AE379&gt;0)*(($V379:$AE379&lt;Z379)+($V379:$AE379=Z379)*($V$3:$AE$3&gt;Z$3)+($V379:$AE379=Z379)*($V$3:$AE$3=Z$3)*($V$2:$AE$2&lt;Z$2))),2))))</f>
      </c>
      <c r="AK379" s="33">
        <f>IF(AA379&lt;=0,0,MAX(0,MIN(AA379,ROUND($AZ379-SUMPRODUCT($V379:$AE379*($V379:$AE379&gt;0)*(($V379:$AE379&lt;AA379)+($V379:$AE379=AA379)*($V$3:$AE$3&gt;AA$3)+($V379:$AE379=AA379)*($V$3:$AE$3=AA$3)*($V$2:$AE$2&lt;AA$2))),2))))</f>
      </c>
      <c r="AL379" s="33">
        <f>IF(AB379&lt;=0,0,MAX(0,MIN(AB379,ROUND($AZ379-SUMPRODUCT($V379:$AE379*($V379:$AE379&gt;0)*(($V379:$AE379&lt;AB379)+($V379:$AE379=AB379)*($V$3:$AE$3&gt;AB$3)+($V379:$AE379=AB379)*($V$3:$AE$3=AB$3)*($V$2:$AE$2&lt;AB$2))),2))))</f>
      </c>
      <c r="AM379" s="33">
        <f>IF(AC379&lt;=0,0,MAX(0,MIN(AC379,ROUND($AZ379-SUMPRODUCT($V379:$AE379*($V379:$AE379&gt;0)*(($V379:$AE379&lt;AC379)+($V379:$AE379=AC379)*($V$3:$AE$3&gt;AC$3)+($V379:$AE379=AC379)*($V$3:$AE$3=AC$3)*($V$2:$AE$2&lt;AC$2))),2))))</f>
      </c>
      <c r="AN379" s="33">
        <f>IF(AD379&lt;=0,0,MAX(0,MIN(AD379,ROUND($AZ379-SUMPRODUCT($V379:$AE379*($V379:$AE379&gt;0)*(($V379:$AE379&lt;AD379)+($V379:$AE379=AD379)*($V$3:$AE$3&gt;AD$3)+($V379:$AE379=AD379)*($V$3:$AE$3=AD$3)*($V$2:$AE$2&lt;AD$2))),2))))</f>
      </c>
      <c r="AO379" s="33">
        <f>IF(AE379&lt;=0,0,MAX(0,MIN(AE379,ROUND($AZ379-SUMPRODUCT($V379:$AE379*($V379:$AE379&gt;0)*(($V379:$AE379&lt;AE379)+($V379:$AE379=AE379)*($V$3:$AE$3&gt;AE$3)+($V379:$AE379=AE379)*($V$3:$AE$3=AE$3)*($V$2:$AE$2&lt;AE$2))),2))))</f>
      </c>
      <c r="AP379" s="33">
        <f>ROUND(V379-AF379,2)</f>
      </c>
      <c r="AQ379" s="33">
        <f>ROUND(W379-AG379,2)</f>
      </c>
      <c r="AR379" s="33">
        <f>ROUND(X379-AH379,2)</f>
      </c>
      <c r="AS379" s="33">
        <f>ROUND(Y379-AI379,2)</f>
      </c>
      <c r="AT379" s="33">
        <f>ROUND(Z379-AJ379,2)</f>
      </c>
      <c r="AU379" s="33">
        <f>ROUND(AA379-AK379,2)</f>
      </c>
      <c r="AV379" s="33">
        <f>ROUND(AB379-AL379,2)</f>
      </c>
      <c r="AW379" s="33">
        <f>ROUND(AC379-AM379,2)</f>
      </c>
      <c r="AX379" s="33">
        <f>ROUND(AD379-AN379,2)</f>
      </c>
      <c r="AY379" s="33">
        <f>ROUND(AE379-AO379,2)</f>
      </c>
      <c r="AZ379" s="33">
        <f>ROUND(MAX(0,'Your debts'!$D$22-SUM($L379:$U379)),2)</f>
      </c>
      <c r="BA379" s="33">
        <f>ROUND(SUM($B379:$K379)-SUM($AP378:$AY378),2)</f>
      </c>
      <c r="BB379" s="33">
        <f>SUM($AP379:$AY379)</f>
      </c>
      <c r="BC379" s="33">
        <f>ROUND(SUM($L379:$U379)+SUM($AF379:$AO379),2)</f>
      </c>
    </row>
    <row r="380" spans="1:55" x14ac:dyDescent="0.25">
      <c r="A380">
        <v>373</v>
      </c>
      <c r="B380" s="33">
        <f>IF(AP379&lt;=0,0,ROUND(AP379+ROUND(AP379*V$3/12,2),2))</f>
      </c>
      <c r="C380" s="33">
        <f>IF(AQ379&lt;=0,0,ROUND(AQ379+ROUND(AQ379*W$3/12,2),2))</f>
      </c>
      <c r="D380" s="33">
        <f>IF(AR379&lt;=0,0,ROUND(AR379+ROUND(AR379*X$3/12,2),2))</f>
      </c>
      <c r="E380" s="33">
        <f>IF(AS379&lt;=0,0,ROUND(AS379+ROUND(AS379*Y$3/12,2),2))</f>
      </c>
      <c r="F380" s="33">
        <f>IF(AT379&lt;=0,0,ROUND(AT379+ROUND(AT379*Z$3/12,2),2))</f>
      </c>
      <c r="G380" s="33">
        <f>IF(AU379&lt;=0,0,ROUND(AU379+ROUND(AU379*AA$3/12,2),2))</f>
      </c>
      <c r="H380" s="33">
        <f>IF(AV379&lt;=0,0,ROUND(AV379+ROUND(AV379*AB$3/12,2),2))</f>
      </c>
      <c r="I380" s="33">
        <f>IF(AW379&lt;=0,0,ROUND(AW379+ROUND(AW379*AC$3/12,2),2))</f>
      </c>
      <c r="J380" s="33">
        <f>IF(AX379&lt;=0,0,ROUND(AX379+ROUND(AX379*AD$3/12,2),2))</f>
      </c>
      <c r="K380" s="33">
        <f>IF(AY379&lt;=0,0,ROUND(AY379+ROUND(AY379*AE$3/12,2),2))</f>
      </c>
      <c r="L380" s="33">
        <f>ROUND(MIN(MAX(0,N('Your debts'!$E$6)),B380),2)</f>
      </c>
      <c r="M380" s="33">
        <f>ROUND(MIN(MAX(0,N('Your debts'!$E$7)),C380),2)</f>
      </c>
      <c r="N380" s="33">
        <f>ROUND(MIN(MAX(0,N('Your debts'!$E$8)),D380),2)</f>
      </c>
      <c r="O380" s="33">
        <f>ROUND(MIN(MAX(0,N('Your debts'!$E$9)),E380),2)</f>
      </c>
      <c r="P380" s="33">
        <f>ROUND(MIN(MAX(0,N('Your debts'!$E$10)),F380),2)</f>
      </c>
      <c r="Q380" s="33">
        <f>ROUND(MIN(MAX(0,N('Your debts'!$E$11)),G380),2)</f>
      </c>
      <c r="R380" s="33">
        <f>ROUND(MIN(MAX(0,N('Your debts'!$E$12)),H380),2)</f>
      </c>
      <c r="S380" s="33">
        <f>ROUND(MIN(MAX(0,N('Your debts'!$E$13)),I380),2)</f>
      </c>
      <c r="T380" s="33">
        <f>ROUND(MIN(MAX(0,N('Your debts'!$E$14)),J380),2)</f>
      </c>
      <c r="U380" s="33">
        <f>ROUND(MIN(MAX(0,N('Your debts'!$E$15)),K380),2)</f>
      </c>
      <c r="V380" s="33">
        <f>ROUND(B380-L380,2)</f>
      </c>
      <c r="W380" s="33">
        <f>ROUND(C380-M380,2)</f>
      </c>
      <c r="X380" s="33">
        <f>ROUND(D380-N380,2)</f>
      </c>
      <c r="Y380" s="33">
        <f>ROUND(E380-O380,2)</f>
      </c>
      <c r="Z380" s="33">
        <f>ROUND(F380-P380,2)</f>
      </c>
      <c r="AA380" s="33">
        <f>ROUND(G380-Q380,2)</f>
      </c>
      <c r="AB380" s="33">
        <f>ROUND(H380-R380,2)</f>
      </c>
      <c r="AC380" s="33">
        <f>ROUND(I380-S380,2)</f>
      </c>
      <c r="AD380" s="33">
        <f>ROUND(J380-T380,2)</f>
      </c>
      <c r="AE380" s="33">
        <f>ROUND(K380-U380,2)</f>
      </c>
      <c r="AF380" s="33">
        <f>IF(V380&lt;=0,0,MAX(0,MIN(V380,ROUND($AZ380-SUMPRODUCT($V380:$AE380*($V380:$AE380&gt;0)*(($V380:$AE380&lt;V380)+($V380:$AE380=V380)*($V$3:$AE$3&gt;V$3)+($V380:$AE380=V380)*($V$3:$AE$3=V$3)*($V$2:$AE$2&lt;V$2))),2))))</f>
      </c>
      <c r="AG380" s="33">
        <f>IF(W380&lt;=0,0,MAX(0,MIN(W380,ROUND($AZ380-SUMPRODUCT($V380:$AE380*($V380:$AE380&gt;0)*(($V380:$AE380&lt;W380)+($V380:$AE380=W380)*($V$3:$AE$3&gt;W$3)+($V380:$AE380=W380)*($V$3:$AE$3=W$3)*($V$2:$AE$2&lt;W$2))),2))))</f>
      </c>
      <c r="AH380" s="33">
        <f>IF(X380&lt;=0,0,MAX(0,MIN(X380,ROUND($AZ380-SUMPRODUCT($V380:$AE380*($V380:$AE380&gt;0)*(($V380:$AE380&lt;X380)+($V380:$AE380=X380)*($V$3:$AE$3&gt;X$3)+($V380:$AE380=X380)*($V$3:$AE$3=X$3)*($V$2:$AE$2&lt;X$2))),2))))</f>
      </c>
      <c r="AI380" s="33">
        <f>IF(Y380&lt;=0,0,MAX(0,MIN(Y380,ROUND($AZ380-SUMPRODUCT($V380:$AE380*($V380:$AE380&gt;0)*(($V380:$AE380&lt;Y380)+($V380:$AE380=Y380)*($V$3:$AE$3&gt;Y$3)+($V380:$AE380=Y380)*($V$3:$AE$3=Y$3)*($V$2:$AE$2&lt;Y$2))),2))))</f>
      </c>
      <c r="AJ380" s="33">
        <f>IF(Z380&lt;=0,0,MAX(0,MIN(Z380,ROUND($AZ380-SUMPRODUCT($V380:$AE380*($V380:$AE380&gt;0)*(($V380:$AE380&lt;Z380)+($V380:$AE380=Z380)*($V$3:$AE$3&gt;Z$3)+($V380:$AE380=Z380)*($V$3:$AE$3=Z$3)*($V$2:$AE$2&lt;Z$2))),2))))</f>
      </c>
      <c r="AK380" s="33">
        <f>IF(AA380&lt;=0,0,MAX(0,MIN(AA380,ROUND($AZ380-SUMPRODUCT($V380:$AE380*($V380:$AE380&gt;0)*(($V380:$AE380&lt;AA380)+($V380:$AE380=AA380)*($V$3:$AE$3&gt;AA$3)+($V380:$AE380=AA380)*($V$3:$AE$3=AA$3)*($V$2:$AE$2&lt;AA$2))),2))))</f>
      </c>
      <c r="AL380" s="33">
        <f>IF(AB380&lt;=0,0,MAX(0,MIN(AB380,ROUND($AZ380-SUMPRODUCT($V380:$AE380*($V380:$AE380&gt;0)*(($V380:$AE380&lt;AB380)+($V380:$AE380=AB380)*($V$3:$AE$3&gt;AB$3)+($V380:$AE380=AB380)*($V$3:$AE$3=AB$3)*($V$2:$AE$2&lt;AB$2))),2))))</f>
      </c>
      <c r="AM380" s="33">
        <f>IF(AC380&lt;=0,0,MAX(0,MIN(AC380,ROUND($AZ380-SUMPRODUCT($V380:$AE380*($V380:$AE380&gt;0)*(($V380:$AE380&lt;AC380)+($V380:$AE380=AC380)*($V$3:$AE$3&gt;AC$3)+($V380:$AE380=AC380)*($V$3:$AE$3=AC$3)*($V$2:$AE$2&lt;AC$2))),2))))</f>
      </c>
      <c r="AN380" s="33">
        <f>IF(AD380&lt;=0,0,MAX(0,MIN(AD380,ROUND($AZ380-SUMPRODUCT($V380:$AE380*($V380:$AE380&gt;0)*(($V380:$AE380&lt;AD380)+($V380:$AE380=AD380)*($V$3:$AE$3&gt;AD$3)+($V380:$AE380=AD380)*($V$3:$AE$3=AD$3)*($V$2:$AE$2&lt;AD$2))),2))))</f>
      </c>
      <c r="AO380" s="33">
        <f>IF(AE380&lt;=0,0,MAX(0,MIN(AE380,ROUND($AZ380-SUMPRODUCT($V380:$AE380*($V380:$AE380&gt;0)*(($V380:$AE380&lt;AE380)+($V380:$AE380=AE380)*($V$3:$AE$3&gt;AE$3)+($V380:$AE380=AE380)*($V$3:$AE$3=AE$3)*($V$2:$AE$2&lt;AE$2))),2))))</f>
      </c>
      <c r="AP380" s="33">
        <f>ROUND(V380-AF380,2)</f>
      </c>
      <c r="AQ380" s="33">
        <f>ROUND(W380-AG380,2)</f>
      </c>
      <c r="AR380" s="33">
        <f>ROUND(X380-AH380,2)</f>
      </c>
      <c r="AS380" s="33">
        <f>ROUND(Y380-AI380,2)</f>
      </c>
      <c r="AT380" s="33">
        <f>ROUND(Z380-AJ380,2)</f>
      </c>
      <c r="AU380" s="33">
        <f>ROUND(AA380-AK380,2)</f>
      </c>
      <c r="AV380" s="33">
        <f>ROUND(AB380-AL380,2)</f>
      </c>
      <c r="AW380" s="33">
        <f>ROUND(AC380-AM380,2)</f>
      </c>
      <c r="AX380" s="33">
        <f>ROUND(AD380-AN380,2)</f>
      </c>
      <c r="AY380" s="33">
        <f>ROUND(AE380-AO380,2)</f>
      </c>
      <c r="AZ380" s="33">
        <f>ROUND(MAX(0,'Your debts'!$D$22-SUM($L380:$U380)),2)</f>
      </c>
      <c r="BA380" s="33">
        <f>ROUND(SUM($B380:$K380)-SUM($AP379:$AY379),2)</f>
      </c>
      <c r="BB380" s="33">
        <f>SUM($AP380:$AY380)</f>
      </c>
      <c r="BC380" s="33">
        <f>ROUND(SUM($L380:$U380)+SUM($AF380:$AO380),2)</f>
      </c>
    </row>
    <row r="381" spans="1:55" x14ac:dyDescent="0.25">
      <c r="A381">
        <v>374</v>
      </c>
      <c r="B381" s="33">
        <f>IF(AP380&lt;=0,0,ROUND(AP380+ROUND(AP380*V$3/12,2),2))</f>
      </c>
      <c r="C381" s="33">
        <f>IF(AQ380&lt;=0,0,ROUND(AQ380+ROUND(AQ380*W$3/12,2),2))</f>
      </c>
      <c r="D381" s="33">
        <f>IF(AR380&lt;=0,0,ROUND(AR380+ROUND(AR380*X$3/12,2),2))</f>
      </c>
      <c r="E381" s="33">
        <f>IF(AS380&lt;=0,0,ROUND(AS380+ROUND(AS380*Y$3/12,2),2))</f>
      </c>
      <c r="F381" s="33">
        <f>IF(AT380&lt;=0,0,ROUND(AT380+ROUND(AT380*Z$3/12,2),2))</f>
      </c>
      <c r="G381" s="33">
        <f>IF(AU380&lt;=0,0,ROUND(AU380+ROUND(AU380*AA$3/12,2),2))</f>
      </c>
      <c r="H381" s="33">
        <f>IF(AV380&lt;=0,0,ROUND(AV380+ROUND(AV380*AB$3/12,2),2))</f>
      </c>
      <c r="I381" s="33">
        <f>IF(AW380&lt;=0,0,ROUND(AW380+ROUND(AW380*AC$3/12,2),2))</f>
      </c>
      <c r="J381" s="33">
        <f>IF(AX380&lt;=0,0,ROUND(AX380+ROUND(AX380*AD$3/12,2),2))</f>
      </c>
      <c r="K381" s="33">
        <f>IF(AY380&lt;=0,0,ROUND(AY380+ROUND(AY380*AE$3/12,2),2))</f>
      </c>
      <c r="L381" s="33">
        <f>ROUND(MIN(MAX(0,N('Your debts'!$E$6)),B381),2)</f>
      </c>
      <c r="M381" s="33">
        <f>ROUND(MIN(MAX(0,N('Your debts'!$E$7)),C381),2)</f>
      </c>
      <c r="N381" s="33">
        <f>ROUND(MIN(MAX(0,N('Your debts'!$E$8)),D381),2)</f>
      </c>
      <c r="O381" s="33">
        <f>ROUND(MIN(MAX(0,N('Your debts'!$E$9)),E381),2)</f>
      </c>
      <c r="P381" s="33">
        <f>ROUND(MIN(MAX(0,N('Your debts'!$E$10)),F381),2)</f>
      </c>
      <c r="Q381" s="33">
        <f>ROUND(MIN(MAX(0,N('Your debts'!$E$11)),G381),2)</f>
      </c>
      <c r="R381" s="33">
        <f>ROUND(MIN(MAX(0,N('Your debts'!$E$12)),H381),2)</f>
      </c>
      <c r="S381" s="33">
        <f>ROUND(MIN(MAX(0,N('Your debts'!$E$13)),I381),2)</f>
      </c>
      <c r="T381" s="33">
        <f>ROUND(MIN(MAX(0,N('Your debts'!$E$14)),J381),2)</f>
      </c>
      <c r="U381" s="33">
        <f>ROUND(MIN(MAX(0,N('Your debts'!$E$15)),K381),2)</f>
      </c>
      <c r="V381" s="33">
        <f>ROUND(B381-L381,2)</f>
      </c>
      <c r="W381" s="33">
        <f>ROUND(C381-M381,2)</f>
      </c>
      <c r="X381" s="33">
        <f>ROUND(D381-N381,2)</f>
      </c>
      <c r="Y381" s="33">
        <f>ROUND(E381-O381,2)</f>
      </c>
      <c r="Z381" s="33">
        <f>ROUND(F381-P381,2)</f>
      </c>
      <c r="AA381" s="33">
        <f>ROUND(G381-Q381,2)</f>
      </c>
      <c r="AB381" s="33">
        <f>ROUND(H381-R381,2)</f>
      </c>
      <c r="AC381" s="33">
        <f>ROUND(I381-S381,2)</f>
      </c>
      <c r="AD381" s="33">
        <f>ROUND(J381-T381,2)</f>
      </c>
      <c r="AE381" s="33">
        <f>ROUND(K381-U381,2)</f>
      </c>
      <c r="AF381" s="33">
        <f>IF(V381&lt;=0,0,MAX(0,MIN(V381,ROUND($AZ381-SUMPRODUCT($V381:$AE381*($V381:$AE381&gt;0)*(($V381:$AE381&lt;V381)+($V381:$AE381=V381)*($V$3:$AE$3&gt;V$3)+($V381:$AE381=V381)*($V$3:$AE$3=V$3)*($V$2:$AE$2&lt;V$2))),2))))</f>
      </c>
      <c r="AG381" s="33">
        <f>IF(W381&lt;=0,0,MAX(0,MIN(W381,ROUND($AZ381-SUMPRODUCT($V381:$AE381*($V381:$AE381&gt;0)*(($V381:$AE381&lt;W381)+($V381:$AE381=W381)*($V$3:$AE$3&gt;W$3)+($V381:$AE381=W381)*($V$3:$AE$3=W$3)*($V$2:$AE$2&lt;W$2))),2))))</f>
      </c>
      <c r="AH381" s="33">
        <f>IF(X381&lt;=0,0,MAX(0,MIN(X381,ROUND($AZ381-SUMPRODUCT($V381:$AE381*($V381:$AE381&gt;0)*(($V381:$AE381&lt;X381)+($V381:$AE381=X381)*($V$3:$AE$3&gt;X$3)+($V381:$AE381=X381)*($V$3:$AE$3=X$3)*($V$2:$AE$2&lt;X$2))),2))))</f>
      </c>
      <c r="AI381" s="33">
        <f>IF(Y381&lt;=0,0,MAX(0,MIN(Y381,ROUND($AZ381-SUMPRODUCT($V381:$AE381*($V381:$AE381&gt;0)*(($V381:$AE381&lt;Y381)+($V381:$AE381=Y381)*($V$3:$AE$3&gt;Y$3)+($V381:$AE381=Y381)*($V$3:$AE$3=Y$3)*($V$2:$AE$2&lt;Y$2))),2))))</f>
      </c>
      <c r="AJ381" s="33">
        <f>IF(Z381&lt;=0,0,MAX(0,MIN(Z381,ROUND($AZ381-SUMPRODUCT($V381:$AE381*($V381:$AE381&gt;0)*(($V381:$AE381&lt;Z381)+($V381:$AE381=Z381)*($V$3:$AE$3&gt;Z$3)+($V381:$AE381=Z381)*($V$3:$AE$3=Z$3)*($V$2:$AE$2&lt;Z$2))),2))))</f>
      </c>
      <c r="AK381" s="33">
        <f>IF(AA381&lt;=0,0,MAX(0,MIN(AA381,ROUND($AZ381-SUMPRODUCT($V381:$AE381*($V381:$AE381&gt;0)*(($V381:$AE381&lt;AA381)+($V381:$AE381=AA381)*($V$3:$AE$3&gt;AA$3)+($V381:$AE381=AA381)*($V$3:$AE$3=AA$3)*($V$2:$AE$2&lt;AA$2))),2))))</f>
      </c>
      <c r="AL381" s="33">
        <f>IF(AB381&lt;=0,0,MAX(0,MIN(AB381,ROUND($AZ381-SUMPRODUCT($V381:$AE381*($V381:$AE381&gt;0)*(($V381:$AE381&lt;AB381)+($V381:$AE381=AB381)*($V$3:$AE$3&gt;AB$3)+($V381:$AE381=AB381)*($V$3:$AE$3=AB$3)*($V$2:$AE$2&lt;AB$2))),2))))</f>
      </c>
      <c r="AM381" s="33">
        <f>IF(AC381&lt;=0,0,MAX(0,MIN(AC381,ROUND($AZ381-SUMPRODUCT($V381:$AE381*($V381:$AE381&gt;0)*(($V381:$AE381&lt;AC381)+($V381:$AE381=AC381)*($V$3:$AE$3&gt;AC$3)+($V381:$AE381=AC381)*($V$3:$AE$3=AC$3)*($V$2:$AE$2&lt;AC$2))),2))))</f>
      </c>
      <c r="AN381" s="33">
        <f>IF(AD381&lt;=0,0,MAX(0,MIN(AD381,ROUND($AZ381-SUMPRODUCT($V381:$AE381*($V381:$AE381&gt;0)*(($V381:$AE381&lt;AD381)+($V381:$AE381=AD381)*($V$3:$AE$3&gt;AD$3)+($V381:$AE381=AD381)*($V$3:$AE$3=AD$3)*($V$2:$AE$2&lt;AD$2))),2))))</f>
      </c>
      <c r="AO381" s="33">
        <f>IF(AE381&lt;=0,0,MAX(0,MIN(AE381,ROUND($AZ381-SUMPRODUCT($V381:$AE381*($V381:$AE381&gt;0)*(($V381:$AE381&lt;AE381)+($V381:$AE381=AE381)*($V$3:$AE$3&gt;AE$3)+($V381:$AE381=AE381)*($V$3:$AE$3=AE$3)*($V$2:$AE$2&lt;AE$2))),2))))</f>
      </c>
      <c r="AP381" s="33">
        <f>ROUND(V381-AF381,2)</f>
      </c>
      <c r="AQ381" s="33">
        <f>ROUND(W381-AG381,2)</f>
      </c>
      <c r="AR381" s="33">
        <f>ROUND(X381-AH381,2)</f>
      </c>
      <c r="AS381" s="33">
        <f>ROUND(Y381-AI381,2)</f>
      </c>
      <c r="AT381" s="33">
        <f>ROUND(Z381-AJ381,2)</f>
      </c>
      <c r="AU381" s="33">
        <f>ROUND(AA381-AK381,2)</f>
      </c>
      <c r="AV381" s="33">
        <f>ROUND(AB381-AL381,2)</f>
      </c>
      <c r="AW381" s="33">
        <f>ROUND(AC381-AM381,2)</f>
      </c>
      <c r="AX381" s="33">
        <f>ROUND(AD381-AN381,2)</f>
      </c>
      <c r="AY381" s="33">
        <f>ROUND(AE381-AO381,2)</f>
      </c>
      <c r="AZ381" s="33">
        <f>ROUND(MAX(0,'Your debts'!$D$22-SUM($L381:$U381)),2)</f>
      </c>
      <c r="BA381" s="33">
        <f>ROUND(SUM($B381:$K381)-SUM($AP380:$AY380),2)</f>
      </c>
      <c r="BB381" s="33">
        <f>SUM($AP381:$AY381)</f>
      </c>
      <c r="BC381" s="33">
        <f>ROUND(SUM($L381:$U381)+SUM($AF381:$AO381),2)</f>
      </c>
    </row>
    <row r="382" spans="1:55" x14ac:dyDescent="0.25">
      <c r="A382">
        <v>375</v>
      </c>
      <c r="B382" s="33">
        <f>IF(AP381&lt;=0,0,ROUND(AP381+ROUND(AP381*V$3/12,2),2))</f>
      </c>
      <c r="C382" s="33">
        <f>IF(AQ381&lt;=0,0,ROUND(AQ381+ROUND(AQ381*W$3/12,2),2))</f>
      </c>
      <c r="D382" s="33">
        <f>IF(AR381&lt;=0,0,ROUND(AR381+ROUND(AR381*X$3/12,2),2))</f>
      </c>
      <c r="E382" s="33">
        <f>IF(AS381&lt;=0,0,ROUND(AS381+ROUND(AS381*Y$3/12,2),2))</f>
      </c>
      <c r="F382" s="33">
        <f>IF(AT381&lt;=0,0,ROUND(AT381+ROUND(AT381*Z$3/12,2),2))</f>
      </c>
      <c r="G382" s="33">
        <f>IF(AU381&lt;=0,0,ROUND(AU381+ROUND(AU381*AA$3/12,2),2))</f>
      </c>
      <c r="H382" s="33">
        <f>IF(AV381&lt;=0,0,ROUND(AV381+ROUND(AV381*AB$3/12,2),2))</f>
      </c>
      <c r="I382" s="33">
        <f>IF(AW381&lt;=0,0,ROUND(AW381+ROUND(AW381*AC$3/12,2),2))</f>
      </c>
      <c r="J382" s="33">
        <f>IF(AX381&lt;=0,0,ROUND(AX381+ROUND(AX381*AD$3/12,2),2))</f>
      </c>
      <c r="K382" s="33">
        <f>IF(AY381&lt;=0,0,ROUND(AY381+ROUND(AY381*AE$3/12,2),2))</f>
      </c>
      <c r="L382" s="33">
        <f>ROUND(MIN(MAX(0,N('Your debts'!$E$6)),B382),2)</f>
      </c>
      <c r="M382" s="33">
        <f>ROUND(MIN(MAX(0,N('Your debts'!$E$7)),C382),2)</f>
      </c>
      <c r="N382" s="33">
        <f>ROUND(MIN(MAX(0,N('Your debts'!$E$8)),D382),2)</f>
      </c>
      <c r="O382" s="33">
        <f>ROUND(MIN(MAX(0,N('Your debts'!$E$9)),E382),2)</f>
      </c>
      <c r="P382" s="33">
        <f>ROUND(MIN(MAX(0,N('Your debts'!$E$10)),F382),2)</f>
      </c>
      <c r="Q382" s="33">
        <f>ROUND(MIN(MAX(0,N('Your debts'!$E$11)),G382),2)</f>
      </c>
      <c r="R382" s="33">
        <f>ROUND(MIN(MAX(0,N('Your debts'!$E$12)),H382),2)</f>
      </c>
      <c r="S382" s="33">
        <f>ROUND(MIN(MAX(0,N('Your debts'!$E$13)),I382),2)</f>
      </c>
      <c r="T382" s="33">
        <f>ROUND(MIN(MAX(0,N('Your debts'!$E$14)),J382),2)</f>
      </c>
      <c r="U382" s="33">
        <f>ROUND(MIN(MAX(0,N('Your debts'!$E$15)),K382),2)</f>
      </c>
      <c r="V382" s="33">
        <f>ROUND(B382-L382,2)</f>
      </c>
      <c r="W382" s="33">
        <f>ROUND(C382-M382,2)</f>
      </c>
      <c r="X382" s="33">
        <f>ROUND(D382-N382,2)</f>
      </c>
      <c r="Y382" s="33">
        <f>ROUND(E382-O382,2)</f>
      </c>
      <c r="Z382" s="33">
        <f>ROUND(F382-P382,2)</f>
      </c>
      <c r="AA382" s="33">
        <f>ROUND(G382-Q382,2)</f>
      </c>
      <c r="AB382" s="33">
        <f>ROUND(H382-R382,2)</f>
      </c>
      <c r="AC382" s="33">
        <f>ROUND(I382-S382,2)</f>
      </c>
      <c r="AD382" s="33">
        <f>ROUND(J382-T382,2)</f>
      </c>
      <c r="AE382" s="33">
        <f>ROUND(K382-U382,2)</f>
      </c>
      <c r="AF382" s="33">
        <f>IF(V382&lt;=0,0,MAX(0,MIN(V382,ROUND($AZ382-SUMPRODUCT($V382:$AE382*($V382:$AE382&gt;0)*(($V382:$AE382&lt;V382)+($V382:$AE382=V382)*($V$3:$AE$3&gt;V$3)+($V382:$AE382=V382)*($V$3:$AE$3=V$3)*($V$2:$AE$2&lt;V$2))),2))))</f>
      </c>
      <c r="AG382" s="33">
        <f>IF(W382&lt;=0,0,MAX(0,MIN(W382,ROUND($AZ382-SUMPRODUCT($V382:$AE382*($V382:$AE382&gt;0)*(($V382:$AE382&lt;W382)+($V382:$AE382=W382)*($V$3:$AE$3&gt;W$3)+($V382:$AE382=W382)*($V$3:$AE$3=W$3)*($V$2:$AE$2&lt;W$2))),2))))</f>
      </c>
      <c r="AH382" s="33">
        <f>IF(X382&lt;=0,0,MAX(0,MIN(X382,ROUND($AZ382-SUMPRODUCT($V382:$AE382*($V382:$AE382&gt;0)*(($V382:$AE382&lt;X382)+($V382:$AE382=X382)*($V$3:$AE$3&gt;X$3)+($V382:$AE382=X382)*($V$3:$AE$3=X$3)*($V$2:$AE$2&lt;X$2))),2))))</f>
      </c>
      <c r="AI382" s="33">
        <f>IF(Y382&lt;=0,0,MAX(0,MIN(Y382,ROUND($AZ382-SUMPRODUCT($V382:$AE382*($V382:$AE382&gt;0)*(($V382:$AE382&lt;Y382)+($V382:$AE382=Y382)*($V$3:$AE$3&gt;Y$3)+($V382:$AE382=Y382)*($V$3:$AE$3=Y$3)*($V$2:$AE$2&lt;Y$2))),2))))</f>
      </c>
      <c r="AJ382" s="33">
        <f>IF(Z382&lt;=0,0,MAX(0,MIN(Z382,ROUND($AZ382-SUMPRODUCT($V382:$AE382*($V382:$AE382&gt;0)*(($V382:$AE382&lt;Z382)+($V382:$AE382=Z382)*($V$3:$AE$3&gt;Z$3)+($V382:$AE382=Z382)*($V$3:$AE$3=Z$3)*($V$2:$AE$2&lt;Z$2))),2))))</f>
      </c>
      <c r="AK382" s="33">
        <f>IF(AA382&lt;=0,0,MAX(0,MIN(AA382,ROUND($AZ382-SUMPRODUCT($V382:$AE382*($V382:$AE382&gt;0)*(($V382:$AE382&lt;AA382)+($V382:$AE382=AA382)*($V$3:$AE$3&gt;AA$3)+($V382:$AE382=AA382)*($V$3:$AE$3=AA$3)*($V$2:$AE$2&lt;AA$2))),2))))</f>
      </c>
      <c r="AL382" s="33">
        <f>IF(AB382&lt;=0,0,MAX(0,MIN(AB382,ROUND($AZ382-SUMPRODUCT($V382:$AE382*($V382:$AE382&gt;0)*(($V382:$AE382&lt;AB382)+($V382:$AE382=AB382)*($V$3:$AE$3&gt;AB$3)+($V382:$AE382=AB382)*($V$3:$AE$3=AB$3)*($V$2:$AE$2&lt;AB$2))),2))))</f>
      </c>
      <c r="AM382" s="33">
        <f>IF(AC382&lt;=0,0,MAX(0,MIN(AC382,ROUND($AZ382-SUMPRODUCT($V382:$AE382*($V382:$AE382&gt;0)*(($V382:$AE382&lt;AC382)+($V382:$AE382=AC382)*($V$3:$AE$3&gt;AC$3)+($V382:$AE382=AC382)*($V$3:$AE$3=AC$3)*($V$2:$AE$2&lt;AC$2))),2))))</f>
      </c>
      <c r="AN382" s="33">
        <f>IF(AD382&lt;=0,0,MAX(0,MIN(AD382,ROUND($AZ382-SUMPRODUCT($V382:$AE382*($V382:$AE382&gt;0)*(($V382:$AE382&lt;AD382)+($V382:$AE382=AD382)*($V$3:$AE$3&gt;AD$3)+($V382:$AE382=AD382)*($V$3:$AE$3=AD$3)*($V$2:$AE$2&lt;AD$2))),2))))</f>
      </c>
      <c r="AO382" s="33">
        <f>IF(AE382&lt;=0,0,MAX(0,MIN(AE382,ROUND($AZ382-SUMPRODUCT($V382:$AE382*($V382:$AE382&gt;0)*(($V382:$AE382&lt;AE382)+($V382:$AE382=AE382)*($V$3:$AE$3&gt;AE$3)+($V382:$AE382=AE382)*($V$3:$AE$3=AE$3)*($V$2:$AE$2&lt;AE$2))),2))))</f>
      </c>
      <c r="AP382" s="33">
        <f>ROUND(V382-AF382,2)</f>
      </c>
      <c r="AQ382" s="33">
        <f>ROUND(W382-AG382,2)</f>
      </c>
      <c r="AR382" s="33">
        <f>ROUND(X382-AH382,2)</f>
      </c>
      <c r="AS382" s="33">
        <f>ROUND(Y382-AI382,2)</f>
      </c>
      <c r="AT382" s="33">
        <f>ROUND(Z382-AJ382,2)</f>
      </c>
      <c r="AU382" s="33">
        <f>ROUND(AA382-AK382,2)</f>
      </c>
      <c r="AV382" s="33">
        <f>ROUND(AB382-AL382,2)</f>
      </c>
      <c r="AW382" s="33">
        <f>ROUND(AC382-AM382,2)</f>
      </c>
      <c r="AX382" s="33">
        <f>ROUND(AD382-AN382,2)</f>
      </c>
      <c r="AY382" s="33">
        <f>ROUND(AE382-AO382,2)</f>
      </c>
      <c r="AZ382" s="33">
        <f>ROUND(MAX(0,'Your debts'!$D$22-SUM($L382:$U382)),2)</f>
      </c>
      <c r="BA382" s="33">
        <f>ROUND(SUM($B382:$K382)-SUM($AP381:$AY381),2)</f>
      </c>
      <c r="BB382" s="33">
        <f>SUM($AP382:$AY382)</f>
      </c>
      <c r="BC382" s="33">
        <f>ROUND(SUM($L382:$U382)+SUM($AF382:$AO382),2)</f>
      </c>
    </row>
    <row r="383" spans="1:55" x14ac:dyDescent="0.25">
      <c r="A383">
        <v>376</v>
      </c>
      <c r="B383" s="33">
        <f>IF(AP382&lt;=0,0,ROUND(AP382+ROUND(AP382*V$3/12,2),2))</f>
      </c>
      <c r="C383" s="33">
        <f>IF(AQ382&lt;=0,0,ROUND(AQ382+ROUND(AQ382*W$3/12,2),2))</f>
      </c>
      <c r="D383" s="33">
        <f>IF(AR382&lt;=0,0,ROUND(AR382+ROUND(AR382*X$3/12,2),2))</f>
      </c>
      <c r="E383" s="33">
        <f>IF(AS382&lt;=0,0,ROUND(AS382+ROUND(AS382*Y$3/12,2),2))</f>
      </c>
      <c r="F383" s="33">
        <f>IF(AT382&lt;=0,0,ROUND(AT382+ROUND(AT382*Z$3/12,2),2))</f>
      </c>
      <c r="G383" s="33">
        <f>IF(AU382&lt;=0,0,ROUND(AU382+ROUND(AU382*AA$3/12,2),2))</f>
      </c>
      <c r="H383" s="33">
        <f>IF(AV382&lt;=0,0,ROUND(AV382+ROUND(AV382*AB$3/12,2),2))</f>
      </c>
      <c r="I383" s="33">
        <f>IF(AW382&lt;=0,0,ROUND(AW382+ROUND(AW382*AC$3/12,2),2))</f>
      </c>
      <c r="J383" s="33">
        <f>IF(AX382&lt;=0,0,ROUND(AX382+ROUND(AX382*AD$3/12,2),2))</f>
      </c>
      <c r="K383" s="33">
        <f>IF(AY382&lt;=0,0,ROUND(AY382+ROUND(AY382*AE$3/12,2),2))</f>
      </c>
      <c r="L383" s="33">
        <f>ROUND(MIN(MAX(0,N('Your debts'!$E$6)),B383),2)</f>
      </c>
      <c r="M383" s="33">
        <f>ROUND(MIN(MAX(0,N('Your debts'!$E$7)),C383),2)</f>
      </c>
      <c r="N383" s="33">
        <f>ROUND(MIN(MAX(0,N('Your debts'!$E$8)),D383),2)</f>
      </c>
      <c r="O383" s="33">
        <f>ROUND(MIN(MAX(0,N('Your debts'!$E$9)),E383),2)</f>
      </c>
      <c r="P383" s="33">
        <f>ROUND(MIN(MAX(0,N('Your debts'!$E$10)),F383),2)</f>
      </c>
      <c r="Q383" s="33">
        <f>ROUND(MIN(MAX(0,N('Your debts'!$E$11)),G383),2)</f>
      </c>
      <c r="R383" s="33">
        <f>ROUND(MIN(MAX(0,N('Your debts'!$E$12)),H383),2)</f>
      </c>
      <c r="S383" s="33">
        <f>ROUND(MIN(MAX(0,N('Your debts'!$E$13)),I383),2)</f>
      </c>
      <c r="T383" s="33">
        <f>ROUND(MIN(MAX(0,N('Your debts'!$E$14)),J383),2)</f>
      </c>
      <c r="U383" s="33">
        <f>ROUND(MIN(MAX(0,N('Your debts'!$E$15)),K383),2)</f>
      </c>
      <c r="V383" s="33">
        <f>ROUND(B383-L383,2)</f>
      </c>
      <c r="W383" s="33">
        <f>ROUND(C383-M383,2)</f>
      </c>
      <c r="X383" s="33">
        <f>ROUND(D383-N383,2)</f>
      </c>
      <c r="Y383" s="33">
        <f>ROUND(E383-O383,2)</f>
      </c>
      <c r="Z383" s="33">
        <f>ROUND(F383-P383,2)</f>
      </c>
      <c r="AA383" s="33">
        <f>ROUND(G383-Q383,2)</f>
      </c>
      <c r="AB383" s="33">
        <f>ROUND(H383-R383,2)</f>
      </c>
      <c r="AC383" s="33">
        <f>ROUND(I383-S383,2)</f>
      </c>
      <c r="AD383" s="33">
        <f>ROUND(J383-T383,2)</f>
      </c>
      <c r="AE383" s="33">
        <f>ROUND(K383-U383,2)</f>
      </c>
      <c r="AF383" s="33">
        <f>IF(V383&lt;=0,0,MAX(0,MIN(V383,ROUND($AZ383-SUMPRODUCT($V383:$AE383*($V383:$AE383&gt;0)*(($V383:$AE383&lt;V383)+($V383:$AE383=V383)*($V$3:$AE$3&gt;V$3)+($V383:$AE383=V383)*($V$3:$AE$3=V$3)*($V$2:$AE$2&lt;V$2))),2))))</f>
      </c>
      <c r="AG383" s="33">
        <f>IF(W383&lt;=0,0,MAX(0,MIN(W383,ROUND($AZ383-SUMPRODUCT($V383:$AE383*($V383:$AE383&gt;0)*(($V383:$AE383&lt;W383)+($V383:$AE383=W383)*($V$3:$AE$3&gt;W$3)+($V383:$AE383=W383)*($V$3:$AE$3=W$3)*($V$2:$AE$2&lt;W$2))),2))))</f>
      </c>
      <c r="AH383" s="33">
        <f>IF(X383&lt;=0,0,MAX(0,MIN(X383,ROUND($AZ383-SUMPRODUCT($V383:$AE383*($V383:$AE383&gt;0)*(($V383:$AE383&lt;X383)+($V383:$AE383=X383)*($V$3:$AE$3&gt;X$3)+($V383:$AE383=X383)*($V$3:$AE$3=X$3)*($V$2:$AE$2&lt;X$2))),2))))</f>
      </c>
      <c r="AI383" s="33">
        <f>IF(Y383&lt;=0,0,MAX(0,MIN(Y383,ROUND($AZ383-SUMPRODUCT($V383:$AE383*($V383:$AE383&gt;0)*(($V383:$AE383&lt;Y383)+($V383:$AE383=Y383)*($V$3:$AE$3&gt;Y$3)+($V383:$AE383=Y383)*($V$3:$AE$3=Y$3)*($V$2:$AE$2&lt;Y$2))),2))))</f>
      </c>
      <c r="AJ383" s="33">
        <f>IF(Z383&lt;=0,0,MAX(0,MIN(Z383,ROUND($AZ383-SUMPRODUCT($V383:$AE383*($V383:$AE383&gt;0)*(($V383:$AE383&lt;Z383)+($V383:$AE383=Z383)*($V$3:$AE$3&gt;Z$3)+($V383:$AE383=Z383)*($V$3:$AE$3=Z$3)*($V$2:$AE$2&lt;Z$2))),2))))</f>
      </c>
      <c r="AK383" s="33">
        <f>IF(AA383&lt;=0,0,MAX(0,MIN(AA383,ROUND($AZ383-SUMPRODUCT($V383:$AE383*($V383:$AE383&gt;0)*(($V383:$AE383&lt;AA383)+($V383:$AE383=AA383)*($V$3:$AE$3&gt;AA$3)+($V383:$AE383=AA383)*($V$3:$AE$3=AA$3)*($V$2:$AE$2&lt;AA$2))),2))))</f>
      </c>
      <c r="AL383" s="33">
        <f>IF(AB383&lt;=0,0,MAX(0,MIN(AB383,ROUND($AZ383-SUMPRODUCT($V383:$AE383*($V383:$AE383&gt;0)*(($V383:$AE383&lt;AB383)+($V383:$AE383=AB383)*($V$3:$AE$3&gt;AB$3)+($V383:$AE383=AB383)*($V$3:$AE$3=AB$3)*($V$2:$AE$2&lt;AB$2))),2))))</f>
      </c>
      <c r="AM383" s="33">
        <f>IF(AC383&lt;=0,0,MAX(0,MIN(AC383,ROUND($AZ383-SUMPRODUCT($V383:$AE383*($V383:$AE383&gt;0)*(($V383:$AE383&lt;AC383)+($V383:$AE383=AC383)*($V$3:$AE$3&gt;AC$3)+($V383:$AE383=AC383)*($V$3:$AE$3=AC$3)*($V$2:$AE$2&lt;AC$2))),2))))</f>
      </c>
      <c r="AN383" s="33">
        <f>IF(AD383&lt;=0,0,MAX(0,MIN(AD383,ROUND($AZ383-SUMPRODUCT($V383:$AE383*($V383:$AE383&gt;0)*(($V383:$AE383&lt;AD383)+($V383:$AE383=AD383)*($V$3:$AE$3&gt;AD$3)+($V383:$AE383=AD383)*($V$3:$AE$3=AD$3)*($V$2:$AE$2&lt;AD$2))),2))))</f>
      </c>
      <c r="AO383" s="33">
        <f>IF(AE383&lt;=0,0,MAX(0,MIN(AE383,ROUND($AZ383-SUMPRODUCT($V383:$AE383*($V383:$AE383&gt;0)*(($V383:$AE383&lt;AE383)+($V383:$AE383=AE383)*($V$3:$AE$3&gt;AE$3)+($V383:$AE383=AE383)*($V$3:$AE$3=AE$3)*($V$2:$AE$2&lt;AE$2))),2))))</f>
      </c>
      <c r="AP383" s="33">
        <f>ROUND(V383-AF383,2)</f>
      </c>
      <c r="AQ383" s="33">
        <f>ROUND(W383-AG383,2)</f>
      </c>
      <c r="AR383" s="33">
        <f>ROUND(X383-AH383,2)</f>
      </c>
      <c r="AS383" s="33">
        <f>ROUND(Y383-AI383,2)</f>
      </c>
      <c r="AT383" s="33">
        <f>ROUND(Z383-AJ383,2)</f>
      </c>
      <c r="AU383" s="33">
        <f>ROUND(AA383-AK383,2)</f>
      </c>
      <c r="AV383" s="33">
        <f>ROUND(AB383-AL383,2)</f>
      </c>
      <c r="AW383" s="33">
        <f>ROUND(AC383-AM383,2)</f>
      </c>
      <c r="AX383" s="33">
        <f>ROUND(AD383-AN383,2)</f>
      </c>
      <c r="AY383" s="33">
        <f>ROUND(AE383-AO383,2)</f>
      </c>
      <c r="AZ383" s="33">
        <f>ROUND(MAX(0,'Your debts'!$D$22-SUM($L383:$U383)),2)</f>
      </c>
      <c r="BA383" s="33">
        <f>ROUND(SUM($B383:$K383)-SUM($AP382:$AY382),2)</f>
      </c>
      <c r="BB383" s="33">
        <f>SUM($AP383:$AY383)</f>
      </c>
      <c r="BC383" s="33">
        <f>ROUND(SUM($L383:$U383)+SUM($AF383:$AO383),2)</f>
      </c>
    </row>
    <row r="384" spans="1:55" x14ac:dyDescent="0.25">
      <c r="A384">
        <v>377</v>
      </c>
      <c r="B384" s="33">
        <f>IF(AP383&lt;=0,0,ROUND(AP383+ROUND(AP383*V$3/12,2),2))</f>
      </c>
      <c r="C384" s="33">
        <f>IF(AQ383&lt;=0,0,ROUND(AQ383+ROUND(AQ383*W$3/12,2),2))</f>
      </c>
      <c r="D384" s="33">
        <f>IF(AR383&lt;=0,0,ROUND(AR383+ROUND(AR383*X$3/12,2),2))</f>
      </c>
      <c r="E384" s="33">
        <f>IF(AS383&lt;=0,0,ROUND(AS383+ROUND(AS383*Y$3/12,2),2))</f>
      </c>
      <c r="F384" s="33">
        <f>IF(AT383&lt;=0,0,ROUND(AT383+ROUND(AT383*Z$3/12,2),2))</f>
      </c>
      <c r="G384" s="33">
        <f>IF(AU383&lt;=0,0,ROUND(AU383+ROUND(AU383*AA$3/12,2),2))</f>
      </c>
      <c r="H384" s="33">
        <f>IF(AV383&lt;=0,0,ROUND(AV383+ROUND(AV383*AB$3/12,2),2))</f>
      </c>
      <c r="I384" s="33">
        <f>IF(AW383&lt;=0,0,ROUND(AW383+ROUND(AW383*AC$3/12,2),2))</f>
      </c>
      <c r="J384" s="33">
        <f>IF(AX383&lt;=0,0,ROUND(AX383+ROUND(AX383*AD$3/12,2),2))</f>
      </c>
      <c r="K384" s="33">
        <f>IF(AY383&lt;=0,0,ROUND(AY383+ROUND(AY383*AE$3/12,2),2))</f>
      </c>
      <c r="L384" s="33">
        <f>ROUND(MIN(MAX(0,N('Your debts'!$E$6)),B384),2)</f>
      </c>
      <c r="M384" s="33">
        <f>ROUND(MIN(MAX(0,N('Your debts'!$E$7)),C384),2)</f>
      </c>
      <c r="N384" s="33">
        <f>ROUND(MIN(MAX(0,N('Your debts'!$E$8)),D384),2)</f>
      </c>
      <c r="O384" s="33">
        <f>ROUND(MIN(MAX(0,N('Your debts'!$E$9)),E384),2)</f>
      </c>
      <c r="P384" s="33">
        <f>ROUND(MIN(MAX(0,N('Your debts'!$E$10)),F384),2)</f>
      </c>
      <c r="Q384" s="33">
        <f>ROUND(MIN(MAX(0,N('Your debts'!$E$11)),G384),2)</f>
      </c>
      <c r="R384" s="33">
        <f>ROUND(MIN(MAX(0,N('Your debts'!$E$12)),H384),2)</f>
      </c>
      <c r="S384" s="33">
        <f>ROUND(MIN(MAX(0,N('Your debts'!$E$13)),I384),2)</f>
      </c>
      <c r="T384" s="33">
        <f>ROUND(MIN(MAX(0,N('Your debts'!$E$14)),J384),2)</f>
      </c>
      <c r="U384" s="33">
        <f>ROUND(MIN(MAX(0,N('Your debts'!$E$15)),K384),2)</f>
      </c>
      <c r="V384" s="33">
        <f>ROUND(B384-L384,2)</f>
      </c>
      <c r="W384" s="33">
        <f>ROUND(C384-M384,2)</f>
      </c>
      <c r="X384" s="33">
        <f>ROUND(D384-N384,2)</f>
      </c>
      <c r="Y384" s="33">
        <f>ROUND(E384-O384,2)</f>
      </c>
      <c r="Z384" s="33">
        <f>ROUND(F384-P384,2)</f>
      </c>
      <c r="AA384" s="33">
        <f>ROUND(G384-Q384,2)</f>
      </c>
      <c r="AB384" s="33">
        <f>ROUND(H384-R384,2)</f>
      </c>
      <c r="AC384" s="33">
        <f>ROUND(I384-S384,2)</f>
      </c>
      <c r="AD384" s="33">
        <f>ROUND(J384-T384,2)</f>
      </c>
      <c r="AE384" s="33">
        <f>ROUND(K384-U384,2)</f>
      </c>
      <c r="AF384" s="33">
        <f>IF(V384&lt;=0,0,MAX(0,MIN(V384,ROUND($AZ384-SUMPRODUCT($V384:$AE384*($V384:$AE384&gt;0)*(($V384:$AE384&lt;V384)+($V384:$AE384=V384)*($V$3:$AE$3&gt;V$3)+($V384:$AE384=V384)*($V$3:$AE$3=V$3)*($V$2:$AE$2&lt;V$2))),2))))</f>
      </c>
      <c r="AG384" s="33">
        <f>IF(W384&lt;=0,0,MAX(0,MIN(W384,ROUND($AZ384-SUMPRODUCT($V384:$AE384*($V384:$AE384&gt;0)*(($V384:$AE384&lt;W384)+($V384:$AE384=W384)*($V$3:$AE$3&gt;W$3)+($V384:$AE384=W384)*($V$3:$AE$3=W$3)*($V$2:$AE$2&lt;W$2))),2))))</f>
      </c>
      <c r="AH384" s="33">
        <f>IF(X384&lt;=0,0,MAX(0,MIN(X384,ROUND($AZ384-SUMPRODUCT($V384:$AE384*($V384:$AE384&gt;0)*(($V384:$AE384&lt;X384)+($V384:$AE384=X384)*($V$3:$AE$3&gt;X$3)+($V384:$AE384=X384)*($V$3:$AE$3=X$3)*($V$2:$AE$2&lt;X$2))),2))))</f>
      </c>
      <c r="AI384" s="33">
        <f>IF(Y384&lt;=0,0,MAX(0,MIN(Y384,ROUND($AZ384-SUMPRODUCT($V384:$AE384*($V384:$AE384&gt;0)*(($V384:$AE384&lt;Y384)+($V384:$AE384=Y384)*($V$3:$AE$3&gt;Y$3)+($V384:$AE384=Y384)*($V$3:$AE$3=Y$3)*($V$2:$AE$2&lt;Y$2))),2))))</f>
      </c>
      <c r="AJ384" s="33">
        <f>IF(Z384&lt;=0,0,MAX(0,MIN(Z384,ROUND($AZ384-SUMPRODUCT($V384:$AE384*($V384:$AE384&gt;0)*(($V384:$AE384&lt;Z384)+($V384:$AE384=Z384)*($V$3:$AE$3&gt;Z$3)+($V384:$AE384=Z384)*($V$3:$AE$3=Z$3)*($V$2:$AE$2&lt;Z$2))),2))))</f>
      </c>
      <c r="AK384" s="33">
        <f>IF(AA384&lt;=0,0,MAX(0,MIN(AA384,ROUND($AZ384-SUMPRODUCT($V384:$AE384*($V384:$AE384&gt;0)*(($V384:$AE384&lt;AA384)+($V384:$AE384=AA384)*($V$3:$AE$3&gt;AA$3)+($V384:$AE384=AA384)*($V$3:$AE$3=AA$3)*($V$2:$AE$2&lt;AA$2))),2))))</f>
      </c>
      <c r="AL384" s="33">
        <f>IF(AB384&lt;=0,0,MAX(0,MIN(AB384,ROUND($AZ384-SUMPRODUCT($V384:$AE384*($V384:$AE384&gt;0)*(($V384:$AE384&lt;AB384)+($V384:$AE384=AB384)*($V$3:$AE$3&gt;AB$3)+($V384:$AE384=AB384)*($V$3:$AE$3=AB$3)*($V$2:$AE$2&lt;AB$2))),2))))</f>
      </c>
      <c r="AM384" s="33">
        <f>IF(AC384&lt;=0,0,MAX(0,MIN(AC384,ROUND($AZ384-SUMPRODUCT($V384:$AE384*($V384:$AE384&gt;0)*(($V384:$AE384&lt;AC384)+($V384:$AE384=AC384)*($V$3:$AE$3&gt;AC$3)+($V384:$AE384=AC384)*($V$3:$AE$3=AC$3)*($V$2:$AE$2&lt;AC$2))),2))))</f>
      </c>
      <c r="AN384" s="33">
        <f>IF(AD384&lt;=0,0,MAX(0,MIN(AD384,ROUND($AZ384-SUMPRODUCT($V384:$AE384*($V384:$AE384&gt;0)*(($V384:$AE384&lt;AD384)+($V384:$AE384=AD384)*($V$3:$AE$3&gt;AD$3)+($V384:$AE384=AD384)*($V$3:$AE$3=AD$3)*($V$2:$AE$2&lt;AD$2))),2))))</f>
      </c>
      <c r="AO384" s="33">
        <f>IF(AE384&lt;=0,0,MAX(0,MIN(AE384,ROUND($AZ384-SUMPRODUCT($V384:$AE384*($V384:$AE384&gt;0)*(($V384:$AE384&lt;AE384)+($V384:$AE384=AE384)*($V$3:$AE$3&gt;AE$3)+($V384:$AE384=AE384)*($V$3:$AE$3=AE$3)*($V$2:$AE$2&lt;AE$2))),2))))</f>
      </c>
      <c r="AP384" s="33">
        <f>ROUND(V384-AF384,2)</f>
      </c>
      <c r="AQ384" s="33">
        <f>ROUND(W384-AG384,2)</f>
      </c>
      <c r="AR384" s="33">
        <f>ROUND(X384-AH384,2)</f>
      </c>
      <c r="AS384" s="33">
        <f>ROUND(Y384-AI384,2)</f>
      </c>
      <c r="AT384" s="33">
        <f>ROUND(Z384-AJ384,2)</f>
      </c>
      <c r="AU384" s="33">
        <f>ROUND(AA384-AK384,2)</f>
      </c>
      <c r="AV384" s="33">
        <f>ROUND(AB384-AL384,2)</f>
      </c>
      <c r="AW384" s="33">
        <f>ROUND(AC384-AM384,2)</f>
      </c>
      <c r="AX384" s="33">
        <f>ROUND(AD384-AN384,2)</f>
      </c>
      <c r="AY384" s="33">
        <f>ROUND(AE384-AO384,2)</f>
      </c>
      <c r="AZ384" s="33">
        <f>ROUND(MAX(0,'Your debts'!$D$22-SUM($L384:$U384)),2)</f>
      </c>
      <c r="BA384" s="33">
        <f>ROUND(SUM($B384:$K384)-SUM($AP383:$AY383),2)</f>
      </c>
      <c r="BB384" s="33">
        <f>SUM($AP384:$AY384)</f>
      </c>
      <c r="BC384" s="33">
        <f>ROUND(SUM($L384:$U384)+SUM($AF384:$AO384),2)</f>
      </c>
    </row>
    <row r="385" spans="1:55" x14ac:dyDescent="0.25">
      <c r="A385">
        <v>378</v>
      </c>
      <c r="B385" s="33">
        <f>IF(AP384&lt;=0,0,ROUND(AP384+ROUND(AP384*V$3/12,2),2))</f>
      </c>
      <c r="C385" s="33">
        <f>IF(AQ384&lt;=0,0,ROUND(AQ384+ROUND(AQ384*W$3/12,2),2))</f>
      </c>
      <c r="D385" s="33">
        <f>IF(AR384&lt;=0,0,ROUND(AR384+ROUND(AR384*X$3/12,2),2))</f>
      </c>
      <c r="E385" s="33">
        <f>IF(AS384&lt;=0,0,ROUND(AS384+ROUND(AS384*Y$3/12,2),2))</f>
      </c>
      <c r="F385" s="33">
        <f>IF(AT384&lt;=0,0,ROUND(AT384+ROUND(AT384*Z$3/12,2),2))</f>
      </c>
      <c r="G385" s="33">
        <f>IF(AU384&lt;=0,0,ROUND(AU384+ROUND(AU384*AA$3/12,2),2))</f>
      </c>
      <c r="H385" s="33">
        <f>IF(AV384&lt;=0,0,ROUND(AV384+ROUND(AV384*AB$3/12,2),2))</f>
      </c>
      <c r="I385" s="33">
        <f>IF(AW384&lt;=0,0,ROUND(AW384+ROUND(AW384*AC$3/12,2),2))</f>
      </c>
      <c r="J385" s="33">
        <f>IF(AX384&lt;=0,0,ROUND(AX384+ROUND(AX384*AD$3/12,2),2))</f>
      </c>
      <c r="K385" s="33">
        <f>IF(AY384&lt;=0,0,ROUND(AY384+ROUND(AY384*AE$3/12,2),2))</f>
      </c>
      <c r="L385" s="33">
        <f>ROUND(MIN(MAX(0,N('Your debts'!$E$6)),B385),2)</f>
      </c>
      <c r="M385" s="33">
        <f>ROUND(MIN(MAX(0,N('Your debts'!$E$7)),C385),2)</f>
      </c>
      <c r="N385" s="33">
        <f>ROUND(MIN(MAX(0,N('Your debts'!$E$8)),D385),2)</f>
      </c>
      <c r="O385" s="33">
        <f>ROUND(MIN(MAX(0,N('Your debts'!$E$9)),E385),2)</f>
      </c>
      <c r="P385" s="33">
        <f>ROUND(MIN(MAX(0,N('Your debts'!$E$10)),F385),2)</f>
      </c>
      <c r="Q385" s="33">
        <f>ROUND(MIN(MAX(0,N('Your debts'!$E$11)),G385),2)</f>
      </c>
      <c r="R385" s="33">
        <f>ROUND(MIN(MAX(0,N('Your debts'!$E$12)),H385),2)</f>
      </c>
      <c r="S385" s="33">
        <f>ROUND(MIN(MAX(0,N('Your debts'!$E$13)),I385),2)</f>
      </c>
      <c r="T385" s="33">
        <f>ROUND(MIN(MAX(0,N('Your debts'!$E$14)),J385),2)</f>
      </c>
      <c r="U385" s="33">
        <f>ROUND(MIN(MAX(0,N('Your debts'!$E$15)),K385),2)</f>
      </c>
      <c r="V385" s="33">
        <f>ROUND(B385-L385,2)</f>
      </c>
      <c r="W385" s="33">
        <f>ROUND(C385-M385,2)</f>
      </c>
      <c r="X385" s="33">
        <f>ROUND(D385-N385,2)</f>
      </c>
      <c r="Y385" s="33">
        <f>ROUND(E385-O385,2)</f>
      </c>
      <c r="Z385" s="33">
        <f>ROUND(F385-P385,2)</f>
      </c>
      <c r="AA385" s="33">
        <f>ROUND(G385-Q385,2)</f>
      </c>
      <c r="AB385" s="33">
        <f>ROUND(H385-R385,2)</f>
      </c>
      <c r="AC385" s="33">
        <f>ROUND(I385-S385,2)</f>
      </c>
      <c r="AD385" s="33">
        <f>ROUND(J385-T385,2)</f>
      </c>
      <c r="AE385" s="33">
        <f>ROUND(K385-U385,2)</f>
      </c>
      <c r="AF385" s="33">
        <f>IF(V385&lt;=0,0,MAX(0,MIN(V385,ROUND($AZ385-SUMPRODUCT($V385:$AE385*($V385:$AE385&gt;0)*(($V385:$AE385&lt;V385)+($V385:$AE385=V385)*($V$3:$AE$3&gt;V$3)+($V385:$AE385=V385)*($V$3:$AE$3=V$3)*($V$2:$AE$2&lt;V$2))),2))))</f>
      </c>
      <c r="AG385" s="33">
        <f>IF(W385&lt;=0,0,MAX(0,MIN(W385,ROUND($AZ385-SUMPRODUCT($V385:$AE385*($V385:$AE385&gt;0)*(($V385:$AE385&lt;W385)+($V385:$AE385=W385)*($V$3:$AE$3&gt;W$3)+($V385:$AE385=W385)*($V$3:$AE$3=W$3)*($V$2:$AE$2&lt;W$2))),2))))</f>
      </c>
      <c r="AH385" s="33">
        <f>IF(X385&lt;=0,0,MAX(0,MIN(X385,ROUND($AZ385-SUMPRODUCT($V385:$AE385*($V385:$AE385&gt;0)*(($V385:$AE385&lt;X385)+($V385:$AE385=X385)*($V$3:$AE$3&gt;X$3)+($V385:$AE385=X385)*($V$3:$AE$3=X$3)*($V$2:$AE$2&lt;X$2))),2))))</f>
      </c>
      <c r="AI385" s="33">
        <f>IF(Y385&lt;=0,0,MAX(0,MIN(Y385,ROUND($AZ385-SUMPRODUCT($V385:$AE385*($V385:$AE385&gt;0)*(($V385:$AE385&lt;Y385)+($V385:$AE385=Y385)*($V$3:$AE$3&gt;Y$3)+($V385:$AE385=Y385)*($V$3:$AE$3=Y$3)*($V$2:$AE$2&lt;Y$2))),2))))</f>
      </c>
      <c r="AJ385" s="33">
        <f>IF(Z385&lt;=0,0,MAX(0,MIN(Z385,ROUND($AZ385-SUMPRODUCT($V385:$AE385*($V385:$AE385&gt;0)*(($V385:$AE385&lt;Z385)+($V385:$AE385=Z385)*($V$3:$AE$3&gt;Z$3)+($V385:$AE385=Z385)*($V$3:$AE$3=Z$3)*($V$2:$AE$2&lt;Z$2))),2))))</f>
      </c>
      <c r="AK385" s="33">
        <f>IF(AA385&lt;=0,0,MAX(0,MIN(AA385,ROUND($AZ385-SUMPRODUCT($V385:$AE385*($V385:$AE385&gt;0)*(($V385:$AE385&lt;AA385)+($V385:$AE385=AA385)*($V$3:$AE$3&gt;AA$3)+($V385:$AE385=AA385)*($V$3:$AE$3=AA$3)*($V$2:$AE$2&lt;AA$2))),2))))</f>
      </c>
      <c r="AL385" s="33">
        <f>IF(AB385&lt;=0,0,MAX(0,MIN(AB385,ROUND($AZ385-SUMPRODUCT($V385:$AE385*($V385:$AE385&gt;0)*(($V385:$AE385&lt;AB385)+($V385:$AE385=AB385)*($V$3:$AE$3&gt;AB$3)+($V385:$AE385=AB385)*($V$3:$AE$3=AB$3)*($V$2:$AE$2&lt;AB$2))),2))))</f>
      </c>
      <c r="AM385" s="33">
        <f>IF(AC385&lt;=0,0,MAX(0,MIN(AC385,ROUND($AZ385-SUMPRODUCT($V385:$AE385*($V385:$AE385&gt;0)*(($V385:$AE385&lt;AC385)+($V385:$AE385=AC385)*($V$3:$AE$3&gt;AC$3)+($V385:$AE385=AC385)*($V$3:$AE$3=AC$3)*($V$2:$AE$2&lt;AC$2))),2))))</f>
      </c>
      <c r="AN385" s="33">
        <f>IF(AD385&lt;=0,0,MAX(0,MIN(AD385,ROUND($AZ385-SUMPRODUCT($V385:$AE385*($V385:$AE385&gt;0)*(($V385:$AE385&lt;AD385)+($V385:$AE385=AD385)*($V$3:$AE$3&gt;AD$3)+($V385:$AE385=AD385)*($V$3:$AE$3=AD$3)*($V$2:$AE$2&lt;AD$2))),2))))</f>
      </c>
      <c r="AO385" s="33">
        <f>IF(AE385&lt;=0,0,MAX(0,MIN(AE385,ROUND($AZ385-SUMPRODUCT($V385:$AE385*($V385:$AE385&gt;0)*(($V385:$AE385&lt;AE385)+($V385:$AE385=AE385)*($V$3:$AE$3&gt;AE$3)+($V385:$AE385=AE385)*($V$3:$AE$3=AE$3)*($V$2:$AE$2&lt;AE$2))),2))))</f>
      </c>
      <c r="AP385" s="33">
        <f>ROUND(V385-AF385,2)</f>
      </c>
      <c r="AQ385" s="33">
        <f>ROUND(W385-AG385,2)</f>
      </c>
      <c r="AR385" s="33">
        <f>ROUND(X385-AH385,2)</f>
      </c>
      <c r="AS385" s="33">
        <f>ROUND(Y385-AI385,2)</f>
      </c>
      <c r="AT385" s="33">
        <f>ROUND(Z385-AJ385,2)</f>
      </c>
      <c r="AU385" s="33">
        <f>ROUND(AA385-AK385,2)</f>
      </c>
      <c r="AV385" s="33">
        <f>ROUND(AB385-AL385,2)</f>
      </c>
      <c r="AW385" s="33">
        <f>ROUND(AC385-AM385,2)</f>
      </c>
      <c r="AX385" s="33">
        <f>ROUND(AD385-AN385,2)</f>
      </c>
      <c r="AY385" s="33">
        <f>ROUND(AE385-AO385,2)</f>
      </c>
      <c r="AZ385" s="33">
        <f>ROUND(MAX(0,'Your debts'!$D$22-SUM($L385:$U385)),2)</f>
      </c>
      <c r="BA385" s="33">
        <f>ROUND(SUM($B385:$K385)-SUM($AP384:$AY384),2)</f>
      </c>
      <c r="BB385" s="33">
        <f>SUM($AP385:$AY385)</f>
      </c>
      <c r="BC385" s="33">
        <f>ROUND(SUM($L385:$U385)+SUM($AF385:$AO385),2)</f>
      </c>
    </row>
    <row r="386" spans="1:55" x14ac:dyDescent="0.25">
      <c r="A386">
        <v>379</v>
      </c>
      <c r="B386" s="33">
        <f>IF(AP385&lt;=0,0,ROUND(AP385+ROUND(AP385*V$3/12,2),2))</f>
      </c>
      <c r="C386" s="33">
        <f>IF(AQ385&lt;=0,0,ROUND(AQ385+ROUND(AQ385*W$3/12,2),2))</f>
      </c>
      <c r="D386" s="33">
        <f>IF(AR385&lt;=0,0,ROUND(AR385+ROUND(AR385*X$3/12,2),2))</f>
      </c>
      <c r="E386" s="33">
        <f>IF(AS385&lt;=0,0,ROUND(AS385+ROUND(AS385*Y$3/12,2),2))</f>
      </c>
      <c r="F386" s="33">
        <f>IF(AT385&lt;=0,0,ROUND(AT385+ROUND(AT385*Z$3/12,2),2))</f>
      </c>
      <c r="G386" s="33">
        <f>IF(AU385&lt;=0,0,ROUND(AU385+ROUND(AU385*AA$3/12,2),2))</f>
      </c>
      <c r="H386" s="33">
        <f>IF(AV385&lt;=0,0,ROUND(AV385+ROUND(AV385*AB$3/12,2),2))</f>
      </c>
      <c r="I386" s="33">
        <f>IF(AW385&lt;=0,0,ROUND(AW385+ROUND(AW385*AC$3/12,2),2))</f>
      </c>
      <c r="J386" s="33">
        <f>IF(AX385&lt;=0,0,ROUND(AX385+ROUND(AX385*AD$3/12,2),2))</f>
      </c>
      <c r="K386" s="33">
        <f>IF(AY385&lt;=0,0,ROUND(AY385+ROUND(AY385*AE$3/12,2),2))</f>
      </c>
      <c r="L386" s="33">
        <f>ROUND(MIN(MAX(0,N('Your debts'!$E$6)),B386),2)</f>
      </c>
      <c r="M386" s="33">
        <f>ROUND(MIN(MAX(0,N('Your debts'!$E$7)),C386),2)</f>
      </c>
      <c r="N386" s="33">
        <f>ROUND(MIN(MAX(0,N('Your debts'!$E$8)),D386),2)</f>
      </c>
      <c r="O386" s="33">
        <f>ROUND(MIN(MAX(0,N('Your debts'!$E$9)),E386),2)</f>
      </c>
      <c r="P386" s="33">
        <f>ROUND(MIN(MAX(0,N('Your debts'!$E$10)),F386),2)</f>
      </c>
      <c r="Q386" s="33">
        <f>ROUND(MIN(MAX(0,N('Your debts'!$E$11)),G386),2)</f>
      </c>
      <c r="R386" s="33">
        <f>ROUND(MIN(MAX(0,N('Your debts'!$E$12)),H386),2)</f>
      </c>
      <c r="S386" s="33">
        <f>ROUND(MIN(MAX(0,N('Your debts'!$E$13)),I386),2)</f>
      </c>
      <c r="T386" s="33">
        <f>ROUND(MIN(MAX(0,N('Your debts'!$E$14)),J386),2)</f>
      </c>
      <c r="U386" s="33">
        <f>ROUND(MIN(MAX(0,N('Your debts'!$E$15)),K386),2)</f>
      </c>
      <c r="V386" s="33">
        <f>ROUND(B386-L386,2)</f>
      </c>
      <c r="W386" s="33">
        <f>ROUND(C386-M386,2)</f>
      </c>
      <c r="X386" s="33">
        <f>ROUND(D386-N386,2)</f>
      </c>
      <c r="Y386" s="33">
        <f>ROUND(E386-O386,2)</f>
      </c>
      <c r="Z386" s="33">
        <f>ROUND(F386-P386,2)</f>
      </c>
      <c r="AA386" s="33">
        <f>ROUND(G386-Q386,2)</f>
      </c>
      <c r="AB386" s="33">
        <f>ROUND(H386-R386,2)</f>
      </c>
      <c r="AC386" s="33">
        <f>ROUND(I386-S386,2)</f>
      </c>
      <c r="AD386" s="33">
        <f>ROUND(J386-T386,2)</f>
      </c>
      <c r="AE386" s="33">
        <f>ROUND(K386-U386,2)</f>
      </c>
      <c r="AF386" s="33">
        <f>IF(V386&lt;=0,0,MAX(0,MIN(V386,ROUND($AZ386-SUMPRODUCT($V386:$AE386*($V386:$AE386&gt;0)*(($V386:$AE386&lt;V386)+($V386:$AE386=V386)*($V$3:$AE$3&gt;V$3)+($V386:$AE386=V386)*($V$3:$AE$3=V$3)*($V$2:$AE$2&lt;V$2))),2))))</f>
      </c>
      <c r="AG386" s="33">
        <f>IF(W386&lt;=0,0,MAX(0,MIN(W386,ROUND($AZ386-SUMPRODUCT($V386:$AE386*($V386:$AE386&gt;0)*(($V386:$AE386&lt;W386)+($V386:$AE386=W386)*($V$3:$AE$3&gt;W$3)+($V386:$AE386=W386)*($V$3:$AE$3=W$3)*($V$2:$AE$2&lt;W$2))),2))))</f>
      </c>
      <c r="AH386" s="33">
        <f>IF(X386&lt;=0,0,MAX(0,MIN(X386,ROUND($AZ386-SUMPRODUCT($V386:$AE386*($V386:$AE386&gt;0)*(($V386:$AE386&lt;X386)+($V386:$AE386=X386)*($V$3:$AE$3&gt;X$3)+($V386:$AE386=X386)*($V$3:$AE$3=X$3)*($V$2:$AE$2&lt;X$2))),2))))</f>
      </c>
      <c r="AI386" s="33">
        <f>IF(Y386&lt;=0,0,MAX(0,MIN(Y386,ROUND($AZ386-SUMPRODUCT($V386:$AE386*($V386:$AE386&gt;0)*(($V386:$AE386&lt;Y386)+($V386:$AE386=Y386)*($V$3:$AE$3&gt;Y$3)+($V386:$AE386=Y386)*($V$3:$AE$3=Y$3)*($V$2:$AE$2&lt;Y$2))),2))))</f>
      </c>
      <c r="AJ386" s="33">
        <f>IF(Z386&lt;=0,0,MAX(0,MIN(Z386,ROUND($AZ386-SUMPRODUCT($V386:$AE386*($V386:$AE386&gt;0)*(($V386:$AE386&lt;Z386)+($V386:$AE386=Z386)*($V$3:$AE$3&gt;Z$3)+($V386:$AE386=Z386)*($V$3:$AE$3=Z$3)*($V$2:$AE$2&lt;Z$2))),2))))</f>
      </c>
      <c r="AK386" s="33">
        <f>IF(AA386&lt;=0,0,MAX(0,MIN(AA386,ROUND($AZ386-SUMPRODUCT($V386:$AE386*($V386:$AE386&gt;0)*(($V386:$AE386&lt;AA386)+($V386:$AE386=AA386)*($V$3:$AE$3&gt;AA$3)+($V386:$AE386=AA386)*($V$3:$AE$3=AA$3)*($V$2:$AE$2&lt;AA$2))),2))))</f>
      </c>
      <c r="AL386" s="33">
        <f>IF(AB386&lt;=0,0,MAX(0,MIN(AB386,ROUND($AZ386-SUMPRODUCT($V386:$AE386*($V386:$AE386&gt;0)*(($V386:$AE386&lt;AB386)+($V386:$AE386=AB386)*($V$3:$AE$3&gt;AB$3)+($V386:$AE386=AB386)*($V$3:$AE$3=AB$3)*($V$2:$AE$2&lt;AB$2))),2))))</f>
      </c>
      <c r="AM386" s="33">
        <f>IF(AC386&lt;=0,0,MAX(0,MIN(AC386,ROUND($AZ386-SUMPRODUCT($V386:$AE386*($V386:$AE386&gt;0)*(($V386:$AE386&lt;AC386)+($V386:$AE386=AC386)*($V$3:$AE$3&gt;AC$3)+($V386:$AE386=AC386)*($V$3:$AE$3=AC$3)*($V$2:$AE$2&lt;AC$2))),2))))</f>
      </c>
      <c r="AN386" s="33">
        <f>IF(AD386&lt;=0,0,MAX(0,MIN(AD386,ROUND($AZ386-SUMPRODUCT($V386:$AE386*($V386:$AE386&gt;0)*(($V386:$AE386&lt;AD386)+($V386:$AE386=AD386)*($V$3:$AE$3&gt;AD$3)+($V386:$AE386=AD386)*($V$3:$AE$3=AD$3)*($V$2:$AE$2&lt;AD$2))),2))))</f>
      </c>
      <c r="AO386" s="33">
        <f>IF(AE386&lt;=0,0,MAX(0,MIN(AE386,ROUND($AZ386-SUMPRODUCT($V386:$AE386*($V386:$AE386&gt;0)*(($V386:$AE386&lt;AE386)+($V386:$AE386=AE386)*($V$3:$AE$3&gt;AE$3)+($V386:$AE386=AE386)*($V$3:$AE$3=AE$3)*($V$2:$AE$2&lt;AE$2))),2))))</f>
      </c>
      <c r="AP386" s="33">
        <f>ROUND(V386-AF386,2)</f>
      </c>
      <c r="AQ386" s="33">
        <f>ROUND(W386-AG386,2)</f>
      </c>
      <c r="AR386" s="33">
        <f>ROUND(X386-AH386,2)</f>
      </c>
      <c r="AS386" s="33">
        <f>ROUND(Y386-AI386,2)</f>
      </c>
      <c r="AT386" s="33">
        <f>ROUND(Z386-AJ386,2)</f>
      </c>
      <c r="AU386" s="33">
        <f>ROUND(AA386-AK386,2)</f>
      </c>
      <c r="AV386" s="33">
        <f>ROUND(AB386-AL386,2)</f>
      </c>
      <c r="AW386" s="33">
        <f>ROUND(AC386-AM386,2)</f>
      </c>
      <c r="AX386" s="33">
        <f>ROUND(AD386-AN386,2)</f>
      </c>
      <c r="AY386" s="33">
        <f>ROUND(AE386-AO386,2)</f>
      </c>
      <c r="AZ386" s="33">
        <f>ROUND(MAX(0,'Your debts'!$D$22-SUM($L386:$U386)),2)</f>
      </c>
      <c r="BA386" s="33">
        <f>ROUND(SUM($B386:$K386)-SUM($AP385:$AY385),2)</f>
      </c>
      <c r="BB386" s="33">
        <f>SUM($AP386:$AY386)</f>
      </c>
      <c r="BC386" s="33">
        <f>ROUND(SUM($L386:$U386)+SUM($AF386:$AO386),2)</f>
      </c>
    </row>
    <row r="387" spans="1:55" x14ac:dyDescent="0.25">
      <c r="A387">
        <v>380</v>
      </c>
      <c r="B387" s="33">
        <f>IF(AP386&lt;=0,0,ROUND(AP386+ROUND(AP386*V$3/12,2),2))</f>
      </c>
      <c r="C387" s="33">
        <f>IF(AQ386&lt;=0,0,ROUND(AQ386+ROUND(AQ386*W$3/12,2),2))</f>
      </c>
      <c r="D387" s="33">
        <f>IF(AR386&lt;=0,0,ROUND(AR386+ROUND(AR386*X$3/12,2),2))</f>
      </c>
      <c r="E387" s="33">
        <f>IF(AS386&lt;=0,0,ROUND(AS386+ROUND(AS386*Y$3/12,2),2))</f>
      </c>
      <c r="F387" s="33">
        <f>IF(AT386&lt;=0,0,ROUND(AT386+ROUND(AT386*Z$3/12,2),2))</f>
      </c>
      <c r="G387" s="33">
        <f>IF(AU386&lt;=0,0,ROUND(AU386+ROUND(AU386*AA$3/12,2),2))</f>
      </c>
      <c r="H387" s="33">
        <f>IF(AV386&lt;=0,0,ROUND(AV386+ROUND(AV386*AB$3/12,2),2))</f>
      </c>
      <c r="I387" s="33">
        <f>IF(AW386&lt;=0,0,ROUND(AW386+ROUND(AW386*AC$3/12,2),2))</f>
      </c>
      <c r="J387" s="33">
        <f>IF(AX386&lt;=0,0,ROUND(AX386+ROUND(AX386*AD$3/12,2),2))</f>
      </c>
      <c r="K387" s="33">
        <f>IF(AY386&lt;=0,0,ROUND(AY386+ROUND(AY386*AE$3/12,2),2))</f>
      </c>
      <c r="L387" s="33">
        <f>ROUND(MIN(MAX(0,N('Your debts'!$E$6)),B387),2)</f>
      </c>
      <c r="M387" s="33">
        <f>ROUND(MIN(MAX(0,N('Your debts'!$E$7)),C387),2)</f>
      </c>
      <c r="N387" s="33">
        <f>ROUND(MIN(MAX(0,N('Your debts'!$E$8)),D387),2)</f>
      </c>
      <c r="O387" s="33">
        <f>ROUND(MIN(MAX(0,N('Your debts'!$E$9)),E387),2)</f>
      </c>
      <c r="P387" s="33">
        <f>ROUND(MIN(MAX(0,N('Your debts'!$E$10)),F387),2)</f>
      </c>
      <c r="Q387" s="33">
        <f>ROUND(MIN(MAX(0,N('Your debts'!$E$11)),G387),2)</f>
      </c>
      <c r="R387" s="33">
        <f>ROUND(MIN(MAX(0,N('Your debts'!$E$12)),H387),2)</f>
      </c>
      <c r="S387" s="33">
        <f>ROUND(MIN(MAX(0,N('Your debts'!$E$13)),I387),2)</f>
      </c>
      <c r="T387" s="33">
        <f>ROUND(MIN(MAX(0,N('Your debts'!$E$14)),J387),2)</f>
      </c>
      <c r="U387" s="33">
        <f>ROUND(MIN(MAX(0,N('Your debts'!$E$15)),K387),2)</f>
      </c>
      <c r="V387" s="33">
        <f>ROUND(B387-L387,2)</f>
      </c>
      <c r="W387" s="33">
        <f>ROUND(C387-M387,2)</f>
      </c>
      <c r="X387" s="33">
        <f>ROUND(D387-N387,2)</f>
      </c>
      <c r="Y387" s="33">
        <f>ROUND(E387-O387,2)</f>
      </c>
      <c r="Z387" s="33">
        <f>ROUND(F387-P387,2)</f>
      </c>
      <c r="AA387" s="33">
        <f>ROUND(G387-Q387,2)</f>
      </c>
      <c r="AB387" s="33">
        <f>ROUND(H387-R387,2)</f>
      </c>
      <c r="AC387" s="33">
        <f>ROUND(I387-S387,2)</f>
      </c>
      <c r="AD387" s="33">
        <f>ROUND(J387-T387,2)</f>
      </c>
      <c r="AE387" s="33">
        <f>ROUND(K387-U387,2)</f>
      </c>
      <c r="AF387" s="33">
        <f>IF(V387&lt;=0,0,MAX(0,MIN(V387,ROUND($AZ387-SUMPRODUCT($V387:$AE387*($V387:$AE387&gt;0)*(($V387:$AE387&lt;V387)+($V387:$AE387=V387)*($V$3:$AE$3&gt;V$3)+($V387:$AE387=V387)*($V$3:$AE$3=V$3)*($V$2:$AE$2&lt;V$2))),2))))</f>
      </c>
      <c r="AG387" s="33">
        <f>IF(W387&lt;=0,0,MAX(0,MIN(W387,ROUND($AZ387-SUMPRODUCT($V387:$AE387*($V387:$AE387&gt;0)*(($V387:$AE387&lt;W387)+($V387:$AE387=W387)*($V$3:$AE$3&gt;W$3)+($V387:$AE387=W387)*($V$3:$AE$3=W$3)*($V$2:$AE$2&lt;W$2))),2))))</f>
      </c>
      <c r="AH387" s="33">
        <f>IF(X387&lt;=0,0,MAX(0,MIN(X387,ROUND($AZ387-SUMPRODUCT($V387:$AE387*($V387:$AE387&gt;0)*(($V387:$AE387&lt;X387)+($V387:$AE387=X387)*($V$3:$AE$3&gt;X$3)+($V387:$AE387=X387)*($V$3:$AE$3=X$3)*($V$2:$AE$2&lt;X$2))),2))))</f>
      </c>
      <c r="AI387" s="33">
        <f>IF(Y387&lt;=0,0,MAX(0,MIN(Y387,ROUND($AZ387-SUMPRODUCT($V387:$AE387*($V387:$AE387&gt;0)*(($V387:$AE387&lt;Y387)+($V387:$AE387=Y387)*($V$3:$AE$3&gt;Y$3)+($V387:$AE387=Y387)*($V$3:$AE$3=Y$3)*($V$2:$AE$2&lt;Y$2))),2))))</f>
      </c>
      <c r="AJ387" s="33">
        <f>IF(Z387&lt;=0,0,MAX(0,MIN(Z387,ROUND($AZ387-SUMPRODUCT($V387:$AE387*($V387:$AE387&gt;0)*(($V387:$AE387&lt;Z387)+($V387:$AE387=Z387)*($V$3:$AE$3&gt;Z$3)+($V387:$AE387=Z387)*($V$3:$AE$3=Z$3)*($V$2:$AE$2&lt;Z$2))),2))))</f>
      </c>
      <c r="AK387" s="33">
        <f>IF(AA387&lt;=0,0,MAX(0,MIN(AA387,ROUND($AZ387-SUMPRODUCT($V387:$AE387*($V387:$AE387&gt;0)*(($V387:$AE387&lt;AA387)+($V387:$AE387=AA387)*($V$3:$AE$3&gt;AA$3)+($V387:$AE387=AA387)*($V$3:$AE$3=AA$3)*($V$2:$AE$2&lt;AA$2))),2))))</f>
      </c>
      <c r="AL387" s="33">
        <f>IF(AB387&lt;=0,0,MAX(0,MIN(AB387,ROUND($AZ387-SUMPRODUCT($V387:$AE387*($V387:$AE387&gt;0)*(($V387:$AE387&lt;AB387)+($V387:$AE387=AB387)*($V$3:$AE$3&gt;AB$3)+($V387:$AE387=AB387)*($V$3:$AE$3=AB$3)*($V$2:$AE$2&lt;AB$2))),2))))</f>
      </c>
      <c r="AM387" s="33">
        <f>IF(AC387&lt;=0,0,MAX(0,MIN(AC387,ROUND($AZ387-SUMPRODUCT($V387:$AE387*($V387:$AE387&gt;0)*(($V387:$AE387&lt;AC387)+($V387:$AE387=AC387)*($V$3:$AE$3&gt;AC$3)+($V387:$AE387=AC387)*($V$3:$AE$3=AC$3)*($V$2:$AE$2&lt;AC$2))),2))))</f>
      </c>
      <c r="AN387" s="33">
        <f>IF(AD387&lt;=0,0,MAX(0,MIN(AD387,ROUND($AZ387-SUMPRODUCT($V387:$AE387*($V387:$AE387&gt;0)*(($V387:$AE387&lt;AD387)+($V387:$AE387=AD387)*($V$3:$AE$3&gt;AD$3)+($V387:$AE387=AD387)*($V$3:$AE$3=AD$3)*($V$2:$AE$2&lt;AD$2))),2))))</f>
      </c>
      <c r="AO387" s="33">
        <f>IF(AE387&lt;=0,0,MAX(0,MIN(AE387,ROUND($AZ387-SUMPRODUCT($V387:$AE387*($V387:$AE387&gt;0)*(($V387:$AE387&lt;AE387)+($V387:$AE387=AE387)*($V$3:$AE$3&gt;AE$3)+($V387:$AE387=AE387)*($V$3:$AE$3=AE$3)*($V$2:$AE$2&lt;AE$2))),2))))</f>
      </c>
      <c r="AP387" s="33">
        <f>ROUND(V387-AF387,2)</f>
      </c>
      <c r="AQ387" s="33">
        <f>ROUND(W387-AG387,2)</f>
      </c>
      <c r="AR387" s="33">
        <f>ROUND(X387-AH387,2)</f>
      </c>
      <c r="AS387" s="33">
        <f>ROUND(Y387-AI387,2)</f>
      </c>
      <c r="AT387" s="33">
        <f>ROUND(Z387-AJ387,2)</f>
      </c>
      <c r="AU387" s="33">
        <f>ROUND(AA387-AK387,2)</f>
      </c>
      <c r="AV387" s="33">
        <f>ROUND(AB387-AL387,2)</f>
      </c>
      <c r="AW387" s="33">
        <f>ROUND(AC387-AM387,2)</f>
      </c>
      <c r="AX387" s="33">
        <f>ROUND(AD387-AN387,2)</f>
      </c>
      <c r="AY387" s="33">
        <f>ROUND(AE387-AO387,2)</f>
      </c>
      <c r="AZ387" s="33">
        <f>ROUND(MAX(0,'Your debts'!$D$22-SUM($L387:$U387)),2)</f>
      </c>
      <c r="BA387" s="33">
        <f>ROUND(SUM($B387:$K387)-SUM($AP386:$AY386),2)</f>
      </c>
      <c r="BB387" s="33">
        <f>SUM($AP387:$AY387)</f>
      </c>
      <c r="BC387" s="33">
        <f>ROUND(SUM($L387:$U387)+SUM($AF387:$AO387),2)</f>
      </c>
    </row>
    <row r="388" spans="1:55" x14ac:dyDescent="0.25">
      <c r="A388">
        <v>381</v>
      </c>
      <c r="B388" s="33">
        <f>IF(AP387&lt;=0,0,ROUND(AP387+ROUND(AP387*V$3/12,2),2))</f>
      </c>
      <c r="C388" s="33">
        <f>IF(AQ387&lt;=0,0,ROUND(AQ387+ROUND(AQ387*W$3/12,2),2))</f>
      </c>
      <c r="D388" s="33">
        <f>IF(AR387&lt;=0,0,ROUND(AR387+ROUND(AR387*X$3/12,2),2))</f>
      </c>
      <c r="E388" s="33">
        <f>IF(AS387&lt;=0,0,ROUND(AS387+ROUND(AS387*Y$3/12,2),2))</f>
      </c>
      <c r="F388" s="33">
        <f>IF(AT387&lt;=0,0,ROUND(AT387+ROUND(AT387*Z$3/12,2),2))</f>
      </c>
      <c r="G388" s="33">
        <f>IF(AU387&lt;=0,0,ROUND(AU387+ROUND(AU387*AA$3/12,2),2))</f>
      </c>
      <c r="H388" s="33">
        <f>IF(AV387&lt;=0,0,ROUND(AV387+ROUND(AV387*AB$3/12,2),2))</f>
      </c>
      <c r="I388" s="33">
        <f>IF(AW387&lt;=0,0,ROUND(AW387+ROUND(AW387*AC$3/12,2),2))</f>
      </c>
      <c r="J388" s="33">
        <f>IF(AX387&lt;=0,0,ROUND(AX387+ROUND(AX387*AD$3/12,2),2))</f>
      </c>
      <c r="K388" s="33">
        <f>IF(AY387&lt;=0,0,ROUND(AY387+ROUND(AY387*AE$3/12,2),2))</f>
      </c>
      <c r="L388" s="33">
        <f>ROUND(MIN(MAX(0,N('Your debts'!$E$6)),B388),2)</f>
      </c>
      <c r="M388" s="33">
        <f>ROUND(MIN(MAX(0,N('Your debts'!$E$7)),C388),2)</f>
      </c>
      <c r="N388" s="33">
        <f>ROUND(MIN(MAX(0,N('Your debts'!$E$8)),D388),2)</f>
      </c>
      <c r="O388" s="33">
        <f>ROUND(MIN(MAX(0,N('Your debts'!$E$9)),E388),2)</f>
      </c>
      <c r="P388" s="33">
        <f>ROUND(MIN(MAX(0,N('Your debts'!$E$10)),F388),2)</f>
      </c>
      <c r="Q388" s="33">
        <f>ROUND(MIN(MAX(0,N('Your debts'!$E$11)),G388),2)</f>
      </c>
      <c r="R388" s="33">
        <f>ROUND(MIN(MAX(0,N('Your debts'!$E$12)),H388),2)</f>
      </c>
      <c r="S388" s="33">
        <f>ROUND(MIN(MAX(0,N('Your debts'!$E$13)),I388),2)</f>
      </c>
      <c r="T388" s="33">
        <f>ROUND(MIN(MAX(0,N('Your debts'!$E$14)),J388),2)</f>
      </c>
      <c r="U388" s="33">
        <f>ROUND(MIN(MAX(0,N('Your debts'!$E$15)),K388),2)</f>
      </c>
      <c r="V388" s="33">
        <f>ROUND(B388-L388,2)</f>
      </c>
      <c r="W388" s="33">
        <f>ROUND(C388-M388,2)</f>
      </c>
      <c r="X388" s="33">
        <f>ROUND(D388-N388,2)</f>
      </c>
      <c r="Y388" s="33">
        <f>ROUND(E388-O388,2)</f>
      </c>
      <c r="Z388" s="33">
        <f>ROUND(F388-P388,2)</f>
      </c>
      <c r="AA388" s="33">
        <f>ROUND(G388-Q388,2)</f>
      </c>
      <c r="AB388" s="33">
        <f>ROUND(H388-R388,2)</f>
      </c>
      <c r="AC388" s="33">
        <f>ROUND(I388-S388,2)</f>
      </c>
      <c r="AD388" s="33">
        <f>ROUND(J388-T388,2)</f>
      </c>
      <c r="AE388" s="33">
        <f>ROUND(K388-U388,2)</f>
      </c>
      <c r="AF388" s="33">
        <f>IF(V388&lt;=0,0,MAX(0,MIN(V388,ROUND($AZ388-SUMPRODUCT($V388:$AE388*($V388:$AE388&gt;0)*(($V388:$AE388&lt;V388)+($V388:$AE388=V388)*($V$3:$AE$3&gt;V$3)+($V388:$AE388=V388)*($V$3:$AE$3=V$3)*($V$2:$AE$2&lt;V$2))),2))))</f>
      </c>
      <c r="AG388" s="33">
        <f>IF(W388&lt;=0,0,MAX(0,MIN(W388,ROUND($AZ388-SUMPRODUCT($V388:$AE388*($V388:$AE388&gt;0)*(($V388:$AE388&lt;W388)+($V388:$AE388=W388)*($V$3:$AE$3&gt;W$3)+($V388:$AE388=W388)*($V$3:$AE$3=W$3)*($V$2:$AE$2&lt;W$2))),2))))</f>
      </c>
      <c r="AH388" s="33">
        <f>IF(X388&lt;=0,0,MAX(0,MIN(X388,ROUND($AZ388-SUMPRODUCT($V388:$AE388*($V388:$AE388&gt;0)*(($V388:$AE388&lt;X388)+($V388:$AE388=X388)*($V$3:$AE$3&gt;X$3)+($V388:$AE388=X388)*($V$3:$AE$3=X$3)*($V$2:$AE$2&lt;X$2))),2))))</f>
      </c>
      <c r="AI388" s="33">
        <f>IF(Y388&lt;=0,0,MAX(0,MIN(Y388,ROUND($AZ388-SUMPRODUCT($V388:$AE388*($V388:$AE388&gt;0)*(($V388:$AE388&lt;Y388)+($V388:$AE388=Y388)*($V$3:$AE$3&gt;Y$3)+($V388:$AE388=Y388)*($V$3:$AE$3=Y$3)*($V$2:$AE$2&lt;Y$2))),2))))</f>
      </c>
      <c r="AJ388" s="33">
        <f>IF(Z388&lt;=0,0,MAX(0,MIN(Z388,ROUND($AZ388-SUMPRODUCT($V388:$AE388*($V388:$AE388&gt;0)*(($V388:$AE388&lt;Z388)+($V388:$AE388=Z388)*($V$3:$AE$3&gt;Z$3)+($V388:$AE388=Z388)*($V$3:$AE$3=Z$3)*($V$2:$AE$2&lt;Z$2))),2))))</f>
      </c>
      <c r="AK388" s="33">
        <f>IF(AA388&lt;=0,0,MAX(0,MIN(AA388,ROUND($AZ388-SUMPRODUCT($V388:$AE388*($V388:$AE388&gt;0)*(($V388:$AE388&lt;AA388)+($V388:$AE388=AA388)*($V$3:$AE$3&gt;AA$3)+($V388:$AE388=AA388)*($V$3:$AE$3=AA$3)*($V$2:$AE$2&lt;AA$2))),2))))</f>
      </c>
      <c r="AL388" s="33">
        <f>IF(AB388&lt;=0,0,MAX(0,MIN(AB388,ROUND($AZ388-SUMPRODUCT($V388:$AE388*($V388:$AE388&gt;0)*(($V388:$AE388&lt;AB388)+($V388:$AE388=AB388)*($V$3:$AE$3&gt;AB$3)+($V388:$AE388=AB388)*($V$3:$AE$3=AB$3)*($V$2:$AE$2&lt;AB$2))),2))))</f>
      </c>
      <c r="AM388" s="33">
        <f>IF(AC388&lt;=0,0,MAX(0,MIN(AC388,ROUND($AZ388-SUMPRODUCT($V388:$AE388*($V388:$AE388&gt;0)*(($V388:$AE388&lt;AC388)+($V388:$AE388=AC388)*($V$3:$AE$3&gt;AC$3)+($V388:$AE388=AC388)*($V$3:$AE$3=AC$3)*($V$2:$AE$2&lt;AC$2))),2))))</f>
      </c>
      <c r="AN388" s="33">
        <f>IF(AD388&lt;=0,0,MAX(0,MIN(AD388,ROUND($AZ388-SUMPRODUCT($V388:$AE388*($V388:$AE388&gt;0)*(($V388:$AE388&lt;AD388)+($V388:$AE388=AD388)*($V$3:$AE$3&gt;AD$3)+($V388:$AE388=AD388)*($V$3:$AE$3=AD$3)*($V$2:$AE$2&lt;AD$2))),2))))</f>
      </c>
      <c r="AO388" s="33">
        <f>IF(AE388&lt;=0,0,MAX(0,MIN(AE388,ROUND($AZ388-SUMPRODUCT($V388:$AE388*($V388:$AE388&gt;0)*(($V388:$AE388&lt;AE388)+($V388:$AE388=AE388)*($V$3:$AE$3&gt;AE$3)+($V388:$AE388=AE388)*($V$3:$AE$3=AE$3)*($V$2:$AE$2&lt;AE$2))),2))))</f>
      </c>
      <c r="AP388" s="33">
        <f>ROUND(V388-AF388,2)</f>
      </c>
      <c r="AQ388" s="33">
        <f>ROUND(W388-AG388,2)</f>
      </c>
      <c r="AR388" s="33">
        <f>ROUND(X388-AH388,2)</f>
      </c>
      <c r="AS388" s="33">
        <f>ROUND(Y388-AI388,2)</f>
      </c>
      <c r="AT388" s="33">
        <f>ROUND(Z388-AJ388,2)</f>
      </c>
      <c r="AU388" s="33">
        <f>ROUND(AA388-AK388,2)</f>
      </c>
      <c r="AV388" s="33">
        <f>ROUND(AB388-AL388,2)</f>
      </c>
      <c r="AW388" s="33">
        <f>ROUND(AC388-AM388,2)</f>
      </c>
      <c r="AX388" s="33">
        <f>ROUND(AD388-AN388,2)</f>
      </c>
      <c r="AY388" s="33">
        <f>ROUND(AE388-AO388,2)</f>
      </c>
      <c r="AZ388" s="33">
        <f>ROUND(MAX(0,'Your debts'!$D$22-SUM($L388:$U388)),2)</f>
      </c>
      <c r="BA388" s="33">
        <f>ROUND(SUM($B388:$K388)-SUM($AP387:$AY387),2)</f>
      </c>
      <c r="BB388" s="33">
        <f>SUM($AP388:$AY388)</f>
      </c>
      <c r="BC388" s="33">
        <f>ROUND(SUM($L388:$U388)+SUM($AF388:$AO388),2)</f>
      </c>
    </row>
    <row r="389" spans="1:55" x14ac:dyDescent="0.25">
      <c r="A389">
        <v>382</v>
      </c>
      <c r="B389" s="33">
        <f>IF(AP388&lt;=0,0,ROUND(AP388+ROUND(AP388*V$3/12,2),2))</f>
      </c>
      <c r="C389" s="33">
        <f>IF(AQ388&lt;=0,0,ROUND(AQ388+ROUND(AQ388*W$3/12,2),2))</f>
      </c>
      <c r="D389" s="33">
        <f>IF(AR388&lt;=0,0,ROUND(AR388+ROUND(AR388*X$3/12,2),2))</f>
      </c>
      <c r="E389" s="33">
        <f>IF(AS388&lt;=0,0,ROUND(AS388+ROUND(AS388*Y$3/12,2),2))</f>
      </c>
      <c r="F389" s="33">
        <f>IF(AT388&lt;=0,0,ROUND(AT388+ROUND(AT388*Z$3/12,2),2))</f>
      </c>
      <c r="G389" s="33">
        <f>IF(AU388&lt;=0,0,ROUND(AU388+ROUND(AU388*AA$3/12,2),2))</f>
      </c>
      <c r="H389" s="33">
        <f>IF(AV388&lt;=0,0,ROUND(AV388+ROUND(AV388*AB$3/12,2),2))</f>
      </c>
      <c r="I389" s="33">
        <f>IF(AW388&lt;=0,0,ROUND(AW388+ROUND(AW388*AC$3/12,2),2))</f>
      </c>
      <c r="J389" s="33">
        <f>IF(AX388&lt;=0,0,ROUND(AX388+ROUND(AX388*AD$3/12,2),2))</f>
      </c>
      <c r="K389" s="33">
        <f>IF(AY388&lt;=0,0,ROUND(AY388+ROUND(AY388*AE$3/12,2),2))</f>
      </c>
      <c r="L389" s="33">
        <f>ROUND(MIN(MAX(0,N('Your debts'!$E$6)),B389),2)</f>
      </c>
      <c r="M389" s="33">
        <f>ROUND(MIN(MAX(0,N('Your debts'!$E$7)),C389),2)</f>
      </c>
      <c r="N389" s="33">
        <f>ROUND(MIN(MAX(0,N('Your debts'!$E$8)),D389),2)</f>
      </c>
      <c r="O389" s="33">
        <f>ROUND(MIN(MAX(0,N('Your debts'!$E$9)),E389),2)</f>
      </c>
      <c r="P389" s="33">
        <f>ROUND(MIN(MAX(0,N('Your debts'!$E$10)),F389),2)</f>
      </c>
      <c r="Q389" s="33">
        <f>ROUND(MIN(MAX(0,N('Your debts'!$E$11)),G389),2)</f>
      </c>
      <c r="R389" s="33">
        <f>ROUND(MIN(MAX(0,N('Your debts'!$E$12)),H389),2)</f>
      </c>
      <c r="S389" s="33">
        <f>ROUND(MIN(MAX(0,N('Your debts'!$E$13)),I389),2)</f>
      </c>
      <c r="T389" s="33">
        <f>ROUND(MIN(MAX(0,N('Your debts'!$E$14)),J389),2)</f>
      </c>
      <c r="U389" s="33">
        <f>ROUND(MIN(MAX(0,N('Your debts'!$E$15)),K389),2)</f>
      </c>
      <c r="V389" s="33">
        <f>ROUND(B389-L389,2)</f>
      </c>
      <c r="W389" s="33">
        <f>ROUND(C389-M389,2)</f>
      </c>
      <c r="X389" s="33">
        <f>ROUND(D389-N389,2)</f>
      </c>
      <c r="Y389" s="33">
        <f>ROUND(E389-O389,2)</f>
      </c>
      <c r="Z389" s="33">
        <f>ROUND(F389-P389,2)</f>
      </c>
      <c r="AA389" s="33">
        <f>ROUND(G389-Q389,2)</f>
      </c>
      <c r="AB389" s="33">
        <f>ROUND(H389-R389,2)</f>
      </c>
      <c r="AC389" s="33">
        <f>ROUND(I389-S389,2)</f>
      </c>
      <c r="AD389" s="33">
        <f>ROUND(J389-T389,2)</f>
      </c>
      <c r="AE389" s="33">
        <f>ROUND(K389-U389,2)</f>
      </c>
      <c r="AF389" s="33">
        <f>IF(V389&lt;=0,0,MAX(0,MIN(V389,ROUND($AZ389-SUMPRODUCT($V389:$AE389*($V389:$AE389&gt;0)*(($V389:$AE389&lt;V389)+($V389:$AE389=V389)*($V$3:$AE$3&gt;V$3)+($V389:$AE389=V389)*($V$3:$AE$3=V$3)*($V$2:$AE$2&lt;V$2))),2))))</f>
      </c>
      <c r="AG389" s="33">
        <f>IF(W389&lt;=0,0,MAX(0,MIN(W389,ROUND($AZ389-SUMPRODUCT($V389:$AE389*($V389:$AE389&gt;0)*(($V389:$AE389&lt;W389)+($V389:$AE389=W389)*($V$3:$AE$3&gt;W$3)+($V389:$AE389=W389)*($V$3:$AE$3=W$3)*($V$2:$AE$2&lt;W$2))),2))))</f>
      </c>
      <c r="AH389" s="33">
        <f>IF(X389&lt;=0,0,MAX(0,MIN(X389,ROUND($AZ389-SUMPRODUCT($V389:$AE389*($V389:$AE389&gt;0)*(($V389:$AE389&lt;X389)+($V389:$AE389=X389)*($V$3:$AE$3&gt;X$3)+($V389:$AE389=X389)*($V$3:$AE$3=X$3)*($V$2:$AE$2&lt;X$2))),2))))</f>
      </c>
      <c r="AI389" s="33">
        <f>IF(Y389&lt;=0,0,MAX(0,MIN(Y389,ROUND($AZ389-SUMPRODUCT($V389:$AE389*($V389:$AE389&gt;0)*(($V389:$AE389&lt;Y389)+($V389:$AE389=Y389)*($V$3:$AE$3&gt;Y$3)+($V389:$AE389=Y389)*($V$3:$AE$3=Y$3)*($V$2:$AE$2&lt;Y$2))),2))))</f>
      </c>
      <c r="AJ389" s="33">
        <f>IF(Z389&lt;=0,0,MAX(0,MIN(Z389,ROUND($AZ389-SUMPRODUCT($V389:$AE389*($V389:$AE389&gt;0)*(($V389:$AE389&lt;Z389)+($V389:$AE389=Z389)*($V$3:$AE$3&gt;Z$3)+($V389:$AE389=Z389)*($V$3:$AE$3=Z$3)*($V$2:$AE$2&lt;Z$2))),2))))</f>
      </c>
      <c r="AK389" s="33">
        <f>IF(AA389&lt;=0,0,MAX(0,MIN(AA389,ROUND($AZ389-SUMPRODUCT($V389:$AE389*($V389:$AE389&gt;0)*(($V389:$AE389&lt;AA389)+($V389:$AE389=AA389)*($V$3:$AE$3&gt;AA$3)+($V389:$AE389=AA389)*($V$3:$AE$3=AA$3)*($V$2:$AE$2&lt;AA$2))),2))))</f>
      </c>
      <c r="AL389" s="33">
        <f>IF(AB389&lt;=0,0,MAX(0,MIN(AB389,ROUND($AZ389-SUMPRODUCT($V389:$AE389*($V389:$AE389&gt;0)*(($V389:$AE389&lt;AB389)+($V389:$AE389=AB389)*($V$3:$AE$3&gt;AB$3)+($V389:$AE389=AB389)*($V$3:$AE$3=AB$3)*($V$2:$AE$2&lt;AB$2))),2))))</f>
      </c>
      <c r="AM389" s="33">
        <f>IF(AC389&lt;=0,0,MAX(0,MIN(AC389,ROUND($AZ389-SUMPRODUCT($V389:$AE389*($V389:$AE389&gt;0)*(($V389:$AE389&lt;AC389)+($V389:$AE389=AC389)*($V$3:$AE$3&gt;AC$3)+($V389:$AE389=AC389)*($V$3:$AE$3=AC$3)*($V$2:$AE$2&lt;AC$2))),2))))</f>
      </c>
      <c r="AN389" s="33">
        <f>IF(AD389&lt;=0,0,MAX(0,MIN(AD389,ROUND($AZ389-SUMPRODUCT($V389:$AE389*($V389:$AE389&gt;0)*(($V389:$AE389&lt;AD389)+($V389:$AE389=AD389)*($V$3:$AE$3&gt;AD$3)+($V389:$AE389=AD389)*($V$3:$AE$3=AD$3)*($V$2:$AE$2&lt;AD$2))),2))))</f>
      </c>
      <c r="AO389" s="33">
        <f>IF(AE389&lt;=0,0,MAX(0,MIN(AE389,ROUND($AZ389-SUMPRODUCT($V389:$AE389*($V389:$AE389&gt;0)*(($V389:$AE389&lt;AE389)+($V389:$AE389=AE389)*($V$3:$AE$3&gt;AE$3)+($V389:$AE389=AE389)*($V$3:$AE$3=AE$3)*($V$2:$AE$2&lt;AE$2))),2))))</f>
      </c>
      <c r="AP389" s="33">
        <f>ROUND(V389-AF389,2)</f>
      </c>
      <c r="AQ389" s="33">
        <f>ROUND(W389-AG389,2)</f>
      </c>
      <c r="AR389" s="33">
        <f>ROUND(X389-AH389,2)</f>
      </c>
      <c r="AS389" s="33">
        <f>ROUND(Y389-AI389,2)</f>
      </c>
      <c r="AT389" s="33">
        <f>ROUND(Z389-AJ389,2)</f>
      </c>
      <c r="AU389" s="33">
        <f>ROUND(AA389-AK389,2)</f>
      </c>
      <c r="AV389" s="33">
        <f>ROUND(AB389-AL389,2)</f>
      </c>
      <c r="AW389" s="33">
        <f>ROUND(AC389-AM389,2)</f>
      </c>
      <c r="AX389" s="33">
        <f>ROUND(AD389-AN389,2)</f>
      </c>
      <c r="AY389" s="33">
        <f>ROUND(AE389-AO389,2)</f>
      </c>
      <c r="AZ389" s="33">
        <f>ROUND(MAX(0,'Your debts'!$D$22-SUM($L389:$U389)),2)</f>
      </c>
      <c r="BA389" s="33">
        <f>ROUND(SUM($B389:$K389)-SUM($AP388:$AY388),2)</f>
      </c>
      <c r="BB389" s="33">
        <f>SUM($AP389:$AY389)</f>
      </c>
      <c r="BC389" s="33">
        <f>ROUND(SUM($L389:$U389)+SUM($AF389:$AO389),2)</f>
      </c>
    </row>
    <row r="390" spans="1:55" x14ac:dyDescent="0.25">
      <c r="A390">
        <v>383</v>
      </c>
      <c r="B390" s="33">
        <f>IF(AP389&lt;=0,0,ROUND(AP389+ROUND(AP389*V$3/12,2),2))</f>
      </c>
      <c r="C390" s="33">
        <f>IF(AQ389&lt;=0,0,ROUND(AQ389+ROUND(AQ389*W$3/12,2),2))</f>
      </c>
      <c r="D390" s="33">
        <f>IF(AR389&lt;=0,0,ROUND(AR389+ROUND(AR389*X$3/12,2),2))</f>
      </c>
      <c r="E390" s="33">
        <f>IF(AS389&lt;=0,0,ROUND(AS389+ROUND(AS389*Y$3/12,2),2))</f>
      </c>
      <c r="F390" s="33">
        <f>IF(AT389&lt;=0,0,ROUND(AT389+ROUND(AT389*Z$3/12,2),2))</f>
      </c>
      <c r="G390" s="33">
        <f>IF(AU389&lt;=0,0,ROUND(AU389+ROUND(AU389*AA$3/12,2),2))</f>
      </c>
      <c r="H390" s="33">
        <f>IF(AV389&lt;=0,0,ROUND(AV389+ROUND(AV389*AB$3/12,2),2))</f>
      </c>
      <c r="I390" s="33">
        <f>IF(AW389&lt;=0,0,ROUND(AW389+ROUND(AW389*AC$3/12,2),2))</f>
      </c>
      <c r="J390" s="33">
        <f>IF(AX389&lt;=0,0,ROUND(AX389+ROUND(AX389*AD$3/12,2),2))</f>
      </c>
      <c r="K390" s="33">
        <f>IF(AY389&lt;=0,0,ROUND(AY389+ROUND(AY389*AE$3/12,2),2))</f>
      </c>
      <c r="L390" s="33">
        <f>ROUND(MIN(MAX(0,N('Your debts'!$E$6)),B390),2)</f>
      </c>
      <c r="M390" s="33">
        <f>ROUND(MIN(MAX(0,N('Your debts'!$E$7)),C390),2)</f>
      </c>
      <c r="N390" s="33">
        <f>ROUND(MIN(MAX(0,N('Your debts'!$E$8)),D390),2)</f>
      </c>
      <c r="O390" s="33">
        <f>ROUND(MIN(MAX(0,N('Your debts'!$E$9)),E390),2)</f>
      </c>
      <c r="P390" s="33">
        <f>ROUND(MIN(MAX(0,N('Your debts'!$E$10)),F390),2)</f>
      </c>
      <c r="Q390" s="33">
        <f>ROUND(MIN(MAX(0,N('Your debts'!$E$11)),G390),2)</f>
      </c>
      <c r="R390" s="33">
        <f>ROUND(MIN(MAX(0,N('Your debts'!$E$12)),H390),2)</f>
      </c>
      <c r="S390" s="33">
        <f>ROUND(MIN(MAX(0,N('Your debts'!$E$13)),I390),2)</f>
      </c>
      <c r="T390" s="33">
        <f>ROUND(MIN(MAX(0,N('Your debts'!$E$14)),J390),2)</f>
      </c>
      <c r="U390" s="33">
        <f>ROUND(MIN(MAX(0,N('Your debts'!$E$15)),K390),2)</f>
      </c>
      <c r="V390" s="33">
        <f>ROUND(B390-L390,2)</f>
      </c>
      <c r="W390" s="33">
        <f>ROUND(C390-M390,2)</f>
      </c>
      <c r="X390" s="33">
        <f>ROUND(D390-N390,2)</f>
      </c>
      <c r="Y390" s="33">
        <f>ROUND(E390-O390,2)</f>
      </c>
      <c r="Z390" s="33">
        <f>ROUND(F390-P390,2)</f>
      </c>
      <c r="AA390" s="33">
        <f>ROUND(G390-Q390,2)</f>
      </c>
      <c r="AB390" s="33">
        <f>ROUND(H390-R390,2)</f>
      </c>
      <c r="AC390" s="33">
        <f>ROUND(I390-S390,2)</f>
      </c>
      <c r="AD390" s="33">
        <f>ROUND(J390-T390,2)</f>
      </c>
      <c r="AE390" s="33">
        <f>ROUND(K390-U390,2)</f>
      </c>
      <c r="AF390" s="33">
        <f>IF(V390&lt;=0,0,MAX(0,MIN(V390,ROUND($AZ390-SUMPRODUCT($V390:$AE390*($V390:$AE390&gt;0)*(($V390:$AE390&lt;V390)+($V390:$AE390=V390)*($V$3:$AE$3&gt;V$3)+($V390:$AE390=V390)*($V$3:$AE$3=V$3)*($V$2:$AE$2&lt;V$2))),2))))</f>
      </c>
      <c r="AG390" s="33">
        <f>IF(W390&lt;=0,0,MAX(0,MIN(W390,ROUND($AZ390-SUMPRODUCT($V390:$AE390*($V390:$AE390&gt;0)*(($V390:$AE390&lt;W390)+($V390:$AE390=W390)*($V$3:$AE$3&gt;W$3)+($V390:$AE390=W390)*($V$3:$AE$3=W$3)*($V$2:$AE$2&lt;W$2))),2))))</f>
      </c>
      <c r="AH390" s="33">
        <f>IF(X390&lt;=0,0,MAX(0,MIN(X390,ROUND($AZ390-SUMPRODUCT($V390:$AE390*($V390:$AE390&gt;0)*(($V390:$AE390&lt;X390)+($V390:$AE390=X390)*($V$3:$AE$3&gt;X$3)+($V390:$AE390=X390)*($V$3:$AE$3=X$3)*($V$2:$AE$2&lt;X$2))),2))))</f>
      </c>
      <c r="AI390" s="33">
        <f>IF(Y390&lt;=0,0,MAX(0,MIN(Y390,ROUND($AZ390-SUMPRODUCT($V390:$AE390*($V390:$AE390&gt;0)*(($V390:$AE390&lt;Y390)+($V390:$AE390=Y390)*($V$3:$AE$3&gt;Y$3)+($V390:$AE390=Y390)*($V$3:$AE$3=Y$3)*($V$2:$AE$2&lt;Y$2))),2))))</f>
      </c>
      <c r="AJ390" s="33">
        <f>IF(Z390&lt;=0,0,MAX(0,MIN(Z390,ROUND($AZ390-SUMPRODUCT($V390:$AE390*($V390:$AE390&gt;0)*(($V390:$AE390&lt;Z390)+($V390:$AE390=Z390)*($V$3:$AE$3&gt;Z$3)+($V390:$AE390=Z390)*($V$3:$AE$3=Z$3)*($V$2:$AE$2&lt;Z$2))),2))))</f>
      </c>
      <c r="AK390" s="33">
        <f>IF(AA390&lt;=0,0,MAX(0,MIN(AA390,ROUND($AZ390-SUMPRODUCT($V390:$AE390*($V390:$AE390&gt;0)*(($V390:$AE390&lt;AA390)+($V390:$AE390=AA390)*($V$3:$AE$3&gt;AA$3)+($V390:$AE390=AA390)*($V$3:$AE$3=AA$3)*($V$2:$AE$2&lt;AA$2))),2))))</f>
      </c>
      <c r="AL390" s="33">
        <f>IF(AB390&lt;=0,0,MAX(0,MIN(AB390,ROUND($AZ390-SUMPRODUCT($V390:$AE390*($V390:$AE390&gt;0)*(($V390:$AE390&lt;AB390)+($V390:$AE390=AB390)*($V$3:$AE$3&gt;AB$3)+($V390:$AE390=AB390)*($V$3:$AE$3=AB$3)*($V$2:$AE$2&lt;AB$2))),2))))</f>
      </c>
      <c r="AM390" s="33">
        <f>IF(AC390&lt;=0,0,MAX(0,MIN(AC390,ROUND($AZ390-SUMPRODUCT($V390:$AE390*($V390:$AE390&gt;0)*(($V390:$AE390&lt;AC390)+($V390:$AE390=AC390)*($V$3:$AE$3&gt;AC$3)+($V390:$AE390=AC390)*($V$3:$AE$3=AC$3)*($V$2:$AE$2&lt;AC$2))),2))))</f>
      </c>
      <c r="AN390" s="33">
        <f>IF(AD390&lt;=0,0,MAX(0,MIN(AD390,ROUND($AZ390-SUMPRODUCT($V390:$AE390*($V390:$AE390&gt;0)*(($V390:$AE390&lt;AD390)+($V390:$AE390=AD390)*($V$3:$AE$3&gt;AD$3)+($V390:$AE390=AD390)*($V$3:$AE$3=AD$3)*($V$2:$AE$2&lt;AD$2))),2))))</f>
      </c>
      <c r="AO390" s="33">
        <f>IF(AE390&lt;=0,0,MAX(0,MIN(AE390,ROUND($AZ390-SUMPRODUCT($V390:$AE390*($V390:$AE390&gt;0)*(($V390:$AE390&lt;AE390)+($V390:$AE390=AE390)*($V$3:$AE$3&gt;AE$3)+($V390:$AE390=AE390)*($V$3:$AE$3=AE$3)*($V$2:$AE$2&lt;AE$2))),2))))</f>
      </c>
      <c r="AP390" s="33">
        <f>ROUND(V390-AF390,2)</f>
      </c>
      <c r="AQ390" s="33">
        <f>ROUND(W390-AG390,2)</f>
      </c>
      <c r="AR390" s="33">
        <f>ROUND(X390-AH390,2)</f>
      </c>
      <c r="AS390" s="33">
        <f>ROUND(Y390-AI390,2)</f>
      </c>
      <c r="AT390" s="33">
        <f>ROUND(Z390-AJ390,2)</f>
      </c>
      <c r="AU390" s="33">
        <f>ROUND(AA390-AK390,2)</f>
      </c>
      <c r="AV390" s="33">
        <f>ROUND(AB390-AL390,2)</f>
      </c>
      <c r="AW390" s="33">
        <f>ROUND(AC390-AM390,2)</f>
      </c>
      <c r="AX390" s="33">
        <f>ROUND(AD390-AN390,2)</f>
      </c>
      <c r="AY390" s="33">
        <f>ROUND(AE390-AO390,2)</f>
      </c>
      <c r="AZ390" s="33">
        <f>ROUND(MAX(0,'Your debts'!$D$22-SUM($L390:$U390)),2)</f>
      </c>
      <c r="BA390" s="33">
        <f>ROUND(SUM($B390:$K390)-SUM($AP389:$AY389),2)</f>
      </c>
      <c r="BB390" s="33">
        <f>SUM($AP390:$AY390)</f>
      </c>
      <c r="BC390" s="33">
        <f>ROUND(SUM($L390:$U390)+SUM($AF390:$AO390),2)</f>
      </c>
    </row>
    <row r="391" spans="1:55" x14ac:dyDescent="0.25">
      <c r="A391">
        <v>384</v>
      </c>
      <c r="B391" s="33">
        <f>IF(AP390&lt;=0,0,ROUND(AP390+ROUND(AP390*V$3/12,2),2))</f>
      </c>
      <c r="C391" s="33">
        <f>IF(AQ390&lt;=0,0,ROUND(AQ390+ROUND(AQ390*W$3/12,2),2))</f>
      </c>
      <c r="D391" s="33">
        <f>IF(AR390&lt;=0,0,ROUND(AR390+ROUND(AR390*X$3/12,2),2))</f>
      </c>
      <c r="E391" s="33">
        <f>IF(AS390&lt;=0,0,ROUND(AS390+ROUND(AS390*Y$3/12,2),2))</f>
      </c>
      <c r="F391" s="33">
        <f>IF(AT390&lt;=0,0,ROUND(AT390+ROUND(AT390*Z$3/12,2),2))</f>
      </c>
      <c r="G391" s="33">
        <f>IF(AU390&lt;=0,0,ROUND(AU390+ROUND(AU390*AA$3/12,2),2))</f>
      </c>
      <c r="H391" s="33">
        <f>IF(AV390&lt;=0,0,ROUND(AV390+ROUND(AV390*AB$3/12,2),2))</f>
      </c>
      <c r="I391" s="33">
        <f>IF(AW390&lt;=0,0,ROUND(AW390+ROUND(AW390*AC$3/12,2),2))</f>
      </c>
      <c r="J391" s="33">
        <f>IF(AX390&lt;=0,0,ROUND(AX390+ROUND(AX390*AD$3/12,2),2))</f>
      </c>
      <c r="K391" s="33">
        <f>IF(AY390&lt;=0,0,ROUND(AY390+ROUND(AY390*AE$3/12,2),2))</f>
      </c>
      <c r="L391" s="33">
        <f>ROUND(MIN(MAX(0,N('Your debts'!$E$6)),B391),2)</f>
      </c>
      <c r="M391" s="33">
        <f>ROUND(MIN(MAX(0,N('Your debts'!$E$7)),C391),2)</f>
      </c>
      <c r="N391" s="33">
        <f>ROUND(MIN(MAX(0,N('Your debts'!$E$8)),D391),2)</f>
      </c>
      <c r="O391" s="33">
        <f>ROUND(MIN(MAX(0,N('Your debts'!$E$9)),E391),2)</f>
      </c>
      <c r="P391" s="33">
        <f>ROUND(MIN(MAX(0,N('Your debts'!$E$10)),F391),2)</f>
      </c>
      <c r="Q391" s="33">
        <f>ROUND(MIN(MAX(0,N('Your debts'!$E$11)),G391),2)</f>
      </c>
      <c r="R391" s="33">
        <f>ROUND(MIN(MAX(0,N('Your debts'!$E$12)),H391),2)</f>
      </c>
      <c r="S391" s="33">
        <f>ROUND(MIN(MAX(0,N('Your debts'!$E$13)),I391),2)</f>
      </c>
      <c r="T391" s="33">
        <f>ROUND(MIN(MAX(0,N('Your debts'!$E$14)),J391),2)</f>
      </c>
      <c r="U391" s="33">
        <f>ROUND(MIN(MAX(0,N('Your debts'!$E$15)),K391),2)</f>
      </c>
      <c r="V391" s="33">
        <f>ROUND(B391-L391,2)</f>
      </c>
      <c r="W391" s="33">
        <f>ROUND(C391-M391,2)</f>
      </c>
      <c r="X391" s="33">
        <f>ROUND(D391-N391,2)</f>
      </c>
      <c r="Y391" s="33">
        <f>ROUND(E391-O391,2)</f>
      </c>
      <c r="Z391" s="33">
        <f>ROUND(F391-P391,2)</f>
      </c>
      <c r="AA391" s="33">
        <f>ROUND(G391-Q391,2)</f>
      </c>
      <c r="AB391" s="33">
        <f>ROUND(H391-R391,2)</f>
      </c>
      <c r="AC391" s="33">
        <f>ROUND(I391-S391,2)</f>
      </c>
      <c r="AD391" s="33">
        <f>ROUND(J391-T391,2)</f>
      </c>
      <c r="AE391" s="33">
        <f>ROUND(K391-U391,2)</f>
      </c>
      <c r="AF391" s="33">
        <f>IF(V391&lt;=0,0,MAX(0,MIN(V391,ROUND($AZ391-SUMPRODUCT($V391:$AE391*($V391:$AE391&gt;0)*(($V391:$AE391&lt;V391)+($V391:$AE391=V391)*($V$3:$AE$3&gt;V$3)+($V391:$AE391=V391)*($V$3:$AE$3=V$3)*($V$2:$AE$2&lt;V$2))),2))))</f>
      </c>
      <c r="AG391" s="33">
        <f>IF(W391&lt;=0,0,MAX(0,MIN(W391,ROUND($AZ391-SUMPRODUCT($V391:$AE391*($V391:$AE391&gt;0)*(($V391:$AE391&lt;W391)+($V391:$AE391=W391)*($V$3:$AE$3&gt;W$3)+($V391:$AE391=W391)*($V$3:$AE$3=W$3)*($V$2:$AE$2&lt;W$2))),2))))</f>
      </c>
      <c r="AH391" s="33">
        <f>IF(X391&lt;=0,0,MAX(0,MIN(X391,ROUND($AZ391-SUMPRODUCT($V391:$AE391*($V391:$AE391&gt;0)*(($V391:$AE391&lt;X391)+($V391:$AE391=X391)*($V$3:$AE$3&gt;X$3)+($V391:$AE391=X391)*($V$3:$AE$3=X$3)*($V$2:$AE$2&lt;X$2))),2))))</f>
      </c>
      <c r="AI391" s="33">
        <f>IF(Y391&lt;=0,0,MAX(0,MIN(Y391,ROUND($AZ391-SUMPRODUCT($V391:$AE391*($V391:$AE391&gt;0)*(($V391:$AE391&lt;Y391)+($V391:$AE391=Y391)*($V$3:$AE$3&gt;Y$3)+($V391:$AE391=Y391)*($V$3:$AE$3=Y$3)*($V$2:$AE$2&lt;Y$2))),2))))</f>
      </c>
      <c r="AJ391" s="33">
        <f>IF(Z391&lt;=0,0,MAX(0,MIN(Z391,ROUND($AZ391-SUMPRODUCT($V391:$AE391*($V391:$AE391&gt;0)*(($V391:$AE391&lt;Z391)+($V391:$AE391=Z391)*($V$3:$AE$3&gt;Z$3)+($V391:$AE391=Z391)*($V$3:$AE$3=Z$3)*($V$2:$AE$2&lt;Z$2))),2))))</f>
      </c>
      <c r="AK391" s="33">
        <f>IF(AA391&lt;=0,0,MAX(0,MIN(AA391,ROUND($AZ391-SUMPRODUCT($V391:$AE391*($V391:$AE391&gt;0)*(($V391:$AE391&lt;AA391)+($V391:$AE391=AA391)*($V$3:$AE$3&gt;AA$3)+($V391:$AE391=AA391)*($V$3:$AE$3=AA$3)*($V$2:$AE$2&lt;AA$2))),2))))</f>
      </c>
      <c r="AL391" s="33">
        <f>IF(AB391&lt;=0,0,MAX(0,MIN(AB391,ROUND($AZ391-SUMPRODUCT($V391:$AE391*($V391:$AE391&gt;0)*(($V391:$AE391&lt;AB391)+($V391:$AE391=AB391)*($V$3:$AE$3&gt;AB$3)+($V391:$AE391=AB391)*($V$3:$AE$3=AB$3)*($V$2:$AE$2&lt;AB$2))),2))))</f>
      </c>
      <c r="AM391" s="33">
        <f>IF(AC391&lt;=0,0,MAX(0,MIN(AC391,ROUND($AZ391-SUMPRODUCT($V391:$AE391*($V391:$AE391&gt;0)*(($V391:$AE391&lt;AC391)+($V391:$AE391=AC391)*($V$3:$AE$3&gt;AC$3)+($V391:$AE391=AC391)*($V$3:$AE$3=AC$3)*($V$2:$AE$2&lt;AC$2))),2))))</f>
      </c>
      <c r="AN391" s="33">
        <f>IF(AD391&lt;=0,0,MAX(0,MIN(AD391,ROUND($AZ391-SUMPRODUCT($V391:$AE391*($V391:$AE391&gt;0)*(($V391:$AE391&lt;AD391)+($V391:$AE391=AD391)*($V$3:$AE$3&gt;AD$3)+($V391:$AE391=AD391)*($V$3:$AE$3=AD$3)*($V$2:$AE$2&lt;AD$2))),2))))</f>
      </c>
      <c r="AO391" s="33">
        <f>IF(AE391&lt;=0,0,MAX(0,MIN(AE391,ROUND($AZ391-SUMPRODUCT($V391:$AE391*($V391:$AE391&gt;0)*(($V391:$AE391&lt;AE391)+($V391:$AE391=AE391)*($V$3:$AE$3&gt;AE$3)+($V391:$AE391=AE391)*($V$3:$AE$3=AE$3)*($V$2:$AE$2&lt;AE$2))),2))))</f>
      </c>
      <c r="AP391" s="33">
        <f>ROUND(V391-AF391,2)</f>
      </c>
      <c r="AQ391" s="33">
        <f>ROUND(W391-AG391,2)</f>
      </c>
      <c r="AR391" s="33">
        <f>ROUND(X391-AH391,2)</f>
      </c>
      <c r="AS391" s="33">
        <f>ROUND(Y391-AI391,2)</f>
      </c>
      <c r="AT391" s="33">
        <f>ROUND(Z391-AJ391,2)</f>
      </c>
      <c r="AU391" s="33">
        <f>ROUND(AA391-AK391,2)</f>
      </c>
      <c r="AV391" s="33">
        <f>ROUND(AB391-AL391,2)</f>
      </c>
      <c r="AW391" s="33">
        <f>ROUND(AC391-AM391,2)</f>
      </c>
      <c r="AX391" s="33">
        <f>ROUND(AD391-AN391,2)</f>
      </c>
      <c r="AY391" s="33">
        <f>ROUND(AE391-AO391,2)</f>
      </c>
      <c r="AZ391" s="33">
        <f>ROUND(MAX(0,'Your debts'!$D$22-SUM($L391:$U391)),2)</f>
      </c>
      <c r="BA391" s="33">
        <f>ROUND(SUM($B391:$K391)-SUM($AP390:$AY390),2)</f>
      </c>
      <c r="BB391" s="33">
        <f>SUM($AP391:$AY391)</f>
      </c>
      <c r="BC391" s="33">
        <f>ROUND(SUM($L391:$U391)+SUM($AF391:$AO391),2)</f>
      </c>
    </row>
    <row r="392" spans="1:55" x14ac:dyDescent="0.25">
      <c r="A392">
        <v>385</v>
      </c>
      <c r="B392" s="33">
        <f>IF(AP391&lt;=0,0,ROUND(AP391+ROUND(AP391*V$3/12,2),2))</f>
      </c>
      <c r="C392" s="33">
        <f>IF(AQ391&lt;=0,0,ROUND(AQ391+ROUND(AQ391*W$3/12,2),2))</f>
      </c>
      <c r="D392" s="33">
        <f>IF(AR391&lt;=0,0,ROUND(AR391+ROUND(AR391*X$3/12,2),2))</f>
      </c>
      <c r="E392" s="33">
        <f>IF(AS391&lt;=0,0,ROUND(AS391+ROUND(AS391*Y$3/12,2),2))</f>
      </c>
      <c r="F392" s="33">
        <f>IF(AT391&lt;=0,0,ROUND(AT391+ROUND(AT391*Z$3/12,2),2))</f>
      </c>
      <c r="G392" s="33">
        <f>IF(AU391&lt;=0,0,ROUND(AU391+ROUND(AU391*AA$3/12,2),2))</f>
      </c>
      <c r="H392" s="33">
        <f>IF(AV391&lt;=0,0,ROUND(AV391+ROUND(AV391*AB$3/12,2),2))</f>
      </c>
      <c r="I392" s="33">
        <f>IF(AW391&lt;=0,0,ROUND(AW391+ROUND(AW391*AC$3/12,2),2))</f>
      </c>
      <c r="J392" s="33">
        <f>IF(AX391&lt;=0,0,ROUND(AX391+ROUND(AX391*AD$3/12,2),2))</f>
      </c>
      <c r="K392" s="33">
        <f>IF(AY391&lt;=0,0,ROUND(AY391+ROUND(AY391*AE$3/12,2),2))</f>
      </c>
      <c r="L392" s="33">
        <f>ROUND(MIN(MAX(0,N('Your debts'!$E$6)),B392),2)</f>
      </c>
      <c r="M392" s="33">
        <f>ROUND(MIN(MAX(0,N('Your debts'!$E$7)),C392),2)</f>
      </c>
      <c r="N392" s="33">
        <f>ROUND(MIN(MAX(0,N('Your debts'!$E$8)),D392),2)</f>
      </c>
      <c r="O392" s="33">
        <f>ROUND(MIN(MAX(0,N('Your debts'!$E$9)),E392),2)</f>
      </c>
      <c r="P392" s="33">
        <f>ROUND(MIN(MAX(0,N('Your debts'!$E$10)),F392),2)</f>
      </c>
      <c r="Q392" s="33">
        <f>ROUND(MIN(MAX(0,N('Your debts'!$E$11)),G392),2)</f>
      </c>
      <c r="R392" s="33">
        <f>ROUND(MIN(MAX(0,N('Your debts'!$E$12)),H392),2)</f>
      </c>
      <c r="S392" s="33">
        <f>ROUND(MIN(MAX(0,N('Your debts'!$E$13)),I392),2)</f>
      </c>
      <c r="T392" s="33">
        <f>ROUND(MIN(MAX(0,N('Your debts'!$E$14)),J392),2)</f>
      </c>
      <c r="U392" s="33">
        <f>ROUND(MIN(MAX(0,N('Your debts'!$E$15)),K392),2)</f>
      </c>
      <c r="V392" s="33">
        <f>ROUND(B392-L392,2)</f>
      </c>
      <c r="W392" s="33">
        <f>ROUND(C392-M392,2)</f>
      </c>
      <c r="X392" s="33">
        <f>ROUND(D392-N392,2)</f>
      </c>
      <c r="Y392" s="33">
        <f>ROUND(E392-O392,2)</f>
      </c>
      <c r="Z392" s="33">
        <f>ROUND(F392-P392,2)</f>
      </c>
      <c r="AA392" s="33">
        <f>ROUND(G392-Q392,2)</f>
      </c>
      <c r="AB392" s="33">
        <f>ROUND(H392-R392,2)</f>
      </c>
      <c r="AC392" s="33">
        <f>ROUND(I392-S392,2)</f>
      </c>
      <c r="AD392" s="33">
        <f>ROUND(J392-T392,2)</f>
      </c>
      <c r="AE392" s="33">
        <f>ROUND(K392-U392,2)</f>
      </c>
      <c r="AF392" s="33">
        <f>IF(V392&lt;=0,0,MAX(0,MIN(V392,ROUND($AZ392-SUMPRODUCT($V392:$AE392*($V392:$AE392&gt;0)*(($V392:$AE392&lt;V392)+($V392:$AE392=V392)*($V$3:$AE$3&gt;V$3)+($V392:$AE392=V392)*($V$3:$AE$3=V$3)*($V$2:$AE$2&lt;V$2))),2))))</f>
      </c>
      <c r="AG392" s="33">
        <f>IF(W392&lt;=0,0,MAX(0,MIN(W392,ROUND($AZ392-SUMPRODUCT($V392:$AE392*($V392:$AE392&gt;0)*(($V392:$AE392&lt;W392)+($V392:$AE392=W392)*($V$3:$AE$3&gt;W$3)+($V392:$AE392=W392)*($V$3:$AE$3=W$3)*($V$2:$AE$2&lt;W$2))),2))))</f>
      </c>
      <c r="AH392" s="33">
        <f>IF(X392&lt;=0,0,MAX(0,MIN(X392,ROUND($AZ392-SUMPRODUCT($V392:$AE392*($V392:$AE392&gt;0)*(($V392:$AE392&lt;X392)+($V392:$AE392=X392)*($V$3:$AE$3&gt;X$3)+($V392:$AE392=X392)*($V$3:$AE$3=X$3)*($V$2:$AE$2&lt;X$2))),2))))</f>
      </c>
      <c r="AI392" s="33">
        <f>IF(Y392&lt;=0,0,MAX(0,MIN(Y392,ROUND($AZ392-SUMPRODUCT($V392:$AE392*($V392:$AE392&gt;0)*(($V392:$AE392&lt;Y392)+($V392:$AE392=Y392)*($V$3:$AE$3&gt;Y$3)+($V392:$AE392=Y392)*($V$3:$AE$3=Y$3)*($V$2:$AE$2&lt;Y$2))),2))))</f>
      </c>
      <c r="AJ392" s="33">
        <f>IF(Z392&lt;=0,0,MAX(0,MIN(Z392,ROUND($AZ392-SUMPRODUCT($V392:$AE392*($V392:$AE392&gt;0)*(($V392:$AE392&lt;Z392)+($V392:$AE392=Z392)*($V$3:$AE$3&gt;Z$3)+($V392:$AE392=Z392)*($V$3:$AE$3=Z$3)*($V$2:$AE$2&lt;Z$2))),2))))</f>
      </c>
      <c r="AK392" s="33">
        <f>IF(AA392&lt;=0,0,MAX(0,MIN(AA392,ROUND($AZ392-SUMPRODUCT($V392:$AE392*($V392:$AE392&gt;0)*(($V392:$AE392&lt;AA392)+($V392:$AE392=AA392)*($V$3:$AE$3&gt;AA$3)+($V392:$AE392=AA392)*($V$3:$AE$3=AA$3)*($V$2:$AE$2&lt;AA$2))),2))))</f>
      </c>
      <c r="AL392" s="33">
        <f>IF(AB392&lt;=0,0,MAX(0,MIN(AB392,ROUND($AZ392-SUMPRODUCT($V392:$AE392*($V392:$AE392&gt;0)*(($V392:$AE392&lt;AB392)+($V392:$AE392=AB392)*($V$3:$AE$3&gt;AB$3)+($V392:$AE392=AB392)*($V$3:$AE$3=AB$3)*($V$2:$AE$2&lt;AB$2))),2))))</f>
      </c>
      <c r="AM392" s="33">
        <f>IF(AC392&lt;=0,0,MAX(0,MIN(AC392,ROUND($AZ392-SUMPRODUCT($V392:$AE392*($V392:$AE392&gt;0)*(($V392:$AE392&lt;AC392)+($V392:$AE392=AC392)*($V$3:$AE$3&gt;AC$3)+($V392:$AE392=AC392)*($V$3:$AE$3=AC$3)*($V$2:$AE$2&lt;AC$2))),2))))</f>
      </c>
      <c r="AN392" s="33">
        <f>IF(AD392&lt;=0,0,MAX(0,MIN(AD392,ROUND($AZ392-SUMPRODUCT($V392:$AE392*($V392:$AE392&gt;0)*(($V392:$AE392&lt;AD392)+($V392:$AE392=AD392)*($V$3:$AE$3&gt;AD$3)+($V392:$AE392=AD392)*($V$3:$AE$3=AD$3)*($V$2:$AE$2&lt;AD$2))),2))))</f>
      </c>
      <c r="AO392" s="33">
        <f>IF(AE392&lt;=0,0,MAX(0,MIN(AE392,ROUND($AZ392-SUMPRODUCT($V392:$AE392*($V392:$AE392&gt;0)*(($V392:$AE392&lt;AE392)+($V392:$AE392=AE392)*($V$3:$AE$3&gt;AE$3)+($V392:$AE392=AE392)*($V$3:$AE$3=AE$3)*($V$2:$AE$2&lt;AE$2))),2))))</f>
      </c>
      <c r="AP392" s="33">
        <f>ROUND(V392-AF392,2)</f>
      </c>
      <c r="AQ392" s="33">
        <f>ROUND(W392-AG392,2)</f>
      </c>
      <c r="AR392" s="33">
        <f>ROUND(X392-AH392,2)</f>
      </c>
      <c r="AS392" s="33">
        <f>ROUND(Y392-AI392,2)</f>
      </c>
      <c r="AT392" s="33">
        <f>ROUND(Z392-AJ392,2)</f>
      </c>
      <c r="AU392" s="33">
        <f>ROUND(AA392-AK392,2)</f>
      </c>
      <c r="AV392" s="33">
        <f>ROUND(AB392-AL392,2)</f>
      </c>
      <c r="AW392" s="33">
        <f>ROUND(AC392-AM392,2)</f>
      </c>
      <c r="AX392" s="33">
        <f>ROUND(AD392-AN392,2)</f>
      </c>
      <c r="AY392" s="33">
        <f>ROUND(AE392-AO392,2)</f>
      </c>
      <c r="AZ392" s="33">
        <f>ROUND(MAX(0,'Your debts'!$D$22-SUM($L392:$U392)),2)</f>
      </c>
      <c r="BA392" s="33">
        <f>ROUND(SUM($B392:$K392)-SUM($AP391:$AY391),2)</f>
      </c>
      <c r="BB392" s="33">
        <f>SUM($AP392:$AY392)</f>
      </c>
      <c r="BC392" s="33">
        <f>ROUND(SUM($L392:$U392)+SUM($AF392:$AO392),2)</f>
      </c>
    </row>
    <row r="393" spans="1:55" x14ac:dyDescent="0.25">
      <c r="A393">
        <v>386</v>
      </c>
      <c r="B393" s="33">
        <f>IF(AP392&lt;=0,0,ROUND(AP392+ROUND(AP392*V$3/12,2),2))</f>
      </c>
      <c r="C393" s="33">
        <f>IF(AQ392&lt;=0,0,ROUND(AQ392+ROUND(AQ392*W$3/12,2),2))</f>
      </c>
      <c r="D393" s="33">
        <f>IF(AR392&lt;=0,0,ROUND(AR392+ROUND(AR392*X$3/12,2),2))</f>
      </c>
      <c r="E393" s="33">
        <f>IF(AS392&lt;=0,0,ROUND(AS392+ROUND(AS392*Y$3/12,2),2))</f>
      </c>
      <c r="F393" s="33">
        <f>IF(AT392&lt;=0,0,ROUND(AT392+ROUND(AT392*Z$3/12,2),2))</f>
      </c>
      <c r="G393" s="33">
        <f>IF(AU392&lt;=0,0,ROUND(AU392+ROUND(AU392*AA$3/12,2),2))</f>
      </c>
      <c r="H393" s="33">
        <f>IF(AV392&lt;=0,0,ROUND(AV392+ROUND(AV392*AB$3/12,2),2))</f>
      </c>
      <c r="I393" s="33">
        <f>IF(AW392&lt;=0,0,ROUND(AW392+ROUND(AW392*AC$3/12,2),2))</f>
      </c>
      <c r="J393" s="33">
        <f>IF(AX392&lt;=0,0,ROUND(AX392+ROUND(AX392*AD$3/12,2),2))</f>
      </c>
      <c r="K393" s="33">
        <f>IF(AY392&lt;=0,0,ROUND(AY392+ROUND(AY392*AE$3/12,2),2))</f>
      </c>
      <c r="L393" s="33">
        <f>ROUND(MIN(MAX(0,N('Your debts'!$E$6)),B393),2)</f>
      </c>
      <c r="M393" s="33">
        <f>ROUND(MIN(MAX(0,N('Your debts'!$E$7)),C393),2)</f>
      </c>
      <c r="N393" s="33">
        <f>ROUND(MIN(MAX(0,N('Your debts'!$E$8)),D393),2)</f>
      </c>
      <c r="O393" s="33">
        <f>ROUND(MIN(MAX(0,N('Your debts'!$E$9)),E393),2)</f>
      </c>
      <c r="P393" s="33">
        <f>ROUND(MIN(MAX(0,N('Your debts'!$E$10)),F393),2)</f>
      </c>
      <c r="Q393" s="33">
        <f>ROUND(MIN(MAX(0,N('Your debts'!$E$11)),G393),2)</f>
      </c>
      <c r="R393" s="33">
        <f>ROUND(MIN(MAX(0,N('Your debts'!$E$12)),H393),2)</f>
      </c>
      <c r="S393" s="33">
        <f>ROUND(MIN(MAX(0,N('Your debts'!$E$13)),I393),2)</f>
      </c>
      <c r="T393" s="33">
        <f>ROUND(MIN(MAX(0,N('Your debts'!$E$14)),J393),2)</f>
      </c>
      <c r="U393" s="33">
        <f>ROUND(MIN(MAX(0,N('Your debts'!$E$15)),K393),2)</f>
      </c>
      <c r="V393" s="33">
        <f>ROUND(B393-L393,2)</f>
      </c>
      <c r="W393" s="33">
        <f>ROUND(C393-M393,2)</f>
      </c>
      <c r="X393" s="33">
        <f>ROUND(D393-N393,2)</f>
      </c>
      <c r="Y393" s="33">
        <f>ROUND(E393-O393,2)</f>
      </c>
      <c r="Z393" s="33">
        <f>ROUND(F393-P393,2)</f>
      </c>
      <c r="AA393" s="33">
        <f>ROUND(G393-Q393,2)</f>
      </c>
      <c r="AB393" s="33">
        <f>ROUND(H393-R393,2)</f>
      </c>
      <c r="AC393" s="33">
        <f>ROUND(I393-S393,2)</f>
      </c>
      <c r="AD393" s="33">
        <f>ROUND(J393-T393,2)</f>
      </c>
      <c r="AE393" s="33">
        <f>ROUND(K393-U393,2)</f>
      </c>
      <c r="AF393" s="33">
        <f>IF(V393&lt;=0,0,MAX(0,MIN(V393,ROUND($AZ393-SUMPRODUCT($V393:$AE393*($V393:$AE393&gt;0)*(($V393:$AE393&lt;V393)+($V393:$AE393=V393)*($V$3:$AE$3&gt;V$3)+($V393:$AE393=V393)*($V$3:$AE$3=V$3)*($V$2:$AE$2&lt;V$2))),2))))</f>
      </c>
      <c r="AG393" s="33">
        <f>IF(W393&lt;=0,0,MAX(0,MIN(W393,ROUND($AZ393-SUMPRODUCT($V393:$AE393*($V393:$AE393&gt;0)*(($V393:$AE393&lt;W393)+($V393:$AE393=W393)*($V$3:$AE$3&gt;W$3)+($V393:$AE393=W393)*($V$3:$AE$3=W$3)*($V$2:$AE$2&lt;W$2))),2))))</f>
      </c>
      <c r="AH393" s="33">
        <f>IF(X393&lt;=0,0,MAX(0,MIN(X393,ROUND($AZ393-SUMPRODUCT($V393:$AE393*($V393:$AE393&gt;0)*(($V393:$AE393&lt;X393)+($V393:$AE393=X393)*($V$3:$AE$3&gt;X$3)+($V393:$AE393=X393)*($V$3:$AE$3=X$3)*($V$2:$AE$2&lt;X$2))),2))))</f>
      </c>
      <c r="AI393" s="33">
        <f>IF(Y393&lt;=0,0,MAX(0,MIN(Y393,ROUND($AZ393-SUMPRODUCT($V393:$AE393*($V393:$AE393&gt;0)*(($V393:$AE393&lt;Y393)+($V393:$AE393=Y393)*($V$3:$AE$3&gt;Y$3)+($V393:$AE393=Y393)*($V$3:$AE$3=Y$3)*($V$2:$AE$2&lt;Y$2))),2))))</f>
      </c>
      <c r="AJ393" s="33">
        <f>IF(Z393&lt;=0,0,MAX(0,MIN(Z393,ROUND($AZ393-SUMPRODUCT($V393:$AE393*($V393:$AE393&gt;0)*(($V393:$AE393&lt;Z393)+($V393:$AE393=Z393)*($V$3:$AE$3&gt;Z$3)+($V393:$AE393=Z393)*($V$3:$AE$3=Z$3)*($V$2:$AE$2&lt;Z$2))),2))))</f>
      </c>
      <c r="AK393" s="33">
        <f>IF(AA393&lt;=0,0,MAX(0,MIN(AA393,ROUND($AZ393-SUMPRODUCT($V393:$AE393*($V393:$AE393&gt;0)*(($V393:$AE393&lt;AA393)+($V393:$AE393=AA393)*($V$3:$AE$3&gt;AA$3)+($V393:$AE393=AA393)*($V$3:$AE$3=AA$3)*($V$2:$AE$2&lt;AA$2))),2))))</f>
      </c>
      <c r="AL393" s="33">
        <f>IF(AB393&lt;=0,0,MAX(0,MIN(AB393,ROUND($AZ393-SUMPRODUCT($V393:$AE393*($V393:$AE393&gt;0)*(($V393:$AE393&lt;AB393)+($V393:$AE393=AB393)*($V$3:$AE$3&gt;AB$3)+($V393:$AE393=AB393)*($V$3:$AE$3=AB$3)*($V$2:$AE$2&lt;AB$2))),2))))</f>
      </c>
      <c r="AM393" s="33">
        <f>IF(AC393&lt;=0,0,MAX(0,MIN(AC393,ROUND($AZ393-SUMPRODUCT($V393:$AE393*($V393:$AE393&gt;0)*(($V393:$AE393&lt;AC393)+($V393:$AE393=AC393)*($V$3:$AE$3&gt;AC$3)+($V393:$AE393=AC393)*($V$3:$AE$3=AC$3)*($V$2:$AE$2&lt;AC$2))),2))))</f>
      </c>
      <c r="AN393" s="33">
        <f>IF(AD393&lt;=0,0,MAX(0,MIN(AD393,ROUND($AZ393-SUMPRODUCT($V393:$AE393*($V393:$AE393&gt;0)*(($V393:$AE393&lt;AD393)+($V393:$AE393=AD393)*($V$3:$AE$3&gt;AD$3)+($V393:$AE393=AD393)*($V$3:$AE$3=AD$3)*($V$2:$AE$2&lt;AD$2))),2))))</f>
      </c>
      <c r="AO393" s="33">
        <f>IF(AE393&lt;=0,0,MAX(0,MIN(AE393,ROUND($AZ393-SUMPRODUCT($V393:$AE393*($V393:$AE393&gt;0)*(($V393:$AE393&lt;AE393)+($V393:$AE393=AE393)*($V$3:$AE$3&gt;AE$3)+($V393:$AE393=AE393)*($V$3:$AE$3=AE$3)*($V$2:$AE$2&lt;AE$2))),2))))</f>
      </c>
      <c r="AP393" s="33">
        <f>ROUND(V393-AF393,2)</f>
      </c>
      <c r="AQ393" s="33">
        <f>ROUND(W393-AG393,2)</f>
      </c>
      <c r="AR393" s="33">
        <f>ROUND(X393-AH393,2)</f>
      </c>
      <c r="AS393" s="33">
        <f>ROUND(Y393-AI393,2)</f>
      </c>
      <c r="AT393" s="33">
        <f>ROUND(Z393-AJ393,2)</f>
      </c>
      <c r="AU393" s="33">
        <f>ROUND(AA393-AK393,2)</f>
      </c>
      <c r="AV393" s="33">
        <f>ROUND(AB393-AL393,2)</f>
      </c>
      <c r="AW393" s="33">
        <f>ROUND(AC393-AM393,2)</f>
      </c>
      <c r="AX393" s="33">
        <f>ROUND(AD393-AN393,2)</f>
      </c>
      <c r="AY393" s="33">
        <f>ROUND(AE393-AO393,2)</f>
      </c>
      <c r="AZ393" s="33">
        <f>ROUND(MAX(0,'Your debts'!$D$22-SUM($L393:$U393)),2)</f>
      </c>
      <c r="BA393" s="33">
        <f>ROUND(SUM($B393:$K393)-SUM($AP392:$AY392),2)</f>
      </c>
      <c r="BB393" s="33">
        <f>SUM($AP393:$AY393)</f>
      </c>
      <c r="BC393" s="33">
        <f>ROUND(SUM($L393:$U393)+SUM($AF393:$AO393),2)</f>
      </c>
    </row>
    <row r="394" spans="1:55" x14ac:dyDescent="0.25">
      <c r="A394">
        <v>387</v>
      </c>
      <c r="B394" s="33">
        <f>IF(AP393&lt;=0,0,ROUND(AP393+ROUND(AP393*V$3/12,2),2))</f>
      </c>
      <c r="C394" s="33">
        <f>IF(AQ393&lt;=0,0,ROUND(AQ393+ROUND(AQ393*W$3/12,2),2))</f>
      </c>
      <c r="D394" s="33">
        <f>IF(AR393&lt;=0,0,ROUND(AR393+ROUND(AR393*X$3/12,2),2))</f>
      </c>
      <c r="E394" s="33">
        <f>IF(AS393&lt;=0,0,ROUND(AS393+ROUND(AS393*Y$3/12,2),2))</f>
      </c>
      <c r="F394" s="33">
        <f>IF(AT393&lt;=0,0,ROUND(AT393+ROUND(AT393*Z$3/12,2),2))</f>
      </c>
      <c r="G394" s="33">
        <f>IF(AU393&lt;=0,0,ROUND(AU393+ROUND(AU393*AA$3/12,2),2))</f>
      </c>
      <c r="H394" s="33">
        <f>IF(AV393&lt;=0,0,ROUND(AV393+ROUND(AV393*AB$3/12,2),2))</f>
      </c>
      <c r="I394" s="33">
        <f>IF(AW393&lt;=0,0,ROUND(AW393+ROUND(AW393*AC$3/12,2),2))</f>
      </c>
      <c r="J394" s="33">
        <f>IF(AX393&lt;=0,0,ROUND(AX393+ROUND(AX393*AD$3/12,2),2))</f>
      </c>
      <c r="K394" s="33">
        <f>IF(AY393&lt;=0,0,ROUND(AY393+ROUND(AY393*AE$3/12,2),2))</f>
      </c>
      <c r="L394" s="33">
        <f>ROUND(MIN(MAX(0,N('Your debts'!$E$6)),B394),2)</f>
      </c>
      <c r="M394" s="33">
        <f>ROUND(MIN(MAX(0,N('Your debts'!$E$7)),C394),2)</f>
      </c>
      <c r="N394" s="33">
        <f>ROUND(MIN(MAX(0,N('Your debts'!$E$8)),D394),2)</f>
      </c>
      <c r="O394" s="33">
        <f>ROUND(MIN(MAX(0,N('Your debts'!$E$9)),E394),2)</f>
      </c>
      <c r="P394" s="33">
        <f>ROUND(MIN(MAX(0,N('Your debts'!$E$10)),F394),2)</f>
      </c>
      <c r="Q394" s="33">
        <f>ROUND(MIN(MAX(0,N('Your debts'!$E$11)),G394),2)</f>
      </c>
      <c r="R394" s="33">
        <f>ROUND(MIN(MAX(0,N('Your debts'!$E$12)),H394),2)</f>
      </c>
      <c r="S394" s="33">
        <f>ROUND(MIN(MAX(0,N('Your debts'!$E$13)),I394),2)</f>
      </c>
      <c r="T394" s="33">
        <f>ROUND(MIN(MAX(0,N('Your debts'!$E$14)),J394),2)</f>
      </c>
      <c r="U394" s="33">
        <f>ROUND(MIN(MAX(0,N('Your debts'!$E$15)),K394),2)</f>
      </c>
      <c r="V394" s="33">
        <f>ROUND(B394-L394,2)</f>
      </c>
      <c r="W394" s="33">
        <f>ROUND(C394-M394,2)</f>
      </c>
      <c r="X394" s="33">
        <f>ROUND(D394-N394,2)</f>
      </c>
      <c r="Y394" s="33">
        <f>ROUND(E394-O394,2)</f>
      </c>
      <c r="Z394" s="33">
        <f>ROUND(F394-P394,2)</f>
      </c>
      <c r="AA394" s="33">
        <f>ROUND(G394-Q394,2)</f>
      </c>
      <c r="AB394" s="33">
        <f>ROUND(H394-R394,2)</f>
      </c>
      <c r="AC394" s="33">
        <f>ROUND(I394-S394,2)</f>
      </c>
      <c r="AD394" s="33">
        <f>ROUND(J394-T394,2)</f>
      </c>
      <c r="AE394" s="33">
        <f>ROUND(K394-U394,2)</f>
      </c>
      <c r="AF394" s="33">
        <f>IF(V394&lt;=0,0,MAX(0,MIN(V394,ROUND($AZ394-SUMPRODUCT($V394:$AE394*($V394:$AE394&gt;0)*(($V394:$AE394&lt;V394)+($V394:$AE394=V394)*($V$3:$AE$3&gt;V$3)+($V394:$AE394=V394)*($V$3:$AE$3=V$3)*($V$2:$AE$2&lt;V$2))),2))))</f>
      </c>
      <c r="AG394" s="33">
        <f>IF(W394&lt;=0,0,MAX(0,MIN(W394,ROUND($AZ394-SUMPRODUCT($V394:$AE394*($V394:$AE394&gt;0)*(($V394:$AE394&lt;W394)+($V394:$AE394=W394)*($V$3:$AE$3&gt;W$3)+($V394:$AE394=W394)*($V$3:$AE$3=W$3)*($V$2:$AE$2&lt;W$2))),2))))</f>
      </c>
      <c r="AH394" s="33">
        <f>IF(X394&lt;=0,0,MAX(0,MIN(X394,ROUND($AZ394-SUMPRODUCT($V394:$AE394*($V394:$AE394&gt;0)*(($V394:$AE394&lt;X394)+($V394:$AE394=X394)*($V$3:$AE$3&gt;X$3)+($V394:$AE394=X394)*($V$3:$AE$3=X$3)*($V$2:$AE$2&lt;X$2))),2))))</f>
      </c>
      <c r="AI394" s="33">
        <f>IF(Y394&lt;=0,0,MAX(0,MIN(Y394,ROUND($AZ394-SUMPRODUCT($V394:$AE394*($V394:$AE394&gt;0)*(($V394:$AE394&lt;Y394)+($V394:$AE394=Y394)*($V$3:$AE$3&gt;Y$3)+($V394:$AE394=Y394)*($V$3:$AE$3=Y$3)*($V$2:$AE$2&lt;Y$2))),2))))</f>
      </c>
      <c r="AJ394" s="33">
        <f>IF(Z394&lt;=0,0,MAX(0,MIN(Z394,ROUND($AZ394-SUMPRODUCT($V394:$AE394*($V394:$AE394&gt;0)*(($V394:$AE394&lt;Z394)+($V394:$AE394=Z394)*($V$3:$AE$3&gt;Z$3)+($V394:$AE394=Z394)*($V$3:$AE$3=Z$3)*($V$2:$AE$2&lt;Z$2))),2))))</f>
      </c>
      <c r="AK394" s="33">
        <f>IF(AA394&lt;=0,0,MAX(0,MIN(AA394,ROUND($AZ394-SUMPRODUCT($V394:$AE394*($V394:$AE394&gt;0)*(($V394:$AE394&lt;AA394)+($V394:$AE394=AA394)*($V$3:$AE$3&gt;AA$3)+($V394:$AE394=AA394)*($V$3:$AE$3=AA$3)*($V$2:$AE$2&lt;AA$2))),2))))</f>
      </c>
      <c r="AL394" s="33">
        <f>IF(AB394&lt;=0,0,MAX(0,MIN(AB394,ROUND($AZ394-SUMPRODUCT($V394:$AE394*($V394:$AE394&gt;0)*(($V394:$AE394&lt;AB394)+($V394:$AE394=AB394)*($V$3:$AE$3&gt;AB$3)+($V394:$AE394=AB394)*($V$3:$AE$3=AB$3)*($V$2:$AE$2&lt;AB$2))),2))))</f>
      </c>
      <c r="AM394" s="33">
        <f>IF(AC394&lt;=0,0,MAX(0,MIN(AC394,ROUND($AZ394-SUMPRODUCT($V394:$AE394*($V394:$AE394&gt;0)*(($V394:$AE394&lt;AC394)+($V394:$AE394=AC394)*($V$3:$AE$3&gt;AC$3)+($V394:$AE394=AC394)*($V$3:$AE$3=AC$3)*($V$2:$AE$2&lt;AC$2))),2))))</f>
      </c>
      <c r="AN394" s="33">
        <f>IF(AD394&lt;=0,0,MAX(0,MIN(AD394,ROUND($AZ394-SUMPRODUCT($V394:$AE394*($V394:$AE394&gt;0)*(($V394:$AE394&lt;AD394)+($V394:$AE394=AD394)*($V$3:$AE$3&gt;AD$3)+($V394:$AE394=AD394)*($V$3:$AE$3=AD$3)*($V$2:$AE$2&lt;AD$2))),2))))</f>
      </c>
      <c r="AO394" s="33">
        <f>IF(AE394&lt;=0,0,MAX(0,MIN(AE394,ROUND($AZ394-SUMPRODUCT($V394:$AE394*($V394:$AE394&gt;0)*(($V394:$AE394&lt;AE394)+($V394:$AE394=AE394)*($V$3:$AE$3&gt;AE$3)+($V394:$AE394=AE394)*($V$3:$AE$3=AE$3)*($V$2:$AE$2&lt;AE$2))),2))))</f>
      </c>
      <c r="AP394" s="33">
        <f>ROUND(V394-AF394,2)</f>
      </c>
      <c r="AQ394" s="33">
        <f>ROUND(W394-AG394,2)</f>
      </c>
      <c r="AR394" s="33">
        <f>ROUND(X394-AH394,2)</f>
      </c>
      <c r="AS394" s="33">
        <f>ROUND(Y394-AI394,2)</f>
      </c>
      <c r="AT394" s="33">
        <f>ROUND(Z394-AJ394,2)</f>
      </c>
      <c r="AU394" s="33">
        <f>ROUND(AA394-AK394,2)</f>
      </c>
      <c r="AV394" s="33">
        <f>ROUND(AB394-AL394,2)</f>
      </c>
      <c r="AW394" s="33">
        <f>ROUND(AC394-AM394,2)</f>
      </c>
      <c r="AX394" s="33">
        <f>ROUND(AD394-AN394,2)</f>
      </c>
      <c r="AY394" s="33">
        <f>ROUND(AE394-AO394,2)</f>
      </c>
      <c r="AZ394" s="33">
        <f>ROUND(MAX(0,'Your debts'!$D$22-SUM($L394:$U394)),2)</f>
      </c>
      <c r="BA394" s="33">
        <f>ROUND(SUM($B394:$K394)-SUM($AP393:$AY393),2)</f>
      </c>
      <c r="BB394" s="33">
        <f>SUM($AP394:$AY394)</f>
      </c>
      <c r="BC394" s="33">
        <f>ROUND(SUM($L394:$U394)+SUM($AF394:$AO394),2)</f>
      </c>
    </row>
    <row r="395" spans="1:55" x14ac:dyDescent="0.25">
      <c r="A395">
        <v>388</v>
      </c>
      <c r="B395" s="33">
        <f>IF(AP394&lt;=0,0,ROUND(AP394+ROUND(AP394*V$3/12,2),2))</f>
      </c>
      <c r="C395" s="33">
        <f>IF(AQ394&lt;=0,0,ROUND(AQ394+ROUND(AQ394*W$3/12,2),2))</f>
      </c>
      <c r="D395" s="33">
        <f>IF(AR394&lt;=0,0,ROUND(AR394+ROUND(AR394*X$3/12,2),2))</f>
      </c>
      <c r="E395" s="33">
        <f>IF(AS394&lt;=0,0,ROUND(AS394+ROUND(AS394*Y$3/12,2),2))</f>
      </c>
      <c r="F395" s="33">
        <f>IF(AT394&lt;=0,0,ROUND(AT394+ROUND(AT394*Z$3/12,2),2))</f>
      </c>
      <c r="G395" s="33">
        <f>IF(AU394&lt;=0,0,ROUND(AU394+ROUND(AU394*AA$3/12,2),2))</f>
      </c>
      <c r="H395" s="33">
        <f>IF(AV394&lt;=0,0,ROUND(AV394+ROUND(AV394*AB$3/12,2),2))</f>
      </c>
      <c r="I395" s="33">
        <f>IF(AW394&lt;=0,0,ROUND(AW394+ROUND(AW394*AC$3/12,2),2))</f>
      </c>
      <c r="J395" s="33">
        <f>IF(AX394&lt;=0,0,ROUND(AX394+ROUND(AX394*AD$3/12,2),2))</f>
      </c>
      <c r="K395" s="33">
        <f>IF(AY394&lt;=0,0,ROUND(AY394+ROUND(AY394*AE$3/12,2),2))</f>
      </c>
      <c r="L395" s="33">
        <f>ROUND(MIN(MAX(0,N('Your debts'!$E$6)),B395),2)</f>
      </c>
      <c r="M395" s="33">
        <f>ROUND(MIN(MAX(0,N('Your debts'!$E$7)),C395),2)</f>
      </c>
      <c r="N395" s="33">
        <f>ROUND(MIN(MAX(0,N('Your debts'!$E$8)),D395),2)</f>
      </c>
      <c r="O395" s="33">
        <f>ROUND(MIN(MAX(0,N('Your debts'!$E$9)),E395),2)</f>
      </c>
      <c r="P395" s="33">
        <f>ROUND(MIN(MAX(0,N('Your debts'!$E$10)),F395),2)</f>
      </c>
      <c r="Q395" s="33">
        <f>ROUND(MIN(MAX(0,N('Your debts'!$E$11)),G395),2)</f>
      </c>
      <c r="R395" s="33">
        <f>ROUND(MIN(MAX(0,N('Your debts'!$E$12)),H395),2)</f>
      </c>
      <c r="S395" s="33">
        <f>ROUND(MIN(MAX(0,N('Your debts'!$E$13)),I395),2)</f>
      </c>
      <c r="T395" s="33">
        <f>ROUND(MIN(MAX(0,N('Your debts'!$E$14)),J395),2)</f>
      </c>
      <c r="U395" s="33">
        <f>ROUND(MIN(MAX(0,N('Your debts'!$E$15)),K395),2)</f>
      </c>
      <c r="V395" s="33">
        <f>ROUND(B395-L395,2)</f>
      </c>
      <c r="W395" s="33">
        <f>ROUND(C395-M395,2)</f>
      </c>
      <c r="X395" s="33">
        <f>ROUND(D395-N395,2)</f>
      </c>
      <c r="Y395" s="33">
        <f>ROUND(E395-O395,2)</f>
      </c>
      <c r="Z395" s="33">
        <f>ROUND(F395-P395,2)</f>
      </c>
      <c r="AA395" s="33">
        <f>ROUND(G395-Q395,2)</f>
      </c>
      <c r="AB395" s="33">
        <f>ROUND(H395-R395,2)</f>
      </c>
      <c r="AC395" s="33">
        <f>ROUND(I395-S395,2)</f>
      </c>
      <c r="AD395" s="33">
        <f>ROUND(J395-T395,2)</f>
      </c>
      <c r="AE395" s="33">
        <f>ROUND(K395-U395,2)</f>
      </c>
      <c r="AF395" s="33">
        <f>IF(V395&lt;=0,0,MAX(0,MIN(V395,ROUND($AZ395-SUMPRODUCT($V395:$AE395*($V395:$AE395&gt;0)*(($V395:$AE395&lt;V395)+($V395:$AE395=V395)*($V$3:$AE$3&gt;V$3)+($V395:$AE395=V395)*($V$3:$AE$3=V$3)*($V$2:$AE$2&lt;V$2))),2))))</f>
      </c>
      <c r="AG395" s="33">
        <f>IF(W395&lt;=0,0,MAX(0,MIN(W395,ROUND($AZ395-SUMPRODUCT($V395:$AE395*($V395:$AE395&gt;0)*(($V395:$AE395&lt;W395)+($V395:$AE395=W395)*($V$3:$AE$3&gt;W$3)+($V395:$AE395=W395)*($V$3:$AE$3=W$3)*($V$2:$AE$2&lt;W$2))),2))))</f>
      </c>
      <c r="AH395" s="33">
        <f>IF(X395&lt;=0,0,MAX(0,MIN(X395,ROUND($AZ395-SUMPRODUCT($V395:$AE395*($V395:$AE395&gt;0)*(($V395:$AE395&lt;X395)+($V395:$AE395=X395)*($V$3:$AE$3&gt;X$3)+($V395:$AE395=X395)*($V$3:$AE$3=X$3)*($V$2:$AE$2&lt;X$2))),2))))</f>
      </c>
      <c r="AI395" s="33">
        <f>IF(Y395&lt;=0,0,MAX(0,MIN(Y395,ROUND($AZ395-SUMPRODUCT($V395:$AE395*($V395:$AE395&gt;0)*(($V395:$AE395&lt;Y395)+($V395:$AE395=Y395)*($V$3:$AE$3&gt;Y$3)+($V395:$AE395=Y395)*($V$3:$AE$3=Y$3)*($V$2:$AE$2&lt;Y$2))),2))))</f>
      </c>
      <c r="AJ395" s="33">
        <f>IF(Z395&lt;=0,0,MAX(0,MIN(Z395,ROUND($AZ395-SUMPRODUCT($V395:$AE395*($V395:$AE395&gt;0)*(($V395:$AE395&lt;Z395)+($V395:$AE395=Z395)*($V$3:$AE$3&gt;Z$3)+($V395:$AE395=Z395)*($V$3:$AE$3=Z$3)*($V$2:$AE$2&lt;Z$2))),2))))</f>
      </c>
      <c r="AK395" s="33">
        <f>IF(AA395&lt;=0,0,MAX(0,MIN(AA395,ROUND($AZ395-SUMPRODUCT($V395:$AE395*($V395:$AE395&gt;0)*(($V395:$AE395&lt;AA395)+($V395:$AE395=AA395)*($V$3:$AE$3&gt;AA$3)+($V395:$AE395=AA395)*($V$3:$AE$3=AA$3)*($V$2:$AE$2&lt;AA$2))),2))))</f>
      </c>
      <c r="AL395" s="33">
        <f>IF(AB395&lt;=0,0,MAX(0,MIN(AB395,ROUND($AZ395-SUMPRODUCT($V395:$AE395*($V395:$AE395&gt;0)*(($V395:$AE395&lt;AB395)+($V395:$AE395=AB395)*($V$3:$AE$3&gt;AB$3)+($V395:$AE395=AB395)*($V$3:$AE$3=AB$3)*($V$2:$AE$2&lt;AB$2))),2))))</f>
      </c>
      <c r="AM395" s="33">
        <f>IF(AC395&lt;=0,0,MAX(0,MIN(AC395,ROUND($AZ395-SUMPRODUCT($V395:$AE395*($V395:$AE395&gt;0)*(($V395:$AE395&lt;AC395)+($V395:$AE395=AC395)*($V$3:$AE$3&gt;AC$3)+($V395:$AE395=AC395)*($V$3:$AE$3=AC$3)*($V$2:$AE$2&lt;AC$2))),2))))</f>
      </c>
      <c r="AN395" s="33">
        <f>IF(AD395&lt;=0,0,MAX(0,MIN(AD395,ROUND($AZ395-SUMPRODUCT($V395:$AE395*($V395:$AE395&gt;0)*(($V395:$AE395&lt;AD395)+($V395:$AE395=AD395)*($V$3:$AE$3&gt;AD$3)+($V395:$AE395=AD395)*($V$3:$AE$3=AD$3)*($V$2:$AE$2&lt;AD$2))),2))))</f>
      </c>
      <c r="AO395" s="33">
        <f>IF(AE395&lt;=0,0,MAX(0,MIN(AE395,ROUND($AZ395-SUMPRODUCT($V395:$AE395*($V395:$AE395&gt;0)*(($V395:$AE395&lt;AE395)+($V395:$AE395=AE395)*($V$3:$AE$3&gt;AE$3)+($V395:$AE395=AE395)*($V$3:$AE$3=AE$3)*($V$2:$AE$2&lt;AE$2))),2))))</f>
      </c>
      <c r="AP395" s="33">
        <f>ROUND(V395-AF395,2)</f>
      </c>
      <c r="AQ395" s="33">
        <f>ROUND(W395-AG395,2)</f>
      </c>
      <c r="AR395" s="33">
        <f>ROUND(X395-AH395,2)</f>
      </c>
      <c r="AS395" s="33">
        <f>ROUND(Y395-AI395,2)</f>
      </c>
      <c r="AT395" s="33">
        <f>ROUND(Z395-AJ395,2)</f>
      </c>
      <c r="AU395" s="33">
        <f>ROUND(AA395-AK395,2)</f>
      </c>
      <c r="AV395" s="33">
        <f>ROUND(AB395-AL395,2)</f>
      </c>
      <c r="AW395" s="33">
        <f>ROUND(AC395-AM395,2)</f>
      </c>
      <c r="AX395" s="33">
        <f>ROUND(AD395-AN395,2)</f>
      </c>
      <c r="AY395" s="33">
        <f>ROUND(AE395-AO395,2)</f>
      </c>
      <c r="AZ395" s="33">
        <f>ROUND(MAX(0,'Your debts'!$D$22-SUM($L395:$U395)),2)</f>
      </c>
      <c r="BA395" s="33">
        <f>ROUND(SUM($B395:$K395)-SUM($AP394:$AY394),2)</f>
      </c>
      <c r="BB395" s="33">
        <f>SUM($AP395:$AY395)</f>
      </c>
      <c r="BC395" s="33">
        <f>ROUND(SUM($L395:$U395)+SUM($AF395:$AO395),2)</f>
      </c>
    </row>
    <row r="396" spans="1:55" x14ac:dyDescent="0.25">
      <c r="A396">
        <v>389</v>
      </c>
      <c r="B396" s="33">
        <f>IF(AP395&lt;=0,0,ROUND(AP395+ROUND(AP395*V$3/12,2),2))</f>
      </c>
      <c r="C396" s="33">
        <f>IF(AQ395&lt;=0,0,ROUND(AQ395+ROUND(AQ395*W$3/12,2),2))</f>
      </c>
      <c r="D396" s="33">
        <f>IF(AR395&lt;=0,0,ROUND(AR395+ROUND(AR395*X$3/12,2),2))</f>
      </c>
      <c r="E396" s="33">
        <f>IF(AS395&lt;=0,0,ROUND(AS395+ROUND(AS395*Y$3/12,2),2))</f>
      </c>
      <c r="F396" s="33">
        <f>IF(AT395&lt;=0,0,ROUND(AT395+ROUND(AT395*Z$3/12,2),2))</f>
      </c>
      <c r="G396" s="33">
        <f>IF(AU395&lt;=0,0,ROUND(AU395+ROUND(AU395*AA$3/12,2),2))</f>
      </c>
      <c r="H396" s="33">
        <f>IF(AV395&lt;=0,0,ROUND(AV395+ROUND(AV395*AB$3/12,2),2))</f>
      </c>
      <c r="I396" s="33">
        <f>IF(AW395&lt;=0,0,ROUND(AW395+ROUND(AW395*AC$3/12,2),2))</f>
      </c>
      <c r="J396" s="33">
        <f>IF(AX395&lt;=0,0,ROUND(AX395+ROUND(AX395*AD$3/12,2),2))</f>
      </c>
      <c r="K396" s="33">
        <f>IF(AY395&lt;=0,0,ROUND(AY395+ROUND(AY395*AE$3/12,2),2))</f>
      </c>
      <c r="L396" s="33">
        <f>ROUND(MIN(MAX(0,N('Your debts'!$E$6)),B396),2)</f>
      </c>
      <c r="M396" s="33">
        <f>ROUND(MIN(MAX(0,N('Your debts'!$E$7)),C396),2)</f>
      </c>
      <c r="N396" s="33">
        <f>ROUND(MIN(MAX(0,N('Your debts'!$E$8)),D396),2)</f>
      </c>
      <c r="O396" s="33">
        <f>ROUND(MIN(MAX(0,N('Your debts'!$E$9)),E396),2)</f>
      </c>
      <c r="P396" s="33">
        <f>ROUND(MIN(MAX(0,N('Your debts'!$E$10)),F396),2)</f>
      </c>
      <c r="Q396" s="33">
        <f>ROUND(MIN(MAX(0,N('Your debts'!$E$11)),G396),2)</f>
      </c>
      <c r="R396" s="33">
        <f>ROUND(MIN(MAX(0,N('Your debts'!$E$12)),H396),2)</f>
      </c>
      <c r="S396" s="33">
        <f>ROUND(MIN(MAX(0,N('Your debts'!$E$13)),I396),2)</f>
      </c>
      <c r="T396" s="33">
        <f>ROUND(MIN(MAX(0,N('Your debts'!$E$14)),J396),2)</f>
      </c>
      <c r="U396" s="33">
        <f>ROUND(MIN(MAX(0,N('Your debts'!$E$15)),K396),2)</f>
      </c>
      <c r="V396" s="33">
        <f>ROUND(B396-L396,2)</f>
      </c>
      <c r="W396" s="33">
        <f>ROUND(C396-M396,2)</f>
      </c>
      <c r="X396" s="33">
        <f>ROUND(D396-N396,2)</f>
      </c>
      <c r="Y396" s="33">
        <f>ROUND(E396-O396,2)</f>
      </c>
      <c r="Z396" s="33">
        <f>ROUND(F396-P396,2)</f>
      </c>
      <c r="AA396" s="33">
        <f>ROUND(G396-Q396,2)</f>
      </c>
      <c r="AB396" s="33">
        <f>ROUND(H396-R396,2)</f>
      </c>
      <c r="AC396" s="33">
        <f>ROUND(I396-S396,2)</f>
      </c>
      <c r="AD396" s="33">
        <f>ROUND(J396-T396,2)</f>
      </c>
      <c r="AE396" s="33">
        <f>ROUND(K396-U396,2)</f>
      </c>
      <c r="AF396" s="33">
        <f>IF(V396&lt;=0,0,MAX(0,MIN(V396,ROUND($AZ396-SUMPRODUCT($V396:$AE396*($V396:$AE396&gt;0)*(($V396:$AE396&lt;V396)+($V396:$AE396=V396)*($V$3:$AE$3&gt;V$3)+($V396:$AE396=V396)*($V$3:$AE$3=V$3)*($V$2:$AE$2&lt;V$2))),2))))</f>
      </c>
      <c r="AG396" s="33">
        <f>IF(W396&lt;=0,0,MAX(0,MIN(W396,ROUND($AZ396-SUMPRODUCT($V396:$AE396*($V396:$AE396&gt;0)*(($V396:$AE396&lt;W396)+($V396:$AE396=W396)*($V$3:$AE$3&gt;W$3)+($V396:$AE396=W396)*($V$3:$AE$3=W$3)*($V$2:$AE$2&lt;W$2))),2))))</f>
      </c>
      <c r="AH396" s="33">
        <f>IF(X396&lt;=0,0,MAX(0,MIN(X396,ROUND($AZ396-SUMPRODUCT($V396:$AE396*($V396:$AE396&gt;0)*(($V396:$AE396&lt;X396)+($V396:$AE396=X396)*($V$3:$AE$3&gt;X$3)+($V396:$AE396=X396)*($V$3:$AE$3=X$3)*($V$2:$AE$2&lt;X$2))),2))))</f>
      </c>
      <c r="AI396" s="33">
        <f>IF(Y396&lt;=0,0,MAX(0,MIN(Y396,ROUND($AZ396-SUMPRODUCT($V396:$AE396*($V396:$AE396&gt;0)*(($V396:$AE396&lt;Y396)+($V396:$AE396=Y396)*($V$3:$AE$3&gt;Y$3)+($V396:$AE396=Y396)*($V$3:$AE$3=Y$3)*($V$2:$AE$2&lt;Y$2))),2))))</f>
      </c>
      <c r="AJ396" s="33">
        <f>IF(Z396&lt;=0,0,MAX(0,MIN(Z396,ROUND($AZ396-SUMPRODUCT($V396:$AE396*($V396:$AE396&gt;0)*(($V396:$AE396&lt;Z396)+($V396:$AE396=Z396)*($V$3:$AE$3&gt;Z$3)+($V396:$AE396=Z396)*($V$3:$AE$3=Z$3)*($V$2:$AE$2&lt;Z$2))),2))))</f>
      </c>
      <c r="AK396" s="33">
        <f>IF(AA396&lt;=0,0,MAX(0,MIN(AA396,ROUND($AZ396-SUMPRODUCT($V396:$AE396*($V396:$AE396&gt;0)*(($V396:$AE396&lt;AA396)+($V396:$AE396=AA396)*($V$3:$AE$3&gt;AA$3)+($V396:$AE396=AA396)*($V$3:$AE$3=AA$3)*($V$2:$AE$2&lt;AA$2))),2))))</f>
      </c>
      <c r="AL396" s="33">
        <f>IF(AB396&lt;=0,0,MAX(0,MIN(AB396,ROUND($AZ396-SUMPRODUCT($V396:$AE396*($V396:$AE396&gt;0)*(($V396:$AE396&lt;AB396)+($V396:$AE396=AB396)*($V$3:$AE$3&gt;AB$3)+($V396:$AE396=AB396)*($V$3:$AE$3=AB$3)*($V$2:$AE$2&lt;AB$2))),2))))</f>
      </c>
      <c r="AM396" s="33">
        <f>IF(AC396&lt;=0,0,MAX(0,MIN(AC396,ROUND($AZ396-SUMPRODUCT($V396:$AE396*($V396:$AE396&gt;0)*(($V396:$AE396&lt;AC396)+($V396:$AE396=AC396)*($V$3:$AE$3&gt;AC$3)+($V396:$AE396=AC396)*($V$3:$AE$3=AC$3)*($V$2:$AE$2&lt;AC$2))),2))))</f>
      </c>
      <c r="AN396" s="33">
        <f>IF(AD396&lt;=0,0,MAX(0,MIN(AD396,ROUND($AZ396-SUMPRODUCT($V396:$AE396*($V396:$AE396&gt;0)*(($V396:$AE396&lt;AD396)+($V396:$AE396=AD396)*($V$3:$AE$3&gt;AD$3)+($V396:$AE396=AD396)*($V$3:$AE$3=AD$3)*($V$2:$AE$2&lt;AD$2))),2))))</f>
      </c>
      <c r="AO396" s="33">
        <f>IF(AE396&lt;=0,0,MAX(0,MIN(AE396,ROUND($AZ396-SUMPRODUCT($V396:$AE396*($V396:$AE396&gt;0)*(($V396:$AE396&lt;AE396)+($V396:$AE396=AE396)*($V$3:$AE$3&gt;AE$3)+($V396:$AE396=AE396)*($V$3:$AE$3=AE$3)*($V$2:$AE$2&lt;AE$2))),2))))</f>
      </c>
      <c r="AP396" s="33">
        <f>ROUND(V396-AF396,2)</f>
      </c>
      <c r="AQ396" s="33">
        <f>ROUND(W396-AG396,2)</f>
      </c>
      <c r="AR396" s="33">
        <f>ROUND(X396-AH396,2)</f>
      </c>
      <c r="AS396" s="33">
        <f>ROUND(Y396-AI396,2)</f>
      </c>
      <c r="AT396" s="33">
        <f>ROUND(Z396-AJ396,2)</f>
      </c>
      <c r="AU396" s="33">
        <f>ROUND(AA396-AK396,2)</f>
      </c>
      <c r="AV396" s="33">
        <f>ROUND(AB396-AL396,2)</f>
      </c>
      <c r="AW396" s="33">
        <f>ROUND(AC396-AM396,2)</f>
      </c>
      <c r="AX396" s="33">
        <f>ROUND(AD396-AN396,2)</f>
      </c>
      <c r="AY396" s="33">
        <f>ROUND(AE396-AO396,2)</f>
      </c>
      <c r="AZ396" s="33">
        <f>ROUND(MAX(0,'Your debts'!$D$22-SUM($L396:$U396)),2)</f>
      </c>
      <c r="BA396" s="33">
        <f>ROUND(SUM($B396:$K396)-SUM($AP395:$AY395),2)</f>
      </c>
      <c r="BB396" s="33">
        <f>SUM($AP396:$AY396)</f>
      </c>
      <c r="BC396" s="33">
        <f>ROUND(SUM($L396:$U396)+SUM($AF396:$AO396),2)</f>
      </c>
    </row>
    <row r="397" spans="1:55" x14ac:dyDescent="0.25">
      <c r="A397">
        <v>390</v>
      </c>
      <c r="B397" s="33">
        <f>IF(AP396&lt;=0,0,ROUND(AP396+ROUND(AP396*V$3/12,2),2))</f>
      </c>
      <c r="C397" s="33">
        <f>IF(AQ396&lt;=0,0,ROUND(AQ396+ROUND(AQ396*W$3/12,2),2))</f>
      </c>
      <c r="D397" s="33">
        <f>IF(AR396&lt;=0,0,ROUND(AR396+ROUND(AR396*X$3/12,2),2))</f>
      </c>
      <c r="E397" s="33">
        <f>IF(AS396&lt;=0,0,ROUND(AS396+ROUND(AS396*Y$3/12,2),2))</f>
      </c>
      <c r="F397" s="33">
        <f>IF(AT396&lt;=0,0,ROUND(AT396+ROUND(AT396*Z$3/12,2),2))</f>
      </c>
      <c r="G397" s="33">
        <f>IF(AU396&lt;=0,0,ROUND(AU396+ROUND(AU396*AA$3/12,2),2))</f>
      </c>
      <c r="H397" s="33">
        <f>IF(AV396&lt;=0,0,ROUND(AV396+ROUND(AV396*AB$3/12,2),2))</f>
      </c>
      <c r="I397" s="33">
        <f>IF(AW396&lt;=0,0,ROUND(AW396+ROUND(AW396*AC$3/12,2),2))</f>
      </c>
      <c r="J397" s="33">
        <f>IF(AX396&lt;=0,0,ROUND(AX396+ROUND(AX396*AD$3/12,2),2))</f>
      </c>
      <c r="K397" s="33">
        <f>IF(AY396&lt;=0,0,ROUND(AY396+ROUND(AY396*AE$3/12,2),2))</f>
      </c>
      <c r="L397" s="33">
        <f>ROUND(MIN(MAX(0,N('Your debts'!$E$6)),B397),2)</f>
      </c>
      <c r="M397" s="33">
        <f>ROUND(MIN(MAX(0,N('Your debts'!$E$7)),C397),2)</f>
      </c>
      <c r="N397" s="33">
        <f>ROUND(MIN(MAX(0,N('Your debts'!$E$8)),D397),2)</f>
      </c>
      <c r="O397" s="33">
        <f>ROUND(MIN(MAX(0,N('Your debts'!$E$9)),E397),2)</f>
      </c>
      <c r="P397" s="33">
        <f>ROUND(MIN(MAX(0,N('Your debts'!$E$10)),F397),2)</f>
      </c>
      <c r="Q397" s="33">
        <f>ROUND(MIN(MAX(0,N('Your debts'!$E$11)),G397),2)</f>
      </c>
      <c r="R397" s="33">
        <f>ROUND(MIN(MAX(0,N('Your debts'!$E$12)),H397),2)</f>
      </c>
      <c r="S397" s="33">
        <f>ROUND(MIN(MAX(0,N('Your debts'!$E$13)),I397),2)</f>
      </c>
      <c r="T397" s="33">
        <f>ROUND(MIN(MAX(0,N('Your debts'!$E$14)),J397),2)</f>
      </c>
      <c r="U397" s="33">
        <f>ROUND(MIN(MAX(0,N('Your debts'!$E$15)),K397),2)</f>
      </c>
      <c r="V397" s="33">
        <f>ROUND(B397-L397,2)</f>
      </c>
      <c r="W397" s="33">
        <f>ROUND(C397-M397,2)</f>
      </c>
      <c r="X397" s="33">
        <f>ROUND(D397-N397,2)</f>
      </c>
      <c r="Y397" s="33">
        <f>ROUND(E397-O397,2)</f>
      </c>
      <c r="Z397" s="33">
        <f>ROUND(F397-P397,2)</f>
      </c>
      <c r="AA397" s="33">
        <f>ROUND(G397-Q397,2)</f>
      </c>
      <c r="AB397" s="33">
        <f>ROUND(H397-R397,2)</f>
      </c>
      <c r="AC397" s="33">
        <f>ROUND(I397-S397,2)</f>
      </c>
      <c r="AD397" s="33">
        <f>ROUND(J397-T397,2)</f>
      </c>
      <c r="AE397" s="33">
        <f>ROUND(K397-U397,2)</f>
      </c>
      <c r="AF397" s="33">
        <f>IF(V397&lt;=0,0,MAX(0,MIN(V397,ROUND($AZ397-SUMPRODUCT($V397:$AE397*($V397:$AE397&gt;0)*(($V397:$AE397&lt;V397)+($V397:$AE397=V397)*($V$3:$AE$3&gt;V$3)+($V397:$AE397=V397)*($V$3:$AE$3=V$3)*($V$2:$AE$2&lt;V$2))),2))))</f>
      </c>
      <c r="AG397" s="33">
        <f>IF(W397&lt;=0,0,MAX(0,MIN(W397,ROUND($AZ397-SUMPRODUCT($V397:$AE397*($V397:$AE397&gt;0)*(($V397:$AE397&lt;W397)+($V397:$AE397=W397)*($V$3:$AE$3&gt;W$3)+($V397:$AE397=W397)*($V$3:$AE$3=W$3)*($V$2:$AE$2&lt;W$2))),2))))</f>
      </c>
      <c r="AH397" s="33">
        <f>IF(X397&lt;=0,0,MAX(0,MIN(X397,ROUND($AZ397-SUMPRODUCT($V397:$AE397*($V397:$AE397&gt;0)*(($V397:$AE397&lt;X397)+($V397:$AE397=X397)*($V$3:$AE$3&gt;X$3)+($V397:$AE397=X397)*($V$3:$AE$3=X$3)*($V$2:$AE$2&lt;X$2))),2))))</f>
      </c>
      <c r="AI397" s="33">
        <f>IF(Y397&lt;=0,0,MAX(0,MIN(Y397,ROUND($AZ397-SUMPRODUCT($V397:$AE397*($V397:$AE397&gt;0)*(($V397:$AE397&lt;Y397)+($V397:$AE397=Y397)*($V$3:$AE$3&gt;Y$3)+($V397:$AE397=Y397)*($V$3:$AE$3=Y$3)*($V$2:$AE$2&lt;Y$2))),2))))</f>
      </c>
      <c r="AJ397" s="33">
        <f>IF(Z397&lt;=0,0,MAX(0,MIN(Z397,ROUND($AZ397-SUMPRODUCT($V397:$AE397*($V397:$AE397&gt;0)*(($V397:$AE397&lt;Z397)+($V397:$AE397=Z397)*($V$3:$AE$3&gt;Z$3)+($V397:$AE397=Z397)*($V$3:$AE$3=Z$3)*($V$2:$AE$2&lt;Z$2))),2))))</f>
      </c>
      <c r="AK397" s="33">
        <f>IF(AA397&lt;=0,0,MAX(0,MIN(AA397,ROUND($AZ397-SUMPRODUCT($V397:$AE397*($V397:$AE397&gt;0)*(($V397:$AE397&lt;AA397)+($V397:$AE397=AA397)*($V$3:$AE$3&gt;AA$3)+($V397:$AE397=AA397)*($V$3:$AE$3=AA$3)*($V$2:$AE$2&lt;AA$2))),2))))</f>
      </c>
      <c r="AL397" s="33">
        <f>IF(AB397&lt;=0,0,MAX(0,MIN(AB397,ROUND($AZ397-SUMPRODUCT($V397:$AE397*($V397:$AE397&gt;0)*(($V397:$AE397&lt;AB397)+($V397:$AE397=AB397)*($V$3:$AE$3&gt;AB$3)+($V397:$AE397=AB397)*($V$3:$AE$3=AB$3)*($V$2:$AE$2&lt;AB$2))),2))))</f>
      </c>
      <c r="AM397" s="33">
        <f>IF(AC397&lt;=0,0,MAX(0,MIN(AC397,ROUND($AZ397-SUMPRODUCT($V397:$AE397*($V397:$AE397&gt;0)*(($V397:$AE397&lt;AC397)+($V397:$AE397=AC397)*($V$3:$AE$3&gt;AC$3)+($V397:$AE397=AC397)*($V$3:$AE$3=AC$3)*($V$2:$AE$2&lt;AC$2))),2))))</f>
      </c>
      <c r="AN397" s="33">
        <f>IF(AD397&lt;=0,0,MAX(0,MIN(AD397,ROUND($AZ397-SUMPRODUCT($V397:$AE397*($V397:$AE397&gt;0)*(($V397:$AE397&lt;AD397)+($V397:$AE397=AD397)*($V$3:$AE$3&gt;AD$3)+($V397:$AE397=AD397)*($V$3:$AE$3=AD$3)*($V$2:$AE$2&lt;AD$2))),2))))</f>
      </c>
      <c r="AO397" s="33">
        <f>IF(AE397&lt;=0,0,MAX(0,MIN(AE397,ROUND($AZ397-SUMPRODUCT($V397:$AE397*($V397:$AE397&gt;0)*(($V397:$AE397&lt;AE397)+($V397:$AE397=AE397)*($V$3:$AE$3&gt;AE$3)+($V397:$AE397=AE397)*($V$3:$AE$3=AE$3)*($V$2:$AE$2&lt;AE$2))),2))))</f>
      </c>
      <c r="AP397" s="33">
        <f>ROUND(V397-AF397,2)</f>
      </c>
      <c r="AQ397" s="33">
        <f>ROUND(W397-AG397,2)</f>
      </c>
      <c r="AR397" s="33">
        <f>ROUND(X397-AH397,2)</f>
      </c>
      <c r="AS397" s="33">
        <f>ROUND(Y397-AI397,2)</f>
      </c>
      <c r="AT397" s="33">
        <f>ROUND(Z397-AJ397,2)</f>
      </c>
      <c r="AU397" s="33">
        <f>ROUND(AA397-AK397,2)</f>
      </c>
      <c r="AV397" s="33">
        <f>ROUND(AB397-AL397,2)</f>
      </c>
      <c r="AW397" s="33">
        <f>ROUND(AC397-AM397,2)</f>
      </c>
      <c r="AX397" s="33">
        <f>ROUND(AD397-AN397,2)</f>
      </c>
      <c r="AY397" s="33">
        <f>ROUND(AE397-AO397,2)</f>
      </c>
      <c r="AZ397" s="33">
        <f>ROUND(MAX(0,'Your debts'!$D$22-SUM($L397:$U397)),2)</f>
      </c>
      <c r="BA397" s="33">
        <f>ROUND(SUM($B397:$K397)-SUM($AP396:$AY396),2)</f>
      </c>
      <c r="BB397" s="33">
        <f>SUM($AP397:$AY397)</f>
      </c>
      <c r="BC397" s="33">
        <f>ROUND(SUM($L397:$U397)+SUM($AF397:$AO397),2)</f>
      </c>
    </row>
    <row r="398" spans="1:55" x14ac:dyDescent="0.25">
      <c r="A398">
        <v>391</v>
      </c>
      <c r="B398" s="33">
        <f>IF(AP397&lt;=0,0,ROUND(AP397+ROUND(AP397*V$3/12,2),2))</f>
      </c>
      <c r="C398" s="33">
        <f>IF(AQ397&lt;=0,0,ROUND(AQ397+ROUND(AQ397*W$3/12,2),2))</f>
      </c>
      <c r="D398" s="33">
        <f>IF(AR397&lt;=0,0,ROUND(AR397+ROUND(AR397*X$3/12,2),2))</f>
      </c>
      <c r="E398" s="33">
        <f>IF(AS397&lt;=0,0,ROUND(AS397+ROUND(AS397*Y$3/12,2),2))</f>
      </c>
      <c r="F398" s="33">
        <f>IF(AT397&lt;=0,0,ROUND(AT397+ROUND(AT397*Z$3/12,2),2))</f>
      </c>
      <c r="G398" s="33">
        <f>IF(AU397&lt;=0,0,ROUND(AU397+ROUND(AU397*AA$3/12,2),2))</f>
      </c>
      <c r="H398" s="33">
        <f>IF(AV397&lt;=0,0,ROUND(AV397+ROUND(AV397*AB$3/12,2),2))</f>
      </c>
      <c r="I398" s="33">
        <f>IF(AW397&lt;=0,0,ROUND(AW397+ROUND(AW397*AC$3/12,2),2))</f>
      </c>
      <c r="J398" s="33">
        <f>IF(AX397&lt;=0,0,ROUND(AX397+ROUND(AX397*AD$3/12,2),2))</f>
      </c>
      <c r="K398" s="33">
        <f>IF(AY397&lt;=0,0,ROUND(AY397+ROUND(AY397*AE$3/12,2),2))</f>
      </c>
      <c r="L398" s="33">
        <f>ROUND(MIN(MAX(0,N('Your debts'!$E$6)),B398),2)</f>
      </c>
      <c r="M398" s="33">
        <f>ROUND(MIN(MAX(0,N('Your debts'!$E$7)),C398),2)</f>
      </c>
      <c r="N398" s="33">
        <f>ROUND(MIN(MAX(0,N('Your debts'!$E$8)),D398),2)</f>
      </c>
      <c r="O398" s="33">
        <f>ROUND(MIN(MAX(0,N('Your debts'!$E$9)),E398),2)</f>
      </c>
      <c r="P398" s="33">
        <f>ROUND(MIN(MAX(0,N('Your debts'!$E$10)),F398),2)</f>
      </c>
      <c r="Q398" s="33">
        <f>ROUND(MIN(MAX(0,N('Your debts'!$E$11)),G398),2)</f>
      </c>
      <c r="R398" s="33">
        <f>ROUND(MIN(MAX(0,N('Your debts'!$E$12)),H398),2)</f>
      </c>
      <c r="S398" s="33">
        <f>ROUND(MIN(MAX(0,N('Your debts'!$E$13)),I398),2)</f>
      </c>
      <c r="T398" s="33">
        <f>ROUND(MIN(MAX(0,N('Your debts'!$E$14)),J398),2)</f>
      </c>
      <c r="U398" s="33">
        <f>ROUND(MIN(MAX(0,N('Your debts'!$E$15)),K398),2)</f>
      </c>
      <c r="V398" s="33">
        <f>ROUND(B398-L398,2)</f>
      </c>
      <c r="W398" s="33">
        <f>ROUND(C398-M398,2)</f>
      </c>
      <c r="X398" s="33">
        <f>ROUND(D398-N398,2)</f>
      </c>
      <c r="Y398" s="33">
        <f>ROUND(E398-O398,2)</f>
      </c>
      <c r="Z398" s="33">
        <f>ROUND(F398-P398,2)</f>
      </c>
      <c r="AA398" s="33">
        <f>ROUND(G398-Q398,2)</f>
      </c>
      <c r="AB398" s="33">
        <f>ROUND(H398-R398,2)</f>
      </c>
      <c r="AC398" s="33">
        <f>ROUND(I398-S398,2)</f>
      </c>
      <c r="AD398" s="33">
        <f>ROUND(J398-T398,2)</f>
      </c>
      <c r="AE398" s="33">
        <f>ROUND(K398-U398,2)</f>
      </c>
      <c r="AF398" s="33">
        <f>IF(V398&lt;=0,0,MAX(0,MIN(V398,ROUND($AZ398-SUMPRODUCT($V398:$AE398*($V398:$AE398&gt;0)*(($V398:$AE398&lt;V398)+($V398:$AE398=V398)*($V$3:$AE$3&gt;V$3)+($V398:$AE398=V398)*($V$3:$AE$3=V$3)*($V$2:$AE$2&lt;V$2))),2))))</f>
      </c>
      <c r="AG398" s="33">
        <f>IF(W398&lt;=0,0,MAX(0,MIN(W398,ROUND($AZ398-SUMPRODUCT($V398:$AE398*($V398:$AE398&gt;0)*(($V398:$AE398&lt;W398)+($V398:$AE398=W398)*($V$3:$AE$3&gt;W$3)+($V398:$AE398=W398)*($V$3:$AE$3=W$3)*($V$2:$AE$2&lt;W$2))),2))))</f>
      </c>
      <c r="AH398" s="33">
        <f>IF(X398&lt;=0,0,MAX(0,MIN(X398,ROUND($AZ398-SUMPRODUCT($V398:$AE398*($V398:$AE398&gt;0)*(($V398:$AE398&lt;X398)+($V398:$AE398=X398)*($V$3:$AE$3&gt;X$3)+($V398:$AE398=X398)*($V$3:$AE$3=X$3)*($V$2:$AE$2&lt;X$2))),2))))</f>
      </c>
      <c r="AI398" s="33">
        <f>IF(Y398&lt;=0,0,MAX(0,MIN(Y398,ROUND($AZ398-SUMPRODUCT($V398:$AE398*($V398:$AE398&gt;0)*(($V398:$AE398&lt;Y398)+($V398:$AE398=Y398)*($V$3:$AE$3&gt;Y$3)+($V398:$AE398=Y398)*($V$3:$AE$3=Y$3)*($V$2:$AE$2&lt;Y$2))),2))))</f>
      </c>
      <c r="AJ398" s="33">
        <f>IF(Z398&lt;=0,0,MAX(0,MIN(Z398,ROUND($AZ398-SUMPRODUCT($V398:$AE398*($V398:$AE398&gt;0)*(($V398:$AE398&lt;Z398)+($V398:$AE398=Z398)*($V$3:$AE$3&gt;Z$3)+($V398:$AE398=Z398)*($V$3:$AE$3=Z$3)*($V$2:$AE$2&lt;Z$2))),2))))</f>
      </c>
      <c r="AK398" s="33">
        <f>IF(AA398&lt;=0,0,MAX(0,MIN(AA398,ROUND($AZ398-SUMPRODUCT($V398:$AE398*($V398:$AE398&gt;0)*(($V398:$AE398&lt;AA398)+($V398:$AE398=AA398)*($V$3:$AE$3&gt;AA$3)+($V398:$AE398=AA398)*($V$3:$AE$3=AA$3)*($V$2:$AE$2&lt;AA$2))),2))))</f>
      </c>
      <c r="AL398" s="33">
        <f>IF(AB398&lt;=0,0,MAX(0,MIN(AB398,ROUND($AZ398-SUMPRODUCT($V398:$AE398*($V398:$AE398&gt;0)*(($V398:$AE398&lt;AB398)+($V398:$AE398=AB398)*($V$3:$AE$3&gt;AB$3)+($V398:$AE398=AB398)*($V$3:$AE$3=AB$3)*($V$2:$AE$2&lt;AB$2))),2))))</f>
      </c>
      <c r="AM398" s="33">
        <f>IF(AC398&lt;=0,0,MAX(0,MIN(AC398,ROUND($AZ398-SUMPRODUCT($V398:$AE398*($V398:$AE398&gt;0)*(($V398:$AE398&lt;AC398)+($V398:$AE398=AC398)*($V$3:$AE$3&gt;AC$3)+($V398:$AE398=AC398)*($V$3:$AE$3=AC$3)*($V$2:$AE$2&lt;AC$2))),2))))</f>
      </c>
      <c r="AN398" s="33">
        <f>IF(AD398&lt;=0,0,MAX(0,MIN(AD398,ROUND($AZ398-SUMPRODUCT($V398:$AE398*($V398:$AE398&gt;0)*(($V398:$AE398&lt;AD398)+($V398:$AE398=AD398)*($V$3:$AE$3&gt;AD$3)+($V398:$AE398=AD398)*($V$3:$AE$3=AD$3)*($V$2:$AE$2&lt;AD$2))),2))))</f>
      </c>
      <c r="AO398" s="33">
        <f>IF(AE398&lt;=0,0,MAX(0,MIN(AE398,ROUND($AZ398-SUMPRODUCT($V398:$AE398*($V398:$AE398&gt;0)*(($V398:$AE398&lt;AE398)+($V398:$AE398=AE398)*($V$3:$AE$3&gt;AE$3)+($V398:$AE398=AE398)*($V$3:$AE$3=AE$3)*($V$2:$AE$2&lt;AE$2))),2))))</f>
      </c>
      <c r="AP398" s="33">
        <f>ROUND(V398-AF398,2)</f>
      </c>
      <c r="AQ398" s="33">
        <f>ROUND(W398-AG398,2)</f>
      </c>
      <c r="AR398" s="33">
        <f>ROUND(X398-AH398,2)</f>
      </c>
      <c r="AS398" s="33">
        <f>ROUND(Y398-AI398,2)</f>
      </c>
      <c r="AT398" s="33">
        <f>ROUND(Z398-AJ398,2)</f>
      </c>
      <c r="AU398" s="33">
        <f>ROUND(AA398-AK398,2)</f>
      </c>
      <c r="AV398" s="33">
        <f>ROUND(AB398-AL398,2)</f>
      </c>
      <c r="AW398" s="33">
        <f>ROUND(AC398-AM398,2)</f>
      </c>
      <c r="AX398" s="33">
        <f>ROUND(AD398-AN398,2)</f>
      </c>
      <c r="AY398" s="33">
        <f>ROUND(AE398-AO398,2)</f>
      </c>
      <c r="AZ398" s="33">
        <f>ROUND(MAX(0,'Your debts'!$D$22-SUM($L398:$U398)),2)</f>
      </c>
      <c r="BA398" s="33">
        <f>ROUND(SUM($B398:$K398)-SUM($AP397:$AY397),2)</f>
      </c>
      <c r="BB398" s="33">
        <f>SUM($AP398:$AY398)</f>
      </c>
      <c r="BC398" s="33">
        <f>ROUND(SUM($L398:$U398)+SUM($AF398:$AO398),2)</f>
      </c>
    </row>
    <row r="399" spans="1:55" x14ac:dyDescent="0.25">
      <c r="A399">
        <v>392</v>
      </c>
      <c r="B399" s="33">
        <f>IF(AP398&lt;=0,0,ROUND(AP398+ROUND(AP398*V$3/12,2),2))</f>
      </c>
      <c r="C399" s="33">
        <f>IF(AQ398&lt;=0,0,ROUND(AQ398+ROUND(AQ398*W$3/12,2),2))</f>
      </c>
      <c r="D399" s="33">
        <f>IF(AR398&lt;=0,0,ROUND(AR398+ROUND(AR398*X$3/12,2),2))</f>
      </c>
      <c r="E399" s="33">
        <f>IF(AS398&lt;=0,0,ROUND(AS398+ROUND(AS398*Y$3/12,2),2))</f>
      </c>
      <c r="F399" s="33">
        <f>IF(AT398&lt;=0,0,ROUND(AT398+ROUND(AT398*Z$3/12,2),2))</f>
      </c>
      <c r="G399" s="33">
        <f>IF(AU398&lt;=0,0,ROUND(AU398+ROUND(AU398*AA$3/12,2),2))</f>
      </c>
      <c r="H399" s="33">
        <f>IF(AV398&lt;=0,0,ROUND(AV398+ROUND(AV398*AB$3/12,2),2))</f>
      </c>
      <c r="I399" s="33">
        <f>IF(AW398&lt;=0,0,ROUND(AW398+ROUND(AW398*AC$3/12,2),2))</f>
      </c>
      <c r="J399" s="33">
        <f>IF(AX398&lt;=0,0,ROUND(AX398+ROUND(AX398*AD$3/12,2),2))</f>
      </c>
      <c r="K399" s="33">
        <f>IF(AY398&lt;=0,0,ROUND(AY398+ROUND(AY398*AE$3/12,2),2))</f>
      </c>
      <c r="L399" s="33">
        <f>ROUND(MIN(MAX(0,N('Your debts'!$E$6)),B399),2)</f>
      </c>
      <c r="M399" s="33">
        <f>ROUND(MIN(MAX(0,N('Your debts'!$E$7)),C399),2)</f>
      </c>
      <c r="N399" s="33">
        <f>ROUND(MIN(MAX(0,N('Your debts'!$E$8)),D399),2)</f>
      </c>
      <c r="O399" s="33">
        <f>ROUND(MIN(MAX(0,N('Your debts'!$E$9)),E399),2)</f>
      </c>
      <c r="P399" s="33">
        <f>ROUND(MIN(MAX(0,N('Your debts'!$E$10)),F399),2)</f>
      </c>
      <c r="Q399" s="33">
        <f>ROUND(MIN(MAX(0,N('Your debts'!$E$11)),G399),2)</f>
      </c>
      <c r="R399" s="33">
        <f>ROUND(MIN(MAX(0,N('Your debts'!$E$12)),H399),2)</f>
      </c>
      <c r="S399" s="33">
        <f>ROUND(MIN(MAX(0,N('Your debts'!$E$13)),I399),2)</f>
      </c>
      <c r="T399" s="33">
        <f>ROUND(MIN(MAX(0,N('Your debts'!$E$14)),J399),2)</f>
      </c>
      <c r="U399" s="33">
        <f>ROUND(MIN(MAX(0,N('Your debts'!$E$15)),K399),2)</f>
      </c>
      <c r="V399" s="33">
        <f>ROUND(B399-L399,2)</f>
      </c>
      <c r="W399" s="33">
        <f>ROUND(C399-M399,2)</f>
      </c>
      <c r="X399" s="33">
        <f>ROUND(D399-N399,2)</f>
      </c>
      <c r="Y399" s="33">
        <f>ROUND(E399-O399,2)</f>
      </c>
      <c r="Z399" s="33">
        <f>ROUND(F399-P399,2)</f>
      </c>
      <c r="AA399" s="33">
        <f>ROUND(G399-Q399,2)</f>
      </c>
      <c r="AB399" s="33">
        <f>ROUND(H399-R399,2)</f>
      </c>
      <c r="AC399" s="33">
        <f>ROUND(I399-S399,2)</f>
      </c>
      <c r="AD399" s="33">
        <f>ROUND(J399-T399,2)</f>
      </c>
      <c r="AE399" s="33">
        <f>ROUND(K399-U399,2)</f>
      </c>
      <c r="AF399" s="33">
        <f>IF(V399&lt;=0,0,MAX(0,MIN(V399,ROUND($AZ399-SUMPRODUCT($V399:$AE399*($V399:$AE399&gt;0)*(($V399:$AE399&lt;V399)+($V399:$AE399=V399)*($V$3:$AE$3&gt;V$3)+($V399:$AE399=V399)*($V$3:$AE$3=V$3)*($V$2:$AE$2&lt;V$2))),2))))</f>
      </c>
      <c r="AG399" s="33">
        <f>IF(W399&lt;=0,0,MAX(0,MIN(W399,ROUND($AZ399-SUMPRODUCT($V399:$AE399*($V399:$AE399&gt;0)*(($V399:$AE399&lt;W399)+($V399:$AE399=W399)*($V$3:$AE$3&gt;W$3)+($V399:$AE399=W399)*($V$3:$AE$3=W$3)*($V$2:$AE$2&lt;W$2))),2))))</f>
      </c>
      <c r="AH399" s="33">
        <f>IF(X399&lt;=0,0,MAX(0,MIN(X399,ROUND($AZ399-SUMPRODUCT($V399:$AE399*($V399:$AE399&gt;0)*(($V399:$AE399&lt;X399)+($V399:$AE399=X399)*($V$3:$AE$3&gt;X$3)+($V399:$AE399=X399)*($V$3:$AE$3=X$3)*($V$2:$AE$2&lt;X$2))),2))))</f>
      </c>
      <c r="AI399" s="33">
        <f>IF(Y399&lt;=0,0,MAX(0,MIN(Y399,ROUND($AZ399-SUMPRODUCT($V399:$AE399*($V399:$AE399&gt;0)*(($V399:$AE399&lt;Y399)+($V399:$AE399=Y399)*($V$3:$AE$3&gt;Y$3)+($V399:$AE399=Y399)*($V$3:$AE$3=Y$3)*($V$2:$AE$2&lt;Y$2))),2))))</f>
      </c>
      <c r="AJ399" s="33">
        <f>IF(Z399&lt;=0,0,MAX(0,MIN(Z399,ROUND($AZ399-SUMPRODUCT($V399:$AE399*($V399:$AE399&gt;0)*(($V399:$AE399&lt;Z399)+($V399:$AE399=Z399)*($V$3:$AE$3&gt;Z$3)+($V399:$AE399=Z399)*($V$3:$AE$3=Z$3)*($V$2:$AE$2&lt;Z$2))),2))))</f>
      </c>
      <c r="AK399" s="33">
        <f>IF(AA399&lt;=0,0,MAX(0,MIN(AA399,ROUND($AZ399-SUMPRODUCT($V399:$AE399*($V399:$AE399&gt;0)*(($V399:$AE399&lt;AA399)+($V399:$AE399=AA399)*($V$3:$AE$3&gt;AA$3)+($V399:$AE399=AA399)*($V$3:$AE$3=AA$3)*($V$2:$AE$2&lt;AA$2))),2))))</f>
      </c>
      <c r="AL399" s="33">
        <f>IF(AB399&lt;=0,0,MAX(0,MIN(AB399,ROUND($AZ399-SUMPRODUCT($V399:$AE399*($V399:$AE399&gt;0)*(($V399:$AE399&lt;AB399)+($V399:$AE399=AB399)*($V$3:$AE$3&gt;AB$3)+($V399:$AE399=AB399)*($V$3:$AE$3=AB$3)*($V$2:$AE$2&lt;AB$2))),2))))</f>
      </c>
      <c r="AM399" s="33">
        <f>IF(AC399&lt;=0,0,MAX(0,MIN(AC399,ROUND($AZ399-SUMPRODUCT($V399:$AE399*($V399:$AE399&gt;0)*(($V399:$AE399&lt;AC399)+($V399:$AE399=AC399)*($V$3:$AE$3&gt;AC$3)+($V399:$AE399=AC399)*($V$3:$AE$3=AC$3)*($V$2:$AE$2&lt;AC$2))),2))))</f>
      </c>
      <c r="AN399" s="33">
        <f>IF(AD399&lt;=0,0,MAX(0,MIN(AD399,ROUND($AZ399-SUMPRODUCT($V399:$AE399*($V399:$AE399&gt;0)*(($V399:$AE399&lt;AD399)+($V399:$AE399=AD399)*($V$3:$AE$3&gt;AD$3)+($V399:$AE399=AD399)*($V$3:$AE$3=AD$3)*($V$2:$AE$2&lt;AD$2))),2))))</f>
      </c>
      <c r="AO399" s="33">
        <f>IF(AE399&lt;=0,0,MAX(0,MIN(AE399,ROUND($AZ399-SUMPRODUCT($V399:$AE399*($V399:$AE399&gt;0)*(($V399:$AE399&lt;AE399)+($V399:$AE399=AE399)*($V$3:$AE$3&gt;AE$3)+($V399:$AE399=AE399)*($V$3:$AE$3=AE$3)*($V$2:$AE$2&lt;AE$2))),2))))</f>
      </c>
      <c r="AP399" s="33">
        <f>ROUND(V399-AF399,2)</f>
      </c>
      <c r="AQ399" s="33">
        <f>ROUND(W399-AG399,2)</f>
      </c>
      <c r="AR399" s="33">
        <f>ROUND(X399-AH399,2)</f>
      </c>
      <c r="AS399" s="33">
        <f>ROUND(Y399-AI399,2)</f>
      </c>
      <c r="AT399" s="33">
        <f>ROUND(Z399-AJ399,2)</f>
      </c>
      <c r="AU399" s="33">
        <f>ROUND(AA399-AK399,2)</f>
      </c>
      <c r="AV399" s="33">
        <f>ROUND(AB399-AL399,2)</f>
      </c>
      <c r="AW399" s="33">
        <f>ROUND(AC399-AM399,2)</f>
      </c>
      <c r="AX399" s="33">
        <f>ROUND(AD399-AN399,2)</f>
      </c>
      <c r="AY399" s="33">
        <f>ROUND(AE399-AO399,2)</f>
      </c>
      <c r="AZ399" s="33">
        <f>ROUND(MAX(0,'Your debts'!$D$22-SUM($L399:$U399)),2)</f>
      </c>
      <c r="BA399" s="33">
        <f>ROUND(SUM($B399:$K399)-SUM($AP398:$AY398),2)</f>
      </c>
      <c r="BB399" s="33">
        <f>SUM($AP399:$AY399)</f>
      </c>
      <c r="BC399" s="33">
        <f>ROUND(SUM($L399:$U399)+SUM($AF399:$AO399),2)</f>
      </c>
    </row>
    <row r="400" spans="1:55" x14ac:dyDescent="0.25">
      <c r="A400">
        <v>393</v>
      </c>
      <c r="B400" s="33">
        <f>IF(AP399&lt;=0,0,ROUND(AP399+ROUND(AP399*V$3/12,2),2))</f>
      </c>
      <c r="C400" s="33">
        <f>IF(AQ399&lt;=0,0,ROUND(AQ399+ROUND(AQ399*W$3/12,2),2))</f>
      </c>
      <c r="D400" s="33">
        <f>IF(AR399&lt;=0,0,ROUND(AR399+ROUND(AR399*X$3/12,2),2))</f>
      </c>
      <c r="E400" s="33">
        <f>IF(AS399&lt;=0,0,ROUND(AS399+ROUND(AS399*Y$3/12,2),2))</f>
      </c>
      <c r="F400" s="33">
        <f>IF(AT399&lt;=0,0,ROUND(AT399+ROUND(AT399*Z$3/12,2),2))</f>
      </c>
      <c r="G400" s="33">
        <f>IF(AU399&lt;=0,0,ROUND(AU399+ROUND(AU399*AA$3/12,2),2))</f>
      </c>
      <c r="H400" s="33">
        <f>IF(AV399&lt;=0,0,ROUND(AV399+ROUND(AV399*AB$3/12,2),2))</f>
      </c>
      <c r="I400" s="33">
        <f>IF(AW399&lt;=0,0,ROUND(AW399+ROUND(AW399*AC$3/12,2),2))</f>
      </c>
      <c r="J400" s="33">
        <f>IF(AX399&lt;=0,0,ROUND(AX399+ROUND(AX399*AD$3/12,2),2))</f>
      </c>
      <c r="K400" s="33">
        <f>IF(AY399&lt;=0,0,ROUND(AY399+ROUND(AY399*AE$3/12,2),2))</f>
      </c>
      <c r="L400" s="33">
        <f>ROUND(MIN(MAX(0,N('Your debts'!$E$6)),B400),2)</f>
      </c>
      <c r="M400" s="33">
        <f>ROUND(MIN(MAX(0,N('Your debts'!$E$7)),C400),2)</f>
      </c>
      <c r="N400" s="33">
        <f>ROUND(MIN(MAX(0,N('Your debts'!$E$8)),D400),2)</f>
      </c>
      <c r="O400" s="33">
        <f>ROUND(MIN(MAX(0,N('Your debts'!$E$9)),E400),2)</f>
      </c>
      <c r="P400" s="33">
        <f>ROUND(MIN(MAX(0,N('Your debts'!$E$10)),F400),2)</f>
      </c>
      <c r="Q400" s="33">
        <f>ROUND(MIN(MAX(0,N('Your debts'!$E$11)),G400),2)</f>
      </c>
      <c r="R400" s="33">
        <f>ROUND(MIN(MAX(0,N('Your debts'!$E$12)),H400),2)</f>
      </c>
      <c r="S400" s="33">
        <f>ROUND(MIN(MAX(0,N('Your debts'!$E$13)),I400),2)</f>
      </c>
      <c r="T400" s="33">
        <f>ROUND(MIN(MAX(0,N('Your debts'!$E$14)),J400),2)</f>
      </c>
      <c r="U400" s="33">
        <f>ROUND(MIN(MAX(0,N('Your debts'!$E$15)),K400),2)</f>
      </c>
      <c r="V400" s="33">
        <f>ROUND(B400-L400,2)</f>
      </c>
      <c r="W400" s="33">
        <f>ROUND(C400-M400,2)</f>
      </c>
      <c r="X400" s="33">
        <f>ROUND(D400-N400,2)</f>
      </c>
      <c r="Y400" s="33">
        <f>ROUND(E400-O400,2)</f>
      </c>
      <c r="Z400" s="33">
        <f>ROUND(F400-P400,2)</f>
      </c>
      <c r="AA400" s="33">
        <f>ROUND(G400-Q400,2)</f>
      </c>
      <c r="AB400" s="33">
        <f>ROUND(H400-R400,2)</f>
      </c>
      <c r="AC400" s="33">
        <f>ROUND(I400-S400,2)</f>
      </c>
      <c r="AD400" s="33">
        <f>ROUND(J400-T400,2)</f>
      </c>
      <c r="AE400" s="33">
        <f>ROUND(K400-U400,2)</f>
      </c>
      <c r="AF400" s="33">
        <f>IF(V400&lt;=0,0,MAX(0,MIN(V400,ROUND($AZ400-SUMPRODUCT($V400:$AE400*($V400:$AE400&gt;0)*(($V400:$AE400&lt;V400)+($V400:$AE400=V400)*($V$3:$AE$3&gt;V$3)+($V400:$AE400=V400)*($V$3:$AE$3=V$3)*($V$2:$AE$2&lt;V$2))),2))))</f>
      </c>
      <c r="AG400" s="33">
        <f>IF(W400&lt;=0,0,MAX(0,MIN(W400,ROUND($AZ400-SUMPRODUCT($V400:$AE400*($V400:$AE400&gt;0)*(($V400:$AE400&lt;W400)+($V400:$AE400=W400)*($V$3:$AE$3&gt;W$3)+($V400:$AE400=W400)*($V$3:$AE$3=W$3)*($V$2:$AE$2&lt;W$2))),2))))</f>
      </c>
      <c r="AH400" s="33">
        <f>IF(X400&lt;=0,0,MAX(0,MIN(X400,ROUND($AZ400-SUMPRODUCT($V400:$AE400*($V400:$AE400&gt;0)*(($V400:$AE400&lt;X400)+($V400:$AE400=X400)*($V$3:$AE$3&gt;X$3)+($V400:$AE400=X400)*($V$3:$AE$3=X$3)*($V$2:$AE$2&lt;X$2))),2))))</f>
      </c>
      <c r="AI400" s="33">
        <f>IF(Y400&lt;=0,0,MAX(0,MIN(Y400,ROUND($AZ400-SUMPRODUCT($V400:$AE400*($V400:$AE400&gt;0)*(($V400:$AE400&lt;Y400)+($V400:$AE400=Y400)*($V$3:$AE$3&gt;Y$3)+($V400:$AE400=Y400)*($V$3:$AE$3=Y$3)*($V$2:$AE$2&lt;Y$2))),2))))</f>
      </c>
      <c r="AJ400" s="33">
        <f>IF(Z400&lt;=0,0,MAX(0,MIN(Z400,ROUND($AZ400-SUMPRODUCT($V400:$AE400*($V400:$AE400&gt;0)*(($V400:$AE400&lt;Z400)+($V400:$AE400=Z400)*($V$3:$AE$3&gt;Z$3)+($V400:$AE400=Z400)*($V$3:$AE$3=Z$3)*($V$2:$AE$2&lt;Z$2))),2))))</f>
      </c>
      <c r="AK400" s="33">
        <f>IF(AA400&lt;=0,0,MAX(0,MIN(AA400,ROUND($AZ400-SUMPRODUCT($V400:$AE400*($V400:$AE400&gt;0)*(($V400:$AE400&lt;AA400)+($V400:$AE400=AA400)*($V$3:$AE$3&gt;AA$3)+($V400:$AE400=AA400)*($V$3:$AE$3=AA$3)*($V$2:$AE$2&lt;AA$2))),2))))</f>
      </c>
      <c r="AL400" s="33">
        <f>IF(AB400&lt;=0,0,MAX(0,MIN(AB400,ROUND($AZ400-SUMPRODUCT($V400:$AE400*($V400:$AE400&gt;0)*(($V400:$AE400&lt;AB400)+($V400:$AE400=AB400)*($V$3:$AE$3&gt;AB$3)+($V400:$AE400=AB400)*($V$3:$AE$3=AB$3)*($V$2:$AE$2&lt;AB$2))),2))))</f>
      </c>
      <c r="AM400" s="33">
        <f>IF(AC400&lt;=0,0,MAX(0,MIN(AC400,ROUND($AZ400-SUMPRODUCT($V400:$AE400*($V400:$AE400&gt;0)*(($V400:$AE400&lt;AC400)+($V400:$AE400=AC400)*($V$3:$AE$3&gt;AC$3)+($V400:$AE400=AC400)*($V$3:$AE$3=AC$3)*($V$2:$AE$2&lt;AC$2))),2))))</f>
      </c>
      <c r="AN400" s="33">
        <f>IF(AD400&lt;=0,0,MAX(0,MIN(AD400,ROUND($AZ400-SUMPRODUCT($V400:$AE400*($V400:$AE400&gt;0)*(($V400:$AE400&lt;AD400)+($V400:$AE400=AD400)*($V$3:$AE$3&gt;AD$3)+($V400:$AE400=AD400)*($V$3:$AE$3=AD$3)*($V$2:$AE$2&lt;AD$2))),2))))</f>
      </c>
      <c r="AO400" s="33">
        <f>IF(AE400&lt;=0,0,MAX(0,MIN(AE400,ROUND($AZ400-SUMPRODUCT($V400:$AE400*($V400:$AE400&gt;0)*(($V400:$AE400&lt;AE400)+($V400:$AE400=AE400)*($V$3:$AE$3&gt;AE$3)+($V400:$AE400=AE400)*($V$3:$AE$3=AE$3)*($V$2:$AE$2&lt;AE$2))),2))))</f>
      </c>
      <c r="AP400" s="33">
        <f>ROUND(V400-AF400,2)</f>
      </c>
      <c r="AQ400" s="33">
        <f>ROUND(W400-AG400,2)</f>
      </c>
      <c r="AR400" s="33">
        <f>ROUND(X400-AH400,2)</f>
      </c>
      <c r="AS400" s="33">
        <f>ROUND(Y400-AI400,2)</f>
      </c>
      <c r="AT400" s="33">
        <f>ROUND(Z400-AJ400,2)</f>
      </c>
      <c r="AU400" s="33">
        <f>ROUND(AA400-AK400,2)</f>
      </c>
      <c r="AV400" s="33">
        <f>ROUND(AB400-AL400,2)</f>
      </c>
      <c r="AW400" s="33">
        <f>ROUND(AC400-AM400,2)</f>
      </c>
      <c r="AX400" s="33">
        <f>ROUND(AD400-AN400,2)</f>
      </c>
      <c r="AY400" s="33">
        <f>ROUND(AE400-AO400,2)</f>
      </c>
      <c r="AZ400" s="33">
        <f>ROUND(MAX(0,'Your debts'!$D$22-SUM($L400:$U400)),2)</f>
      </c>
      <c r="BA400" s="33">
        <f>ROUND(SUM($B400:$K400)-SUM($AP399:$AY399),2)</f>
      </c>
      <c r="BB400" s="33">
        <f>SUM($AP400:$AY400)</f>
      </c>
      <c r="BC400" s="33">
        <f>ROUND(SUM($L400:$U400)+SUM($AF400:$AO400),2)</f>
      </c>
    </row>
    <row r="401" spans="1:55" x14ac:dyDescent="0.25">
      <c r="A401">
        <v>394</v>
      </c>
      <c r="B401" s="33">
        <f>IF(AP400&lt;=0,0,ROUND(AP400+ROUND(AP400*V$3/12,2),2))</f>
      </c>
      <c r="C401" s="33">
        <f>IF(AQ400&lt;=0,0,ROUND(AQ400+ROUND(AQ400*W$3/12,2),2))</f>
      </c>
      <c r="D401" s="33">
        <f>IF(AR400&lt;=0,0,ROUND(AR400+ROUND(AR400*X$3/12,2),2))</f>
      </c>
      <c r="E401" s="33">
        <f>IF(AS400&lt;=0,0,ROUND(AS400+ROUND(AS400*Y$3/12,2),2))</f>
      </c>
      <c r="F401" s="33">
        <f>IF(AT400&lt;=0,0,ROUND(AT400+ROUND(AT400*Z$3/12,2),2))</f>
      </c>
      <c r="G401" s="33">
        <f>IF(AU400&lt;=0,0,ROUND(AU400+ROUND(AU400*AA$3/12,2),2))</f>
      </c>
      <c r="H401" s="33">
        <f>IF(AV400&lt;=0,0,ROUND(AV400+ROUND(AV400*AB$3/12,2),2))</f>
      </c>
      <c r="I401" s="33">
        <f>IF(AW400&lt;=0,0,ROUND(AW400+ROUND(AW400*AC$3/12,2),2))</f>
      </c>
      <c r="J401" s="33">
        <f>IF(AX400&lt;=0,0,ROUND(AX400+ROUND(AX400*AD$3/12,2),2))</f>
      </c>
      <c r="K401" s="33">
        <f>IF(AY400&lt;=0,0,ROUND(AY400+ROUND(AY400*AE$3/12,2),2))</f>
      </c>
      <c r="L401" s="33">
        <f>ROUND(MIN(MAX(0,N('Your debts'!$E$6)),B401),2)</f>
      </c>
      <c r="M401" s="33">
        <f>ROUND(MIN(MAX(0,N('Your debts'!$E$7)),C401),2)</f>
      </c>
      <c r="N401" s="33">
        <f>ROUND(MIN(MAX(0,N('Your debts'!$E$8)),D401),2)</f>
      </c>
      <c r="O401" s="33">
        <f>ROUND(MIN(MAX(0,N('Your debts'!$E$9)),E401),2)</f>
      </c>
      <c r="P401" s="33">
        <f>ROUND(MIN(MAX(0,N('Your debts'!$E$10)),F401),2)</f>
      </c>
      <c r="Q401" s="33">
        <f>ROUND(MIN(MAX(0,N('Your debts'!$E$11)),G401),2)</f>
      </c>
      <c r="R401" s="33">
        <f>ROUND(MIN(MAX(0,N('Your debts'!$E$12)),H401),2)</f>
      </c>
      <c r="S401" s="33">
        <f>ROUND(MIN(MAX(0,N('Your debts'!$E$13)),I401),2)</f>
      </c>
      <c r="T401" s="33">
        <f>ROUND(MIN(MAX(0,N('Your debts'!$E$14)),J401),2)</f>
      </c>
      <c r="U401" s="33">
        <f>ROUND(MIN(MAX(0,N('Your debts'!$E$15)),K401),2)</f>
      </c>
      <c r="V401" s="33">
        <f>ROUND(B401-L401,2)</f>
      </c>
      <c r="W401" s="33">
        <f>ROUND(C401-M401,2)</f>
      </c>
      <c r="X401" s="33">
        <f>ROUND(D401-N401,2)</f>
      </c>
      <c r="Y401" s="33">
        <f>ROUND(E401-O401,2)</f>
      </c>
      <c r="Z401" s="33">
        <f>ROUND(F401-P401,2)</f>
      </c>
      <c r="AA401" s="33">
        <f>ROUND(G401-Q401,2)</f>
      </c>
      <c r="AB401" s="33">
        <f>ROUND(H401-R401,2)</f>
      </c>
      <c r="AC401" s="33">
        <f>ROUND(I401-S401,2)</f>
      </c>
      <c r="AD401" s="33">
        <f>ROUND(J401-T401,2)</f>
      </c>
      <c r="AE401" s="33">
        <f>ROUND(K401-U401,2)</f>
      </c>
      <c r="AF401" s="33">
        <f>IF(V401&lt;=0,0,MAX(0,MIN(V401,ROUND($AZ401-SUMPRODUCT($V401:$AE401*($V401:$AE401&gt;0)*(($V401:$AE401&lt;V401)+($V401:$AE401=V401)*($V$3:$AE$3&gt;V$3)+($V401:$AE401=V401)*($V$3:$AE$3=V$3)*($V$2:$AE$2&lt;V$2))),2))))</f>
      </c>
      <c r="AG401" s="33">
        <f>IF(W401&lt;=0,0,MAX(0,MIN(W401,ROUND($AZ401-SUMPRODUCT($V401:$AE401*($V401:$AE401&gt;0)*(($V401:$AE401&lt;W401)+($V401:$AE401=W401)*($V$3:$AE$3&gt;W$3)+($V401:$AE401=W401)*($V$3:$AE$3=W$3)*($V$2:$AE$2&lt;W$2))),2))))</f>
      </c>
      <c r="AH401" s="33">
        <f>IF(X401&lt;=0,0,MAX(0,MIN(X401,ROUND($AZ401-SUMPRODUCT($V401:$AE401*($V401:$AE401&gt;0)*(($V401:$AE401&lt;X401)+($V401:$AE401=X401)*($V$3:$AE$3&gt;X$3)+($V401:$AE401=X401)*($V$3:$AE$3=X$3)*($V$2:$AE$2&lt;X$2))),2))))</f>
      </c>
      <c r="AI401" s="33">
        <f>IF(Y401&lt;=0,0,MAX(0,MIN(Y401,ROUND($AZ401-SUMPRODUCT($V401:$AE401*($V401:$AE401&gt;0)*(($V401:$AE401&lt;Y401)+($V401:$AE401=Y401)*($V$3:$AE$3&gt;Y$3)+($V401:$AE401=Y401)*($V$3:$AE$3=Y$3)*($V$2:$AE$2&lt;Y$2))),2))))</f>
      </c>
      <c r="AJ401" s="33">
        <f>IF(Z401&lt;=0,0,MAX(0,MIN(Z401,ROUND($AZ401-SUMPRODUCT($V401:$AE401*($V401:$AE401&gt;0)*(($V401:$AE401&lt;Z401)+($V401:$AE401=Z401)*($V$3:$AE$3&gt;Z$3)+($V401:$AE401=Z401)*($V$3:$AE$3=Z$3)*($V$2:$AE$2&lt;Z$2))),2))))</f>
      </c>
      <c r="AK401" s="33">
        <f>IF(AA401&lt;=0,0,MAX(0,MIN(AA401,ROUND($AZ401-SUMPRODUCT($V401:$AE401*($V401:$AE401&gt;0)*(($V401:$AE401&lt;AA401)+($V401:$AE401=AA401)*($V$3:$AE$3&gt;AA$3)+($V401:$AE401=AA401)*($V$3:$AE$3=AA$3)*($V$2:$AE$2&lt;AA$2))),2))))</f>
      </c>
      <c r="AL401" s="33">
        <f>IF(AB401&lt;=0,0,MAX(0,MIN(AB401,ROUND($AZ401-SUMPRODUCT($V401:$AE401*($V401:$AE401&gt;0)*(($V401:$AE401&lt;AB401)+($V401:$AE401=AB401)*($V$3:$AE$3&gt;AB$3)+($V401:$AE401=AB401)*($V$3:$AE$3=AB$3)*($V$2:$AE$2&lt;AB$2))),2))))</f>
      </c>
      <c r="AM401" s="33">
        <f>IF(AC401&lt;=0,0,MAX(0,MIN(AC401,ROUND($AZ401-SUMPRODUCT($V401:$AE401*($V401:$AE401&gt;0)*(($V401:$AE401&lt;AC401)+($V401:$AE401=AC401)*($V$3:$AE$3&gt;AC$3)+($V401:$AE401=AC401)*($V$3:$AE$3=AC$3)*($V$2:$AE$2&lt;AC$2))),2))))</f>
      </c>
      <c r="AN401" s="33">
        <f>IF(AD401&lt;=0,0,MAX(0,MIN(AD401,ROUND($AZ401-SUMPRODUCT($V401:$AE401*($V401:$AE401&gt;0)*(($V401:$AE401&lt;AD401)+($V401:$AE401=AD401)*($V$3:$AE$3&gt;AD$3)+($V401:$AE401=AD401)*($V$3:$AE$3=AD$3)*($V$2:$AE$2&lt;AD$2))),2))))</f>
      </c>
      <c r="AO401" s="33">
        <f>IF(AE401&lt;=0,0,MAX(0,MIN(AE401,ROUND($AZ401-SUMPRODUCT($V401:$AE401*($V401:$AE401&gt;0)*(($V401:$AE401&lt;AE401)+($V401:$AE401=AE401)*($V$3:$AE$3&gt;AE$3)+($V401:$AE401=AE401)*($V$3:$AE$3=AE$3)*($V$2:$AE$2&lt;AE$2))),2))))</f>
      </c>
      <c r="AP401" s="33">
        <f>ROUND(V401-AF401,2)</f>
      </c>
      <c r="AQ401" s="33">
        <f>ROUND(W401-AG401,2)</f>
      </c>
      <c r="AR401" s="33">
        <f>ROUND(X401-AH401,2)</f>
      </c>
      <c r="AS401" s="33">
        <f>ROUND(Y401-AI401,2)</f>
      </c>
      <c r="AT401" s="33">
        <f>ROUND(Z401-AJ401,2)</f>
      </c>
      <c r="AU401" s="33">
        <f>ROUND(AA401-AK401,2)</f>
      </c>
      <c r="AV401" s="33">
        <f>ROUND(AB401-AL401,2)</f>
      </c>
      <c r="AW401" s="33">
        <f>ROUND(AC401-AM401,2)</f>
      </c>
      <c r="AX401" s="33">
        <f>ROUND(AD401-AN401,2)</f>
      </c>
      <c r="AY401" s="33">
        <f>ROUND(AE401-AO401,2)</f>
      </c>
      <c r="AZ401" s="33">
        <f>ROUND(MAX(0,'Your debts'!$D$22-SUM($L401:$U401)),2)</f>
      </c>
      <c r="BA401" s="33">
        <f>ROUND(SUM($B401:$K401)-SUM($AP400:$AY400),2)</f>
      </c>
      <c r="BB401" s="33">
        <f>SUM($AP401:$AY401)</f>
      </c>
      <c r="BC401" s="33">
        <f>ROUND(SUM($L401:$U401)+SUM($AF401:$AO401),2)</f>
      </c>
    </row>
    <row r="402" spans="1:55" x14ac:dyDescent="0.25">
      <c r="A402">
        <v>395</v>
      </c>
      <c r="B402" s="33">
        <f>IF(AP401&lt;=0,0,ROUND(AP401+ROUND(AP401*V$3/12,2),2))</f>
      </c>
      <c r="C402" s="33">
        <f>IF(AQ401&lt;=0,0,ROUND(AQ401+ROUND(AQ401*W$3/12,2),2))</f>
      </c>
      <c r="D402" s="33">
        <f>IF(AR401&lt;=0,0,ROUND(AR401+ROUND(AR401*X$3/12,2),2))</f>
      </c>
      <c r="E402" s="33">
        <f>IF(AS401&lt;=0,0,ROUND(AS401+ROUND(AS401*Y$3/12,2),2))</f>
      </c>
      <c r="F402" s="33">
        <f>IF(AT401&lt;=0,0,ROUND(AT401+ROUND(AT401*Z$3/12,2),2))</f>
      </c>
      <c r="G402" s="33">
        <f>IF(AU401&lt;=0,0,ROUND(AU401+ROUND(AU401*AA$3/12,2),2))</f>
      </c>
      <c r="H402" s="33">
        <f>IF(AV401&lt;=0,0,ROUND(AV401+ROUND(AV401*AB$3/12,2),2))</f>
      </c>
      <c r="I402" s="33">
        <f>IF(AW401&lt;=0,0,ROUND(AW401+ROUND(AW401*AC$3/12,2),2))</f>
      </c>
      <c r="J402" s="33">
        <f>IF(AX401&lt;=0,0,ROUND(AX401+ROUND(AX401*AD$3/12,2),2))</f>
      </c>
      <c r="K402" s="33">
        <f>IF(AY401&lt;=0,0,ROUND(AY401+ROUND(AY401*AE$3/12,2),2))</f>
      </c>
      <c r="L402" s="33">
        <f>ROUND(MIN(MAX(0,N('Your debts'!$E$6)),B402),2)</f>
      </c>
      <c r="M402" s="33">
        <f>ROUND(MIN(MAX(0,N('Your debts'!$E$7)),C402),2)</f>
      </c>
      <c r="N402" s="33">
        <f>ROUND(MIN(MAX(0,N('Your debts'!$E$8)),D402),2)</f>
      </c>
      <c r="O402" s="33">
        <f>ROUND(MIN(MAX(0,N('Your debts'!$E$9)),E402),2)</f>
      </c>
      <c r="P402" s="33">
        <f>ROUND(MIN(MAX(0,N('Your debts'!$E$10)),F402),2)</f>
      </c>
      <c r="Q402" s="33">
        <f>ROUND(MIN(MAX(0,N('Your debts'!$E$11)),G402),2)</f>
      </c>
      <c r="R402" s="33">
        <f>ROUND(MIN(MAX(0,N('Your debts'!$E$12)),H402),2)</f>
      </c>
      <c r="S402" s="33">
        <f>ROUND(MIN(MAX(0,N('Your debts'!$E$13)),I402),2)</f>
      </c>
      <c r="T402" s="33">
        <f>ROUND(MIN(MAX(0,N('Your debts'!$E$14)),J402),2)</f>
      </c>
      <c r="U402" s="33">
        <f>ROUND(MIN(MAX(0,N('Your debts'!$E$15)),K402),2)</f>
      </c>
      <c r="V402" s="33">
        <f>ROUND(B402-L402,2)</f>
      </c>
      <c r="W402" s="33">
        <f>ROUND(C402-M402,2)</f>
      </c>
      <c r="X402" s="33">
        <f>ROUND(D402-N402,2)</f>
      </c>
      <c r="Y402" s="33">
        <f>ROUND(E402-O402,2)</f>
      </c>
      <c r="Z402" s="33">
        <f>ROUND(F402-P402,2)</f>
      </c>
      <c r="AA402" s="33">
        <f>ROUND(G402-Q402,2)</f>
      </c>
      <c r="AB402" s="33">
        <f>ROUND(H402-R402,2)</f>
      </c>
      <c r="AC402" s="33">
        <f>ROUND(I402-S402,2)</f>
      </c>
      <c r="AD402" s="33">
        <f>ROUND(J402-T402,2)</f>
      </c>
      <c r="AE402" s="33">
        <f>ROUND(K402-U402,2)</f>
      </c>
      <c r="AF402" s="33">
        <f>IF(V402&lt;=0,0,MAX(0,MIN(V402,ROUND($AZ402-SUMPRODUCT($V402:$AE402*($V402:$AE402&gt;0)*(($V402:$AE402&lt;V402)+($V402:$AE402=V402)*($V$3:$AE$3&gt;V$3)+($V402:$AE402=V402)*($V$3:$AE$3=V$3)*($V$2:$AE$2&lt;V$2))),2))))</f>
      </c>
      <c r="AG402" s="33">
        <f>IF(W402&lt;=0,0,MAX(0,MIN(W402,ROUND($AZ402-SUMPRODUCT($V402:$AE402*($V402:$AE402&gt;0)*(($V402:$AE402&lt;W402)+($V402:$AE402=W402)*($V$3:$AE$3&gt;W$3)+($V402:$AE402=W402)*($V$3:$AE$3=W$3)*($V$2:$AE$2&lt;W$2))),2))))</f>
      </c>
      <c r="AH402" s="33">
        <f>IF(X402&lt;=0,0,MAX(0,MIN(X402,ROUND($AZ402-SUMPRODUCT($V402:$AE402*($V402:$AE402&gt;0)*(($V402:$AE402&lt;X402)+($V402:$AE402=X402)*($V$3:$AE$3&gt;X$3)+($V402:$AE402=X402)*($V$3:$AE$3=X$3)*($V$2:$AE$2&lt;X$2))),2))))</f>
      </c>
      <c r="AI402" s="33">
        <f>IF(Y402&lt;=0,0,MAX(0,MIN(Y402,ROUND($AZ402-SUMPRODUCT($V402:$AE402*($V402:$AE402&gt;0)*(($V402:$AE402&lt;Y402)+($V402:$AE402=Y402)*($V$3:$AE$3&gt;Y$3)+($V402:$AE402=Y402)*($V$3:$AE$3=Y$3)*($V$2:$AE$2&lt;Y$2))),2))))</f>
      </c>
      <c r="AJ402" s="33">
        <f>IF(Z402&lt;=0,0,MAX(0,MIN(Z402,ROUND($AZ402-SUMPRODUCT($V402:$AE402*($V402:$AE402&gt;0)*(($V402:$AE402&lt;Z402)+($V402:$AE402=Z402)*($V$3:$AE$3&gt;Z$3)+($V402:$AE402=Z402)*($V$3:$AE$3=Z$3)*($V$2:$AE$2&lt;Z$2))),2))))</f>
      </c>
      <c r="AK402" s="33">
        <f>IF(AA402&lt;=0,0,MAX(0,MIN(AA402,ROUND($AZ402-SUMPRODUCT($V402:$AE402*($V402:$AE402&gt;0)*(($V402:$AE402&lt;AA402)+($V402:$AE402=AA402)*($V$3:$AE$3&gt;AA$3)+($V402:$AE402=AA402)*($V$3:$AE$3=AA$3)*($V$2:$AE$2&lt;AA$2))),2))))</f>
      </c>
      <c r="AL402" s="33">
        <f>IF(AB402&lt;=0,0,MAX(0,MIN(AB402,ROUND($AZ402-SUMPRODUCT($V402:$AE402*($V402:$AE402&gt;0)*(($V402:$AE402&lt;AB402)+($V402:$AE402=AB402)*($V$3:$AE$3&gt;AB$3)+($V402:$AE402=AB402)*($V$3:$AE$3=AB$3)*($V$2:$AE$2&lt;AB$2))),2))))</f>
      </c>
      <c r="AM402" s="33">
        <f>IF(AC402&lt;=0,0,MAX(0,MIN(AC402,ROUND($AZ402-SUMPRODUCT($V402:$AE402*($V402:$AE402&gt;0)*(($V402:$AE402&lt;AC402)+($V402:$AE402=AC402)*($V$3:$AE$3&gt;AC$3)+($V402:$AE402=AC402)*($V$3:$AE$3=AC$3)*($V$2:$AE$2&lt;AC$2))),2))))</f>
      </c>
      <c r="AN402" s="33">
        <f>IF(AD402&lt;=0,0,MAX(0,MIN(AD402,ROUND($AZ402-SUMPRODUCT($V402:$AE402*($V402:$AE402&gt;0)*(($V402:$AE402&lt;AD402)+($V402:$AE402=AD402)*($V$3:$AE$3&gt;AD$3)+($V402:$AE402=AD402)*($V$3:$AE$3=AD$3)*($V$2:$AE$2&lt;AD$2))),2))))</f>
      </c>
      <c r="AO402" s="33">
        <f>IF(AE402&lt;=0,0,MAX(0,MIN(AE402,ROUND($AZ402-SUMPRODUCT($V402:$AE402*($V402:$AE402&gt;0)*(($V402:$AE402&lt;AE402)+($V402:$AE402=AE402)*($V$3:$AE$3&gt;AE$3)+($V402:$AE402=AE402)*($V$3:$AE$3=AE$3)*($V$2:$AE$2&lt;AE$2))),2))))</f>
      </c>
      <c r="AP402" s="33">
        <f>ROUND(V402-AF402,2)</f>
      </c>
      <c r="AQ402" s="33">
        <f>ROUND(W402-AG402,2)</f>
      </c>
      <c r="AR402" s="33">
        <f>ROUND(X402-AH402,2)</f>
      </c>
      <c r="AS402" s="33">
        <f>ROUND(Y402-AI402,2)</f>
      </c>
      <c r="AT402" s="33">
        <f>ROUND(Z402-AJ402,2)</f>
      </c>
      <c r="AU402" s="33">
        <f>ROUND(AA402-AK402,2)</f>
      </c>
      <c r="AV402" s="33">
        <f>ROUND(AB402-AL402,2)</f>
      </c>
      <c r="AW402" s="33">
        <f>ROUND(AC402-AM402,2)</f>
      </c>
      <c r="AX402" s="33">
        <f>ROUND(AD402-AN402,2)</f>
      </c>
      <c r="AY402" s="33">
        <f>ROUND(AE402-AO402,2)</f>
      </c>
      <c r="AZ402" s="33">
        <f>ROUND(MAX(0,'Your debts'!$D$22-SUM($L402:$U402)),2)</f>
      </c>
      <c r="BA402" s="33">
        <f>ROUND(SUM($B402:$K402)-SUM($AP401:$AY401),2)</f>
      </c>
      <c r="BB402" s="33">
        <f>SUM($AP402:$AY402)</f>
      </c>
      <c r="BC402" s="33">
        <f>ROUND(SUM($L402:$U402)+SUM($AF402:$AO402),2)</f>
      </c>
    </row>
    <row r="403" spans="1:55" x14ac:dyDescent="0.25">
      <c r="A403">
        <v>396</v>
      </c>
      <c r="B403" s="33">
        <f>IF(AP402&lt;=0,0,ROUND(AP402+ROUND(AP402*V$3/12,2),2))</f>
      </c>
      <c r="C403" s="33">
        <f>IF(AQ402&lt;=0,0,ROUND(AQ402+ROUND(AQ402*W$3/12,2),2))</f>
      </c>
      <c r="D403" s="33">
        <f>IF(AR402&lt;=0,0,ROUND(AR402+ROUND(AR402*X$3/12,2),2))</f>
      </c>
      <c r="E403" s="33">
        <f>IF(AS402&lt;=0,0,ROUND(AS402+ROUND(AS402*Y$3/12,2),2))</f>
      </c>
      <c r="F403" s="33">
        <f>IF(AT402&lt;=0,0,ROUND(AT402+ROUND(AT402*Z$3/12,2),2))</f>
      </c>
      <c r="G403" s="33">
        <f>IF(AU402&lt;=0,0,ROUND(AU402+ROUND(AU402*AA$3/12,2),2))</f>
      </c>
      <c r="H403" s="33">
        <f>IF(AV402&lt;=0,0,ROUND(AV402+ROUND(AV402*AB$3/12,2),2))</f>
      </c>
      <c r="I403" s="33">
        <f>IF(AW402&lt;=0,0,ROUND(AW402+ROUND(AW402*AC$3/12,2),2))</f>
      </c>
      <c r="J403" s="33">
        <f>IF(AX402&lt;=0,0,ROUND(AX402+ROUND(AX402*AD$3/12,2),2))</f>
      </c>
      <c r="K403" s="33">
        <f>IF(AY402&lt;=0,0,ROUND(AY402+ROUND(AY402*AE$3/12,2),2))</f>
      </c>
      <c r="L403" s="33">
        <f>ROUND(MIN(MAX(0,N('Your debts'!$E$6)),B403),2)</f>
      </c>
      <c r="M403" s="33">
        <f>ROUND(MIN(MAX(0,N('Your debts'!$E$7)),C403),2)</f>
      </c>
      <c r="N403" s="33">
        <f>ROUND(MIN(MAX(0,N('Your debts'!$E$8)),D403),2)</f>
      </c>
      <c r="O403" s="33">
        <f>ROUND(MIN(MAX(0,N('Your debts'!$E$9)),E403),2)</f>
      </c>
      <c r="P403" s="33">
        <f>ROUND(MIN(MAX(0,N('Your debts'!$E$10)),F403),2)</f>
      </c>
      <c r="Q403" s="33">
        <f>ROUND(MIN(MAX(0,N('Your debts'!$E$11)),G403),2)</f>
      </c>
      <c r="R403" s="33">
        <f>ROUND(MIN(MAX(0,N('Your debts'!$E$12)),H403),2)</f>
      </c>
      <c r="S403" s="33">
        <f>ROUND(MIN(MAX(0,N('Your debts'!$E$13)),I403),2)</f>
      </c>
      <c r="T403" s="33">
        <f>ROUND(MIN(MAX(0,N('Your debts'!$E$14)),J403),2)</f>
      </c>
      <c r="U403" s="33">
        <f>ROUND(MIN(MAX(0,N('Your debts'!$E$15)),K403),2)</f>
      </c>
      <c r="V403" s="33">
        <f>ROUND(B403-L403,2)</f>
      </c>
      <c r="W403" s="33">
        <f>ROUND(C403-M403,2)</f>
      </c>
      <c r="X403" s="33">
        <f>ROUND(D403-N403,2)</f>
      </c>
      <c r="Y403" s="33">
        <f>ROUND(E403-O403,2)</f>
      </c>
      <c r="Z403" s="33">
        <f>ROUND(F403-P403,2)</f>
      </c>
      <c r="AA403" s="33">
        <f>ROUND(G403-Q403,2)</f>
      </c>
      <c r="AB403" s="33">
        <f>ROUND(H403-R403,2)</f>
      </c>
      <c r="AC403" s="33">
        <f>ROUND(I403-S403,2)</f>
      </c>
      <c r="AD403" s="33">
        <f>ROUND(J403-T403,2)</f>
      </c>
      <c r="AE403" s="33">
        <f>ROUND(K403-U403,2)</f>
      </c>
      <c r="AF403" s="33">
        <f>IF(V403&lt;=0,0,MAX(0,MIN(V403,ROUND($AZ403-SUMPRODUCT($V403:$AE403*($V403:$AE403&gt;0)*(($V403:$AE403&lt;V403)+($V403:$AE403=V403)*($V$3:$AE$3&gt;V$3)+($V403:$AE403=V403)*($V$3:$AE$3=V$3)*($V$2:$AE$2&lt;V$2))),2))))</f>
      </c>
      <c r="AG403" s="33">
        <f>IF(W403&lt;=0,0,MAX(0,MIN(W403,ROUND($AZ403-SUMPRODUCT($V403:$AE403*($V403:$AE403&gt;0)*(($V403:$AE403&lt;W403)+($V403:$AE403=W403)*($V$3:$AE$3&gt;W$3)+($V403:$AE403=W403)*($V$3:$AE$3=W$3)*($V$2:$AE$2&lt;W$2))),2))))</f>
      </c>
      <c r="AH403" s="33">
        <f>IF(X403&lt;=0,0,MAX(0,MIN(X403,ROUND($AZ403-SUMPRODUCT($V403:$AE403*($V403:$AE403&gt;0)*(($V403:$AE403&lt;X403)+($V403:$AE403=X403)*($V$3:$AE$3&gt;X$3)+($V403:$AE403=X403)*($V$3:$AE$3=X$3)*($V$2:$AE$2&lt;X$2))),2))))</f>
      </c>
      <c r="AI403" s="33">
        <f>IF(Y403&lt;=0,0,MAX(0,MIN(Y403,ROUND($AZ403-SUMPRODUCT($V403:$AE403*($V403:$AE403&gt;0)*(($V403:$AE403&lt;Y403)+($V403:$AE403=Y403)*($V$3:$AE$3&gt;Y$3)+($V403:$AE403=Y403)*($V$3:$AE$3=Y$3)*($V$2:$AE$2&lt;Y$2))),2))))</f>
      </c>
      <c r="AJ403" s="33">
        <f>IF(Z403&lt;=0,0,MAX(0,MIN(Z403,ROUND($AZ403-SUMPRODUCT($V403:$AE403*($V403:$AE403&gt;0)*(($V403:$AE403&lt;Z403)+($V403:$AE403=Z403)*($V$3:$AE$3&gt;Z$3)+($V403:$AE403=Z403)*($V$3:$AE$3=Z$3)*($V$2:$AE$2&lt;Z$2))),2))))</f>
      </c>
      <c r="AK403" s="33">
        <f>IF(AA403&lt;=0,0,MAX(0,MIN(AA403,ROUND($AZ403-SUMPRODUCT($V403:$AE403*($V403:$AE403&gt;0)*(($V403:$AE403&lt;AA403)+($V403:$AE403=AA403)*($V$3:$AE$3&gt;AA$3)+($V403:$AE403=AA403)*($V$3:$AE$3=AA$3)*($V$2:$AE$2&lt;AA$2))),2))))</f>
      </c>
      <c r="AL403" s="33">
        <f>IF(AB403&lt;=0,0,MAX(0,MIN(AB403,ROUND($AZ403-SUMPRODUCT($V403:$AE403*($V403:$AE403&gt;0)*(($V403:$AE403&lt;AB403)+($V403:$AE403=AB403)*($V$3:$AE$3&gt;AB$3)+($V403:$AE403=AB403)*($V$3:$AE$3=AB$3)*($V$2:$AE$2&lt;AB$2))),2))))</f>
      </c>
      <c r="AM403" s="33">
        <f>IF(AC403&lt;=0,0,MAX(0,MIN(AC403,ROUND($AZ403-SUMPRODUCT($V403:$AE403*($V403:$AE403&gt;0)*(($V403:$AE403&lt;AC403)+($V403:$AE403=AC403)*($V$3:$AE$3&gt;AC$3)+($V403:$AE403=AC403)*($V$3:$AE$3=AC$3)*($V$2:$AE$2&lt;AC$2))),2))))</f>
      </c>
      <c r="AN403" s="33">
        <f>IF(AD403&lt;=0,0,MAX(0,MIN(AD403,ROUND($AZ403-SUMPRODUCT($V403:$AE403*($V403:$AE403&gt;0)*(($V403:$AE403&lt;AD403)+($V403:$AE403=AD403)*($V$3:$AE$3&gt;AD$3)+($V403:$AE403=AD403)*($V$3:$AE$3=AD$3)*($V$2:$AE$2&lt;AD$2))),2))))</f>
      </c>
      <c r="AO403" s="33">
        <f>IF(AE403&lt;=0,0,MAX(0,MIN(AE403,ROUND($AZ403-SUMPRODUCT($V403:$AE403*($V403:$AE403&gt;0)*(($V403:$AE403&lt;AE403)+($V403:$AE403=AE403)*($V$3:$AE$3&gt;AE$3)+($V403:$AE403=AE403)*($V$3:$AE$3=AE$3)*($V$2:$AE$2&lt;AE$2))),2))))</f>
      </c>
      <c r="AP403" s="33">
        <f>ROUND(V403-AF403,2)</f>
      </c>
      <c r="AQ403" s="33">
        <f>ROUND(W403-AG403,2)</f>
      </c>
      <c r="AR403" s="33">
        <f>ROUND(X403-AH403,2)</f>
      </c>
      <c r="AS403" s="33">
        <f>ROUND(Y403-AI403,2)</f>
      </c>
      <c r="AT403" s="33">
        <f>ROUND(Z403-AJ403,2)</f>
      </c>
      <c r="AU403" s="33">
        <f>ROUND(AA403-AK403,2)</f>
      </c>
      <c r="AV403" s="33">
        <f>ROUND(AB403-AL403,2)</f>
      </c>
      <c r="AW403" s="33">
        <f>ROUND(AC403-AM403,2)</f>
      </c>
      <c r="AX403" s="33">
        <f>ROUND(AD403-AN403,2)</f>
      </c>
      <c r="AY403" s="33">
        <f>ROUND(AE403-AO403,2)</f>
      </c>
      <c r="AZ403" s="33">
        <f>ROUND(MAX(0,'Your debts'!$D$22-SUM($L403:$U403)),2)</f>
      </c>
      <c r="BA403" s="33">
        <f>ROUND(SUM($B403:$K403)-SUM($AP402:$AY402),2)</f>
      </c>
      <c r="BB403" s="33">
        <f>SUM($AP403:$AY403)</f>
      </c>
      <c r="BC403" s="33">
        <f>ROUND(SUM($L403:$U403)+SUM($AF403:$AO403),2)</f>
      </c>
    </row>
    <row r="404" spans="1:55" x14ac:dyDescent="0.25">
      <c r="A404">
        <v>397</v>
      </c>
      <c r="B404" s="33">
        <f>IF(AP403&lt;=0,0,ROUND(AP403+ROUND(AP403*V$3/12,2),2))</f>
      </c>
      <c r="C404" s="33">
        <f>IF(AQ403&lt;=0,0,ROUND(AQ403+ROUND(AQ403*W$3/12,2),2))</f>
      </c>
      <c r="D404" s="33">
        <f>IF(AR403&lt;=0,0,ROUND(AR403+ROUND(AR403*X$3/12,2),2))</f>
      </c>
      <c r="E404" s="33">
        <f>IF(AS403&lt;=0,0,ROUND(AS403+ROUND(AS403*Y$3/12,2),2))</f>
      </c>
      <c r="F404" s="33">
        <f>IF(AT403&lt;=0,0,ROUND(AT403+ROUND(AT403*Z$3/12,2),2))</f>
      </c>
      <c r="G404" s="33">
        <f>IF(AU403&lt;=0,0,ROUND(AU403+ROUND(AU403*AA$3/12,2),2))</f>
      </c>
      <c r="H404" s="33">
        <f>IF(AV403&lt;=0,0,ROUND(AV403+ROUND(AV403*AB$3/12,2),2))</f>
      </c>
      <c r="I404" s="33">
        <f>IF(AW403&lt;=0,0,ROUND(AW403+ROUND(AW403*AC$3/12,2),2))</f>
      </c>
      <c r="J404" s="33">
        <f>IF(AX403&lt;=0,0,ROUND(AX403+ROUND(AX403*AD$3/12,2),2))</f>
      </c>
      <c r="K404" s="33">
        <f>IF(AY403&lt;=0,0,ROUND(AY403+ROUND(AY403*AE$3/12,2),2))</f>
      </c>
      <c r="L404" s="33">
        <f>ROUND(MIN(MAX(0,N('Your debts'!$E$6)),B404),2)</f>
      </c>
      <c r="M404" s="33">
        <f>ROUND(MIN(MAX(0,N('Your debts'!$E$7)),C404),2)</f>
      </c>
      <c r="N404" s="33">
        <f>ROUND(MIN(MAX(0,N('Your debts'!$E$8)),D404),2)</f>
      </c>
      <c r="O404" s="33">
        <f>ROUND(MIN(MAX(0,N('Your debts'!$E$9)),E404),2)</f>
      </c>
      <c r="P404" s="33">
        <f>ROUND(MIN(MAX(0,N('Your debts'!$E$10)),F404),2)</f>
      </c>
      <c r="Q404" s="33">
        <f>ROUND(MIN(MAX(0,N('Your debts'!$E$11)),G404),2)</f>
      </c>
      <c r="R404" s="33">
        <f>ROUND(MIN(MAX(0,N('Your debts'!$E$12)),H404),2)</f>
      </c>
      <c r="S404" s="33">
        <f>ROUND(MIN(MAX(0,N('Your debts'!$E$13)),I404),2)</f>
      </c>
      <c r="T404" s="33">
        <f>ROUND(MIN(MAX(0,N('Your debts'!$E$14)),J404),2)</f>
      </c>
      <c r="U404" s="33">
        <f>ROUND(MIN(MAX(0,N('Your debts'!$E$15)),K404),2)</f>
      </c>
      <c r="V404" s="33">
        <f>ROUND(B404-L404,2)</f>
      </c>
      <c r="W404" s="33">
        <f>ROUND(C404-M404,2)</f>
      </c>
      <c r="X404" s="33">
        <f>ROUND(D404-N404,2)</f>
      </c>
      <c r="Y404" s="33">
        <f>ROUND(E404-O404,2)</f>
      </c>
      <c r="Z404" s="33">
        <f>ROUND(F404-P404,2)</f>
      </c>
      <c r="AA404" s="33">
        <f>ROUND(G404-Q404,2)</f>
      </c>
      <c r="AB404" s="33">
        <f>ROUND(H404-R404,2)</f>
      </c>
      <c r="AC404" s="33">
        <f>ROUND(I404-S404,2)</f>
      </c>
      <c r="AD404" s="33">
        <f>ROUND(J404-T404,2)</f>
      </c>
      <c r="AE404" s="33">
        <f>ROUND(K404-U404,2)</f>
      </c>
      <c r="AF404" s="33">
        <f>IF(V404&lt;=0,0,MAX(0,MIN(V404,ROUND($AZ404-SUMPRODUCT($V404:$AE404*($V404:$AE404&gt;0)*(($V404:$AE404&lt;V404)+($V404:$AE404=V404)*($V$3:$AE$3&gt;V$3)+($V404:$AE404=V404)*($V$3:$AE$3=V$3)*($V$2:$AE$2&lt;V$2))),2))))</f>
      </c>
      <c r="AG404" s="33">
        <f>IF(W404&lt;=0,0,MAX(0,MIN(W404,ROUND($AZ404-SUMPRODUCT($V404:$AE404*($V404:$AE404&gt;0)*(($V404:$AE404&lt;W404)+($V404:$AE404=W404)*($V$3:$AE$3&gt;W$3)+($V404:$AE404=W404)*($V$3:$AE$3=W$3)*($V$2:$AE$2&lt;W$2))),2))))</f>
      </c>
      <c r="AH404" s="33">
        <f>IF(X404&lt;=0,0,MAX(0,MIN(X404,ROUND($AZ404-SUMPRODUCT($V404:$AE404*($V404:$AE404&gt;0)*(($V404:$AE404&lt;X404)+($V404:$AE404=X404)*($V$3:$AE$3&gt;X$3)+($V404:$AE404=X404)*($V$3:$AE$3=X$3)*($V$2:$AE$2&lt;X$2))),2))))</f>
      </c>
      <c r="AI404" s="33">
        <f>IF(Y404&lt;=0,0,MAX(0,MIN(Y404,ROUND($AZ404-SUMPRODUCT($V404:$AE404*($V404:$AE404&gt;0)*(($V404:$AE404&lt;Y404)+($V404:$AE404=Y404)*($V$3:$AE$3&gt;Y$3)+($V404:$AE404=Y404)*($V$3:$AE$3=Y$3)*($V$2:$AE$2&lt;Y$2))),2))))</f>
      </c>
      <c r="AJ404" s="33">
        <f>IF(Z404&lt;=0,0,MAX(0,MIN(Z404,ROUND($AZ404-SUMPRODUCT($V404:$AE404*($V404:$AE404&gt;0)*(($V404:$AE404&lt;Z404)+($V404:$AE404=Z404)*($V$3:$AE$3&gt;Z$3)+($V404:$AE404=Z404)*($V$3:$AE$3=Z$3)*($V$2:$AE$2&lt;Z$2))),2))))</f>
      </c>
      <c r="AK404" s="33">
        <f>IF(AA404&lt;=0,0,MAX(0,MIN(AA404,ROUND($AZ404-SUMPRODUCT($V404:$AE404*($V404:$AE404&gt;0)*(($V404:$AE404&lt;AA404)+($V404:$AE404=AA404)*($V$3:$AE$3&gt;AA$3)+($V404:$AE404=AA404)*($V$3:$AE$3=AA$3)*($V$2:$AE$2&lt;AA$2))),2))))</f>
      </c>
      <c r="AL404" s="33">
        <f>IF(AB404&lt;=0,0,MAX(0,MIN(AB404,ROUND($AZ404-SUMPRODUCT($V404:$AE404*($V404:$AE404&gt;0)*(($V404:$AE404&lt;AB404)+($V404:$AE404=AB404)*($V$3:$AE$3&gt;AB$3)+($V404:$AE404=AB404)*($V$3:$AE$3=AB$3)*($V$2:$AE$2&lt;AB$2))),2))))</f>
      </c>
      <c r="AM404" s="33">
        <f>IF(AC404&lt;=0,0,MAX(0,MIN(AC404,ROUND($AZ404-SUMPRODUCT($V404:$AE404*($V404:$AE404&gt;0)*(($V404:$AE404&lt;AC404)+($V404:$AE404=AC404)*($V$3:$AE$3&gt;AC$3)+($V404:$AE404=AC404)*($V$3:$AE$3=AC$3)*($V$2:$AE$2&lt;AC$2))),2))))</f>
      </c>
      <c r="AN404" s="33">
        <f>IF(AD404&lt;=0,0,MAX(0,MIN(AD404,ROUND($AZ404-SUMPRODUCT($V404:$AE404*($V404:$AE404&gt;0)*(($V404:$AE404&lt;AD404)+($V404:$AE404=AD404)*($V$3:$AE$3&gt;AD$3)+($V404:$AE404=AD404)*($V$3:$AE$3=AD$3)*($V$2:$AE$2&lt;AD$2))),2))))</f>
      </c>
      <c r="AO404" s="33">
        <f>IF(AE404&lt;=0,0,MAX(0,MIN(AE404,ROUND($AZ404-SUMPRODUCT($V404:$AE404*($V404:$AE404&gt;0)*(($V404:$AE404&lt;AE404)+($V404:$AE404=AE404)*($V$3:$AE$3&gt;AE$3)+($V404:$AE404=AE404)*($V$3:$AE$3=AE$3)*($V$2:$AE$2&lt;AE$2))),2))))</f>
      </c>
      <c r="AP404" s="33">
        <f>ROUND(V404-AF404,2)</f>
      </c>
      <c r="AQ404" s="33">
        <f>ROUND(W404-AG404,2)</f>
      </c>
      <c r="AR404" s="33">
        <f>ROUND(X404-AH404,2)</f>
      </c>
      <c r="AS404" s="33">
        <f>ROUND(Y404-AI404,2)</f>
      </c>
      <c r="AT404" s="33">
        <f>ROUND(Z404-AJ404,2)</f>
      </c>
      <c r="AU404" s="33">
        <f>ROUND(AA404-AK404,2)</f>
      </c>
      <c r="AV404" s="33">
        <f>ROUND(AB404-AL404,2)</f>
      </c>
      <c r="AW404" s="33">
        <f>ROUND(AC404-AM404,2)</f>
      </c>
      <c r="AX404" s="33">
        <f>ROUND(AD404-AN404,2)</f>
      </c>
      <c r="AY404" s="33">
        <f>ROUND(AE404-AO404,2)</f>
      </c>
      <c r="AZ404" s="33">
        <f>ROUND(MAX(0,'Your debts'!$D$22-SUM($L404:$U404)),2)</f>
      </c>
      <c r="BA404" s="33">
        <f>ROUND(SUM($B404:$K404)-SUM($AP403:$AY403),2)</f>
      </c>
      <c r="BB404" s="33">
        <f>SUM($AP404:$AY404)</f>
      </c>
      <c r="BC404" s="33">
        <f>ROUND(SUM($L404:$U404)+SUM($AF404:$AO404),2)</f>
      </c>
    </row>
    <row r="405" spans="1:55" x14ac:dyDescent="0.25">
      <c r="A405">
        <v>398</v>
      </c>
      <c r="B405" s="33">
        <f>IF(AP404&lt;=0,0,ROUND(AP404+ROUND(AP404*V$3/12,2),2))</f>
      </c>
      <c r="C405" s="33">
        <f>IF(AQ404&lt;=0,0,ROUND(AQ404+ROUND(AQ404*W$3/12,2),2))</f>
      </c>
      <c r="D405" s="33">
        <f>IF(AR404&lt;=0,0,ROUND(AR404+ROUND(AR404*X$3/12,2),2))</f>
      </c>
      <c r="E405" s="33">
        <f>IF(AS404&lt;=0,0,ROUND(AS404+ROUND(AS404*Y$3/12,2),2))</f>
      </c>
      <c r="F405" s="33">
        <f>IF(AT404&lt;=0,0,ROUND(AT404+ROUND(AT404*Z$3/12,2),2))</f>
      </c>
      <c r="G405" s="33">
        <f>IF(AU404&lt;=0,0,ROUND(AU404+ROUND(AU404*AA$3/12,2),2))</f>
      </c>
      <c r="H405" s="33">
        <f>IF(AV404&lt;=0,0,ROUND(AV404+ROUND(AV404*AB$3/12,2),2))</f>
      </c>
      <c r="I405" s="33">
        <f>IF(AW404&lt;=0,0,ROUND(AW404+ROUND(AW404*AC$3/12,2),2))</f>
      </c>
      <c r="J405" s="33">
        <f>IF(AX404&lt;=0,0,ROUND(AX404+ROUND(AX404*AD$3/12,2),2))</f>
      </c>
      <c r="K405" s="33">
        <f>IF(AY404&lt;=0,0,ROUND(AY404+ROUND(AY404*AE$3/12,2),2))</f>
      </c>
      <c r="L405" s="33">
        <f>ROUND(MIN(MAX(0,N('Your debts'!$E$6)),B405),2)</f>
      </c>
      <c r="M405" s="33">
        <f>ROUND(MIN(MAX(0,N('Your debts'!$E$7)),C405),2)</f>
      </c>
      <c r="N405" s="33">
        <f>ROUND(MIN(MAX(0,N('Your debts'!$E$8)),D405),2)</f>
      </c>
      <c r="O405" s="33">
        <f>ROUND(MIN(MAX(0,N('Your debts'!$E$9)),E405),2)</f>
      </c>
      <c r="P405" s="33">
        <f>ROUND(MIN(MAX(0,N('Your debts'!$E$10)),F405),2)</f>
      </c>
      <c r="Q405" s="33">
        <f>ROUND(MIN(MAX(0,N('Your debts'!$E$11)),G405),2)</f>
      </c>
      <c r="R405" s="33">
        <f>ROUND(MIN(MAX(0,N('Your debts'!$E$12)),H405),2)</f>
      </c>
      <c r="S405" s="33">
        <f>ROUND(MIN(MAX(0,N('Your debts'!$E$13)),I405),2)</f>
      </c>
      <c r="T405" s="33">
        <f>ROUND(MIN(MAX(0,N('Your debts'!$E$14)),J405),2)</f>
      </c>
      <c r="U405" s="33">
        <f>ROUND(MIN(MAX(0,N('Your debts'!$E$15)),K405),2)</f>
      </c>
      <c r="V405" s="33">
        <f>ROUND(B405-L405,2)</f>
      </c>
      <c r="W405" s="33">
        <f>ROUND(C405-M405,2)</f>
      </c>
      <c r="X405" s="33">
        <f>ROUND(D405-N405,2)</f>
      </c>
      <c r="Y405" s="33">
        <f>ROUND(E405-O405,2)</f>
      </c>
      <c r="Z405" s="33">
        <f>ROUND(F405-P405,2)</f>
      </c>
      <c r="AA405" s="33">
        <f>ROUND(G405-Q405,2)</f>
      </c>
      <c r="AB405" s="33">
        <f>ROUND(H405-R405,2)</f>
      </c>
      <c r="AC405" s="33">
        <f>ROUND(I405-S405,2)</f>
      </c>
      <c r="AD405" s="33">
        <f>ROUND(J405-T405,2)</f>
      </c>
      <c r="AE405" s="33">
        <f>ROUND(K405-U405,2)</f>
      </c>
      <c r="AF405" s="33">
        <f>IF(V405&lt;=0,0,MAX(0,MIN(V405,ROUND($AZ405-SUMPRODUCT($V405:$AE405*($V405:$AE405&gt;0)*(($V405:$AE405&lt;V405)+($V405:$AE405=V405)*($V$3:$AE$3&gt;V$3)+($V405:$AE405=V405)*($V$3:$AE$3=V$3)*($V$2:$AE$2&lt;V$2))),2))))</f>
      </c>
      <c r="AG405" s="33">
        <f>IF(W405&lt;=0,0,MAX(0,MIN(W405,ROUND($AZ405-SUMPRODUCT($V405:$AE405*($V405:$AE405&gt;0)*(($V405:$AE405&lt;W405)+($V405:$AE405=W405)*($V$3:$AE$3&gt;W$3)+($V405:$AE405=W405)*($V$3:$AE$3=W$3)*($V$2:$AE$2&lt;W$2))),2))))</f>
      </c>
      <c r="AH405" s="33">
        <f>IF(X405&lt;=0,0,MAX(0,MIN(X405,ROUND($AZ405-SUMPRODUCT($V405:$AE405*($V405:$AE405&gt;0)*(($V405:$AE405&lt;X405)+($V405:$AE405=X405)*($V$3:$AE$3&gt;X$3)+($V405:$AE405=X405)*($V$3:$AE$3=X$3)*($V$2:$AE$2&lt;X$2))),2))))</f>
      </c>
      <c r="AI405" s="33">
        <f>IF(Y405&lt;=0,0,MAX(0,MIN(Y405,ROUND($AZ405-SUMPRODUCT($V405:$AE405*($V405:$AE405&gt;0)*(($V405:$AE405&lt;Y405)+($V405:$AE405=Y405)*($V$3:$AE$3&gt;Y$3)+($V405:$AE405=Y405)*($V$3:$AE$3=Y$3)*($V$2:$AE$2&lt;Y$2))),2))))</f>
      </c>
      <c r="AJ405" s="33">
        <f>IF(Z405&lt;=0,0,MAX(0,MIN(Z405,ROUND($AZ405-SUMPRODUCT($V405:$AE405*($V405:$AE405&gt;0)*(($V405:$AE405&lt;Z405)+($V405:$AE405=Z405)*($V$3:$AE$3&gt;Z$3)+($V405:$AE405=Z405)*($V$3:$AE$3=Z$3)*($V$2:$AE$2&lt;Z$2))),2))))</f>
      </c>
      <c r="AK405" s="33">
        <f>IF(AA405&lt;=0,0,MAX(0,MIN(AA405,ROUND($AZ405-SUMPRODUCT($V405:$AE405*($V405:$AE405&gt;0)*(($V405:$AE405&lt;AA405)+($V405:$AE405=AA405)*($V$3:$AE$3&gt;AA$3)+($V405:$AE405=AA405)*($V$3:$AE$3=AA$3)*($V$2:$AE$2&lt;AA$2))),2))))</f>
      </c>
      <c r="AL405" s="33">
        <f>IF(AB405&lt;=0,0,MAX(0,MIN(AB405,ROUND($AZ405-SUMPRODUCT($V405:$AE405*($V405:$AE405&gt;0)*(($V405:$AE405&lt;AB405)+($V405:$AE405=AB405)*($V$3:$AE$3&gt;AB$3)+($V405:$AE405=AB405)*($V$3:$AE$3=AB$3)*($V$2:$AE$2&lt;AB$2))),2))))</f>
      </c>
      <c r="AM405" s="33">
        <f>IF(AC405&lt;=0,0,MAX(0,MIN(AC405,ROUND($AZ405-SUMPRODUCT($V405:$AE405*($V405:$AE405&gt;0)*(($V405:$AE405&lt;AC405)+($V405:$AE405=AC405)*($V$3:$AE$3&gt;AC$3)+($V405:$AE405=AC405)*($V$3:$AE$3=AC$3)*($V$2:$AE$2&lt;AC$2))),2))))</f>
      </c>
      <c r="AN405" s="33">
        <f>IF(AD405&lt;=0,0,MAX(0,MIN(AD405,ROUND($AZ405-SUMPRODUCT($V405:$AE405*($V405:$AE405&gt;0)*(($V405:$AE405&lt;AD405)+($V405:$AE405=AD405)*($V$3:$AE$3&gt;AD$3)+($V405:$AE405=AD405)*($V$3:$AE$3=AD$3)*($V$2:$AE$2&lt;AD$2))),2))))</f>
      </c>
      <c r="AO405" s="33">
        <f>IF(AE405&lt;=0,0,MAX(0,MIN(AE405,ROUND($AZ405-SUMPRODUCT($V405:$AE405*($V405:$AE405&gt;0)*(($V405:$AE405&lt;AE405)+($V405:$AE405=AE405)*($V$3:$AE$3&gt;AE$3)+($V405:$AE405=AE405)*($V$3:$AE$3=AE$3)*($V$2:$AE$2&lt;AE$2))),2))))</f>
      </c>
      <c r="AP405" s="33">
        <f>ROUND(V405-AF405,2)</f>
      </c>
      <c r="AQ405" s="33">
        <f>ROUND(W405-AG405,2)</f>
      </c>
      <c r="AR405" s="33">
        <f>ROUND(X405-AH405,2)</f>
      </c>
      <c r="AS405" s="33">
        <f>ROUND(Y405-AI405,2)</f>
      </c>
      <c r="AT405" s="33">
        <f>ROUND(Z405-AJ405,2)</f>
      </c>
      <c r="AU405" s="33">
        <f>ROUND(AA405-AK405,2)</f>
      </c>
      <c r="AV405" s="33">
        <f>ROUND(AB405-AL405,2)</f>
      </c>
      <c r="AW405" s="33">
        <f>ROUND(AC405-AM405,2)</f>
      </c>
      <c r="AX405" s="33">
        <f>ROUND(AD405-AN405,2)</f>
      </c>
      <c r="AY405" s="33">
        <f>ROUND(AE405-AO405,2)</f>
      </c>
      <c r="AZ405" s="33">
        <f>ROUND(MAX(0,'Your debts'!$D$22-SUM($L405:$U405)),2)</f>
      </c>
      <c r="BA405" s="33">
        <f>ROUND(SUM($B405:$K405)-SUM($AP404:$AY404),2)</f>
      </c>
      <c r="BB405" s="33">
        <f>SUM($AP405:$AY405)</f>
      </c>
      <c r="BC405" s="33">
        <f>ROUND(SUM($L405:$U405)+SUM($AF405:$AO405),2)</f>
      </c>
    </row>
    <row r="406" spans="1:55" x14ac:dyDescent="0.25">
      <c r="A406">
        <v>399</v>
      </c>
      <c r="B406" s="33">
        <f>IF(AP405&lt;=0,0,ROUND(AP405+ROUND(AP405*V$3/12,2),2))</f>
      </c>
      <c r="C406" s="33">
        <f>IF(AQ405&lt;=0,0,ROUND(AQ405+ROUND(AQ405*W$3/12,2),2))</f>
      </c>
      <c r="D406" s="33">
        <f>IF(AR405&lt;=0,0,ROUND(AR405+ROUND(AR405*X$3/12,2),2))</f>
      </c>
      <c r="E406" s="33">
        <f>IF(AS405&lt;=0,0,ROUND(AS405+ROUND(AS405*Y$3/12,2),2))</f>
      </c>
      <c r="F406" s="33">
        <f>IF(AT405&lt;=0,0,ROUND(AT405+ROUND(AT405*Z$3/12,2),2))</f>
      </c>
      <c r="G406" s="33">
        <f>IF(AU405&lt;=0,0,ROUND(AU405+ROUND(AU405*AA$3/12,2),2))</f>
      </c>
      <c r="H406" s="33">
        <f>IF(AV405&lt;=0,0,ROUND(AV405+ROUND(AV405*AB$3/12,2),2))</f>
      </c>
      <c r="I406" s="33">
        <f>IF(AW405&lt;=0,0,ROUND(AW405+ROUND(AW405*AC$3/12,2),2))</f>
      </c>
      <c r="J406" s="33">
        <f>IF(AX405&lt;=0,0,ROUND(AX405+ROUND(AX405*AD$3/12,2),2))</f>
      </c>
      <c r="K406" s="33">
        <f>IF(AY405&lt;=0,0,ROUND(AY405+ROUND(AY405*AE$3/12,2),2))</f>
      </c>
      <c r="L406" s="33">
        <f>ROUND(MIN(MAX(0,N('Your debts'!$E$6)),B406),2)</f>
      </c>
      <c r="M406" s="33">
        <f>ROUND(MIN(MAX(0,N('Your debts'!$E$7)),C406),2)</f>
      </c>
      <c r="N406" s="33">
        <f>ROUND(MIN(MAX(0,N('Your debts'!$E$8)),D406),2)</f>
      </c>
      <c r="O406" s="33">
        <f>ROUND(MIN(MAX(0,N('Your debts'!$E$9)),E406),2)</f>
      </c>
      <c r="P406" s="33">
        <f>ROUND(MIN(MAX(0,N('Your debts'!$E$10)),F406),2)</f>
      </c>
      <c r="Q406" s="33">
        <f>ROUND(MIN(MAX(0,N('Your debts'!$E$11)),G406),2)</f>
      </c>
      <c r="R406" s="33">
        <f>ROUND(MIN(MAX(0,N('Your debts'!$E$12)),H406),2)</f>
      </c>
      <c r="S406" s="33">
        <f>ROUND(MIN(MAX(0,N('Your debts'!$E$13)),I406),2)</f>
      </c>
      <c r="T406" s="33">
        <f>ROUND(MIN(MAX(0,N('Your debts'!$E$14)),J406),2)</f>
      </c>
      <c r="U406" s="33">
        <f>ROUND(MIN(MAX(0,N('Your debts'!$E$15)),K406),2)</f>
      </c>
      <c r="V406" s="33">
        <f>ROUND(B406-L406,2)</f>
      </c>
      <c r="W406" s="33">
        <f>ROUND(C406-M406,2)</f>
      </c>
      <c r="X406" s="33">
        <f>ROUND(D406-N406,2)</f>
      </c>
      <c r="Y406" s="33">
        <f>ROUND(E406-O406,2)</f>
      </c>
      <c r="Z406" s="33">
        <f>ROUND(F406-P406,2)</f>
      </c>
      <c r="AA406" s="33">
        <f>ROUND(G406-Q406,2)</f>
      </c>
      <c r="AB406" s="33">
        <f>ROUND(H406-R406,2)</f>
      </c>
      <c r="AC406" s="33">
        <f>ROUND(I406-S406,2)</f>
      </c>
      <c r="AD406" s="33">
        <f>ROUND(J406-T406,2)</f>
      </c>
      <c r="AE406" s="33">
        <f>ROUND(K406-U406,2)</f>
      </c>
      <c r="AF406" s="33">
        <f>IF(V406&lt;=0,0,MAX(0,MIN(V406,ROUND($AZ406-SUMPRODUCT($V406:$AE406*($V406:$AE406&gt;0)*(($V406:$AE406&lt;V406)+($V406:$AE406=V406)*($V$3:$AE$3&gt;V$3)+($V406:$AE406=V406)*($V$3:$AE$3=V$3)*($V$2:$AE$2&lt;V$2))),2))))</f>
      </c>
      <c r="AG406" s="33">
        <f>IF(W406&lt;=0,0,MAX(0,MIN(W406,ROUND($AZ406-SUMPRODUCT($V406:$AE406*($V406:$AE406&gt;0)*(($V406:$AE406&lt;W406)+($V406:$AE406=W406)*($V$3:$AE$3&gt;W$3)+($V406:$AE406=W406)*($V$3:$AE$3=W$3)*($V$2:$AE$2&lt;W$2))),2))))</f>
      </c>
      <c r="AH406" s="33">
        <f>IF(X406&lt;=0,0,MAX(0,MIN(X406,ROUND($AZ406-SUMPRODUCT($V406:$AE406*($V406:$AE406&gt;0)*(($V406:$AE406&lt;X406)+($V406:$AE406=X406)*($V$3:$AE$3&gt;X$3)+($V406:$AE406=X406)*($V$3:$AE$3=X$3)*($V$2:$AE$2&lt;X$2))),2))))</f>
      </c>
      <c r="AI406" s="33">
        <f>IF(Y406&lt;=0,0,MAX(0,MIN(Y406,ROUND($AZ406-SUMPRODUCT($V406:$AE406*($V406:$AE406&gt;0)*(($V406:$AE406&lt;Y406)+($V406:$AE406=Y406)*($V$3:$AE$3&gt;Y$3)+($V406:$AE406=Y406)*($V$3:$AE$3=Y$3)*($V$2:$AE$2&lt;Y$2))),2))))</f>
      </c>
      <c r="AJ406" s="33">
        <f>IF(Z406&lt;=0,0,MAX(0,MIN(Z406,ROUND($AZ406-SUMPRODUCT($V406:$AE406*($V406:$AE406&gt;0)*(($V406:$AE406&lt;Z406)+($V406:$AE406=Z406)*($V$3:$AE$3&gt;Z$3)+($V406:$AE406=Z406)*($V$3:$AE$3=Z$3)*($V$2:$AE$2&lt;Z$2))),2))))</f>
      </c>
      <c r="AK406" s="33">
        <f>IF(AA406&lt;=0,0,MAX(0,MIN(AA406,ROUND($AZ406-SUMPRODUCT($V406:$AE406*($V406:$AE406&gt;0)*(($V406:$AE406&lt;AA406)+($V406:$AE406=AA406)*($V$3:$AE$3&gt;AA$3)+($V406:$AE406=AA406)*($V$3:$AE$3=AA$3)*($V$2:$AE$2&lt;AA$2))),2))))</f>
      </c>
      <c r="AL406" s="33">
        <f>IF(AB406&lt;=0,0,MAX(0,MIN(AB406,ROUND($AZ406-SUMPRODUCT($V406:$AE406*($V406:$AE406&gt;0)*(($V406:$AE406&lt;AB406)+($V406:$AE406=AB406)*($V$3:$AE$3&gt;AB$3)+($V406:$AE406=AB406)*($V$3:$AE$3=AB$3)*($V$2:$AE$2&lt;AB$2))),2))))</f>
      </c>
      <c r="AM406" s="33">
        <f>IF(AC406&lt;=0,0,MAX(0,MIN(AC406,ROUND($AZ406-SUMPRODUCT($V406:$AE406*($V406:$AE406&gt;0)*(($V406:$AE406&lt;AC406)+($V406:$AE406=AC406)*($V$3:$AE$3&gt;AC$3)+($V406:$AE406=AC406)*($V$3:$AE$3=AC$3)*($V$2:$AE$2&lt;AC$2))),2))))</f>
      </c>
      <c r="AN406" s="33">
        <f>IF(AD406&lt;=0,0,MAX(0,MIN(AD406,ROUND($AZ406-SUMPRODUCT($V406:$AE406*($V406:$AE406&gt;0)*(($V406:$AE406&lt;AD406)+($V406:$AE406=AD406)*($V$3:$AE$3&gt;AD$3)+($V406:$AE406=AD406)*($V$3:$AE$3=AD$3)*($V$2:$AE$2&lt;AD$2))),2))))</f>
      </c>
      <c r="AO406" s="33">
        <f>IF(AE406&lt;=0,0,MAX(0,MIN(AE406,ROUND($AZ406-SUMPRODUCT($V406:$AE406*($V406:$AE406&gt;0)*(($V406:$AE406&lt;AE406)+($V406:$AE406=AE406)*($V$3:$AE$3&gt;AE$3)+($V406:$AE406=AE406)*($V$3:$AE$3=AE$3)*($V$2:$AE$2&lt;AE$2))),2))))</f>
      </c>
      <c r="AP406" s="33">
        <f>ROUND(V406-AF406,2)</f>
      </c>
      <c r="AQ406" s="33">
        <f>ROUND(W406-AG406,2)</f>
      </c>
      <c r="AR406" s="33">
        <f>ROUND(X406-AH406,2)</f>
      </c>
      <c r="AS406" s="33">
        <f>ROUND(Y406-AI406,2)</f>
      </c>
      <c r="AT406" s="33">
        <f>ROUND(Z406-AJ406,2)</f>
      </c>
      <c r="AU406" s="33">
        <f>ROUND(AA406-AK406,2)</f>
      </c>
      <c r="AV406" s="33">
        <f>ROUND(AB406-AL406,2)</f>
      </c>
      <c r="AW406" s="33">
        <f>ROUND(AC406-AM406,2)</f>
      </c>
      <c r="AX406" s="33">
        <f>ROUND(AD406-AN406,2)</f>
      </c>
      <c r="AY406" s="33">
        <f>ROUND(AE406-AO406,2)</f>
      </c>
      <c r="AZ406" s="33">
        <f>ROUND(MAX(0,'Your debts'!$D$22-SUM($L406:$U406)),2)</f>
      </c>
      <c r="BA406" s="33">
        <f>ROUND(SUM($B406:$K406)-SUM($AP405:$AY405),2)</f>
      </c>
      <c r="BB406" s="33">
        <f>SUM($AP406:$AY406)</f>
      </c>
      <c r="BC406" s="33">
        <f>ROUND(SUM($L406:$U406)+SUM($AF406:$AO406),2)</f>
      </c>
    </row>
    <row r="407" spans="1:55" x14ac:dyDescent="0.25">
      <c r="A407">
        <v>400</v>
      </c>
      <c r="B407" s="33">
        <f>IF(AP406&lt;=0,0,ROUND(AP406+ROUND(AP406*V$3/12,2),2))</f>
      </c>
      <c r="C407" s="33">
        <f>IF(AQ406&lt;=0,0,ROUND(AQ406+ROUND(AQ406*W$3/12,2),2))</f>
      </c>
      <c r="D407" s="33">
        <f>IF(AR406&lt;=0,0,ROUND(AR406+ROUND(AR406*X$3/12,2),2))</f>
      </c>
      <c r="E407" s="33">
        <f>IF(AS406&lt;=0,0,ROUND(AS406+ROUND(AS406*Y$3/12,2),2))</f>
      </c>
      <c r="F407" s="33">
        <f>IF(AT406&lt;=0,0,ROUND(AT406+ROUND(AT406*Z$3/12,2),2))</f>
      </c>
      <c r="G407" s="33">
        <f>IF(AU406&lt;=0,0,ROUND(AU406+ROUND(AU406*AA$3/12,2),2))</f>
      </c>
      <c r="H407" s="33">
        <f>IF(AV406&lt;=0,0,ROUND(AV406+ROUND(AV406*AB$3/12,2),2))</f>
      </c>
      <c r="I407" s="33">
        <f>IF(AW406&lt;=0,0,ROUND(AW406+ROUND(AW406*AC$3/12,2),2))</f>
      </c>
      <c r="J407" s="33">
        <f>IF(AX406&lt;=0,0,ROUND(AX406+ROUND(AX406*AD$3/12,2),2))</f>
      </c>
      <c r="K407" s="33">
        <f>IF(AY406&lt;=0,0,ROUND(AY406+ROUND(AY406*AE$3/12,2),2))</f>
      </c>
      <c r="L407" s="33">
        <f>ROUND(MIN(MAX(0,N('Your debts'!$E$6)),B407),2)</f>
      </c>
      <c r="M407" s="33">
        <f>ROUND(MIN(MAX(0,N('Your debts'!$E$7)),C407),2)</f>
      </c>
      <c r="N407" s="33">
        <f>ROUND(MIN(MAX(0,N('Your debts'!$E$8)),D407),2)</f>
      </c>
      <c r="O407" s="33">
        <f>ROUND(MIN(MAX(0,N('Your debts'!$E$9)),E407),2)</f>
      </c>
      <c r="P407" s="33">
        <f>ROUND(MIN(MAX(0,N('Your debts'!$E$10)),F407),2)</f>
      </c>
      <c r="Q407" s="33">
        <f>ROUND(MIN(MAX(0,N('Your debts'!$E$11)),G407),2)</f>
      </c>
      <c r="R407" s="33">
        <f>ROUND(MIN(MAX(0,N('Your debts'!$E$12)),H407),2)</f>
      </c>
      <c r="S407" s="33">
        <f>ROUND(MIN(MAX(0,N('Your debts'!$E$13)),I407),2)</f>
      </c>
      <c r="T407" s="33">
        <f>ROUND(MIN(MAX(0,N('Your debts'!$E$14)),J407),2)</f>
      </c>
      <c r="U407" s="33">
        <f>ROUND(MIN(MAX(0,N('Your debts'!$E$15)),K407),2)</f>
      </c>
      <c r="V407" s="33">
        <f>ROUND(B407-L407,2)</f>
      </c>
      <c r="W407" s="33">
        <f>ROUND(C407-M407,2)</f>
      </c>
      <c r="X407" s="33">
        <f>ROUND(D407-N407,2)</f>
      </c>
      <c r="Y407" s="33">
        <f>ROUND(E407-O407,2)</f>
      </c>
      <c r="Z407" s="33">
        <f>ROUND(F407-P407,2)</f>
      </c>
      <c r="AA407" s="33">
        <f>ROUND(G407-Q407,2)</f>
      </c>
      <c r="AB407" s="33">
        <f>ROUND(H407-R407,2)</f>
      </c>
      <c r="AC407" s="33">
        <f>ROUND(I407-S407,2)</f>
      </c>
      <c r="AD407" s="33">
        <f>ROUND(J407-T407,2)</f>
      </c>
      <c r="AE407" s="33">
        <f>ROUND(K407-U407,2)</f>
      </c>
      <c r="AF407" s="33">
        <f>IF(V407&lt;=0,0,MAX(0,MIN(V407,ROUND($AZ407-SUMPRODUCT($V407:$AE407*($V407:$AE407&gt;0)*(($V407:$AE407&lt;V407)+($V407:$AE407=V407)*($V$3:$AE$3&gt;V$3)+($V407:$AE407=V407)*($V$3:$AE$3=V$3)*($V$2:$AE$2&lt;V$2))),2))))</f>
      </c>
      <c r="AG407" s="33">
        <f>IF(W407&lt;=0,0,MAX(0,MIN(W407,ROUND($AZ407-SUMPRODUCT($V407:$AE407*($V407:$AE407&gt;0)*(($V407:$AE407&lt;W407)+($V407:$AE407=W407)*($V$3:$AE$3&gt;W$3)+($V407:$AE407=W407)*($V$3:$AE$3=W$3)*($V$2:$AE$2&lt;W$2))),2))))</f>
      </c>
      <c r="AH407" s="33">
        <f>IF(X407&lt;=0,0,MAX(0,MIN(X407,ROUND($AZ407-SUMPRODUCT($V407:$AE407*($V407:$AE407&gt;0)*(($V407:$AE407&lt;X407)+($V407:$AE407=X407)*($V$3:$AE$3&gt;X$3)+($V407:$AE407=X407)*($V$3:$AE$3=X$3)*($V$2:$AE$2&lt;X$2))),2))))</f>
      </c>
      <c r="AI407" s="33">
        <f>IF(Y407&lt;=0,0,MAX(0,MIN(Y407,ROUND($AZ407-SUMPRODUCT($V407:$AE407*($V407:$AE407&gt;0)*(($V407:$AE407&lt;Y407)+($V407:$AE407=Y407)*($V$3:$AE$3&gt;Y$3)+($V407:$AE407=Y407)*($V$3:$AE$3=Y$3)*($V$2:$AE$2&lt;Y$2))),2))))</f>
      </c>
      <c r="AJ407" s="33">
        <f>IF(Z407&lt;=0,0,MAX(0,MIN(Z407,ROUND($AZ407-SUMPRODUCT($V407:$AE407*($V407:$AE407&gt;0)*(($V407:$AE407&lt;Z407)+($V407:$AE407=Z407)*($V$3:$AE$3&gt;Z$3)+($V407:$AE407=Z407)*($V$3:$AE$3=Z$3)*($V$2:$AE$2&lt;Z$2))),2))))</f>
      </c>
      <c r="AK407" s="33">
        <f>IF(AA407&lt;=0,0,MAX(0,MIN(AA407,ROUND($AZ407-SUMPRODUCT($V407:$AE407*($V407:$AE407&gt;0)*(($V407:$AE407&lt;AA407)+($V407:$AE407=AA407)*($V$3:$AE$3&gt;AA$3)+($V407:$AE407=AA407)*($V$3:$AE$3=AA$3)*($V$2:$AE$2&lt;AA$2))),2))))</f>
      </c>
      <c r="AL407" s="33">
        <f>IF(AB407&lt;=0,0,MAX(0,MIN(AB407,ROUND($AZ407-SUMPRODUCT($V407:$AE407*($V407:$AE407&gt;0)*(($V407:$AE407&lt;AB407)+($V407:$AE407=AB407)*($V$3:$AE$3&gt;AB$3)+($V407:$AE407=AB407)*($V$3:$AE$3=AB$3)*($V$2:$AE$2&lt;AB$2))),2))))</f>
      </c>
      <c r="AM407" s="33">
        <f>IF(AC407&lt;=0,0,MAX(0,MIN(AC407,ROUND($AZ407-SUMPRODUCT($V407:$AE407*($V407:$AE407&gt;0)*(($V407:$AE407&lt;AC407)+($V407:$AE407=AC407)*($V$3:$AE$3&gt;AC$3)+($V407:$AE407=AC407)*($V$3:$AE$3=AC$3)*($V$2:$AE$2&lt;AC$2))),2))))</f>
      </c>
      <c r="AN407" s="33">
        <f>IF(AD407&lt;=0,0,MAX(0,MIN(AD407,ROUND($AZ407-SUMPRODUCT($V407:$AE407*($V407:$AE407&gt;0)*(($V407:$AE407&lt;AD407)+($V407:$AE407=AD407)*($V$3:$AE$3&gt;AD$3)+($V407:$AE407=AD407)*($V$3:$AE$3=AD$3)*($V$2:$AE$2&lt;AD$2))),2))))</f>
      </c>
      <c r="AO407" s="33">
        <f>IF(AE407&lt;=0,0,MAX(0,MIN(AE407,ROUND($AZ407-SUMPRODUCT($V407:$AE407*($V407:$AE407&gt;0)*(($V407:$AE407&lt;AE407)+($V407:$AE407=AE407)*($V$3:$AE$3&gt;AE$3)+($V407:$AE407=AE407)*($V$3:$AE$3=AE$3)*($V$2:$AE$2&lt;AE$2))),2))))</f>
      </c>
      <c r="AP407" s="33">
        <f>ROUND(V407-AF407,2)</f>
      </c>
      <c r="AQ407" s="33">
        <f>ROUND(W407-AG407,2)</f>
      </c>
      <c r="AR407" s="33">
        <f>ROUND(X407-AH407,2)</f>
      </c>
      <c r="AS407" s="33">
        <f>ROUND(Y407-AI407,2)</f>
      </c>
      <c r="AT407" s="33">
        <f>ROUND(Z407-AJ407,2)</f>
      </c>
      <c r="AU407" s="33">
        <f>ROUND(AA407-AK407,2)</f>
      </c>
      <c r="AV407" s="33">
        <f>ROUND(AB407-AL407,2)</f>
      </c>
      <c r="AW407" s="33">
        <f>ROUND(AC407-AM407,2)</f>
      </c>
      <c r="AX407" s="33">
        <f>ROUND(AD407-AN407,2)</f>
      </c>
      <c r="AY407" s="33">
        <f>ROUND(AE407-AO407,2)</f>
      </c>
      <c r="AZ407" s="33">
        <f>ROUND(MAX(0,'Your debts'!$D$22-SUM($L407:$U407)),2)</f>
      </c>
      <c r="BA407" s="33">
        <f>ROUND(SUM($B407:$K407)-SUM($AP406:$AY406),2)</f>
      </c>
      <c r="BB407" s="33">
        <f>SUM($AP407:$AY407)</f>
      </c>
      <c r="BC407" s="33">
        <f>ROUND(SUM($L407:$U407)+SUM($AF407:$AO407),2)</f>
      </c>
    </row>
    <row r="408" spans="1:55" x14ac:dyDescent="0.25">
      <c r="A408">
        <v>401</v>
      </c>
      <c r="B408" s="33">
        <f>IF(AP407&lt;=0,0,ROUND(AP407+ROUND(AP407*V$3/12,2),2))</f>
      </c>
      <c r="C408" s="33">
        <f>IF(AQ407&lt;=0,0,ROUND(AQ407+ROUND(AQ407*W$3/12,2),2))</f>
      </c>
      <c r="D408" s="33">
        <f>IF(AR407&lt;=0,0,ROUND(AR407+ROUND(AR407*X$3/12,2),2))</f>
      </c>
      <c r="E408" s="33">
        <f>IF(AS407&lt;=0,0,ROUND(AS407+ROUND(AS407*Y$3/12,2),2))</f>
      </c>
      <c r="F408" s="33">
        <f>IF(AT407&lt;=0,0,ROUND(AT407+ROUND(AT407*Z$3/12,2),2))</f>
      </c>
      <c r="G408" s="33">
        <f>IF(AU407&lt;=0,0,ROUND(AU407+ROUND(AU407*AA$3/12,2),2))</f>
      </c>
      <c r="H408" s="33">
        <f>IF(AV407&lt;=0,0,ROUND(AV407+ROUND(AV407*AB$3/12,2),2))</f>
      </c>
      <c r="I408" s="33">
        <f>IF(AW407&lt;=0,0,ROUND(AW407+ROUND(AW407*AC$3/12,2),2))</f>
      </c>
      <c r="J408" s="33">
        <f>IF(AX407&lt;=0,0,ROUND(AX407+ROUND(AX407*AD$3/12,2),2))</f>
      </c>
      <c r="K408" s="33">
        <f>IF(AY407&lt;=0,0,ROUND(AY407+ROUND(AY407*AE$3/12,2),2))</f>
      </c>
      <c r="L408" s="33">
        <f>ROUND(MIN(MAX(0,N('Your debts'!$E$6)),B408),2)</f>
      </c>
      <c r="M408" s="33">
        <f>ROUND(MIN(MAX(0,N('Your debts'!$E$7)),C408),2)</f>
      </c>
      <c r="N408" s="33">
        <f>ROUND(MIN(MAX(0,N('Your debts'!$E$8)),D408),2)</f>
      </c>
      <c r="O408" s="33">
        <f>ROUND(MIN(MAX(0,N('Your debts'!$E$9)),E408),2)</f>
      </c>
      <c r="P408" s="33">
        <f>ROUND(MIN(MAX(0,N('Your debts'!$E$10)),F408),2)</f>
      </c>
      <c r="Q408" s="33">
        <f>ROUND(MIN(MAX(0,N('Your debts'!$E$11)),G408),2)</f>
      </c>
      <c r="R408" s="33">
        <f>ROUND(MIN(MAX(0,N('Your debts'!$E$12)),H408),2)</f>
      </c>
      <c r="S408" s="33">
        <f>ROUND(MIN(MAX(0,N('Your debts'!$E$13)),I408),2)</f>
      </c>
      <c r="T408" s="33">
        <f>ROUND(MIN(MAX(0,N('Your debts'!$E$14)),J408),2)</f>
      </c>
      <c r="U408" s="33">
        <f>ROUND(MIN(MAX(0,N('Your debts'!$E$15)),K408),2)</f>
      </c>
      <c r="V408" s="33">
        <f>ROUND(B408-L408,2)</f>
      </c>
      <c r="W408" s="33">
        <f>ROUND(C408-M408,2)</f>
      </c>
      <c r="X408" s="33">
        <f>ROUND(D408-N408,2)</f>
      </c>
      <c r="Y408" s="33">
        <f>ROUND(E408-O408,2)</f>
      </c>
      <c r="Z408" s="33">
        <f>ROUND(F408-P408,2)</f>
      </c>
      <c r="AA408" s="33">
        <f>ROUND(G408-Q408,2)</f>
      </c>
      <c r="AB408" s="33">
        <f>ROUND(H408-R408,2)</f>
      </c>
      <c r="AC408" s="33">
        <f>ROUND(I408-S408,2)</f>
      </c>
      <c r="AD408" s="33">
        <f>ROUND(J408-T408,2)</f>
      </c>
      <c r="AE408" s="33">
        <f>ROUND(K408-U408,2)</f>
      </c>
      <c r="AF408" s="33">
        <f>IF(V408&lt;=0,0,MAX(0,MIN(V408,ROUND($AZ408-SUMPRODUCT($V408:$AE408*($V408:$AE408&gt;0)*(($V408:$AE408&lt;V408)+($V408:$AE408=V408)*($V$3:$AE$3&gt;V$3)+($V408:$AE408=V408)*($V$3:$AE$3=V$3)*($V$2:$AE$2&lt;V$2))),2))))</f>
      </c>
      <c r="AG408" s="33">
        <f>IF(W408&lt;=0,0,MAX(0,MIN(W408,ROUND($AZ408-SUMPRODUCT($V408:$AE408*($V408:$AE408&gt;0)*(($V408:$AE408&lt;W408)+($V408:$AE408=W408)*($V$3:$AE$3&gt;W$3)+($V408:$AE408=W408)*($V$3:$AE$3=W$3)*($V$2:$AE$2&lt;W$2))),2))))</f>
      </c>
      <c r="AH408" s="33">
        <f>IF(X408&lt;=0,0,MAX(0,MIN(X408,ROUND($AZ408-SUMPRODUCT($V408:$AE408*($V408:$AE408&gt;0)*(($V408:$AE408&lt;X408)+($V408:$AE408=X408)*($V$3:$AE$3&gt;X$3)+($V408:$AE408=X408)*($V$3:$AE$3=X$3)*($V$2:$AE$2&lt;X$2))),2))))</f>
      </c>
      <c r="AI408" s="33">
        <f>IF(Y408&lt;=0,0,MAX(0,MIN(Y408,ROUND($AZ408-SUMPRODUCT($V408:$AE408*($V408:$AE408&gt;0)*(($V408:$AE408&lt;Y408)+($V408:$AE408=Y408)*($V$3:$AE$3&gt;Y$3)+($V408:$AE408=Y408)*($V$3:$AE$3=Y$3)*($V$2:$AE$2&lt;Y$2))),2))))</f>
      </c>
      <c r="AJ408" s="33">
        <f>IF(Z408&lt;=0,0,MAX(0,MIN(Z408,ROUND($AZ408-SUMPRODUCT($V408:$AE408*($V408:$AE408&gt;0)*(($V408:$AE408&lt;Z408)+($V408:$AE408=Z408)*($V$3:$AE$3&gt;Z$3)+($V408:$AE408=Z408)*($V$3:$AE$3=Z$3)*($V$2:$AE$2&lt;Z$2))),2))))</f>
      </c>
      <c r="AK408" s="33">
        <f>IF(AA408&lt;=0,0,MAX(0,MIN(AA408,ROUND($AZ408-SUMPRODUCT($V408:$AE408*($V408:$AE408&gt;0)*(($V408:$AE408&lt;AA408)+($V408:$AE408=AA408)*($V$3:$AE$3&gt;AA$3)+($V408:$AE408=AA408)*($V$3:$AE$3=AA$3)*($V$2:$AE$2&lt;AA$2))),2))))</f>
      </c>
      <c r="AL408" s="33">
        <f>IF(AB408&lt;=0,0,MAX(0,MIN(AB408,ROUND($AZ408-SUMPRODUCT($V408:$AE408*($V408:$AE408&gt;0)*(($V408:$AE408&lt;AB408)+($V408:$AE408=AB408)*($V$3:$AE$3&gt;AB$3)+($V408:$AE408=AB408)*($V$3:$AE$3=AB$3)*($V$2:$AE$2&lt;AB$2))),2))))</f>
      </c>
      <c r="AM408" s="33">
        <f>IF(AC408&lt;=0,0,MAX(0,MIN(AC408,ROUND($AZ408-SUMPRODUCT($V408:$AE408*($V408:$AE408&gt;0)*(($V408:$AE408&lt;AC408)+($V408:$AE408=AC408)*($V$3:$AE$3&gt;AC$3)+($V408:$AE408=AC408)*($V$3:$AE$3=AC$3)*($V$2:$AE$2&lt;AC$2))),2))))</f>
      </c>
      <c r="AN408" s="33">
        <f>IF(AD408&lt;=0,0,MAX(0,MIN(AD408,ROUND($AZ408-SUMPRODUCT($V408:$AE408*($V408:$AE408&gt;0)*(($V408:$AE408&lt;AD408)+($V408:$AE408=AD408)*($V$3:$AE$3&gt;AD$3)+($V408:$AE408=AD408)*($V$3:$AE$3=AD$3)*($V$2:$AE$2&lt;AD$2))),2))))</f>
      </c>
      <c r="AO408" s="33">
        <f>IF(AE408&lt;=0,0,MAX(0,MIN(AE408,ROUND($AZ408-SUMPRODUCT($V408:$AE408*($V408:$AE408&gt;0)*(($V408:$AE408&lt;AE408)+($V408:$AE408=AE408)*($V$3:$AE$3&gt;AE$3)+($V408:$AE408=AE408)*($V$3:$AE$3=AE$3)*($V$2:$AE$2&lt;AE$2))),2))))</f>
      </c>
      <c r="AP408" s="33">
        <f>ROUND(V408-AF408,2)</f>
      </c>
      <c r="AQ408" s="33">
        <f>ROUND(W408-AG408,2)</f>
      </c>
      <c r="AR408" s="33">
        <f>ROUND(X408-AH408,2)</f>
      </c>
      <c r="AS408" s="33">
        <f>ROUND(Y408-AI408,2)</f>
      </c>
      <c r="AT408" s="33">
        <f>ROUND(Z408-AJ408,2)</f>
      </c>
      <c r="AU408" s="33">
        <f>ROUND(AA408-AK408,2)</f>
      </c>
      <c r="AV408" s="33">
        <f>ROUND(AB408-AL408,2)</f>
      </c>
      <c r="AW408" s="33">
        <f>ROUND(AC408-AM408,2)</f>
      </c>
      <c r="AX408" s="33">
        <f>ROUND(AD408-AN408,2)</f>
      </c>
      <c r="AY408" s="33">
        <f>ROUND(AE408-AO408,2)</f>
      </c>
      <c r="AZ408" s="33">
        <f>ROUND(MAX(0,'Your debts'!$D$22-SUM($L408:$U408)),2)</f>
      </c>
      <c r="BA408" s="33">
        <f>ROUND(SUM($B408:$K408)-SUM($AP407:$AY407),2)</f>
      </c>
      <c r="BB408" s="33">
        <f>SUM($AP408:$AY408)</f>
      </c>
      <c r="BC408" s="33">
        <f>ROUND(SUM($L408:$U408)+SUM($AF408:$AO408),2)</f>
      </c>
    </row>
    <row r="409" spans="1:55" x14ac:dyDescent="0.25">
      <c r="A409">
        <v>402</v>
      </c>
      <c r="B409" s="33">
        <f>IF(AP408&lt;=0,0,ROUND(AP408+ROUND(AP408*V$3/12,2),2))</f>
      </c>
      <c r="C409" s="33">
        <f>IF(AQ408&lt;=0,0,ROUND(AQ408+ROUND(AQ408*W$3/12,2),2))</f>
      </c>
      <c r="D409" s="33">
        <f>IF(AR408&lt;=0,0,ROUND(AR408+ROUND(AR408*X$3/12,2),2))</f>
      </c>
      <c r="E409" s="33">
        <f>IF(AS408&lt;=0,0,ROUND(AS408+ROUND(AS408*Y$3/12,2),2))</f>
      </c>
      <c r="F409" s="33">
        <f>IF(AT408&lt;=0,0,ROUND(AT408+ROUND(AT408*Z$3/12,2),2))</f>
      </c>
      <c r="G409" s="33">
        <f>IF(AU408&lt;=0,0,ROUND(AU408+ROUND(AU408*AA$3/12,2),2))</f>
      </c>
      <c r="H409" s="33">
        <f>IF(AV408&lt;=0,0,ROUND(AV408+ROUND(AV408*AB$3/12,2),2))</f>
      </c>
      <c r="I409" s="33">
        <f>IF(AW408&lt;=0,0,ROUND(AW408+ROUND(AW408*AC$3/12,2),2))</f>
      </c>
      <c r="J409" s="33">
        <f>IF(AX408&lt;=0,0,ROUND(AX408+ROUND(AX408*AD$3/12,2),2))</f>
      </c>
      <c r="K409" s="33">
        <f>IF(AY408&lt;=0,0,ROUND(AY408+ROUND(AY408*AE$3/12,2),2))</f>
      </c>
      <c r="L409" s="33">
        <f>ROUND(MIN(MAX(0,N('Your debts'!$E$6)),B409),2)</f>
      </c>
      <c r="M409" s="33">
        <f>ROUND(MIN(MAX(0,N('Your debts'!$E$7)),C409),2)</f>
      </c>
      <c r="N409" s="33">
        <f>ROUND(MIN(MAX(0,N('Your debts'!$E$8)),D409),2)</f>
      </c>
      <c r="O409" s="33">
        <f>ROUND(MIN(MAX(0,N('Your debts'!$E$9)),E409),2)</f>
      </c>
      <c r="P409" s="33">
        <f>ROUND(MIN(MAX(0,N('Your debts'!$E$10)),F409),2)</f>
      </c>
      <c r="Q409" s="33">
        <f>ROUND(MIN(MAX(0,N('Your debts'!$E$11)),G409),2)</f>
      </c>
      <c r="R409" s="33">
        <f>ROUND(MIN(MAX(0,N('Your debts'!$E$12)),H409),2)</f>
      </c>
      <c r="S409" s="33">
        <f>ROUND(MIN(MAX(0,N('Your debts'!$E$13)),I409),2)</f>
      </c>
      <c r="T409" s="33">
        <f>ROUND(MIN(MAX(0,N('Your debts'!$E$14)),J409),2)</f>
      </c>
      <c r="U409" s="33">
        <f>ROUND(MIN(MAX(0,N('Your debts'!$E$15)),K409),2)</f>
      </c>
      <c r="V409" s="33">
        <f>ROUND(B409-L409,2)</f>
      </c>
      <c r="W409" s="33">
        <f>ROUND(C409-M409,2)</f>
      </c>
      <c r="X409" s="33">
        <f>ROUND(D409-N409,2)</f>
      </c>
      <c r="Y409" s="33">
        <f>ROUND(E409-O409,2)</f>
      </c>
      <c r="Z409" s="33">
        <f>ROUND(F409-P409,2)</f>
      </c>
      <c r="AA409" s="33">
        <f>ROUND(G409-Q409,2)</f>
      </c>
      <c r="AB409" s="33">
        <f>ROUND(H409-R409,2)</f>
      </c>
      <c r="AC409" s="33">
        <f>ROUND(I409-S409,2)</f>
      </c>
      <c r="AD409" s="33">
        <f>ROUND(J409-T409,2)</f>
      </c>
      <c r="AE409" s="33">
        <f>ROUND(K409-U409,2)</f>
      </c>
      <c r="AF409" s="33">
        <f>IF(V409&lt;=0,0,MAX(0,MIN(V409,ROUND($AZ409-SUMPRODUCT($V409:$AE409*($V409:$AE409&gt;0)*(($V409:$AE409&lt;V409)+($V409:$AE409=V409)*($V$3:$AE$3&gt;V$3)+($V409:$AE409=V409)*($V$3:$AE$3=V$3)*($V$2:$AE$2&lt;V$2))),2))))</f>
      </c>
      <c r="AG409" s="33">
        <f>IF(W409&lt;=0,0,MAX(0,MIN(W409,ROUND($AZ409-SUMPRODUCT($V409:$AE409*($V409:$AE409&gt;0)*(($V409:$AE409&lt;W409)+($V409:$AE409=W409)*($V$3:$AE$3&gt;W$3)+($V409:$AE409=W409)*($V$3:$AE$3=W$3)*($V$2:$AE$2&lt;W$2))),2))))</f>
      </c>
      <c r="AH409" s="33">
        <f>IF(X409&lt;=0,0,MAX(0,MIN(X409,ROUND($AZ409-SUMPRODUCT($V409:$AE409*($V409:$AE409&gt;0)*(($V409:$AE409&lt;X409)+($V409:$AE409=X409)*($V$3:$AE$3&gt;X$3)+($V409:$AE409=X409)*($V$3:$AE$3=X$3)*($V$2:$AE$2&lt;X$2))),2))))</f>
      </c>
      <c r="AI409" s="33">
        <f>IF(Y409&lt;=0,0,MAX(0,MIN(Y409,ROUND($AZ409-SUMPRODUCT($V409:$AE409*($V409:$AE409&gt;0)*(($V409:$AE409&lt;Y409)+($V409:$AE409=Y409)*($V$3:$AE$3&gt;Y$3)+($V409:$AE409=Y409)*($V$3:$AE$3=Y$3)*($V$2:$AE$2&lt;Y$2))),2))))</f>
      </c>
      <c r="AJ409" s="33">
        <f>IF(Z409&lt;=0,0,MAX(0,MIN(Z409,ROUND($AZ409-SUMPRODUCT($V409:$AE409*($V409:$AE409&gt;0)*(($V409:$AE409&lt;Z409)+($V409:$AE409=Z409)*($V$3:$AE$3&gt;Z$3)+($V409:$AE409=Z409)*($V$3:$AE$3=Z$3)*($V$2:$AE$2&lt;Z$2))),2))))</f>
      </c>
      <c r="AK409" s="33">
        <f>IF(AA409&lt;=0,0,MAX(0,MIN(AA409,ROUND($AZ409-SUMPRODUCT($V409:$AE409*($V409:$AE409&gt;0)*(($V409:$AE409&lt;AA409)+($V409:$AE409=AA409)*($V$3:$AE$3&gt;AA$3)+($V409:$AE409=AA409)*($V$3:$AE$3=AA$3)*($V$2:$AE$2&lt;AA$2))),2))))</f>
      </c>
      <c r="AL409" s="33">
        <f>IF(AB409&lt;=0,0,MAX(0,MIN(AB409,ROUND($AZ409-SUMPRODUCT($V409:$AE409*($V409:$AE409&gt;0)*(($V409:$AE409&lt;AB409)+($V409:$AE409=AB409)*($V$3:$AE$3&gt;AB$3)+($V409:$AE409=AB409)*($V$3:$AE$3=AB$3)*($V$2:$AE$2&lt;AB$2))),2))))</f>
      </c>
      <c r="AM409" s="33">
        <f>IF(AC409&lt;=0,0,MAX(0,MIN(AC409,ROUND($AZ409-SUMPRODUCT($V409:$AE409*($V409:$AE409&gt;0)*(($V409:$AE409&lt;AC409)+($V409:$AE409=AC409)*($V$3:$AE$3&gt;AC$3)+($V409:$AE409=AC409)*($V$3:$AE$3=AC$3)*($V$2:$AE$2&lt;AC$2))),2))))</f>
      </c>
      <c r="AN409" s="33">
        <f>IF(AD409&lt;=0,0,MAX(0,MIN(AD409,ROUND($AZ409-SUMPRODUCT($V409:$AE409*($V409:$AE409&gt;0)*(($V409:$AE409&lt;AD409)+($V409:$AE409=AD409)*($V$3:$AE$3&gt;AD$3)+($V409:$AE409=AD409)*($V$3:$AE$3=AD$3)*($V$2:$AE$2&lt;AD$2))),2))))</f>
      </c>
      <c r="AO409" s="33">
        <f>IF(AE409&lt;=0,0,MAX(0,MIN(AE409,ROUND($AZ409-SUMPRODUCT($V409:$AE409*($V409:$AE409&gt;0)*(($V409:$AE409&lt;AE409)+($V409:$AE409=AE409)*($V$3:$AE$3&gt;AE$3)+($V409:$AE409=AE409)*($V$3:$AE$3=AE$3)*($V$2:$AE$2&lt;AE$2))),2))))</f>
      </c>
      <c r="AP409" s="33">
        <f>ROUND(V409-AF409,2)</f>
      </c>
      <c r="AQ409" s="33">
        <f>ROUND(W409-AG409,2)</f>
      </c>
      <c r="AR409" s="33">
        <f>ROUND(X409-AH409,2)</f>
      </c>
      <c r="AS409" s="33">
        <f>ROUND(Y409-AI409,2)</f>
      </c>
      <c r="AT409" s="33">
        <f>ROUND(Z409-AJ409,2)</f>
      </c>
      <c r="AU409" s="33">
        <f>ROUND(AA409-AK409,2)</f>
      </c>
      <c r="AV409" s="33">
        <f>ROUND(AB409-AL409,2)</f>
      </c>
      <c r="AW409" s="33">
        <f>ROUND(AC409-AM409,2)</f>
      </c>
      <c r="AX409" s="33">
        <f>ROUND(AD409-AN409,2)</f>
      </c>
      <c r="AY409" s="33">
        <f>ROUND(AE409-AO409,2)</f>
      </c>
      <c r="AZ409" s="33">
        <f>ROUND(MAX(0,'Your debts'!$D$22-SUM($L409:$U409)),2)</f>
      </c>
      <c r="BA409" s="33">
        <f>ROUND(SUM($B409:$K409)-SUM($AP408:$AY408),2)</f>
      </c>
      <c r="BB409" s="33">
        <f>SUM($AP409:$AY409)</f>
      </c>
      <c r="BC409" s="33">
        <f>ROUND(SUM($L409:$U409)+SUM($AF409:$AO409),2)</f>
      </c>
    </row>
    <row r="410" spans="1:55" x14ac:dyDescent="0.25">
      <c r="A410">
        <v>403</v>
      </c>
      <c r="B410" s="33">
        <f>IF(AP409&lt;=0,0,ROUND(AP409+ROUND(AP409*V$3/12,2),2))</f>
      </c>
      <c r="C410" s="33">
        <f>IF(AQ409&lt;=0,0,ROUND(AQ409+ROUND(AQ409*W$3/12,2),2))</f>
      </c>
      <c r="D410" s="33">
        <f>IF(AR409&lt;=0,0,ROUND(AR409+ROUND(AR409*X$3/12,2),2))</f>
      </c>
      <c r="E410" s="33">
        <f>IF(AS409&lt;=0,0,ROUND(AS409+ROUND(AS409*Y$3/12,2),2))</f>
      </c>
      <c r="F410" s="33">
        <f>IF(AT409&lt;=0,0,ROUND(AT409+ROUND(AT409*Z$3/12,2),2))</f>
      </c>
      <c r="G410" s="33">
        <f>IF(AU409&lt;=0,0,ROUND(AU409+ROUND(AU409*AA$3/12,2),2))</f>
      </c>
      <c r="H410" s="33">
        <f>IF(AV409&lt;=0,0,ROUND(AV409+ROUND(AV409*AB$3/12,2),2))</f>
      </c>
      <c r="I410" s="33">
        <f>IF(AW409&lt;=0,0,ROUND(AW409+ROUND(AW409*AC$3/12,2),2))</f>
      </c>
      <c r="J410" s="33">
        <f>IF(AX409&lt;=0,0,ROUND(AX409+ROUND(AX409*AD$3/12,2),2))</f>
      </c>
      <c r="K410" s="33">
        <f>IF(AY409&lt;=0,0,ROUND(AY409+ROUND(AY409*AE$3/12,2),2))</f>
      </c>
      <c r="L410" s="33">
        <f>ROUND(MIN(MAX(0,N('Your debts'!$E$6)),B410),2)</f>
      </c>
      <c r="M410" s="33">
        <f>ROUND(MIN(MAX(0,N('Your debts'!$E$7)),C410),2)</f>
      </c>
      <c r="N410" s="33">
        <f>ROUND(MIN(MAX(0,N('Your debts'!$E$8)),D410),2)</f>
      </c>
      <c r="O410" s="33">
        <f>ROUND(MIN(MAX(0,N('Your debts'!$E$9)),E410),2)</f>
      </c>
      <c r="P410" s="33">
        <f>ROUND(MIN(MAX(0,N('Your debts'!$E$10)),F410),2)</f>
      </c>
      <c r="Q410" s="33">
        <f>ROUND(MIN(MAX(0,N('Your debts'!$E$11)),G410),2)</f>
      </c>
      <c r="R410" s="33">
        <f>ROUND(MIN(MAX(0,N('Your debts'!$E$12)),H410),2)</f>
      </c>
      <c r="S410" s="33">
        <f>ROUND(MIN(MAX(0,N('Your debts'!$E$13)),I410),2)</f>
      </c>
      <c r="T410" s="33">
        <f>ROUND(MIN(MAX(0,N('Your debts'!$E$14)),J410),2)</f>
      </c>
      <c r="U410" s="33">
        <f>ROUND(MIN(MAX(0,N('Your debts'!$E$15)),K410),2)</f>
      </c>
      <c r="V410" s="33">
        <f>ROUND(B410-L410,2)</f>
      </c>
      <c r="W410" s="33">
        <f>ROUND(C410-M410,2)</f>
      </c>
      <c r="X410" s="33">
        <f>ROUND(D410-N410,2)</f>
      </c>
      <c r="Y410" s="33">
        <f>ROUND(E410-O410,2)</f>
      </c>
      <c r="Z410" s="33">
        <f>ROUND(F410-P410,2)</f>
      </c>
      <c r="AA410" s="33">
        <f>ROUND(G410-Q410,2)</f>
      </c>
      <c r="AB410" s="33">
        <f>ROUND(H410-R410,2)</f>
      </c>
      <c r="AC410" s="33">
        <f>ROUND(I410-S410,2)</f>
      </c>
      <c r="AD410" s="33">
        <f>ROUND(J410-T410,2)</f>
      </c>
      <c r="AE410" s="33">
        <f>ROUND(K410-U410,2)</f>
      </c>
      <c r="AF410" s="33">
        <f>IF(V410&lt;=0,0,MAX(0,MIN(V410,ROUND($AZ410-SUMPRODUCT($V410:$AE410*($V410:$AE410&gt;0)*(($V410:$AE410&lt;V410)+($V410:$AE410=V410)*($V$3:$AE$3&gt;V$3)+($V410:$AE410=V410)*($V$3:$AE$3=V$3)*($V$2:$AE$2&lt;V$2))),2))))</f>
      </c>
      <c r="AG410" s="33">
        <f>IF(W410&lt;=0,0,MAX(0,MIN(W410,ROUND($AZ410-SUMPRODUCT($V410:$AE410*($V410:$AE410&gt;0)*(($V410:$AE410&lt;W410)+($V410:$AE410=W410)*($V$3:$AE$3&gt;W$3)+($V410:$AE410=W410)*($V$3:$AE$3=W$3)*($V$2:$AE$2&lt;W$2))),2))))</f>
      </c>
      <c r="AH410" s="33">
        <f>IF(X410&lt;=0,0,MAX(0,MIN(X410,ROUND($AZ410-SUMPRODUCT($V410:$AE410*($V410:$AE410&gt;0)*(($V410:$AE410&lt;X410)+($V410:$AE410=X410)*($V$3:$AE$3&gt;X$3)+($V410:$AE410=X410)*($V$3:$AE$3=X$3)*($V$2:$AE$2&lt;X$2))),2))))</f>
      </c>
      <c r="AI410" s="33">
        <f>IF(Y410&lt;=0,0,MAX(0,MIN(Y410,ROUND($AZ410-SUMPRODUCT($V410:$AE410*($V410:$AE410&gt;0)*(($V410:$AE410&lt;Y410)+($V410:$AE410=Y410)*($V$3:$AE$3&gt;Y$3)+($V410:$AE410=Y410)*($V$3:$AE$3=Y$3)*($V$2:$AE$2&lt;Y$2))),2))))</f>
      </c>
      <c r="AJ410" s="33">
        <f>IF(Z410&lt;=0,0,MAX(0,MIN(Z410,ROUND($AZ410-SUMPRODUCT($V410:$AE410*($V410:$AE410&gt;0)*(($V410:$AE410&lt;Z410)+($V410:$AE410=Z410)*($V$3:$AE$3&gt;Z$3)+($V410:$AE410=Z410)*($V$3:$AE$3=Z$3)*($V$2:$AE$2&lt;Z$2))),2))))</f>
      </c>
      <c r="AK410" s="33">
        <f>IF(AA410&lt;=0,0,MAX(0,MIN(AA410,ROUND($AZ410-SUMPRODUCT($V410:$AE410*($V410:$AE410&gt;0)*(($V410:$AE410&lt;AA410)+($V410:$AE410=AA410)*($V$3:$AE$3&gt;AA$3)+($V410:$AE410=AA410)*($V$3:$AE$3=AA$3)*($V$2:$AE$2&lt;AA$2))),2))))</f>
      </c>
      <c r="AL410" s="33">
        <f>IF(AB410&lt;=0,0,MAX(0,MIN(AB410,ROUND($AZ410-SUMPRODUCT($V410:$AE410*($V410:$AE410&gt;0)*(($V410:$AE410&lt;AB410)+($V410:$AE410=AB410)*($V$3:$AE$3&gt;AB$3)+($V410:$AE410=AB410)*($V$3:$AE$3=AB$3)*($V$2:$AE$2&lt;AB$2))),2))))</f>
      </c>
      <c r="AM410" s="33">
        <f>IF(AC410&lt;=0,0,MAX(0,MIN(AC410,ROUND($AZ410-SUMPRODUCT($V410:$AE410*($V410:$AE410&gt;0)*(($V410:$AE410&lt;AC410)+($V410:$AE410=AC410)*($V$3:$AE$3&gt;AC$3)+($V410:$AE410=AC410)*($V$3:$AE$3=AC$3)*($V$2:$AE$2&lt;AC$2))),2))))</f>
      </c>
      <c r="AN410" s="33">
        <f>IF(AD410&lt;=0,0,MAX(0,MIN(AD410,ROUND($AZ410-SUMPRODUCT($V410:$AE410*($V410:$AE410&gt;0)*(($V410:$AE410&lt;AD410)+($V410:$AE410=AD410)*($V$3:$AE$3&gt;AD$3)+($V410:$AE410=AD410)*($V$3:$AE$3=AD$3)*($V$2:$AE$2&lt;AD$2))),2))))</f>
      </c>
      <c r="AO410" s="33">
        <f>IF(AE410&lt;=0,0,MAX(0,MIN(AE410,ROUND($AZ410-SUMPRODUCT($V410:$AE410*($V410:$AE410&gt;0)*(($V410:$AE410&lt;AE410)+($V410:$AE410=AE410)*($V$3:$AE$3&gt;AE$3)+($V410:$AE410=AE410)*($V$3:$AE$3=AE$3)*($V$2:$AE$2&lt;AE$2))),2))))</f>
      </c>
      <c r="AP410" s="33">
        <f>ROUND(V410-AF410,2)</f>
      </c>
      <c r="AQ410" s="33">
        <f>ROUND(W410-AG410,2)</f>
      </c>
      <c r="AR410" s="33">
        <f>ROUND(X410-AH410,2)</f>
      </c>
      <c r="AS410" s="33">
        <f>ROUND(Y410-AI410,2)</f>
      </c>
      <c r="AT410" s="33">
        <f>ROUND(Z410-AJ410,2)</f>
      </c>
      <c r="AU410" s="33">
        <f>ROUND(AA410-AK410,2)</f>
      </c>
      <c r="AV410" s="33">
        <f>ROUND(AB410-AL410,2)</f>
      </c>
      <c r="AW410" s="33">
        <f>ROUND(AC410-AM410,2)</f>
      </c>
      <c r="AX410" s="33">
        <f>ROUND(AD410-AN410,2)</f>
      </c>
      <c r="AY410" s="33">
        <f>ROUND(AE410-AO410,2)</f>
      </c>
      <c r="AZ410" s="33">
        <f>ROUND(MAX(0,'Your debts'!$D$22-SUM($L410:$U410)),2)</f>
      </c>
      <c r="BA410" s="33">
        <f>ROUND(SUM($B410:$K410)-SUM($AP409:$AY409),2)</f>
      </c>
      <c r="BB410" s="33">
        <f>SUM($AP410:$AY410)</f>
      </c>
      <c r="BC410" s="33">
        <f>ROUND(SUM($L410:$U410)+SUM($AF410:$AO410),2)</f>
      </c>
    </row>
    <row r="411" spans="1:55" x14ac:dyDescent="0.25">
      <c r="A411">
        <v>404</v>
      </c>
      <c r="B411" s="33">
        <f>IF(AP410&lt;=0,0,ROUND(AP410+ROUND(AP410*V$3/12,2),2))</f>
      </c>
      <c r="C411" s="33">
        <f>IF(AQ410&lt;=0,0,ROUND(AQ410+ROUND(AQ410*W$3/12,2),2))</f>
      </c>
      <c r="D411" s="33">
        <f>IF(AR410&lt;=0,0,ROUND(AR410+ROUND(AR410*X$3/12,2),2))</f>
      </c>
      <c r="E411" s="33">
        <f>IF(AS410&lt;=0,0,ROUND(AS410+ROUND(AS410*Y$3/12,2),2))</f>
      </c>
      <c r="F411" s="33">
        <f>IF(AT410&lt;=0,0,ROUND(AT410+ROUND(AT410*Z$3/12,2),2))</f>
      </c>
      <c r="G411" s="33">
        <f>IF(AU410&lt;=0,0,ROUND(AU410+ROUND(AU410*AA$3/12,2),2))</f>
      </c>
      <c r="H411" s="33">
        <f>IF(AV410&lt;=0,0,ROUND(AV410+ROUND(AV410*AB$3/12,2),2))</f>
      </c>
      <c r="I411" s="33">
        <f>IF(AW410&lt;=0,0,ROUND(AW410+ROUND(AW410*AC$3/12,2),2))</f>
      </c>
      <c r="J411" s="33">
        <f>IF(AX410&lt;=0,0,ROUND(AX410+ROUND(AX410*AD$3/12,2),2))</f>
      </c>
      <c r="K411" s="33">
        <f>IF(AY410&lt;=0,0,ROUND(AY410+ROUND(AY410*AE$3/12,2),2))</f>
      </c>
      <c r="L411" s="33">
        <f>ROUND(MIN(MAX(0,N('Your debts'!$E$6)),B411),2)</f>
      </c>
      <c r="M411" s="33">
        <f>ROUND(MIN(MAX(0,N('Your debts'!$E$7)),C411),2)</f>
      </c>
      <c r="N411" s="33">
        <f>ROUND(MIN(MAX(0,N('Your debts'!$E$8)),D411),2)</f>
      </c>
      <c r="O411" s="33">
        <f>ROUND(MIN(MAX(0,N('Your debts'!$E$9)),E411),2)</f>
      </c>
      <c r="P411" s="33">
        <f>ROUND(MIN(MAX(0,N('Your debts'!$E$10)),F411),2)</f>
      </c>
      <c r="Q411" s="33">
        <f>ROUND(MIN(MAX(0,N('Your debts'!$E$11)),G411),2)</f>
      </c>
      <c r="R411" s="33">
        <f>ROUND(MIN(MAX(0,N('Your debts'!$E$12)),H411),2)</f>
      </c>
      <c r="S411" s="33">
        <f>ROUND(MIN(MAX(0,N('Your debts'!$E$13)),I411),2)</f>
      </c>
      <c r="T411" s="33">
        <f>ROUND(MIN(MAX(0,N('Your debts'!$E$14)),J411),2)</f>
      </c>
      <c r="U411" s="33">
        <f>ROUND(MIN(MAX(0,N('Your debts'!$E$15)),K411),2)</f>
      </c>
      <c r="V411" s="33">
        <f>ROUND(B411-L411,2)</f>
      </c>
      <c r="W411" s="33">
        <f>ROUND(C411-M411,2)</f>
      </c>
      <c r="X411" s="33">
        <f>ROUND(D411-N411,2)</f>
      </c>
      <c r="Y411" s="33">
        <f>ROUND(E411-O411,2)</f>
      </c>
      <c r="Z411" s="33">
        <f>ROUND(F411-P411,2)</f>
      </c>
      <c r="AA411" s="33">
        <f>ROUND(G411-Q411,2)</f>
      </c>
      <c r="AB411" s="33">
        <f>ROUND(H411-R411,2)</f>
      </c>
      <c r="AC411" s="33">
        <f>ROUND(I411-S411,2)</f>
      </c>
      <c r="AD411" s="33">
        <f>ROUND(J411-T411,2)</f>
      </c>
      <c r="AE411" s="33">
        <f>ROUND(K411-U411,2)</f>
      </c>
      <c r="AF411" s="33">
        <f>IF(V411&lt;=0,0,MAX(0,MIN(V411,ROUND($AZ411-SUMPRODUCT($V411:$AE411*($V411:$AE411&gt;0)*(($V411:$AE411&lt;V411)+($V411:$AE411=V411)*($V$3:$AE$3&gt;V$3)+($V411:$AE411=V411)*($V$3:$AE$3=V$3)*($V$2:$AE$2&lt;V$2))),2))))</f>
      </c>
      <c r="AG411" s="33">
        <f>IF(W411&lt;=0,0,MAX(0,MIN(W411,ROUND($AZ411-SUMPRODUCT($V411:$AE411*($V411:$AE411&gt;0)*(($V411:$AE411&lt;W411)+($V411:$AE411=W411)*($V$3:$AE$3&gt;W$3)+($V411:$AE411=W411)*($V$3:$AE$3=W$3)*($V$2:$AE$2&lt;W$2))),2))))</f>
      </c>
      <c r="AH411" s="33">
        <f>IF(X411&lt;=0,0,MAX(0,MIN(X411,ROUND($AZ411-SUMPRODUCT($V411:$AE411*($V411:$AE411&gt;0)*(($V411:$AE411&lt;X411)+($V411:$AE411=X411)*($V$3:$AE$3&gt;X$3)+($V411:$AE411=X411)*($V$3:$AE$3=X$3)*($V$2:$AE$2&lt;X$2))),2))))</f>
      </c>
      <c r="AI411" s="33">
        <f>IF(Y411&lt;=0,0,MAX(0,MIN(Y411,ROUND($AZ411-SUMPRODUCT($V411:$AE411*($V411:$AE411&gt;0)*(($V411:$AE411&lt;Y411)+($V411:$AE411=Y411)*($V$3:$AE$3&gt;Y$3)+($V411:$AE411=Y411)*($V$3:$AE$3=Y$3)*($V$2:$AE$2&lt;Y$2))),2))))</f>
      </c>
      <c r="AJ411" s="33">
        <f>IF(Z411&lt;=0,0,MAX(0,MIN(Z411,ROUND($AZ411-SUMPRODUCT($V411:$AE411*($V411:$AE411&gt;0)*(($V411:$AE411&lt;Z411)+($V411:$AE411=Z411)*($V$3:$AE$3&gt;Z$3)+($V411:$AE411=Z411)*($V$3:$AE$3=Z$3)*($V$2:$AE$2&lt;Z$2))),2))))</f>
      </c>
      <c r="AK411" s="33">
        <f>IF(AA411&lt;=0,0,MAX(0,MIN(AA411,ROUND($AZ411-SUMPRODUCT($V411:$AE411*($V411:$AE411&gt;0)*(($V411:$AE411&lt;AA411)+($V411:$AE411=AA411)*($V$3:$AE$3&gt;AA$3)+($V411:$AE411=AA411)*($V$3:$AE$3=AA$3)*($V$2:$AE$2&lt;AA$2))),2))))</f>
      </c>
      <c r="AL411" s="33">
        <f>IF(AB411&lt;=0,0,MAX(0,MIN(AB411,ROUND($AZ411-SUMPRODUCT($V411:$AE411*($V411:$AE411&gt;0)*(($V411:$AE411&lt;AB411)+($V411:$AE411=AB411)*($V$3:$AE$3&gt;AB$3)+($V411:$AE411=AB411)*($V$3:$AE$3=AB$3)*($V$2:$AE$2&lt;AB$2))),2))))</f>
      </c>
      <c r="AM411" s="33">
        <f>IF(AC411&lt;=0,0,MAX(0,MIN(AC411,ROUND($AZ411-SUMPRODUCT($V411:$AE411*($V411:$AE411&gt;0)*(($V411:$AE411&lt;AC411)+($V411:$AE411=AC411)*($V$3:$AE$3&gt;AC$3)+($V411:$AE411=AC411)*($V$3:$AE$3=AC$3)*($V$2:$AE$2&lt;AC$2))),2))))</f>
      </c>
      <c r="AN411" s="33">
        <f>IF(AD411&lt;=0,0,MAX(0,MIN(AD411,ROUND($AZ411-SUMPRODUCT($V411:$AE411*($V411:$AE411&gt;0)*(($V411:$AE411&lt;AD411)+($V411:$AE411=AD411)*($V$3:$AE$3&gt;AD$3)+($V411:$AE411=AD411)*($V$3:$AE$3=AD$3)*($V$2:$AE$2&lt;AD$2))),2))))</f>
      </c>
      <c r="AO411" s="33">
        <f>IF(AE411&lt;=0,0,MAX(0,MIN(AE411,ROUND($AZ411-SUMPRODUCT($V411:$AE411*($V411:$AE411&gt;0)*(($V411:$AE411&lt;AE411)+($V411:$AE411=AE411)*($V$3:$AE$3&gt;AE$3)+($V411:$AE411=AE411)*($V$3:$AE$3=AE$3)*($V$2:$AE$2&lt;AE$2))),2))))</f>
      </c>
      <c r="AP411" s="33">
        <f>ROUND(V411-AF411,2)</f>
      </c>
      <c r="AQ411" s="33">
        <f>ROUND(W411-AG411,2)</f>
      </c>
      <c r="AR411" s="33">
        <f>ROUND(X411-AH411,2)</f>
      </c>
      <c r="AS411" s="33">
        <f>ROUND(Y411-AI411,2)</f>
      </c>
      <c r="AT411" s="33">
        <f>ROUND(Z411-AJ411,2)</f>
      </c>
      <c r="AU411" s="33">
        <f>ROUND(AA411-AK411,2)</f>
      </c>
      <c r="AV411" s="33">
        <f>ROUND(AB411-AL411,2)</f>
      </c>
      <c r="AW411" s="33">
        <f>ROUND(AC411-AM411,2)</f>
      </c>
      <c r="AX411" s="33">
        <f>ROUND(AD411-AN411,2)</f>
      </c>
      <c r="AY411" s="33">
        <f>ROUND(AE411-AO411,2)</f>
      </c>
      <c r="AZ411" s="33">
        <f>ROUND(MAX(0,'Your debts'!$D$22-SUM($L411:$U411)),2)</f>
      </c>
      <c r="BA411" s="33">
        <f>ROUND(SUM($B411:$K411)-SUM($AP410:$AY410),2)</f>
      </c>
      <c r="BB411" s="33">
        <f>SUM($AP411:$AY411)</f>
      </c>
      <c r="BC411" s="33">
        <f>ROUND(SUM($L411:$U411)+SUM($AF411:$AO411),2)</f>
      </c>
    </row>
    <row r="412" spans="1:55" x14ac:dyDescent="0.25">
      <c r="A412">
        <v>405</v>
      </c>
      <c r="B412" s="33">
        <f>IF(AP411&lt;=0,0,ROUND(AP411+ROUND(AP411*V$3/12,2),2))</f>
      </c>
      <c r="C412" s="33">
        <f>IF(AQ411&lt;=0,0,ROUND(AQ411+ROUND(AQ411*W$3/12,2),2))</f>
      </c>
      <c r="D412" s="33">
        <f>IF(AR411&lt;=0,0,ROUND(AR411+ROUND(AR411*X$3/12,2),2))</f>
      </c>
      <c r="E412" s="33">
        <f>IF(AS411&lt;=0,0,ROUND(AS411+ROUND(AS411*Y$3/12,2),2))</f>
      </c>
      <c r="F412" s="33">
        <f>IF(AT411&lt;=0,0,ROUND(AT411+ROUND(AT411*Z$3/12,2),2))</f>
      </c>
      <c r="G412" s="33">
        <f>IF(AU411&lt;=0,0,ROUND(AU411+ROUND(AU411*AA$3/12,2),2))</f>
      </c>
      <c r="H412" s="33">
        <f>IF(AV411&lt;=0,0,ROUND(AV411+ROUND(AV411*AB$3/12,2),2))</f>
      </c>
      <c r="I412" s="33">
        <f>IF(AW411&lt;=0,0,ROUND(AW411+ROUND(AW411*AC$3/12,2),2))</f>
      </c>
      <c r="J412" s="33">
        <f>IF(AX411&lt;=0,0,ROUND(AX411+ROUND(AX411*AD$3/12,2),2))</f>
      </c>
      <c r="K412" s="33">
        <f>IF(AY411&lt;=0,0,ROUND(AY411+ROUND(AY411*AE$3/12,2),2))</f>
      </c>
      <c r="L412" s="33">
        <f>ROUND(MIN(MAX(0,N('Your debts'!$E$6)),B412),2)</f>
      </c>
      <c r="M412" s="33">
        <f>ROUND(MIN(MAX(0,N('Your debts'!$E$7)),C412),2)</f>
      </c>
      <c r="N412" s="33">
        <f>ROUND(MIN(MAX(0,N('Your debts'!$E$8)),D412),2)</f>
      </c>
      <c r="O412" s="33">
        <f>ROUND(MIN(MAX(0,N('Your debts'!$E$9)),E412),2)</f>
      </c>
      <c r="P412" s="33">
        <f>ROUND(MIN(MAX(0,N('Your debts'!$E$10)),F412),2)</f>
      </c>
      <c r="Q412" s="33">
        <f>ROUND(MIN(MAX(0,N('Your debts'!$E$11)),G412),2)</f>
      </c>
      <c r="R412" s="33">
        <f>ROUND(MIN(MAX(0,N('Your debts'!$E$12)),H412),2)</f>
      </c>
      <c r="S412" s="33">
        <f>ROUND(MIN(MAX(0,N('Your debts'!$E$13)),I412),2)</f>
      </c>
      <c r="T412" s="33">
        <f>ROUND(MIN(MAX(0,N('Your debts'!$E$14)),J412),2)</f>
      </c>
      <c r="U412" s="33">
        <f>ROUND(MIN(MAX(0,N('Your debts'!$E$15)),K412),2)</f>
      </c>
      <c r="V412" s="33">
        <f>ROUND(B412-L412,2)</f>
      </c>
      <c r="W412" s="33">
        <f>ROUND(C412-M412,2)</f>
      </c>
      <c r="X412" s="33">
        <f>ROUND(D412-N412,2)</f>
      </c>
      <c r="Y412" s="33">
        <f>ROUND(E412-O412,2)</f>
      </c>
      <c r="Z412" s="33">
        <f>ROUND(F412-P412,2)</f>
      </c>
      <c r="AA412" s="33">
        <f>ROUND(G412-Q412,2)</f>
      </c>
      <c r="AB412" s="33">
        <f>ROUND(H412-R412,2)</f>
      </c>
      <c r="AC412" s="33">
        <f>ROUND(I412-S412,2)</f>
      </c>
      <c r="AD412" s="33">
        <f>ROUND(J412-T412,2)</f>
      </c>
      <c r="AE412" s="33">
        <f>ROUND(K412-U412,2)</f>
      </c>
      <c r="AF412" s="33">
        <f>IF(V412&lt;=0,0,MAX(0,MIN(V412,ROUND($AZ412-SUMPRODUCT($V412:$AE412*($V412:$AE412&gt;0)*(($V412:$AE412&lt;V412)+($V412:$AE412=V412)*($V$3:$AE$3&gt;V$3)+($V412:$AE412=V412)*($V$3:$AE$3=V$3)*($V$2:$AE$2&lt;V$2))),2))))</f>
      </c>
      <c r="AG412" s="33">
        <f>IF(W412&lt;=0,0,MAX(0,MIN(W412,ROUND($AZ412-SUMPRODUCT($V412:$AE412*($V412:$AE412&gt;0)*(($V412:$AE412&lt;W412)+($V412:$AE412=W412)*($V$3:$AE$3&gt;W$3)+($V412:$AE412=W412)*($V$3:$AE$3=W$3)*($V$2:$AE$2&lt;W$2))),2))))</f>
      </c>
      <c r="AH412" s="33">
        <f>IF(X412&lt;=0,0,MAX(0,MIN(X412,ROUND($AZ412-SUMPRODUCT($V412:$AE412*($V412:$AE412&gt;0)*(($V412:$AE412&lt;X412)+($V412:$AE412=X412)*($V$3:$AE$3&gt;X$3)+($V412:$AE412=X412)*($V$3:$AE$3=X$3)*($V$2:$AE$2&lt;X$2))),2))))</f>
      </c>
      <c r="AI412" s="33">
        <f>IF(Y412&lt;=0,0,MAX(0,MIN(Y412,ROUND($AZ412-SUMPRODUCT($V412:$AE412*($V412:$AE412&gt;0)*(($V412:$AE412&lt;Y412)+($V412:$AE412=Y412)*($V$3:$AE$3&gt;Y$3)+($V412:$AE412=Y412)*($V$3:$AE$3=Y$3)*($V$2:$AE$2&lt;Y$2))),2))))</f>
      </c>
      <c r="AJ412" s="33">
        <f>IF(Z412&lt;=0,0,MAX(0,MIN(Z412,ROUND($AZ412-SUMPRODUCT($V412:$AE412*($V412:$AE412&gt;0)*(($V412:$AE412&lt;Z412)+($V412:$AE412=Z412)*($V$3:$AE$3&gt;Z$3)+($V412:$AE412=Z412)*($V$3:$AE$3=Z$3)*($V$2:$AE$2&lt;Z$2))),2))))</f>
      </c>
      <c r="AK412" s="33">
        <f>IF(AA412&lt;=0,0,MAX(0,MIN(AA412,ROUND($AZ412-SUMPRODUCT($V412:$AE412*($V412:$AE412&gt;0)*(($V412:$AE412&lt;AA412)+($V412:$AE412=AA412)*($V$3:$AE$3&gt;AA$3)+($V412:$AE412=AA412)*($V$3:$AE$3=AA$3)*($V$2:$AE$2&lt;AA$2))),2))))</f>
      </c>
      <c r="AL412" s="33">
        <f>IF(AB412&lt;=0,0,MAX(0,MIN(AB412,ROUND($AZ412-SUMPRODUCT($V412:$AE412*($V412:$AE412&gt;0)*(($V412:$AE412&lt;AB412)+($V412:$AE412=AB412)*($V$3:$AE$3&gt;AB$3)+($V412:$AE412=AB412)*($V$3:$AE$3=AB$3)*($V$2:$AE$2&lt;AB$2))),2))))</f>
      </c>
      <c r="AM412" s="33">
        <f>IF(AC412&lt;=0,0,MAX(0,MIN(AC412,ROUND($AZ412-SUMPRODUCT($V412:$AE412*($V412:$AE412&gt;0)*(($V412:$AE412&lt;AC412)+($V412:$AE412=AC412)*($V$3:$AE$3&gt;AC$3)+($V412:$AE412=AC412)*($V$3:$AE$3=AC$3)*($V$2:$AE$2&lt;AC$2))),2))))</f>
      </c>
      <c r="AN412" s="33">
        <f>IF(AD412&lt;=0,0,MAX(0,MIN(AD412,ROUND($AZ412-SUMPRODUCT($V412:$AE412*($V412:$AE412&gt;0)*(($V412:$AE412&lt;AD412)+($V412:$AE412=AD412)*($V$3:$AE$3&gt;AD$3)+($V412:$AE412=AD412)*($V$3:$AE$3=AD$3)*($V$2:$AE$2&lt;AD$2))),2))))</f>
      </c>
      <c r="AO412" s="33">
        <f>IF(AE412&lt;=0,0,MAX(0,MIN(AE412,ROUND($AZ412-SUMPRODUCT($V412:$AE412*($V412:$AE412&gt;0)*(($V412:$AE412&lt;AE412)+($V412:$AE412=AE412)*($V$3:$AE$3&gt;AE$3)+($V412:$AE412=AE412)*($V$3:$AE$3=AE$3)*($V$2:$AE$2&lt;AE$2))),2))))</f>
      </c>
      <c r="AP412" s="33">
        <f>ROUND(V412-AF412,2)</f>
      </c>
      <c r="AQ412" s="33">
        <f>ROUND(W412-AG412,2)</f>
      </c>
      <c r="AR412" s="33">
        <f>ROUND(X412-AH412,2)</f>
      </c>
      <c r="AS412" s="33">
        <f>ROUND(Y412-AI412,2)</f>
      </c>
      <c r="AT412" s="33">
        <f>ROUND(Z412-AJ412,2)</f>
      </c>
      <c r="AU412" s="33">
        <f>ROUND(AA412-AK412,2)</f>
      </c>
      <c r="AV412" s="33">
        <f>ROUND(AB412-AL412,2)</f>
      </c>
      <c r="AW412" s="33">
        <f>ROUND(AC412-AM412,2)</f>
      </c>
      <c r="AX412" s="33">
        <f>ROUND(AD412-AN412,2)</f>
      </c>
      <c r="AY412" s="33">
        <f>ROUND(AE412-AO412,2)</f>
      </c>
      <c r="AZ412" s="33">
        <f>ROUND(MAX(0,'Your debts'!$D$22-SUM($L412:$U412)),2)</f>
      </c>
      <c r="BA412" s="33">
        <f>ROUND(SUM($B412:$K412)-SUM($AP411:$AY411),2)</f>
      </c>
      <c r="BB412" s="33">
        <f>SUM($AP412:$AY412)</f>
      </c>
      <c r="BC412" s="33">
        <f>ROUND(SUM($L412:$U412)+SUM($AF412:$AO412),2)</f>
      </c>
    </row>
    <row r="413" spans="1:55" x14ac:dyDescent="0.25">
      <c r="A413">
        <v>406</v>
      </c>
      <c r="B413" s="33">
        <f>IF(AP412&lt;=0,0,ROUND(AP412+ROUND(AP412*V$3/12,2),2))</f>
      </c>
      <c r="C413" s="33">
        <f>IF(AQ412&lt;=0,0,ROUND(AQ412+ROUND(AQ412*W$3/12,2),2))</f>
      </c>
      <c r="D413" s="33">
        <f>IF(AR412&lt;=0,0,ROUND(AR412+ROUND(AR412*X$3/12,2),2))</f>
      </c>
      <c r="E413" s="33">
        <f>IF(AS412&lt;=0,0,ROUND(AS412+ROUND(AS412*Y$3/12,2),2))</f>
      </c>
      <c r="F413" s="33">
        <f>IF(AT412&lt;=0,0,ROUND(AT412+ROUND(AT412*Z$3/12,2),2))</f>
      </c>
      <c r="G413" s="33">
        <f>IF(AU412&lt;=0,0,ROUND(AU412+ROUND(AU412*AA$3/12,2),2))</f>
      </c>
      <c r="H413" s="33">
        <f>IF(AV412&lt;=0,0,ROUND(AV412+ROUND(AV412*AB$3/12,2),2))</f>
      </c>
      <c r="I413" s="33">
        <f>IF(AW412&lt;=0,0,ROUND(AW412+ROUND(AW412*AC$3/12,2),2))</f>
      </c>
      <c r="J413" s="33">
        <f>IF(AX412&lt;=0,0,ROUND(AX412+ROUND(AX412*AD$3/12,2),2))</f>
      </c>
      <c r="K413" s="33">
        <f>IF(AY412&lt;=0,0,ROUND(AY412+ROUND(AY412*AE$3/12,2),2))</f>
      </c>
      <c r="L413" s="33">
        <f>ROUND(MIN(MAX(0,N('Your debts'!$E$6)),B413),2)</f>
      </c>
      <c r="M413" s="33">
        <f>ROUND(MIN(MAX(0,N('Your debts'!$E$7)),C413),2)</f>
      </c>
      <c r="N413" s="33">
        <f>ROUND(MIN(MAX(0,N('Your debts'!$E$8)),D413),2)</f>
      </c>
      <c r="O413" s="33">
        <f>ROUND(MIN(MAX(0,N('Your debts'!$E$9)),E413),2)</f>
      </c>
      <c r="P413" s="33">
        <f>ROUND(MIN(MAX(0,N('Your debts'!$E$10)),F413),2)</f>
      </c>
      <c r="Q413" s="33">
        <f>ROUND(MIN(MAX(0,N('Your debts'!$E$11)),G413),2)</f>
      </c>
      <c r="R413" s="33">
        <f>ROUND(MIN(MAX(0,N('Your debts'!$E$12)),H413),2)</f>
      </c>
      <c r="S413" s="33">
        <f>ROUND(MIN(MAX(0,N('Your debts'!$E$13)),I413),2)</f>
      </c>
      <c r="T413" s="33">
        <f>ROUND(MIN(MAX(0,N('Your debts'!$E$14)),J413),2)</f>
      </c>
      <c r="U413" s="33">
        <f>ROUND(MIN(MAX(0,N('Your debts'!$E$15)),K413),2)</f>
      </c>
      <c r="V413" s="33">
        <f>ROUND(B413-L413,2)</f>
      </c>
      <c r="W413" s="33">
        <f>ROUND(C413-M413,2)</f>
      </c>
      <c r="X413" s="33">
        <f>ROUND(D413-N413,2)</f>
      </c>
      <c r="Y413" s="33">
        <f>ROUND(E413-O413,2)</f>
      </c>
      <c r="Z413" s="33">
        <f>ROUND(F413-P413,2)</f>
      </c>
      <c r="AA413" s="33">
        <f>ROUND(G413-Q413,2)</f>
      </c>
      <c r="AB413" s="33">
        <f>ROUND(H413-R413,2)</f>
      </c>
      <c r="AC413" s="33">
        <f>ROUND(I413-S413,2)</f>
      </c>
      <c r="AD413" s="33">
        <f>ROUND(J413-T413,2)</f>
      </c>
      <c r="AE413" s="33">
        <f>ROUND(K413-U413,2)</f>
      </c>
      <c r="AF413" s="33">
        <f>IF(V413&lt;=0,0,MAX(0,MIN(V413,ROUND($AZ413-SUMPRODUCT($V413:$AE413*($V413:$AE413&gt;0)*(($V413:$AE413&lt;V413)+($V413:$AE413=V413)*($V$3:$AE$3&gt;V$3)+($V413:$AE413=V413)*($V$3:$AE$3=V$3)*($V$2:$AE$2&lt;V$2))),2))))</f>
      </c>
      <c r="AG413" s="33">
        <f>IF(W413&lt;=0,0,MAX(0,MIN(W413,ROUND($AZ413-SUMPRODUCT($V413:$AE413*($V413:$AE413&gt;0)*(($V413:$AE413&lt;W413)+($V413:$AE413=W413)*($V$3:$AE$3&gt;W$3)+($V413:$AE413=W413)*($V$3:$AE$3=W$3)*($V$2:$AE$2&lt;W$2))),2))))</f>
      </c>
      <c r="AH413" s="33">
        <f>IF(X413&lt;=0,0,MAX(0,MIN(X413,ROUND($AZ413-SUMPRODUCT($V413:$AE413*($V413:$AE413&gt;0)*(($V413:$AE413&lt;X413)+($V413:$AE413=X413)*($V$3:$AE$3&gt;X$3)+($V413:$AE413=X413)*($V$3:$AE$3=X$3)*($V$2:$AE$2&lt;X$2))),2))))</f>
      </c>
      <c r="AI413" s="33">
        <f>IF(Y413&lt;=0,0,MAX(0,MIN(Y413,ROUND($AZ413-SUMPRODUCT($V413:$AE413*($V413:$AE413&gt;0)*(($V413:$AE413&lt;Y413)+($V413:$AE413=Y413)*($V$3:$AE$3&gt;Y$3)+($V413:$AE413=Y413)*($V$3:$AE$3=Y$3)*($V$2:$AE$2&lt;Y$2))),2))))</f>
      </c>
      <c r="AJ413" s="33">
        <f>IF(Z413&lt;=0,0,MAX(0,MIN(Z413,ROUND($AZ413-SUMPRODUCT($V413:$AE413*($V413:$AE413&gt;0)*(($V413:$AE413&lt;Z413)+($V413:$AE413=Z413)*($V$3:$AE$3&gt;Z$3)+($V413:$AE413=Z413)*($V$3:$AE$3=Z$3)*($V$2:$AE$2&lt;Z$2))),2))))</f>
      </c>
      <c r="AK413" s="33">
        <f>IF(AA413&lt;=0,0,MAX(0,MIN(AA413,ROUND($AZ413-SUMPRODUCT($V413:$AE413*($V413:$AE413&gt;0)*(($V413:$AE413&lt;AA413)+($V413:$AE413=AA413)*($V$3:$AE$3&gt;AA$3)+($V413:$AE413=AA413)*($V$3:$AE$3=AA$3)*($V$2:$AE$2&lt;AA$2))),2))))</f>
      </c>
      <c r="AL413" s="33">
        <f>IF(AB413&lt;=0,0,MAX(0,MIN(AB413,ROUND($AZ413-SUMPRODUCT($V413:$AE413*($V413:$AE413&gt;0)*(($V413:$AE413&lt;AB413)+($V413:$AE413=AB413)*($V$3:$AE$3&gt;AB$3)+($V413:$AE413=AB413)*($V$3:$AE$3=AB$3)*($V$2:$AE$2&lt;AB$2))),2))))</f>
      </c>
      <c r="AM413" s="33">
        <f>IF(AC413&lt;=0,0,MAX(0,MIN(AC413,ROUND($AZ413-SUMPRODUCT($V413:$AE413*($V413:$AE413&gt;0)*(($V413:$AE413&lt;AC413)+($V413:$AE413=AC413)*($V$3:$AE$3&gt;AC$3)+($V413:$AE413=AC413)*($V$3:$AE$3=AC$3)*($V$2:$AE$2&lt;AC$2))),2))))</f>
      </c>
      <c r="AN413" s="33">
        <f>IF(AD413&lt;=0,0,MAX(0,MIN(AD413,ROUND($AZ413-SUMPRODUCT($V413:$AE413*($V413:$AE413&gt;0)*(($V413:$AE413&lt;AD413)+($V413:$AE413=AD413)*($V$3:$AE$3&gt;AD$3)+($V413:$AE413=AD413)*($V$3:$AE$3=AD$3)*($V$2:$AE$2&lt;AD$2))),2))))</f>
      </c>
      <c r="AO413" s="33">
        <f>IF(AE413&lt;=0,0,MAX(0,MIN(AE413,ROUND($AZ413-SUMPRODUCT($V413:$AE413*($V413:$AE413&gt;0)*(($V413:$AE413&lt;AE413)+($V413:$AE413=AE413)*($V$3:$AE$3&gt;AE$3)+($V413:$AE413=AE413)*($V$3:$AE$3=AE$3)*($V$2:$AE$2&lt;AE$2))),2))))</f>
      </c>
      <c r="AP413" s="33">
        <f>ROUND(V413-AF413,2)</f>
      </c>
      <c r="AQ413" s="33">
        <f>ROUND(W413-AG413,2)</f>
      </c>
      <c r="AR413" s="33">
        <f>ROUND(X413-AH413,2)</f>
      </c>
      <c r="AS413" s="33">
        <f>ROUND(Y413-AI413,2)</f>
      </c>
      <c r="AT413" s="33">
        <f>ROUND(Z413-AJ413,2)</f>
      </c>
      <c r="AU413" s="33">
        <f>ROUND(AA413-AK413,2)</f>
      </c>
      <c r="AV413" s="33">
        <f>ROUND(AB413-AL413,2)</f>
      </c>
      <c r="AW413" s="33">
        <f>ROUND(AC413-AM413,2)</f>
      </c>
      <c r="AX413" s="33">
        <f>ROUND(AD413-AN413,2)</f>
      </c>
      <c r="AY413" s="33">
        <f>ROUND(AE413-AO413,2)</f>
      </c>
      <c r="AZ413" s="33">
        <f>ROUND(MAX(0,'Your debts'!$D$22-SUM($L413:$U413)),2)</f>
      </c>
      <c r="BA413" s="33">
        <f>ROUND(SUM($B413:$K413)-SUM($AP412:$AY412),2)</f>
      </c>
      <c r="BB413" s="33">
        <f>SUM($AP413:$AY413)</f>
      </c>
      <c r="BC413" s="33">
        <f>ROUND(SUM($L413:$U413)+SUM($AF413:$AO413),2)</f>
      </c>
    </row>
    <row r="414" spans="1:55" x14ac:dyDescent="0.25">
      <c r="A414">
        <v>407</v>
      </c>
      <c r="B414" s="33">
        <f>IF(AP413&lt;=0,0,ROUND(AP413+ROUND(AP413*V$3/12,2),2))</f>
      </c>
      <c r="C414" s="33">
        <f>IF(AQ413&lt;=0,0,ROUND(AQ413+ROUND(AQ413*W$3/12,2),2))</f>
      </c>
      <c r="D414" s="33">
        <f>IF(AR413&lt;=0,0,ROUND(AR413+ROUND(AR413*X$3/12,2),2))</f>
      </c>
      <c r="E414" s="33">
        <f>IF(AS413&lt;=0,0,ROUND(AS413+ROUND(AS413*Y$3/12,2),2))</f>
      </c>
      <c r="F414" s="33">
        <f>IF(AT413&lt;=0,0,ROUND(AT413+ROUND(AT413*Z$3/12,2),2))</f>
      </c>
      <c r="G414" s="33">
        <f>IF(AU413&lt;=0,0,ROUND(AU413+ROUND(AU413*AA$3/12,2),2))</f>
      </c>
      <c r="H414" s="33">
        <f>IF(AV413&lt;=0,0,ROUND(AV413+ROUND(AV413*AB$3/12,2),2))</f>
      </c>
      <c r="I414" s="33">
        <f>IF(AW413&lt;=0,0,ROUND(AW413+ROUND(AW413*AC$3/12,2),2))</f>
      </c>
      <c r="J414" s="33">
        <f>IF(AX413&lt;=0,0,ROUND(AX413+ROUND(AX413*AD$3/12,2),2))</f>
      </c>
      <c r="K414" s="33">
        <f>IF(AY413&lt;=0,0,ROUND(AY413+ROUND(AY413*AE$3/12,2),2))</f>
      </c>
      <c r="L414" s="33">
        <f>ROUND(MIN(MAX(0,N('Your debts'!$E$6)),B414),2)</f>
      </c>
      <c r="M414" s="33">
        <f>ROUND(MIN(MAX(0,N('Your debts'!$E$7)),C414),2)</f>
      </c>
      <c r="N414" s="33">
        <f>ROUND(MIN(MAX(0,N('Your debts'!$E$8)),D414),2)</f>
      </c>
      <c r="O414" s="33">
        <f>ROUND(MIN(MAX(0,N('Your debts'!$E$9)),E414),2)</f>
      </c>
      <c r="P414" s="33">
        <f>ROUND(MIN(MAX(0,N('Your debts'!$E$10)),F414),2)</f>
      </c>
      <c r="Q414" s="33">
        <f>ROUND(MIN(MAX(0,N('Your debts'!$E$11)),G414),2)</f>
      </c>
      <c r="R414" s="33">
        <f>ROUND(MIN(MAX(0,N('Your debts'!$E$12)),H414),2)</f>
      </c>
      <c r="S414" s="33">
        <f>ROUND(MIN(MAX(0,N('Your debts'!$E$13)),I414),2)</f>
      </c>
      <c r="T414" s="33">
        <f>ROUND(MIN(MAX(0,N('Your debts'!$E$14)),J414),2)</f>
      </c>
      <c r="U414" s="33">
        <f>ROUND(MIN(MAX(0,N('Your debts'!$E$15)),K414),2)</f>
      </c>
      <c r="V414" s="33">
        <f>ROUND(B414-L414,2)</f>
      </c>
      <c r="W414" s="33">
        <f>ROUND(C414-M414,2)</f>
      </c>
      <c r="X414" s="33">
        <f>ROUND(D414-N414,2)</f>
      </c>
      <c r="Y414" s="33">
        <f>ROUND(E414-O414,2)</f>
      </c>
      <c r="Z414" s="33">
        <f>ROUND(F414-P414,2)</f>
      </c>
      <c r="AA414" s="33">
        <f>ROUND(G414-Q414,2)</f>
      </c>
      <c r="AB414" s="33">
        <f>ROUND(H414-R414,2)</f>
      </c>
      <c r="AC414" s="33">
        <f>ROUND(I414-S414,2)</f>
      </c>
      <c r="AD414" s="33">
        <f>ROUND(J414-T414,2)</f>
      </c>
      <c r="AE414" s="33">
        <f>ROUND(K414-U414,2)</f>
      </c>
      <c r="AF414" s="33">
        <f>IF(V414&lt;=0,0,MAX(0,MIN(V414,ROUND($AZ414-SUMPRODUCT($V414:$AE414*($V414:$AE414&gt;0)*(($V414:$AE414&lt;V414)+($V414:$AE414=V414)*($V$3:$AE$3&gt;V$3)+($V414:$AE414=V414)*($V$3:$AE$3=V$3)*($V$2:$AE$2&lt;V$2))),2))))</f>
      </c>
      <c r="AG414" s="33">
        <f>IF(W414&lt;=0,0,MAX(0,MIN(W414,ROUND($AZ414-SUMPRODUCT($V414:$AE414*($V414:$AE414&gt;0)*(($V414:$AE414&lt;W414)+($V414:$AE414=W414)*($V$3:$AE$3&gt;W$3)+($V414:$AE414=W414)*($V$3:$AE$3=W$3)*($V$2:$AE$2&lt;W$2))),2))))</f>
      </c>
      <c r="AH414" s="33">
        <f>IF(X414&lt;=0,0,MAX(0,MIN(X414,ROUND($AZ414-SUMPRODUCT($V414:$AE414*($V414:$AE414&gt;0)*(($V414:$AE414&lt;X414)+($V414:$AE414=X414)*($V$3:$AE$3&gt;X$3)+($V414:$AE414=X414)*($V$3:$AE$3=X$3)*($V$2:$AE$2&lt;X$2))),2))))</f>
      </c>
      <c r="AI414" s="33">
        <f>IF(Y414&lt;=0,0,MAX(0,MIN(Y414,ROUND($AZ414-SUMPRODUCT($V414:$AE414*($V414:$AE414&gt;0)*(($V414:$AE414&lt;Y414)+($V414:$AE414=Y414)*($V$3:$AE$3&gt;Y$3)+($V414:$AE414=Y414)*($V$3:$AE$3=Y$3)*($V$2:$AE$2&lt;Y$2))),2))))</f>
      </c>
      <c r="AJ414" s="33">
        <f>IF(Z414&lt;=0,0,MAX(0,MIN(Z414,ROUND($AZ414-SUMPRODUCT($V414:$AE414*($V414:$AE414&gt;0)*(($V414:$AE414&lt;Z414)+($V414:$AE414=Z414)*($V$3:$AE$3&gt;Z$3)+($V414:$AE414=Z414)*($V$3:$AE$3=Z$3)*($V$2:$AE$2&lt;Z$2))),2))))</f>
      </c>
      <c r="AK414" s="33">
        <f>IF(AA414&lt;=0,0,MAX(0,MIN(AA414,ROUND($AZ414-SUMPRODUCT($V414:$AE414*($V414:$AE414&gt;0)*(($V414:$AE414&lt;AA414)+($V414:$AE414=AA414)*($V$3:$AE$3&gt;AA$3)+($V414:$AE414=AA414)*($V$3:$AE$3=AA$3)*($V$2:$AE$2&lt;AA$2))),2))))</f>
      </c>
      <c r="AL414" s="33">
        <f>IF(AB414&lt;=0,0,MAX(0,MIN(AB414,ROUND($AZ414-SUMPRODUCT($V414:$AE414*($V414:$AE414&gt;0)*(($V414:$AE414&lt;AB414)+($V414:$AE414=AB414)*($V$3:$AE$3&gt;AB$3)+($V414:$AE414=AB414)*($V$3:$AE$3=AB$3)*($V$2:$AE$2&lt;AB$2))),2))))</f>
      </c>
      <c r="AM414" s="33">
        <f>IF(AC414&lt;=0,0,MAX(0,MIN(AC414,ROUND($AZ414-SUMPRODUCT($V414:$AE414*($V414:$AE414&gt;0)*(($V414:$AE414&lt;AC414)+($V414:$AE414=AC414)*($V$3:$AE$3&gt;AC$3)+($V414:$AE414=AC414)*($V$3:$AE$3=AC$3)*($V$2:$AE$2&lt;AC$2))),2))))</f>
      </c>
      <c r="AN414" s="33">
        <f>IF(AD414&lt;=0,0,MAX(0,MIN(AD414,ROUND($AZ414-SUMPRODUCT($V414:$AE414*($V414:$AE414&gt;0)*(($V414:$AE414&lt;AD414)+($V414:$AE414=AD414)*($V$3:$AE$3&gt;AD$3)+($V414:$AE414=AD414)*($V$3:$AE$3=AD$3)*($V$2:$AE$2&lt;AD$2))),2))))</f>
      </c>
      <c r="AO414" s="33">
        <f>IF(AE414&lt;=0,0,MAX(0,MIN(AE414,ROUND($AZ414-SUMPRODUCT($V414:$AE414*($V414:$AE414&gt;0)*(($V414:$AE414&lt;AE414)+($V414:$AE414=AE414)*($V$3:$AE$3&gt;AE$3)+($V414:$AE414=AE414)*($V$3:$AE$3=AE$3)*($V$2:$AE$2&lt;AE$2))),2))))</f>
      </c>
      <c r="AP414" s="33">
        <f>ROUND(V414-AF414,2)</f>
      </c>
      <c r="AQ414" s="33">
        <f>ROUND(W414-AG414,2)</f>
      </c>
      <c r="AR414" s="33">
        <f>ROUND(X414-AH414,2)</f>
      </c>
      <c r="AS414" s="33">
        <f>ROUND(Y414-AI414,2)</f>
      </c>
      <c r="AT414" s="33">
        <f>ROUND(Z414-AJ414,2)</f>
      </c>
      <c r="AU414" s="33">
        <f>ROUND(AA414-AK414,2)</f>
      </c>
      <c r="AV414" s="33">
        <f>ROUND(AB414-AL414,2)</f>
      </c>
      <c r="AW414" s="33">
        <f>ROUND(AC414-AM414,2)</f>
      </c>
      <c r="AX414" s="33">
        <f>ROUND(AD414-AN414,2)</f>
      </c>
      <c r="AY414" s="33">
        <f>ROUND(AE414-AO414,2)</f>
      </c>
      <c r="AZ414" s="33">
        <f>ROUND(MAX(0,'Your debts'!$D$22-SUM($L414:$U414)),2)</f>
      </c>
      <c r="BA414" s="33">
        <f>ROUND(SUM($B414:$K414)-SUM($AP413:$AY413),2)</f>
      </c>
      <c r="BB414" s="33">
        <f>SUM($AP414:$AY414)</f>
      </c>
      <c r="BC414" s="33">
        <f>ROUND(SUM($L414:$U414)+SUM($AF414:$AO414),2)</f>
      </c>
    </row>
    <row r="415" spans="1:55" x14ac:dyDescent="0.25">
      <c r="A415">
        <v>408</v>
      </c>
      <c r="B415" s="33">
        <f>IF(AP414&lt;=0,0,ROUND(AP414+ROUND(AP414*V$3/12,2),2))</f>
      </c>
      <c r="C415" s="33">
        <f>IF(AQ414&lt;=0,0,ROUND(AQ414+ROUND(AQ414*W$3/12,2),2))</f>
      </c>
      <c r="D415" s="33">
        <f>IF(AR414&lt;=0,0,ROUND(AR414+ROUND(AR414*X$3/12,2),2))</f>
      </c>
      <c r="E415" s="33">
        <f>IF(AS414&lt;=0,0,ROUND(AS414+ROUND(AS414*Y$3/12,2),2))</f>
      </c>
      <c r="F415" s="33">
        <f>IF(AT414&lt;=0,0,ROUND(AT414+ROUND(AT414*Z$3/12,2),2))</f>
      </c>
      <c r="G415" s="33">
        <f>IF(AU414&lt;=0,0,ROUND(AU414+ROUND(AU414*AA$3/12,2),2))</f>
      </c>
      <c r="H415" s="33">
        <f>IF(AV414&lt;=0,0,ROUND(AV414+ROUND(AV414*AB$3/12,2),2))</f>
      </c>
      <c r="I415" s="33">
        <f>IF(AW414&lt;=0,0,ROUND(AW414+ROUND(AW414*AC$3/12,2),2))</f>
      </c>
      <c r="J415" s="33">
        <f>IF(AX414&lt;=0,0,ROUND(AX414+ROUND(AX414*AD$3/12,2),2))</f>
      </c>
      <c r="K415" s="33">
        <f>IF(AY414&lt;=0,0,ROUND(AY414+ROUND(AY414*AE$3/12,2),2))</f>
      </c>
      <c r="L415" s="33">
        <f>ROUND(MIN(MAX(0,N('Your debts'!$E$6)),B415),2)</f>
      </c>
      <c r="M415" s="33">
        <f>ROUND(MIN(MAX(0,N('Your debts'!$E$7)),C415),2)</f>
      </c>
      <c r="N415" s="33">
        <f>ROUND(MIN(MAX(0,N('Your debts'!$E$8)),D415),2)</f>
      </c>
      <c r="O415" s="33">
        <f>ROUND(MIN(MAX(0,N('Your debts'!$E$9)),E415),2)</f>
      </c>
      <c r="P415" s="33">
        <f>ROUND(MIN(MAX(0,N('Your debts'!$E$10)),F415),2)</f>
      </c>
      <c r="Q415" s="33">
        <f>ROUND(MIN(MAX(0,N('Your debts'!$E$11)),G415),2)</f>
      </c>
      <c r="R415" s="33">
        <f>ROUND(MIN(MAX(0,N('Your debts'!$E$12)),H415),2)</f>
      </c>
      <c r="S415" s="33">
        <f>ROUND(MIN(MAX(0,N('Your debts'!$E$13)),I415),2)</f>
      </c>
      <c r="T415" s="33">
        <f>ROUND(MIN(MAX(0,N('Your debts'!$E$14)),J415),2)</f>
      </c>
      <c r="U415" s="33">
        <f>ROUND(MIN(MAX(0,N('Your debts'!$E$15)),K415),2)</f>
      </c>
      <c r="V415" s="33">
        <f>ROUND(B415-L415,2)</f>
      </c>
      <c r="W415" s="33">
        <f>ROUND(C415-M415,2)</f>
      </c>
      <c r="X415" s="33">
        <f>ROUND(D415-N415,2)</f>
      </c>
      <c r="Y415" s="33">
        <f>ROUND(E415-O415,2)</f>
      </c>
      <c r="Z415" s="33">
        <f>ROUND(F415-P415,2)</f>
      </c>
      <c r="AA415" s="33">
        <f>ROUND(G415-Q415,2)</f>
      </c>
      <c r="AB415" s="33">
        <f>ROUND(H415-R415,2)</f>
      </c>
      <c r="AC415" s="33">
        <f>ROUND(I415-S415,2)</f>
      </c>
      <c r="AD415" s="33">
        <f>ROUND(J415-T415,2)</f>
      </c>
      <c r="AE415" s="33">
        <f>ROUND(K415-U415,2)</f>
      </c>
      <c r="AF415" s="33">
        <f>IF(V415&lt;=0,0,MAX(0,MIN(V415,ROUND($AZ415-SUMPRODUCT($V415:$AE415*($V415:$AE415&gt;0)*(($V415:$AE415&lt;V415)+($V415:$AE415=V415)*($V$3:$AE$3&gt;V$3)+($V415:$AE415=V415)*($V$3:$AE$3=V$3)*($V$2:$AE$2&lt;V$2))),2))))</f>
      </c>
      <c r="AG415" s="33">
        <f>IF(W415&lt;=0,0,MAX(0,MIN(W415,ROUND($AZ415-SUMPRODUCT($V415:$AE415*($V415:$AE415&gt;0)*(($V415:$AE415&lt;W415)+($V415:$AE415=W415)*($V$3:$AE$3&gt;W$3)+($V415:$AE415=W415)*($V$3:$AE$3=W$3)*($V$2:$AE$2&lt;W$2))),2))))</f>
      </c>
      <c r="AH415" s="33">
        <f>IF(X415&lt;=0,0,MAX(0,MIN(X415,ROUND($AZ415-SUMPRODUCT($V415:$AE415*($V415:$AE415&gt;0)*(($V415:$AE415&lt;X415)+($V415:$AE415=X415)*($V$3:$AE$3&gt;X$3)+($V415:$AE415=X415)*($V$3:$AE$3=X$3)*($V$2:$AE$2&lt;X$2))),2))))</f>
      </c>
      <c r="AI415" s="33">
        <f>IF(Y415&lt;=0,0,MAX(0,MIN(Y415,ROUND($AZ415-SUMPRODUCT($V415:$AE415*($V415:$AE415&gt;0)*(($V415:$AE415&lt;Y415)+($V415:$AE415=Y415)*($V$3:$AE$3&gt;Y$3)+($V415:$AE415=Y415)*($V$3:$AE$3=Y$3)*($V$2:$AE$2&lt;Y$2))),2))))</f>
      </c>
      <c r="AJ415" s="33">
        <f>IF(Z415&lt;=0,0,MAX(0,MIN(Z415,ROUND($AZ415-SUMPRODUCT($V415:$AE415*($V415:$AE415&gt;0)*(($V415:$AE415&lt;Z415)+($V415:$AE415=Z415)*($V$3:$AE$3&gt;Z$3)+($V415:$AE415=Z415)*($V$3:$AE$3=Z$3)*($V$2:$AE$2&lt;Z$2))),2))))</f>
      </c>
      <c r="AK415" s="33">
        <f>IF(AA415&lt;=0,0,MAX(0,MIN(AA415,ROUND($AZ415-SUMPRODUCT($V415:$AE415*($V415:$AE415&gt;0)*(($V415:$AE415&lt;AA415)+($V415:$AE415=AA415)*($V$3:$AE$3&gt;AA$3)+($V415:$AE415=AA415)*($V$3:$AE$3=AA$3)*($V$2:$AE$2&lt;AA$2))),2))))</f>
      </c>
      <c r="AL415" s="33">
        <f>IF(AB415&lt;=0,0,MAX(0,MIN(AB415,ROUND($AZ415-SUMPRODUCT($V415:$AE415*($V415:$AE415&gt;0)*(($V415:$AE415&lt;AB415)+($V415:$AE415=AB415)*($V$3:$AE$3&gt;AB$3)+($V415:$AE415=AB415)*($V$3:$AE$3=AB$3)*($V$2:$AE$2&lt;AB$2))),2))))</f>
      </c>
      <c r="AM415" s="33">
        <f>IF(AC415&lt;=0,0,MAX(0,MIN(AC415,ROUND($AZ415-SUMPRODUCT($V415:$AE415*($V415:$AE415&gt;0)*(($V415:$AE415&lt;AC415)+($V415:$AE415=AC415)*($V$3:$AE$3&gt;AC$3)+($V415:$AE415=AC415)*($V$3:$AE$3=AC$3)*($V$2:$AE$2&lt;AC$2))),2))))</f>
      </c>
      <c r="AN415" s="33">
        <f>IF(AD415&lt;=0,0,MAX(0,MIN(AD415,ROUND($AZ415-SUMPRODUCT($V415:$AE415*($V415:$AE415&gt;0)*(($V415:$AE415&lt;AD415)+($V415:$AE415=AD415)*($V$3:$AE$3&gt;AD$3)+($V415:$AE415=AD415)*($V$3:$AE$3=AD$3)*($V$2:$AE$2&lt;AD$2))),2))))</f>
      </c>
      <c r="AO415" s="33">
        <f>IF(AE415&lt;=0,0,MAX(0,MIN(AE415,ROUND($AZ415-SUMPRODUCT($V415:$AE415*($V415:$AE415&gt;0)*(($V415:$AE415&lt;AE415)+($V415:$AE415=AE415)*($V$3:$AE$3&gt;AE$3)+($V415:$AE415=AE415)*($V$3:$AE$3=AE$3)*($V$2:$AE$2&lt;AE$2))),2))))</f>
      </c>
      <c r="AP415" s="33">
        <f>ROUND(V415-AF415,2)</f>
      </c>
      <c r="AQ415" s="33">
        <f>ROUND(W415-AG415,2)</f>
      </c>
      <c r="AR415" s="33">
        <f>ROUND(X415-AH415,2)</f>
      </c>
      <c r="AS415" s="33">
        <f>ROUND(Y415-AI415,2)</f>
      </c>
      <c r="AT415" s="33">
        <f>ROUND(Z415-AJ415,2)</f>
      </c>
      <c r="AU415" s="33">
        <f>ROUND(AA415-AK415,2)</f>
      </c>
      <c r="AV415" s="33">
        <f>ROUND(AB415-AL415,2)</f>
      </c>
      <c r="AW415" s="33">
        <f>ROUND(AC415-AM415,2)</f>
      </c>
      <c r="AX415" s="33">
        <f>ROUND(AD415-AN415,2)</f>
      </c>
      <c r="AY415" s="33">
        <f>ROUND(AE415-AO415,2)</f>
      </c>
      <c r="AZ415" s="33">
        <f>ROUND(MAX(0,'Your debts'!$D$22-SUM($L415:$U415)),2)</f>
      </c>
      <c r="BA415" s="33">
        <f>ROUND(SUM($B415:$K415)-SUM($AP414:$AY414),2)</f>
      </c>
      <c r="BB415" s="33">
        <f>SUM($AP415:$AY415)</f>
      </c>
      <c r="BC415" s="33">
        <f>ROUND(SUM($L415:$U415)+SUM($AF415:$AO415),2)</f>
      </c>
    </row>
    <row r="416" spans="1:55" x14ac:dyDescent="0.25">
      <c r="A416">
        <v>409</v>
      </c>
      <c r="B416" s="33">
        <f>IF(AP415&lt;=0,0,ROUND(AP415+ROUND(AP415*V$3/12,2),2))</f>
      </c>
      <c r="C416" s="33">
        <f>IF(AQ415&lt;=0,0,ROUND(AQ415+ROUND(AQ415*W$3/12,2),2))</f>
      </c>
      <c r="D416" s="33">
        <f>IF(AR415&lt;=0,0,ROUND(AR415+ROUND(AR415*X$3/12,2),2))</f>
      </c>
      <c r="E416" s="33">
        <f>IF(AS415&lt;=0,0,ROUND(AS415+ROUND(AS415*Y$3/12,2),2))</f>
      </c>
      <c r="F416" s="33">
        <f>IF(AT415&lt;=0,0,ROUND(AT415+ROUND(AT415*Z$3/12,2),2))</f>
      </c>
      <c r="G416" s="33">
        <f>IF(AU415&lt;=0,0,ROUND(AU415+ROUND(AU415*AA$3/12,2),2))</f>
      </c>
      <c r="H416" s="33">
        <f>IF(AV415&lt;=0,0,ROUND(AV415+ROUND(AV415*AB$3/12,2),2))</f>
      </c>
      <c r="I416" s="33">
        <f>IF(AW415&lt;=0,0,ROUND(AW415+ROUND(AW415*AC$3/12,2),2))</f>
      </c>
      <c r="J416" s="33">
        <f>IF(AX415&lt;=0,0,ROUND(AX415+ROUND(AX415*AD$3/12,2),2))</f>
      </c>
      <c r="K416" s="33">
        <f>IF(AY415&lt;=0,0,ROUND(AY415+ROUND(AY415*AE$3/12,2),2))</f>
      </c>
      <c r="L416" s="33">
        <f>ROUND(MIN(MAX(0,N('Your debts'!$E$6)),B416),2)</f>
      </c>
      <c r="M416" s="33">
        <f>ROUND(MIN(MAX(0,N('Your debts'!$E$7)),C416),2)</f>
      </c>
      <c r="N416" s="33">
        <f>ROUND(MIN(MAX(0,N('Your debts'!$E$8)),D416),2)</f>
      </c>
      <c r="O416" s="33">
        <f>ROUND(MIN(MAX(0,N('Your debts'!$E$9)),E416),2)</f>
      </c>
      <c r="P416" s="33">
        <f>ROUND(MIN(MAX(0,N('Your debts'!$E$10)),F416),2)</f>
      </c>
      <c r="Q416" s="33">
        <f>ROUND(MIN(MAX(0,N('Your debts'!$E$11)),G416),2)</f>
      </c>
      <c r="R416" s="33">
        <f>ROUND(MIN(MAX(0,N('Your debts'!$E$12)),H416),2)</f>
      </c>
      <c r="S416" s="33">
        <f>ROUND(MIN(MAX(0,N('Your debts'!$E$13)),I416),2)</f>
      </c>
      <c r="T416" s="33">
        <f>ROUND(MIN(MAX(0,N('Your debts'!$E$14)),J416),2)</f>
      </c>
      <c r="U416" s="33">
        <f>ROUND(MIN(MAX(0,N('Your debts'!$E$15)),K416),2)</f>
      </c>
      <c r="V416" s="33">
        <f>ROUND(B416-L416,2)</f>
      </c>
      <c r="W416" s="33">
        <f>ROUND(C416-M416,2)</f>
      </c>
      <c r="X416" s="33">
        <f>ROUND(D416-N416,2)</f>
      </c>
      <c r="Y416" s="33">
        <f>ROUND(E416-O416,2)</f>
      </c>
      <c r="Z416" s="33">
        <f>ROUND(F416-P416,2)</f>
      </c>
      <c r="AA416" s="33">
        <f>ROUND(G416-Q416,2)</f>
      </c>
      <c r="AB416" s="33">
        <f>ROUND(H416-R416,2)</f>
      </c>
      <c r="AC416" s="33">
        <f>ROUND(I416-S416,2)</f>
      </c>
      <c r="AD416" s="33">
        <f>ROUND(J416-T416,2)</f>
      </c>
      <c r="AE416" s="33">
        <f>ROUND(K416-U416,2)</f>
      </c>
      <c r="AF416" s="33">
        <f>IF(V416&lt;=0,0,MAX(0,MIN(V416,ROUND($AZ416-SUMPRODUCT($V416:$AE416*($V416:$AE416&gt;0)*(($V416:$AE416&lt;V416)+($V416:$AE416=V416)*($V$3:$AE$3&gt;V$3)+($V416:$AE416=V416)*($V$3:$AE$3=V$3)*($V$2:$AE$2&lt;V$2))),2))))</f>
      </c>
      <c r="AG416" s="33">
        <f>IF(W416&lt;=0,0,MAX(0,MIN(W416,ROUND($AZ416-SUMPRODUCT($V416:$AE416*($V416:$AE416&gt;0)*(($V416:$AE416&lt;W416)+($V416:$AE416=W416)*($V$3:$AE$3&gt;W$3)+($V416:$AE416=W416)*($V$3:$AE$3=W$3)*($V$2:$AE$2&lt;W$2))),2))))</f>
      </c>
      <c r="AH416" s="33">
        <f>IF(X416&lt;=0,0,MAX(0,MIN(X416,ROUND($AZ416-SUMPRODUCT($V416:$AE416*($V416:$AE416&gt;0)*(($V416:$AE416&lt;X416)+($V416:$AE416=X416)*($V$3:$AE$3&gt;X$3)+($V416:$AE416=X416)*($V$3:$AE$3=X$3)*($V$2:$AE$2&lt;X$2))),2))))</f>
      </c>
      <c r="AI416" s="33">
        <f>IF(Y416&lt;=0,0,MAX(0,MIN(Y416,ROUND($AZ416-SUMPRODUCT($V416:$AE416*($V416:$AE416&gt;0)*(($V416:$AE416&lt;Y416)+($V416:$AE416=Y416)*($V$3:$AE$3&gt;Y$3)+($V416:$AE416=Y416)*($V$3:$AE$3=Y$3)*($V$2:$AE$2&lt;Y$2))),2))))</f>
      </c>
      <c r="AJ416" s="33">
        <f>IF(Z416&lt;=0,0,MAX(0,MIN(Z416,ROUND($AZ416-SUMPRODUCT($V416:$AE416*($V416:$AE416&gt;0)*(($V416:$AE416&lt;Z416)+($V416:$AE416=Z416)*($V$3:$AE$3&gt;Z$3)+($V416:$AE416=Z416)*($V$3:$AE$3=Z$3)*($V$2:$AE$2&lt;Z$2))),2))))</f>
      </c>
      <c r="AK416" s="33">
        <f>IF(AA416&lt;=0,0,MAX(0,MIN(AA416,ROUND($AZ416-SUMPRODUCT($V416:$AE416*($V416:$AE416&gt;0)*(($V416:$AE416&lt;AA416)+($V416:$AE416=AA416)*($V$3:$AE$3&gt;AA$3)+($V416:$AE416=AA416)*($V$3:$AE$3=AA$3)*($V$2:$AE$2&lt;AA$2))),2))))</f>
      </c>
      <c r="AL416" s="33">
        <f>IF(AB416&lt;=0,0,MAX(0,MIN(AB416,ROUND($AZ416-SUMPRODUCT($V416:$AE416*($V416:$AE416&gt;0)*(($V416:$AE416&lt;AB416)+($V416:$AE416=AB416)*($V$3:$AE$3&gt;AB$3)+($V416:$AE416=AB416)*($V$3:$AE$3=AB$3)*($V$2:$AE$2&lt;AB$2))),2))))</f>
      </c>
      <c r="AM416" s="33">
        <f>IF(AC416&lt;=0,0,MAX(0,MIN(AC416,ROUND($AZ416-SUMPRODUCT($V416:$AE416*($V416:$AE416&gt;0)*(($V416:$AE416&lt;AC416)+($V416:$AE416=AC416)*($V$3:$AE$3&gt;AC$3)+($V416:$AE416=AC416)*($V$3:$AE$3=AC$3)*($V$2:$AE$2&lt;AC$2))),2))))</f>
      </c>
      <c r="AN416" s="33">
        <f>IF(AD416&lt;=0,0,MAX(0,MIN(AD416,ROUND($AZ416-SUMPRODUCT($V416:$AE416*($V416:$AE416&gt;0)*(($V416:$AE416&lt;AD416)+($V416:$AE416=AD416)*($V$3:$AE$3&gt;AD$3)+($V416:$AE416=AD416)*($V$3:$AE$3=AD$3)*($V$2:$AE$2&lt;AD$2))),2))))</f>
      </c>
      <c r="AO416" s="33">
        <f>IF(AE416&lt;=0,0,MAX(0,MIN(AE416,ROUND($AZ416-SUMPRODUCT($V416:$AE416*($V416:$AE416&gt;0)*(($V416:$AE416&lt;AE416)+($V416:$AE416=AE416)*($V$3:$AE$3&gt;AE$3)+($V416:$AE416=AE416)*($V$3:$AE$3=AE$3)*($V$2:$AE$2&lt;AE$2))),2))))</f>
      </c>
      <c r="AP416" s="33">
        <f>ROUND(V416-AF416,2)</f>
      </c>
      <c r="AQ416" s="33">
        <f>ROUND(W416-AG416,2)</f>
      </c>
      <c r="AR416" s="33">
        <f>ROUND(X416-AH416,2)</f>
      </c>
      <c r="AS416" s="33">
        <f>ROUND(Y416-AI416,2)</f>
      </c>
      <c r="AT416" s="33">
        <f>ROUND(Z416-AJ416,2)</f>
      </c>
      <c r="AU416" s="33">
        <f>ROUND(AA416-AK416,2)</f>
      </c>
      <c r="AV416" s="33">
        <f>ROUND(AB416-AL416,2)</f>
      </c>
      <c r="AW416" s="33">
        <f>ROUND(AC416-AM416,2)</f>
      </c>
      <c r="AX416" s="33">
        <f>ROUND(AD416-AN416,2)</f>
      </c>
      <c r="AY416" s="33">
        <f>ROUND(AE416-AO416,2)</f>
      </c>
      <c r="AZ416" s="33">
        <f>ROUND(MAX(0,'Your debts'!$D$22-SUM($L416:$U416)),2)</f>
      </c>
      <c r="BA416" s="33">
        <f>ROUND(SUM($B416:$K416)-SUM($AP415:$AY415),2)</f>
      </c>
      <c r="BB416" s="33">
        <f>SUM($AP416:$AY416)</f>
      </c>
      <c r="BC416" s="33">
        <f>ROUND(SUM($L416:$U416)+SUM($AF416:$AO416),2)</f>
      </c>
    </row>
    <row r="417" spans="1:55" x14ac:dyDescent="0.25">
      <c r="A417">
        <v>410</v>
      </c>
      <c r="B417" s="33">
        <f>IF(AP416&lt;=0,0,ROUND(AP416+ROUND(AP416*V$3/12,2),2))</f>
      </c>
      <c r="C417" s="33">
        <f>IF(AQ416&lt;=0,0,ROUND(AQ416+ROUND(AQ416*W$3/12,2),2))</f>
      </c>
      <c r="D417" s="33">
        <f>IF(AR416&lt;=0,0,ROUND(AR416+ROUND(AR416*X$3/12,2),2))</f>
      </c>
      <c r="E417" s="33">
        <f>IF(AS416&lt;=0,0,ROUND(AS416+ROUND(AS416*Y$3/12,2),2))</f>
      </c>
      <c r="F417" s="33">
        <f>IF(AT416&lt;=0,0,ROUND(AT416+ROUND(AT416*Z$3/12,2),2))</f>
      </c>
      <c r="G417" s="33">
        <f>IF(AU416&lt;=0,0,ROUND(AU416+ROUND(AU416*AA$3/12,2),2))</f>
      </c>
      <c r="H417" s="33">
        <f>IF(AV416&lt;=0,0,ROUND(AV416+ROUND(AV416*AB$3/12,2),2))</f>
      </c>
      <c r="I417" s="33">
        <f>IF(AW416&lt;=0,0,ROUND(AW416+ROUND(AW416*AC$3/12,2),2))</f>
      </c>
      <c r="J417" s="33">
        <f>IF(AX416&lt;=0,0,ROUND(AX416+ROUND(AX416*AD$3/12,2),2))</f>
      </c>
      <c r="K417" s="33">
        <f>IF(AY416&lt;=0,0,ROUND(AY416+ROUND(AY416*AE$3/12,2),2))</f>
      </c>
      <c r="L417" s="33">
        <f>ROUND(MIN(MAX(0,N('Your debts'!$E$6)),B417),2)</f>
      </c>
      <c r="M417" s="33">
        <f>ROUND(MIN(MAX(0,N('Your debts'!$E$7)),C417),2)</f>
      </c>
      <c r="N417" s="33">
        <f>ROUND(MIN(MAX(0,N('Your debts'!$E$8)),D417),2)</f>
      </c>
      <c r="O417" s="33">
        <f>ROUND(MIN(MAX(0,N('Your debts'!$E$9)),E417),2)</f>
      </c>
      <c r="P417" s="33">
        <f>ROUND(MIN(MAX(0,N('Your debts'!$E$10)),F417),2)</f>
      </c>
      <c r="Q417" s="33">
        <f>ROUND(MIN(MAX(0,N('Your debts'!$E$11)),G417),2)</f>
      </c>
      <c r="R417" s="33">
        <f>ROUND(MIN(MAX(0,N('Your debts'!$E$12)),H417),2)</f>
      </c>
      <c r="S417" s="33">
        <f>ROUND(MIN(MAX(0,N('Your debts'!$E$13)),I417),2)</f>
      </c>
      <c r="T417" s="33">
        <f>ROUND(MIN(MAX(0,N('Your debts'!$E$14)),J417),2)</f>
      </c>
      <c r="U417" s="33">
        <f>ROUND(MIN(MAX(0,N('Your debts'!$E$15)),K417),2)</f>
      </c>
      <c r="V417" s="33">
        <f>ROUND(B417-L417,2)</f>
      </c>
      <c r="W417" s="33">
        <f>ROUND(C417-M417,2)</f>
      </c>
      <c r="X417" s="33">
        <f>ROUND(D417-N417,2)</f>
      </c>
      <c r="Y417" s="33">
        <f>ROUND(E417-O417,2)</f>
      </c>
      <c r="Z417" s="33">
        <f>ROUND(F417-P417,2)</f>
      </c>
      <c r="AA417" s="33">
        <f>ROUND(G417-Q417,2)</f>
      </c>
      <c r="AB417" s="33">
        <f>ROUND(H417-R417,2)</f>
      </c>
      <c r="AC417" s="33">
        <f>ROUND(I417-S417,2)</f>
      </c>
      <c r="AD417" s="33">
        <f>ROUND(J417-T417,2)</f>
      </c>
      <c r="AE417" s="33">
        <f>ROUND(K417-U417,2)</f>
      </c>
      <c r="AF417" s="33">
        <f>IF(V417&lt;=0,0,MAX(0,MIN(V417,ROUND($AZ417-SUMPRODUCT($V417:$AE417*($V417:$AE417&gt;0)*(($V417:$AE417&lt;V417)+($V417:$AE417=V417)*($V$3:$AE$3&gt;V$3)+($V417:$AE417=V417)*($V$3:$AE$3=V$3)*($V$2:$AE$2&lt;V$2))),2))))</f>
      </c>
      <c r="AG417" s="33">
        <f>IF(W417&lt;=0,0,MAX(0,MIN(W417,ROUND($AZ417-SUMPRODUCT($V417:$AE417*($V417:$AE417&gt;0)*(($V417:$AE417&lt;W417)+($V417:$AE417=W417)*($V$3:$AE$3&gt;W$3)+($V417:$AE417=W417)*($V$3:$AE$3=W$3)*($V$2:$AE$2&lt;W$2))),2))))</f>
      </c>
      <c r="AH417" s="33">
        <f>IF(X417&lt;=0,0,MAX(0,MIN(X417,ROUND($AZ417-SUMPRODUCT($V417:$AE417*($V417:$AE417&gt;0)*(($V417:$AE417&lt;X417)+($V417:$AE417=X417)*($V$3:$AE$3&gt;X$3)+($V417:$AE417=X417)*($V$3:$AE$3=X$3)*($V$2:$AE$2&lt;X$2))),2))))</f>
      </c>
      <c r="AI417" s="33">
        <f>IF(Y417&lt;=0,0,MAX(0,MIN(Y417,ROUND($AZ417-SUMPRODUCT($V417:$AE417*($V417:$AE417&gt;0)*(($V417:$AE417&lt;Y417)+($V417:$AE417=Y417)*($V$3:$AE$3&gt;Y$3)+($V417:$AE417=Y417)*($V$3:$AE$3=Y$3)*($V$2:$AE$2&lt;Y$2))),2))))</f>
      </c>
      <c r="AJ417" s="33">
        <f>IF(Z417&lt;=0,0,MAX(0,MIN(Z417,ROUND($AZ417-SUMPRODUCT($V417:$AE417*($V417:$AE417&gt;0)*(($V417:$AE417&lt;Z417)+($V417:$AE417=Z417)*($V$3:$AE$3&gt;Z$3)+($V417:$AE417=Z417)*($V$3:$AE$3=Z$3)*($V$2:$AE$2&lt;Z$2))),2))))</f>
      </c>
      <c r="AK417" s="33">
        <f>IF(AA417&lt;=0,0,MAX(0,MIN(AA417,ROUND($AZ417-SUMPRODUCT($V417:$AE417*($V417:$AE417&gt;0)*(($V417:$AE417&lt;AA417)+($V417:$AE417=AA417)*($V$3:$AE$3&gt;AA$3)+($V417:$AE417=AA417)*($V$3:$AE$3=AA$3)*($V$2:$AE$2&lt;AA$2))),2))))</f>
      </c>
      <c r="AL417" s="33">
        <f>IF(AB417&lt;=0,0,MAX(0,MIN(AB417,ROUND($AZ417-SUMPRODUCT($V417:$AE417*($V417:$AE417&gt;0)*(($V417:$AE417&lt;AB417)+($V417:$AE417=AB417)*($V$3:$AE$3&gt;AB$3)+($V417:$AE417=AB417)*($V$3:$AE$3=AB$3)*($V$2:$AE$2&lt;AB$2))),2))))</f>
      </c>
      <c r="AM417" s="33">
        <f>IF(AC417&lt;=0,0,MAX(0,MIN(AC417,ROUND($AZ417-SUMPRODUCT($V417:$AE417*($V417:$AE417&gt;0)*(($V417:$AE417&lt;AC417)+($V417:$AE417=AC417)*($V$3:$AE$3&gt;AC$3)+($V417:$AE417=AC417)*($V$3:$AE$3=AC$3)*($V$2:$AE$2&lt;AC$2))),2))))</f>
      </c>
      <c r="AN417" s="33">
        <f>IF(AD417&lt;=0,0,MAX(0,MIN(AD417,ROUND($AZ417-SUMPRODUCT($V417:$AE417*($V417:$AE417&gt;0)*(($V417:$AE417&lt;AD417)+($V417:$AE417=AD417)*($V$3:$AE$3&gt;AD$3)+($V417:$AE417=AD417)*($V$3:$AE$3=AD$3)*($V$2:$AE$2&lt;AD$2))),2))))</f>
      </c>
      <c r="AO417" s="33">
        <f>IF(AE417&lt;=0,0,MAX(0,MIN(AE417,ROUND($AZ417-SUMPRODUCT($V417:$AE417*($V417:$AE417&gt;0)*(($V417:$AE417&lt;AE417)+($V417:$AE417=AE417)*($V$3:$AE$3&gt;AE$3)+($V417:$AE417=AE417)*($V$3:$AE$3=AE$3)*($V$2:$AE$2&lt;AE$2))),2))))</f>
      </c>
      <c r="AP417" s="33">
        <f>ROUND(V417-AF417,2)</f>
      </c>
      <c r="AQ417" s="33">
        <f>ROUND(W417-AG417,2)</f>
      </c>
      <c r="AR417" s="33">
        <f>ROUND(X417-AH417,2)</f>
      </c>
      <c r="AS417" s="33">
        <f>ROUND(Y417-AI417,2)</f>
      </c>
      <c r="AT417" s="33">
        <f>ROUND(Z417-AJ417,2)</f>
      </c>
      <c r="AU417" s="33">
        <f>ROUND(AA417-AK417,2)</f>
      </c>
      <c r="AV417" s="33">
        <f>ROUND(AB417-AL417,2)</f>
      </c>
      <c r="AW417" s="33">
        <f>ROUND(AC417-AM417,2)</f>
      </c>
      <c r="AX417" s="33">
        <f>ROUND(AD417-AN417,2)</f>
      </c>
      <c r="AY417" s="33">
        <f>ROUND(AE417-AO417,2)</f>
      </c>
      <c r="AZ417" s="33">
        <f>ROUND(MAX(0,'Your debts'!$D$22-SUM($L417:$U417)),2)</f>
      </c>
      <c r="BA417" s="33">
        <f>ROUND(SUM($B417:$K417)-SUM($AP416:$AY416),2)</f>
      </c>
      <c r="BB417" s="33">
        <f>SUM($AP417:$AY417)</f>
      </c>
      <c r="BC417" s="33">
        <f>ROUND(SUM($L417:$U417)+SUM($AF417:$AO417),2)</f>
      </c>
    </row>
    <row r="418" spans="1:55" x14ac:dyDescent="0.25">
      <c r="A418">
        <v>411</v>
      </c>
      <c r="B418" s="33">
        <f>IF(AP417&lt;=0,0,ROUND(AP417+ROUND(AP417*V$3/12,2),2))</f>
      </c>
      <c r="C418" s="33">
        <f>IF(AQ417&lt;=0,0,ROUND(AQ417+ROUND(AQ417*W$3/12,2),2))</f>
      </c>
      <c r="D418" s="33">
        <f>IF(AR417&lt;=0,0,ROUND(AR417+ROUND(AR417*X$3/12,2),2))</f>
      </c>
      <c r="E418" s="33">
        <f>IF(AS417&lt;=0,0,ROUND(AS417+ROUND(AS417*Y$3/12,2),2))</f>
      </c>
      <c r="F418" s="33">
        <f>IF(AT417&lt;=0,0,ROUND(AT417+ROUND(AT417*Z$3/12,2),2))</f>
      </c>
      <c r="G418" s="33">
        <f>IF(AU417&lt;=0,0,ROUND(AU417+ROUND(AU417*AA$3/12,2),2))</f>
      </c>
      <c r="H418" s="33">
        <f>IF(AV417&lt;=0,0,ROUND(AV417+ROUND(AV417*AB$3/12,2),2))</f>
      </c>
      <c r="I418" s="33">
        <f>IF(AW417&lt;=0,0,ROUND(AW417+ROUND(AW417*AC$3/12,2),2))</f>
      </c>
      <c r="J418" s="33">
        <f>IF(AX417&lt;=0,0,ROUND(AX417+ROUND(AX417*AD$3/12,2),2))</f>
      </c>
      <c r="K418" s="33">
        <f>IF(AY417&lt;=0,0,ROUND(AY417+ROUND(AY417*AE$3/12,2),2))</f>
      </c>
      <c r="L418" s="33">
        <f>ROUND(MIN(MAX(0,N('Your debts'!$E$6)),B418),2)</f>
      </c>
      <c r="M418" s="33">
        <f>ROUND(MIN(MAX(0,N('Your debts'!$E$7)),C418),2)</f>
      </c>
      <c r="N418" s="33">
        <f>ROUND(MIN(MAX(0,N('Your debts'!$E$8)),D418),2)</f>
      </c>
      <c r="O418" s="33">
        <f>ROUND(MIN(MAX(0,N('Your debts'!$E$9)),E418),2)</f>
      </c>
      <c r="P418" s="33">
        <f>ROUND(MIN(MAX(0,N('Your debts'!$E$10)),F418),2)</f>
      </c>
      <c r="Q418" s="33">
        <f>ROUND(MIN(MAX(0,N('Your debts'!$E$11)),G418),2)</f>
      </c>
      <c r="R418" s="33">
        <f>ROUND(MIN(MAX(0,N('Your debts'!$E$12)),H418),2)</f>
      </c>
      <c r="S418" s="33">
        <f>ROUND(MIN(MAX(0,N('Your debts'!$E$13)),I418),2)</f>
      </c>
      <c r="T418" s="33">
        <f>ROUND(MIN(MAX(0,N('Your debts'!$E$14)),J418),2)</f>
      </c>
      <c r="U418" s="33">
        <f>ROUND(MIN(MAX(0,N('Your debts'!$E$15)),K418),2)</f>
      </c>
      <c r="V418" s="33">
        <f>ROUND(B418-L418,2)</f>
      </c>
      <c r="W418" s="33">
        <f>ROUND(C418-M418,2)</f>
      </c>
      <c r="X418" s="33">
        <f>ROUND(D418-N418,2)</f>
      </c>
      <c r="Y418" s="33">
        <f>ROUND(E418-O418,2)</f>
      </c>
      <c r="Z418" s="33">
        <f>ROUND(F418-P418,2)</f>
      </c>
      <c r="AA418" s="33">
        <f>ROUND(G418-Q418,2)</f>
      </c>
      <c r="AB418" s="33">
        <f>ROUND(H418-R418,2)</f>
      </c>
      <c r="AC418" s="33">
        <f>ROUND(I418-S418,2)</f>
      </c>
      <c r="AD418" s="33">
        <f>ROUND(J418-T418,2)</f>
      </c>
      <c r="AE418" s="33">
        <f>ROUND(K418-U418,2)</f>
      </c>
      <c r="AF418" s="33">
        <f>IF(V418&lt;=0,0,MAX(0,MIN(V418,ROUND($AZ418-SUMPRODUCT($V418:$AE418*($V418:$AE418&gt;0)*(($V418:$AE418&lt;V418)+($V418:$AE418=V418)*($V$3:$AE$3&gt;V$3)+($V418:$AE418=V418)*($V$3:$AE$3=V$3)*($V$2:$AE$2&lt;V$2))),2))))</f>
      </c>
      <c r="AG418" s="33">
        <f>IF(W418&lt;=0,0,MAX(0,MIN(W418,ROUND($AZ418-SUMPRODUCT($V418:$AE418*($V418:$AE418&gt;0)*(($V418:$AE418&lt;W418)+($V418:$AE418=W418)*($V$3:$AE$3&gt;W$3)+($V418:$AE418=W418)*($V$3:$AE$3=W$3)*($V$2:$AE$2&lt;W$2))),2))))</f>
      </c>
      <c r="AH418" s="33">
        <f>IF(X418&lt;=0,0,MAX(0,MIN(X418,ROUND($AZ418-SUMPRODUCT($V418:$AE418*($V418:$AE418&gt;0)*(($V418:$AE418&lt;X418)+($V418:$AE418=X418)*($V$3:$AE$3&gt;X$3)+($V418:$AE418=X418)*($V$3:$AE$3=X$3)*($V$2:$AE$2&lt;X$2))),2))))</f>
      </c>
      <c r="AI418" s="33">
        <f>IF(Y418&lt;=0,0,MAX(0,MIN(Y418,ROUND($AZ418-SUMPRODUCT($V418:$AE418*($V418:$AE418&gt;0)*(($V418:$AE418&lt;Y418)+($V418:$AE418=Y418)*($V$3:$AE$3&gt;Y$3)+($V418:$AE418=Y418)*($V$3:$AE$3=Y$3)*($V$2:$AE$2&lt;Y$2))),2))))</f>
      </c>
      <c r="AJ418" s="33">
        <f>IF(Z418&lt;=0,0,MAX(0,MIN(Z418,ROUND($AZ418-SUMPRODUCT($V418:$AE418*($V418:$AE418&gt;0)*(($V418:$AE418&lt;Z418)+($V418:$AE418=Z418)*($V$3:$AE$3&gt;Z$3)+($V418:$AE418=Z418)*($V$3:$AE$3=Z$3)*($V$2:$AE$2&lt;Z$2))),2))))</f>
      </c>
      <c r="AK418" s="33">
        <f>IF(AA418&lt;=0,0,MAX(0,MIN(AA418,ROUND($AZ418-SUMPRODUCT($V418:$AE418*($V418:$AE418&gt;0)*(($V418:$AE418&lt;AA418)+($V418:$AE418=AA418)*($V$3:$AE$3&gt;AA$3)+($V418:$AE418=AA418)*($V$3:$AE$3=AA$3)*($V$2:$AE$2&lt;AA$2))),2))))</f>
      </c>
      <c r="AL418" s="33">
        <f>IF(AB418&lt;=0,0,MAX(0,MIN(AB418,ROUND($AZ418-SUMPRODUCT($V418:$AE418*($V418:$AE418&gt;0)*(($V418:$AE418&lt;AB418)+($V418:$AE418=AB418)*($V$3:$AE$3&gt;AB$3)+($V418:$AE418=AB418)*($V$3:$AE$3=AB$3)*($V$2:$AE$2&lt;AB$2))),2))))</f>
      </c>
      <c r="AM418" s="33">
        <f>IF(AC418&lt;=0,0,MAX(0,MIN(AC418,ROUND($AZ418-SUMPRODUCT($V418:$AE418*($V418:$AE418&gt;0)*(($V418:$AE418&lt;AC418)+($V418:$AE418=AC418)*($V$3:$AE$3&gt;AC$3)+($V418:$AE418=AC418)*($V$3:$AE$3=AC$3)*($V$2:$AE$2&lt;AC$2))),2))))</f>
      </c>
      <c r="AN418" s="33">
        <f>IF(AD418&lt;=0,0,MAX(0,MIN(AD418,ROUND($AZ418-SUMPRODUCT($V418:$AE418*($V418:$AE418&gt;0)*(($V418:$AE418&lt;AD418)+($V418:$AE418=AD418)*($V$3:$AE$3&gt;AD$3)+($V418:$AE418=AD418)*($V$3:$AE$3=AD$3)*($V$2:$AE$2&lt;AD$2))),2))))</f>
      </c>
      <c r="AO418" s="33">
        <f>IF(AE418&lt;=0,0,MAX(0,MIN(AE418,ROUND($AZ418-SUMPRODUCT($V418:$AE418*($V418:$AE418&gt;0)*(($V418:$AE418&lt;AE418)+($V418:$AE418=AE418)*($V$3:$AE$3&gt;AE$3)+($V418:$AE418=AE418)*($V$3:$AE$3=AE$3)*($V$2:$AE$2&lt;AE$2))),2))))</f>
      </c>
      <c r="AP418" s="33">
        <f>ROUND(V418-AF418,2)</f>
      </c>
      <c r="AQ418" s="33">
        <f>ROUND(W418-AG418,2)</f>
      </c>
      <c r="AR418" s="33">
        <f>ROUND(X418-AH418,2)</f>
      </c>
      <c r="AS418" s="33">
        <f>ROUND(Y418-AI418,2)</f>
      </c>
      <c r="AT418" s="33">
        <f>ROUND(Z418-AJ418,2)</f>
      </c>
      <c r="AU418" s="33">
        <f>ROUND(AA418-AK418,2)</f>
      </c>
      <c r="AV418" s="33">
        <f>ROUND(AB418-AL418,2)</f>
      </c>
      <c r="AW418" s="33">
        <f>ROUND(AC418-AM418,2)</f>
      </c>
      <c r="AX418" s="33">
        <f>ROUND(AD418-AN418,2)</f>
      </c>
      <c r="AY418" s="33">
        <f>ROUND(AE418-AO418,2)</f>
      </c>
      <c r="AZ418" s="33">
        <f>ROUND(MAX(0,'Your debts'!$D$22-SUM($L418:$U418)),2)</f>
      </c>
      <c r="BA418" s="33">
        <f>ROUND(SUM($B418:$K418)-SUM($AP417:$AY417),2)</f>
      </c>
      <c r="BB418" s="33">
        <f>SUM($AP418:$AY418)</f>
      </c>
      <c r="BC418" s="33">
        <f>ROUND(SUM($L418:$U418)+SUM($AF418:$AO418),2)</f>
      </c>
    </row>
    <row r="419" spans="1:55" x14ac:dyDescent="0.25">
      <c r="A419">
        <v>412</v>
      </c>
      <c r="B419" s="33">
        <f>IF(AP418&lt;=0,0,ROUND(AP418+ROUND(AP418*V$3/12,2),2))</f>
      </c>
      <c r="C419" s="33">
        <f>IF(AQ418&lt;=0,0,ROUND(AQ418+ROUND(AQ418*W$3/12,2),2))</f>
      </c>
      <c r="D419" s="33">
        <f>IF(AR418&lt;=0,0,ROUND(AR418+ROUND(AR418*X$3/12,2),2))</f>
      </c>
      <c r="E419" s="33">
        <f>IF(AS418&lt;=0,0,ROUND(AS418+ROUND(AS418*Y$3/12,2),2))</f>
      </c>
      <c r="F419" s="33">
        <f>IF(AT418&lt;=0,0,ROUND(AT418+ROUND(AT418*Z$3/12,2),2))</f>
      </c>
      <c r="G419" s="33">
        <f>IF(AU418&lt;=0,0,ROUND(AU418+ROUND(AU418*AA$3/12,2),2))</f>
      </c>
      <c r="H419" s="33">
        <f>IF(AV418&lt;=0,0,ROUND(AV418+ROUND(AV418*AB$3/12,2),2))</f>
      </c>
      <c r="I419" s="33">
        <f>IF(AW418&lt;=0,0,ROUND(AW418+ROUND(AW418*AC$3/12,2),2))</f>
      </c>
      <c r="J419" s="33">
        <f>IF(AX418&lt;=0,0,ROUND(AX418+ROUND(AX418*AD$3/12,2),2))</f>
      </c>
      <c r="K419" s="33">
        <f>IF(AY418&lt;=0,0,ROUND(AY418+ROUND(AY418*AE$3/12,2),2))</f>
      </c>
      <c r="L419" s="33">
        <f>ROUND(MIN(MAX(0,N('Your debts'!$E$6)),B419),2)</f>
      </c>
      <c r="M419" s="33">
        <f>ROUND(MIN(MAX(0,N('Your debts'!$E$7)),C419),2)</f>
      </c>
      <c r="N419" s="33">
        <f>ROUND(MIN(MAX(0,N('Your debts'!$E$8)),D419),2)</f>
      </c>
      <c r="O419" s="33">
        <f>ROUND(MIN(MAX(0,N('Your debts'!$E$9)),E419),2)</f>
      </c>
      <c r="P419" s="33">
        <f>ROUND(MIN(MAX(0,N('Your debts'!$E$10)),F419),2)</f>
      </c>
      <c r="Q419" s="33">
        <f>ROUND(MIN(MAX(0,N('Your debts'!$E$11)),G419),2)</f>
      </c>
      <c r="R419" s="33">
        <f>ROUND(MIN(MAX(0,N('Your debts'!$E$12)),H419),2)</f>
      </c>
      <c r="S419" s="33">
        <f>ROUND(MIN(MAX(0,N('Your debts'!$E$13)),I419),2)</f>
      </c>
      <c r="T419" s="33">
        <f>ROUND(MIN(MAX(0,N('Your debts'!$E$14)),J419),2)</f>
      </c>
      <c r="U419" s="33">
        <f>ROUND(MIN(MAX(0,N('Your debts'!$E$15)),K419),2)</f>
      </c>
      <c r="V419" s="33">
        <f>ROUND(B419-L419,2)</f>
      </c>
      <c r="W419" s="33">
        <f>ROUND(C419-M419,2)</f>
      </c>
      <c r="X419" s="33">
        <f>ROUND(D419-N419,2)</f>
      </c>
      <c r="Y419" s="33">
        <f>ROUND(E419-O419,2)</f>
      </c>
      <c r="Z419" s="33">
        <f>ROUND(F419-P419,2)</f>
      </c>
      <c r="AA419" s="33">
        <f>ROUND(G419-Q419,2)</f>
      </c>
      <c r="AB419" s="33">
        <f>ROUND(H419-R419,2)</f>
      </c>
      <c r="AC419" s="33">
        <f>ROUND(I419-S419,2)</f>
      </c>
      <c r="AD419" s="33">
        <f>ROUND(J419-T419,2)</f>
      </c>
      <c r="AE419" s="33">
        <f>ROUND(K419-U419,2)</f>
      </c>
      <c r="AF419" s="33">
        <f>IF(V419&lt;=0,0,MAX(0,MIN(V419,ROUND($AZ419-SUMPRODUCT($V419:$AE419*($V419:$AE419&gt;0)*(($V419:$AE419&lt;V419)+($V419:$AE419=V419)*($V$3:$AE$3&gt;V$3)+($V419:$AE419=V419)*($V$3:$AE$3=V$3)*($V$2:$AE$2&lt;V$2))),2))))</f>
      </c>
      <c r="AG419" s="33">
        <f>IF(W419&lt;=0,0,MAX(0,MIN(W419,ROUND($AZ419-SUMPRODUCT($V419:$AE419*($V419:$AE419&gt;0)*(($V419:$AE419&lt;W419)+($V419:$AE419=W419)*($V$3:$AE$3&gt;W$3)+($V419:$AE419=W419)*($V$3:$AE$3=W$3)*($V$2:$AE$2&lt;W$2))),2))))</f>
      </c>
      <c r="AH419" s="33">
        <f>IF(X419&lt;=0,0,MAX(0,MIN(X419,ROUND($AZ419-SUMPRODUCT($V419:$AE419*($V419:$AE419&gt;0)*(($V419:$AE419&lt;X419)+($V419:$AE419=X419)*($V$3:$AE$3&gt;X$3)+($V419:$AE419=X419)*($V$3:$AE$3=X$3)*($V$2:$AE$2&lt;X$2))),2))))</f>
      </c>
      <c r="AI419" s="33">
        <f>IF(Y419&lt;=0,0,MAX(0,MIN(Y419,ROUND($AZ419-SUMPRODUCT($V419:$AE419*($V419:$AE419&gt;0)*(($V419:$AE419&lt;Y419)+($V419:$AE419=Y419)*($V$3:$AE$3&gt;Y$3)+($V419:$AE419=Y419)*($V$3:$AE$3=Y$3)*($V$2:$AE$2&lt;Y$2))),2))))</f>
      </c>
      <c r="AJ419" s="33">
        <f>IF(Z419&lt;=0,0,MAX(0,MIN(Z419,ROUND($AZ419-SUMPRODUCT($V419:$AE419*($V419:$AE419&gt;0)*(($V419:$AE419&lt;Z419)+($V419:$AE419=Z419)*($V$3:$AE$3&gt;Z$3)+($V419:$AE419=Z419)*($V$3:$AE$3=Z$3)*($V$2:$AE$2&lt;Z$2))),2))))</f>
      </c>
      <c r="AK419" s="33">
        <f>IF(AA419&lt;=0,0,MAX(0,MIN(AA419,ROUND($AZ419-SUMPRODUCT($V419:$AE419*($V419:$AE419&gt;0)*(($V419:$AE419&lt;AA419)+($V419:$AE419=AA419)*($V$3:$AE$3&gt;AA$3)+($V419:$AE419=AA419)*($V$3:$AE$3=AA$3)*($V$2:$AE$2&lt;AA$2))),2))))</f>
      </c>
      <c r="AL419" s="33">
        <f>IF(AB419&lt;=0,0,MAX(0,MIN(AB419,ROUND($AZ419-SUMPRODUCT($V419:$AE419*($V419:$AE419&gt;0)*(($V419:$AE419&lt;AB419)+($V419:$AE419=AB419)*($V$3:$AE$3&gt;AB$3)+($V419:$AE419=AB419)*($V$3:$AE$3=AB$3)*($V$2:$AE$2&lt;AB$2))),2))))</f>
      </c>
      <c r="AM419" s="33">
        <f>IF(AC419&lt;=0,0,MAX(0,MIN(AC419,ROUND($AZ419-SUMPRODUCT($V419:$AE419*($V419:$AE419&gt;0)*(($V419:$AE419&lt;AC419)+($V419:$AE419=AC419)*($V$3:$AE$3&gt;AC$3)+($V419:$AE419=AC419)*($V$3:$AE$3=AC$3)*($V$2:$AE$2&lt;AC$2))),2))))</f>
      </c>
      <c r="AN419" s="33">
        <f>IF(AD419&lt;=0,0,MAX(0,MIN(AD419,ROUND($AZ419-SUMPRODUCT($V419:$AE419*($V419:$AE419&gt;0)*(($V419:$AE419&lt;AD419)+($V419:$AE419=AD419)*($V$3:$AE$3&gt;AD$3)+($V419:$AE419=AD419)*($V$3:$AE$3=AD$3)*($V$2:$AE$2&lt;AD$2))),2))))</f>
      </c>
      <c r="AO419" s="33">
        <f>IF(AE419&lt;=0,0,MAX(0,MIN(AE419,ROUND($AZ419-SUMPRODUCT($V419:$AE419*($V419:$AE419&gt;0)*(($V419:$AE419&lt;AE419)+($V419:$AE419=AE419)*($V$3:$AE$3&gt;AE$3)+($V419:$AE419=AE419)*($V$3:$AE$3=AE$3)*($V$2:$AE$2&lt;AE$2))),2))))</f>
      </c>
      <c r="AP419" s="33">
        <f>ROUND(V419-AF419,2)</f>
      </c>
      <c r="AQ419" s="33">
        <f>ROUND(W419-AG419,2)</f>
      </c>
      <c r="AR419" s="33">
        <f>ROUND(X419-AH419,2)</f>
      </c>
      <c r="AS419" s="33">
        <f>ROUND(Y419-AI419,2)</f>
      </c>
      <c r="AT419" s="33">
        <f>ROUND(Z419-AJ419,2)</f>
      </c>
      <c r="AU419" s="33">
        <f>ROUND(AA419-AK419,2)</f>
      </c>
      <c r="AV419" s="33">
        <f>ROUND(AB419-AL419,2)</f>
      </c>
      <c r="AW419" s="33">
        <f>ROUND(AC419-AM419,2)</f>
      </c>
      <c r="AX419" s="33">
        <f>ROUND(AD419-AN419,2)</f>
      </c>
      <c r="AY419" s="33">
        <f>ROUND(AE419-AO419,2)</f>
      </c>
      <c r="AZ419" s="33">
        <f>ROUND(MAX(0,'Your debts'!$D$22-SUM($L419:$U419)),2)</f>
      </c>
      <c r="BA419" s="33">
        <f>ROUND(SUM($B419:$K419)-SUM($AP418:$AY418),2)</f>
      </c>
      <c r="BB419" s="33">
        <f>SUM($AP419:$AY419)</f>
      </c>
      <c r="BC419" s="33">
        <f>ROUND(SUM($L419:$U419)+SUM($AF419:$AO419),2)</f>
      </c>
    </row>
    <row r="420" spans="1:55" x14ac:dyDescent="0.25">
      <c r="A420">
        <v>413</v>
      </c>
      <c r="B420" s="33">
        <f>IF(AP419&lt;=0,0,ROUND(AP419+ROUND(AP419*V$3/12,2),2))</f>
      </c>
      <c r="C420" s="33">
        <f>IF(AQ419&lt;=0,0,ROUND(AQ419+ROUND(AQ419*W$3/12,2),2))</f>
      </c>
      <c r="D420" s="33">
        <f>IF(AR419&lt;=0,0,ROUND(AR419+ROUND(AR419*X$3/12,2),2))</f>
      </c>
      <c r="E420" s="33">
        <f>IF(AS419&lt;=0,0,ROUND(AS419+ROUND(AS419*Y$3/12,2),2))</f>
      </c>
      <c r="F420" s="33">
        <f>IF(AT419&lt;=0,0,ROUND(AT419+ROUND(AT419*Z$3/12,2),2))</f>
      </c>
      <c r="G420" s="33">
        <f>IF(AU419&lt;=0,0,ROUND(AU419+ROUND(AU419*AA$3/12,2),2))</f>
      </c>
      <c r="H420" s="33">
        <f>IF(AV419&lt;=0,0,ROUND(AV419+ROUND(AV419*AB$3/12,2),2))</f>
      </c>
      <c r="I420" s="33">
        <f>IF(AW419&lt;=0,0,ROUND(AW419+ROUND(AW419*AC$3/12,2),2))</f>
      </c>
      <c r="J420" s="33">
        <f>IF(AX419&lt;=0,0,ROUND(AX419+ROUND(AX419*AD$3/12,2),2))</f>
      </c>
      <c r="K420" s="33">
        <f>IF(AY419&lt;=0,0,ROUND(AY419+ROUND(AY419*AE$3/12,2),2))</f>
      </c>
      <c r="L420" s="33">
        <f>ROUND(MIN(MAX(0,N('Your debts'!$E$6)),B420),2)</f>
      </c>
      <c r="M420" s="33">
        <f>ROUND(MIN(MAX(0,N('Your debts'!$E$7)),C420),2)</f>
      </c>
      <c r="N420" s="33">
        <f>ROUND(MIN(MAX(0,N('Your debts'!$E$8)),D420),2)</f>
      </c>
      <c r="O420" s="33">
        <f>ROUND(MIN(MAX(0,N('Your debts'!$E$9)),E420),2)</f>
      </c>
      <c r="P420" s="33">
        <f>ROUND(MIN(MAX(0,N('Your debts'!$E$10)),F420),2)</f>
      </c>
      <c r="Q420" s="33">
        <f>ROUND(MIN(MAX(0,N('Your debts'!$E$11)),G420),2)</f>
      </c>
      <c r="R420" s="33">
        <f>ROUND(MIN(MAX(0,N('Your debts'!$E$12)),H420),2)</f>
      </c>
      <c r="S420" s="33">
        <f>ROUND(MIN(MAX(0,N('Your debts'!$E$13)),I420),2)</f>
      </c>
      <c r="T420" s="33">
        <f>ROUND(MIN(MAX(0,N('Your debts'!$E$14)),J420),2)</f>
      </c>
      <c r="U420" s="33">
        <f>ROUND(MIN(MAX(0,N('Your debts'!$E$15)),K420),2)</f>
      </c>
      <c r="V420" s="33">
        <f>ROUND(B420-L420,2)</f>
      </c>
      <c r="W420" s="33">
        <f>ROUND(C420-M420,2)</f>
      </c>
      <c r="X420" s="33">
        <f>ROUND(D420-N420,2)</f>
      </c>
      <c r="Y420" s="33">
        <f>ROUND(E420-O420,2)</f>
      </c>
      <c r="Z420" s="33">
        <f>ROUND(F420-P420,2)</f>
      </c>
      <c r="AA420" s="33">
        <f>ROUND(G420-Q420,2)</f>
      </c>
      <c r="AB420" s="33">
        <f>ROUND(H420-R420,2)</f>
      </c>
      <c r="AC420" s="33">
        <f>ROUND(I420-S420,2)</f>
      </c>
      <c r="AD420" s="33">
        <f>ROUND(J420-T420,2)</f>
      </c>
      <c r="AE420" s="33">
        <f>ROUND(K420-U420,2)</f>
      </c>
      <c r="AF420" s="33">
        <f>IF(V420&lt;=0,0,MAX(0,MIN(V420,ROUND($AZ420-SUMPRODUCT($V420:$AE420*($V420:$AE420&gt;0)*(($V420:$AE420&lt;V420)+($V420:$AE420=V420)*($V$3:$AE$3&gt;V$3)+($V420:$AE420=V420)*($V$3:$AE$3=V$3)*($V$2:$AE$2&lt;V$2))),2))))</f>
      </c>
      <c r="AG420" s="33">
        <f>IF(W420&lt;=0,0,MAX(0,MIN(W420,ROUND($AZ420-SUMPRODUCT($V420:$AE420*($V420:$AE420&gt;0)*(($V420:$AE420&lt;W420)+($V420:$AE420=W420)*($V$3:$AE$3&gt;W$3)+($V420:$AE420=W420)*($V$3:$AE$3=W$3)*($V$2:$AE$2&lt;W$2))),2))))</f>
      </c>
      <c r="AH420" s="33">
        <f>IF(X420&lt;=0,0,MAX(0,MIN(X420,ROUND($AZ420-SUMPRODUCT($V420:$AE420*($V420:$AE420&gt;0)*(($V420:$AE420&lt;X420)+($V420:$AE420=X420)*($V$3:$AE$3&gt;X$3)+($V420:$AE420=X420)*($V$3:$AE$3=X$3)*($V$2:$AE$2&lt;X$2))),2))))</f>
      </c>
      <c r="AI420" s="33">
        <f>IF(Y420&lt;=0,0,MAX(0,MIN(Y420,ROUND($AZ420-SUMPRODUCT($V420:$AE420*($V420:$AE420&gt;0)*(($V420:$AE420&lt;Y420)+($V420:$AE420=Y420)*($V$3:$AE$3&gt;Y$3)+($V420:$AE420=Y420)*($V$3:$AE$3=Y$3)*($V$2:$AE$2&lt;Y$2))),2))))</f>
      </c>
      <c r="AJ420" s="33">
        <f>IF(Z420&lt;=0,0,MAX(0,MIN(Z420,ROUND($AZ420-SUMPRODUCT($V420:$AE420*($V420:$AE420&gt;0)*(($V420:$AE420&lt;Z420)+($V420:$AE420=Z420)*($V$3:$AE$3&gt;Z$3)+($V420:$AE420=Z420)*($V$3:$AE$3=Z$3)*($V$2:$AE$2&lt;Z$2))),2))))</f>
      </c>
      <c r="AK420" s="33">
        <f>IF(AA420&lt;=0,0,MAX(0,MIN(AA420,ROUND($AZ420-SUMPRODUCT($V420:$AE420*($V420:$AE420&gt;0)*(($V420:$AE420&lt;AA420)+($V420:$AE420=AA420)*($V$3:$AE$3&gt;AA$3)+($V420:$AE420=AA420)*($V$3:$AE$3=AA$3)*($V$2:$AE$2&lt;AA$2))),2))))</f>
      </c>
      <c r="AL420" s="33">
        <f>IF(AB420&lt;=0,0,MAX(0,MIN(AB420,ROUND($AZ420-SUMPRODUCT($V420:$AE420*($V420:$AE420&gt;0)*(($V420:$AE420&lt;AB420)+($V420:$AE420=AB420)*($V$3:$AE$3&gt;AB$3)+($V420:$AE420=AB420)*($V$3:$AE$3=AB$3)*($V$2:$AE$2&lt;AB$2))),2))))</f>
      </c>
      <c r="AM420" s="33">
        <f>IF(AC420&lt;=0,0,MAX(0,MIN(AC420,ROUND($AZ420-SUMPRODUCT($V420:$AE420*($V420:$AE420&gt;0)*(($V420:$AE420&lt;AC420)+($V420:$AE420=AC420)*($V$3:$AE$3&gt;AC$3)+($V420:$AE420=AC420)*($V$3:$AE$3=AC$3)*($V$2:$AE$2&lt;AC$2))),2))))</f>
      </c>
      <c r="AN420" s="33">
        <f>IF(AD420&lt;=0,0,MAX(0,MIN(AD420,ROUND($AZ420-SUMPRODUCT($V420:$AE420*($V420:$AE420&gt;0)*(($V420:$AE420&lt;AD420)+($V420:$AE420=AD420)*($V$3:$AE$3&gt;AD$3)+($V420:$AE420=AD420)*($V$3:$AE$3=AD$3)*($V$2:$AE$2&lt;AD$2))),2))))</f>
      </c>
      <c r="AO420" s="33">
        <f>IF(AE420&lt;=0,0,MAX(0,MIN(AE420,ROUND($AZ420-SUMPRODUCT($V420:$AE420*($V420:$AE420&gt;0)*(($V420:$AE420&lt;AE420)+($V420:$AE420=AE420)*($V$3:$AE$3&gt;AE$3)+($V420:$AE420=AE420)*($V$3:$AE$3=AE$3)*($V$2:$AE$2&lt;AE$2))),2))))</f>
      </c>
      <c r="AP420" s="33">
        <f>ROUND(V420-AF420,2)</f>
      </c>
      <c r="AQ420" s="33">
        <f>ROUND(W420-AG420,2)</f>
      </c>
      <c r="AR420" s="33">
        <f>ROUND(X420-AH420,2)</f>
      </c>
      <c r="AS420" s="33">
        <f>ROUND(Y420-AI420,2)</f>
      </c>
      <c r="AT420" s="33">
        <f>ROUND(Z420-AJ420,2)</f>
      </c>
      <c r="AU420" s="33">
        <f>ROUND(AA420-AK420,2)</f>
      </c>
      <c r="AV420" s="33">
        <f>ROUND(AB420-AL420,2)</f>
      </c>
      <c r="AW420" s="33">
        <f>ROUND(AC420-AM420,2)</f>
      </c>
      <c r="AX420" s="33">
        <f>ROUND(AD420-AN420,2)</f>
      </c>
      <c r="AY420" s="33">
        <f>ROUND(AE420-AO420,2)</f>
      </c>
      <c r="AZ420" s="33">
        <f>ROUND(MAX(0,'Your debts'!$D$22-SUM($L420:$U420)),2)</f>
      </c>
      <c r="BA420" s="33">
        <f>ROUND(SUM($B420:$K420)-SUM($AP419:$AY419),2)</f>
      </c>
      <c r="BB420" s="33">
        <f>SUM($AP420:$AY420)</f>
      </c>
      <c r="BC420" s="33">
        <f>ROUND(SUM($L420:$U420)+SUM($AF420:$AO420),2)</f>
      </c>
    </row>
    <row r="421" spans="1:55" x14ac:dyDescent="0.25">
      <c r="A421">
        <v>414</v>
      </c>
      <c r="B421" s="33">
        <f>IF(AP420&lt;=0,0,ROUND(AP420+ROUND(AP420*V$3/12,2),2))</f>
      </c>
      <c r="C421" s="33">
        <f>IF(AQ420&lt;=0,0,ROUND(AQ420+ROUND(AQ420*W$3/12,2),2))</f>
      </c>
      <c r="D421" s="33">
        <f>IF(AR420&lt;=0,0,ROUND(AR420+ROUND(AR420*X$3/12,2),2))</f>
      </c>
      <c r="E421" s="33">
        <f>IF(AS420&lt;=0,0,ROUND(AS420+ROUND(AS420*Y$3/12,2),2))</f>
      </c>
      <c r="F421" s="33">
        <f>IF(AT420&lt;=0,0,ROUND(AT420+ROUND(AT420*Z$3/12,2),2))</f>
      </c>
      <c r="G421" s="33">
        <f>IF(AU420&lt;=0,0,ROUND(AU420+ROUND(AU420*AA$3/12,2),2))</f>
      </c>
      <c r="H421" s="33">
        <f>IF(AV420&lt;=0,0,ROUND(AV420+ROUND(AV420*AB$3/12,2),2))</f>
      </c>
      <c r="I421" s="33">
        <f>IF(AW420&lt;=0,0,ROUND(AW420+ROUND(AW420*AC$3/12,2),2))</f>
      </c>
      <c r="J421" s="33">
        <f>IF(AX420&lt;=0,0,ROUND(AX420+ROUND(AX420*AD$3/12,2),2))</f>
      </c>
      <c r="K421" s="33">
        <f>IF(AY420&lt;=0,0,ROUND(AY420+ROUND(AY420*AE$3/12,2),2))</f>
      </c>
      <c r="L421" s="33">
        <f>ROUND(MIN(MAX(0,N('Your debts'!$E$6)),B421),2)</f>
      </c>
      <c r="M421" s="33">
        <f>ROUND(MIN(MAX(0,N('Your debts'!$E$7)),C421),2)</f>
      </c>
      <c r="N421" s="33">
        <f>ROUND(MIN(MAX(0,N('Your debts'!$E$8)),D421),2)</f>
      </c>
      <c r="O421" s="33">
        <f>ROUND(MIN(MAX(0,N('Your debts'!$E$9)),E421),2)</f>
      </c>
      <c r="P421" s="33">
        <f>ROUND(MIN(MAX(0,N('Your debts'!$E$10)),F421),2)</f>
      </c>
      <c r="Q421" s="33">
        <f>ROUND(MIN(MAX(0,N('Your debts'!$E$11)),G421),2)</f>
      </c>
      <c r="R421" s="33">
        <f>ROUND(MIN(MAX(0,N('Your debts'!$E$12)),H421),2)</f>
      </c>
      <c r="S421" s="33">
        <f>ROUND(MIN(MAX(0,N('Your debts'!$E$13)),I421),2)</f>
      </c>
      <c r="T421" s="33">
        <f>ROUND(MIN(MAX(0,N('Your debts'!$E$14)),J421),2)</f>
      </c>
      <c r="U421" s="33">
        <f>ROUND(MIN(MAX(0,N('Your debts'!$E$15)),K421),2)</f>
      </c>
      <c r="V421" s="33">
        <f>ROUND(B421-L421,2)</f>
      </c>
      <c r="W421" s="33">
        <f>ROUND(C421-M421,2)</f>
      </c>
      <c r="X421" s="33">
        <f>ROUND(D421-N421,2)</f>
      </c>
      <c r="Y421" s="33">
        <f>ROUND(E421-O421,2)</f>
      </c>
      <c r="Z421" s="33">
        <f>ROUND(F421-P421,2)</f>
      </c>
      <c r="AA421" s="33">
        <f>ROUND(G421-Q421,2)</f>
      </c>
      <c r="AB421" s="33">
        <f>ROUND(H421-R421,2)</f>
      </c>
      <c r="AC421" s="33">
        <f>ROUND(I421-S421,2)</f>
      </c>
      <c r="AD421" s="33">
        <f>ROUND(J421-T421,2)</f>
      </c>
      <c r="AE421" s="33">
        <f>ROUND(K421-U421,2)</f>
      </c>
      <c r="AF421" s="33">
        <f>IF(V421&lt;=0,0,MAX(0,MIN(V421,ROUND($AZ421-SUMPRODUCT($V421:$AE421*($V421:$AE421&gt;0)*(($V421:$AE421&lt;V421)+($V421:$AE421=V421)*($V$3:$AE$3&gt;V$3)+($V421:$AE421=V421)*($V$3:$AE$3=V$3)*($V$2:$AE$2&lt;V$2))),2))))</f>
      </c>
      <c r="AG421" s="33">
        <f>IF(W421&lt;=0,0,MAX(0,MIN(W421,ROUND($AZ421-SUMPRODUCT($V421:$AE421*($V421:$AE421&gt;0)*(($V421:$AE421&lt;W421)+($V421:$AE421=W421)*($V$3:$AE$3&gt;W$3)+($V421:$AE421=W421)*($V$3:$AE$3=W$3)*($V$2:$AE$2&lt;W$2))),2))))</f>
      </c>
      <c r="AH421" s="33">
        <f>IF(X421&lt;=0,0,MAX(0,MIN(X421,ROUND($AZ421-SUMPRODUCT($V421:$AE421*($V421:$AE421&gt;0)*(($V421:$AE421&lt;X421)+($V421:$AE421=X421)*($V$3:$AE$3&gt;X$3)+($V421:$AE421=X421)*($V$3:$AE$3=X$3)*($V$2:$AE$2&lt;X$2))),2))))</f>
      </c>
      <c r="AI421" s="33">
        <f>IF(Y421&lt;=0,0,MAX(0,MIN(Y421,ROUND($AZ421-SUMPRODUCT($V421:$AE421*($V421:$AE421&gt;0)*(($V421:$AE421&lt;Y421)+($V421:$AE421=Y421)*($V$3:$AE$3&gt;Y$3)+($V421:$AE421=Y421)*($V$3:$AE$3=Y$3)*($V$2:$AE$2&lt;Y$2))),2))))</f>
      </c>
      <c r="AJ421" s="33">
        <f>IF(Z421&lt;=0,0,MAX(0,MIN(Z421,ROUND($AZ421-SUMPRODUCT($V421:$AE421*($V421:$AE421&gt;0)*(($V421:$AE421&lt;Z421)+($V421:$AE421=Z421)*($V$3:$AE$3&gt;Z$3)+($V421:$AE421=Z421)*($V$3:$AE$3=Z$3)*($V$2:$AE$2&lt;Z$2))),2))))</f>
      </c>
      <c r="AK421" s="33">
        <f>IF(AA421&lt;=0,0,MAX(0,MIN(AA421,ROUND($AZ421-SUMPRODUCT($V421:$AE421*($V421:$AE421&gt;0)*(($V421:$AE421&lt;AA421)+($V421:$AE421=AA421)*($V$3:$AE$3&gt;AA$3)+($V421:$AE421=AA421)*($V$3:$AE$3=AA$3)*($V$2:$AE$2&lt;AA$2))),2))))</f>
      </c>
      <c r="AL421" s="33">
        <f>IF(AB421&lt;=0,0,MAX(0,MIN(AB421,ROUND($AZ421-SUMPRODUCT($V421:$AE421*($V421:$AE421&gt;0)*(($V421:$AE421&lt;AB421)+($V421:$AE421=AB421)*($V$3:$AE$3&gt;AB$3)+($V421:$AE421=AB421)*($V$3:$AE$3=AB$3)*($V$2:$AE$2&lt;AB$2))),2))))</f>
      </c>
      <c r="AM421" s="33">
        <f>IF(AC421&lt;=0,0,MAX(0,MIN(AC421,ROUND($AZ421-SUMPRODUCT($V421:$AE421*($V421:$AE421&gt;0)*(($V421:$AE421&lt;AC421)+($V421:$AE421=AC421)*($V$3:$AE$3&gt;AC$3)+($V421:$AE421=AC421)*($V$3:$AE$3=AC$3)*($V$2:$AE$2&lt;AC$2))),2))))</f>
      </c>
      <c r="AN421" s="33">
        <f>IF(AD421&lt;=0,0,MAX(0,MIN(AD421,ROUND($AZ421-SUMPRODUCT($V421:$AE421*($V421:$AE421&gt;0)*(($V421:$AE421&lt;AD421)+($V421:$AE421=AD421)*($V$3:$AE$3&gt;AD$3)+($V421:$AE421=AD421)*($V$3:$AE$3=AD$3)*($V$2:$AE$2&lt;AD$2))),2))))</f>
      </c>
      <c r="AO421" s="33">
        <f>IF(AE421&lt;=0,0,MAX(0,MIN(AE421,ROUND($AZ421-SUMPRODUCT($V421:$AE421*($V421:$AE421&gt;0)*(($V421:$AE421&lt;AE421)+($V421:$AE421=AE421)*($V$3:$AE$3&gt;AE$3)+($V421:$AE421=AE421)*($V$3:$AE$3=AE$3)*($V$2:$AE$2&lt;AE$2))),2))))</f>
      </c>
      <c r="AP421" s="33">
        <f>ROUND(V421-AF421,2)</f>
      </c>
      <c r="AQ421" s="33">
        <f>ROUND(W421-AG421,2)</f>
      </c>
      <c r="AR421" s="33">
        <f>ROUND(X421-AH421,2)</f>
      </c>
      <c r="AS421" s="33">
        <f>ROUND(Y421-AI421,2)</f>
      </c>
      <c r="AT421" s="33">
        <f>ROUND(Z421-AJ421,2)</f>
      </c>
      <c r="AU421" s="33">
        <f>ROUND(AA421-AK421,2)</f>
      </c>
      <c r="AV421" s="33">
        <f>ROUND(AB421-AL421,2)</f>
      </c>
      <c r="AW421" s="33">
        <f>ROUND(AC421-AM421,2)</f>
      </c>
      <c r="AX421" s="33">
        <f>ROUND(AD421-AN421,2)</f>
      </c>
      <c r="AY421" s="33">
        <f>ROUND(AE421-AO421,2)</f>
      </c>
      <c r="AZ421" s="33">
        <f>ROUND(MAX(0,'Your debts'!$D$22-SUM($L421:$U421)),2)</f>
      </c>
      <c r="BA421" s="33">
        <f>ROUND(SUM($B421:$K421)-SUM($AP420:$AY420),2)</f>
      </c>
      <c r="BB421" s="33">
        <f>SUM($AP421:$AY421)</f>
      </c>
      <c r="BC421" s="33">
        <f>ROUND(SUM($L421:$U421)+SUM($AF421:$AO421),2)</f>
      </c>
    </row>
    <row r="422" spans="1:55" x14ac:dyDescent="0.25">
      <c r="A422">
        <v>415</v>
      </c>
      <c r="B422" s="33">
        <f>IF(AP421&lt;=0,0,ROUND(AP421+ROUND(AP421*V$3/12,2),2))</f>
      </c>
      <c r="C422" s="33">
        <f>IF(AQ421&lt;=0,0,ROUND(AQ421+ROUND(AQ421*W$3/12,2),2))</f>
      </c>
      <c r="D422" s="33">
        <f>IF(AR421&lt;=0,0,ROUND(AR421+ROUND(AR421*X$3/12,2),2))</f>
      </c>
      <c r="E422" s="33">
        <f>IF(AS421&lt;=0,0,ROUND(AS421+ROUND(AS421*Y$3/12,2),2))</f>
      </c>
      <c r="F422" s="33">
        <f>IF(AT421&lt;=0,0,ROUND(AT421+ROUND(AT421*Z$3/12,2),2))</f>
      </c>
      <c r="G422" s="33">
        <f>IF(AU421&lt;=0,0,ROUND(AU421+ROUND(AU421*AA$3/12,2),2))</f>
      </c>
      <c r="H422" s="33">
        <f>IF(AV421&lt;=0,0,ROUND(AV421+ROUND(AV421*AB$3/12,2),2))</f>
      </c>
      <c r="I422" s="33">
        <f>IF(AW421&lt;=0,0,ROUND(AW421+ROUND(AW421*AC$3/12,2),2))</f>
      </c>
      <c r="J422" s="33">
        <f>IF(AX421&lt;=0,0,ROUND(AX421+ROUND(AX421*AD$3/12,2),2))</f>
      </c>
      <c r="K422" s="33">
        <f>IF(AY421&lt;=0,0,ROUND(AY421+ROUND(AY421*AE$3/12,2),2))</f>
      </c>
      <c r="L422" s="33">
        <f>ROUND(MIN(MAX(0,N('Your debts'!$E$6)),B422),2)</f>
      </c>
      <c r="M422" s="33">
        <f>ROUND(MIN(MAX(0,N('Your debts'!$E$7)),C422),2)</f>
      </c>
      <c r="N422" s="33">
        <f>ROUND(MIN(MAX(0,N('Your debts'!$E$8)),D422),2)</f>
      </c>
      <c r="O422" s="33">
        <f>ROUND(MIN(MAX(0,N('Your debts'!$E$9)),E422),2)</f>
      </c>
      <c r="P422" s="33">
        <f>ROUND(MIN(MAX(0,N('Your debts'!$E$10)),F422),2)</f>
      </c>
      <c r="Q422" s="33">
        <f>ROUND(MIN(MAX(0,N('Your debts'!$E$11)),G422),2)</f>
      </c>
      <c r="R422" s="33">
        <f>ROUND(MIN(MAX(0,N('Your debts'!$E$12)),H422),2)</f>
      </c>
      <c r="S422" s="33">
        <f>ROUND(MIN(MAX(0,N('Your debts'!$E$13)),I422),2)</f>
      </c>
      <c r="T422" s="33">
        <f>ROUND(MIN(MAX(0,N('Your debts'!$E$14)),J422),2)</f>
      </c>
      <c r="U422" s="33">
        <f>ROUND(MIN(MAX(0,N('Your debts'!$E$15)),K422),2)</f>
      </c>
      <c r="V422" s="33">
        <f>ROUND(B422-L422,2)</f>
      </c>
      <c r="W422" s="33">
        <f>ROUND(C422-M422,2)</f>
      </c>
      <c r="X422" s="33">
        <f>ROUND(D422-N422,2)</f>
      </c>
      <c r="Y422" s="33">
        <f>ROUND(E422-O422,2)</f>
      </c>
      <c r="Z422" s="33">
        <f>ROUND(F422-P422,2)</f>
      </c>
      <c r="AA422" s="33">
        <f>ROUND(G422-Q422,2)</f>
      </c>
      <c r="AB422" s="33">
        <f>ROUND(H422-R422,2)</f>
      </c>
      <c r="AC422" s="33">
        <f>ROUND(I422-S422,2)</f>
      </c>
      <c r="AD422" s="33">
        <f>ROUND(J422-T422,2)</f>
      </c>
      <c r="AE422" s="33">
        <f>ROUND(K422-U422,2)</f>
      </c>
      <c r="AF422" s="33">
        <f>IF(V422&lt;=0,0,MAX(0,MIN(V422,ROUND($AZ422-SUMPRODUCT($V422:$AE422*($V422:$AE422&gt;0)*(($V422:$AE422&lt;V422)+($V422:$AE422=V422)*($V$3:$AE$3&gt;V$3)+($V422:$AE422=V422)*($V$3:$AE$3=V$3)*($V$2:$AE$2&lt;V$2))),2))))</f>
      </c>
      <c r="AG422" s="33">
        <f>IF(W422&lt;=0,0,MAX(0,MIN(W422,ROUND($AZ422-SUMPRODUCT($V422:$AE422*($V422:$AE422&gt;0)*(($V422:$AE422&lt;W422)+($V422:$AE422=W422)*($V$3:$AE$3&gt;W$3)+($V422:$AE422=W422)*($V$3:$AE$3=W$3)*($V$2:$AE$2&lt;W$2))),2))))</f>
      </c>
      <c r="AH422" s="33">
        <f>IF(X422&lt;=0,0,MAX(0,MIN(X422,ROUND($AZ422-SUMPRODUCT($V422:$AE422*($V422:$AE422&gt;0)*(($V422:$AE422&lt;X422)+($V422:$AE422=X422)*($V$3:$AE$3&gt;X$3)+($V422:$AE422=X422)*($V$3:$AE$3=X$3)*($V$2:$AE$2&lt;X$2))),2))))</f>
      </c>
      <c r="AI422" s="33">
        <f>IF(Y422&lt;=0,0,MAX(0,MIN(Y422,ROUND($AZ422-SUMPRODUCT($V422:$AE422*($V422:$AE422&gt;0)*(($V422:$AE422&lt;Y422)+($V422:$AE422=Y422)*($V$3:$AE$3&gt;Y$3)+($V422:$AE422=Y422)*($V$3:$AE$3=Y$3)*($V$2:$AE$2&lt;Y$2))),2))))</f>
      </c>
      <c r="AJ422" s="33">
        <f>IF(Z422&lt;=0,0,MAX(0,MIN(Z422,ROUND($AZ422-SUMPRODUCT($V422:$AE422*($V422:$AE422&gt;0)*(($V422:$AE422&lt;Z422)+($V422:$AE422=Z422)*($V$3:$AE$3&gt;Z$3)+($V422:$AE422=Z422)*($V$3:$AE$3=Z$3)*($V$2:$AE$2&lt;Z$2))),2))))</f>
      </c>
      <c r="AK422" s="33">
        <f>IF(AA422&lt;=0,0,MAX(0,MIN(AA422,ROUND($AZ422-SUMPRODUCT($V422:$AE422*($V422:$AE422&gt;0)*(($V422:$AE422&lt;AA422)+($V422:$AE422=AA422)*($V$3:$AE$3&gt;AA$3)+($V422:$AE422=AA422)*($V$3:$AE$3=AA$3)*($V$2:$AE$2&lt;AA$2))),2))))</f>
      </c>
      <c r="AL422" s="33">
        <f>IF(AB422&lt;=0,0,MAX(0,MIN(AB422,ROUND($AZ422-SUMPRODUCT($V422:$AE422*($V422:$AE422&gt;0)*(($V422:$AE422&lt;AB422)+($V422:$AE422=AB422)*($V$3:$AE$3&gt;AB$3)+($V422:$AE422=AB422)*($V$3:$AE$3=AB$3)*($V$2:$AE$2&lt;AB$2))),2))))</f>
      </c>
      <c r="AM422" s="33">
        <f>IF(AC422&lt;=0,0,MAX(0,MIN(AC422,ROUND($AZ422-SUMPRODUCT($V422:$AE422*($V422:$AE422&gt;0)*(($V422:$AE422&lt;AC422)+($V422:$AE422=AC422)*($V$3:$AE$3&gt;AC$3)+($V422:$AE422=AC422)*($V$3:$AE$3=AC$3)*($V$2:$AE$2&lt;AC$2))),2))))</f>
      </c>
      <c r="AN422" s="33">
        <f>IF(AD422&lt;=0,0,MAX(0,MIN(AD422,ROUND($AZ422-SUMPRODUCT($V422:$AE422*($V422:$AE422&gt;0)*(($V422:$AE422&lt;AD422)+($V422:$AE422=AD422)*($V$3:$AE$3&gt;AD$3)+($V422:$AE422=AD422)*($V$3:$AE$3=AD$3)*($V$2:$AE$2&lt;AD$2))),2))))</f>
      </c>
      <c r="AO422" s="33">
        <f>IF(AE422&lt;=0,0,MAX(0,MIN(AE422,ROUND($AZ422-SUMPRODUCT($V422:$AE422*($V422:$AE422&gt;0)*(($V422:$AE422&lt;AE422)+($V422:$AE422=AE422)*($V$3:$AE$3&gt;AE$3)+($V422:$AE422=AE422)*($V$3:$AE$3=AE$3)*($V$2:$AE$2&lt;AE$2))),2))))</f>
      </c>
      <c r="AP422" s="33">
        <f>ROUND(V422-AF422,2)</f>
      </c>
      <c r="AQ422" s="33">
        <f>ROUND(W422-AG422,2)</f>
      </c>
      <c r="AR422" s="33">
        <f>ROUND(X422-AH422,2)</f>
      </c>
      <c r="AS422" s="33">
        <f>ROUND(Y422-AI422,2)</f>
      </c>
      <c r="AT422" s="33">
        <f>ROUND(Z422-AJ422,2)</f>
      </c>
      <c r="AU422" s="33">
        <f>ROUND(AA422-AK422,2)</f>
      </c>
      <c r="AV422" s="33">
        <f>ROUND(AB422-AL422,2)</f>
      </c>
      <c r="AW422" s="33">
        <f>ROUND(AC422-AM422,2)</f>
      </c>
      <c r="AX422" s="33">
        <f>ROUND(AD422-AN422,2)</f>
      </c>
      <c r="AY422" s="33">
        <f>ROUND(AE422-AO422,2)</f>
      </c>
      <c r="AZ422" s="33">
        <f>ROUND(MAX(0,'Your debts'!$D$22-SUM($L422:$U422)),2)</f>
      </c>
      <c r="BA422" s="33">
        <f>ROUND(SUM($B422:$K422)-SUM($AP421:$AY421),2)</f>
      </c>
      <c r="BB422" s="33">
        <f>SUM($AP422:$AY422)</f>
      </c>
      <c r="BC422" s="33">
        <f>ROUND(SUM($L422:$U422)+SUM($AF422:$AO422),2)</f>
      </c>
    </row>
    <row r="423" spans="1:55" x14ac:dyDescent="0.25">
      <c r="A423">
        <v>416</v>
      </c>
      <c r="B423" s="33">
        <f>IF(AP422&lt;=0,0,ROUND(AP422+ROUND(AP422*V$3/12,2),2))</f>
      </c>
      <c r="C423" s="33">
        <f>IF(AQ422&lt;=0,0,ROUND(AQ422+ROUND(AQ422*W$3/12,2),2))</f>
      </c>
      <c r="D423" s="33">
        <f>IF(AR422&lt;=0,0,ROUND(AR422+ROUND(AR422*X$3/12,2),2))</f>
      </c>
      <c r="E423" s="33">
        <f>IF(AS422&lt;=0,0,ROUND(AS422+ROUND(AS422*Y$3/12,2),2))</f>
      </c>
      <c r="F423" s="33">
        <f>IF(AT422&lt;=0,0,ROUND(AT422+ROUND(AT422*Z$3/12,2),2))</f>
      </c>
      <c r="G423" s="33">
        <f>IF(AU422&lt;=0,0,ROUND(AU422+ROUND(AU422*AA$3/12,2),2))</f>
      </c>
      <c r="H423" s="33">
        <f>IF(AV422&lt;=0,0,ROUND(AV422+ROUND(AV422*AB$3/12,2),2))</f>
      </c>
      <c r="I423" s="33">
        <f>IF(AW422&lt;=0,0,ROUND(AW422+ROUND(AW422*AC$3/12,2),2))</f>
      </c>
      <c r="J423" s="33">
        <f>IF(AX422&lt;=0,0,ROUND(AX422+ROUND(AX422*AD$3/12,2),2))</f>
      </c>
      <c r="K423" s="33">
        <f>IF(AY422&lt;=0,0,ROUND(AY422+ROUND(AY422*AE$3/12,2),2))</f>
      </c>
      <c r="L423" s="33">
        <f>ROUND(MIN(MAX(0,N('Your debts'!$E$6)),B423),2)</f>
      </c>
      <c r="M423" s="33">
        <f>ROUND(MIN(MAX(0,N('Your debts'!$E$7)),C423),2)</f>
      </c>
      <c r="N423" s="33">
        <f>ROUND(MIN(MAX(0,N('Your debts'!$E$8)),D423),2)</f>
      </c>
      <c r="O423" s="33">
        <f>ROUND(MIN(MAX(0,N('Your debts'!$E$9)),E423),2)</f>
      </c>
      <c r="P423" s="33">
        <f>ROUND(MIN(MAX(0,N('Your debts'!$E$10)),F423),2)</f>
      </c>
      <c r="Q423" s="33">
        <f>ROUND(MIN(MAX(0,N('Your debts'!$E$11)),G423),2)</f>
      </c>
      <c r="R423" s="33">
        <f>ROUND(MIN(MAX(0,N('Your debts'!$E$12)),H423),2)</f>
      </c>
      <c r="S423" s="33">
        <f>ROUND(MIN(MAX(0,N('Your debts'!$E$13)),I423),2)</f>
      </c>
      <c r="T423" s="33">
        <f>ROUND(MIN(MAX(0,N('Your debts'!$E$14)),J423),2)</f>
      </c>
      <c r="U423" s="33">
        <f>ROUND(MIN(MAX(0,N('Your debts'!$E$15)),K423),2)</f>
      </c>
      <c r="V423" s="33">
        <f>ROUND(B423-L423,2)</f>
      </c>
      <c r="W423" s="33">
        <f>ROUND(C423-M423,2)</f>
      </c>
      <c r="X423" s="33">
        <f>ROUND(D423-N423,2)</f>
      </c>
      <c r="Y423" s="33">
        <f>ROUND(E423-O423,2)</f>
      </c>
      <c r="Z423" s="33">
        <f>ROUND(F423-P423,2)</f>
      </c>
      <c r="AA423" s="33">
        <f>ROUND(G423-Q423,2)</f>
      </c>
      <c r="AB423" s="33">
        <f>ROUND(H423-R423,2)</f>
      </c>
      <c r="AC423" s="33">
        <f>ROUND(I423-S423,2)</f>
      </c>
      <c r="AD423" s="33">
        <f>ROUND(J423-T423,2)</f>
      </c>
      <c r="AE423" s="33">
        <f>ROUND(K423-U423,2)</f>
      </c>
      <c r="AF423" s="33">
        <f>IF(V423&lt;=0,0,MAX(0,MIN(V423,ROUND($AZ423-SUMPRODUCT($V423:$AE423*($V423:$AE423&gt;0)*(($V423:$AE423&lt;V423)+($V423:$AE423=V423)*($V$3:$AE$3&gt;V$3)+($V423:$AE423=V423)*($V$3:$AE$3=V$3)*($V$2:$AE$2&lt;V$2))),2))))</f>
      </c>
      <c r="AG423" s="33">
        <f>IF(W423&lt;=0,0,MAX(0,MIN(W423,ROUND($AZ423-SUMPRODUCT($V423:$AE423*($V423:$AE423&gt;0)*(($V423:$AE423&lt;W423)+($V423:$AE423=W423)*($V$3:$AE$3&gt;W$3)+($V423:$AE423=W423)*($V$3:$AE$3=W$3)*($V$2:$AE$2&lt;W$2))),2))))</f>
      </c>
      <c r="AH423" s="33">
        <f>IF(X423&lt;=0,0,MAX(0,MIN(X423,ROUND($AZ423-SUMPRODUCT($V423:$AE423*($V423:$AE423&gt;0)*(($V423:$AE423&lt;X423)+($V423:$AE423=X423)*($V$3:$AE$3&gt;X$3)+($V423:$AE423=X423)*($V$3:$AE$3=X$3)*($V$2:$AE$2&lt;X$2))),2))))</f>
      </c>
      <c r="AI423" s="33">
        <f>IF(Y423&lt;=0,0,MAX(0,MIN(Y423,ROUND($AZ423-SUMPRODUCT($V423:$AE423*($V423:$AE423&gt;0)*(($V423:$AE423&lt;Y423)+($V423:$AE423=Y423)*($V$3:$AE$3&gt;Y$3)+($V423:$AE423=Y423)*($V$3:$AE$3=Y$3)*($V$2:$AE$2&lt;Y$2))),2))))</f>
      </c>
      <c r="AJ423" s="33">
        <f>IF(Z423&lt;=0,0,MAX(0,MIN(Z423,ROUND($AZ423-SUMPRODUCT($V423:$AE423*($V423:$AE423&gt;0)*(($V423:$AE423&lt;Z423)+($V423:$AE423=Z423)*($V$3:$AE$3&gt;Z$3)+($V423:$AE423=Z423)*($V$3:$AE$3=Z$3)*($V$2:$AE$2&lt;Z$2))),2))))</f>
      </c>
      <c r="AK423" s="33">
        <f>IF(AA423&lt;=0,0,MAX(0,MIN(AA423,ROUND($AZ423-SUMPRODUCT($V423:$AE423*($V423:$AE423&gt;0)*(($V423:$AE423&lt;AA423)+($V423:$AE423=AA423)*($V$3:$AE$3&gt;AA$3)+($V423:$AE423=AA423)*($V$3:$AE$3=AA$3)*($V$2:$AE$2&lt;AA$2))),2))))</f>
      </c>
      <c r="AL423" s="33">
        <f>IF(AB423&lt;=0,0,MAX(0,MIN(AB423,ROUND($AZ423-SUMPRODUCT($V423:$AE423*($V423:$AE423&gt;0)*(($V423:$AE423&lt;AB423)+($V423:$AE423=AB423)*($V$3:$AE$3&gt;AB$3)+($V423:$AE423=AB423)*($V$3:$AE$3=AB$3)*($V$2:$AE$2&lt;AB$2))),2))))</f>
      </c>
      <c r="AM423" s="33">
        <f>IF(AC423&lt;=0,0,MAX(0,MIN(AC423,ROUND($AZ423-SUMPRODUCT($V423:$AE423*($V423:$AE423&gt;0)*(($V423:$AE423&lt;AC423)+($V423:$AE423=AC423)*($V$3:$AE$3&gt;AC$3)+($V423:$AE423=AC423)*($V$3:$AE$3=AC$3)*($V$2:$AE$2&lt;AC$2))),2))))</f>
      </c>
      <c r="AN423" s="33">
        <f>IF(AD423&lt;=0,0,MAX(0,MIN(AD423,ROUND($AZ423-SUMPRODUCT($V423:$AE423*($V423:$AE423&gt;0)*(($V423:$AE423&lt;AD423)+($V423:$AE423=AD423)*($V$3:$AE$3&gt;AD$3)+($V423:$AE423=AD423)*($V$3:$AE$3=AD$3)*($V$2:$AE$2&lt;AD$2))),2))))</f>
      </c>
      <c r="AO423" s="33">
        <f>IF(AE423&lt;=0,0,MAX(0,MIN(AE423,ROUND($AZ423-SUMPRODUCT($V423:$AE423*($V423:$AE423&gt;0)*(($V423:$AE423&lt;AE423)+($V423:$AE423=AE423)*($V$3:$AE$3&gt;AE$3)+($V423:$AE423=AE423)*($V$3:$AE$3=AE$3)*($V$2:$AE$2&lt;AE$2))),2))))</f>
      </c>
      <c r="AP423" s="33">
        <f>ROUND(V423-AF423,2)</f>
      </c>
      <c r="AQ423" s="33">
        <f>ROUND(W423-AG423,2)</f>
      </c>
      <c r="AR423" s="33">
        <f>ROUND(X423-AH423,2)</f>
      </c>
      <c r="AS423" s="33">
        <f>ROUND(Y423-AI423,2)</f>
      </c>
      <c r="AT423" s="33">
        <f>ROUND(Z423-AJ423,2)</f>
      </c>
      <c r="AU423" s="33">
        <f>ROUND(AA423-AK423,2)</f>
      </c>
      <c r="AV423" s="33">
        <f>ROUND(AB423-AL423,2)</f>
      </c>
      <c r="AW423" s="33">
        <f>ROUND(AC423-AM423,2)</f>
      </c>
      <c r="AX423" s="33">
        <f>ROUND(AD423-AN423,2)</f>
      </c>
      <c r="AY423" s="33">
        <f>ROUND(AE423-AO423,2)</f>
      </c>
      <c r="AZ423" s="33">
        <f>ROUND(MAX(0,'Your debts'!$D$22-SUM($L423:$U423)),2)</f>
      </c>
      <c r="BA423" s="33">
        <f>ROUND(SUM($B423:$K423)-SUM($AP422:$AY422),2)</f>
      </c>
      <c r="BB423" s="33">
        <f>SUM($AP423:$AY423)</f>
      </c>
      <c r="BC423" s="33">
        <f>ROUND(SUM($L423:$U423)+SUM($AF423:$AO423),2)</f>
      </c>
    </row>
    <row r="424" spans="1:55" x14ac:dyDescent="0.25">
      <c r="A424">
        <v>417</v>
      </c>
      <c r="B424" s="33">
        <f>IF(AP423&lt;=0,0,ROUND(AP423+ROUND(AP423*V$3/12,2),2))</f>
      </c>
      <c r="C424" s="33">
        <f>IF(AQ423&lt;=0,0,ROUND(AQ423+ROUND(AQ423*W$3/12,2),2))</f>
      </c>
      <c r="D424" s="33">
        <f>IF(AR423&lt;=0,0,ROUND(AR423+ROUND(AR423*X$3/12,2),2))</f>
      </c>
      <c r="E424" s="33">
        <f>IF(AS423&lt;=0,0,ROUND(AS423+ROUND(AS423*Y$3/12,2),2))</f>
      </c>
      <c r="F424" s="33">
        <f>IF(AT423&lt;=0,0,ROUND(AT423+ROUND(AT423*Z$3/12,2),2))</f>
      </c>
      <c r="G424" s="33">
        <f>IF(AU423&lt;=0,0,ROUND(AU423+ROUND(AU423*AA$3/12,2),2))</f>
      </c>
      <c r="H424" s="33">
        <f>IF(AV423&lt;=0,0,ROUND(AV423+ROUND(AV423*AB$3/12,2),2))</f>
      </c>
      <c r="I424" s="33">
        <f>IF(AW423&lt;=0,0,ROUND(AW423+ROUND(AW423*AC$3/12,2),2))</f>
      </c>
      <c r="J424" s="33">
        <f>IF(AX423&lt;=0,0,ROUND(AX423+ROUND(AX423*AD$3/12,2),2))</f>
      </c>
      <c r="K424" s="33">
        <f>IF(AY423&lt;=0,0,ROUND(AY423+ROUND(AY423*AE$3/12,2),2))</f>
      </c>
      <c r="L424" s="33">
        <f>ROUND(MIN(MAX(0,N('Your debts'!$E$6)),B424),2)</f>
      </c>
      <c r="M424" s="33">
        <f>ROUND(MIN(MAX(0,N('Your debts'!$E$7)),C424),2)</f>
      </c>
      <c r="N424" s="33">
        <f>ROUND(MIN(MAX(0,N('Your debts'!$E$8)),D424),2)</f>
      </c>
      <c r="O424" s="33">
        <f>ROUND(MIN(MAX(0,N('Your debts'!$E$9)),E424),2)</f>
      </c>
      <c r="P424" s="33">
        <f>ROUND(MIN(MAX(0,N('Your debts'!$E$10)),F424),2)</f>
      </c>
      <c r="Q424" s="33">
        <f>ROUND(MIN(MAX(0,N('Your debts'!$E$11)),G424),2)</f>
      </c>
      <c r="R424" s="33">
        <f>ROUND(MIN(MAX(0,N('Your debts'!$E$12)),H424),2)</f>
      </c>
      <c r="S424" s="33">
        <f>ROUND(MIN(MAX(0,N('Your debts'!$E$13)),I424),2)</f>
      </c>
      <c r="T424" s="33">
        <f>ROUND(MIN(MAX(0,N('Your debts'!$E$14)),J424),2)</f>
      </c>
      <c r="U424" s="33">
        <f>ROUND(MIN(MAX(0,N('Your debts'!$E$15)),K424),2)</f>
      </c>
      <c r="V424" s="33">
        <f>ROUND(B424-L424,2)</f>
      </c>
      <c r="W424" s="33">
        <f>ROUND(C424-M424,2)</f>
      </c>
      <c r="X424" s="33">
        <f>ROUND(D424-N424,2)</f>
      </c>
      <c r="Y424" s="33">
        <f>ROUND(E424-O424,2)</f>
      </c>
      <c r="Z424" s="33">
        <f>ROUND(F424-P424,2)</f>
      </c>
      <c r="AA424" s="33">
        <f>ROUND(G424-Q424,2)</f>
      </c>
      <c r="AB424" s="33">
        <f>ROUND(H424-R424,2)</f>
      </c>
      <c r="AC424" s="33">
        <f>ROUND(I424-S424,2)</f>
      </c>
      <c r="AD424" s="33">
        <f>ROUND(J424-T424,2)</f>
      </c>
      <c r="AE424" s="33">
        <f>ROUND(K424-U424,2)</f>
      </c>
      <c r="AF424" s="33">
        <f>IF(V424&lt;=0,0,MAX(0,MIN(V424,ROUND($AZ424-SUMPRODUCT($V424:$AE424*($V424:$AE424&gt;0)*(($V424:$AE424&lt;V424)+($V424:$AE424=V424)*($V$3:$AE$3&gt;V$3)+($V424:$AE424=V424)*($V$3:$AE$3=V$3)*($V$2:$AE$2&lt;V$2))),2))))</f>
      </c>
      <c r="AG424" s="33">
        <f>IF(W424&lt;=0,0,MAX(0,MIN(W424,ROUND($AZ424-SUMPRODUCT($V424:$AE424*($V424:$AE424&gt;0)*(($V424:$AE424&lt;W424)+($V424:$AE424=W424)*($V$3:$AE$3&gt;W$3)+($V424:$AE424=W424)*($V$3:$AE$3=W$3)*($V$2:$AE$2&lt;W$2))),2))))</f>
      </c>
      <c r="AH424" s="33">
        <f>IF(X424&lt;=0,0,MAX(0,MIN(X424,ROUND($AZ424-SUMPRODUCT($V424:$AE424*($V424:$AE424&gt;0)*(($V424:$AE424&lt;X424)+($V424:$AE424=X424)*($V$3:$AE$3&gt;X$3)+($V424:$AE424=X424)*($V$3:$AE$3=X$3)*($V$2:$AE$2&lt;X$2))),2))))</f>
      </c>
      <c r="AI424" s="33">
        <f>IF(Y424&lt;=0,0,MAX(0,MIN(Y424,ROUND($AZ424-SUMPRODUCT($V424:$AE424*($V424:$AE424&gt;0)*(($V424:$AE424&lt;Y424)+($V424:$AE424=Y424)*($V$3:$AE$3&gt;Y$3)+($V424:$AE424=Y424)*($V$3:$AE$3=Y$3)*($V$2:$AE$2&lt;Y$2))),2))))</f>
      </c>
      <c r="AJ424" s="33">
        <f>IF(Z424&lt;=0,0,MAX(0,MIN(Z424,ROUND($AZ424-SUMPRODUCT($V424:$AE424*($V424:$AE424&gt;0)*(($V424:$AE424&lt;Z424)+($V424:$AE424=Z424)*($V$3:$AE$3&gt;Z$3)+($V424:$AE424=Z424)*($V$3:$AE$3=Z$3)*($V$2:$AE$2&lt;Z$2))),2))))</f>
      </c>
      <c r="AK424" s="33">
        <f>IF(AA424&lt;=0,0,MAX(0,MIN(AA424,ROUND($AZ424-SUMPRODUCT($V424:$AE424*($V424:$AE424&gt;0)*(($V424:$AE424&lt;AA424)+($V424:$AE424=AA424)*($V$3:$AE$3&gt;AA$3)+($V424:$AE424=AA424)*($V$3:$AE$3=AA$3)*($V$2:$AE$2&lt;AA$2))),2))))</f>
      </c>
      <c r="AL424" s="33">
        <f>IF(AB424&lt;=0,0,MAX(0,MIN(AB424,ROUND($AZ424-SUMPRODUCT($V424:$AE424*($V424:$AE424&gt;0)*(($V424:$AE424&lt;AB424)+($V424:$AE424=AB424)*($V$3:$AE$3&gt;AB$3)+($V424:$AE424=AB424)*($V$3:$AE$3=AB$3)*($V$2:$AE$2&lt;AB$2))),2))))</f>
      </c>
      <c r="AM424" s="33">
        <f>IF(AC424&lt;=0,0,MAX(0,MIN(AC424,ROUND($AZ424-SUMPRODUCT($V424:$AE424*($V424:$AE424&gt;0)*(($V424:$AE424&lt;AC424)+($V424:$AE424=AC424)*($V$3:$AE$3&gt;AC$3)+($V424:$AE424=AC424)*($V$3:$AE$3=AC$3)*($V$2:$AE$2&lt;AC$2))),2))))</f>
      </c>
      <c r="AN424" s="33">
        <f>IF(AD424&lt;=0,0,MAX(0,MIN(AD424,ROUND($AZ424-SUMPRODUCT($V424:$AE424*($V424:$AE424&gt;0)*(($V424:$AE424&lt;AD424)+($V424:$AE424=AD424)*($V$3:$AE$3&gt;AD$3)+($V424:$AE424=AD424)*($V$3:$AE$3=AD$3)*($V$2:$AE$2&lt;AD$2))),2))))</f>
      </c>
      <c r="AO424" s="33">
        <f>IF(AE424&lt;=0,0,MAX(0,MIN(AE424,ROUND($AZ424-SUMPRODUCT($V424:$AE424*($V424:$AE424&gt;0)*(($V424:$AE424&lt;AE424)+($V424:$AE424=AE424)*($V$3:$AE$3&gt;AE$3)+($V424:$AE424=AE424)*($V$3:$AE$3=AE$3)*($V$2:$AE$2&lt;AE$2))),2))))</f>
      </c>
      <c r="AP424" s="33">
        <f>ROUND(V424-AF424,2)</f>
      </c>
      <c r="AQ424" s="33">
        <f>ROUND(W424-AG424,2)</f>
      </c>
      <c r="AR424" s="33">
        <f>ROUND(X424-AH424,2)</f>
      </c>
      <c r="AS424" s="33">
        <f>ROUND(Y424-AI424,2)</f>
      </c>
      <c r="AT424" s="33">
        <f>ROUND(Z424-AJ424,2)</f>
      </c>
      <c r="AU424" s="33">
        <f>ROUND(AA424-AK424,2)</f>
      </c>
      <c r="AV424" s="33">
        <f>ROUND(AB424-AL424,2)</f>
      </c>
      <c r="AW424" s="33">
        <f>ROUND(AC424-AM424,2)</f>
      </c>
      <c r="AX424" s="33">
        <f>ROUND(AD424-AN424,2)</f>
      </c>
      <c r="AY424" s="33">
        <f>ROUND(AE424-AO424,2)</f>
      </c>
      <c r="AZ424" s="33">
        <f>ROUND(MAX(0,'Your debts'!$D$22-SUM($L424:$U424)),2)</f>
      </c>
      <c r="BA424" s="33">
        <f>ROUND(SUM($B424:$K424)-SUM($AP423:$AY423),2)</f>
      </c>
      <c r="BB424" s="33">
        <f>SUM($AP424:$AY424)</f>
      </c>
      <c r="BC424" s="33">
        <f>ROUND(SUM($L424:$U424)+SUM($AF424:$AO424),2)</f>
      </c>
    </row>
    <row r="425" spans="1:55" x14ac:dyDescent="0.25">
      <c r="A425">
        <v>418</v>
      </c>
      <c r="B425" s="33">
        <f>IF(AP424&lt;=0,0,ROUND(AP424+ROUND(AP424*V$3/12,2),2))</f>
      </c>
      <c r="C425" s="33">
        <f>IF(AQ424&lt;=0,0,ROUND(AQ424+ROUND(AQ424*W$3/12,2),2))</f>
      </c>
      <c r="D425" s="33">
        <f>IF(AR424&lt;=0,0,ROUND(AR424+ROUND(AR424*X$3/12,2),2))</f>
      </c>
      <c r="E425" s="33">
        <f>IF(AS424&lt;=0,0,ROUND(AS424+ROUND(AS424*Y$3/12,2),2))</f>
      </c>
      <c r="F425" s="33">
        <f>IF(AT424&lt;=0,0,ROUND(AT424+ROUND(AT424*Z$3/12,2),2))</f>
      </c>
      <c r="G425" s="33">
        <f>IF(AU424&lt;=0,0,ROUND(AU424+ROUND(AU424*AA$3/12,2),2))</f>
      </c>
      <c r="H425" s="33">
        <f>IF(AV424&lt;=0,0,ROUND(AV424+ROUND(AV424*AB$3/12,2),2))</f>
      </c>
      <c r="I425" s="33">
        <f>IF(AW424&lt;=0,0,ROUND(AW424+ROUND(AW424*AC$3/12,2),2))</f>
      </c>
      <c r="J425" s="33">
        <f>IF(AX424&lt;=0,0,ROUND(AX424+ROUND(AX424*AD$3/12,2),2))</f>
      </c>
      <c r="K425" s="33">
        <f>IF(AY424&lt;=0,0,ROUND(AY424+ROUND(AY424*AE$3/12,2),2))</f>
      </c>
      <c r="L425" s="33">
        <f>ROUND(MIN(MAX(0,N('Your debts'!$E$6)),B425),2)</f>
      </c>
      <c r="M425" s="33">
        <f>ROUND(MIN(MAX(0,N('Your debts'!$E$7)),C425),2)</f>
      </c>
      <c r="N425" s="33">
        <f>ROUND(MIN(MAX(0,N('Your debts'!$E$8)),D425),2)</f>
      </c>
      <c r="O425" s="33">
        <f>ROUND(MIN(MAX(0,N('Your debts'!$E$9)),E425),2)</f>
      </c>
      <c r="P425" s="33">
        <f>ROUND(MIN(MAX(0,N('Your debts'!$E$10)),F425),2)</f>
      </c>
      <c r="Q425" s="33">
        <f>ROUND(MIN(MAX(0,N('Your debts'!$E$11)),G425),2)</f>
      </c>
      <c r="R425" s="33">
        <f>ROUND(MIN(MAX(0,N('Your debts'!$E$12)),H425),2)</f>
      </c>
      <c r="S425" s="33">
        <f>ROUND(MIN(MAX(0,N('Your debts'!$E$13)),I425),2)</f>
      </c>
      <c r="T425" s="33">
        <f>ROUND(MIN(MAX(0,N('Your debts'!$E$14)),J425),2)</f>
      </c>
      <c r="U425" s="33">
        <f>ROUND(MIN(MAX(0,N('Your debts'!$E$15)),K425),2)</f>
      </c>
      <c r="V425" s="33">
        <f>ROUND(B425-L425,2)</f>
      </c>
      <c r="W425" s="33">
        <f>ROUND(C425-M425,2)</f>
      </c>
      <c r="X425" s="33">
        <f>ROUND(D425-N425,2)</f>
      </c>
      <c r="Y425" s="33">
        <f>ROUND(E425-O425,2)</f>
      </c>
      <c r="Z425" s="33">
        <f>ROUND(F425-P425,2)</f>
      </c>
      <c r="AA425" s="33">
        <f>ROUND(G425-Q425,2)</f>
      </c>
      <c r="AB425" s="33">
        <f>ROUND(H425-R425,2)</f>
      </c>
      <c r="AC425" s="33">
        <f>ROUND(I425-S425,2)</f>
      </c>
      <c r="AD425" s="33">
        <f>ROUND(J425-T425,2)</f>
      </c>
      <c r="AE425" s="33">
        <f>ROUND(K425-U425,2)</f>
      </c>
      <c r="AF425" s="33">
        <f>IF(V425&lt;=0,0,MAX(0,MIN(V425,ROUND($AZ425-SUMPRODUCT($V425:$AE425*($V425:$AE425&gt;0)*(($V425:$AE425&lt;V425)+($V425:$AE425=V425)*($V$3:$AE$3&gt;V$3)+($V425:$AE425=V425)*($V$3:$AE$3=V$3)*($V$2:$AE$2&lt;V$2))),2))))</f>
      </c>
      <c r="AG425" s="33">
        <f>IF(W425&lt;=0,0,MAX(0,MIN(W425,ROUND($AZ425-SUMPRODUCT($V425:$AE425*($V425:$AE425&gt;0)*(($V425:$AE425&lt;W425)+($V425:$AE425=W425)*($V$3:$AE$3&gt;W$3)+($V425:$AE425=W425)*($V$3:$AE$3=W$3)*($V$2:$AE$2&lt;W$2))),2))))</f>
      </c>
      <c r="AH425" s="33">
        <f>IF(X425&lt;=0,0,MAX(0,MIN(X425,ROUND($AZ425-SUMPRODUCT($V425:$AE425*($V425:$AE425&gt;0)*(($V425:$AE425&lt;X425)+($V425:$AE425=X425)*($V$3:$AE$3&gt;X$3)+($V425:$AE425=X425)*($V$3:$AE$3=X$3)*($V$2:$AE$2&lt;X$2))),2))))</f>
      </c>
      <c r="AI425" s="33">
        <f>IF(Y425&lt;=0,0,MAX(0,MIN(Y425,ROUND($AZ425-SUMPRODUCT($V425:$AE425*($V425:$AE425&gt;0)*(($V425:$AE425&lt;Y425)+($V425:$AE425=Y425)*($V$3:$AE$3&gt;Y$3)+($V425:$AE425=Y425)*($V$3:$AE$3=Y$3)*($V$2:$AE$2&lt;Y$2))),2))))</f>
      </c>
      <c r="AJ425" s="33">
        <f>IF(Z425&lt;=0,0,MAX(0,MIN(Z425,ROUND($AZ425-SUMPRODUCT($V425:$AE425*($V425:$AE425&gt;0)*(($V425:$AE425&lt;Z425)+($V425:$AE425=Z425)*($V$3:$AE$3&gt;Z$3)+($V425:$AE425=Z425)*($V$3:$AE$3=Z$3)*($V$2:$AE$2&lt;Z$2))),2))))</f>
      </c>
      <c r="AK425" s="33">
        <f>IF(AA425&lt;=0,0,MAX(0,MIN(AA425,ROUND($AZ425-SUMPRODUCT($V425:$AE425*($V425:$AE425&gt;0)*(($V425:$AE425&lt;AA425)+($V425:$AE425=AA425)*($V$3:$AE$3&gt;AA$3)+($V425:$AE425=AA425)*($V$3:$AE$3=AA$3)*($V$2:$AE$2&lt;AA$2))),2))))</f>
      </c>
      <c r="AL425" s="33">
        <f>IF(AB425&lt;=0,0,MAX(0,MIN(AB425,ROUND($AZ425-SUMPRODUCT($V425:$AE425*($V425:$AE425&gt;0)*(($V425:$AE425&lt;AB425)+($V425:$AE425=AB425)*($V$3:$AE$3&gt;AB$3)+($V425:$AE425=AB425)*($V$3:$AE$3=AB$3)*($V$2:$AE$2&lt;AB$2))),2))))</f>
      </c>
      <c r="AM425" s="33">
        <f>IF(AC425&lt;=0,0,MAX(0,MIN(AC425,ROUND($AZ425-SUMPRODUCT($V425:$AE425*($V425:$AE425&gt;0)*(($V425:$AE425&lt;AC425)+($V425:$AE425=AC425)*($V$3:$AE$3&gt;AC$3)+($V425:$AE425=AC425)*($V$3:$AE$3=AC$3)*($V$2:$AE$2&lt;AC$2))),2))))</f>
      </c>
      <c r="AN425" s="33">
        <f>IF(AD425&lt;=0,0,MAX(0,MIN(AD425,ROUND($AZ425-SUMPRODUCT($V425:$AE425*($V425:$AE425&gt;0)*(($V425:$AE425&lt;AD425)+($V425:$AE425=AD425)*($V$3:$AE$3&gt;AD$3)+($V425:$AE425=AD425)*($V$3:$AE$3=AD$3)*($V$2:$AE$2&lt;AD$2))),2))))</f>
      </c>
      <c r="AO425" s="33">
        <f>IF(AE425&lt;=0,0,MAX(0,MIN(AE425,ROUND($AZ425-SUMPRODUCT($V425:$AE425*($V425:$AE425&gt;0)*(($V425:$AE425&lt;AE425)+($V425:$AE425=AE425)*($V$3:$AE$3&gt;AE$3)+($V425:$AE425=AE425)*($V$3:$AE$3=AE$3)*($V$2:$AE$2&lt;AE$2))),2))))</f>
      </c>
      <c r="AP425" s="33">
        <f>ROUND(V425-AF425,2)</f>
      </c>
      <c r="AQ425" s="33">
        <f>ROUND(W425-AG425,2)</f>
      </c>
      <c r="AR425" s="33">
        <f>ROUND(X425-AH425,2)</f>
      </c>
      <c r="AS425" s="33">
        <f>ROUND(Y425-AI425,2)</f>
      </c>
      <c r="AT425" s="33">
        <f>ROUND(Z425-AJ425,2)</f>
      </c>
      <c r="AU425" s="33">
        <f>ROUND(AA425-AK425,2)</f>
      </c>
      <c r="AV425" s="33">
        <f>ROUND(AB425-AL425,2)</f>
      </c>
      <c r="AW425" s="33">
        <f>ROUND(AC425-AM425,2)</f>
      </c>
      <c r="AX425" s="33">
        <f>ROUND(AD425-AN425,2)</f>
      </c>
      <c r="AY425" s="33">
        <f>ROUND(AE425-AO425,2)</f>
      </c>
      <c r="AZ425" s="33">
        <f>ROUND(MAX(0,'Your debts'!$D$22-SUM($L425:$U425)),2)</f>
      </c>
      <c r="BA425" s="33">
        <f>ROUND(SUM($B425:$K425)-SUM($AP424:$AY424),2)</f>
      </c>
      <c r="BB425" s="33">
        <f>SUM($AP425:$AY425)</f>
      </c>
      <c r="BC425" s="33">
        <f>ROUND(SUM($L425:$U425)+SUM($AF425:$AO425),2)</f>
      </c>
    </row>
    <row r="426" spans="1:55" x14ac:dyDescent="0.25">
      <c r="A426">
        <v>419</v>
      </c>
      <c r="B426" s="33">
        <f>IF(AP425&lt;=0,0,ROUND(AP425+ROUND(AP425*V$3/12,2),2))</f>
      </c>
      <c r="C426" s="33">
        <f>IF(AQ425&lt;=0,0,ROUND(AQ425+ROUND(AQ425*W$3/12,2),2))</f>
      </c>
      <c r="D426" s="33">
        <f>IF(AR425&lt;=0,0,ROUND(AR425+ROUND(AR425*X$3/12,2),2))</f>
      </c>
      <c r="E426" s="33">
        <f>IF(AS425&lt;=0,0,ROUND(AS425+ROUND(AS425*Y$3/12,2),2))</f>
      </c>
      <c r="F426" s="33">
        <f>IF(AT425&lt;=0,0,ROUND(AT425+ROUND(AT425*Z$3/12,2),2))</f>
      </c>
      <c r="G426" s="33">
        <f>IF(AU425&lt;=0,0,ROUND(AU425+ROUND(AU425*AA$3/12,2),2))</f>
      </c>
      <c r="H426" s="33">
        <f>IF(AV425&lt;=0,0,ROUND(AV425+ROUND(AV425*AB$3/12,2),2))</f>
      </c>
      <c r="I426" s="33">
        <f>IF(AW425&lt;=0,0,ROUND(AW425+ROUND(AW425*AC$3/12,2),2))</f>
      </c>
      <c r="J426" s="33">
        <f>IF(AX425&lt;=0,0,ROUND(AX425+ROUND(AX425*AD$3/12,2),2))</f>
      </c>
      <c r="K426" s="33">
        <f>IF(AY425&lt;=0,0,ROUND(AY425+ROUND(AY425*AE$3/12,2),2))</f>
      </c>
      <c r="L426" s="33">
        <f>ROUND(MIN(MAX(0,N('Your debts'!$E$6)),B426),2)</f>
      </c>
      <c r="M426" s="33">
        <f>ROUND(MIN(MAX(0,N('Your debts'!$E$7)),C426),2)</f>
      </c>
      <c r="N426" s="33">
        <f>ROUND(MIN(MAX(0,N('Your debts'!$E$8)),D426),2)</f>
      </c>
      <c r="O426" s="33">
        <f>ROUND(MIN(MAX(0,N('Your debts'!$E$9)),E426),2)</f>
      </c>
      <c r="P426" s="33">
        <f>ROUND(MIN(MAX(0,N('Your debts'!$E$10)),F426),2)</f>
      </c>
      <c r="Q426" s="33">
        <f>ROUND(MIN(MAX(0,N('Your debts'!$E$11)),G426),2)</f>
      </c>
      <c r="R426" s="33">
        <f>ROUND(MIN(MAX(0,N('Your debts'!$E$12)),H426),2)</f>
      </c>
      <c r="S426" s="33">
        <f>ROUND(MIN(MAX(0,N('Your debts'!$E$13)),I426),2)</f>
      </c>
      <c r="T426" s="33">
        <f>ROUND(MIN(MAX(0,N('Your debts'!$E$14)),J426),2)</f>
      </c>
      <c r="U426" s="33">
        <f>ROUND(MIN(MAX(0,N('Your debts'!$E$15)),K426),2)</f>
      </c>
      <c r="V426" s="33">
        <f>ROUND(B426-L426,2)</f>
      </c>
      <c r="W426" s="33">
        <f>ROUND(C426-M426,2)</f>
      </c>
      <c r="X426" s="33">
        <f>ROUND(D426-N426,2)</f>
      </c>
      <c r="Y426" s="33">
        <f>ROUND(E426-O426,2)</f>
      </c>
      <c r="Z426" s="33">
        <f>ROUND(F426-P426,2)</f>
      </c>
      <c r="AA426" s="33">
        <f>ROUND(G426-Q426,2)</f>
      </c>
      <c r="AB426" s="33">
        <f>ROUND(H426-R426,2)</f>
      </c>
      <c r="AC426" s="33">
        <f>ROUND(I426-S426,2)</f>
      </c>
      <c r="AD426" s="33">
        <f>ROUND(J426-T426,2)</f>
      </c>
      <c r="AE426" s="33">
        <f>ROUND(K426-U426,2)</f>
      </c>
      <c r="AF426" s="33">
        <f>IF(V426&lt;=0,0,MAX(0,MIN(V426,ROUND($AZ426-SUMPRODUCT($V426:$AE426*($V426:$AE426&gt;0)*(($V426:$AE426&lt;V426)+($V426:$AE426=V426)*($V$3:$AE$3&gt;V$3)+($V426:$AE426=V426)*($V$3:$AE$3=V$3)*($V$2:$AE$2&lt;V$2))),2))))</f>
      </c>
      <c r="AG426" s="33">
        <f>IF(W426&lt;=0,0,MAX(0,MIN(W426,ROUND($AZ426-SUMPRODUCT($V426:$AE426*($V426:$AE426&gt;0)*(($V426:$AE426&lt;W426)+($V426:$AE426=W426)*($V$3:$AE$3&gt;W$3)+($V426:$AE426=W426)*($V$3:$AE$3=W$3)*($V$2:$AE$2&lt;W$2))),2))))</f>
      </c>
      <c r="AH426" s="33">
        <f>IF(X426&lt;=0,0,MAX(0,MIN(X426,ROUND($AZ426-SUMPRODUCT($V426:$AE426*($V426:$AE426&gt;0)*(($V426:$AE426&lt;X426)+($V426:$AE426=X426)*($V$3:$AE$3&gt;X$3)+($V426:$AE426=X426)*($V$3:$AE$3=X$3)*($V$2:$AE$2&lt;X$2))),2))))</f>
      </c>
      <c r="AI426" s="33">
        <f>IF(Y426&lt;=0,0,MAX(0,MIN(Y426,ROUND($AZ426-SUMPRODUCT($V426:$AE426*($V426:$AE426&gt;0)*(($V426:$AE426&lt;Y426)+($V426:$AE426=Y426)*($V$3:$AE$3&gt;Y$3)+($V426:$AE426=Y426)*($V$3:$AE$3=Y$3)*($V$2:$AE$2&lt;Y$2))),2))))</f>
      </c>
      <c r="AJ426" s="33">
        <f>IF(Z426&lt;=0,0,MAX(0,MIN(Z426,ROUND($AZ426-SUMPRODUCT($V426:$AE426*($V426:$AE426&gt;0)*(($V426:$AE426&lt;Z426)+($V426:$AE426=Z426)*($V$3:$AE$3&gt;Z$3)+($V426:$AE426=Z426)*($V$3:$AE$3=Z$3)*($V$2:$AE$2&lt;Z$2))),2))))</f>
      </c>
      <c r="AK426" s="33">
        <f>IF(AA426&lt;=0,0,MAX(0,MIN(AA426,ROUND($AZ426-SUMPRODUCT($V426:$AE426*($V426:$AE426&gt;0)*(($V426:$AE426&lt;AA426)+($V426:$AE426=AA426)*($V$3:$AE$3&gt;AA$3)+($V426:$AE426=AA426)*($V$3:$AE$3=AA$3)*($V$2:$AE$2&lt;AA$2))),2))))</f>
      </c>
      <c r="AL426" s="33">
        <f>IF(AB426&lt;=0,0,MAX(0,MIN(AB426,ROUND($AZ426-SUMPRODUCT($V426:$AE426*($V426:$AE426&gt;0)*(($V426:$AE426&lt;AB426)+($V426:$AE426=AB426)*($V$3:$AE$3&gt;AB$3)+($V426:$AE426=AB426)*($V$3:$AE$3=AB$3)*($V$2:$AE$2&lt;AB$2))),2))))</f>
      </c>
      <c r="AM426" s="33">
        <f>IF(AC426&lt;=0,0,MAX(0,MIN(AC426,ROUND($AZ426-SUMPRODUCT($V426:$AE426*($V426:$AE426&gt;0)*(($V426:$AE426&lt;AC426)+($V426:$AE426=AC426)*($V$3:$AE$3&gt;AC$3)+($V426:$AE426=AC426)*($V$3:$AE$3=AC$3)*($V$2:$AE$2&lt;AC$2))),2))))</f>
      </c>
      <c r="AN426" s="33">
        <f>IF(AD426&lt;=0,0,MAX(0,MIN(AD426,ROUND($AZ426-SUMPRODUCT($V426:$AE426*($V426:$AE426&gt;0)*(($V426:$AE426&lt;AD426)+($V426:$AE426=AD426)*($V$3:$AE$3&gt;AD$3)+($V426:$AE426=AD426)*($V$3:$AE$3=AD$3)*($V$2:$AE$2&lt;AD$2))),2))))</f>
      </c>
      <c r="AO426" s="33">
        <f>IF(AE426&lt;=0,0,MAX(0,MIN(AE426,ROUND($AZ426-SUMPRODUCT($V426:$AE426*($V426:$AE426&gt;0)*(($V426:$AE426&lt;AE426)+($V426:$AE426=AE426)*($V$3:$AE$3&gt;AE$3)+($V426:$AE426=AE426)*($V$3:$AE$3=AE$3)*($V$2:$AE$2&lt;AE$2))),2))))</f>
      </c>
      <c r="AP426" s="33">
        <f>ROUND(V426-AF426,2)</f>
      </c>
      <c r="AQ426" s="33">
        <f>ROUND(W426-AG426,2)</f>
      </c>
      <c r="AR426" s="33">
        <f>ROUND(X426-AH426,2)</f>
      </c>
      <c r="AS426" s="33">
        <f>ROUND(Y426-AI426,2)</f>
      </c>
      <c r="AT426" s="33">
        <f>ROUND(Z426-AJ426,2)</f>
      </c>
      <c r="AU426" s="33">
        <f>ROUND(AA426-AK426,2)</f>
      </c>
      <c r="AV426" s="33">
        <f>ROUND(AB426-AL426,2)</f>
      </c>
      <c r="AW426" s="33">
        <f>ROUND(AC426-AM426,2)</f>
      </c>
      <c r="AX426" s="33">
        <f>ROUND(AD426-AN426,2)</f>
      </c>
      <c r="AY426" s="33">
        <f>ROUND(AE426-AO426,2)</f>
      </c>
      <c r="AZ426" s="33">
        <f>ROUND(MAX(0,'Your debts'!$D$22-SUM($L426:$U426)),2)</f>
      </c>
      <c r="BA426" s="33">
        <f>ROUND(SUM($B426:$K426)-SUM($AP425:$AY425),2)</f>
      </c>
      <c r="BB426" s="33">
        <f>SUM($AP426:$AY426)</f>
      </c>
      <c r="BC426" s="33">
        <f>ROUND(SUM($L426:$U426)+SUM($AF426:$AO426),2)</f>
      </c>
    </row>
    <row r="427" spans="1:55" x14ac:dyDescent="0.25">
      <c r="A427">
        <v>420</v>
      </c>
      <c r="B427" s="33">
        <f>IF(AP426&lt;=0,0,ROUND(AP426+ROUND(AP426*V$3/12,2),2))</f>
      </c>
      <c r="C427" s="33">
        <f>IF(AQ426&lt;=0,0,ROUND(AQ426+ROUND(AQ426*W$3/12,2),2))</f>
      </c>
      <c r="D427" s="33">
        <f>IF(AR426&lt;=0,0,ROUND(AR426+ROUND(AR426*X$3/12,2),2))</f>
      </c>
      <c r="E427" s="33">
        <f>IF(AS426&lt;=0,0,ROUND(AS426+ROUND(AS426*Y$3/12,2),2))</f>
      </c>
      <c r="F427" s="33">
        <f>IF(AT426&lt;=0,0,ROUND(AT426+ROUND(AT426*Z$3/12,2),2))</f>
      </c>
      <c r="G427" s="33">
        <f>IF(AU426&lt;=0,0,ROUND(AU426+ROUND(AU426*AA$3/12,2),2))</f>
      </c>
      <c r="H427" s="33">
        <f>IF(AV426&lt;=0,0,ROUND(AV426+ROUND(AV426*AB$3/12,2),2))</f>
      </c>
      <c r="I427" s="33">
        <f>IF(AW426&lt;=0,0,ROUND(AW426+ROUND(AW426*AC$3/12,2),2))</f>
      </c>
      <c r="J427" s="33">
        <f>IF(AX426&lt;=0,0,ROUND(AX426+ROUND(AX426*AD$3/12,2),2))</f>
      </c>
      <c r="K427" s="33">
        <f>IF(AY426&lt;=0,0,ROUND(AY426+ROUND(AY426*AE$3/12,2),2))</f>
      </c>
      <c r="L427" s="33">
        <f>ROUND(MIN(MAX(0,N('Your debts'!$E$6)),B427),2)</f>
      </c>
      <c r="M427" s="33">
        <f>ROUND(MIN(MAX(0,N('Your debts'!$E$7)),C427),2)</f>
      </c>
      <c r="N427" s="33">
        <f>ROUND(MIN(MAX(0,N('Your debts'!$E$8)),D427),2)</f>
      </c>
      <c r="O427" s="33">
        <f>ROUND(MIN(MAX(0,N('Your debts'!$E$9)),E427),2)</f>
      </c>
      <c r="P427" s="33">
        <f>ROUND(MIN(MAX(0,N('Your debts'!$E$10)),F427),2)</f>
      </c>
      <c r="Q427" s="33">
        <f>ROUND(MIN(MAX(0,N('Your debts'!$E$11)),G427),2)</f>
      </c>
      <c r="R427" s="33">
        <f>ROUND(MIN(MAX(0,N('Your debts'!$E$12)),H427),2)</f>
      </c>
      <c r="S427" s="33">
        <f>ROUND(MIN(MAX(0,N('Your debts'!$E$13)),I427),2)</f>
      </c>
      <c r="T427" s="33">
        <f>ROUND(MIN(MAX(0,N('Your debts'!$E$14)),J427),2)</f>
      </c>
      <c r="U427" s="33">
        <f>ROUND(MIN(MAX(0,N('Your debts'!$E$15)),K427),2)</f>
      </c>
      <c r="V427" s="33">
        <f>ROUND(B427-L427,2)</f>
      </c>
      <c r="W427" s="33">
        <f>ROUND(C427-M427,2)</f>
      </c>
      <c r="X427" s="33">
        <f>ROUND(D427-N427,2)</f>
      </c>
      <c r="Y427" s="33">
        <f>ROUND(E427-O427,2)</f>
      </c>
      <c r="Z427" s="33">
        <f>ROUND(F427-P427,2)</f>
      </c>
      <c r="AA427" s="33">
        <f>ROUND(G427-Q427,2)</f>
      </c>
      <c r="AB427" s="33">
        <f>ROUND(H427-R427,2)</f>
      </c>
      <c r="AC427" s="33">
        <f>ROUND(I427-S427,2)</f>
      </c>
      <c r="AD427" s="33">
        <f>ROUND(J427-T427,2)</f>
      </c>
      <c r="AE427" s="33">
        <f>ROUND(K427-U427,2)</f>
      </c>
      <c r="AF427" s="33">
        <f>IF(V427&lt;=0,0,MAX(0,MIN(V427,ROUND($AZ427-SUMPRODUCT($V427:$AE427*($V427:$AE427&gt;0)*(($V427:$AE427&lt;V427)+($V427:$AE427=V427)*($V$3:$AE$3&gt;V$3)+($V427:$AE427=V427)*($V$3:$AE$3=V$3)*($V$2:$AE$2&lt;V$2))),2))))</f>
      </c>
      <c r="AG427" s="33">
        <f>IF(W427&lt;=0,0,MAX(0,MIN(W427,ROUND($AZ427-SUMPRODUCT($V427:$AE427*($V427:$AE427&gt;0)*(($V427:$AE427&lt;W427)+($V427:$AE427=W427)*($V$3:$AE$3&gt;W$3)+($V427:$AE427=W427)*($V$3:$AE$3=W$3)*($V$2:$AE$2&lt;W$2))),2))))</f>
      </c>
      <c r="AH427" s="33">
        <f>IF(X427&lt;=0,0,MAX(0,MIN(X427,ROUND($AZ427-SUMPRODUCT($V427:$AE427*($V427:$AE427&gt;0)*(($V427:$AE427&lt;X427)+($V427:$AE427=X427)*($V$3:$AE$3&gt;X$3)+($V427:$AE427=X427)*($V$3:$AE$3=X$3)*($V$2:$AE$2&lt;X$2))),2))))</f>
      </c>
      <c r="AI427" s="33">
        <f>IF(Y427&lt;=0,0,MAX(0,MIN(Y427,ROUND($AZ427-SUMPRODUCT($V427:$AE427*($V427:$AE427&gt;0)*(($V427:$AE427&lt;Y427)+($V427:$AE427=Y427)*($V$3:$AE$3&gt;Y$3)+($V427:$AE427=Y427)*($V$3:$AE$3=Y$3)*($V$2:$AE$2&lt;Y$2))),2))))</f>
      </c>
      <c r="AJ427" s="33">
        <f>IF(Z427&lt;=0,0,MAX(0,MIN(Z427,ROUND($AZ427-SUMPRODUCT($V427:$AE427*($V427:$AE427&gt;0)*(($V427:$AE427&lt;Z427)+($V427:$AE427=Z427)*($V$3:$AE$3&gt;Z$3)+($V427:$AE427=Z427)*($V$3:$AE$3=Z$3)*($V$2:$AE$2&lt;Z$2))),2))))</f>
      </c>
      <c r="AK427" s="33">
        <f>IF(AA427&lt;=0,0,MAX(0,MIN(AA427,ROUND($AZ427-SUMPRODUCT($V427:$AE427*($V427:$AE427&gt;0)*(($V427:$AE427&lt;AA427)+($V427:$AE427=AA427)*($V$3:$AE$3&gt;AA$3)+($V427:$AE427=AA427)*($V$3:$AE$3=AA$3)*($V$2:$AE$2&lt;AA$2))),2))))</f>
      </c>
      <c r="AL427" s="33">
        <f>IF(AB427&lt;=0,0,MAX(0,MIN(AB427,ROUND($AZ427-SUMPRODUCT($V427:$AE427*($V427:$AE427&gt;0)*(($V427:$AE427&lt;AB427)+($V427:$AE427=AB427)*($V$3:$AE$3&gt;AB$3)+($V427:$AE427=AB427)*($V$3:$AE$3=AB$3)*($V$2:$AE$2&lt;AB$2))),2))))</f>
      </c>
      <c r="AM427" s="33">
        <f>IF(AC427&lt;=0,0,MAX(0,MIN(AC427,ROUND($AZ427-SUMPRODUCT($V427:$AE427*($V427:$AE427&gt;0)*(($V427:$AE427&lt;AC427)+($V427:$AE427=AC427)*($V$3:$AE$3&gt;AC$3)+($V427:$AE427=AC427)*($V$3:$AE$3=AC$3)*($V$2:$AE$2&lt;AC$2))),2))))</f>
      </c>
      <c r="AN427" s="33">
        <f>IF(AD427&lt;=0,0,MAX(0,MIN(AD427,ROUND($AZ427-SUMPRODUCT($V427:$AE427*($V427:$AE427&gt;0)*(($V427:$AE427&lt;AD427)+($V427:$AE427=AD427)*($V$3:$AE$3&gt;AD$3)+($V427:$AE427=AD427)*($V$3:$AE$3=AD$3)*($V$2:$AE$2&lt;AD$2))),2))))</f>
      </c>
      <c r="AO427" s="33">
        <f>IF(AE427&lt;=0,0,MAX(0,MIN(AE427,ROUND($AZ427-SUMPRODUCT($V427:$AE427*($V427:$AE427&gt;0)*(($V427:$AE427&lt;AE427)+($V427:$AE427=AE427)*($V$3:$AE$3&gt;AE$3)+($V427:$AE427=AE427)*($V$3:$AE$3=AE$3)*($V$2:$AE$2&lt;AE$2))),2))))</f>
      </c>
      <c r="AP427" s="33">
        <f>ROUND(V427-AF427,2)</f>
      </c>
      <c r="AQ427" s="33">
        <f>ROUND(W427-AG427,2)</f>
      </c>
      <c r="AR427" s="33">
        <f>ROUND(X427-AH427,2)</f>
      </c>
      <c r="AS427" s="33">
        <f>ROUND(Y427-AI427,2)</f>
      </c>
      <c r="AT427" s="33">
        <f>ROUND(Z427-AJ427,2)</f>
      </c>
      <c r="AU427" s="33">
        <f>ROUND(AA427-AK427,2)</f>
      </c>
      <c r="AV427" s="33">
        <f>ROUND(AB427-AL427,2)</f>
      </c>
      <c r="AW427" s="33">
        <f>ROUND(AC427-AM427,2)</f>
      </c>
      <c r="AX427" s="33">
        <f>ROUND(AD427-AN427,2)</f>
      </c>
      <c r="AY427" s="33">
        <f>ROUND(AE427-AO427,2)</f>
      </c>
      <c r="AZ427" s="33">
        <f>ROUND(MAX(0,'Your debts'!$D$22-SUM($L427:$U427)),2)</f>
      </c>
      <c r="BA427" s="33">
        <f>ROUND(SUM($B427:$K427)-SUM($AP426:$AY426),2)</f>
      </c>
      <c r="BB427" s="33">
        <f>SUM($AP427:$AY427)</f>
      </c>
      <c r="BC427" s="33">
        <f>ROUND(SUM($L427:$U427)+SUM($AF427:$AO427),2)</f>
      </c>
    </row>
    <row r="428" spans="1:55" x14ac:dyDescent="0.25">
      <c r="A428">
        <v>421</v>
      </c>
      <c r="B428" s="33">
        <f>IF(AP427&lt;=0,0,ROUND(AP427+ROUND(AP427*V$3/12,2),2))</f>
      </c>
      <c r="C428" s="33">
        <f>IF(AQ427&lt;=0,0,ROUND(AQ427+ROUND(AQ427*W$3/12,2),2))</f>
      </c>
      <c r="D428" s="33">
        <f>IF(AR427&lt;=0,0,ROUND(AR427+ROUND(AR427*X$3/12,2),2))</f>
      </c>
      <c r="E428" s="33">
        <f>IF(AS427&lt;=0,0,ROUND(AS427+ROUND(AS427*Y$3/12,2),2))</f>
      </c>
      <c r="F428" s="33">
        <f>IF(AT427&lt;=0,0,ROUND(AT427+ROUND(AT427*Z$3/12,2),2))</f>
      </c>
      <c r="G428" s="33">
        <f>IF(AU427&lt;=0,0,ROUND(AU427+ROUND(AU427*AA$3/12,2),2))</f>
      </c>
      <c r="H428" s="33">
        <f>IF(AV427&lt;=0,0,ROUND(AV427+ROUND(AV427*AB$3/12,2),2))</f>
      </c>
      <c r="I428" s="33">
        <f>IF(AW427&lt;=0,0,ROUND(AW427+ROUND(AW427*AC$3/12,2),2))</f>
      </c>
      <c r="J428" s="33">
        <f>IF(AX427&lt;=0,0,ROUND(AX427+ROUND(AX427*AD$3/12,2),2))</f>
      </c>
      <c r="K428" s="33">
        <f>IF(AY427&lt;=0,0,ROUND(AY427+ROUND(AY427*AE$3/12,2),2))</f>
      </c>
      <c r="L428" s="33">
        <f>ROUND(MIN(MAX(0,N('Your debts'!$E$6)),B428),2)</f>
      </c>
      <c r="M428" s="33">
        <f>ROUND(MIN(MAX(0,N('Your debts'!$E$7)),C428),2)</f>
      </c>
      <c r="N428" s="33">
        <f>ROUND(MIN(MAX(0,N('Your debts'!$E$8)),D428),2)</f>
      </c>
      <c r="O428" s="33">
        <f>ROUND(MIN(MAX(0,N('Your debts'!$E$9)),E428),2)</f>
      </c>
      <c r="P428" s="33">
        <f>ROUND(MIN(MAX(0,N('Your debts'!$E$10)),F428),2)</f>
      </c>
      <c r="Q428" s="33">
        <f>ROUND(MIN(MAX(0,N('Your debts'!$E$11)),G428),2)</f>
      </c>
      <c r="R428" s="33">
        <f>ROUND(MIN(MAX(0,N('Your debts'!$E$12)),H428),2)</f>
      </c>
      <c r="S428" s="33">
        <f>ROUND(MIN(MAX(0,N('Your debts'!$E$13)),I428),2)</f>
      </c>
      <c r="T428" s="33">
        <f>ROUND(MIN(MAX(0,N('Your debts'!$E$14)),J428),2)</f>
      </c>
      <c r="U428" s="33">
        <f>ROUND(MIN(MAX(0,N('Your debts'!$E$15)),K428),2)</f>
      </c>
      <c r="V428" s="33">
        <f>ROUND(B428-L428,2)</f>
      </c>
      <c r="W428" s="33">
        <f>ROUND(C428-M428,2)</f>
      </c>
      <c r="X428" s="33">
        <f>ROUND(D428-N428,2)</f>
      </c>
      <c r="Y428" s="33">
        <f>ROUND(E428-O428,2)</f>
      </c>
      <c r="Z428" s="33">
        <f>ROUND(F428-P428,2)</f>
      </c>
      <c r="AA428" s="33">
        <f>ROUND(G428-Q428,2)</f>
      </c>
      <c r="AB428" s="33">
        <f>ROUND(H428-R428,2)</f>
      </c>
      <c r="AC428" s="33">
        <f>ROUND(I428-S428,2)</f>
      </c>
      <c r="AD428" s="33">
        <f>ROUND(J428-T428,2)</f>
      </c>
      <c r="AE428" s="33">
        <f>ROUND(K428-U428,2)</f>
      </c>
      <c r="AF428" s="33">
        <f>IF(V428&lt;=0,0,MAX(0,MIN(V428,ROUND($AZ428-SUMPRODUCT($V428:$AE428*($V428:$AE428&gt;0)*(($V428:$AE428&lt;V428)+($V428:$AE428=V428)*($V$3:$AE$3&gt;V$3)+($V428:$AE428=V428)*($V$3:$AE$3=V$3)*($V$2:$AE$2&lt;V$2))),2))))</f>
      </c>
      <c r="AG428" s="33">
        <f>IF(W428&lt;=0,0,MAX(0,MIN(W428,ROUND($AZ428-SUMPRODUCT($V428:$AE428*($V428:$AE428&gt;0)*(($V428:$AE428&lt;W428)+($V428:$AE428=W428)*($V$3:$AE$3&gt;W$3)+($V428:$AE428=W428)*($V$3:$AE$3=W$3)*($V$2:$AE$2&lt;W$2))),2))))</f>
      </c>
      <c r="AH428" s="33">
        <f>IF(X428&lt;=0,0,MAX(0,MIN(X428,ROUND($AZ428-SUMPRODUCT($V428:$AE428*($V428:$AE428&gt;0)*(($V428:$AE428&lt;X428)+($V428:$AE428=X428)*($V$3:$AE$3&gt;X$3)+($V428:$AE428=X428)*($V$3:$AE$3=X$3)*($V$2:$AE$2&lt;X$2))),2))))</f>
      </c>
      <c r="AI428" s="33">
        <f>IF(Y428&lt;=0,0,MAX(0,MIN(Y428,ROUND($AZ428-SUMPRODUCT($V428:$AE428*($V428:$AE428&gt;0)*(($V428:$AE428&lt;Y428)+($V428:$AE428=Y428)*($V$3:$AE$3&gt;Y$3)+($V428:$AE428=Y428)*($V$3:$AE$3=Y$3)*($V$2:$AE$2&lt;Y$2))),2))))</f>
      </c>
      <c r="AJ428" s="33">
        <f>IF(Z428&lt;=0,0,MAX(0,MIN(Z428,ROUND($AZ428-SUMPRODUCT($V428:$AE428*($V428:$AE428&gt;0)*(($V428:$AE428&lt;Z428)+($V428:$AE428=Z428)*($V$3:$AE$3&gt;Z$3)+($V428:$AE428=Z428)*($V$3:$AE$3=Z$3)*($V$2:$AE$2&lt;Z$2))),2))))</f>
      </c>
      <c r="AK428" s="33">
        <f>IF(AA428&lt;=0,0,MAX(0,MIN(AA428,ROUND($AZ428-SUMPRODUCT($V428:$AE428*($V428:$AE428&gt;0)*(($V428:$AE428&lt;AA428)+($V428:$AE428=AA428)*($V$3:$AE$3&gt;AA$3)+($V428:$AE428=AA428)*($V$3:$AE$3=AA$3)*($V$2:$AE$2&lt;AA$2))),2))))</f>
      </c>
      <c r="AL428" s="33">
        <f>IF(AB428&lt;=0,0,MAX(0,MIN(AB428,ROUND($AZ428-SUMPRODUCT($V428:$AE428*($V428:$AE428&gt;0)*(($V428:$AE428&lt;AB428)+($V428:$AE428=AB428)*($V$3:$AE$3&gt;AB$3)+($V428:$AE428=AB428)*($V$3:$AE$3=AB$3)*($V$2:$AE$2&lt;AB$2))),2))))</f>
      </c>
      <c r="AM428" s="33">
        <f>IF(AC428&lt;=0,0,MAX(0,MIN(AC428,ROUND($AZ428-SUMPRODUCT($V428:$AE428*($V428:$AE428&gt;0)*(($V428:$AE428&lt;AC428)+($V428:$AE428=AC428)*($V$3:$AE$3&gt;AC$3)+($V428:$AE428=AC428)*($V$3:$AE$3=AC$3)*($V$2:$AE$2&lt;AC$2))),2))))</f>
      </c>
      <c r="AN428" s="33">
        <f>IF(AD428&lt;=0,0,MAX(0,MIN(AD428,ROUND($AZ428-SUMPRODUCT($V428:$AE428*($V428:$AE428&gt;0)*(($V428:$AE428&lt;AD428)+($V428:$AE428=AD428)*($V$3:$AE$3&gt;AD$3)+($V428:$AE428=AD428)*($V$3:$AE$3=AD$3)*($V$2:$AE$2&lt;AD$2))),2))))</f>
      </c>
      <c r="AO428" s="33">
        <f>IF(AE428&lt;=0,0,MAX(0,MIN(AE428,ROUND($AZ428-SUMPRODUCT($V428:$AE428*($V428:$AE428&gt;0)*(($V428:$AE428&lt;AE428)+($V428:$AE428=AE428)*($V$3:$AE$3&gt;AE$3)+($V428:$AE428=AE428)*($V$3:$AE$3=AE$3)*($V$2:$AE$2&lt;AE$2))),2))))</f>
      </c>
      <c r="AP428" s="33">
        <f>ROUND(V428-AF428,2)</f>
      </c>
      <c r="AQ428" s="33">
        <f>ROUND(W428-AG428,2)</f>
      </c>
      <c r="AR428" s="33">
        <f>ROUND(X428-AH428,2)</f>
      </c>
      <c r="AS428" s="33">
        <f>ROUND(Y428-AI428,2)</f>
      </c>
      <c r="AT428" s="33">
        <f>ROUND(Z428-AJ428,2)</f>
      </c>
      <c r="AU428" s="33">
        <f>ROUND(AA428-AK428,2)</f>
      </c>
      <c r="AV428" s="33">
        <f>ROUND(AB428-AL428,2)</f>
      </c>
      <c r="AW428" s="33">
        <f>ROUND(AC428-AM428,2)</f>
      </c>
      <c r="AX428" s="33">
        <f>ROUND(AD428-AN428,2)</f>
      </c>
      <c r="AY428" s="33">
        <f>ROUND(AE428-AO428,2)</f>
      </c>
      <c r="AZ428" s="33">
        <f>ROUND(MAX(0,'Your debts'!$D$22-SUM($L428:$U428)),2)</f>
      </c>
      <c r="BA428" s="33">
        <f>ROUND(SUM($B428:$K428)-SUM($AP427:$AY427),2)</f>
      </c>
      <c r="BB428" s="33">
        <f>SUM($AP428:$AY428)</f>
      </c>
      <c r="BC428" s="33">
        <f>ROUND(SUM($L428:$U428)+SUM($AF428:$AO428),2)</f>
      </c>
    </row>
    <row r="429" spans="1:55" x14ac:dyDescent="0.25">
      <c r="A429">
        <v>422</v>
      </c>
      <c r="B429" s="33">
        <f>IF(AP428&lt;=0,0,ROUND(AP428+ROUND(AP428*V$3/12,2),2))</f>
      </c>
      <c r="C429" s="33">
        <f>IF(AQ428&lt;=0,0,ROUND(AQ428+ROUND(AQ428*W$3/12,2),2))</f>
      </c>
      <c r="D429" s="33">
        <f>IF(AR428&lt;=0,0,ROUND(AR428+ROUND(AR428*X$3/12,2),2))</f>
      </c>
      <c r="E429" s="33">
        <f>IF(AS428&lt;=0,0,ROUND(AS428+ROUND(AS428*Y$3/12,2),2))</f>
      </c>
      <c r="F429" s="33">
        <f>IF(AT428&lt;=0,0,ROUND(AT428+ROUND(AT428*Z$3/12,2),2))</f>
      </c>
      <c r="G429" s="33">
        <f>IF(AU428&lt;=0,0,ROUND(AU428+ROUND(AU428*AA$3/12,2),2))</f>
      </c>
      <c r="H429" s="33">
        <f>IF(AV428&lt;=0,0,ROUND(AV428+ROUND(AV428*AB$3/12,2),2))</f>
      </c>
      <c r="I429" s="33">
        <f>IF(AW428&lt;=0,0,ROUND(AW428+ROUND(AW428*AC$3/12,2),2))</f>
      </c>
      <c r="J429" s="33">
        <f>IF(AX428&lt;=0,0,ROUND(AX428+ROUND(AX428*AD$3/12,2),2))</f>
      </c>
      <c r="K429" s="33">
        <f>IF(AY428&lt;=0,0,ROUND(AY428+ROUND(AY428*AE$3/12,2),2))</f>
      </c>
      <c r="L429" s="33">
        <f>ROUND(MIN(MAX(0,N('Your debts'!$E$6)),B429),2)</f>
      </c>
      <c r="M429" s="33">
        <f>ROUND(MIN(MAX(0,N('Your debts'!$E$7)),C429),2)</f>
      </c>
      <c r="N429" s="33">
        <f>ROUND(MIN(MAX(0,N('Your debts'!$E$8)),D429),2)</f>
      </c>
      <c r="O429" s="33">
        <f>ROUND(MIN(MAX(0,N('Your debts'!$E$9)),E429),2)</f>
      </c>
      <c r="P429" s="33">
        <f>ROUND(MIN(MAX(0,N('Your debts'!$E$10)),F429),2)</f>
      </c>
      <c r="Q429" s="33">
        <f>ROUND(MIN(MAX(0,N('Your debts'!$E$11)),G429),2)</f>
      </c>
      <c r="R429" s="33">
        <f>ROUND(MIN(MAX(0,N('Your debts'!$E$12)),H429),2)</f>
      </c>
      <c r="S429" s="33">
        <f>ROUND(MIN(MAX(0,N('Your debts'!$E$13)),I429),2)</f>
      </c>
      <c r="T429" s="33">
        <f>ROUND(MIN(MAX(0,N('Your debts'!$E$14)),J429),2)</f>
      </c>
      <c r="U429" s="33">
        <f>ROUND(MIN(MAX(0,N('Your debts'!$E$15)),K429),2)</f>
      </c>
      <c r="V429" s="33">
        <f>ROUND(B429-L429,2)</f>
      </c>
      <c r="W429" s="33">
        <f>ROUND(C429-M429,2)</f>
      </c>
      <c r="X429" s="33">
        <f>ROUND(D429-N429,2)</f>
      </c>
      <c r="Y429" s="33">
        <f>ROUND(E429-O429,2)</f>
      </c>
      <c r="Z429" s="33">
        <f>ROUND(F429-P429,2)</f>
      </c>
      <c r="AA429" s="33">
        <f>ROUND(G429-Q429,2)</f>
      </c>
      <c r="AB429" s="33">
        <f>ROUND(H429-R429,2)</f>
      </c>
      <c r="AC429" s="33">
        <f>ROUND(I429-S429,2)</f>
      </c>
      <c r="AD429" s="33">
        <f>ROUND(J429-T429,2)</f>
      </c>
      <c r="AE429" s="33">
        <f>ROUND(K429-U429,2)</f>
      </c>
      <c r="AF429" s="33">
        <f>IF(V429&lt;=0,0,MAX(0,MIN(V429,ROUND($AZ429-SUMPRODUCT($V429:$AE429*($V429:$AE429&gt;0)*(($V429:$AE429&lt;V429)+($V429:$AE429=V429)*($V$3:$AE$3&gt;V$3)+($V429:$AE429=V429)*($V$3:$AE$3=V$3)*($V$2:$AE$2&lt;V$2))),2))))</f>
      </c>
      <c r="AG429" s="33">
        <f>IF(W429&lt;=0,0,MAX(0,MIN(W429,ROUND($AZ429-SUMPRODUCT($V429:$AE429*($V429:$AE429&gt;0)*(($V429:$AE429&lt;W429)+($V429:$AE429=W429)*($V$3:$AE$3&gt;W$3)+($V429:$AE429=W429)*($V$3:$AE$3=W$3)*($V$2:$AE$2&lt;W$2))),2))))</f>
      </c>
      <c r="AH429" s="33">
        <f>IF(X429&lt;=0,0,MAX(0,MIN(X429,ROUND($AZ429-SUMPRODUCT($V429:$AE429*($V429:$AE429&gt;0)*(($V429:$AE429&lt;X429)+($V429:$AE429=X429)*($V$3:$AE$3&gt;X$3)+($V429:$AE429=X429)*($V$3:$AE$3=X$3)*($V$2:$AE$2&lt;X$2))),2))))</f>
      </c>
      <c r="AI429" s="33">
        <f>IF(Y429&lt;=0,0,MAX(0,MIN(Y429,ROUND($AZ429-SUMPRODUCT($V429:$AE429*($V429:$AE429&gt;0)*(($V429:$AE429&lt;Y429)+($V429:$AE429=Y429)*($V$3:$AE$3&gt;Y$3)+($V429:$AE429=Y429)*($V$3:$AE$3=Y$3)*($V$2:$AE$2&lt;Y$2))),2))))</f>
      </c>
      <c r="AJ429" s="33">
        <f>IF(Z429&lt;=0,0,MAX(0,MIN(Z429,ROUND($AZ429-SUMPRODUCT($V429:$AE429*($V429:$AE429&gt;0)*(($V429:$AE429&lt;Z429)+($V429:$AE429=Z429)*($V$3:$AE$3&gt;Z$3)+($V429:$AE429=Z429)*($V$3:$AE$3=Z$3)*($V$2:$AE$2&lt;Z$2))),2))))</f>
      </c>
      <c r="AK429" s="33">
        <f>IF(AA429&lt;=0,0,MAX(0,MIN(AA429,ROUND($AZ429-SUMPRODUCT($V429:$AE429*($V429:$AE429&gt;0)*(($V429:$AE429&lt;AA429)+($V429:$AE429=AA429)*($V$3:$AE$3&gt;AA$3)+($V429:$AE429=AA429)*($V$3:$AE$3=AA$3)*($V$2:$AE$2&lt;AA$2))),2))))</f>
      </c>
      <c r="AL429" s="33">
        <f>IF(AB429&lt;=0,0,MAX(0,MIN(AB429,ROUND($AZ429-SUMPRODUCT($V429:$AE429*($V429:$AE429&gt;0)*(($V429:$AE429&lt;AB429)+($V429:$AE429=AB429)*($V$3:$AE$3&gt;AB$3)+($V429:$AE429=AB429)*($V$3:$AE$3=AB$3)*($V$2:$AE$2&lt;AB$2))),2))))</f>
      </c>
      <c r="AM429" s="33">
        <f>IF(AC429&lt;=0,0,MAX(0,MIN(AC429,ROUND($AZ429-SUMPRODUCT($V429:$AE429*($V429:$AE429&gt;0)*(($V429:$AE429&lt;AC429)+($V429:$AE429=AC429)*($V$3:$AE$3&gt;AC$3)+($V429:$AE429=AC429)*($V$3:$AE$3=AC$3)*($V$2:$AE$2&lt;AC$2))),2))))</f>
      </c>
      <c r="AN429" s="33">
        <f>IF(AD429&lt;=0,0,MAX(0,MIN(AD429,ROUND($AZ429-SUMPRODUCT($V429:$AE429*($V429:$AE429&gt;0)*(($V429:$AE429&lt;AD429)+($V429:$AE429=AD429)*($V$3:$AE$3&gt;AD$3)+($V429:$AE429=AD429)*($V$3:$AE$3=AD$3)*($V$2:$AE$2&lt;AD$2))),2))))</f>
      </c>
      <c r="AO429" s="33">
        <f>IF(AE429&lt;=0,0,MAX(0,MIN(AE429,ROUND($AZ429-SUMPRODUCT($V429:$AE429*($V429:$AE429&gt;0)*(($V429:$AE429&lt;AE429)+($V429:$AE429=AE429)*($V$3:$AE$3&gt;AE$3)+($V429:$AE429=AE429)*($V$3:$AE$3=AE$3)*($V$2:$AE$2&lt;AE$2))),2))))</f>
      </c>
      <c r="AP429" s="33">
        <f>ROUND(V429-AF429,2)</f>
      </c>
      <c r="AQ429" s="33">
        <f>ROUND(W429-AG429,2)</f>
      </c>
      <c r="AR429" s="33">
        <f>ROUND(X429-AH429,2)</f>
      </c>
      <c r="AS429" s="33">
        <f>ROUND(Y429-AI429,2)</f>
      </c>
      <c r="AT429" s="33">
        <f>ROUND(Z429-AJ429,2)</f>
      </c>
      <c r="AU429" s="33">
        <f>ROUND(AA429-AK429,2)</f>
      </c>
      <c r="AV429" s="33">
        <f>ROUND(AB429-AL429,2)</f>
      </c>
      <c r="AW429" s="33">
        <f>ROUND(AC429-AM429,2)</f>
      </c>
      <c r="AX429" s="33">
        <f>ROUND(AD429-AN429,2)</f>
      </c>
      <c r="AY429" s="33">
        <f>ROUND(AE429-AO429,2)</f>
      </c>
      <c r="AZ429" s="33">
        <f>ROUND(MAX(0,'Your debts'!$D$22-SUM($L429:$U429)),2)</f>
      </c>
      <c r="BA429" s="33">
        <f>ROUND(SUM($B429:$K429)-SUM($AP428:$AY428),2)</f>
      </c>
      <c r="BB429" s="33">
        <f>SUM($AP429:$AY429)</f>
      </c>
      <c r="BC429" s="33">
        <f>ROUND(SUM($L429:$U429)+SUM($AF429:$AO429),2)</f>
      </c>
    </row>
    <row r="430" spans="1:55" x14ac:dyDescent="0.25">
      <c r="A430">
        <v>423</v>
      </c>
      <c r="B430" s="33">
        <f>IF(AP429&lt;=0,0,ROUND(AP429+ROUND(AP429*V$3/12,2),2))</f>
      </c>
      <c r="C430" s="33">
        <f>IF(AQ429&lt;=0,0,ROUND(AQ429+ROUND(AQ429*W$3/12,2),2))</f>
      </c>
      <c r="D430" s="33">
        <f>IF(AR429&lt;=0,0,ROUND(AR429+ROUND(AR429*X$3/12,2),2))</f>
      </c>
      <c r="E430" s="33">
        <f>IF(AS429&lt;=0,0,ROUND(AS429+ROUND(AS429*Y$3/12,2),2))</f>
      </c>
      <c r="F430" s="33">
        <f>IF(AT429&lt;=0,0,ROUND(AT429+ROUND(AT429*Z$3/12,2),2))</f>
      </c>
      <c r="G430" s="33">
        <f>IF(AU429&lt;=0,0,ROUND(AU429+ROUND(AU429*AA$3/12,2),2))</f>
      </c>
      <c r="H430" s="33">
        <f>IF(AV429&lt;=0,0,ROUND(AV429+ROUND(AV429*AB$3/12,2),2))</f>
      </c>
      <c r="I430" s="33">
        <f>IF(AW429&lt;=0,0,ROUND(AW429+ROUND(AW429*AC$3/12,2),2))</f>
      </c>
      <c r="J430" s="33">
        <f>IF(AX429&lt;=0,0,ROUND(AX429+ROUND(AX429*AD$3/12,2),2))</f>
      </c>
      <c r="K430" s="33">
        <f>IF(AY429&lt;=0,0,ROUND(AY429+ROUND(AY429*AE$3/12,2),2))</f>
      </c>
      <c r="L430" s="33">
        <f>ROUND(MIN(MAX(0,N('Your debts'!$E$6)),B430),2)</f>
      </c>
      <c r="M430" s="33">
        <f>ROUND(MIN(MAX(0,N('Your debts'!$E$7)),C430),2)</f>
      </c>
      <c r="N430" s="33">
        <f>ROUND(MIN(MAX(0,N('Your debts'!$E$8)),D430),2)</f>
      </c>
      <c r="O430" s="33">
        <f>ROUND(MIN(MAX(0,N('Your debts'!$E$9)),E430),2)</f>
      </c>
      <c r="P430" s="33">
        <f>ROUND(MIN(MAX(0,N('Your debts'!$E$10)),F430),2)</f>
      </c>
      <c r="Q430" s="33">
        <f>ROUND(MIN(MAX(0,N('Your debts'!$E$11)),G430),2)</f>
      </c>
      <c r="R430" s="33">
        <f>ROUND(MIN(MAX(0,N('Your debts'!$E$12)),H430),2)</f>
      </c>
      <c r="S430" s="33">
        <f>ROUND(MIN(MAX(0,N('Your debts'!$E$13)),I430),2)</f>
      </c>
      <c r="T430" s="33">
        <f>ROUND(MIN(MAX(0,N('Your debts'!$E$14)),J430),2)</f>
      </c>
      <c r="U430" s="33">
        <f>ROUND(MIN(MAX(0,N('Your debts'!$E$15)),K430),2)</f>
      </c>
      <c r="V430" s="33">
        <f>ROUND(B430-L430,2)</f>
      </c>
      <c r="W430" s="33">
        <f>ROUND(C430-M430,2)</f>
      </c>
      <c r="X430" s="33">
        <f>ROUND(D430-N430,2)</f>
      </c>
      <c r="Y430" s="33">
        <f>ROUND(E430-O430,2)</f>
      </c>
      <c r="Z430" s="33">
        <f>ROUND(F430-P430,2)</f>
      </c>
      <c r="AA430" s="33">
        <f>ROUND(G430-Q430,2)</f>
      </c>
      <c r="AB430" s="33">
        <f>ROUND(H430-R430,2)</f>
      </c>
      <c r="AC430" s="33">
        <f>ROUND(I430-S430,2)</f>
      </c>
      <c r="AD430" s="33">
        <f>ROUND(J430-T430,2)</f>
      </c>
      <c r="AE430" s="33">
        <f>ROUND(K430-U430,2)</f>
      </c>
      <c r="AF430" s="33">
        <f>IF(V430&lt;=0,0,MAX(0,MIN(V430,ROUND($AZ430-SUMPRODUCT($V430:$AE430*($V430:$AE430&gt;0)*(($V430:$AE430&lt;V430)+($V430:$AE430=V430)*($V$3:$AE$3&gt;V$3)+($V430:$AE430=V430)*($V$3:$AE$3=V$3)*($V$2:$AE$2&lt;V$2))),2))))</f>
      </c>
      <c r="AG430" s="33">
        <f>IF(W430&lt;=0,0,MAX(0,MIN(W430,ROUND($AZ430-SUMPRODUCT($V430:$AE430*($V430:$AE430&gt;0)*(($V430:$AE430&lt;W430)+($V430:$AE430=W430)*($V$3:$AE$3&gt;W$3)+($V430:$AE430=W430)*($V$3:$AE$3=W$3)*($V$2:$AE$2&lt;W$2))),2))))</f>
      </c>
      <c r="AH430" s="33">
        <f>IF(X430&lt;=0,0,MAX(0,MIN(X430,ROUND($AZ430-SUMPRODUCT($V430:$AE430*($V430:$AE430&gt;0)*(($V430:$AE430&lt;X430)+($V430:$AE430=X430)*($V$3:$AE$3&gt;X$3)+($V430:$AE430=X430)*($V$3:$AE$3=X$3)*($V$2:$AE$2&lt;X$2))),2))))</f>
      </c>
      <c r="AI430" s="33">
        <f>IF(Y430&lt;=0,0,MAX(0,MIN(Y430,ROUND($AZ430-SUMPRODUCT($V430:$AE430*($V430:$AE430&gt;0)*(($V430:$AE430&lt;Y430)+($V430:$AE430=Y430)*($V$3:$AE$3&gt;Y$3)+($V430:$AE430=Y430)*($V$3:$AE$3=Y$3)*($V$2:$AE$2&lt;Y$2))),2))))</f>
      </c>
      <c r="AJ430" s="33">
        <f>IF(Z430&lt;=0,0,MAX(0,MIN(Z430,ROUND($AZ430-SUMPRODUCT($V430:$AE430*($V430:$AE430&gt;0)*(($V430:$AE430&lt;Z430)+($V430:$AE430=Z430)*($V$3:$AE$3&gt;Z$3)+($V430:$AE430=Z430)*($V$3:$AE$3=Z$3)*($V$2:$AE$2&lt;Z$2))),2))))</f>
      </c>
      <c r="AK430" s="33">
        <f>IF(AA430&lt;=0,0,MAX(0,MIN(AA430,ROUND($AZ430-SUMPRODUCT($V430:$AE430*($V430:$AE430&gt;0)*(($V430:$AE430&lt;AA430)+($V430:$AE430=AA430)*($V$3:$AE$3&gt;AA$3)+($V430:$AE430=AA430)*($V$3:$AE$3=AA$3)*($V$2:$AE$2&lt;AA$2))),2))))</f>
      </c>
      <c r="AL430" s="33">
        <f>IF(AB430&lt;=0,0,MAX(0,MIN(AB430,ROUND($AZ430-SUMPRODUCT($V430:$AE430*($V430:$AE430&gt;0)*(($V430:$AE430&lt;AB430)+($V430:$AE430=AB430)*($V$3:$AE$3&gt;AB$3)+($V430:$AE430=AB430)*($V$3:$AE$3=AB$3)*($V$2:$AE$2&lt;AB$2))),2))))</f>
      </c>
      <c r="AM430" s="33">
        <f>IF(AC430&lt;=0,0,MAX(0,MIN(AC430,ROUND($AZ430-SUMPRODUCT($V430:$AE430*($V430:$AE430&gt;0)*(($V430:$AE430&lt;AC430)+($V430:$AE430=AC430)*($V$3:$AE$3&gt;AC$3)+($V430:$AE430=AC430)*($V$3:$AE$3=AC$3)*($V$2:$AE$2&lt;AC$2))),2))))</f>
      </c>
      <c r="AN430" s="33">
        <f>IF(AD430&lt;=0,0,MAX(0,MIN(AD430,ROUND($AZ430-SUMPRODUCT($V430:$AE430*($V430:$AE430&gt;0)*(($V430:$AE430&lt;AD430)+($V430:$AE430=AD430)*($V$3:$AE$3&gt;AD$3)+($V430:$AE430=AD430)*($V$3:$AE$3=AD$3)*($V$2:$AE$2&lt;AD$2))),2))))</f>
      </c>
      <c r="AO430" s="33">
        <f>IF(AE430&lt;=0,0,MAX(0,MIN(AE430,ROUND($AZ430-SUMPRODUCT($V430:$AE430*($V430:$AE430&gt;0)*(($V430:$AE430&lt;AE430)+($V430:$AE430=AE430)*($V$3:$AE$3&gt;AE$3)+($V430:$AE430=AE430)*($V$3:$AE$3=AE$3)*($V$2:$AE$2&lt;AE$2))),2))))</f>
      </c>
      <c r="AP430" s="33">
        <f>ROUND(V430-AF430,2)</f>
      </c>
      <c r="AQ430" s="33">
        <f>ROUND(W430-AG430,2)</f>
      </c>
      <c r="AR430" s="33">
        <f>ROUND(X430-AH430,2)</f>
      </c>
      <c r="AS430" s="33">
        <f>ROUND(Y430-AI430,2)</f>
      </c>
      <c r="AT430" s="33">
        <f>ROUND(Z430-AJ430,2)</f>
      </c>
      <c r="AU430" s="33">
        <f>ROUND(AA430-AK430,2)</f>
      </c>
      <c r="AV430" s="33">
        <f>ROUND(AB430-AL430,2)</f>
      </c>
      <c r="AW430" s="33">
        <f>ROUND(AC430-AM430,2)</f>
      </c>
      <c r="AX430" s="33">
        <f>ROUND(AD430-AN430,2)</f>
      </c>
      <c r="AY430" s="33">
        <f>ROUND(AE430-AO430,2)</f>
      </c>
      <c r="AZ430" s="33">
        <f>ROUND(MAX(0,'Your debts'!$D$22-SUM($L430:$U430)),2)</f>
      </c>
      <c r="BA430" s="33">
        <f>ROUND(SUM($B430:$K430)-SUM($AP429:$AY429),2)</f>
      </c>
      <c r="BB430" s="33">
        <f>SUM($AP430:$AY430)</f>
      </c>
      <c r="BC430" s="33">
        <f>ROUND(SUM($L430:$U430)+SUM($AF430:$AO430),2)</f>
      </c>
    </row>
    <row r="431" spans="1:55" x14ac:dyDescent="0.25">
      <c r="A431">
        <v>424</v>
      </c>
      <c r="B431" s="33">
        <f>IF(AP430&lt;=0,0,ROUND(AP430+ROUND(AP430*V$3/12,2),2))</f>
      </c>
      <c r="C431" s="33">
        <f>IF(AQ430&lt;=0,0,ROUND(AQ430+ROUND(AQ430*W$3/12,2),2))</f>
      </c>
      <c r="D431" s="33">
        <f>IF(AR430&lt;=0,0,ROUND(AR430+ROUND(AR430*X$3/12,2),2))</f>
      </c>
      <c r="E431" s="33">
        <f>IF(AS430&lt;=0,0,ROUND(AS430+ROUND(AS430*Y$3/12,2),2))</f>
      </c>
      <c r="F431" s="33">
        <f>IF(AT430&lt;=0,0,ROUND(AT430+ROUND(AT430*Z$3/12,2),2))</f>
      </c>
      <c r="G431" s="33">
        <f>IF(AU430&lt;=0,0,ROUND(AU430+ROUND(AU430*AA$3/12,2),2))</f>
      </c>
      <c r="H431" s="33">
        <f>IF(AV430&lt;=0,0,ROUND(AV430+ROUND(AV430*AB$3/12,2),2))</f>
      </c>
      <c r="I431" s="33">
        <f>IF(AW430&lt;=0,0,ROUND(AW430+ROUND(AW430*AC$3/12,2),2))</f>
      </c>
      <c r="J431" s="33">
        <f>IF(AX430&lt;=0,0,ROUND(AX430+ROUND(AX430*AD$3/12,2),2))</f>
      </c>
      <c r="K431" s="33">
        <f>IF(AY430&lt;=0,0,ROUND(AY430+ROUND(AY430*AE$3/12,2),2))</f>
      </c>
      <c r="L431" s="33">
        <f>ROUND(MIN(MAX(0,N('Your debts'!$E$6)),B431),2)</f>
      </c>
      <c r="M431" s="33">
        <f>ROUND(MIN(MAX(0,N('Your debts'!$E$7)),C431),2)</f>
      </c>
      <c r="N431" s="33">
        <f>ROUND(MIN(MAX(0,N('Your debts'!$E$8)),D431),2)</f>
      </c>
      <c r="O431" s="33">
        <f>ROUND(MIN(MAX(0,N('Your debts'!$E$9)),E431),2)</f>
      </c>
      <c r="P431" s="33">
        <f>ROUND(MIN(MAX(0,N('Your debts'!$E$10)),F431),2)</f>
      </c>
      <c r="Q431" s="33">
        <f>ROUND(MIN(MAX(0,N('Your debts'!$E$11)),G431),2)</f>
      </c>
      <c r="R431" s="33">
        <f>ROUND(MIN(MAX(0,N('Your debts'!$E$12)),H431),2)</f>
      </c>
      <c r="S431" s="33">
        <f>ROUND(MIN(MAX(0,N('Your debts'!$E$13)),I431),2)</f>
      </c>
      <c r="T431" s="33">
        <f>ROUND(MIN(MAX(0,N('Your debts'!$E$14)),J431),2)</f>
      </c>
      <c r="U431" s="33">
        <f>ROUND(MIN(MAX(0,N('Your debts'!$E$15)),K431),2)</f>
      </c>
      <c r="V431" s="33">
        <f>ROUND(B431-L431,2)</f>
      </c>
      <c r="W431" s="33">
        <f>ROUND(C431-M431,2)</f>
      </c>
      <c r="X431" s="33">
        <f>ROUND(D431-N431,2)</f>
      </c>
      <c r="Y431" s="33">
        <f>ROUND(E431-O431,2)</f>
      </c>
      <c r="Z431" s="33">
        <f>ROUND(F431-P431,2)</f>
      </c>
      <c r="AA431" s="33">
        <f>ROUND(G431-Q431,2)</f>
      </c>
      <c r="AB431" s="33">
        <f>ROUND(H431-R431,2)</f>
      </c>
      <c r="AC431" s="33">
        <f>ROUND(I431-S431,2)</f>
      </c>
      <c r="AD431" s="33">
        <f>ROUND(J431-T431,2)</f>
      </c>
      <c r="AE431" s="33">
        <f>ROUND(K431-U431,2)</f>
      </c>
      <c r="AF431" s="33">
        <f>IF(V431&lt;=0,0,MAX(0,MIN(V431,ROUND($AZ431-SUMPRODUCT($V431:$AE431*($V431:$AE431&gt;0)*(($V431:$AE431&lt;V431)+($V431:$AE431=V431)*($V$3:$AE$3&gt;V$3)+($V431:$AE431=V431)*($V$3:$AE$3=V$3)*($V$2:$AE$2&lt;V$2))),2))))</f>
      </c>
      <c r="AG431" s="33">
        <f>IF(W431&lt;=0,0,MAX(0,MIN(W431,ROUND($AZ431-SUMPRODUCT($V431:$AE431*($V431:$AE431&gt;0)*(($V431:$AE431&lt;W431)+($V431:$AE431=W431)*($V$3:$AE$3&gt;W$3)+($V431:$AE431=W431)*($V$3:$AE$3=W$3)*($V$2:$AE$2&lt;W$2))),2))))</f>
      </c>
      <c r="AH431" s="33">
        <f>IF(X431&lt;=0,0,MAX(0,MIN(X431,ROUND($AZ431-SUMPRODUCT($V431:$AE431*($V431:$AE431&gt;0)*(($V431:$AE431&lt;X431)+($V431:$AE431=X431)*($V$3:$AE$3&gt;X$3)+($V431:$AE431=X431)*($V$3:$AE$3=X$3)*($V$2:$AE$2&lt;X$2))),2))))</f>
      </c>
      <c r="AI431" s="33">
        <f>IF(Y431&lt;=0,0,MAX(0,MIN(Y431,ROUND($AZ431-SUMPRODUCT($V431:$AE431*($V431:$AE431&gt;0)*(($V431:$AE431&lt;Y431)+($V431:$AE431=Y431)*($V$3:$AE$3&gt;Y$3)+($V431:$AE431=Y431)*($V$3:$AE$3=Y$3)*($V$2:$AE$2&lt;Y$2))),2))))</f>
      </c>
      <c r="AJ431" s="33">
        <f>IF(Z431&lt;=0,0,MAX(0,MIN(Z431,ROUND($AZ431-SUMPRODUCT($V431:$AE431*($V431:$AE431&gt;0)*(($V431:$AE431&lt;Z431)+($V431:$AE431=Z431)*($V$3:$AE$3&gt;Z$3)+($V431:$AE431=Z431)*($V$3:$AE$3=Z$3)*($V$2:$AE$2&lt;Z$2))),2))))</f>
      </c>
      <c r="AK431" s="33">
        <f>IF(AA431&lt;=0,0,MAX(0,MIN(AA431,ROUND($AZ431-SUMPRODUCT($V431:$AE431*($V431:$AE431&gt;0)*(($V431:$AE431&lt;AA431)+($V431:$AE431=AA431)*($V$3:$AE$3&gt;AA$3)+($V431:$AE431=AA431)*($V$3:$AE$3=AA$3)*($V$2:$AE$2&lt;AA$2))),2))))</f>
      </c>
      <c r="AL431" s="33">
        <f>IF(AB431&lt;=0,0,MAX(0,MIN(AB431,ROUND($AZ431-SUMPRODUCT($V431:$AE431*($V431:$AE431&gt;0)*(($V431:$AE431&lt;AB431)+($V431:$AE431=AB431)*($V$3:$AE$3&gt;AB$3)+($V431:$AE431=AB431)*($V$3:$AE$3=AB$3)*($V$2:$AE$2&lt;AB$2))),2))))</f>
      </c>
      <c r="AM431" s="33">
        <f>IF(AC431&lt;=0,0,MAX(0,MIN(AC431,ROUND($AZ431-SUMPRODUCT($V431:$AE431*($V431:$AE431&gt;0)*(($V431:$AE431&lt;AC431)+($V431:$AE431=AC431)*($V$3:$AE$3&gt;AC$3)+($V431:$AE431=AC431)*($V$3:$AE$3=AC$3)*($V$2:$AE$2&lt;AC$2))),2))))</f>
      </c>
      <c r="AN431" s="33">
        <f>IF(AD431&lt;=0,0,MAX(0,MIN(AD431,ROUND($AZ431-SUMPRODUCT($V431:$AE431*($V431:$AE431&gt;0)*(($V431:$AE431&lt;AD431)+($V431:$AE431=AD431)*($V$3:$AE$3&gt;AD$3)+($V431:$AE431=AD431)*($V$3:$AE$3=AD$3)*($V$2:$AE$2&lt;AD$2))),2))))</f>
      </c>
      <c r="AO431" s="33">
        <f>IF(AE431&lt;=0,0,MAX(0,MIN(AE431,ROUND($AZ431-SUMPRODUCT($V431:$AE431*($V431:$AE431&gt;0)*(($V431:$AE431&lt;AE431)+($V431:$AE431=AE431)*($V$3:$AE$3&gt;AE$3)+($V431:$AE431=AE431)*($V$3:$AE$3=AE$3)*($V$2:$AE$2&lt;AE$2))),2))))</f>
      </c>
      <c r="AP431" s="33">
        <f>ROUND(V431-AF431,2)</f>
      </c>
      <c r="AQ431" s="33">
        <f>ROUND(W431-AG431,2)</f>
      </c>
      <c r="AR431" s="33">
        <f>ROUND(X431-AH431,2)</f>
      </c>
      <c r="AS431" s="33">
        <f>ROUND(Y431-AI431,2)</f>
      </c>
      <c r="AT431" s="33">
        <f>ROUND(Z431-AJ431,2)</f>
      </c>
      <c r="AU431" s="33">
        <f>ROUND(AA431-AK431,2)</f>
      </c>
      <c r="AV431" s="33">
        <f>ROUND(AB431-AL431,2)</f>
      </c>
      <c r="AW431" s="33">
        <f>ROUND(AC431-AM431,2)</f>
      </c>
      <c r="AX431" s="33">
        <f>ROUND(AD431-AN431,2)</f>
      </c>
      <c r="AY431" s="33">
        <f>ROUND(AE431-AO431,2)</f>
      </c>
      <c r="AZ431" s="33">
        <f>ROUND(MAX(0,'Your debts'!$D$22-SUM($L431:$U431)),2)</f>
      </c>
      <c r="BA431" s="33">
        <f>ROUND(SUM($B431:$K431)-SUM($AP430:$AY430),2)</f>
      </c>
      <c r="BB431" s="33">
        <f>SUM($AP431:$AY431)</f>
      </c>
      <c r="BC431" s="33">
        <f>ROUND(SUM($L431:$U431)+SUM($AF431:$AO431),2)</f>
      </c>
    </row>
    <row r="432" spans="1:55" x14ac:dyDescent="0.25">
      <c r="A432">
        <v>425</v>
      </c>
      <c r="B432" s="33">
        <f>IF(AP431&lt;=0,0,ROUND(AP431+ROUND(AP431*V$3/12,2),2))</f>
      </c>
      <c r="C432" s="33">
        <f>IF(AQ431&lt;=0,0,ROUND(AQ431+ROUND(AQ431*W$3/12,2),2))</f>
      </c>
      <c r="D432" s="33">
        <f>IF(AR431&lt;=0,0,ROUND(AR431+ROUND(AR431*X$3/12,2),2))</f>
      </c>
      <c r="E432" s="33">
        <f>IF(AS431&lt;=0,0,ROUND(AS431+ROUND(AS431*Y$3/12,2),2))</f>
      </c>
      <c r="F432" s="33">
        <f>IF(AT431&lt;=0,0,ROUND(AT431+ROUND(AT431*Z$3/12,2),2))</f>
      </c>
      <c r="G432" s="33">
        <f>IF(AU431&lt;=0,0,ROUND(AU431+ROUND(AU431*AA$3/12,2),2))</f>
      </c>
      <c r="H432" s="33">
        <f>IF(AV431&lt;=0,0,ROUND(AV431+ROUND(AV431*AB$3/12,2),2))</f>
      </c>
      <c r="I432" s="33">
        <f>IF(AW431&lt;=0,0,ROUND(AW431+ROUND(AW431*AC$3/12,2),2))</f>
      </c>
      <c r="J432" s="33">
        <f>IF(AX431&lt;=0,0,ROUND(AX431+ROUND(AX431*AD$3/12,2),2))</f>
      </c>
      <c r="K432" s="33">
        <f>IF(AY431&lt;=0,0,ROUND(AY431+ROUND(AY431*AE$3/12,2),2))</f>
      </c>
      <c r="L432" s="33">
        <f>ROUND(MIN(MAX(0,N('Your debts'!$E$6)),B432),2)</f>
      </c>
      <c r="M432" s="33">
        <f>ROUND(MIN(MAX(0,N('Your debts'!$E$7)),C432),2)</f>
      </c>
      <c r="N432" s="33">
        <f>ROUND(MIN(MAX(0,N('Your debts'!$E$8)),D432),2)</f>
      </c>
      <c r="O432" s="33">
        <f>ROUND(MIN(MAX(0,N('Your debts'!$E$9)),E432),2)</f>
      </c>
      <c r="P432" s="33">
        <f>ROUND(MIN(MAX(0,N('Your debts'!$E$10)),F432),2)</f>
      </c>
      <c r="Q432" s="33">
        <f>ROUND(MIN(MAX(0,N('Your debts'!$E$11)),G432),2)</f>
      </c>
      <c r="R432" s="33">
        <f>ROUND(MIN(MAX(0,N('Your debts'!$E$12)),H432),2)</f>
      </c>
      <c r="S432" s="33">
        <f>ROUND(MIN(MAX(0,N('Your debts'!$E$13)),I432),2)</f>
      </c>
      <c r="T432" s="33">
        <f>ROUND(MIN(MAX(0,N('Your debts'!$E$14)),J432),2)</f>
      </c>
      <c r="U432" s="33">
        <f>ROUND(MIN(MAX(0,N('Your debts'!$E$15)),K432),2)</f>
      </c>
      <c r="V432" s="33">
        <f>ROUND(B432-L432,2)</f>
      </c>
      <c r="W432" s="33">
        <f>ROUND(C432-M432,2)</f>
      </c>
      <c r="X432" s="33">
        <f>ROUND(D432-N432,2)</f>
      </c>
      <c r="Y432" s="33">
        <f>ROUND(E432-O432,2)</f>
      </c>
      <c r="Z432" s="33">
        <f>ROUND(F432-P432,2)</f>
      </c>
      <c r="AA432" s="33">
        <f>ROUND(G432-Q432,2)</f>
      </c>
      <c r="AB432" s="33">
        <f>ROUND(H432-R432,2)</f>
      </c>
      <c r="AC432" s="33">
        <f>ROUND(I432-S432,2)</f>
      </c>
      <c r="AD432" s="33">
        <f>ROUND(J432-T432,2)</f>
      </c>
      <c r="AE432" s="33">
        <f>ROUND(K432-U432,2)</f>
      </c>
      <c r="AF432" s="33">
        <f>IF(V432&lt;=0,0,MAX(0,MIN(V432,ROUND($AZ432-SUMPRODUCT($V432:$AE432*($V432:$AE432&gt;0)*(($V432:$AE432&lt;V432)+($V432:$AE432=V432)*($V$3:$AE$3&gt;V$3)+($V432:$AE432=V432)*($V$3:$AE$3=V$3)*($V$2:$AE$2&lt;V$2))),2))))</f>
      </c>
      <c r="AG432" s="33">
        <f>IF(W432&lt;=0,0,MAX(0,MIN(W432,ROUND($AZ432-SUMPRODUCT($V432:$AE432*($V432:$AE432&gt;0)*(($V432:$AE432&lt;W432)+($V432:$AE432=W432)*($V$3:$AE$3&gt;W$3)+($V432:$AE432=W432)*($V$3:$AE$3=W$3)*($V$2:$AE$2&lt;W$2))),2))))</f>
      </c>
      <c r="AH432" s="33">
        <f>IF(X432&lt;=0,0,MAX(0,MIN(X432,ROUND($AZ432-SUMPRODUCT($V432:$AE432*($V432:$AE432&gt;0)*(($V432:$AE432&lt;X432)+($V432:$AE432=X432)*($V$3:$AE$3&gt;X$3)+($V432:$AE432=X432)*($V$3:$AE$3=X$3)*($V$2:$AE$2&lt;X$2))),2))))</f>
      </c>
      <c r="AI432" s="33">
        <f>IF(Y432&lt;=0,0,MAX(0,MIN(Y432,ROUND($AZ432-SUMPRODUCT($V432:$AE432*($V432:$AE432&gt;0)*(($V432:$AE432&lt;Y432)+($V432:$AE432=Y432)*($V$3:$AE$3&gt;Y$3)+($V432:$AE432=Y432)*($V$3:$AE$3=Y$3)*($V$2:$AE$2&lt;Y$2))),2))))</f>
      </c>
      <c r="AJ432" s="33">
        <f>IF(Z432&lt;=0,0,MAX(0,MIN(Z432,ROUND($AZ432-SUMPRODUCT($V432:$AE432*($V432:$AE432&gt;0)*(($V432:$AE432&lt;Z432)+($V432:$AE432=Z432)*($V$3:$AE$3&gt;Z$3)+($V432:$AE432=Z432)*($V$3:$AE$3=Z$3)*($V$2:$AE$2&lt;Z$2))),2))))</f>
      </c>
      <c r="AK432" s="33">
        <f>IF(AA432&lt;=0,0,MAX(0,MIN(AA432,ROUND($AZ432-SUMPRODUCT($V432:$AE432*($V432:$AE432&gt;0)*(($V432:$AE432&lt;AA432)+($V432:$AE432=AA432)*($V$3:$AE$3&gt;AA$3)+($V432:$AE432=AA432)*($V$3:$AE$3=AA$3)*($V$2:$AE$2&lt;AA$2))),2))))</f>
      </c>
      <c r="AL432" s="33">
        <f>IF(AB432&lt;=0,0,MAX(0,MIN(AB432,ROUND($AZ432-SUMPRODUCT($V432:$AE432*($V432:$AE432&gt;0)*(($V432:$AE432&lt;AB432)+($V432:$AE432=AB432)*($V$3:$AE$3&gt;AB$3)+($V432:$AE432=AB432)*($V$3:$AE$3=AB$3)*($V$2:$AE$2&lt;AB$2))),2))))</f>
      </c>
      <c r="AM432" s="33">
        <f>IF(AC432&lt;=0,0,MAX(0,MIN(AC432,ROUND($AZ432-SUMPRODUCT($V432:$AE432*($V432:$AE432&gt;0)*(($V432:$AE432&lt;AC432)+($V432:$AE432=AC432)*($V$3:$AE$3&gt;AC$3)+($V432:$AE432=AC432)*($V$3:$AE$3=AC$3)*($V$2:$AE$2&lt;AC$2))),2))))</f>
      </c>
      <c r="AN432" s="33">
        <f>IF(AD432&lt;=0,0,MAX(0,MIN(AD432,ROUND($AZ432-SUMPRODUCT($V432:$AE432*($V432:$AE432&gt;0)*(($V432:$AE432&lt;AD432)+($V432:$AE432=AD432)*($V$3:$AE$3&gt;AD$3)+($V432:$AE432=AD432)*($V$3:$AE$3=AD$3)*($V$2:$AE$2&lt;AD$2))),2))))</f>
      </c>
      <c r="AO432" s="33">
        <f>IF(AE432&lt;=0,0,MAX(0,MIN(AE432,ROUND($AZ432-SUMPRODUCT($V432:$AE432*($V432:$AE432&gt;0)*(($V432:$AE432&lt;AE432)+($V432:$AE432=AE432)*($V$3:$AE$3&gt;AE$3)+($V432:$AE432=AE432)*($V$3:$AE$3=AE$3)*($V$2:$AE$2&lt;AE$2))),2))))</f>
      </c>
      <c r="AP432" s="33">
        <f>ROUND(V432-AF432,2)</f>
      </c>
      <c r="AQ432" s="33">
        <f>ROUND(W432-AG432,2)</f>
      </c>
      <c r="AR432" s="33">
        <f>ROUND(X432-AH432,2)</f>
      </c>
      <c r="AS432" s="33">
        <f>ROUND(Y432-AI432,2)</f>
      </c>
      <c r="AT432" s="33">
        <f>ROUND(Z432-AJ432,2)</f>
      </c>
      <c r="AU432" s="33">
        <f>ROUND(AA432-AK432,2)</f>
      </c>
      <c r="AV432" s="33">
        <f>ROUND(AB432-AL432,2)</f>
      </c>
      <c r="AW432" s="33">
        <f>ROUND(AC432-AM432,2)</f>
      </c>
      <c r="AX432" s="33">
        <f>ROUND(AD432-AN432,2)</f>
      </c>
      <c r="AY432" s="33">
        <f>ROUND(AE432-AO432,2)</f>
      </c>
      <c r="AZ432" s="33">
        <f>ROUND(MAX(0,'Your debts'!$D$22-SUM($L432:$U432)),2)</f>
      </c>
      <c r="BA432" s="33">
        <f>ROUND(SUM($B432:$K432)-SUM($AP431:$AY431),2)</f>
      </c>
      <c r="BB432" s="33">
        <f>SUM($AP432:$AY432)</f>
      </c>
      <c r="BC432" s="33">
        <f>ROUND(SUM($L432:$U432)+SUM($AF432:$AO432),2)</f>
      </c>
    </row>
    <row r="433" spans="1:55" x14ac:dyDescent="0.25">
      <c r="A433">
        <v>426</v>
      </c>
      <c r="B433" s="33">
        <f>IF(AP432&lt;=0,0,ROUND(AP432+ROUND(AP432*V$3/12,2),2))</f>
      </c>
      <c r="C433" s="33">
        <f>IF(AQ432&lt;=0,0,ROUND(AQ432+ROUND(AQ432*W$3/12,2),2))</f>
      </c>
      <c r="D433" s="33">
        <f>IF(AR432&lt;=0,0,ROUND(AR432+ROUND(AR432*X$3/12,2),2))</f>
      </c>
      <c r="E433" s="33">
        <f>IF(AS432&lt;=0,0,ROUND(AS432+ROUND(AS432*Y$3/12,2),2))</f>
      </c>
      <c r="F433" s="33">
        <f>IF(AT432&lt;=0,0,ROUND(AT432+ROUND(AT432*Z$3/12,2),2))</f>
      </c>
      <c r="G433" s="33">
        <f>IF(AU432&lt;=0,0,ROUND(AU432+ROUND(AU432*AA$3/12,2),2))</f>
      </c>
      <c r="H433" s="33">
        <f>IF(AV432&lt;=0,0,ROUND(AV432+ROUND(AV432*AB$3/12,2),2))</f>
      </c>
      <c r="I433" s="33">
        <f>IF(AW432&lt;=0,0,ROUND(AW432+ROUND(AW432*AC$3/12,2),2))</f>
      </c>
      <c r="J433" s="33">
        <f>IF(AX432&lt;=0,0,ROUND(AX432+ROUND(AX432*AD$3/12,2),2))</f>
      </c>
      <c r="K433" s="33">
        <f>IF(AY432&lt;=0,0,ROUND(AY432+ROUND(AY432*AE$3/12,2),2))</f>
      </c>
      <c r="L433" s="33">
        <f>ROUND(MIN(MAX(0,N('Your debts'!$E$6)),B433),2)</f>
      </c>
      <c r="M433" s="33">
        <f>ROUND(MIN(MAX(0,N('Your debts'!$E$7)),C433),2)</f>
      </c>
      <c r="N433" s="33">
        <f>ROUND(MIN(MAX(0,N('Your debts'!$E$8)),D433),2)</f>
      </c>
      <c r="O433" s="33">
        <f>ROUND(MIN(MAX(0,N('Your debts'!$E$9)),E433),2)</f>
      </c>
      <c r="P433" s="33">
        <f>ROUND(MIN(MAX(0,N('Your debts'!$E$10)),F433),2)</f>
      </c>
      <c r="Q433" s="33">
        <f>ROUND(MIN(MAX(0,N('Your debts'!$E$11)),G433),2)</f>
      </c>
      <c r="R433" s="33">
        <f>ROUND(MIN(MAX(0,N('Your debts'!$E$12)),H433),2)</f>
      </c>
      <c r="S433" s="33">
        <f>ROUND(MIN(MAX(0,N('Your debts'!$E$13)),I433),2)</f>
      </c>
      <c r="T433" s="33">
        <f>ROUND(MIN(MAX(0,N('Your debts'!$E$14)),J433),2)</f>
      </c>
      <c r="U433" s="33">
        <f>ROUND(MIN(MAX(0,N('Your debts'!$E$15)),K433),2)</f>
      </c>
      <c r="V433" s="33">
        <f>ROUND(B433-L433,2)</f>
      </c>
      <c r="W433" s="33">
        <f>ROUND(C433-M433,2)</f>
      </c>
      <c r="X433" s="33">
        <f>ROUND(D433-N433,2)</f>
      </c>
      <c r="Y433" s="33">
        <f>ROUND(E433-O433,2)</f>
      </c>
      <c r="Z433" s="33">
        <f>ROUND(F433-P433,2)</f>
      </c>
      <c r="AA433" s="33">
        <f>ROUND(G433-Q433,2)</f>
      </c>
      <c r="AB433" s="33">
        <f>ROUND(H433-R433,2)</f>
      </c>
      <c r="AC433" s="33">
        <f>ROUND(I433-S433,2)</f>
      </c>
      <c r="AD433" s="33">
        <f>ROUND(J433-T433,2)</f>
      </c>
      <c r="AE433" s="33">
        <f>ROUND(K433-U433,2)</f>
      </c>
      <c r="AF433" s="33">
        <f>IF(V433&lt;=0,0,MAX(0,MIN(V433,ROUND($AZ433-SUMPRODUCT($V433:$AE433*($V433:$AE433&gt;0)*(($V433:$AE433&lt;V433)+($V433:$AE433=V433)*($V$3:$AE$3&gt;V$3)+($V433:$AE433=V433)*($V$3:$AE$3=V$3)*($V$2:$AE$2&lt;V$2))),2))))</f>
      </c>
      <c r="AG433" s="33">
        <f>IF(W433&lt;=0,0,MAX(0,MIN(W433,ROUND($AZ433-SUMPRODUCT($V433:$AE433*($V433:$AE433&gt;0)*(($V433:$AE433&lt;W433)+($V433:$AE433=W433)*($V$3:$AE$3&gt;W$3)+($V433:$AE433=W433)*($V$3:$AE$3=W$3)*($V$2:$AE$2&lt;W$2))),2))))</f>
      </c>
      <c r="AH433" s="33">
        <f>IF(X433&lt;=0,0,MAX(0,MIN(X433,ROUND($AZ433-SUMPRODUCT($V433:$AE433*($V433:$AE433&gt;0)*(($V433:$AE433&lt;X433)+($V433:$AE433=X433)*($V$3:$AE$3&gt;X$3)+($V433:$AE433=X433)*($V$3:$AE$3=X$3)*($V$2:$AE$2&lt;X$2))),2))))</f>
      </c>
      <c r="AI433" s="33">
        <f>IF(Y433&lt;=0,0,MAX(0,MIN(Y433,ROUND($AZ433-SUMPRODUCT($V433:$AE433*($V433:$AE433&gt;0)*(($V433:$AE433&lt;Y433)+($V433:$AE433=Y433)*($V$3:$AE$3&gt;Y$3)+($V433:$AE433=Y433)*($V$3:$AE$3=Y$3)*($V$2:$AE$2&lt;Y$2))),2))))</f>
      </c>
      <c r="AJ433" s="33">
        <f>IF(Z433&lt;=0,0,MAX(0,MIN(Z433,ROUND($AZ433-SUMPRODUCT($V433:$AE433*($V433:$AE433&gt;0)*(($V433:$AE433&lt;Z433)+($V433:$AE433=Z433)*($V$3:$AE$3&gt;Z$3)+($V433:$AE433=Z433)*($V$3:$AE$3=Z$3)*($V$2:$AE$2&lt;Z$2))),2))))</f>
      </c>
      <c r="AK433" s="33">
        <f>IF(AA433&lt;=0,0,MAX(0,MIN(AA433,ROUND($AZ433-SUMPRODUCT($V433:$AE433*($V433:$AE433&gt;0)*(($V433:$AE433&lt;AA433)+($V433:$AE433=AA433)*($V$3:$AE$3&gt;AA$3)+($V433:$AE433=AA433)*($V$3:$AE$3=AA$3)*($V$2:$AE$2&lt;AA$2))),2))))</f>
      </c>
      <c r="AL433" s="33">
        <f>IF(AB433&lt;=0,0,MAX(0,MIN(AB433,ROUND($AZ433-SUMPRODUCT($V433:$AE433*($V433:$AE433&gt;0)*(($V433:$AE433&lt;AB433)+($V433:$AE433=AB433)*($V$3:$AE$3&gt;AB$3)+($V433:$AE433=AB433)*($V$3:$AE$3=AB$3)*($V$2:$AE$2&lt;AB$2))),2))))</f>
      </c>
      <c r="AM433" s="33">
        <f>IF(AC433&lt;=0,0,MAX(0,MIN(AC433,ROUND($AZ433-SUMPRODUCT($V433:$AE433*($V433:$AE433&gt;0)*(($V433:$AE433&lt;AC433)+($V433:$AE433=AC433)*($V$3:$AE$3&gt;AC$3)+($V433:$AE433=AC433)*($V$3:$AE$3=AC$3)*($V$2:$AE$2&lt;AC$2))),2))))</f>
      </c>
      <c r="AN433" s="33">
        <f>IF(AD433&lt;=0,0,MAX(0,MIN(AD433,ROUND($AZ433-SUMPRODUCT($V433:$AE433*($V433:$AE433&gt;0)*(($V433:$AE433&lt;AD433)+($V433:$AE433=AD433)*($V$3:$AE$3&gt;AD$3)+($V433:$AE433=AD433)*($V$3:$AE$3=AD$3)*($V$2:$AE$2&lt;AD$2))),2))))</f>
      </c>
      <c r="AO433" s="33">
        <f>IF(AE433&lt;=0,0,MAX(0,MIN(AE433,ROUND($AZ433-SUMPRODUCT($V433:$AE433*($V433:$AE433&gt;0)*(($V433:$AE433&lt;AE433)+($V433:$AE433=AE433)*($V$3:$AE$3&gt;AE$3)+($V433:$AE433=AE433)*($V$3:$AE$3=AE$3)*($V$2:$AE$2&lt;AE$2))),2))))</f>
      </c>
      <c r="AP433" s="33">
        <f>ROUND(V433-AF433,2)</f>
      </c>
      <c r="AQ433" s="33">
        <f>ROUND(W433-AG433,2)</f>
      </c>
      <c r="AR433" s="33">
        <f>ROUND(X433-AH433,2)</f>
      </c>
      <c r="AS433" s="33">
        <f>ROUND(Y433-AI433,2)</f>
      </c>
      <c r="AT433" s="33">
        <f>ROUND(Z433-AJ433,2)</f>
      </c>
      <c r="AU433" s="33">
        <f>ROUND(AA433-AK433,2)</f>
      </c>
      <c r="AV433" s="33">
        <f>ROUND(AB433-AL433,2)</f>
      </c>
      <c r="AW433" s="33">
        <f>ROUND(AC433-AM433,2)</f>
      </c>
      <c r="AX433" s="33">
        <f>ROUND(AD433-AN433,2)</f>
      </c>
      <c r="AY433" s="33">
        <f>ROUND(AE433-AO433,2)</f>
      </c>
      <c r="AZ433" s="33">
        <f>ROUND(MAX(0,'Your debts'!$D$22-SUM($L433:$U433)),2)</f>
      </c>
      <c r="BA433" s="33">
        <f>ROUND(SUM($B433:$K433)-SUM($AP432:$AY432),2)</f>
      </c>
      <c r="BB433" s="33">
        <f>SUM($AP433:$AY433)</f>
      </c>
      <c r="BC433" s="33">
        <f>ROUND(SUM($L433:$U433)+SUM($AF433:$AO433),2)</f>
      </c>
    </row>
    <row r="434" spans="1:55" x14ac:dyDescent="0.25">
      <c r="A434">
        <v>427</v>
      </c>
      <c r="B434" s="33">
        <f>IF(AP433&lt;=0,0,ROUND(AP433+ROUND(AP433*V$3/12,2),2))</f>
      </c>
      <c r="C434" s="33">
        <f>IF(AQ433&lt;=0,0,ROUND(AQ433+ROUND(AQ433*W$3/12,2),2))</f>
      </c>
      <c r="D434" s="33">
        <f>IF(AR433&lt;=0,0,ROUND(AR433+ROUND(AR433*X$3/12,2),2))</f>
      </c>
      <c r="E434" s="33">
        <f>IF(AS433&lt;=0,0,ROUND(AS433+ROUND(AS433*Y$3/12,2),2))</f>
      </c>
      <c r="F434" s="33">
        <f>IF(AT433&lt;=0,0,ROUND(AT433+ROUND(AT433*Z$3/12,2),2))</f>
      </c>
      <c r="G434" s="33">
        <f>IF(AU433&lt;=0,0,ROUND(AU433+ROUND(AU433*AA$3/12,2),2))</f>
      </c>
      <c r="H434" s="33">
        <f>IF(AV433&lt;=0,0,ROUND(AV433+ROUND(AV433*AB$3/12,2),2))</f>
      </c>
      <c r="I434" s="33">
        <f>IF(AW433&lt;=0,0,ROUND(AW433+ROUND(AW433*AC$3/12,2),2))</f>
      </c>
      <c r="J434" s="33">
        <f>IF(AX433&lt;=0,0,ROUND(AX433+ROUND(AX433*AD$3/12,2),2))</f>
      </c>
      <c r="K434" s="33">
        <f>IF(AY433&lt;=0,0,ROUND(AY433+ROUND(AY433*AE$3/12,2),2))</f>
      </c>
      <c r="L434" s="33">
        <f>ROUND(MIN(MAX(0,N('Your debts'!$E$6)),B434),2)</f>
      </c>
      <c r="M434" s="33">
        <f>ROUND(MIN(MAX(0,N('Your debts'!$E$7)),C434),2)</f>
      </c>
      <c r="N434" s="33">
        <f>ROUND(MIN(MAX(0,N('Your debts'!$E$8)),D434),2)</f>
      </c>
      <c r="O434" s="33">
        <f>ROUND(MIN(MAX(0,N('Your debts'!$E$9)),E434),2)</f>
      </c>
      <c r="P434" s="33">
        <f>ROUND(MIN(MAX(0,N('Your debts'!$E$10)),F434),2)</f>
      </c>
      <c r="Q434" s="33">
        <f>ROUND(MIN(MAX(0,N('Your debts'!$E$11)),G434),2)</f>
      </c>
      <c r="R434" s="33">
        <f>ROUND(MIN(MAX(0,N('Your debts'!$E$12)),H434),2)</f>
      </c>
      <c r="S434" s="33">
        <f>ROUND(MIN(MAX(0,N('Your debts'!$E$13)),I434),2)</f>
      </c>
      <c r="T434" s="33">
        <f>ROUND(MIN(MAX(0,N('Your debts'!$E$14)),J434),2)</f>
      </c>
      <c r="U434" s="33">
        <f>ROUND(MIN(MAX(0,N('Your debts'!$E$15)),K434),2)</f>
      </c>
      <c r="V434" s="33">
        <f>ROUND(B434-L434,2)</f>
      </c>
      <c r="W434" s="33">
        <f>ROUND(C434-M434,2)</f>
      </c>
      <c r="X434" s="33">
        <f>ROUND(D434-N434,2)</f>
      </c>
      <c r="Y434" s="33">
        <f>ROUND(E434-O434,2)</f>
      </c>
      <c r="Z434" s="33">
        <f>ROUND(F434-P434,2)</f>
      </c>
      <c r="AA434" s="33">
        <f>ROUND(G434-Q434,2)</f>
      </c>
      <c r="AB434" s="33">
        <f>ROUND(H434-R434,2)</f>
      </c>
      <c r="AC434" s="33">
        <f>ROUND(I434-S434,2)</f>
      </c>
      <c r="AD434" s="33">
        <f>ROUND(J434-T434,2)</f>
      </c>
      <c r="AE434" s="33">
        <f>ROUND(K434-U434,2)</f>
      </c>
      <c r="AF434" s="33">
        <f>IF(V434&lt;=0,0,MAX(0,MIN(V434,ROUND($AZ434-SUMPRODUCT($V434:$AE434*($V434:$AE434&gt;0)*(($V434:$AE434&lt;V434)+($V434:$AE434=V434)*($V$3:$AE$3&gt;V$3)+($V434:$AE434=V434)*($V$3:$AE$3=V$3)*($V$2:$AE$2&lt;V$2))),2))))</f>
      </c>
      <c r="AG434" s="33">
        <f>IF(W434&lt;=0,0,MAX(0,MIN(W434,ROUND($AZ434-SUMPRODUCT($V434:$AE434*($V434:$AE434&gt;0)*(($V434:$AE434&lt;W434)+($V434:$AE434=W434)*($V$3:$AE$3&gt;W$3)+($V434:$AE434=W434)*($V$3:$AE$3=W$3)*($V$2:$AE$2&lt;W$2))),2))))</f>
      </c>
      <c r="AH434" s="33">
        <f>IF(X434&lt;=0,0,MAX(0,MIN(X434,ROUND($AZ434-SUMPRODUCT($V434:$AE434*($V434:$AE434&gt;0)*(($V434:$AE434&lt;X434)+($V434:$AE434=X434)*($V$3:$AE$3&gt;X$3)+($V434:$AE434=X434)*($V$3:$AE$3=X$3)*($V$2:$AE$2&lt;X$2))),2))))</f>
      </c>
      <c r="AI434" s="33">
        <f>IF(Y434&lt;=0,0,MAX(0,MIN(Y434,ROUND($AZ434-SUMPRODUCT($V434:$AE434*($V434:$AE434&gt;0)*(($V434:$AE434&lt;Y434)+($V434:$AE434=Y434)*($V$3:$AE$3&gt;Y$3)+($V434:$AE434=Y434)*($V$3:$AE$3=Y$3)*($V$2:$AE$2&lt;Y$2))),2))))</f>
      </c>
      <c r="AJ434" s="33">
        <f>IF(Z434&lt;=0,0,MAX(0,MIN(Z434,ROUND($AZ434-SUMPRODUCT($V434:$AE434*($V434:$AE434&gt;0)*(($V434:$AE434&lt;Z434)+($V434:$AE434=Z434)*($V$3:$AE$3&gt;Z$3)+($V434:$AE434=Z434)*($V$3:$AE$3=Z$3)*($V$2:$AE$2&lt;Z$2))),2))))</f>
      </c>
      <c r="AK434" s="33">
        <f>IF(AA434&lt;=0,0,MAX(0,MIN(AA434,ROUND($AZ434-SUMPRODUCT($V434:$AE434*($V434:$AE434&gt;0)*(($V434:$AE434&lt;AA434)+($V434:$AE434=AA434)*($V$3:$AE$3&gt;AA$3)+($V434:$AE434=AA434)*($V$3:$AE$3=AA$3)*($V$2:$AE$2&lt;AA$2))),2))))</f>
      </c>
      <c r="AL434" s="33">
        <f>IF(AB434&lt;=0,0,MAX(0,MIN(AB434,ROUND($AZ434-SUMPRODUCT($V434:$AE434*($V434:$AE434&gt;0)*(($V434:$AE434&lt;AB434)+($V434:$AE434=AB434)*($V$3:$AE$3&gt;AB$3)+($V434:$AE434=AB434)*($V$3:$AE$3=AB$3)*($V$2:$AE$2&lt;AB$2))),2))))</f>
      </c>
      <c r="AM434" s="33">
        <f>IF(AC434&lt;=0,0,MAX(0,MIN(AC434,ROUND($AZ434-SUMPRODUCT($V434:$AE434*($V434:$AE434&gt;0)*(($V434:$AE434&lt;AC434)+($V434:$AE434=AC434)*($V$3:$AE$3&gt;AC$3)+($V434:$AE434=AC434)*($V$3:$AE$3=AC$3)*($V$2:$AE$2&lt;AC$2))),2))))</f>
      </c>
      <c r="AN434" s="33">
        <f>IF(AD434&lt;=0,0,MAX(0,MIN(AD434,ROUND($AZ434-SUMPRODUCT($V434:$AE434*($V434:$AE434&gt;0)*(($V434:$AE434&lt;AD434)+($V434:$AE434=AD434)*($V$3:$AE$3&gt;AD$3)+($V434:$AE434=AD434)*($V$3:$AE$3=AD$3)*($V$2:$AE$2&lt;AD$2))),2))))</f>
      </c>
      <c r="AO434" s="33">
        <f>IF(AE434&lt;=0,0,MAX(0,MIN(AE434,ROUND($AZ434-SUMPRODUCT($V434:$AE434*($V434:$AE434&gt;0)*(($V434:$AE434&lt;AE434)+($V434:$AE434=AE434)*($V$3:$AE$3&gt;AE$3)+($V434:$AE434=AE434)*($V$3:$AE$3=AE$3)*($V$2:$AE$2&lt;AE$2))),2))))</f>
      </c>
      <c r="AP434" s="33">
        <f>ROUND(V434-AF434,2)</f>
      </c>
      <c r="AQ434" s="33">
        <f>ROUND(W434-AG434,2)</f>
      </c>
      <c r="AR434" s="33">
        <f>ROUND(X434-AH434,2)</f>
      </c>
      <c r="AS434" s="33">
        <f>ROUND(Y434-AI434,2)</f>
      </c>
      <c r="AT434" s="33">
        <f>ROUND(Z434-AJ434,2)</f>
      </c>
      <c r="AU434" s="33">
        <f>ROUND(AA434-AK434,2)</f>
      </c>
      <c r="AV434" s="33">
        <f>ROUND(AB434-AL434,2)</f>
      </c>
      <c r="AW434" s="33">
        <f>ROUND(AC434-AM434,2)</f>
      </c>
      <c r="AX434" s="33">
        <f>ROUND(AD434-AN434,2)</f>
      </c>
      <c r="AY434" s="33">
        <f>ROUND(AE434-AO434,2)</f>
      </c>
      <c r="AZ434" s="33">
        <f>ROUND(MAX(0,'Your debts'!$D$22-SUM($L434:$U434)),2)</f>
      </c>
      <c r="BA434" s="33">
        <f>ROUND(SUM($B434:$K434)-SUM($AP433:$AY433),2)</f>
      </c>
      <c r="BB434" s="33">
        <f>SUM($AP434:$AY434)</f>
      </c>
      <c r="BC434" s="33">
        <f>ROUND(SUM($L434:$U434)+SUM($AF434:$AO434),2)</f>
      </c>
    </row>
    <row r="435" spans="1:55" x14ac:dyDescent="0.25">
      <c r="A435">
        <v>428</v>
      </c>
      <c r="B435" s="33">
        <f>IF(AP434&lt;=0,0,ROUND(AP434+ROUND(AP434*V$3/12,2),2))</f>
      </c>
      <c r="C435" s="33">
        <f>IF(AQ434&lt;=0,0,ROUND(AQ434+ROUND(AQ434*W$3/12,2),2))</f>
      </c>
      <c r="D435" s="33">
        <f>IF(AR434&lt;=0,0,ROUND(AR434+ROUND(AR434*X$3/12,2),2))</f>
      </c>
      <c r="E435" s="33">
        <f>IF(AS434&lt;=0,0,ROUND(AS434+ROUND(AS434*Y$3/12,2),2))</f>
      </c>
      <c r="F435" s="33">
        <f>IF(AT434&lt;=0,0,ROUND(AT434+ROUND(AT434*Z$3/12,2),2))</f>
      </c>
      <c r="G435" s="33">
        <f>IF(AU434&lt;=0,0,ROUND(AU434+ROUND(AU434*AA$3/12,2),2))</f>
      </c>
      <c r="H435" s="33">
        <f>IF(AV434&lt;=0,0,ROUND(AV434+ROUND(AV434*AB$3/12,2),2))</f>
      </c>
      <c r="I435" s="33">
        <f>IF(AW434&lt;=0,0,ROUND(AW434+ROUND(AW434*AC$3/12,2),2))</f>
      </c>
      <c r="J435" s="33">
        <f>IF(AX434&lt;=0,0,ROUND(AX434+ROUND(AX434*AD$3/12,2),2))</f>
      </c>
      <c r="K435" s="33">
        <f>IF(AY434&lt;=0,0,ROUND(AY434+ROUND(AY434*AE$3/12,2),2))</f>
      </c>
      <c r="L435" s="33">
        <f>ROUND(MIN(MAX(0,N('Your debts'!$E$6)),B435),2)</f>
      </c>
      <c r="M435" s="33">
        <f>ROUND(MIN(MAX(0,N('Your debts'!$E$7)),C435),2)</f>
      </c>
      <c r="N435" s="33">
        <f>ROUND(MIN(MAX(0,N('Your debts'!$E$8)),D435),2)</f>
      </c>
      <c r="O435" s="33">
        <f>ROUND(MIN(MAX(0,N('Your debts'!$E$9)),E435),2)</f>
      </c>
      <c r="P435" s="33">
        <f>ROUND(MIN(MAX(0,N('Your debts'!$E$10)),F435),2)</f>
      </c>
      <c r="Q435" s="33">
        <f>ROUND(MIN(MAX(0,N('Your debts'!$E$11)),G435),2)</f>
      </c>
      <c r="R435" s="33">
        <f>ROUND(MIN(MAX(0,N('Your debts'!$E$12)),H435),2)</f>
      </c>
      <c r="S435" s="33">
        <f>ROUND(MIN(MAX(0,N('Your debts'!$E$13)),I435),2)</f>
      </c>
      <c r="T435" s="33">
        <f>ROUND(MIN(MAX(0,N('Your debts'!$E$14)),J435),2)</f>
      </c>
      <c r="U435" s="33">
        <f>ROUND(MIN(MAX(0,N('Your debts'!$E$15)),K435),2)</f>
      </c>
      <c r="V435" s="33">
        <f>ROUND(B435-L435,2)</f>
      </c>
      <c r="W435" s="33">
        <f>ROUND(C435-M435,2)</f>
      </c>
      <c r="X435" s="33">
        <f>ROUND(D435-N435,2)</f>
      </c>
      <c r="Y435" s="33">
        <f>ROUND(E435-O435,2)</f>
      </c>
      <c r="Z435" s="33">
        <f>ROUND(F435-P435,2)</f>
      </c>
      <c r="AA435" s="33">
        <f>ROUND(G435-Q435,2)</f>
      </c>
      <c r="AB435" s="33">
        <f>ROUND(H435-R435,2)</f>
      </c>
      <c r="AC435" s="33">
        <f>ROUND(I435-S435,2)</f>
      </c>
      <c r="AD435" s="33">
        <f>ROUND(J435-T435,2)</f>
      </c>
      <c r="AE435" s="33">
        <f>ROUND(K435-U435,2)</f>
      </c>
      <c r="AF435" s="33">
        <f>IF(V435&lt;=0,0,MAX(0,MIN(V435,ROUND($AZ435-SUMPRODUCT($V435:$AE435*($V435:$AE435&gt;0)*(($V435:$AE435&lt;V435)+($V435:$AE435=V435)*($V$3:$AE$3&gt;V$3)+($V435:$AE435=V435)*($V$3:$AE$3=V$3)*($V$2:$AE$2&lt;V$2))),2))))</f>
      </c>
      <c r="AG435" s="33">
        <f>IF(W435&lt;=0,0,MAX(0,MIN(W435,ROUND($AZ435-SUMPRODUCT($V435:$AE435*($V435:$AE435&gt;0)*(($V435:$AE435&lt;W435)+($V435:$AE435=W435)*($V$3:$AE$3&gt;W$3)+($V435:$AE435=W435)*($V$3:$AE$3=W$3)*($V$2:$AE$2&lt;W$2))),2))))</f>
      </c>
      <c r="AH435" s="33">
        <f>IF(X435&lt;=0,0,MAX(0,MIN(X435,ROUND($AZ435-SUMPRODUCT($V435:$AE435*($V435:$AE435&gt;0)*(($V435:$AE435&lt;X435)+($V435:$AE435=X435)*($V$3:$AE$3&gt;X$3)+($V435:$AE435=X435)*($V$3:$AE$3=X$3)*($V$2:$AE$2&lt;X$2))),2))))</f>
      </c>
      <c r="AI435" s="33">
        <f>IF(Y435&lt;=0,0,MAX(0,MIN(Y435,ROUND($AZ435-SUMPRODUCT($V435:$AE435*($V435:$AE435&gt;0)*(($V435:$AE435&lt;Y435)+($V435:$AE435=Y435)*($V$3:$AE$3&gt;Y$3)+($V435:$AE435=Y435)*($V$3:$AE$3=Y$3)*($V$2:$AE$2&lt;Y$2))),2))))</f>
      </c>
      <c r="AJ435" s="33">
        <f>IF(Z435&lt;=0,0,MAX(0,MIN(Z435,ROUND($AZ435-SUMPRODUCT($V435:$AE435*($V435:$AE435&gt;0)*(($V435:$AE435&lt;Z435)+($V435:$AE435=Z435)*($V$3:$AE$3&gt;Z$3)+($V435:$AE435=Z435)*($V$3:$AE$3=Z$3)*($V$2:$AE$2&lt;Z$2))),2))))</f>
      </c>
      <c r="AK435" s="33">
        <f>IF(AA435&lt;=0,0,MAX(0,MIN(AA435,ROUND($AZ435-SUMPRODUCT($V435:$AE435*($V435:$AE435&gt;0)*(($V435:$AE435&lt;AA435)+($V435:$AE435=AA435)*($V$3:$AE$3&gt;AA$3)+($V435:$AE435=AA435)*($V$3:$AE$3=AA$3)*($V$2:$AE$2&lt;AA$2))),2))))</f>
      </c>
      <c r="AL435" s="33">
        <f>IF(AB435&lt;=0,0,MAX(0,MIN(AB435,ROUND($AZ435-SUMPRODUCT($V435:$AE435*($V435:$AE435&gt;0)*(($V435:$AE435&lt;AB435)+($V435:$AE435=AB435)*($V$3:$AE$3&gt;AB$3)+($V435:$AE435=AB435)*($V$3:$AE$3=AB$3)*($V$2:$AE$2&lt;AB$2))),2))))</f>
      </c>
      <c r="AM435" s="33">
        <f>IF(AC435&lt;=0,0,MAX(0,MIN(AC435,ROUND($AZ435-SUMPRODUCT($V435:$AE435*($V435:$AE435&gt;0)*(($V435:$AE435&lt;AC435)+($V435:$AE435=AC435)*($V$3:$AE$3&gt;AC$3)+($V435:$AE435=AC435)*($V$3:$AE$3=AC$3)*($V$2:$AE$2&lt;AC$2))),2))))</f>
      </c>
      <c r="AN435" s="33">
        <f>IF(AD435&lt;=0,0,MAX(0,MIN(AD435,ROUND($AZ435-SUMPRODUCT($V435:$AE435*($V435:$AE435&gt;0)*(($V435:$AE435&lt;AD435)+($V435:$AE435=AD435)*($V$3:$AE$3&gt;AD$3)+($V435:$AE435=AD435)*($V$3:$AE$3=AD$3)*($V$2:$AE$2&lt;AD$2))),2))))</f>
      </c>
      <c r="AO435" s="33">
        <f>IF(AE435&lt;=0,0,MAX(0,MIN(AE435,ROUND($AZ435-SUMPRODUCT($V435:$AE435*($V435:$AE435&gt;0)*(($V435:$AE435&lt;AE435)+($V435:$AE435=AE435)*($V$3:$AE$3&gt;AE$3)+($V435:$AE435=AE435)*($V$3:$AE$3=AE$3)*($V$2:$AE$2&lt;AE$2))),2))))</f>
      </c>
      <c r="AP435" s="33">
        <f>ROUND(V435-AF435,2)</f>
      </c>
      <c r="AQ435" s="33">
        <f>ROUND(W435-AG435,2)</f>
      </c>
      <c r="AR435" s="33">
        <f>ROUND(X435-AH435,2)</f>
      </c>
      <c r="AS435" s="33">
        <f>ROUND(Y435-AI435,2)</f>
      </c>
      <c r="AT435" s="33">
        <f>ROUND(Z435-AJ435,2)</f>
      </c>
      <c r="AU435" s="33">
        <f>ROUND(AA435-AK435,2)</f>
      </c>
      <c r="AV435" s="33">
        <f>ROUND(AB435-AL435,2)</f>
      </c>
      <c r="AW435" s="33">
        <f>ROUND(AC435-AM435,2)</f>
      </c>
      <c r="AX435" s="33">
        <f>ROUND(AD435-AN435,2)</f>
      </c>
      <c r="AY435" s="33">
        <f>ROUND(AE435-AO435,2)</f>
      </c>
      <c r="AZ435" s="33">
        <f>ROUND(MAX(0,'Your debts'!$D$22-SUM($L435:$U435)),2)</f>
      </c>
      <c r="BA435" s="33">
        <f>ROUND(SUM($B435:$K435)-SUM($AP434:$AY434),2)</f>
      </c>
      <c r="BB435" s="33">
        <f>SUM($AP435:$AY435)</f>
      </c>
      <c r="BC435" s="33">
        <f>ROUND(SUM($L435:$U435)+SUM($AF435:$AO435),2)</f>
      </c>
    </row>
    <row r="436" spans="1:55" x14ac:dyDescent="0.25">
      <c r="A436">
        <v>429</v>
      </c>
      <c r="B436" s="33">
        <f>IF(AP435&lt;=0,0,ROUND(AP435+ROUND(AP435*V$3/12,2),2))</f>
      </c>
      <c r="C436" s="33">
        <f>IF(AQ435&lt;=0,0,ROUND(AQ435+ROUND(AQ435*W$3/12,2),2))</f>
      </c>
      <c r="D436" s="33">
        <f>IF(AR435&lt;=0,0,ROUND(AR435+ROUND(AR435*X$3/12,2),2))</f>
      </c>
      <c r="E436" s="33">
        <f>IF(AS435&lt;=0,0,ROUND(AS435+ROUND(AS435*Y$3/12,2),2))</f>
      </c>
      <c r="F436" s="33">
        <f>IF(AT435&lt;=0,0,ROUND(AT435+ROUND(AT435*Z$3/12,2),2))</f>
      </c>
      <c r="G436" s="33">
        <f>IF(AU435&lt;=0,0,ROUND(AU435+ROUND(AU435*AA$3/12,2),2))</f>
      </c>
      <c r="H436" s="33">
        <f>IF(AV435&lt;=0,0,ROUND(AV435+ROUND(AV435*AB$3/12,2),2))</f>
      </c>
      <c r="I436" s="33">
        <f>IF(AW435&lt;=0,0,ROUND(AW435+ROUND(AW435*AC$3/12,2),2))</f>
      </c>
      <c r="J436" s="33">
        <f>IF(AX435&lt;=0,0,ROUND(AX435+ROUND(AX435*AD$3/12,2),2))</f>
      </c>
      <c r="K436" s="33">
        <f>IF(AY435&lt;=0,0,ROUND(AY435+ROUND(AY435*AE$3/12,2),2))</f>
      </c>
      <c r="L436" s="33">
        <f>ROUND(MIN(MAX(0,N('Your debts'!$E$6)),B436),2)</f>
      </c>
      <c r="M436" s="33">
        <f>ROUND(MIN(MAX(0,N('Your debts'!$E$7)),C436),2)</f>
      </c>
      <c r="N436" s="33">
        <f>ROUND(MIN(MAX(0,N('Your debts'!$E$8)),D436),2)</f>
      </c>
      <c r="O436" s="33">
        <f>ROUND(MIN(MAX(0,N('Your debts'!$E$9)),E436),2)</f>
      </c>
      <c r="P436" s="33">
        <f>ROUND(MIN(MAX(0,N('Your debts'!$E$10)),F436),2)</f>
      </c>
      <c r="Q436" s="33">
        <f>ROUND(MIN(MAX(0,N('Your debts'!$E$11)),G436),2)</f>
      </c>
      <c r="R436" s="33">
        <f>ROUND(MIN(MAX(0,N('Your debts'!$E$12)),H436),2)</f>
      </c>
      <c r="S436" s="33">
        <f>ROUND(MIN(MAX(0,N('Your debts'!$E$13)),I436),2)</f>
      </c>
      <c r="T436" s="33">
        <f>ROUND(MIN(MAX(0,N('Your debts'!$E$14)),J436),2)</f>
      </c>
      <c r="U436" s="33">
        <f>ROUND(MIN(MAX(0,N('Your debts'!$E$15)),K436),2)</f>
      </c>
      <c r="V436" s="33">
        <f>ROUND(B436-L436,2)</f>
      </c>
      <c r="W436" s="33">
        <f>ROUND(C436-M436,2)</f>
      </c>
      <c r="X436" s="33">
        <f>ROUND(D436-N436,2)</f>
      </c>
      <c r="Y436" s="33">
        <f>ROUND(E436-O436,2)</f>
      </c>
      <c r="Z436" s="33">
        <f>ROUND(F436-P436,2)</f>
      </c>
      <c r="AA436" s="33">
        <f>ROUND(G436-Q436,2)</f>
      </c>
      <c r="AB436" s="33">
        <f>ROUND(H436-R436,2)</f>
      </c>
      <c r="AC436" s="33">
        <f>ROUND(I436-S436,2)</f>
      </c>
      <c r="AD436" s="33">
        <f>ROUND(J436-T436,2)</f>
      </c>
      <c r="AE436" s="33">
        <f>ROUND(K436-U436,2)</f>
      </c>
      <c r="AF436" s="33">
        <f>IF(V436&lt;=0,0,MAX(0,MIN(V436,ROUND($AZ436-SUMPRODUCT($V436:$AE436*($V436:$AE436&gt;0)*(($V436:$AE436&lt;V436)+($V436:$AE436=V436)*($V$3:$AE$3&gt;V$3)+($V436:$AE436=V436)*($V$3:$AE$3=V$3)*($V$2:$AE$2&lt;V$2))),2))))</f>
      </c>
      <c r="AG436" s="33">
        <f>IF(W436&lt;=0,0,MAX(0,MIN(W436,ROUND($AZ436-SUMPRODUCT($V436:$AE436*($V436:$AE436&gt;0)*(($V436:$AE436&lt;W436)+($V436:$AE436=W436)*($V$3:$AE$3&gt;W$3)+($V436:$AE436=W436)*($V$3:$AE$3=W$3)*($V$2:$AE$2&lt;W$2))),2))))</f>
      </c>
      <c r="AH436" s="33">
        <f>IF(X436&lt;=0,0,MAX(0,MIN(X436,ROUND($AZ436-SUMPRODUCT($V436:$AE436*($V436:$AE436&gt;0)*(($V436:$AE436&lt;X436)+($V436:$AE436=X436)*($V$3:$AE$3&gt;X$3)+($V436:$AE436=X436)*($V$3:$AE$3=X$3)*($V$2:$AE$2&lt;X$2))),2))))</f>
      </c>
      <c r="AI436" s="33">
        <f>IF(Y436&lt;=0,0,MAX(0,MIN(Y436,ROUND($AZ436-SUMPRODUCT($V436:$AE436*($V436:$AE436&gt;0)*(($V436:$AE436&lt;Y436)+($V436:$AE436=Y436)*($V$3:$AE$3&gt;Y$3)+($V436:$AE436=Y436)*($V$3:$AE$3=Y$3)*($V$2:$AE$2&lt;Y$2))),2))))</f>
      </c>
      <c r="AJ436" s="33">
        <f>IF(Z436&lt;=0,0,MAX(0,MIN(Z436,ROUND($AZ436-SUMPRODUCT($V436:$AE436*($V436:$AE436&gt;0)*(($V436:$AE436&lt;Z436)+($V436:$AE436=Z436)*($V$3:$AE$3&gt;Z$3)+($V436:$AE436=Z436)*($V$3:$AE$3=Z$3)*($V$2:$AE$2&lt;Z$2))),2))))</f>
      </c>
      <c r="AK436" s="33">
        <f>IF(AA436&lt;=0,0,MAX(0,MIN(AA436,ROUND($AZ436-SUMPRODUCT($V436:$AE436*($V436:$AE436&gt;0)*(($V436:$AE436&lt;AA436)+($V436:$AE436=AA436)*($V$3:$AE$3&gt;AA$3)+($V436:$AE436=AA436)*($V$3:$AE$3=AA$3)*($V$2:$AE$2&lt;AA$2))),2))))</f>
      </c>
      <c r="AL436" s="33">
        <f>IF(AB436&lt;=0,0,MAX(0,MIN(AB436,ROUND($AZ436-SUMPRODUCT($V436:$AE436*($V436:$AE436&gt;0)*(($V436:$AE436&lt;AB436)+($V436:$AE436=AB436)*($V$3:$AE$3&gt;AB$3)+($V436:$AE436=AB436)*($V$3:$AE$3=AB$3)*($V$2:$AE$2&lt;AB$2))),2))))</f>
      </c>
      <c r="AM436" s="33">
        <f>IF(AC436&lt;=0,0,MAX(0,MIN(AC436,ROUND($AZ436-SUMPRODUCT($V436:$AE436*($V436:$AE436&gt;0)*(($V436:$AE436&lt;AC436)+($V436:$AE436=AC436)*($V$3:$AE$3&gt;AC$3)+($V436:$AE436=AC436)*($V$3:$AE$3=AC$3)*($V$2:$AE$2&lt;AC$2))),2))))</f>
      </c>
      <c r="AN436" s="33">
        <f>IF(AD436&lt;=0,0,MAX(0,MIN(AD436,ROUND($AZ436-SUMPRODUCT($V436:$AE436*($V436:$AE436&gt;0)*(($V436:$AE436&lt;AD436)+($V436:$AE436=AD436)*($V$3:$AE$3&gt;AD$3)+($V436:$AE436=AD436)*($V$3:$AE$3=AD$3)*($V$2:$AE$2&lt;AD$2))),2))))</f>
      </c>
      <c r="AO436" s="33">
        <f>IF(AE436&lt;=0,0,MAX(0,MIN(AE436,ROUND($AZ436-SUMPRODUCT($V436:$AE436*($V436:$AE436&gt;0)*(($V436:$AE436&lt;AE436)+($V436:$AE436=AE436)*($V$3:$AE$3&gt;AE$3)+($V436:$AE436=AE436)*($V$3:$AE$3=AE$3)*($V$2:$AE$2&lt;AE$2))),2))))</f>
      </c>
      <c r="AP436" s="33">
        <f>ROUND(V436-AF436,2)</f>
      </c>
      <c r="AQ436" s="33">
        <f>ROUND(W436-AG436,2)</f>
      </c>
      <c r="AR436" s="33">
        <f>ROUND(X436-AH436,2)</f>
      </c>
      <c r="AS436" s="33">
        <f>ROUND(Y436-AI436,2)</f>
      </c>
      <c r="AT436" s="33">
        <f>ROUND(Z436-AJ436,2)</f>
      </c>
      <c r="AU436" s="33">
        <f>ROUND(AA436-AK436,2)</f>
      </c>
      <c r="AV436" s="33">
        <f>ROUND(AB436-AL436,2)</f>
      </c>
      <c r="AW436" s="33">
        <f>ROUND(AC436-AM436,2)</f>
      </c>
      <c r="AX436" s="33">
        <f>ROUND(AD436-AN436,2)</f>
      </c>
      <c r="AY436" s="33">
        <f>ROUND(AE436-AO436,2)</f>
      </c>
      <c r="AZ436" s="33">
        <f>ROUND(MAX(0,'Your debts'!$D$22-SUM($L436:$U436)),2)</f>
      </c>
      <c r="BA436" s="33">
        <f>ROUND(SUM($B436:$K436)-SUM($AP435:$AY435),2)</f>
      </c>
      <c r="BB436" s="33">
        <f>SUM($AP436:$AY436)</f>
      </c>
      <c r="BC436" s="33">
        <f>ROUND(SUM($L436:$U436)+SUM($AF436:$AO436),2)</f>
      </c>
    </row>
    <row r="437" spans="1:55" x14ac:dyDescent="0.25">
      <c r="A437">
        <v>430</v>
      </c>
      <c r="B437" s="33">
        <f>IF(AP436&lt;=0,0,ROUND(AP436+ROUND(AP436*V$3/12,2),2))</f>
      </c>
      <c r="C437" s="33">
        <f>IF(AQ436&lt;=0,0,ROUND(AQ436+ROUND(AQ436*W$3/12,2),2))</f>
      </c>
      <c r="D437" s="33">
        <f>IF(AR436&lt;=0,0,ROUND(AR436+ROUND(AR436*X$3/12,2),2))</f>
      </c>
      <c r="E437" s="33">
        <f>IF(AS436&lt;=0,0,ROUND(AS436+ROUND(AS436*Y$3/12,2),2))</f>
      </c>
      <c r="F437" s="33">
        <f>IF(AT436&lt;=0,0,ROUND(AT436+ROUND(AT436*Z$3/12,2),2))</f>
      </c>
      <c r="G437" s="33">
        <f>IF(AU436&lt;=0,0,ROUND(AU436+ROUND(AU436*AA$3/12,2),2))</f>
      </c>
      <c r="H437" s="33">
        <f>IF(AV436&lt;=0,0,ROUND(AV436+ROUND(AV436*AB$3/12,2),2))</f>
      </c>
      <c r="I437" s="33">
        <f>IF(AW436&lt;=0,0,ROUND(AW436+ROUND(AW436*AC$3/12,2),2))</f>
      </c>
      <c r="J437" s="33">
        <f>IF(AX436&lt;=0,0,ROUND(AX436+ROUND(AX436*AD$3/12,2),2))</f>
      </c>
      <c r="K437" s="33">
        <f>IF(AY436&lt;=0,0,ROUND(AY436+ROUND(AY436*AE$3/12,2),2))</f>
      </c>
      <c r="L437" s="33">
        <f>ROUND(MIN(MAX(0,N('Your debts'!$E$6)),B437),2)</f>
      </c>
      <c r="M437" s="33">
        <f>ROUND(MIN(MAX(0,N('Your debts'!$E$7)),C437),2)</f>
      </c>
      <c r="N437" s="33">
        <f>ROUND(MIN(MAX(0,N('Your debts'!$E$8)),D437),2)</f>
      </c>
      <c r="O437" s="33">
        <f>ROUND(MIN(MAX(0,N('Your debts'!$E$9)),E437),2)</f>
      </c>
      <c r="P437" s="33">
        <f>ROUND(MIN(MAX(0,N('Your debts'!$E$10)),F437),2)</f>
      </c>
      <c r="Q437" s="33">
        <f>ROUND(MIN(MAX(0,N('Your debts'!$E$11)),G437),2)</f>
      </c>
      <c r="R437" s="33">
        <f>ROUND(MIN(MAX(0,N('Your debts'!$E$12)),H437),2)</f>
      </c>
      <c r="S437" s="33">
        <f>ROUND(MIN(MAX(0,N('Your debts'!$E$13)),I437),2)</f>
      </c>
      <c r="T437" s="33">
        <f>ROUND(MIN(MAX(0,N('Your debts'!$E$14)),J437),2)</f>
      </c>
      <c r="U437" s="33">
        <f>ROUND(MIN(MAX(0,N('Your debts'!$E$15)),K437),2)</f>
      </c>
      <c r="V437" s="33">
        <f>ROUND(B437-L437,2)</f>
      </c>
      <c r="W437" s="33">
        <f>ROUND(C437-M437,2)</f>
      </c>
      <c r="X437" s="33">
        <f>ROUND(D437-N437,2)</f>
      </c>
      <c r="Y437" s="33">
        <f>ROUND(E437-O437,2)</f>
      </c>
      <c r="Z437" s="33">
        <f>ROUND(F437-P437,2)</f>
      </c>
      <c r="AA437" s="33">
        <f>ROUND(G437-Q437,2)</f>
      </c>
      <c r="AB437" s="33">
        <f>ROUND(H437-R437,2)</f>
      </c>
      <c r="AC437" s="33">
        <f>ROUND(I437-S437,2)</f>
      </c>
      <c r="AD437" s="33">
        <f>ROUND(J437-T437,2)</f>
      </c>
      <c r="AE437" s="33">
        <f>ROUND(K437-U437,2)</f>
      </c>
      <c r="AF437" s="33">
        <f>IF(V437&lt;=0,0,MAX(0,MIN(V437,ROUND($AZ437-SUMPRODUCT($V437:$AE437*($V437:$AE437&gt;0)*(($V437:$AE437&lt;V437)+($V437:$AE437=V437)*($V$3:$AE$3&gt;V$3)+($V437:$AE437=V437)*($V$3:$AE$3=V$3)*($V$2:$AE$2&lt;V$2))),2))))</f>
      </c>
      <c r="AG437" s="33">
        <f>IF(W437&lt;=0,0,MAX(0,MIN(W437,ROUND($AZ437-SUMPRODUCT($V437:$AE437*($V437:$AE437&gt;0)*(($V437:$AE437&lt;W437)+($V437:$AE437=W437)*($V$3:$AE$3&gt;W$3)+($V437:$AE437=W437)*($V$3:$AE$3=W$3)*($V$2:$AE$2&lt;W$2))),2))))</f>
      </c>
      <c r="AH437" s="33">
        <f>IF(X437&lt;=0,0,MAX(0,MIN(X437,ROUND($AZ437-SUMPRODUCT($V437:$AE437*($V437:$AE437&gt;0)*(($V437:$AE437&lt;X437)+($V437:$AE437=X437)*($V$3:$AE$3&gt;X$3)+($V437:$AE437=X437)*($V$3:$AE$3=X$3)*($V$2:$AE$2&lt;X$2))),2))))</f>
      </c>
      <c r="AI437" s="33">
        <f>IF(Y437&lt;=0,0,MAX(0,MIN(Y437,ROUND($AZ437-SUMPRODUCT($V437:$AE437*($V437:$AE437&gt;0)*(($V437:$AE437&lt;Y437)+($V437:$AE437=Y437)*($V$3:$AE$3&gt;Y$3)+($V437:$AE437=Y437)*($V$3:$AE$3=Y$3)*($V$2:$AE$2&lt;Y$2))),2))))</f>
      </c>
      <c r="AJ437" s="33">
        <f>IF(Z437&lt;=0,0,MAX(0,MIN(Z437,ROUND($AZ437-SUMPRODUCT($V437:$AE437*($V437:$AE437&gt;0)*(($V437:$AE437&lt;Z437)+($V437:$AE437=Z437)*($V$3:$AE$3&gt;Z$3)+($V437:$AE437=Z437)*($V$3:$AE$3=Z$3)*($V$2:$AE$2&lt;Z$2))),2))))</f>
      </c>
      <c r="AK437" s="33">
        <f>IF(AA437&lt;=0,0,MAX(0,MIN(AA437,ROUND($AZ437-SUMPRODUCT($V437:$AE437*($V437:$AE437&gt;0)*(($V437:$AE437&lt;AA437)+($V437:$AE437=AA437)*($V$3:$AE$3&gt;AA$3)+($V437:$AE437=AA437)*($V$3:$AE$3=AA$3)*($V$2:$AE$2&lt;AA$2))),2))))</f>
      </c>
      <c r="AL437" s="33">
        <f>IF(AB437&lt;=0,0,MAX(0,MIN(AB437,ROUND($AZ437-SUMPRODUCT($V437:$AE437*($V437:$AE437&gt;0)*(($V437:$AE437&lt;AB437)+($V437:$AE437=AB437)*($V$3:$AE$3&gt;AB$3)+($V437:$AE437=AB437)*($V$3:$AE$3=AB$3)*($V$2:$AE$2&lt;AB$2))),2))))</f>
      </c>
      <c r="AM437" s="33">
        <f>IF(AC437&lt;=0,0,MAX(0,MIN(AC437,ROUND($AZ437-SUMPRODUCT($V437:$AE437*($V437:$AE437&gt;0)*(($V437:$AE437&lt;AC437)+($V437:$AE437=AC437)*($V$3:$AE$3&gt;AC$3)+($V437:$AE437=AC437)*($V$3:$AE$3=AC$3)*($V$2:$AE$2&lt;AC$2))),2))))</f>
      </c>
      <c r="AN437" s="33">
        <f>IF(AD437&lt;=0,0,MAX(0,MIN(AD437,ROUND($AZ437-SUMPRODUCT($V437:$AE437*($V437:$AE437&gt;0)*(($V437:$AE437&lt;AD437)+($V437:$AE437=AD437)*($V$3:$AE$3&gt;AD$3)+($V437:$AE437=AD437)*($V$3:$AE$3=AD$3)*($V$2:$AE$2&lt;AD$2))),2))))</f>
      </c>
      <c r="AO437" s="33">
        <f>IF(AE437&lt;=0,0,MAX(0,MIN(AE437,ROUND($AZ437-SUMPRODUCT($V437:$AE437*($V437:$AE437&gt;0)*(($V437:$AE437&lt;AE437)+($V437:$AE437=AE437)*($V$3:$AE$3&gt;AE$3)+($V437:$AE437=AE437)*($V$3:$AE$3=AE$3)*($V$2:$AE$2&lt;AE$2))),2))))</f>
      </c>
      <c r="AP437" s="33">
        <f>ROUND(V437-AF437,2)</f>
      </c>
      <c r="AQ437" s="33">
        <f>ROUND(W437-AG437,2)</f>
      </c>
      <c r="AR437" s="33">
        <f>ROUND(X437-AH437,2)</f>
      </c>
      <c r="AS437" s="33">
        <f>ROUND(Y437-AI437,2)</f>
      </c>
      <c r="AT437" s="33">
        <f>ROUND(Z437-AJ437,2)</f>
      </c>
      <c r="AU437" s="33">
        <f>ROUND(AA437-AK437,2)</f>
      </c>
      <c r="AV437" s="33">
        <f>ROUND(AB437-AL437,2)</f>
      </c>
      <c r="AW437" s="33">
        <f>ROUND(AC437-AM437,2)</f>
      </c>
      <c r="AX437" s="33">
        <f>ROUND(AD437-AN437,2)</f>
      </c>
      <c r="AY437" s="33">
        <f>ROUND(AE437-AO437,2)</f>
      </c>
      <c r="AZ437" s="33">
        <f>ROUND(MAX(0,'Your debts'!$D$22-SUM($L437:$U437)),2)</f>
      </c>
      <c r="BA437" s="33">
        <f>ROUND(SUM($B437:$K437)-SUM($AP436:$AY436),2)</f>
      </c>
      <c r="BB437" s="33">
        <f>SUM($AP437:$AY437)</f>
      </c>
      <c r="BC437" s="33">
        <f>ROUND(SUM($L437:$U437)+SUM($AF437:$AO437),2)</f>
      </c>
    </row>
    <row r="438" spans="1:55" x14ac:dyDescent="0.25">
      <c r="A438">
        <v>431</v>
      </c>
      <c r="B438" s="33">
        <f>IF(AP437&lt;=0,0,ROUND(AP437+ROUND(AP437*V$3/12,2),2))</f>
      </c>
      <c r="C438" s="33">
        <f>IF(AQ437&lt;=0,0,ROUND(AQ437+ROUND(AQ437*W$3/12,2),2))</f>
      </c>
      <c r="D438" s="33">
        <f>IF(AR437&lt;=0,0,ROUND(AR437+ROUND(AR437*X$3/12,2),2))</f>
      </c>
      <c r="E438" s="33">
        <f>IF(AS437&lt;=0,0,ROUND(AS437+ROUND(AS437*Y$3/12,2),2))</f>
      </c>
      <c r="F438" s="33">
        <f>IF(AT437&lt;=0,0,ROUND(AT437+ROUND(AT437*Z$3/12,2),2))</f>
      </c>
      <c r="G438" s="33">
        <f>IF(AU437&lt;=0,0,ROUND(AU437+ROUND(AU437*AA$3/12,2),2))</f>
      </c>
      <c r="H438" s="33">
        <f>IF(AV437&lt;=0,0,ROUND(AV437+ROUND(AV437*AB$3/12,2),2))</f>
      </c>
      <c r="I438" s="33">
        <f>IF(AW437&lt;=0,0,ROUND(AW437+ROUND(AW437*AC$3/12,2),2))</f>
      </c>
      <c r="J438" s="33">
        <f>IF(AX437&lt;=0,0,ROUND(AX437+ROUND(AX437*AD$3/12,2),2))</f>
      </c>
      <c r="K438" s="33">
        <f>IF(AY437&lt;=0,0,ROUND(AY437+ROUND(AY437*AE$3/12,2),2))</f>
      </c>
      <c r="L438" s="33">
        <f>ROUND(MIN(MAX(0,N('Your debts'!$E$6)),B438),2)</f>
      </c>
      <c r="M438" s="33">
        <f>ROUND(MIN(MAX(0,N('Your debts'!$E$7)),C438),2)</f>
      </c>
      <c r="N438" s="33">
        <f>ROUND(MIN(MAX(0,N('Your debts'!$E$8)),D438),2)</f>
      </c>
      <c r="O438" s="33">
        <f>ROUND(MIN(MAX(0,N('Your debts'!$E$9)),E438),2)</f>
      </c>
      <c r="P438" s="33">
        <f>ROUND(MIN(MAX(0,N('Your debts'!$E$10)),F438),2)</f>
      </c>
      <c r="Q438" s="33">
        <f>ROUND(MIN(MAX(0,N('Your debts'!$E$11)),G438),2)</f>
      </c>
      <c r="R438" s="33">
        <f>ROUND(MIN(MAX(0,N('Your debts'!$E$12)),H438),2)</f>
      </c>
      <c r="S438" s="33">
        <f>ROUND(MIN(MAX(0,N('Your debts'!$E$13)),I438),2)</f>
      </c>
      <c r="T438" s="33">
        <f>ROUND(MIN(MAX(0,N('Your debts'!$E$14)),J438),2)</f>
      </c>
      <c r="U438" s="33">
        <f>ROUND(MIN(MAX(0,N('Your debts'!$E$15)),K438),2)</f>
      </c>
      <c r="V438" s="33">
        <f>ROUND(B438-L438,2)</f>
      </c>
      <c r="W438" s="33">
        <f>ROUND(C438-M438,2)</f>
      </c>
      <c r="X438" s="33">
        <f>ROUND(D438-N438,2)</f>
      </c>
      <c r="Y438" s="33">
        <f>ROUND(E438-O438,2)</f>
      </c>
      <c r="Z438" s="33">
        <f>ROUND(F438-P438,2)</f>
      </c>
      <c r="AA438" s="33">
        <f>ROUND(G438-Q438,2)</f>
      </c>
      <c r="AB438" s="33">
        <f>ROUND(H438-R438,2)</f>
      </c>
      <c r="AC438" s="33">
        <f>ROUND(I438-S438,2)</f>
      </c>
      <c r="AD438" s="33">
        <f>ROUND(J438-T438,2)</f>
      </c>
      <c r="AE438" s="33">
        <f>ROUND(K438-U438,2)</f>
      </c>
      <c r="AF438" s="33">
        <f>IF(V438&lt;=0,0,MAX(0,MIN(V438,ROUND($AZ438-SUMPRODUCT($V438:$AE438*($V438:$AE438&gt;0)*(($V438:$AE438&lt;V438)+($V438:$AE438=V438)*($V$3:$AE$3&gt;V$3)+($V438:$AE438=V438)*($V$3:$AE$3=V$3)*($V$2:$AE$2&lt;V$2))),2))))</f>
      </c>
      <c r="AG438" s="33">
        <f>IF(W438&lt;=0,0,MAX(0,MIN(W438,ROUND($AZ438-SUMPRODUCT($V438:$AE438*($V438:$AE438&gt;0)*(($V438:$AE438&lt;W438)+($V438:$AE438=W438)*($V$3:$AE$3&gt;W$3)+($V438:$AE438=W438)*($V$3:$AE$3=W$3)*($V$2:$AE$2&lt;W$2))),2))))</f>
      </c>
      <c r="AH438" s="33">
        <f>IF(X438&lt;=0,0,MAX(0,MIN(X438,ROUND($AZ438-SUMPRODUCT($V438:$AE438*($V438:$AE438&gt;0)*(($V438:$AE438&lt;X438)+($V438:$AE438=X438)*($V$3:$AE$3&gt;X$3)+($V438:$AE438=X438)*($V$3:$AE$3=X$3)*($V$2:$AE$2&lt;X$2))),2))))</f>
      </c>
      <c r="AI438" s="33">
        <f>IF(Y438&lt;=0,0,MAX(0,MIN(Y438,ROUND($AZ438-SUMPRODUCT($V438:$AE438*($V438:$AE438&gt;0)*(($V438:$AE438&lt;Y438)+($V438:$AE438=Y438)*($V$3:$AE$3&gt;Y$3)+($V438:$AE438=Y438)*($V$3:$AE$3=Y$3)*($V$2:$AE$2&lt;Y$2))),2))))</f>
      </c>
      <c r="AJ438" s="33">
        <f>IF(Z438&lt;=0,0,MAX(0,MIN(Z438,ROUND($AZ438-SUMPRODUCT($V438:$AE438*($V438:$AE438&gt;0)*(($V438:$AE438&lt;Z438)+($V438:$AE438=Z438)*($V$3:$AE$3&gt;Z$3)+($V438:$AE438=Z438)*($V$3:$AE$3=Z$3)*($V$2:$AE$2&lt;Z$2))),2))))</f>
      </c>
      <c r="AK438" s="33">
        <f>IF(AA438&lt;=0,0,MAX(0,MIN(AA438,ROUND($AZ438-SUMPRODUCT($V438:$AE438*($V438:$AE438&gt;0)*(($V438:$AE438&lt;AA438)+($V438:$AE438=AA438)*($V$3:$AE$3&gt;AA$3)+($V438:$AE438=AA438)*($V$3:$AE$3=AA$3)*($V$2:$AE$2&lt;AA$2))),2))))</f>
      </c>
      <c r="AL438" s="33">
        <f>IF(AB438&lt;=0,0,MAX(0,MIN(AB438,ROUND($AZ438-SUMPRODUCT($V438:$AE438*($V438:$AE438&gt;0)*(($V438:$AE438&lt;AB438)+($V438:$AE438=AB438)*($V$3:$AE$3&gt;AB$3)+($V438:$AE438=AB438)*($V$3:$AE$3=AB$3)*($V$2:$AE$2&lt;AB$2))),2))))</f>
      </c>
      <c r="AM438" s="33">
        <f>IF(AC438&lt;=0,0,MAX(0,MIN(AC438,ROUND($AZ438-SUMPRODUCT($V438:$AE438*($V438:$AE438&gt;0)*(($V438:$AE438&lt;AC438)+($V438:$AE438=AC438)*($V$3:$AE$3&gt;AC$3)+($V438:$AE438=AC438)*($V$3:$AE$3=AC$3)*($V$2:$AE$2&lt;AC$2))),2))))</f>
      </c>
      <c r="AN438" s="33">
        <f>IF(AD438&lt;=0,0,MAX(0,MIN(AD438,ROUND($AZ438-SUMPRODUCT($V438:$AE438*($V438:$AE438&gt;0)*(($V438:$AE438&lt;AD438)+($V438:$AE438=AD438)*($V$3:$AE$3&gt;AD$3)+($V438:$AE438=AD438)*($V$3:$AE$3=AD$3)*($V$2:$AE$2&lt;AD$2))),2))))</f>
      </c>
      <c r="AO438" s="33">
        <f>IF(AE438&lt;=0,0,MAX(0,MIN(AE438,ROUND($AZ438-SUMPRODUCT($V438:$AE438*($V438:$AE438&gt;0)*(($V438:$AE438&lt;AE438)+($V438:$AE438=AE438)*($V$3:$AE$3&gt;AE$3)+($V438:$AE438=AE438)*($V$3:$AE$3=AE$3)*($V$2:$AE$2&lt;AE$2))),2))))</f>
      </c>
      <c r="AP438" s="33">
        <f>ROUND(V438-AF438,2)</f>
      </c>
      <c r="AQ438" s="33">
        <f>ROUND(W438-AG438,2)</f>
      </c>
      <c r="AR438" s="33">
        <f>ROUND(X438-AH438,2)</f>
      </c>
      <c r="AS438" s="33">
        <f>ROUND(Y438-AI438,2)</f>
      </c>
      <c r="AT438" s="33">
        <f>ROUND(Z438-AJ438,2)</f>
      </c>
      <c r="AU438" s="33">
        <f>ROUND(AA438-AK438,2)</f>
      </c>
      <c r="AV438" s="33">
        <f>ROUND(AB438-AL438,2)</f>
      </c>
      <c r="AW438" s="33">
        <f>ROUND(AC438-AM438,2)</f>
      </c>
      <c r="AX438" s="33">
        <f>ROUND(AD438-AN438,2)</f>
      </c>
      <c r="AY438" s="33">
        <f>ROUND(AE438-AO438,2)</f>
      </c>
      <c r="AZ438" s="33">
        <f>ROUND(MAX(0,'Your debts'!$D$22-SUM($L438:$U438)),2)</f>
      </c>
      <c r="BA438" s="33">
        <f>ROUND(SUM($B438:$K438)-SUM($AP437:$AY437),2)</f>
      </c>
      <c r="BB438" s="33">
        <f>SUM($AP438:$AY438)</f>
      </c>
      <c r="BC438" s="33">
        <f>ROUND(SUM($L438:$U438)+SUM($AF438:$AO438),2)</f>
      </c>
    </row>
    <row r="439" spans="1:55" x14ac:dyDescent="0.25">
      <c r="A439">
        <v>432</v>
      </c>
      <c r="B439" s="33">
        <f>IF(AP438&lt;=0,0,ROUND(AP438+ROUND(AP438*V$3/12,2),2))</f>
      </c>
      <c r="C439" s="33">
        <f>IF(AQ438&lt;=0,0,ROUND(AQ438+ROUND(AQ438*W$3/12,2),2))</f>
      </c>
      <c r="D439" s="33">
        <f>IF(AR438&lt;=0,0,ROUND(AR438+ROUND(AR438*X$3/12,2),2))</f>
      </c>
      <c r="E439" s="33">
        <f>IF(AS438&lt;=0,0,ROUND(AS438+ROUND(AS438*Y$3/12,2),2))</f>
      </c>
      <c r="F439" s="33">
        <f>IF(AT438&lt;=0,0,ROUND(AT438+ROUND(AT438*Z$3/12,2),2))</f>
      </c>
      <c r="G439" s="33">
        <f>IF(AU438&lt;=0,0,ROUND(AU438+ROUND(AU438*AA$3/12,2),2))</f>
      </c>
      <c r="H439" s="33">
        <f>IF(AV438&lt;=0,0,ROUND(AV438+ROUND(AV438*AB$3/12,2),2))</f>
      </c>
      <c r="I439" s="33">
        <f>IF(AW438&lt;=0,0,ROUND(AW438+ROUND(AW438*AC$3/12,2),2))</f>
      </c>
      <c r="J439" s="33">
        <f>IF(AX438&lt;=0,0,ROUND(AX438+ROUND(AX438*AD$3/12,2),2))</f>
      </c>
      <c r="K439" s="33">
        <f>IF(AY438&lt;=0,0,ROUND(AY438+ROUND(AY438*AE$3/12,2),2))</f>
      </c>
      <c r="L439" s="33">
        <f>ROUND(MIN(MAX(0,N('Your debts'!$E$6)),B439),2)</f>
      </c>
      <c r="M439" s="33">
        <f>ROUND(MIN(MAX(0,N('Your debts'!$E$7)),C439),2)</f>
      </c>
      <c r="N439" s="33">
        <f>ROUND(MIN(MAX(0,N('Your debts'!$E$8)),D439),2)</f>
      </c>
      <c r="O439" s="33">
        <f>ROUND(MIN(MAX(0,N('Your debts'!$E$9)),E439),2)</f>
      </c>
      <c r="P439" s="33">
        <f>ROUND(MIN(MAX(0,N('Your debts'!$E$10)),F439),2)</f>
      </c>
      <c r="Q439" s="33">
        <f>ROUND(MIN(MAX(0,N('Your debts'!$E$11)),G439),2)</f>
      </c>
      <c r="R439" s="33">
        <f>ROUND(MIN(MAX(0,N('Your debts'!$E$12)),H439),2)</f>
      </c>
      <c r="S439" s="33">
        <f>ROUND(MIN(MAX(0,N('Your debts'!$E$13)),I439),2)</f>
      </c>
      <c r="T439" s="33">
        <f>ROUND(MIN(MAX(0,N('Your debts'!$E$14)),J439),2)</f>
      </c>
      <c r="U439" s="33">
        <f>ROUND(MIN(MAX(0,N('Your debts'!$E$15)),K439),2)</f>
      </c>
      <c r="V439" s="33">
        <f>ROUND(B439-L439,2)</f>
      </c>
      <c r="W439" s="33">
        <f>ROUND(C439-M439,2)</f>
      </c>
      <c r="X439" s="33">
        <f>ROUND(D439-N439,2)</f>
      </c>
      <c r="Y439" s="33">
        <f>ROUND(E439-O439,2)</f>
      </c>
      <c r="Z439" s="33">
        <f>ROUND(F439-P439,2)</f>
      </c>
      <c r="AA439" s="33">
        <f>ROUND(G439-Q439,2)</f>
      </c>
      <c r="AB439" s="33">
        <f>ROUND(H439-R439,2)</f>
      </c>
      <c r="AC439" s="33">
        <f>ROUND(I439-S439,2)</f>
      </c>
      <c r="AD439" s="33">
        <f>ROUND(J439-T439,2)</f>
      </c>
      <c r="AE439" s="33">
        <f>ROUND(K439-U439,2)</f>
      </c>
      <c r="AF439" s="33">
        <f>IF(V439&lt;=0,0,MAX(0,MIN(V439,ROUND($AZ439-SUMPRODUCT($V439:$AE439*($V439:$AE439&gt;0)*(($V439:$AE439&lt;V439)+($V439:$AE439=V439)*($V$3:$AE$3&gt;V$3)+($V439:$AE439=V439)*($V$3:$AE$3=V$3)*($V$2:$AE$2&lt;V$2))),2))))</f>
      </c>
      <c r="AG439" s="33">
        <f>IF(W439&lt;=0,0,MAX(0,MIN(W439,ROUND($AZ439-SUMPRODUCT($V439:$AE439*($V439:$AE439&gt;0)*(($V439:$AE439&lt;W439)+($V439:$AE439=W439)*($V$3:$AE$3&gt;W$3)+($V439:$AE439=W439)*($V$3:$AE$3=W$3)*($V$2:$AE$2&lt;W$2))),2))))</f>
      </c>
      <c r="AH439" s="33">
        <f>IF(X439&lt;=0,0,MAX(0,MIN(X439,ROUND($AZ439-SUMPRODUCT($V439:$AE439*($V439:$AE439&gt;0)*(($V439:$AE439&lt;X439)+($V439:$AE439=X439)*($V$3:$AE$3&gt;X$3)+($V439:$AE439=X439)*($V$3:$AE$3=X$3)*($V$2:$AE$2&lt;X$2))),2))))</f>
      </c>
      <c r="AI439" s="33">
        <f>IF(Y439&lt;=0,0,MAX(0,MIN(Y439,ROUND($AZ439-SUMPRODUCT($V439:$AE439*($V439:$AE439&gt;0)*(($V439:$AE439&lt;Y439)+($V439:$AE439=Y439)*($V$3:$AE$3&gt;Y$3)+($V439:$AE439=Y439)*($V$3:$AE$3=Y$3)*($V$2:$AE$2&lt;Y$2))),2))))</f>
      </c>
      <c r="AJ439" s="33">
        <f>IF(Z439&lt;=0,0,MAX(0,MIN(Z439,ROUND($AZ439-SUMPRODUCT($V439:$AE439*($V439:$AE439&gt;0)*(($V439:$AE439&lt;Z439)+($V439:$AE439=Z439)*($V$3:$AE$3&gt;Z$3)+($V439:$AE439=Z439)*($V$3:$AE$3=Z$3)*($V$2:$AE$2&lt;Z$2))),2))))</f>
      </c>
      <c r="AK439" s="33">
        <f>IF(AA439&lt;=0,0,MAX(0,MIN(AA439,ROUND($AZ439-SUMPRODUCT($V439:$AE439*($V439:$AE439&gt;0)*(($V439:$AE439&lt;AA439)+($V439:$AE439=AA439)*($V$3:$AE$3&gt;AA$3)+($V439:$AE439=AA439)*($V$3:$AE$3=AA$3)*($V$2:$AE$2&lt;AA$2))),2))))</f>
      </c>
      <c r="AL439" s="33">
        <f>IF(AB439&lt;=0,0,MAX(0,MIN(AB439,ROUND($AZ439-SUMPRODUCT($V439:$AE439*($V439:$AE439&gt;0)*(($V439:$AE439&lt;AB439)+($V439:$AE439=AB439)*($V$3:$AE$3&gt;AB$3)+($V439:$AE439=AB439)*($V$3:$AE$3=AB$3)*($V$2:$AE$2&lt;AB$2))),2))))</f>
      </c>
      <c r="AM439" s="33">
        <f>IF(AC439&lt;=0,0,MAX(0,MIN(AC439,ROUND($AZ439-SUMPRODUCT($V439:$AE439*($V439:$AE439&gt;0)*(($V439:$AE439&lt;AC439)+($V439:$AE439=AC439)*($V$3:$AE$3&gt;AC$3)+($V439:$AE439=AC439)*($V$3:$AE$3=AC$3)*($V$2:$AE$2&lt;AC$2))),2))))</f>
      </c>
      <c r="AN439" s="33">
        <f>IF(AD439&lt;=0,0,MAX(0,MIN(AD439,ROUND($AZ439-SUMPRODUCT($V439:$AE439*($V439:$AE439&gt;0)*(($V439:$AE439&lt;AD439)+($V439:$AE439=AD439)*($V$3:$AE$3&gt;AD$3)+($V439:$AE439=AD439)*($V$3:$AE$3=AD$3)*($V$2:$AE$2&lt;AD$2))),2))))</f>
      </c>
      <c r="AO439" s="33">
        <f>IF(AE439&lt;=0,0,MAX(0,MIN(AE439,ROUND($AZ439-SUMPRODUCT($V439:$AE439*($V439:$AE439&gt;0)*(($V439:$AE439&lt;AE439)+($V439:$AE439=AE439)*($V$3:$AE$3&gt;AE$3)+($V439:$AE439=AE439)*($V$3:$AE$3=AE$3)*($V$2:$AE$2&lt;AE$2))),2))))</f>
      </c>
      <c r="AP439" s="33">
        <f>ROUND(V439-AF439,2)</f>
      </c>
      <c r="AQ439" s="33">
        <f>ROUND(W439-AG439,2)</f>
      </c>
      <c r="AR439" s="33">
        <f>ROUND(X439-AH439,2)</f>
      </c>
      <c r="AS439" s="33">
        <f>ROUND(Y439-AI439,2)</f>
      </c>
      <c r="AT439" s="33">
        <f>ROUND(Z439-AJ439,2)</f>
      </c>
      <c r="AU439" s="33">
        <f>ROUND(AA439-AK439,2)</f>
      </c>
      <c r="AV439" s="33">
        <f>ROUND(AB439-AL439,2)</f>
      </c>
      <c r="AW439" s="33">
        <f>ROUND(AC439-AM439,2)</f>
      </c>
      <c r="AX439" s="33">
        <f>ROUND(AD439-AN439,2)</f>
      </c>
      <c r="AY439" s="33">
        <f>ROUND(AE439-AO439,2)</f>
      </c>
      <c r="AZ439" s="33">
        <f>ROUND(MAX(0,'Your debts'!$D$22-SUM($L439:$U439)),2)</f>
      </c>
      <c r="BA439" s="33">
        <f>ROUND(SUM($B439:$K439)-SUM($AP438:$AY438),2)</f>
      </c>
      <c r="BB439" s="33">
        <f>SUM($AP439:$AY439)</f>
      </c>
      <c r="BC439" s="33">
        <f>ROUND(SUM($L439:$U439)+SUM($AF439:$AO439),2)</f>
      </c>
    </row>
    <row r="440" spans="1:55" x14ac:dyDescent="0.25">
      <c r="A440">
        <v>433</v>
      </c>
      <c r="B440" s="33">
        <f>IF(AP439&lt;=0,0,ROUND(AP439+ROUND(AP439*V$3/12,2),2))</f>
      </c>
      <c r="C440" s="33">
        <f>IF(AQ439&lt;=0,0,ROUND(AQ439+ROUND(AQ439*W$3/12,2),2))</f>
      </c>
      <c r="D440" s="33">
        <f>IF(AR439&lt;=0,0,ROUND(AR439+ROUND(AR439*X$3/12,2),2))</f>
      </c>
      <c r="E440" s="33">
        <f>IF(AS439&lt;=0,0,ROUND(AS439+ROUND(AS439*Y$3/12,2),2))</f>
      </c>
      <c r="F440" s="33">
        <f>IF(AT439&lt;=0,0,ROUND(AT439+ROUND(AT439*Z$3/12,2),2))</f>
      </c>
      <c r="G440" s="33">
        <f>IF(AU439&lt;=0,0,ROUND(AU439+ROUND(AU439*AA$3/12,2),2))</f>
      </c>
      <c r="H440" s="33">
        <f>IF(AV439&lt;=0,0,ROUND(AV439+ROUND(AV439*AB$3/12,2),2))</f>
      </c>
      <c r="I440" s="33">
        <f>IF(AW439&lt;=0,0,ROUND(AW439+ROUND(AW439*AC$3/12,2),2))</f>
      </c>
      <c r="J440" s="33">
        <f>IF(AX439&lt;=0,0,ROUND(AX439+ROUND(AX439*AD$3/12,2),2))</f>
      </c>
      <c r="K440" s="33">
        <f>IF(AY439&lt;=0,0,ROUND(AY439+ROUND(AY439*AE$3/12,2),2))</f>
      </c>
      <c r="L440" s="33">
        <f>ROUND(MIN(MAX(0,N('Your debts'!$E$6)),B440),2)</f>
      </c>
      <c r="M440" s="33">
        <f>ROUND(MIN(MAX(0,N('Your debts'!$E$7)),C440),2)</f>
      </c>
      <c r="N440" s="33">
        <f>ROUND(MIN(MAX(0,N('Your debts'!$E$8)),D440),2)</f>
      </c>
      <c r="O440" s="33">
        <f>ROUND(MIN(MAX(0,N('Your debts'!$E$9)),E440),2)</f>
      </c>
      <c r="P440" s="33">
        <f>ROUND(MIN(MAX(0,N('Your debts'!$E$10)),F440),2)</f>
      </c>
      <c r="Q440" s="33">
        <f>ROUND(MIN(MAX(0,N('Your debts'!$E$11)),G440),2)</f>
      </c>
      <c r="R440" s="33">
        <f>ROUND(MIN(MAX(0,N('Your debts'!$E$12)),H440),2)</f>
      </c>
      <c r="S440" s="33">
        <f>ROUND(MIN(MAX(0,N('Your debts'!$E$13)),I440),2)</f>
      </c>
      <c r="T440" s="33">
        <f>ROUND(MIN(MAX(0,N('Your debts'!$E$14)),J440),2)</f>
      </c>
      <c r="U440" s="33">
        <f>ROUND(MIN(MAX(0,N('Your debts'!$E$15)),K440),2)</f>
      </c>
      <c r="V440" s="33">
        <f>ROUND(B440-L440,2)</f>
      </c>
      <c r="W440" s="33">
        <f>ROUND(C440-M440,2)</f>
      </c>
      <c r="X440" s="33">
        <f>ROUND(D440-N440,2)</f>
      </c>
      <c r="Y440" s="33">
        <f>ROUND(E440-O440,2)</f>
      </c>
      <c r="Z440" s="33">
        <f>ROUND(F440-P440,2)</f>
      </c>
      <c r="AA440" s="33">
        <f>ROUND(G440-Q440,2)</f>
      </c>
      <c r="AB440" s="33">
        <f>ROUND(H440-R440,2)</f>
      </c>
      <c r="AC440" s="33">
        <f>ROUND(I440-S440,2)</f>
      </c>
      <c r="AD440" s="33">
        <f>ROUND(J440-T440,2)</f>
      </c>
      <c r="AE440" s="33">
        <f>ROUND(K440-U440,2)</f>
      </c>
      <c r="AF440" s="33">
        <f>IF(V440&lt;=0,0,MAX(0,MIN(V440,ROUND($AZ440-SUMPRODUCT($V440:$AE440*($V440:$AE440&gt;0)*(($V440:$AE440&lt;V440)+($V440:$AE440=V440)*($V$3:$AE$3&gt;V$3)+($V440:$AE440=V440)*($V$3:$AE$3=V$3)*($V$2:$AE$2&lt;V$2))),2))))</f>
      </c>
      <c r="AG440" s="33">
        <f>IF(W440&lt;=0,0,MAX(0,MIN(W440,ROUND($AZ440-SUMPRODUCT($V440:$AE440*($V440:$AE440&gt;0)*(($V440:$AE440&lt;W440)+($V440:$AE440=W440)*($V$3:$AE$3&gt;W$3)+($V440:$AE440=W440)*($V$3:$AE$3=W$3)*($V$2:$AE$2&lt;W$2))),2))))</f>
      </c>
      <c r="AH440" s="33">
        <f>IF(X440&lt;=0,0,MAX(0,MIN(X440,ROUND($AZ440-SUMPRODUCT($V440:$AE440*($V440:$AE440&gt;0)*(($V440:$AE440&lt;X440)+($V440:$AE440=X440)*($V$3:$AE$3&gt;X$3)+($V440:$AE440=X440)*($V$3:$AE$3=X$3)*($V$2:$AE$2&lt;X$2))),2))))</f>
      </c>
      <c r="AI440" s="33">
        <f>IF(Y440&lt;=0,0,MAX(0,MIN(Y440,ROUND($AZ440-SUMPRODUCT($V440:$AE440*($V440:$AE440&gt;0)*(($V440:$AE440&lt;Y440)+($V440:$AE440=Y440)*($V$3:$AE$3&gt;Y$3)+($V440:$AE440=Y440)*($V$3:$AE$3=Y$3)*($V$2:$AE$2&lt;Y$2))),2))))</f>
      </c>
      <c r="AJ440" s="33">
        <f>IF(Z440&lt;=0,0,MAX(0,MIN(Z440,ROUND($AZ440-SUMPRODUCT($V440:$AE440*($V440:$AE440&gt;0)*(($V440:$AE440&lt;Z440)+($V440:$AE440=Z440)*($V$3:$AE$3&gt;Z$3)+($V440:$AE440=Z440)*($V$3:$AE$3=Z$3)*($V$2:$AE$2&lt;Z$2))),2))))</f>
      </c>
      <c r="AK440" s="33">
        <f>IF(AA440&lt;=0,0,MAX(0,MIN(AA440,ROUND($AZ440-SUMPRODUCT($V440:$AE440*($V440:$AE440&gt;0)*(($V440:$AE440&lt;AA440)+($V440:$AE440=AA440)*($V$3:$AE$3&gt;AA$3)+($V440:$AE440=AA440)*($V$3:$AE$3=AA$3)*($V$2:$AE$2&lt;AA$2))),2))))</f>
      </c>
      <c r="AL440" s="33">
        <f>IF(AB440&lt;=0,0,MAX(0,MIN(AB440,ROUND($AZ440-SUMPRODUCT($V440:$AE440*($V440:$AE440&gt;0)*(($V440:$AE440&lt;AB440)+($V440:$AE440=AB440)*($V$3:$AE$3&gt;AB$3)+($V440:$AE440=AB440)*($V$3:$AE$3=AB$3)*($V$2:$AE$2&lt;AB$2))),2))))</f>
      </c>
      <c r="AM440" s="33">
        <f>IF(AC440&lt;=0,0,MAX(0,MIN(AC440,ROUND($AZ440-SUMPRODUCT($V440:$AE440*($V440:$AE440&gt;0)*(($V440:$AE440&lt;AC440)+($V440:$AE440=AC440)*($V$3:$AE$3&gt;AC$3)+($V440:$AE440=AC440)*($V$3:$AE$3=AC$3)*($V$2:$AE$2&lt;AC$2))),2))))</f>
      </c>
      <c r="AN440" s="33">
        <f>IF(AD440&lt;=0,0,MAX(0,MIN(AD440,ROUND($AZ440-SUMPRODUCT($V440:$AE440*($V440:$AE440&gt;0)*(($V440:$AE440&lt;AD440)+($V440:$AE440=AD440)*($V$3:$AE$3&gt;AD$3)+($V440:$AE440=AD440)*($V$3:$AE$3=AD$3)*($V$2:$AE$2&lt;AD$2))),2))))</f>
      </c>
      <c r="AO440" s="33">
        <f>IF(AE440&lt;=0,0,MAX(0,MIN(AE440,ROUND($AZ440-SUMPRODUCT($V440:$AE440*($V440:$AE440&gt;0)*(($V440:$AE440&lt;AE440)+($V440:$AE440=AE440)*($V$3:$AE$3&gt;AE$3)+($V440:$AE440=AE440)*($V$3:$AE$3=AE$3)*($V$2:$AE$2&lt;AE$2))),2))))</f>
      </c>
      <c r="AP440" s="33">
        <f>ROUND(V440-AF440,2)</f>
      </c>
      <c r="AQ440" s="33">
        <f>ROUND(W440-AG440,2)</f>
      </c>
      <c r="AR440" s="33">
        <f>ROUND(X440-AH440,2)</f>
      </c>
      <c r="AS440" s="33">
        <f>ROUND(Y440-AI440,2)</f>
      </c>
      <c r="AT440" s="33">
        <f>ROUND(Z440-AJ440,2)</f>
      </c>
      <c r="AU440" s="33">
        <f>ROUND(AA440-AK440,2)</f>
      </c>
      <c r="AV440" s="33">
        <f>ROUND(AB440-AL440,2)</f>
      </c>
      <c r="AW440" s="33">
        <f>ROUND(AC440-AM440,2)</f>
      </c>
      <c r="AX440" s="33">
        <f>ROUND(AD440-AN440,2)</f>
      </c>
      <c r="AY440" s="33">
        <f>ROUND(AE440-AO440,2)</f>
      </c>
      <c r="AZ440" s="33">
        <f>ROUND(MAX(0,'Your debts'!$D$22-SUM($L440:$U440)),2)</f>
      </c>
      <c r="BA440" s="33">
        <f>ROUND(SUM($B440:$K440)-SUM($AP439:$AY439),2)</f>
      </c>
      <c r="BB440" s="33">
        <f>SUM($AP440:$AY440)</f>
      </c>
      <c r="BC440" s="33">
        <f>ROUND(SUM($L440:$U440)+SUM($AF440:$AO440),2)</f>
      </c>
    </row>
    <row r="441" spans="1:55" x14ac:dyDescent="0.25">
      <c r="A441">
        <v>434</v>
      </c>
      <c r="B441" s="33">
        <f>IF(AP440&lt;=0,0,ROUND(AP440+ROUND(AP440*V$3/12,2),2))</f>
      </c>
      <c r="C441" s="33">
        <f>IF(AQ440&lt;=0,0,ROUND(AQ440+ROUND(AQ440*W$3/12,2),2))</f>
      </c>
      <c r="D441" s="33">
        <f>IF(AR440&lt;=0,0,ROUND(AR440+ROUND(AR440*X$3/12,2),2))</f>
      </c>
      <c r="E441" s="33">
        <f>IF(AS440&lt;=0,0,ROUND(AS440+ROUND(AS440*Y$3/12,2),2))</f>
      </c>
      <c r="F441" s="33">
        <f>IF(AT440&lt;=0,0,ROUND(AT440+ROUND(AT440*Z$3/12,2),2))</f>
      </c>
      <c r="G441" s="33">
        <f>IF(AU440&lt;=0,0,ROUND(AU440+ROUND(AU440*AA$3/12,2),2))</f>
      </c>
      <c r="H441" s="33">
        <f>IF(AV440&lt;=0,0,ROUND(AV440+ROUND(AV440*AB$3/12,2),2))</f>
      </c>
      <c r="I441" s="33">
        <f>IF(AW440&lt;=0,0,ROUND(AW440+ROUND(AW440*AC$3/12,2),2))</f>
      </c>
      <c r="J441" s="33">
        <f>IF(AX440&lt;=0,0,ROUND(AX440+ROUND(AX440*AD$3/12,2),2))</f>
      </c>
      <c r="K441" s="33">
        <f>IF(AY440&lt;=0,0,ROUND(AY440+ROUND(AY440*AE$3/12,2),2))</f>
      </c>
      <c r="L441" s="33">
        <f>ROUND(MIN(MAX(0,N('Your debts'!$E$6)),B441),2)</f>
      </c>
      <c r="M441" s="33">
        <f>ROUND(MIN(MAX(0,N('Your debts'!$E$7)),C441),2)</f>
      </c>
      <c r="N441" s="33">
        <f>ROUND(MIN(MAX(0,N('Your debts'!$E$8)),D441),2)</f>
      </c>
      <c r="O441" s="33">
        <f>ROUND(MIN(MAX(0,N('Your debts'!$E$9)),E441),2)</f>
      </c>
      <c r="P441" s="33">
        <f>ROUND(MIN(MAX(0,N('Your debts'!$E$10)),F441),2)</f>
      </c>
      <c r="Q441" s="33">
        <f>ROUND(MIN(MAX(0,N('Your debts'!$E$11)),G441),2)</f>
      </c>
      <c r="R441" s="33">
        <f>ROUND(MIN(MAX(0,N('Your debts'!$E$12)),H441),2)</f>
      </c>
      <c r="S441" s="33">
        <f>ROUND(MIN(MAX(0,N('Your debts'!$E$13)),I441),2)</f>
      </c>
      <c r="T441" s="33">
        <f>ROUND(MIN(MAX(0,N('Your debts'!$E$14)),J441),2)</f>
      </c>
      <c r="U441" s="33">
        <f>ROUND(MIN(MAX(0,N('Your debts'!$E$15)),K441),2)</f>
      </c>
      <c r="V441" s="33">
        <f>ROUND(B441-L441,2)</f>
      </c>
      <c r="W441" s="33">
        <f>ROUND(C441-M441,2)</f>
      </c>
      <c r="X441" s="33">
        <f>ROUND(D441-N441,2)</f>
      </c>
      <c r="Y441" s="33">
        <f>ROUND(E441-O441,2)</f>
      </c>
      <c r="Z441" s="33">
        <f>ROUND(F441-P441,2)</f>
      </c>
      <c r="AA441" s="33">
        <f>ROUND(G441-Q441,2)</f>
      </c>
      <c r="AB441" s="33">
        <f>ROUND(H441-R441,2)</f>
      </c>
      <c r="AC441" s="33">
        <f>ROUND(I441-S441,2)</f>
      </c>
      <c r="AD441" s="33">
        <f>ROUND(J441-T441,2)</f>
      </c>
      <c r="AE441" s="33">
        <f>ROUND(K441-U441,2)</f>
      </c>
      <c r="AF441" s="33">
        <f>IF(V441&lt;=0,0,MAX(0,MIN(V441,ROUND($AZ441-SUMPRODUCT($V441:$AE441*($V441:$AE441&gt;0)*(($V441:$AE441&lt;V441)+($V441:$AE441=V441)*($V$3:$AE$3&gt;V$3)+($V441:$AE441=V441)*($V$3:$AE$3=V$3)*($V$2:$AE$2&lt;V$2))),2))))</f>
      </c>
      <c r="AG441" s="33">
        <f>IF(W441&lt;=0,0,MAX(0,MIN(W441,ROUND($AZ441-SUMPRODUCT($V441:$AE441*($V441:$AE441&gt;0)*(($V441:$AE441&lt;W441)+($V441:$AE441=W441)*($V$3:$AE$3&gt;W$3)+($V441:$AE441=W441)*($V$3:$AE$3=W$3)*($V$2:$AE$2&lt;W$2))),2))))</f>
      </c>
      <c r="AH441" s="33">
        <f>IF(X441&lt;=0,0,MAX(0,MIN(X441,ROUND($AZ441-SUMPRODUCT($V441:$AE441*($V441:$AE441&gt;0)*(($V441:$AE441&lt;X441)+($V441:$AE441=X441)*($V$3:$AE$3&gt;X$3)+($V441:$AE441=X441)*($V$3:$AE$3=X$3)*($V$2:$AE$2&lt;X$2))),2))))</f>
      </c>
      <c r="AI441" s="33">
        <f>IF(Y441&lt;=0,0,MAX(0,MIN(Y441,ROUND($AZ441-SUMPRODUCT($V441:$AE441*($V441:$AE441&gt;0)*(($V441:$AE441&lt;Y441)+($V441:$AE441=Y441)*($V$3:$AE$3&gt;Y$3)+($V441:$AE441=Y441)*($V$3:$AE$3=Y$3)*($V$2:$AE$2&lt;Y$2))),2))))</f>
      </c>
      <c r="AJ441" s="33">
        <f>IF(Z441&lt;=0,0,MAX(0,MIN(Z441,ROUND($AZ441-SUMPRODUCT($V441:$AE441*($V441:$AE441&gt;0)*(($V441:$AE441&lt;Z441)+($V441:$AE441=Z441)*($V$3:$AE$3&gt;Z$3)+($V441:$AE441=Z441)*($V$3:$AE$3=Z$3)*($V$2:$AE$2&lt;Z$2))),2))))</f>
      </c>
      <c r="AK441" s="33">
        <f>IF(AA441&lt;=0,0,MAX(0,MIN(AA441,ROUND($AZ441-SUMPRODUCT($V441:$AE441*($V441:$AE441&gt;0)*(($V441:$AE441&lt;AA441)+($V441:$AE441=AA441)*($V$3:$AE$3&gt;AA$3)+($V441:$AE441=AA441)*($V$3:$AE$3=AA$3)*($V$2:$AE$2&lt;AA$2))),2))))</f>
      </c>
      <c r="AL441" s="33">
        <f>IF(AB441&lt;=0,0,MAX(0,MIN(AB441,ROUND($AZ441-SUMPRODUCT($V441:$AE441*($V441:$AE441&gt;0)*(($V441:$AE441&lt;AB441)+($V441:$AE441=AB441)*($V$3:$AE$3&gt;AB$3)+($V441:$AE441=AB441)*($V$3:$AE$3=AB$3)*($V$2:$AE$2&lt;AB$2))),2))))</f>
      </c>
      <c r="AM441" s="33">
        <f>IF(AC441&lt;=0,0,MAX(0,MIN(AC441,ROUND($AZ441-SUMPRODUCT($V441:$AE441*($V441:$AE441&gt;0)*(($V441:$AE441&lt;AC441)+($V441:$AE441=AC441)*($V$3:$AE$3&gt;AC$3)+($V441:$AE441=AC441)*($V$3:$AE$3=AC$3)*($V$2:$AE$2&lt;AC$2))),2))))</f>
      </c>
      <c r="AN441" s="33">
        <f>IF(AD441&lt;=0,0,MAX(0,MIN(AD441,ROUND($AZ441-SUMPRODUCT($V441:$AE441*($V441:$AE441&gt;0)*(($V441:$AE441&lt;AD441)+($V441:$AE441=AD441)*($V$3:$AE$3&gt;AD$3)+($V441:$AE441=AD441)*($V$3:$AE$3=AD$3)*($V$2:$AE$2&lt;AD$2))),2))))</f>
      </c>
      <c r="AO441" s="33">
        <f>IF(AE441&lt;=0,0,MAX(0,MIN(AE441,ROUND($AZ441-SUMPRODUCT($V441:$AE441*($V441:$AE441&gt;0)*(($V441:$AE441&lt;AE441)+($V441:$AE441=AE441)*($V$3:$AE$3&gt;AE$3)+($V441:$AE441=AE441)*($V$3:$AE$3=AE$3)*($V$2:$AE$2&lt;AE$2))),2))))</f>
      </c>
      <c r="AP441" s="33">
        <f>ROUND(V441-AF441,2)</f>
      </c>
      <c r="AQ441" s="33">
        <f>ROUND(W441-AG441,2)</f>
      </c>
      <c r="AR441" s="33">
        <f>ROUND(X441-AH441,2)</f>
      </c>
      <c r="AS441" s="33">
        <f>ROUND(Y441-AI441,2)</f>
      </c>
      <c r="AT441" s="33">
        <f>ROUND(Z441-AJ441,2)</f>
      </c>
      <c r="AU441" s="33">
        <f>ROUND(AA441-AK441,2)</f>
      </c>
      <c r="AV441" s="33">
        <f>ROUND(AB441-AL441,2)</f>
      </c>
      <c r="AW441" s="33">
        <f>ROUND(AC441-AM441,2)</f>
      </c>
      <c r="AX441" s="33">
        <f>ROUND(AD441-AN441,2)</f>
      </c>
      <c r="AY441" s="33">
        <f>ROUND(AE441-AO441,2)</f>
      </c>
      <c r="AZ441" s="33">
        <f>ROUND(MAX(0,'Your debts'!$D$22-SUM($L441:$U441)),2)</f>
      </c>
      <c r="BA441" s="33">
        <f>ROUND(SUM($B441:$K441)-SUM($AP440:$AY440),2)</f>
      </c>
      <c r="BB441" s="33">
        <f>SUM($AP441:$AY441)</f>
      </c>
      <c r="BC441" s="33">
        <f>ROUND(SUM($L441:$U441)+SUM($AF441:$AO441),2)</f>
      </c>
    </row>
    <row r="442" spans="1:55" x14ac:dyDescent="0.25">
      <c r="A442">
        <v>435</v>
      </c>
      <c r="B442" s="33">
        <f>IF(AP441&lt;=0,0,ROUND(AP441+ROUND(AP441*V$3/12,2),2))</f>
      </c>
      <c r="C442" s="33">
        <f>IF(AQ441&lt;=0,0,ROUND(AQ441+ROUND(AQ441*W$3/12,2),2))</f>
      </c>
      <c r="D442" s="33">
        <f>IF(AR441&lt;=0,0,ROUND(AR441+ROUND(AR441*X$3/12,2),2))</f>
      </c>
      <c r="E442" s="33">
        <f>IF(AS441&lt;=0,0,ROUND(AS441+ROUND(AS441*Y$3/12,2),2))</f>
      </c>
      <c r="F442" s="33">
        <f>IF(AT441&lt;=0,0,ROUND(AT441+ROUND(AT441*Z$3/12,2),2))</f>
      </c>
      <c r="G442" s="33">
        <f>IF(AU441&lt;=0,0,ROUND(AU441+ROUND(AU441*AA$3/12,2),2))</f>
      </c>
      <c r="H442" s="33">
        <f>IF(AV441&lt;=0,0,ROUND(AV441+ROUND(AV441*AB$3/12,2),2))</f>
      </c>
      <c r="I442" s="33">
        <f>IF(AW441&lt;=0,0,ROUND(AW441+ROUND(AW441*AC$3/12,2),2))</f>
      </c>
      <c r="J442" s="33">
        <f>IF(AX441&lt;=0,0,ROUND(AX441+ROUND(AX441*AD$3/12,2),2))</f>
      </c>
      <c r="K442" s="33">
        <f>IF(AY441&lt;=0,0,ROUND(AY441+ROUND(AY441*AE$3/12,2),2))</f>
      </c>
      <c r="L442" s="33">
        <f>ROUND(MIN(MAX(0,N('Your debts'!$E$6)),B442),2)</f>
      </c>
      <c r="M442" s="33">
        <f>ROUND(MIN(MAX(0,N('Your debts'!$E$7)),C442),2)</f>
      </c>
      <c r="N442" s="33">
        <f>ROUND(MIN(MAX(0,N('Your debts'!$E$8)),D442),2)</f>
      </c>
      <c r="O442" s="33">
        <f>ROUND(MIN(MAX(0,N('Your debts'!$E$9)),E442),2)</f>
      </c>
      <c r="P442" s="33">
        <f>ROUND(MIN(MAX(0,N('Your debts'!$E$10)),F442),2)</f>
      </c>
      <c r="Q442" s="33">
        <f>ROUND(MIN(MAX(0,N('Your debts'!$E$11)),G442),2)</f>
      </c>
      <c r="R442" s="33">
        <f>ROUND(MIN(MAX(0,N('Your debts'!$E$12)),H442),2)</f>
      </c>
      <c r="S442" s="33">
        <f>ROUND(MIN(MAX(0,N('Your debts'!$E$13)),I442),2)</f>
      </c>
      <c r="T442" s="33">
        <f>ROUND(MIN(MAX(0,N('Your debts'!$E$14)),J442),2)</f>
      </c>
      <c r="U442" s="33">
        <f>ROUND(MIN(MAX(0,N('Your debts'!$E$15)),K442),2)</f>
      </c>
      <c r="V442" s="33">
        <f>ROUND(B442-L442,2)</f>
      </c>
      <c r="W442" s="33">
        <f>ROUND(C442-M442,2)</f>
      </c>
      <c r="X442" s="33">
        <f>ROUND(D442-N442,2)</f>
      </c>
      <c r="Y442" s="33">
        <f>ROUND(E442-O442,2)</f>
      </c>
      <c r="Z442" s="33">
        <f>ROUND(F442-P442,2)</f>
      </c>
      <c r="AA442" s="33">
        <f>ROUND(G442-Q442,2)</f>
      </c>
      <c r="AB442" s="33">
        <f>ROUND(H442-R442,2)</f>
      </c>
      <c r="AC442" s="33">
        <f>ROUND(I442-S442,2)</f>
      </c>
      <c r="AD442" s="33">
        <f>ROUND(J442-T442,2)</f>
      </c>
      <c r="AE442" s="33">
        <f>ROUND(K442-U442,2)</f>
      </c>
      <c r="AF442" s="33">
        <f>IF(V442&lt;=0,0,MAX(0,MIN(V442,ROUND($AZ442-SUMPRODUCT($V442:$AE442*($V442:$AE442&gt;0)*(($V442:$AE442&lt;V442)+($V442:$AE442=V442)*($V$3:$AE$3&gt;V$3)+($V442:$AE442=V442)*($V$3:$AE$3=V$3)*($V$2:$AE$2&lt;V$2))),2))))</f>
      </c>
      <c r="AG442" s="33">
        <f>IF(W442&lt;=0,0,MAX(0,MIN(W442,ROUND($AZ442-SUMPRODUCT($V442:$AE442*($V442:$AE442&gt;0)*(($V442:$AE442&lt;W442)+($V442:$AE442=W442)*($V$3:$AE$3&gt;W$3)+($V442:$AE442=W442)*($V$3:$AE$3=W$3)*($V$2:$AE$2&lt;W$2))),2))))</f>
      </c>
      <c r="AH442" s="33">
        <f>IF(X442&lt;=0,0,MAX(0,MIN(X442,ROUND($AZ442-SUMPRODUCT($V442:$AE442*($V442:$AE442&gt;0)*(($V442:$AE442&lt;X442)+($V442:$AE442=X442)*($V$3:$AE$3&gt;X$3)+($V442:$AE442=X442)*($V$3:$AE$3=X$3)*($V$2:$AE$2&lt;X$2))),2))))</f>
      </c>
      <c r="AI442" s="33">
        <f>IF(Y442&lt;=0,0,MAX(0,MIN(Y442,ROUND($AZ442-SUMPRODUCT($V442:$AE442*($V442:$AE442&gt;0)*(($V442:$AE442&lt;Y442)+($V442:$AE442=Y442)*($V$3:$AE$3&gt;Y$3)+($V442:$AE442=Y442)*($V$3:$AE$3=Y$3)*($V$2:$AE$2&lt;Y$2))),2))))</f>
      </c>
      <c r="AJ442" s="33">
        <f>IF(Z442&lt;=0,0,MAX(0,MIN(Z442,ROUND($AZ442-SUMPRODUCT($V442:$AE442*($V442:$AE442&gt;0)*(($V442:$AE442&lt;Z442)+($V442:$AE442=Z442)*($V$3:$AE$3&gt;Z$3)+($V442:$AE442=Z442)*($V$3:$AE$3=Z$3)*($V$2:$AE$2&lt;Z$2))),2))))</f>
      </c>
      <c r="AK442" s="33">
        <f>IF(AA442&lt;=0,0,MAX(0,MIN(AA442,ROUND($AZ442-SUMPRODUCT($V442:$AE442*($V442:$AE442&gt;0)*(($V442:$AE442&lt;AA442)+($V442:$AE442=AA442)*($V$3:$AE$3&gt;AA$3)+($V442:$AE442=AA442)*($V$3:$AE$3=AA$3)*($V$2:$AE$2&lt;AA$2))),2))))</f>
      </c>
      <c r="AL442" s="33">
        <f>IF(AB442&lt;=0,0,MAX(0,MIN(AB442,ROUND($AZ442-SUMPRODUCT($V442:$AE442*($V442:$AE442&gt;0)*(($V442:$AE442&lt;AB442)+($V442:$AE442=AB442)*($V$3:$AE$3&gt;AB$3)+($V442:$AE442=AB442)*($V$3:$AE$3=AB$3)*($V$2:$AE$2&lt;AB$2))),2))))</f>
      </c>
      <c r="AM442" s="33">
        <f>IF(AC442&lt;=0,0,MAX(0,MIN(AC442,ROUND($AZ442-SUMPRODUCT($V442:$AE442*($V442:$AE442&gt;0)*(($V442:$AE442&lt;AC442)+($V442:$AE442=AC442)*($V$3:$AE$3&gt;AC$3)+($V442:$AE442=AC442)*($V$3:$AE$3=AC$3)*($V$2:$AE$2&lt;AC$2))),2))))</f>
      </c>
      <c r="AN442" s="33">
        <f>IF(AD442&lt;=0,0,MAX(0,MIN(AD442,ROUND($AZ442-SUMPRODUCT($V442:$AE442*($V442:$AE442&gt;0)*(($V442:$AE442&lt;AD442)+($V442:$AE442=AD442)*($V$3:$AE$3&gt;AD$3)+($V442:$AE442=AD442)*($V$3:$AE$3=AD$3)*($V$2:$AE$2&lt;AD$2))),2))))</f>
      </c>
      <c r="AO442" s="33">
        <f>IF(AE442&lt;=0,0,MAX(0,MIN(AE442,ROUND($AZ442-SUMPRODUCT($V442:$AE442*($V442:$AE442&gt;0)*(($V442:$AE442&lt;AE442)+($V442:$AE442=AE442)*($V$3:$AE$3&gt;AE$3)+($V442:$AE442=AE442)*($V$3:$AE$3=AE$3)*($V$2:$AE$2&lt;AE$2))),2))))</f>
      </c>
      <c r="AP442" s="33">
        <f>ROUND(V442-AF442,2)</f>
      </c>
      <c r="AQ442" s="33">
        <f>ROUND(W442-AG442,2)</f>
      </c>
      <c r="AR442" s="33">
        <f>ROUND(X442-AH442,2)</f>
      </c>
      <c r="AS442" s="33">
        <f>ROUND(Y442-AI442,2)</f>
      </c>
      <c r="AT442" s="33">
        <f>ROUND(Z442-AJ442,2)</f>
      </c>
      <c r="AU442" s="33">
        <f>ROUND(AA442-AK442,2)</f>
      </c>
      <c r="AV442" s="33">
        <f>ROUND(AB442-AL442,2)</f>
      </c>
      <c r="AW442" s="33">
        <f>ROUND(AC442-AM442,2)</f>
      </c>
      <c r="AX442" s="33">
        <f>ROUND(AD442-AN442,2)</f>
      </c>
      <c r="AY442" s="33">
        <f>ROUND(AE442-AO442,2)</f>
      </c>
      <c r="AZ442" s="33">
        <f>ROUND(MAX(0,'Your debts'!$D$22-SUM($L442:$U442)),2)</f>
      </c>
      <c r="BA442" s="33">
        <f>ROUND(SUM($B442:$K442)-SUM($AP441:$AY441),2)</f>
      </c>
      <c r="BB442" s="33">
        <f>SUM($AP442:$AY442)</f>
      </c>
      <c r="BC442" s="33">
        <f>ROUND(SUM($L442:$U442)+SUM($AF442:$AO442),2)</f>
      </c>
    </row>
    <row r="443" spans="1:55" x14ac:dyDescent="0.25">
      <c r="A443">
        <v>436</v>
      </c>
      <c r="B443" s="33">
        <f>IF(AP442&lt;=0,0,ROUND(AP442+ROUND(AP442*V$3/12,2),2))</f>
      </c>
      <c r="C443" s="33">
        <f>IF(AQ442&lt;=0,0,ROUND(AQ442+ROUND(AQ442*W$3/12,2),2))</f>
      </c>
      <c r="D443" s="33">
        <f>IF(AR442&lt;=0,0,ROUND(AR442+ROUND(AR442*X$3/12,2),2))</f>
      </c>
      <c r="E443" s="33">
        <f>IF(AS442&lt;=0,0,ROUND(AS442+ROUND(AS442*Y$3/12,2),2))</f>
      </c>
      <c r="F443" s="33">
        <f>IF(AT442&lt;=0,0,ROUND(AT442+ROUND(AT442*Z$3/12,2),2))</f>
      </c>
      <c r="G443" s="33">
        <f>IF(AU442&lt;=0,0,ROUND(AU442+ROUND(AU442*AA$3/12,2),2))</f>
      </c>
      <c r="H443" s="33">
        <f>IF(AV442&lt;=0,0,ROUND(AV442+ROUND(AV442*AB$3/12,2),2))</f>
      </c>
      <c r="I443" s="33">
        <f>IF(AW442&lt;=0,0,ROUND(AW442+ROUND(AW442*AC$3/12,2),2))</f>
      </c>
      <c r="J443" s="33">
        <f>IF(AX442&lt;=0,0,ROUND(AX442+ROUND(AX442*AD$3/12,2),2))</f>
      </c>
      <c r="K443" s="33">
        <f>IF(AY442&lt;=0,0,ROUND(AY442+ROUND(AY442*AE$3/12,2),2))</f>
      </c>
      <c r="L443" s="33">
        <f>ROUND(MIN(MAX(0,N('Your debts'!$E$6)),B443),2)</f>
      </c>
      <c r="M443" s="33">
        <f>ROUND(MIN(MAX(0,N('Your debts'!$E$7)),C443),2)</f>
      </c>
      <c r="N443" s="33">
        <f>ROUND(MIN(MAX(0,N('Your debts'!$E$8)),D443),2)</f>
      </c>
      <c r="O443" s="33">
        <f>ROUND(MIN(MAX(0,N('Your debts'!$E$9)),E443),2)</f>
      </c>
      <c r="P443" s="33">
        <f>ROUND(MIN(MAX(0,N('Your debts'!$E$10)),F443),2)</f>
      </c>
      <c r="Q443" s="33">
        <f>ROUND(MIN(MAX(0,N('Your debts'!$E$11)),G443),2)</f>
      </c>
      <c r="R443" s="33">
        <f>ROUND(MIN(MAX(0,N('Your debts'!$E$12)),H443),2)</f>
      </c>
      <c r="S443" s="33">
        <f>ROUND(MIN(MAX(0,N('Your debts'!$E$13)),I443),2)</f>
      </c>
      <c r="T443" s="33">
        <f>ROUND(MIN(MAX(0,N('Your debts'!$E$14)),J443),2)</f>
      </c>
      <c r="U443" s="33">
        <f>ROUND(MIN(MAX(0,N('Your debts'!$E$15)),K443),2)</f>
      </c>
      <c r="V443" s="33">
        <f>ROUND(B443-L443,2)</f>
      </c>
      <c r="W443" s="33">
        <f>ROUND(C443-M443,2)</f>
      </c>
      <c r="X443" s="33">
        <f>ROUND(D443-N443,2)</f>
      </c>
      <c r="Y443" s="33">
        <f>ROUND(E443-O443,2)</f>
      </c>
      <c r="Z443" s="33">
        <f>ROUND(F443-P443,2)</f>
      </c>
      <c r="AA443" s="33">
        <f>ROUND(G443-Q443,2)</f>
      </c>
      <c r="AB443" s="33">
        <f>ROUND(H443-R443,2)</f>
      </c>
      <c r="AC443" s="33">
        <f>ROUND(I443-S443,2)</f>
      </c>
      <c r="AD443" s="33">
        <f>ROUND(J443-T443,2)</f>
      </c>
      <c r="AE443" s="33">
        <f>ROUND(K443-U443,2)</f>
      </c>
      <c r="AF443" s="33">
        <f>IF(V443&lt;=0,0,MAX(0,MIN(V443,ROUND($AZ443-SUMPRODUCT($V443:$AE443*($V443:$AE443&gt;0)*(($V443:$AE443&lt;V443)+($V443:$AE443=V443)*($V$3:$AE$3&gt;V$3)+($V443:$AE443=V443)*($V$3:$AE$3=V$3)*($V$2:$AE$2&lt;V$2))),2))))</f>
      </c>
      <c r="AG443" s="33">
        <f>IF(W443&lt;=0,0,MAX(0,MIN(W443,ROUND($AZ443-SUMPRODUCT($V443:$AE443*($V443:$AE443&gt;0)*(($V443:$AE443&lt;W443)+($V443:$AE443=W443)*($V$3:$AE$3&gt;W$3)+($V443:$AE443=W443)*($V$3:$AE$3=W$3)*($V$2:$AE$2&lt;W$2))),2))))</f>
      </c>
      <c r="AH443" s="33">
        <f>IF(X443&lt;=0,0,MAX(0,MIN(X443,ROUND($AZ443-SUMPRODUCT($V443:$AE443*($V443:$AE443&gt;0)*(($V443:$AE443&lt;X443)+($V443:$AE443=X443)*($V$3:$AE$3&gt;X$3)+($V443:$AE443=X443)*($V$3:$AE$3=X$3)*($V$2:$AE$2&lt;X$2))),2))))</f>
      </c>
      <c r="AI443" s="33">
        <f>IF(Y443&lt;=0,0,MAX(0,MIN(Y443,ROUND($AZ443-SUMPRODUCT($V443:$AE443*($V443:$AE443&gt;0)*(($V443:$AE443&lt;Y443)+($V443:$AE443=Y443)*($V$3:$AE$3&gt;Y$3)+($V443:$AE443=Y443)*($V$3:$AE$3=Y$3)*($V$2:$AE$2&lt;Y$2))),2))))</f>
      </c>
      <c r="AJ443" s="33">
        <f>IF(Z443&lt;=0,0,MAX(0,MIN(Z443,ROUND($AZ443-SUMPRODUCT($V443:$AE443*($V443:$AE443&gt;0)*(($V443:$AE443&lt;Z443)+($V443:$AE443=Z443)*($V$3:$AE$3&gt;Z$3)+($V443:$AE443=Z443)*($V$3:$AE$3=Z$3)*($V$2:$AE$2&lt;Z$2))),2))))</f>
      </c>
      <c r="AK443" s="33">
        <f>IF(AA443&lt;=0,0,MAX(0,MIN(AA443,ROUND($AZ443-SUMPRODUCT($V443:$AE443*($V443:$AE443&gt;0)*(($V443:$AE443&lt;AA443)+($V443:$AE443=AA443)*($V$3:$AE$3&gt;AA$3)+($V443:$AE443=AA443)*($V$3:$AE$3=AA$3)*($V$2:$AE$2&lt;AA$2))),2))))</f>
      </c>
      <c r="AL443" s="33">
        <f>IF(AB443&lt;=0,0,MAX(0,MIN(AB443,ROUND($AZ443-SUMPRODUCT($V443:$AE443*($V443:$AE443&gt;0)*(($V443:$AE443&lt;AB443)+($V443:$AE443=AB443)*($V$3:$AE$3&gt;AB$3)+($V443:$AE443=AB443)*($V$3:$AE$3=AB$3)*($V$2:$AE$2&lt;AB$2))),2))))</f>
      </c>
      <c r="AM443" s="33">
        <f>IF(AC443&lt;=0,0,MAX(0,MIN(AC443,ROUND($AZ443-SUMPRODUCT($V443:$AE443*($V443:$AE443&gt;0)*(($V443:$AE443&lt;AC443)+($V443:$AE443=AC443)*($V$3:$AE$3&gt;AC$3)+($V443:$AE443=AC443)*($V$3:$AE$3=AC$3)*($V$2:$AE$2&lt;AC$2))),2))))</f>
      </c>
      <c r="AN443" s="33">
        <f>IF(AD443&lt;=0,0,MAX(0,MIN(AD443,ROUND($AZ443-SUMPRODUCT($V443:$AE443*($V443:$AE443&gt;0)*(($V443:$AE443&lt;AD443)+($V443:$AE443=AD443)*($V$3:$AE$3&gt;AD$3)+($V443:$AE443=AD443)*($V$3:$AE$3=AD$3)*($V$2:$AE$2&lt;AD$2))),2))))</f>
      </c>
      <c r="AO443" s="33">
        <f>IF(AE443&lt;=0,0,MAX(0,MIN(AE443,ROUND($AZ443-SUMPRODUCT($V443:$AE443*($V443:$AE443&gt;0)*(($V443:$AE443&lt;AE443)+($V443:$AE443=AE443)*($V$3:$AE$3&gt;AE$3)+($V443:$AE443=AE443)*($V$3:$AE$3=AE$3)*($V$2:$AE$2&lt;AE$2))),2))))</f>
      </c>
      <c r="AP443" s="33">
        <f>ROUND(V443-AF443,2)</f>
      </c>
      <c r="AQ443" s="33">
        <f>ROUND(W443-AG443,2)</f>
      </c>
      <c r="AR443" s="33">
        <f>ROUND(X443-AH443,2)</f>
      </c>
      <c r="AS443" s="33">
        <f>ROUND(Y443-AI443,2)</f>
      </c>
      <c r="AT443" s="33">
        <f>ROUND(Z443-AJ443,2)</f>
      </c>
      <c r="AU443" s="33">
        <f>ROUND(AA443-AK443,2)</f>
      </c>
      <c r="AV443" s="33">
        <f>ROUND(AB443-AL443,2)</f>
      </c>
      <c r="AW443" s="33">
        <f>ROUND(AC443-AM443,2)</f>
      </c>
      <c r="AX443" s="33">
        <f>ROUND(AD443-AN443,2)</f>
      </c>
      <c r="AY443" s="33">
        <f>ROUND(AE443-AO443,2)</f>
      </c>
      <c r="AZ443" s="33">
        <f>ROUND(MAX(0,'Your debts'!$D$22-SUM($L443:$U443)),2)</f>
      </c>
      <c r="BA443" s="33">
        <f>ROUND(SUM($B443:$K443)-SUM($AP442:$AY442),2)</f>
      </c>
      <c r="BB443" s="33">
        <f>SUM($AP443:$AY443)</f>
      </c>
      <c r="BC443" s="33">
        <f>ROUND(SUM($L443:$U443)+SUM($AF443:$AO443),2)</f>
      </c>
    </row>
    <row r="444" spans="1:55" x14ac:dyDescent="0.25">
      <c r="A444">
        <v>437</v>
      </c>
      <c r="B444" s="33">
        <f>IF(AP443&lt;=0,0,ROUND(AP443+ROUND(AP443*V$3/12,2),2))</f>
      </c>
      <c r="C444" s="33">
        <f>IF(AQ443&lt;=0,0,ROUND(AQ443+ROUND(AQ443*W$3/12,2),2))</f>
      </c>
      <c r="D444" s="33">
        <f>IF(AR443&lt;=0,0,ROUND(AR443+ROUND(AR443*X$3/12,2),2))</f>
      </c>
      <c r="E444" s="33">
        <f>IF(AS443&lt;=0,0,ROUND(AS443+ROUND(AS443*Y$3/12,2),2))</f>
      </c>
      <c r="F444" s="33">
        <f>IF(AT443&lt;=0,0,ROUND(AT443+ROUND(AT443*Z$3/12,2),2))</f>
      </c>
      <c r="G444" s="33">
        <f>IF(AU443&lt;=0,0,ROUND(AU443+ROUND(AU443*AA$3/12,2),2))</f>
      </c>
      <c r="H444" s="33">
        <f>IF(AV443&lt;=0,0,ROUND(AV443+ROUND(AV443*AB$3/12,2),2))</f>
      </c>
      <c r="I444" s="33">
        <f>IF(AW443&lt;=0,0,ROUND(AW443+ROUND(AW443*AC$3/12,2),2))</f>
      </c>
      <c r="J444" s="33">
        <f>IF(AX443&lt;=0,0,ROUND(AX443+ROUND(AX443*AD$3/12,2),2))</f>
      </c>
      <c r="K444" s="33">
        <f>IF(AY443&lt;=0,0,ROUND(AY443+ROUND(AY443*AE$3/12,2),2))</f>
      </c>
      <c r="L444" s="33">
        <f>ROUND(MIN(MAX(0,N('Your debts'!$E$6)),B444),2)</f>
      </c>
      <c r="M444" s="33">
        <f>ROUND(MIN(MAX(0,N('Your debts'!$E$7)),C444),2)</f>
      </c>
      <c r="N444" s="33">
        <f>ROUND(MIN(MAX(0,N('Your debts'!$E$8)),D444),2)</f>
      </c>
      <c r="O444" s="33">
        <f>ROUND(MIN(MAX(0,N('Your debts'!$E$9)),E444),2)</f>
      </c>
      <c r="P444" s="33">
        <f>ROUND(MIN(MAX(0,N('Your debts'!$E$10)),F444),2)</f>
      </c>
      <c r="Q444" s="33">
        <f>ROUND(MIN(MAX(0,N('Your debts'!$E$11)),G444),2)</f>
      </c>
      <c r="R444" s="33">
        <f>ROUND(MIN(MAX(0,N('Your debts'!$E$12)),H444),2)</f>
      </c>
      <c r="S444" s="33">
        <f>ROUND(MIN(MAX(0,N('Your debts'!$E$13)),I444),2)</f>
      </c>
      <c r="T444" s="33">
        <f>ROUND(MIN(MAX(0,N('Your debts'!$E$14)),J444),2)</f>
      </c>
      <c r="U444" s="33">
        <f>ROUND(MIN(MAX(0,N('Your debts'!$E$15)),K444),2)</f>
      </c>
      <c r="V444" s="33">
        <f>ROUND(B444-L444,2)</f>
      </c>
      <c r="W444" s="33">
        <f>ROUND(C444-M444,2)</f>
      </c>
      <c r="X444" s="33">
        <f>ROUND(D444-N444,2)</f>
      </c>
      <c r="Y444" s="33">
        <f>ROUND(E444-O444,2)</f>
      </c>
      <c r="Z444" s="33">
        <f>ROUND(F444-P444,2)</f>
      </c>
      <c r="AA444" s="33">
        <f>ROUND(G444-Q444,2)</f>
      </c>
      <c r="AB444" s="33">
        <f>ROUND(H444-R444,2)</f>
      </c>
      <c r="AC444" s="33">
        <f>ROUND(I444-S444,2)</f>
      </c>
      <c r="AD444" s="33">
        <f>ROUND(J444-T444,2)</f>
      </c>
      <c r="AE444" s="33">
        <f>ROUND(K444-U444,2)</f>
      </c>
      <c r="AF444" s="33">
        <f>IF(V444&lt;=0,0,MAX(0,MIN(V444,ROUND($AZ444-SUMPRODUCT($V444:$AE444*($V444:$AE444&gt;0)*(($V444:$AE444&lt;V444)+($V444:$AE444=V444)*($V$3:$AE$3&gt;V$3)+($V444:$AE444=V444)*($V$3:$AE$3=V$3)*($V$2:$AE$2&lt;V$2))),2))))</f>
      </c>
      <c r="AG444" s="33">
        <f>IF(W444&lt;=0,0,MAX(0,MIN(W444,ROUND($AZ444-SUMPRODUCT($V444:$AE444*($V444:$AE444&gt;0)*(($V444:$AE444&lt;W444)+($V444:$AE444=W444)*($V$3:$AE$3&gt;W$3)+($V444:$AE444=W444)*($V$3:$AE$3=W$3)*($V$2:$AE$2&lt;W$2))),2))))</f>
      </c>
      <c r="AH444" s="33">
        <f>IF(X444&lt;=0,0,MAX(0,MIN(X444,ROUND($AZ444-SUMPRODUCT($V444:$AE444*($V444:$AE444&gt;0)*(($V444:$AE444&lt;X444)+($V444:$AE444=X444)*($V$3:$AE$3&gt;X$3)+($V444:$AE444=X444)*($V$3:$AE$3=X$3)*($V$2:$AE$2&lt;X$2))),2))))</f>
      </c>
      <c r="AI444" s="33">
        <f>IF(Y444&lt;=0,0,MAX(0,MIN(Y444,ROUND($AZ444-SUMPRODUCT($V444:$AE444*($V444:$AE444&gt;0)*(($V444:$AE444&lt;Y444)+($V444:$AE444=Y444)*($V$3:$AE$3&gt;Y$3)+($V444:$AE444=Y444)*($V$3:$AE$3=Y$3)*($V$2:$AE$2&lt;Y$2))),2))))</f>
      </c>
      <c r="AJ444" s="33">
        <f>IF(Z444&lt;=0,0,MAX(0,MIN(Z444,ROUND($AZ444-SUMPRODUCT($V444:$AE444*($V444:$AE444&gt;0)*(($V444:$AE444&lt;Z444)+($V444:$AE444=Z444)*($V$3:$AE$3&gt;Z$3)+($V444:$AE444=Z444)*($V$3:$AE$3=Z$3)*($V$2:$AE$2&lt;Z$2))),2))))</f>
      </c>
      <c r="AK444" s="33">
        <f>IF(AA444&lt;=0,0,MAX(0,MIN(AA444,ROUND($AZ444-SUMPRODUCT($V444:$AE444*($V444:$AE444&gt;0)*(($V444:$AE444&lt;AA444)+($V444:$AE444=AA444)*($V$3:$AE$3&gt;AA$3)+($V444:$AE444=AA444)*($V$3:$AE$3=AA$3)*($V$2:$AE$2&lt;AA$2))),2))))</f>
      </c>
      <c r="AL444" s="33">
        <f>IF(AB444&lt;=0,0,MAX(0,MIN(AB444,ROUND($AZ444-SUMPRODUCT($V444:$AE444*($V444:$AE444&gt;0)*(($V444:$AE444&lt;AB444)+($V444:$AE444=AB444)*($V$3:$AE$3&gt;AB$3)+($V444:$AE444=AB444)*($V$3:$AE$3=AB$3)*($V$2:$AE$2&lt;AB$2))),2))))</f>
      </c>
      <c r="AM444" s="33">
        <f>IF(AC444&lt;=0,0,MAX(0,MIN(AC444,ROUND($AZ444-SUMPRODUCT($V444:$AE444*($V444:$AE444&gt;0)*(($V444:$AE444&lt;AC444)+($V444:$AE444=AC444)*($V$3:$AE$3&gt;AC$3)+($V444:$AE444=AC444)*($V$3:$AE$3=AC$3)*($V$2:$AE$2&lt;AC$2))),2))))</f>
      </c>
      <c r="AN444" s="33">
        <f>IF(AD444&lt;=0,0,MAX(0,MIN(AD444,ROUND($AZ444-SUMPRODUCT($V444:$AE444*($V444:$AE444&gt;0)*(($V444:$AE444&lt;AD444)+($V444:$AE444=AD444)*($V$3:$AE$3&gt;AD$3)+($V444:$AE444=AD444)*($V$3:$AE$3=AD$3)*($V$2:$AE$2&lt;AD$2))),2))))</f>
      </c>
      <c r="AO444" s="33">
        <f>IF(AE444&lt;=0,0,MAX(0,MIN(AE444,ROUND($AZ444-SUMPRODUCT($V444:$AE444*($V444:$AE444&gt;0)*(($V444:$AE444&lt;AE444)+($V444:$AE444=AE444)*($V$3:$AE$3&gt;AE$3)+($V444:$AE444=AE444)*($V$3:$AE$3=AE$3)*($V$2:$AE$2&lt;AE$2))),2))))</f>
      </c>
      <c r="AP444" s="33">
        <f>ROUND(V444-AF444,2)</f>
      </c>
      <c r="AQ444" s="33">
        <f>ROUND(W444-AG444,2)</f>
      </c>
      <c r="AR444" s="33">
        <f>ROUND(X444-AH444,2)</f>
      </c>
      <c r="AS444" s="33">
        <f>ROUND(Y444-AI444,2)</f>
      </c>
      <c r="AT444" s="33">
        <f>ROUND(Z444-AJ444,2)</f>
      </c>
      <c r="AU444" s="33">
        <f>ROUND(AA444-AK444,2)</f>
      </c>
      <c r="AV444" s="33">
        <f>ROUND(AB444-AL444,2)</f>
      </c>
      <c r="AW444" s="33">
        <f>ROUND(AC444-AM444,2)</f>
      </c>
      <c r="AX444" s="33">
        <f>ROUND(AD444-AN444,2)</f>
      </c>
      <c r="AY444" s="33">
        <f>ROUND(AE444-AO444,2)</f>
      </c>
      <c r="AZ444" s="33">
        <f>ROUND(MAX(0,'Your debts'!$D$22-SUM($L444:$U444)),2)</f>
      </c>
      <c r="BA444" s="33">
        <f>ROUND(SUM($B444:$K444)-SUM($AP443:$AY443),2)</f>
      </c>
      <c r="BB444" s="33">
        <f>SUM($AP444:$AY444)</f>
      </c>
      <c r="BC444" s="33">
        <f>ROUND(SUM($L444:$U444)+SUM($AF444:$AO444),2)</f>
      </c>
    </row>
    <row r="445" spans="1:55" x14ac:dyDescent="0.25">
      <c r="A445">
        <v>438</v>
      </c>
      <c r="B445" s="33">
        <f>IF(AP444&lt;=0,0,ROUND(AP444+ROUND(AP444*V$3/12,2),2))</f>
      </c>
      <c r="C445" s="33">
        <f>IF(AQ444&lt;=0,0,ROUND(AQ444+ROUND(AQ444*W$3/12,2),2))</f>
      </c>
      <c r="D445" s="33">
        <f>IF(AR444&lt;=0,0,ROUND(AR444+ROUND(AR444*X$3/12,2),2))</f>
      </c>
      <c r="E445" s="33">
        <f>IF(AS444&lt;=0,0,ROUND(AS444+ROUND(AS444*Y$3/12,2),2))</f>
      </c>
      <c r="F445" s="33">
        <f>IF(AT444&lt;=0,0,ROUND(AT444+ROUND(AT444*Z$3/12,2),2))</f>
      </c>
      <c r="G445" s="33">
        <f>IF(AU444&lt;=0,0,ROUND(AU444+ROUND(AU444*AA$3/12,2),2))</f>
      </c>
      <c r="H445" s="33">
        <f>IF(AV444&lt;=0,0,ROUND(AV444+ROUND(AV444*AB$3/12,2),2))</f>
      </c>
      <c r="I445" s="33">
        <f>IF(AW444&lt;=0,0,ROUND(AW444+ROUND(AW444*AC$3/12,2),2))</f>
      </c>
      <c r="J445" s="33">
        <f>IF(AX444&lt;=0,0,ROUND(AX444+ROUND(AX444*AD$3/12,2),2))</f>
      </c>
      <c r="K445" s="33">
        <f>IF(AY444&lt;=0,0,ROUND(AY444+ROUND(AY444*AE$3/12,2),2))</f>
      </c>
      <c r="L445" s="33">
        <f>ROUND(MIN(MAX(0,N('Your debts'!$E$6)),B445),2)</f>
      </c>
      <c r="M445" s="33">
        <f>ROUND(MIN(MAX(0,N('Your debts'!$E$7)),C445),2)</f>
      </c>
      <c r="N445" s="33">
        <f>ROUND(MIN(MAX(0,N('Your debts'!$E$8)),D445),2)</f>
      </c>
      <c r="O445" s="33">
        <f>ROUND(MIN(MAX(0,N('Your debts'!$E$9)),E445),2)</f>
      </c>
      <c r="P445" s="33">
        <f>ROUND(MIN(MAX(0,N('Your debts'!$E$10)),F445),2)</f>
      </c>
      <c r="Q445" s="33">
        <f>ROUND(MIN(MAX(0,N('Your debts'!$E$11)),G445),2)</f>
      </c>
      <c r="R445" s="33">
        <f>ROUND(MIN(MAX(0,N('Your debts'!$E$12)),H445),2)</f>
      </c>
      <c r="S445" s="33">
        <f>ROUND(MIN(MAX(0,N('Your debts'!$E$13)),I445),2)</f>
      </c>
      <c r="T445" s="33">
        <f>ROUND(MIN(MAX(0,N('Your debts'!$E$14)),J445),2)</f>
      </c>
      <c r="U445" s="33">
        <f>ROUND(MIN(MAX(0,N('Your debts'!$E$15)),K445),2)</f>
      </c>
      <c r="V445" s="33">
        <f>ROUND(B445-L445,2)</f>
      </c>
      <c r="W445" s="33">
        <f>ROUND(C445-M445,2)</f>
      </c>
      <c r="X445" s="33">
        <f>ROUND(D445-N445,2)</f>
      </c>
      <c r="Y445" s="33">
        <f>ROUND(E445-O445,2)</f>
      </c>
      <c r="Z445" s="33">
        <f>ROUND(F445-P445,2)</f>
      </c>
      <c r="AA445" s="33">
        <f>ROUND(G445-Q445,2)</f>
      </c>
      <c r="AB445" s="33">
        <f>ROUND(H445-R445,2)</f>
      </c>
      <c r="AC445" s="33">
        <f>ROUND(I445-S445,2)</f>
      </c>
      <c r="AD445" s="33">
        <f>ROUND(J445-T445,2)</f>
      </c>
      <c r="AE445" s="33">
        <f>ROUND(K445-U445,2)</f>
      </c>
      <c r="AF445" s="33">
        <f>IF(V445&lt;=0,0,MAX(0,MIN(V445,ROUND($AZ445-SUMPRODUCT($V445:$AE445*($V445:$AE445&gt;0)*(($V445:$AE445&lt;V445)+($V445:$AE445=V445)*($V$3:$AE$3&gt;V$3)+($V445:$AE445=V445)*($V$3:$AE$3=V$3)*($V$2:$AE$2&lt;V$2))),2))))</f>
      </c>
      <c r="AG445" s="33">
        <f>IF(W445&lt;=0,0,MAX(0,MIN(W445,ROUND($AZ445-SUMPRODUCT($V445:$AE445*($V445:$AE445&gt;0)*(($V445:$AE445&lt;W445)+($V445:$AE445=W445)*($V$3:$AE$3&gt;W$3)+($V445:$AE445=W445)*($V$3:$AE$3=W$3)*($V$2:$AE$2&lt;W$2))),2))))</f>
      </c>
      <c r="AH445" s="33">
        <f>IF(X445&lt;=0,0,MAX(0,MIN(X445,ROUND($AZ445-SUMPRODUCT($V445:$AE445*($V445:$AE445&gt;0)*(($V445:$AE445&lt;X445)+($V445:$AE445=X445)*($V$3:$AE$3&gt;X$3)+($V445:$AE445=X445)*($V$3:$AE$3=X$3)*($V$2:$AE$2&lt;X$2))),2))))</f>
      </c>
      <c r="AI445" s="33">
        <f>IF(Y445&lt;=0,0,MAX(0,MIN(Y445,ROUND($AZ445-SUMPRODUCT($V445:$AE445*($V445:$AE445&gt;0)*(($V445:$AE445&lt;Y445)+($V445:$AE445=Y445)*($V$3:$AE$3&gt;Y$3)+($V445:$AE445=Y445)*($V$3:$AE$3=Y$3)*($V$2:$AE$2&lt;Y$2))),2))))</f>
      </c>
      <c r="AJ445" s="33">
        <f>IF(Z445&lt;=0,0,MAX(0,MIN(Z445,ROUND($AZ445-SUMPRODUCT($V445:$AE445*($V445:$AE445&gt;0)*(($V445:$AE445&lt;Z445)+($V445:$AE445=Z445)*($V$3:$AE$3&gt;Z$3)+($V445:$AE445=Z445)*($V$3:$AE$3=Z$3)*($V$2:$AE$2&lt;Z$2))),2))))</f>
      </c>
      <c r="AK445" s="33">
        <f>IF(AA445&lt;=0,0,MAX(0,MIN(AA445,ROUND($AZ445-SUMPRODUCT($V445:$AE445*($V445:$AE445&gt;0)*(($V445:$AE445&lt;AA445)+($V445:$AE445=AA445)*($V$3:$AE$3&gt;AA$3)+($V445:$AE445=AA445)*($V$3:$AE$3=AA$3)*($V$2:$AE$2&lt;AA$2))),2))))</f>
      </c>
      <c r="AL445" s="33">
        <f>IF(AB445&lt;=0,0,MAX(0,MIN(AB445,ROUND($AZ445-SUMPRODUCT($V445:$AE445*($V445:$AE445&gt;0)*(($V445:$AE445&lt;AB445)+($V445:$AE445=AB445)*($V$3:$AE$3&gt;AB$3)+($V445:$AE445=AB445)*($V$3:$AE$3=AB$3)*($V$2:$AE$2&lt;AB$2))),2))))</f>
      </c>
      <c r="AM445" s="33">
        <f>IF(AC445&lt;=0,0,MAX(0,MIN(AC445,ROUND($AZ445-SUMPRODUCT($V445:$AE445*($V445:$AE445&gt;0)*(($V445:$AE445&lt;AC445)+($V445:$AE445=AC445)*($V$3:$AE$3&gt;AC$3)+($V445:$AE445=AC445)*($V$3:$AE$3=AC$3)*($V$2:$AE$2&lt;AC$2))),2))))</f>
      </c>
      <c r="AN445" s="33">
        <f>IF(AD445&lt;=0,0,MAX(0,MIN(AD445,ROUND($AZ445-SUMPRODUCT($V445:$AE445*($V445:$AE445&gt;0)*(($V445:$AE445&lt;AD445)+($V445:$AE445=AD445)*($V$3:$AE$3&gt;AD$3)+($V445:$AE445=AD445)*($V$3:$AE$3=AD$3)*($V$2:$AE$2&lt;AD$2))),2))))</f>
      </c>
      <c r="AO445" s="33">
        <f>IF(AE445&lt;=0,0,MAX(0,MIN(AE445,ROUND($AZ445-SUMPRODUCT($V445:$AE445*($V445:$AE445&gt;0)*(($V445:$AE445&lt;AE445)+($V445:$AE445=AE445)*($V$3:$AE$3&gt;AE$3)+($V445:$AE445=AE445)*($V$3:$AE$3=AE$3)*($V$2:$AE$2&lt;AE$2))),2))))</f>
      </c>
      <c r="AP445" s="33">
        <f>ROUND(V445-AF445,2)</f>
      </c>
      <c r="AQ445" s="33">
        <f>ROUND(W445-AG445,2)</f>
      </c>
      <c r="AR445" s="33">
        <f>ROUND(X445-AH445,2)</f>
      </c>
      <c r="AS445" s="33">
        <f>ROUND(Y445-AI445,2)</f>
      </c>
      <c r="AT445" s="33">
        <f>ROUND(Z445-AJ445,2)</f>
      </c>
      <c r="AU445" s="33">
        <f>ROUND(AA445-AK445,2)</f>
      </c>
      <c r="AV445" s="33">
        <f>ROUND(AB445-AL445,2)</f>
      </c>
      <c r="AW445" s="33">
        <f>ROUND(AC445-AM445,2)</f>
      </c>
      <c r="AX445" s="33">
        <f>ROUND(AD445-AN445,2)</f>
      </c>
      <c r="AY445" s="33">
        <f>ROUND(AE445-AO445,2)</f>
      </c>
      <c r="AZ445" s="33">
        <f>ROUND(MAX(0,'Your debts'!$D$22-SUM($L445:$U445)),2)</f>
      </c>
      <c r="BA445" s="33">
        <f>ROUND(SUM($B445:$K445)-SUM($AP444:$AY444),2)</f>
      </c>
      <c r="BB445" s="33">
        <f>SUM($AP445:$AY445)</f>
      </c>
      <c r="BC445" s="33">
        <f>ROUND(SUM($L445:$U445)+SUM($AF445:$AO445),2)</f>
      </c>
    </row>
    <row r="446" spans="1:55" x14ac:dyDescent="0.25">
      <c r="A446">
        <v>439</v>
      </c>
      <c r="B446" s="33">
        <f>IF(AP445&lt;=0,0,ROUND(AP445+ROUND(AP445*V$3/12,2),2))</f>
      </c>
      <c r="C446" s="33">
        <f>IF(AQ445&lt;=0,0,ROUND(AQ445+ROUND(AQ445*W$3/12,2),2))</f>
      </c>
      <c r="D446" s="33">
        <f>IF(AR445&lt;=0,0,ROUND(AR445+ROUND(AR445*X$3/12,2),2))</f>
      </c>
      <c r="E446" s="33">
        <f>IF(AS445&lt;=0,0,ROUND(AS445+ROUND(AS445*Y$3/12,2),2))</f>
      </c>
      <c r="F446" s="33">
        <f>IF(AT445&lt;=0,0,ROUND(AT445+ROUND(AT445*Z$3/12,2),2))</f>
      </c>
      <c r="G446" s="33">
        <f>IF(AU445&lt;=0,0,ROUND(AU445+ROUND(AU445*AA$3/12,2),2))</f>
      </c>
      <c r="H446" s="33">
        <f>IF(AV445&lt;=0,0,ROUND(AV445+ROUND(AV445*AB$3/12,2),2))</f>
      </c>
      <c r="I446" s="33">
        <f>IF(AW445&lt;=0,0,ROUND(AW445+ROUND(AW445*AC$3/12,2),2))</f>
      </c>
      <c r="J446" s="33">
        <f>IF(AX445&lt;=0,0,ROUND(AX445+ROUND(AX445*AD$3/12,2),2))</f>
      </c>
      <c r="K446" s="33">
        <f>IF(AY445&lt;=0,0,ROUND(AY445+ROUND(AY445*AE$3/12,2),2))</f>
      </c>
      <c r="L446" s="33">
        <f>ROUND(MIN(MAX(0,N('Your debts'!$E$6)),B446),2)</f>
      </c>
      <c r="M446" s="33">
        <f>ROUND(MIN(MAX(0,N('Your debts'!$E$7)),C446),2)</f>
      </c>
      <c r="N446" s="33">
        <f>ROUND(MIN(MAX(0,N('Your debts'!$E$8)),D446),2)</f>
      </c>
      <c r="O446" s="33">
        <f>ROUND(MIN(MAX(0,N('Your debts'!$E$9)),E446),2)</f>
      </c>
      <c r="P446" s="33">
        <f>ROUND(MIN(MAX(0,N('Your debts'!$E$10)),F446),2)</f>
      </c>
      <c r="Q446" s="33">
        <f>ROUND(MIN(MAX(0,N('Your debts'!$E$11)),G446),2)</f>
      </c>
      <c r="R446" s="33">
        <f>ROUND(MIN(MAX(0,N('Your debts'!$E$12)),H446),2)</f>
      </c>
      <c r="S446" s="33">
        <f>ROUND(MIN(MAX(0,N('Your debts'!$E$13)),I446),2)</f>
      </c>
      <c r="T446" s="33">
        <f>ROUND(MIN(MAX(0,N('Your debts'!$E$14)),J446),2)</f>
      </c>
      <c r="U446" s="33">
        <f>ROUND(MIN(MAX(0,N('Your debts'!$E$15)),K446),2)</f>
      </c>
      <c r="V446" s="33">
        <f>ROUND(B446-L446,2)</f>
      </c>
      <c r="W446" s="33">
        <f>ROUND(C446-M446,2)</f>
      </c>
      <c r="X446" s="33">
        <f>ROUND(D446-N446,2)</f>
      </c>
      <c r="Y446" s="33">
        <f>ROUND(E446-O446,2)</f>
      </c>
      <c r="Z446" s="33">
        <f>ROUND(F446-P446,2)</f>
      </c>
      <c r="AA446" s="33">
        <f>ROUND(G446-Q446,2)</f>
      </c>
      <c r="AB446" s="33">
        <f>ROUND(H446-R446,2)</f>
      </c>
      <c r="AC446" s="33">
        <f>ROUND(I446-S446,2)</f>
      </c>
      <c r="AD446" s="33">
        <f>ROUND(J446-T446,2)</f>
      </c>
      <c r="AE446" s="33">
        <f>ROUND(K446-U446,2)</f>
      </c>
      <c r="AF446" s="33">
        <f>IF(V446&lt;=0,0,MAX(0,MIN(V446,ROUND($AZ446-SUMPRODUCT($V446:$AE446*($V446:$AE446&gt;0)*(($V446:$AE446&lt;V446)+($V446:$AE446=V446)*($V$3:$AE$3&gt;V$3)+($V446:$AE446=V446)*($V$3:$AE$3=V$3)*($V$2:$AE$2&lt;V$2))),2))))</f>
      </c>
      <c r="AG446" s="33">
        <f>IF(W446&lt;=0,0,MAX(0,MIN(W446,ROUND($AZ446-SUMPRODUCT($V446:$AE446*($V446:$AE446&gt;0)*(($V446:$AE446&lt;W446)+($V446:$AE446=W446)*($V$3:$AE$3&gt;W$3)+($V446:$AE446=W446)*($V$3:$AE$3=W$3)*($V$2:$AE$2&lt;W$2))),2))))</f>
      </c>
      <c r="AH446" s="33">
        <f>IF(X446&lt;=0,0,MAX(0,MIN(X446,ROUND($AZ446-SUMPRODUCT($V446:$AE446*($V446:$AE446&gt;0)*(($V446:$AE446&lt;X446)+($V446:$AE446=X446)*($V$3:$AE$3&gt;X$3)+($V446:$AE446=X446)*($V$3:$AE$3=X$3)*($V$2:$AE$2&lt;X$2))),2))))</f>
      </c>
      <c r="AI446" s="33">
        <f>IF(Y446&lt;=0,0,MAX(0,MIN(Y446,ROUND($AZ446-SUMPRODUCT($V446:$AE446*($V446:$AE446&gt;0)*(($V446:$AE446&lt;Y446)+($V446:$AE446=Y446)*($V$3:$AE$3&gt;Y$3)+($V446:$AE446=Y446)*($V$3:$AE$3=Y$3)*($V$2:$AE$2&lt;Y$2))),2))))</f>
      </c>
      <c r="AJ446" s="33">
        <f>IF(Z446&lt;=0,0,MAX(0,MIN(Z446,ROUND($AZ446-SUMPRODUCT($V446:$AE446*($V446:$AE446&gt;0)*(($V446:$AE446&lt;Z446)+($V446:$AE446=Z446)*($V$3:$AE$3&gt;Z$3)+($V446:$AE446=Z446)*($V$3:$AE$3=Z$3)*($V$2:$AE$2&lt;Z$2))),2))))</f>
      </c>
      <c r="AK446" s="33">
        <f>IF(AA446&lt;=0,0,MAX(0,MIN(AA446,ROUND($AZ446-SUMPRODUCT($V446:$AE446*($V446:$AE446&gt;0)*(($V446:$AE446&lt;AA446)+($V446:$AE446=AA446)*($V$3:$AE$3&gt;AA$3)+($V446:$AE446=AA446)*($V$3:$AE$3=AA$3)*($V$2:$AE$2&lt;AA$2))),2))))</f>
      </c>
      <c r="AL446" s="33">
        <f>IF(AB446&lt;=0,0,MAX(0,MIN(AB446,ROUND($AZ446-SUMPRODUCT($V446:$AE446*($V446:$AE446&gt;0)*(($V446:$AE446&lt;AB446)+($V446:$AE446=AB446)*($V$3:$AE$3&gt;AB$3)+($V446:$AE446=AB446)*($V$3:$AE$3=AB$3)*($V$2:$AE$2&lt;AB$2))),2))))</f>
      </c>
      <c r="AM446" s="33">
        <f>IF(AC446&lt;=0,0,MAX(0,MIN(AC446,ROUND($AZ446-SUMPRODUCT($V446:$AE446*($V446:$AE446&gt;0)*(($V446:$AE446&lt;AC446)+($V446:$AE446=AC446)*($V$3:$AE$3&gt;AC$3)+($V446:$AE446=AC446)*($V$3:$AE$3=AC$3)*($V$2:$AE$2&lt;AC$2))),2))))</f>
      </c>
      <c r="AN446" s="33">
        <f>IF(AD446&lt;=0,0,MAX(0,MIN(AD446,ROUND($AZ446-SUMPRODUCT($V446:$AE446*($V446:$AE446&gt;0)*(($V446:$AE446&lt;AD446)+($V446:$AE446=AD446)*($V$3:$AE$3&gt;AD$3)+($V446:$AE446=AD446)*($V$3:$AE$3=AD$3)*($V$2:$AE$2&lt;AD$2))),2))))</f>
      </c>
      <c r="AO446" s="33">
        <f>IF(AE446&lt;=0,0,MAX(0,MIN(AE446,ROUND($AZ446-SUMPRODUCT($V446:$AE446*($V446:$AE446&gt;0)*(($V446:$AE446&lt;AE446)+($V446:$AE446=AE446)*($V$3:$AE$3&gt;AE$3)+($V446:$AE446=AE446)*($V$3:$AE$3=AE$3)*($V$2:$AE$2&lt;AE$2))),2))))</f>
      </c>
      <c r="AP446" s="33">
        <f>ROUND(V446-AF446,2)</f>
      </c>
      <c r="AQ446" s="33">
        <f>ROUND(W446-AG446,2)</f>
      </c>
      <c r="AR446" s="33">
        <f>ROUND(X446-AH446,2)</f>
      </c>
      <c r="AS446" s="33">
        <f>ROUND(Y446-AI446,2)</f>
      </c>
      <c r="AT446" s="33">
        <f>ROUND(Z446-AJ446,2)</f>
      </c>
      <c r="AU446" s="33">
        <f>ROUND(AA446-AK446,2)</f>
      </c>
      <c r="AV446" s="33">
        <f>ROUND(AB446-AL446,2)</f>
      </c>
      <c r="AW446" s="33">
        <f>ROUND(AC446-AM446,2)</f>
      </c>
      <c r="AX446" s="33">
        <f>ROUND(AD446-AN446,2)</f>
      </c>
      <c r="AY446" s="33">
        <f>ROUND(AE446-AO446,2)</f>
      </c>
      <c r="AZ446" s="33">
        <f>ROUND(MAX(0,'Your debts'!$D$22-SUM($L446:$U446)),2)</f>
      </c>
      <c r="BA446" s="33">
        <f>ROUND(SUM($B446:$K446)-SUM($AP445:$AY445),2)</f>
      </c>
      <c r="BB446" s="33">
        <f>SUM($AP446:$AY446)</f>
      </c>
      <c r="BC446" s="33">
        <f>ROUND(SUM($L446:$U446)+SUM($AF446:$AO446),2)</f>
      </c>
    </row>
    <row r="447" spans="1:55" x14ac:dyDescent="0.25">
      <c r="A447">
        <v>440</v>
      </c>
      <c r="B447" s="33">
        <f>IF(AP446&lt;=0,0,ROUND(AP446+ROUND(AP446*V$3/12,2),2))</f>
      </c>
      <c r="C447" s="33">
        <f>IF(AQ446&lt;=0,0,ROUND(AQ446+ROUND(AQ446*W$3/12,2),2))</f>
      </c>
      <c r="D447" s="33">
        <f>IF(AR446&lt;=0,0,ROUND(AR446+ROUND(AR446*X$3/12,2),2))</f>
      </c>
      <c r="E447" s="33">
        <f>IF(AS446&lt;=0,0,ROUND(AS446+ROUND(AS446*Y$3/12,2),2))</f>
      </c>
      <c r="F447" s="33">
        <f>IF(AT446&lt;=0,0,ROUND(AT446+ROUND(AT446*Z$3/12,2),2))</f>
      </c>
      <c r="G447" s="33">
        <f>IF(AU446&lt;=0,0,ROUND(AU446+ROUND(AU446*AA$3/12,2),2))</f>
      </c>
      <c r="H447" s="33">
        <f>IF(AV446&lt;=0,0,ROUND(AV446+ROUND(AV446*AB$3/12,2),2))</f>
      </c>
      <c r="I447" s="33">
        <f>IF(AW446&lt;=0,0,ROUND(AW446+ROUND(AW446*AC$3/12,2),2))</f>
      </c>
      <c r="J447" s="33">
        <f>IF(AX446&lt;=0,0,ROUND(AX446+ROUND(AX446*AD$3/12,2),2))</f>
      </c>
      <c r="K447" s="33">
        <f>IF(AY446&lt;=0,0,ROUND(AY446+ROUND(AY446*AE$3/12,2),2))</f>
      </c>
      <c r="L447" s="33">
        <f>ROUND(MIN(MAX(0,N('Your debts'!$E$6)),B447),2)</f>
      </c>
      <c r="M447" s="33">
        <f>ROUND(MIN(MAX(0,N('Your debts'!$E$7)),C447),2)</f>
      </c>
      <c r="N447" s="33">
        <f>ROUND(MIN(MAX(0,N('Your debts'!$E$8)),D447),2)</f>
      </c>
      <c r="O447" s="33">
        <f>ROUND(MIN(MAX(0,N('Your debts'!$E$9)),E447),2)</f>
      </c>
      <c r="P447" s="33">
        <f>ROUND(MIN(MAX(0,N('Your debts'!$E$10)),F447),2)</f>
      </c>
      <c r="Q447" s="33">
        <f>ROUND(MIN(MAX(0,N('Your debts'!$E$11)),G447),2)</f>
      </c>
      <c r="R447" s="33">
        <f>ROUND(MIN(MAX(0,N('Your debts'!$E$12)),H447),2)</f>
      </c>
      <c r="S447" s="33">
        <f>ROUND(MIN(MAX(0,N('Your debts'!$E$13)),I447),2)</f>
      </c>
      <c r="T447" s="33">
        <f>ROUND(MIN(MAX(0,N('Your debts'!$E$14)),J447),2)</f>
      </c>
      <c r="U447" s="33">
        <f>ROUND(MIN(MAX(0,N('Your debts'!$E$15)),K447),2)</f>
      </c>
      <c r="V447" s="33">
        <f>ROUND(B447-L447,2)</f>
      </c>
      <c r="W447" s="33">
        <f>ROUND(C447-M447,2)</f>
      </c>
      <c r="X447" s="33">
        <f>ROUND(D447-N447,2)</f>
      </c>
      <c r="Y447" s="33">
        <f>ROUND(E447-O447,2)</f>
      </c>
      <c r="Z447" s="33">
        <f>ROUND(F447-P447,2)</f>
      </c>
      <c r="AA447" s="33">
        <f>ROUND(G447-Q447,2)</f>
      </c>
      <c r="AB447" s="33">
        <f>ROUND(H447-R447,2)</f>
      </c>
      <c r="AC447" s="33">
        <f>ROUND(I447-S447,2)</f>
      </c>
      <c r="AD447" s="33">
        <f>ROUND(J447-T447,2)</f>
      </c>
      <c r="AE447" s="33">
        <f>ROUND(K447-U447,2)</f>
      </c>
      <c r="AF447" s="33">
        <f>IF(V447&lt;=0,0,MAX(0,MIN(V447,ROUND($AZ447-SUMPRODUCT($V447:$AE447*($V447:$AE447&gt;0)*(($V447:$AE447&lt;V447)+($V447:$AE447=V447)*($V$3:$AE$3&gt;V$3)+($V447:$AE447=V447)*($V$3:$AE$3=V$3)*($V$2:$AE$2&lt;V$2))),2))))</f>
      </c>
      <c r="AG447" s="33">
        <f>IF(W447&lt;=0,0,MAX(0,MIN(W447,ROUND($AZ447-SUMPRODUCT($V447:$AE447*($V447:$AE447&gt;0)*(($V447:$AE447&lt;W447)+($V447:$AE447=W447)*($V$3:$AE$3&gt;W$3)+($V447:$AE447=W447)*($V$3:$AE$3=W$3)*($V$2:$AE$2&lt;W$2))),2))))</f>
      </c>
      <c r="AH447" s="33">
        <f>IF(X447&lt;=0,0,MAX(0,MIN(X447,ROUND($AZ447-SUMPRODUCT($V447:$AE447*($V447:$AE447&gt;0)*(($V447:$AE447&lt;X447)+($V447:$AE447=X447)*($V$3:$AE$3&gt;X$3)+($V447:$AE447=X447)*($V$3:$AE$3=X$3)*($V$2:$AE$2&lt;X$2))),2))))</f>
      </c>
      <c r="AI447" s="33">
        <f>IF(Y447&lt;=0,0,MAX(0,MIN(Y447,ROUND($AZ447-SUMPRODUCT($V447:$AE447*($V447:$AE447&gt;0)*(($V447:$AE447&lt;Y447)+($V447:$AE447=Y447)*($V$3:$AE$3&gt;Y$3)+($V447:$AE447=Y447)*($V$3:$AE$3=Y$3)*($V$2:$AE$2&lt;Y$2))),2))))</f>
      </c>
      <c r="AJ447" s="33">
        <f>IF(Z447&lt;=0,0,MAX(0,MIN(Z447,ROUND($AZ447-SUMPRODUCT($V447:$AE447*($V447:$AE447&gt;0)*(($V447:$AE447&lt;Z447)+($V447:$AE447=Z447)*($V$3:$AE$3&gt;Z$3)+($V447:$AE447=Z447)*($V$3:$AE$3=Z$3)*($V$2:$AE$2&lt;Z$2))),2))))</f>
      </c>
      <c r="AK447" s="33">
        <f>IF(AA447&lt;=0,0,MAX(0,MIN(AA447,ROUND($AZ447-SUMPRODUCT($V447:$AE447*($V447:$AE447&gt;0)*(($V447:$AE447&lt;AA447)+($V447:$AE447=AA447)*($V$3:$AE$3&gt;AA$3)+($V447:$AE447=AA447)*($V$3:$AE$3=AA$3)*($V$2:$AE$2&lt;AA$2))),2))))</f>
      </c>
      <c r="AL447" s="33">
        <f>IF(AB447&lt;=0,0,MAX(0,MIN(AB447,ROUND($AZ447-SUMPRODUCT($V447:$AE447*($V447:$AE447&gt;0)*(($V447:$AE447&lt;AB447)+($V447:$AE447=AB447)*($V$3:$AE$3&gt;AB$3)+($V447:$AE447=AB447)*($V$3:$AE$3=AB$3)*($V$2:$AE$2&lt;AB$2))),2))))</f>
      </c>
      <c r="AM447" s="33">
        <f>IF(AC447&lt;=0,0,MAX(0,MIN(AC447,ROUND($AZ447-SUMPRODUCT($V447:$AE447*($V447:$AE447&gt;0)*(($V447:$AE447&lt;AC447)+($V447:$AE447=AC447)*($V$3:$AE$3&gt;AC$3)+($V447:$AE447=AC447)*($V$3:$AE$3=AC$3)*($V$2:$AE$2&lt;AC$2))),2))))</f>
      </c>
      <c r="AN447" s="33">
        <f>IF(AD447&lt;=0,0,MAX(0,MIN(AD447,ROUND($AZ447-SUMPRODUCT($V447:$AE447*($V447:$AE447&gt;0)*(($V447:$AE447&lt;AD447)+($V447:$AE447=AD447)*($V$3:$AE$3&gt;AD$3)+($V447:$AE447=AD447)*($V$3:$AE$3=AD$3)*($V$2:$AE$2&lt;AD$2))),2))))</f>
      </c>
      <c r="AO447" s="33">
        <f>IF(AE447&lt;=0,0,MAX(0,MIN(AE447,ROUND($AZ447-SUMPRODUCT($V447:$AE447*($V447:$AE447&gt;0)*(($V447:$AE447&lt;AE447)+($V447:$AE447=AE447)*($V$3:$AE$3&gt;AE$3)+($V447:$AE447=AE447)*($V$3:$AE$3=AE$3)*($V$2:$AE$2&lt;AE$2))),2))))</f>
      </c>
      <c r="AP447" s="33">
        <f>ROUND(V447-AF447,2)</f>
      </c>
      <c r="AQ447" s="33">
        <f>ROUND(W447-AG447,2)</f>
      </c>
      <c r="AR447" s="33">
        <f>ROUND(X447-AH447,2)</f>
      </c>
      <c r="AS447" s="33">
        <f>ROUND(Y447-AI447,2)</f>
      </c>
      <c r="AT447" s="33">
        <f>ROUND(Z447-AJ447,2)</f>
      </c>
      <c r="AU447" s="33">
        <f>ROUND(AA447-AK447,2)</f>
      </c>
      <c r="AV447" s="33">
        <f>ROUND(AB447-AL447,2)</f>
      </c>
      <c r="AW447" s="33">
        <f>ROUND(AC447-AM447,2)</f>
      </c>
      <c r="AX447" s="33">
        <f>ROUND(AD447-AN447,2)</f>
      </c>
      <c r="AY447" s="33">
        <f>ROUND(AE447-AO447,2)</f>
      </c>
      <c r="AZ447" s="33">
        <f>ROUND(MAX(0,'Your debts'!$D$22-SUM($L447:$U447)),2)</f>
      </c>
      <c r="BA447" s="33">
        <f>ROUND(SUM($B447:$K447)-SUM($AP446:$AY446),2)</f>
      </c>
      <c r="BB447" s="33">
        <f>SUM($AP447:$AY447)</f>
      </c>
      <c r="BC447" s="33">
        <f>ROUND(SUM($L447:$U447)+SUM($AF447:$AO447),2)</f>
      </c>
    </row>
    <row r="448" spans="1:55" x14ac:dyDescent="0.25">
      <c r="A448">
        <v>441</v>
      </c>
      <c r="B448" s="33">
        <f>IF(AP447&lt;=0,0,ROUND(AP447+ROUND(AP447*V$3/12,2),2))</f>
      </c>
      <c r="C448" s="33">
        <f>IF(AQ447&lt;=0,0,ROUND(AQ447+ROUND(AQ447*W$3/12,2),2))</f>
      </c>
      <c r="D448" s="33">
        <f>IF(AR447&lt;=0,0,ROUND(AR447+ROUND(AR447*X$3/12,2),2))</f>
      </c>
      <c r="E448" s="33">
        <f>IF(AS447&lt;=0,0,ROUND(AS447+ROUND(AS447*Y$3/12,2),2))</f>
      </c>
      <c r="F448" s="33">
        <f>IF(AT447&lt;=0,0,ROUND(AT447+ROUND(AT447*Z$3/12,2),2))</f>
      </c>
      <c r="G448" s="33">
        <f>IF(AU447&lt;=0,0,ROUND(AU447+ROUND(AU447*AA$3/12,2),2))</f>
      </c>
      <c r="H448" s="33">
        <f>IF(AV447&lt;=0,0,ROUND(AV447+ROUND(AV447*AB$3/12,2),2))</f>
      </c>
      <c r="I448" s="33">
        <f>IF(AW447&lt;=0,0,ROUND(AW447+ROUND(AW447*AC$3/12,2),2))</f>
      </c>
      <c r="J448" s="33">
        <f>IF(AX447&lt;=0,0,ROUND(AX447+ROUND(AX447*AD$3/12,2),2))</f>
      </c>
      <c r="K448" s="33">
        <f>IF(AY447&lt;=0,0,ROUND(AY447+ROUND(AY447*AE$3/12,2),2))</f>
      </c>
      <c r="L448" s="33">
        <f>ROUND(MIN(MAX(0,N('Your debts'!$E$6)),B448),2)</f>
      </c>
      <c r="M448" s="33">
        <f>ROUND(MIN(MAX(0,N('Your debts'!$E$7)),C448),2)</f>
      </c>
      <c r="N448" s="33">
        <f>ROUND(MIN(MAX(0,N('Your debts'!$E$8)),D448),2)</f>
      </c>
      <c r="O448" s="33">
        <f>ROUND(MIN(MAX(0,N('Your debts'!$E$9)),E448),2)</f>
      </c>
      <c r="P448" s="33">
        <f>ROUND(MIN(MAX(0,N('Your debts'!$E$10)),F448),2)</f>
      </c>
      <c r="Q448" s="33">
        <f>ROUND(MIN(MAX(0,N('Your debts'!$E$11)),G448),2)</f>
      </c>
      <c r="R448" s="33">
        <f>ROUND(MIN(MAX(0,N('Your debts'!$E$12)),H448),2)</f>
      </c>
      <c r="S448" s="33">
        <f>ROUND(MIN(MAX(0,N('Your debts'!$E$13)),I448),2)</f>
      </c>
      <c r="T448" s="33">
        <f>ROUND(MIN(MAX(0,N('Your debts'!$E$14)),J448),2)</f>
      </c>
      <c r="U448" s="33">
        <f>ROUND(MIN(MAX(0,N('Your debts'!$E$15)),K448),2)</f>
      </c>
      <c r="V448" s="33">
        <f>ROUND(B448-L448,2)</f>
      </c>
      <c r="W448" s="33">
        <f>ROUND(C448-M448,2)</f>
      </c>
      <c r="X448" s="33">
        <f>ROUND(D448-N448,2)</f>
      </c>
      <c r="Y448" s="33">
        <f>ROUND(E448-O448,2)</f>
      </c>
      <c r="Z448" s="33">
        <f>ROUND(F448-P448,2)</f>
      </c>
      <c r="AA448" s="33">
        <f>ROUND(G448-Q448,2)</f>
      </c>
      <c r="AB448" s="33">
        <f>ROUND(H448-R448,2)</f>
      </c>
      <c r="AC448" s="33">
        <f>ROUND(I448-S448,2)</f>
      </c>
      <c r="AD448" s="33">
        <f>ROUND(J448-T448,2)</f>
      </c>
      <c r="AE448" s="33">
        <f>ROUND(K448-U448,2)</f>
      </c>
      <c r="AF448" s="33">
        <f>IF(V448&lt;=0,0,MAX(0,MIN(V448,ROUND($AZ448-SUMPRODUCT($V448:$AE448*($V448:$AE448&gt;0)*(($V448:$AE448&lt;V448)+($V448:$AE448=V448)*($V$3:$AE$3&gt;V$3)+($V448:$AE448=V448)*($V$3:$AE$3=V$3)*($V$2:$AE$2&lt;V$2))),2))))</f>
      </c>
      <c r="AG448" s="33">
        <f>IF(W448&lt;=0,0,MAX(0,MIN(W448,ROUND($AZ448-SUMPRODUCT($V448:$AE448*($V448:$AE448&gt;0)*(($V448:$AE448&lt;W448)+($V448:$AE448=W448)*($V$3:$AE$3&gt;W$3)+($V448:$AE448=W448)*($V$3:$AE$3=W$3)*($V$2:$AE$2&lt;W$2))),2))))</f>
      </c>
      <c r="AH448" s="33">
        <f>IF(X448&lt;=0,0,MAX(0,MIN(X448,ROUND($AZ448-SUMPRODUCT($V448:$AE448*($V448:$AE448&gt;0)*(($V448:$AE448&lt;X448)+($V448:$AE448=X448)*($V$3:$AE$3&gt;X$3)+($V448:$AE448=X448)*($V$3:$AE$3=X$3)*($V$2:$AE$2&lt;X$2))),2))))</f>
      </c>
      <c r="AI448" s="33">
        <f>IF(Y448&lt;=0,0,MAX(0,MIN(Y448,ROUND($AZ448-SUMPRODUCT($V448:$AE448*($V448:$AE448&gt;0)*(($V448:$AE448&lt;Y448)+($V448:$AE448=Y448)*($V$3:$AE$3&gt;Y$3)+($V448:$AE448=Y448)*($V$3:$AE$3=Y$3)*($V$2:$AE$2&lt;Y$2))),2))))</f>
      </c>
      <c r="AJ448" s="33">
        <f>IF(Z448&lt;=0,0,MAX(0,MIN(Z448,ROUND($AZ448-SUMPRODUCT($V448:$AE448*($V448:$AE448&gt;0)*(($V448:$AE448&lt;Z448)+($V448:$AE448=Z448)*($V$3:$AE$3&gt;Z$3)+($V448:$AE448=Z448)*($V$3:$AE$3=Z$3)*($V$2:$AE$2&lt;Z$2))),2))))</f>
      </c>
      <c r="AK448" s="33">
        <f>IF(AA448&lt;=0,0,MAX(0,MIN(AA448,ROUND($AZ448-SUMPRODUCT($V448:$AE448*($V448:$AE448&gt;0)*(($V448:$AE448&lt;AA448)+($V448:$AE448=AA448)*($V$3:$AE$3&gt;AA$3)+($V448:$AE448=AA448)*($V$3:$AE$3=AA$3)*($V$2:$AE$2&lt;AA$2))),2))))</f>
      </c>
      <c r="AL448" s="33">
        <f>IF(AB448&lt;=0,0,MAX(0,MIN(AB448,ROUND($AZ448-SUMPRODUCT($V448:$AE448*($V448:$AE448&gt;0)*(($V448:$AE448&lt;AB448)+($V448:$AE448=AB448)*($V$3:$AE$3&gt;AB$3)+($V448:$AE448=AB448)*($V$3:$AE$3=AB$3)*($V$2:$AE$2&lt;AB$2))),2))))</f>
      </c>
      <c r="AM448" s="33">
        <f>IF(AC448&lt;=0,0,MAX(0,MIN(AC448,ROUND($AZ448-SUMPRODUCT($V448:$AE448*($V448:$AE448&gt;0)*(($V448:$AE448&lt;AC448)+($V448:$AE448=AC448)*($V$3:$AE$3&gt;AC$3)+($V448:$AE448=AC448)*($V$3:$AE$3=AC$3)*($V$2:$AE$2&lt;AC$2))),2))))</f>
      </c>
      <c r="AN448" s="33">
        <f>IF(AD448&lt;=0,0,MAX(0,MIN(AD448,ROUND($AZ448-SUMPRODUCT($V448:$AE448*($V448:$AE448&gt;0)*(($V448:$AE448&lt;AD448)+($V448:$AE448=AD448)*($V$3:$AE$3&gt;AD$3)+($V448:$AE448=AD448)*($V$3:$AE$3=AD$3)*($V$2:$AE$2&lt;AD$2))),2))))</f>
      </c>
      <c r="AO448" s="33">
        <f>IF(AE448&lt;=0,0,MAX(0,MIN(AE448,ROUND($AZ448-SUMPRODUCT($V448:$AE448*($V448:$AE448&gt;0)*(($V448:$AE448&lt;AE448)+($V448:$AE448=AE448)*($V$3:$AE$3&gt;AE$3)+($V448:$AE448=AE448)*($V$3:$AE$3=AE$3)*($V$2:$AE$2&lt;AE$2))),2))))</f>
      </c>
      <c r="AP448" s="33">
        <f>ROUND(V448-AF448,2)</f>
      </c>
      <c r="AQ448" s="33">
        <f>ROUND(W448-AG448,2)</f>
      </c>
      <c r="AR448" s="33">
        <f>ROUND(X448-AH448,2)</f>
      </c>
      <c r="AS448" s="33">
        <f>ROUND(Y448-AI448,2)</f>
      </c>
      <c r="AT448" s="33">
        <f>ROUND(Z448-AJ448,2)</f>
      </c>
      <c r="AU448" s="33">
        <f>ROUND(AA448-AK448,2)</f>
      </c>
      <c r="AV448" s="33">
        <f>ROUND(AB448-AL448,2)</f>
      </c>
      <c r="AW448" s="33">
        <f>ROUND(AC448-AM448,2)</f>
      </c>
      <c r="AX448" s="33">
        <f>ROUND(AD448-AN448,2)</f>
      </c>
      <c r="AY448" s="33">
        <f>ROUND(AE448-AO448,2)</f>
      </c>
      <c r="AZ448" s="33">
        <f>ROUND(MAX(0,'Your debts'!$D$22-SUM($L448:$U448)),2)</f>
      </c>
      <c r="BA448" s="33">
        <f>ROUND(SUM($B448:$K448)-SUM($AP447:$AY447),2)</f>
      </c>
      <c r="BB448" s="33">
        <f>SUM($AP448:$AY448)</f>
      </c>
      <c r="BC448" s="33">
        <f>ROUND(SUM($L448:$U448)+SUM($AF448:$AO448),2)</f>
      </c>
    </row>
    <row r="449" spans="1:55" x14ac:dyDescent="0.25">
      <c r="A449">
        <v>442</v>
      </c>
      <c r="B449" s="33">
        <f>IF(AP448&lt;=0,0,ROUND(AP448+ROUND(AP448*V$3/12,2),2))</f>
      </c>
      <c r="C449" s="33">
        <f>IF(AQ448&lt;=0,0,ROUND(AQ448+ROUND(AQ448*W$3/12,2),2))</f>
      </c>
      <c r="D449" s="33">
        <f>IF(AR448&lt;=0,0,ROUND(AR448+ROUND(AR448*X$3/12,2),2))</f>
      </c>
      <c r="E449" s="33">
        <f>IF(AS448&lt;=0,0,ROUND(AS448+ROUND(AS448*Y$3/12,2),2))</f>
      </c>
      <c r="F449" s="33">
        <f>IF(AT448&lt;=0,0,ROUND(AT448+ROUND(AT448*Z$3/12,2),2))</f>
      </c>
      <c r="G449" s="33">
        <f>IF(AU448&lt;=0,0,ROUND(AU448+ROUND(AU448*AA$3/12,2),2))</f>
      </c>
      <c r="H449" s="33">
        <f>IF(AV448&lt;=0,0,ROUND(AV448+ROUND(AV448*AB$3/12,2),2))</f>
      </c>
      <c r="I449" s="33">
        <f>IF(AW448&lt;=0,0,ROUND(AW448+ROUND(AW448*AC$3/12,2),2))</f>
      </c>
      <c r="J449" s="33">
        <f>IF(AX448&lt;=0,0,ROUND(AX448+ROUND(AX448*AD$3/12,2),2))</f>
      </c>
      <c r="K449" s="33">
        <f>IF(AY448&lt;=0,0,ROUND(AY448+ROUND(AY448*AE$3/12,2),2))</f>
      </c>
      <c r="L449" s="33">
        <f>ROUND(MIN(MAX(0,N('Your debts'!$E$6)),B449),2)</f>
      </c>
      <c r="M449" s="33">
        <f>ROUND(MIN(MAX(0,N('Your debts'!$E$7)),C449),2)</f>
      </c>
      <c r="N449" s="33">
        <f>ROUND(MIN(MAX(0,N('Your debts'!$E$8)),D449),2)</f>
      </c>
      <c r="O449" s="33">
        <f>ROUND(MIN(MAX(0,N('Your debts'!$E$9)),E449),2)</f>
      </c>
      <c r="P449" s="33">
        <f>ROUND(MIN(MAX(0,N('Your debts'!$E$10)),F449),2)</f>
      </c>
      <c r="Q449" s="33">
        <f>ROUND(MIN(MAX(0,N('Your debts'!$E$11)),G449),2)</f>
      </c>
      <c r="R449" s="33">
        <f>ROUND(MIN(MAX(0,N('Your debts'!$E$12)),H449),2)</f>
      </c>
      <c r="S449" s="33">
        <f>ROUND(MIN(MAX(0,N('Your debts'!$E$13)),I449),2)</f>
      </c>
      <c r="T449" s="33">
        <f>ROUND(MIN(MAX(0,N('Your debts'!$E$14)),J449),2)</f>
      </c>
      <c r="U449" s="33">
        <f>ROUND(MIN(MAX(0,N('Your debts'!$E$15)),K449),2)</f>
      </c>
      <c r="V449" s="33">
        <f>ROUND(B449-L449,2)</f>
      </c>
      <c r="W449" s="33">
        <f>ROUND(C449-M449,2)</f>
      </c>
      <c r="X449" s="33">
        <f>ROUND(D449-N449,2)</f>
      </c>
      <c r="Y449" s="33">
        <f>ROUND(E449-O449,2)</f>
      </c>
      <c r="Z449" s="33">
        <f>ROUND(F449-P449,2)</f>
      </c>
      <c r="AA449" s="33">
        <f>ROUND(G449-Q449,2)</f>
      </c>
      <c r="AB449" s="33">
        <f>ROUND(H449-R449,2)</f>
      </c>
      <c r="AC449" s="33">
        <f>ROUND(I449-S449,2)</f>
      </c>
      <c r="AD449" s="33">
        <f>ROUND(J449-T449,2)</f>
      </c>
      <c r="AE449" s="33">
        <f>ROUND(K449-U449,2)</f>
      </c>
      <c r="AF449" s="33">
        <f>IF(V449&lt;=0,0,MAX(0,MIN(V449,ROUND($AZ449-SUMPRODUCT($V449:$AE449*($V449:$AE449&gt;0)*(($V449:$AE449&lt;V449)+($V449:$AE449=V449)*($V$3:$AE$3&gt;V$3)+($V449:$AE449=V449)*($V$3:$AE$3=V$3)*($V$2:$AE$2&lt;V$2))),2))))</f>
      </c>
      <c r="AG449" s="33">
        <f>IF(W449&lt;=0,0,MAX(0,MIN(W449,ROUND($AZ449-SUMPRODUCT($V449:$AE449*($V449:$AE449&gt;0)*(($V449:$AE449&lt;W449)+($V449:$AE449=W449)*($V$3:$AE$3&gt;W$3)+($V449:$AE449=W449)*($V$3:$AE$3=W$3)*($V$2:$AE$2&lt;W$2))),2))))</f>
      </c>
      <c r="AH449" s="33">
        <f>IF(X449&lt;=0,0,MAX(0,MIN(X449,ROUND($AZ449-SUMPRODUCT($V449:$AE449*($V449:$AE449&gt;0)*(($V449:$AE449&lt;X449)+($V449:$AE449=X449)*($V$3:$AE$3&gt;X$3)+($V449:$AE449=X449)*($V$3:$AE$3=X$3)*($V$2:$AE$2&lt;X$2))),2))))</f>
      </c>
      <c r="AI449" s="33">
        <f>IF(Y449&lt;=0,0,MAX(0,MIN(Y449,ROUND($AZ449-SUMPRODUCT($V449:$AE449*($V449:$AE449&gt;0)*(($V449:$AE449&lt;Y449)+($V449:$AE449=Y449)*($V$3:$AE$3&gt;Y$3)+($V449:$AE449=Y449)*($V$3:$AE$3=Y$3)*($V$2:$AE$2&lt;Y$2))),2))))</f>
      </c>
      <c r="AJ449" s="33">
        <f>IF(Z449&lt;=0,0,MAX(0,MIN(Z449,ROUND($AZ449-SUMPRODUCT($V449:$AE449*($V449:$AE449&gt;0)*(($V449:$AE449&lt;Z449)+($V449:$AE449=Z449)*($V$3:$AE$3&gt;Z$3)+($V449:$AE449=Z449)*($V$3:$AE$3=Z$3)*($V$2:$AE$2&lt;Z$2))),2))))</f>
      </c>
      <c r="AK449" s="33">
        <f>IF(AA449&lt;=0,0,MAX(0,MIN(AA449,ROUND($AZ449-SUMPRODUCT($V449:$AE449*($V449:$AE449&gt;0)*(($V449:$AE449&lt;AA449)+($V449:$AE449=AA449)*($V$3:$AE$3&gt;AA$3)+($V449:$AE449=AA449)*($V$3:$AE$3=AA$3)*($V$2:$AE$2&lt;AA$2))),2))))</f>
      </c>
      <c r="AL449" s="33">
        <f>IF(AB449&lt;=0,0,MAX(0,MIN(AB449,ROUND($AZ449-SUMPRODUCT($V449:$AE449*($V449:$AE449&gt;0)*(($V449:$AE449&lt;AB449)+($V449:$AE449=AB449)*($V$3:$AE$3&gt;AB$3)+($V449:$AE449=AB449)*($V$3:$AE$3=AB$3)*($V$2:$AE$2&lt;AB$2))),2))))</f>
      </c>
      <c r="AM449" s="33">
        <f>IF(AC449&lt;=0,0,MAX(0,MIN(AC449,ROUND($AZ449-SUMPRODUCT($V449:$AE449*($V449:$AE449&gt;0)*(($V449:$AE449&lt;AC449)+($V449:$AE449=AC449)*($V$3:$AE$3&gt;AC$3)+($V449:$AE449=AC449)*($V$3:$AE$3=AC$3)*($V$2:$AE$2&lt;AC$2))),2))))</f>
      </c>
      <c r="AN449" s="33">
        <f>IF(AD449&lt;=0,0,MAX(0,MIN(AD449,ROUND($AZ449-SUMPRODUCT($V449:$AE449*($V449:$AE449&gt;0)*(($V449:$AE449&lt;AD449)+($V449:$AE449=AD449)*($V$3:$AE$3&gt;AD$3)+($V449:$AE449=AD449)*($V$3:$AE$3=AD$3)*($V$2:$AE$2&lt;AD$2))),2))))</f>
      </c>
      <c r="AO449" s="33">
        <f>IF(AE449&lt;=0,0,MAX(0,MIN(AE449,ROUND($AZ449-SUMPRODUCT($V449:$AE449*($V449:$AE449&gt;0)*(($V449:$AE449&lt;AE449)+($V449:$AE449=AE449)*($V$3:$AE$3&gt;AE$3)+($V449:$AE449=AE449)*($V$3:$AE$3=AE$3)*($V$2:$AE$2&lt;AE$2))),2))))</f>
      </c>
      <c r="AP449" s="33">
        <f>ROUND(V449-AF449,2)</f>
      </c>
      <c r="AQ449" s="33">
        <f>ROUND(W449-AG449,2)</f>
      </c>
      <c r="AR449" s="33">
        <f>ROUND(X449-AH449,2)</f>
      </c>
      <c r="AS449" s="33">
        <f>ROUND(Y449-AI449,2)</f>
      </c>
      <c r="AT449" s="33">
        <f>ROUND(Z449-AJ449,2)</f>
      </c>
      <c r="AU449" s="33">
        <f>ROUND(AA449-AK449,2)</f>
      </c>
      <c r="AV449" s="33">
        <f>ROUND(AB449-AL449,2)</f>
      </c>
      <c r="AW449" s="33">
        <f>ROUND(AC449-AM449,2)</f>
      </c>
      <c r="AX449" s="33">
        <f>ROUND(AD449-AN449,2)</f>
      </c>
      <c r="AY449" s="33">
        <f>ROUND(AE449-AO449,2)</f>
      </c>
      <c r="AZ449" s="33">
        <f>ROUND(MAX(0,'Your debts'!$D$22-SUM($L449:$U449)),2)</f>
      </c>
      <c r="BA449" s="33">
        <f>ROUND(SUM($B449:$K449)-SUM($AP448:$AY448),2)</f>
      </c>
      <c r="BB449" s="33">
        <f>SUM($AP449:$AY449)</f>
      </c>
      <c r="BC449" s="33">
        <f>ROUND(SUM($L449:$U449)+SUM($AF449:$AO449),2)</f>
      </c>
    </row>
    <row r="450" spans="1:55" x14ac:dyDescent="0.25">
      <c r="A450">
        <v>443</v>
      </c>
      <c r="B450" s="33">
        <f>IF(AP449&lt;=0,0,ROUND(AP449+ROUND(AP449*V$3/12,2),2))</f>
      </c>
      <c r="C450" s="33">
        <f>IF(AQ449&lt;=0,0,ROUND(AQ449+ROUND(AQ449*W$3/12,2),2))</f>
      </c>
      <c r="D450" s="33">
        <f>IF(AR449&lt;=0,0,ROUND(AR449+ROUND(AR449*X$3/12,2),2))</f>
      </c>
      <c r="E450" s="33">
        <f>IF(AS449&lt;=0,0,ROUND(AS449+ROUND(AS449*Y$3/12,2),2))</f>
      </c>
      <c r="F450" s="33">
        <f>IF(AT449&lt;=0,0,ROUND(AT449+ROUND(AT449*Z$3/12,2),2))</f>
      </c>
      <c r="G450" s="33">
        <f>IF(AU449&lt;=0,0,ROUND(AU449+ROUND(AU449*AA$3/12,2),2))</f>
      </c>
      <c r="H450" s="33">
        <f>IF(AV449&lt;=0,0,ROUND(AV449+ROUND(AV449*AB$3/12,2),2))</f>
      </c>
      <c r="I450" s="33">
        <f>IF(AW449&lt;=0,0,ROUND(AW449+ROUND(AW449*AC$3/12,2),2))</f>
      </c>
      <c r="J450" s="33">
        <f>IF(AX449&lt;=0,0,ROUND(AX449+ROUND(AX449*AD$3/12,2),2))</f>
      </c>
      <c r="K450" s="33">
        <f>IF(AY449&lt;=0,0,ROUND(AY449+ROUND(AY449*AE$3/12,2),2))</f>
      </c>
      <c r="L450" s="33">
        <f>ROUND(MIN(MAX(0,N('Your debts'!$E$6)),B450),2)</f>
      </c>
      <c r="M450" s="33">
        <f>ROUND(MIN(MAX(0,N('Your debts'!$E$7)),C450),2)</f>
      </c>
      <c r="N450" s="33">
        <f>ROUND(MIN(MAX(0,N('Your debts'!$E$8)),D450),2)</f>
      </c>
      <c r="O450" s="33">
        <f>ROUND(MIN(MAX(0,N('Your debts'!$E$9)),E450),2)</f>
      </c>
      <c r="P450" s="33">
        <f>ROUND(MIN(MAX(0,N('Your debts'!$E$10)),F450),2)</f>
      </c>
      <c r="Q450" s="33">
        <f>ROUND(MIN(MAX(0,N('Your debts'!$E$11)),G450),2)</f>
      </c>
      <c r="R450" s="33">
        <f>ROUND(MIN(MAX(0,N('Your debts'!$E$12)),H450),2)</f>
      </c>
      <c r="S450" s="33">
        <f>ROUND(MIN(MAX(0,N('Your debts'!$E$13)),I450),2)</f>
      </c>
      <c r="T450" s="33">
        <f>ROUND(MIN(MAX(0,N('Your debts'!$E$14)),J450),2)</f>
      </c>
      <c r="U450" s="33">
        <f>ROUND(MIN(MAX(0,N('Your debts'!$E$15)),K450),2)</f>
      </c>
      <c r="V450" s="33">
        <f>ROUND(B450-L450,2)</f>
      </c>
      <c r="W450" s="33">
        <f>ROUND(C450-M450,2)</f>
      </c>
      <c r="X450" s="33">
        <f>ROUND(D450-N450,2)</f>
      </c>
      <c r="Y450" s="33">
        <f>ROUND(E450-O450,2)</f>
      </c>
      <c r="Z450" s="33">
        <f>ROUND(F450-P450,2)</f>
      </c>
      <c r="AA450" s="33">
        <f>ROUND(G450-Q450,2)</f>
      </c>
      <c r="AB450" s="33">
        <f>ROUND(H450-R450,2)</f>
      </c>
      <c r="AC450" s="33">
        <f>ROUND(I450-S450,2)</f>
      </c>
      <c r="AD450" s="33">
        <f>ROUND(J450-T450,2)</f>
      </c>
      <c r="AE450" s="33">
        <f>ROUND(K450-U450,2)</f>
      </c>
      <c r="AF450" s="33">
        <f>IF(V450&lt;=0,0,MAX(0,MIN(V450,ROUND($AZ450-SUMPRODUCT($V450:$AE450*($V450:$AE450&gt;0)*(($V450:$AE450&lt;V450)+($V450:$AE450=V450)*($V$3:$AE$3&gt;V$3)+($V450:$AE450=V450)*($V$3:$AE$3=V$3)*($V$2:$AE$2&lt;V$2))),2))))</f>
      </c>
      <c r="AG450" s="33">
        <f>IF(W450&lt;=0,0,MAX(0,MIN(W450,ROUND($AZ450-SUMPRODUCT($V450:$AE450*($V450:$AE450&gt;0)*(($V450:$AE450&lt;W450)+($V450:$AE450=W450)*($V$3:$AE$3&gt;W$3)+($V450:$AE450=W450)*($V$3:$AE$3=W$3)*($V$2:$AE$2&lt;W$2))),2))))</f>
      </c>
      <c r="AH450" s="33">
        <f>IF(X450&lt;=0,0,MAX(0,MIN(X450,ROUND($AZ450-SUMPRODUCT($V450:$AE450*($V450:$AE450&gt;0)*(($V450:$AE450&lt;X450)+($V450:$AE450=X450)*($V$3:$AE$3&gt;X$3)+($V450:$AE450=X450)*($V$3:$AE$3=X$3)*($V$2:$AE$2&lt;X$2))),2))))</f>
      </c>
      <c r="AI450" s="33">
        <f>IF(Y450&lt;=0,0,MAX(0,MIN(Y450,ROUND($AZ450-SUMPRODUCT($V450:$AE450*($V450:$AE450&gt;0)*(($V450:$AE450&lt;Y450)+($V450:$AE450=Y450)*($V$3:$AE$3&gt;Y$3)+($V450:$AE450=Y450)*($V$3:$AE$3=Y$3)*($V$2:$AE$2&lt;Y$2))),2))))</f>
      </c>
      <c r="AJ450" s="33">
        <f>IF(Z450&lt;=0,0,MAX(0,MIN(Z450,ROUND($AZ450-SUMPRODUCT($V450:$AE450*($V450:$AE450&gt;0)*(($V450:$AE450&lt;Z450)+($V450:$AE450=Z450)*($V$3:$AE$3&gt;Z$3)+($V450:$AE450=Z450)*($V$3:$AE$3=Z$3)*($V$2:$AE$2&lt;Z$2))),2))))</f>
      </c>
      <c r="AK450" s="33">
        <f>IF(AA450&lt;=0,0,MAX(0,MIN(AA450,ROUND($AZ450-SUMPRODUCT($V450:$AE450*($V450:$AE450&gt;0)*(($V450:$AE450&lt;AA450)+($V450:$AE450=AA450)*($V$3:$AE$3&gt;AA$3)+($V450:$AE450=AA450)*($V$3:$AE$3=AA$3)*($V$2:$AE$2&lt;AA$2))),2))))</f>
      </c>
      <c r="AL450" s="33">
        <f>IF(AB450&lt;=0,0,MAX(0,MIN(AB450,ROUND($AZ450-SUMPRODUCT($V450:$AE450*($V450:$AE450&gt;0)*(($V450:$AE450&lt;AB450)+($V450:$AE450=AB450)*($V$3:$AE$3&gt;AB$3)+($V450:$AE450=AB450)*($V$3:$AE$3=AB$3)*($V$2:$AE$2&lt;AB$2))),2))))</f>
      </c>
      <c r="AM450" s="33">
        <f>IF(AC450&lt;=0,0,MAX(0,MIN(AC450,ROUND($AZ450-SUMPRODUCT($V450:$AE450*($V450:$AE450&gt;0)*(($V450:$AE450&lt;AC450)+($V450:$AE450=AC450)*($V$3:$AE$3&gt;AC$3)+($V450:$AE450=AC450)*($V$3:$AE$3=AC$3)*($V$2:$AE$2&lt;AC$2))),2))))</f>
      </c>
      <c r="AN450" s="33">
        <f>IF(AD450&lt;=0,0,MAX(0,MIN(AD450,ROUND($AZ450-SUMPRODUCT($V450:$AE450*($V450:$AE450&gt;0)*(($V450:$AE450&lt;AD450)+($V450:$AE450=AD450)*($V$3:$AE$3&gt;AD$3)+($V450:$AE450=AD450)*($V$3:$AE$3=AD$3)*($V$2:$AE$2&lt;AD$2))),2))))</f>
      </c>
      <c r="AO450" s="33">
        <f>IF(AE450&lt;=0,0,MAX(0,MIN(AE450,ROUND($AZ450-SUMPRODUCT($V450:$AE450*($V450:$AE450&gt;0)*(($V450:$AE450&lt;AE450)+($V450:$AE450=AE450)*($V$3:$AE$3&gt;AE$3)+($V450:$AE450=AE450)*($V$3:$AE$3=AE$3)*($V$2:$AE$2&lt;AE$2))),2))))</f>
      </c>
      <c r="AP450" s="33">
        <f>ROUND(V450-AF450,2)</f>
      </c>
      <c r="AQ450" s="33">
        <f>ROUND(W450-AG450,2)</f>
      </c>
      <c r="AR450" s="33">
        <f>ROUND(X450-AH450,2)</f>
      </c>
      <c r="AS450" s="33">
        <f>ROUND(Y450-AI450,2)</f>
      </c>
      <c r="AT450" s="33">
        <f>ROUND(Z450-AJ450,2)</f>
      </c>
      <c r="AU450" s="33">
        <f>ROUND(AA450-AK450,2)</f>
      </c>
      <c r="AV450" s="33">
        <f>ROUND(AB450-AL450,2)</f>
      </c>
      <c r="AW450" s="33">
        <f>ROUND(AC450-AM450,2)</f>
      </c>
      <c r="AX450" s="33">
        <f>ROUND(AD450-AN450,2)</f>
      </c>
      <c r="AY450" s="33">
        <f>ROUND(AE450-AO450,2)</f>
      </c>
      <c r="AZ450" s="33">
        <f>ROUND(MAX(0,'Your debts'!$D$22-SUM($L450:$U450)),2)</f>
      </c>
      <c r="BA450" s="33">
        <f>ROUND(SUM($B450:$K450)-SUM($AP449:$AY449),2)</f>
      </c>
      <c r="BB450" s="33">
        <f>SUM($AP450:$AY450)</f>
      </c>
      <c r="BC450" s="33">
        <f>ROUND(SUM($L450:$U450)+SUM($AF450:$AO450),2)</f>
      </c>
    </row>
    <row r="451" spans="1:55" x14ac:dyDescent="0.25">
      <c r="A451">
        <v>444</v>
      </c>
      <c r="B451" s="33">
        <f>IF(AP450&lt;=0,0,ROUND(AP450+ROUND(AP450*V$3/12,2),2))</f>
      </c>
      <c r="C451" s="33">
        <f>IF(AQ450&lt;=0,0,ROUND(AQ450+ROUND(AQ450*W$3/12,2),2))</f>
      </c>
      <c r="D451" s="33">
        <f>IF(AR450&lt;=0,0,ROUND(AR450+ROUND(AR450*X$3/12,2),2))</f>
      </c>
      <c r="E451" s="33">
        <f>IF(AS450&lt;=0,0,ROUND(AS450+ROUND(AS450*Y$3/12,2),2))</f>
      </c>
      <c r="F451" s="33">
        <f>IF(AT450&lt;=0,0,ROUND(AT450+ROUND(AT450*Z$3/12,2),2))</f>
      </c>
      <c r="G451" s="33">
        <f>IF(AU450&lt;=0,0,ROUND(AU450+ROUND(AU450*AA$3/12,2),2))</f>
      </c>
      <c r="H451" s="33">
        <f>IF(AV450&lt;=0,0,ROUND(AV450+ROUND(AV450*AB$3/12,2),2))</f>
      </c>
      <c r="I451" s="33">
        <f>IF(AW450&lt;=0,0,ROUND(AW450+ROUND(AW450*AC$3/12,2),2))</f>
      </c>
      <c r="J451" s="33">
        <f>IF(AX450&lt;=0,0,ROUND(AX450+ROUND(AX450*AD$3/12,2),2))</f>
      </c>
      <c r="K451" s="33">
        <f>IF(AY450&lt;=0,0,ROUND(AY450+ROUND(AY450*AE$3/12,2),2))</f>
      </c>
      <c r="L451" s="33">
        <f>ROUND(MIN(MAX(0,N('Your debts'!$E$6)),B451),2)</f>
      </c>
      <c r="M451" s="33">
        <f>ROUND(MIN(MAX(0,N('Your debts'!$E$7)),C451),2)</f>
      </c>
      <c r="N451" s="33">
        <f>ROUND(MIN(MAX(0,N('Your debts'!$E$8)),D451),2)</f>
      </c>
      <c r="O451" s="33">
        <f>ROUND(MIN(MAX(0,N('Your debts'!$E$9)),E451),2)</f>
      </c>
      <c r="P451" s="33">
        <f>ROUND(MIN(MAX(0,N('Your debts'!$E$10)),F451),2)</f>
      </c>
      <c r="Q451" s="33">
        <f>ROUND(MIN(MAX(0,N('Your debts'!$E$11)),G451),2)</f>
      </c>
      <c r="R451" s="33">
        <f>ROUND(MIN(MAX(0,N('Your debts'!$E$12)),H451),2)</f>
      </c>
      <c r="S451" s="33">
        <f>ROUND(MIN(MAX(0,N('Your debts'!$E$13)),I451),2)</f>
      </c>
      <c r="T451" s="33">
        <f>ROUND(MIN(MAX(0,N('Your debts'!$E$14)),J451),2)</f>
      </c>
      <c r="U451" s="33">
        <f>ROUND(MIN(MAX(0,N('Your debts'!$E$15)),K451),2)</f>
      </c>
      <c r="V451" s="33">
        <f>ROUND(B451-L451,2)</f>
      </c>
      <c r="W451" s="33">
        <f>ROUND(C451-M451,2)</f>
      </c>
      <c r="X451" s="33">
        <f>ROUND(D451-N451,2)</f>
      </c>
      <c r="Y451" s="33">
        <f>ROUND(E451-O451,2)</f>
      </c>
      <c r="Z451" s="33">
        <f>ROUND(F451-P451,2)</f>
      </c>
      <c r="AA451" s="33">
        <f>ROUND(G451-Q451,2)</f>
      </c>
      <c r="AB451" s="33">
        <f>ROUND(H451-R451,2)</f>
      </c>
      <c r="AC451" s="33">
        <f>ROUND(I451-S451,2)</f>
      </c>
      <c r="AD451" s="33">
        <f>ROUND(J451-T451,2)</f>
      </c>
      <c r="AE451" s="33">
        <f>ROUND(K451-U451,2)</f>
      </c>
      <c r="AF451" s="33">
        <f>IF(V451&lt;=0,0,MAX(0,MIN(V451,ROUND($AZ451-SUMPRODUCT($V451:$AE451*($V451:$AE451&gt;0)*(($V451:$AE451&lt;V451)+($V451:$AE451=V451)*($V$3:$AE$3&gt;V$3)+($V451:$AE451=V451)*($V$3:$AE$3=V$3)*($V$2:$AE$2&lt;V$2))),2))))</f>
      </c>
      <c r="AG451" s="33">
        <f>IF(W451&lt;=0,0,MAX(0,MIN(W451,ROUND($AZ451-SUMPRODUCT($V451:$AE451*($V451:$AE451&gt;0)*(($V451:$AE451&lt;W451)+($V451:$AE451=W451)*($V$3:$AE$3&gt;W$3)+($V451:$AE451=W451)*($V$3:$AE$3=W$3)*($V$2:$AE$2&lt;W$2))),2))))</f>
      </c>
      <c r="AH451" s="33">
        <f>IF(X451&lt;=0,0,MAX(0,MIN(X451,ROUND($AZ451-SUMPRODUCT($V451:$AE451*($V451:$AE451&gt;0)*(($V451:$AE451&lt;X451)+($V451:$AE451=X451)*($V$3:$AE$3&gt;X$3)+($V451:$AE451=X451)*($V$3:$AE$3=X$3)*($V$2:$AE$2&lt;X$2))),2))))</f>
      </c>
      <c r="AI451" s="33">
        <f>IF(Y451&lt;=0,0,MAX(0,MIN(Y451,ROUND($AZ451-SUMPRODUCT($V451:$AE451*($V451:$AE451&gt;0)*(($V451:$AE451&lt;Y451)+($V451:$AE451=Y451)*($V$3:$AE$3&gt;Y$3)+($V451:$AE451=Y451)*($V$3:$AE$3=Y$3)*($V$2:$AE$2&lt;Y$2))),2))))</f>
      </c>
      <c r="AJ451" s="33">
        <f>IF(Z451&lt;=0,0,MAX(0,MIN(Z451,ROUND($AZ451-SUMPRODUCT($V451:$AE451*($V451:$AE451&gt;0)*(($V451:$AE451&lt;Z451)+($V451:$AE451=Z451)*($V$3:$AE$3&gt;Z$3)+($V451:$AE451=Z451)*($V$3:$AE$3=Z$3)*($V$2:$AE$2&lt;Z$2))),2))))</f>
      </c>
      <c r="AK451" s="33">
        <f>IF(AA451&lt;=0,0,MAX(0,MIN(AA451,ROUND($AZ451-SUMPRODUCT($V451:$AE451*($V451:$AE451&gt;0)*(($V451:$AE451&lt;AA451)+($V451:$AE451=AA451)*($V$3:$AE$3&gt;AA$3)+($V451:$AE451=AA451)*($V$3:$AE$3=AA$3)*($V$2:$AE$2&lt;AA$2))),2))))</f>
      </c>
      <c r="AL451" s="33">
        <f>IF(AB451&lt;=0,0,MAX(0,MIN(AB451,ROUND($AZ451-SUMPRODUCT($V451:$AE451*($V451:$AE451&gt;0)*(($V451:$AE451&lt;AB451)+($V451:$AE451=AB451)*($V$3:$AE$3&gt;AB$3)+($V451:$AE451=AB451)*($V$3:$AE$3=AB$3)*($V$2:$AE$2&lt;AB$2))),2))))</f>
      </c>
      <c r="AM451" s="33">
        <f>IF(AC451&lt;=0,0,MAX(0,MIN(AC451,ROUND($AZ451-SUMPRODUCT($V451:$AE451*($V451:$AE451&gt;0)*(($V451:$AE451&lt;AC451)+($V451:$AE451=AC451)*($V$3:$AE$3&gt;AC$3)+($V451:$AE451=AC451)*($V$3:$AE$3=AC$3)*($V$2:$AE$2&lt;AC$2))),2))))</f>
      </c>
      <c r="AN451" s="33">
        <f>IF(AD451&lt;=0,0,MAX(0,MIN(AD451,ROUND($AZ451-SUMPRODUCT($V451:$AE451*($V451:$AE451&gt;0)*(($V451:$AE451&lt;AD451)+($V451:$AE451=AD451)*($V$3:$AE$3&gt;AD$3)+($V451:$AE451=AD451)*($V$3:$AE$3=AD$3)*($V$2:$AE$2&lt;AD$2))),2))))</f>
      </c>
      <c r="AO451" s="33">
        <f>IF(AE451&lt;=0,0,MAX(0,MIN(AE451,ROUND($AZ451-SUMPRODUCT($V451:$AE451*($V451:$AE451&gt;0)*(($V451:$AE451&lt;AE451)+($V451:$AE451=AE451)*($V$3:$AE$3&gt;AE$3)+($V451:$AE451=AE451)*($V$3:$AE$3=AE$3)*($V$2:$AE$2&lt;AE$2))),2))))</f>
      </c>
      <c r="AP451" s="33">
        <f>ROUND(V451-AF451,2)</f>
      </c>
      <c r="AQ451" s="33">
        <f>ROUND(W451-AG451,2)</f>
      </c>
      <c r="AR451" s="33">
        <f>ROUND(X451-AH451,2)</f>
      </c>
      <c r="AS451" s="33">
        <f>ROUND(Y451-AI451,2)</f>
      </c>
      <c r="AT451" s="33">
        <f>ROUND(Z451-AJ451,2)</f>
      </c>
      <c r="AU451" s="33">
        <f>ROUND(AA451-AK451,2)</f>
      </c>
      <c r="AV451" s="33">
        <f>ROUND(AB451-AL451,2)</f>
      </c>
      <c r="AW451" s="33">
        <f>ROUND(AC451-AM451,2)</f>
      </c>
      <c r="AX451" s="33">
        <f>ROUND(AD451-AN451,2)</f>
      </c>
      <c r="AY451" s="33">
        <f>ROUND(AE451-AO451,2)</f>
      </c>
      <c r="AZ451" s="33">
        <f>ROUND(MAX(0,'Your debts'!$D$22-SUM($L451:$U451)),2)</f>
      </c>
      <c r="BA451" s="33">
        <f>ROUND(SUM($B451:$K451)-SUM($AP450:$AY450),2)</f>
      </c>
      <c r="BB451" s="33">
        <f>SUM($AP451:$AY451)</f>
      </c>
      <c r="BC451" s="33">
        <f>ROUND(SUM($L451:$U451)+SUM($AF451:$AO451),2)</f>
      </c>
    </row>
    <row r="452" spans="1:55" x14ac:dyDescent="0.25">
      <c r="A452">
        <v>445</v>
      </c>
      <c r="B452" s="33">
        <f>IF(AP451&lt;=0,0,ROUND(AP451+ROUND(AP451*V$3/12,2),2))</f>
      </c>
      <c r="C452" s="33">
        <f>IF(AQ451&lt;=0,0,ROUND(AQ451+ROUND(AQ451*W$3/12,2),2))</f>
      </c>
      <c r="D452" s="33">
        <f>IF(AR451&lt;=0,0,ROUND(AR451+ROUND(AR451*X$3/12,2),2))</f>
      </c>
      <c r="E452" s="33">
        <f>IF(AS451&lt;=0,0,ROUND(AS451+ROUND(AS451*Y$3/12,2),2))</f>
      </c>
      <c r="F452" s="33">
        <f>IF(AT451&lt;=0,0,ROUND(AT451+ROUND(AT451*Z$3/12,2),2))</f>
      </c>
      <c r="G452" s="33">
        <f>IF(AU451&lt;=0,0,ROUND(AU451+ROUND(AU451*AA$3/12,2),2))</f>
      </c>
      <c r="H452" s="33">
        <f>IF(AV451&lt;=0,0,ROUND(AV451+ROUND(AV451*AB$3/12,2),2))</f>
      </c>
      <c r="I452" s="33">
        <f>IF(AW451&lt;=0,0,ROUND(AW451+ROUND(AW451*AC$3/12,2),2))</f>
      </c>
      <c r="J452" s="33">
        <f>IF(AX451&lt;=0,0,ROUND(AX451+ROUND(AX451*AD$3/12,2),2))</f>
      </c>
      <c r="K452" s="33">
        <f>IF(AY451&lt;=0,0,ROUND(AY451+ROUND(AY451*AE$3/12,2),2))</f>
      </c>
      <c r="L452" s="33">
        <f>ROUND(MIN(MAX(0,N('Your debts'!$E$6)),B452),2)</f>
      </c>
      <c r="M452" s="33">
        <f>ROUND(MIN(MAX(0,N('Your debts'!$E$7)),C452),2)</f>
      </c>
      <c r="N452" s="33">
        <f>ROUND(MIN(MAX(0,N('Your debts'!$E$8)),D452),2)</f>
      </c>
      <c r="O452" s="33">
        <f>ROUND(MIN(MAX(0,N('Your debts'!$E$9)),E452),2)</f>
      </c>
      <c r="P452" s="33">
        <f>ROUND(MIN(MAX(0,N('Your debts'!$E$10)),F452),2)</f>
      </c>
      <c r="Q452" s="33">
        <f>ROUND(MIN(MAX(0,N('Your debts'!$E$11)),G452),2)</f>
      </c>
      <c r="R452" s="33">
        <f>ROUND(MIN(MAX(0,N('Your debts'!$E$12)),H452),2)</f>
      </c>
      <c r="S452" s="33">
        <f>ROUND(MIN(MAX(0,N('Your debts'!$E$13)),I452),2)</f>
      </c>
      <c r="T452" s="33">
        <f>ROUND(MIN(MAX(0,N('Your debts'!$E$14)),J452),2)</f>
      </c>
      <c r="U452" s="33">
        <f>ROUND(MIN(MAX(0,N('Your debts'!$E$15)),K452),2)</f>
      </c>
      <c r="V452" s="33">
        <f>ROUND(B452-L452,2)</f>
      </c>
      <c r="W452" s="33">
        <f>ROUND(C452-M452,2)</f>
      </c>
      <c r="X452" s="33">
        <f>ROUND(D452-N452,2)</f>
      </c>
      <c r="Y452" s="33">
        <f>ROUND(E452-O452,2)</f>
      </c>
      <c r="Z452" s="33">
        <f>ROUND(F452-P452,2)</f>
      </c>
      <c r="AA452" s="33">
        <f>ROUND(G452-Q452,2)</f>
      </c>
      <c r="AB452" s="33">
        <f>ROUND(H452-R452,2)</f>
      </c>
      <c r="AC452" s="33">
        <f>ROUND(I452-S452,2)</f>
      </c>
      <c r="AD452" s="33">
        <f>ROUND(J452-T452,2)</f>
      </c>
      <c r="AE452" s="33">
        <f>ROUND(K452-U452,2)</f>
      </c>
      <c r="AF452" s="33">
        <f>IF(V452&lt;=0,0,MAX(0,MIN(V452,ROUND($AZ452-SUMPRODUCT($V452:$AE452*($V452:$AE452&gt;0)*(($V452:$AE452&lt;V452)+($V452:$AE452=V452)*($V$3:$AE$3&gt;V$3)+($V452:$AE452=V452)*($V$3:$AE$3=V$3)*($V$2:$AE$2&lt;V$2))),2))))</f>
      </c>
      <c r="AG452" s="33">
        <f>IF(W452&lt;=0,0,MAX(0,MIN(W452,ROUND($AZ452-SUMPRODUCT($V452:$AE452*($V452:$AE452&gt;0)*(($V452:$AE452&lt;W452)+($V452:$AE452=W452)*($V$3:$AE$3&gt;W$3)+($V452:$AE452=W452)*($V$3:$AE$3=W$3)*($V$2:$AE$2&lt;W$2))),2))))</f>
      </c>
      <c r="AH452" s="33">
        <f>IF(X452&lt;=0,0,MAX(0,MIN(X452,ROUND($AZ452-SUMPRODUCT($V452:$AE452*($V452:$AE452&gt;0)*(($V452:$AE452&lt;X452)+($V452:$AE452=X452)*($V$3:$AE$3&gt;X$3)+($V452:$AE452=X452)*($V$3:$AE$3=X$3)*($V$2:$AE$2&lt;X$2))),2))))</f>
      </c>
      <c r="AI452" s="33">
        <f>IF(Y452&lt;=0,0,MAX(0,MIN(Y452,ROUND($AZ452-SUMPRODUCT($V452:$AE452*($V452:$AE452&gt;0)*(($V452:$AE452&lt;Y452)+($V452:$AE452=Y452)*($V$3:$AE$3&gt;Y$3)+($V452:$AE452=Y452)*($V$3:$AE$3=Y$3)*($V$2:$AE$2&lt;Y$2))),2))))</f>
      </c>
      <c r="AJ452" s="33">
        <f>IF(Z452&lt;=0,0,MAX(0,MIN(Z452,ROUND($AZ452-SUMPRODUCT($V452:$AE452*($V452:$AE452&gt;0)*(($V452:$AE452&lt;Z452)+($V452:$AE452=Z452)*($V$3:$AE$3&gt;Z$3)+($V452:$AE452=Z452)*($V$3:$AE$3=Z$3)*($V$2:$AE$2&lt;Z$2))),2))))</f>
      </c>
      <c r="AK452" s="33">
        <f>IF(AA452&lt;=0,0,MAX(0,MIN(AA452,ROUND($AZ452-SUMPRODUCT($V452:$AE452*($V452:$AE452&gt;0)*(($V452:$AE452&lt;AA452)+($V452:$AE452=AA452)*($V$3:$AE$3&gt;AA$3)+($V452:$AE452=AA452)*($V$3:$AE$3=AA$3)*($V$2:$AE$2&lt;AA$2))),2))))</f>
      </c>
      <c r="AL452" s="33">
        <f>IF(AB452&lt;=0,0,MAX(0,MIN(AB452,ROUND($AZ452-SUMPRODUCT($V452:$AE452*($V452:$AE452&gt;0)*(($V452:$AE452&lt;AB452)+($V452:$AE452=AB452)*($V$3:$AE$3&gt;AB$3)+($V452:$AE452=AB452)*($V$3:$AE$3=AB$3)*($V$2:$AE$2&lt;AB$2))),2))))</f>
      </c>
      <c r="AM452" s="33">
        <f>IF(AC452&lt;=0,0,MAX(0,MIN(AC452,ROUND($AZ452-SUMPRODUCT($V452:$AE452*($V452:$AE452&gt;0)*(($V452:$AE452&lt;AC452)+($V452:$AE452=AC452)*($V$3:$AE$3&gt;AC$3)+($V452:$AE452=AC452)*($V$3:$AE$3=AC$3)*($V$2:$AE$2&lt;AC$2))),2))))</f>
      </c>
      <c r="AN452" s="33">
        <f>IF(AD452&lt;=0,0,MAX(0,MIN(AD452,ROUND($AZ452-SUMPRODUCT($V452:$AE452*($V452:$AE452&gt;0)*(($V452:$AE452&lt;AD452)+($V452:$AE452=AD452)*($V$3:$AE$3&gt;AD$3)+($V452:$AE452=AD452)*($V$3:$AE$3=AD$3)*($V$2:$AE$2&lt;AD$2))),2))))</f>
      </c>
      <c r="AO452" s="33">
        <f>IF(AE452&lt;=0,0,MAX(0,MIN(AE452,ROUND($AZ452-SUMPRODUCT($V452:$AE452*($V452:$AE452&gt;0)*(($V452:$AE452&lt;AE452)+($V452:$AE452=AE452)*($V$3:$AE$3&gt;AE$3)+($V452:$AE452=AE452)*($V$3:$AE$3=AE$3)*($V$2:$AE$2&lt;AE$2))),2))))</f>
      </c>
      <c r="AP452" s="33">
        <f>ROUND(V452-AF452,2)</f>
      </c>
      <c r="AQ452" s="33">
        <f>ROUND(W452-AG452,2)</f>
      </c>
      <c r="AR452" s="33">
        <f>ROUND(X452-AH452,2)</f>
      </c>
      <c r="AS452" s="33">
        <f>ROUND(Y452-AI452,2)</f>
      </c>
      <c r="AT452" s="33">
        <f>ROUND(Z452-AJ452,2)</f>
      </c>
      <c r="AU452" s="33">
        <f>ROUND(AA452-AK452,2)</f>
      </c>
      <c r="AV452" s="33">
        <f>ROUND(AB452-AL452,2)</f>
      </c>
      <c r="AW452" s="33">
        <f>ROUND(AC452-AM452,2)</f>
      </c>
      <c r="AX452" s="33">
        <f>ROUND(AD452-AN452,2)</f>
      </c>
      <c r="AY452" s="33">
        <f>ROUND(AE452-AO452,2)</f>
      </c>
      <c r="AZ452" s="33">
        <f>ROUND(MAX(0,'Your debts'!$D$22-SUM($L452:$U452)),2)</f>
      </c>
      <c r="BA452" s="33">
        <f>ROUND(SUM($B452:$K452)-SUM($AP451:$AY451),2)</f>
      </c>
      <c r="BB452" s="33">
        <f>SUM($AP452:$AY452)</f>
      </c>
      <c r="BC452" s="33">
        <f>ROUND(SUM($L452:$U452)+SUM($AF452:$AO452),2)</f>
      </c>
    </row>
    <row r="453" spans="1:55" x14ac:dyDescent="0.25">
      <c r="A453">
        <v>446</v>
      </c>
      <c r="B453" s="33">
        <f>IF(AP452&lt;=0,0,ROUND(AP452+ROUND(AP452*V$3/12,2),2))</f>
      </c>
      <c r="C453" s="33">
        <f>IF(AQ452&lt;=0,0,ROUND(AQ452+ROUND(AQ452*W$3/12,2),2))</f>
      </c>
      <c r="D453" s="33">
        <f>IF(AR452&lt;=0,0,ROUND(AR452+ROUND(AR452*X$3/12,2),2))</f>
      </c>
      <c r="E453" s="33">
        <f>IF(AS452&lt;=0,0,ROUND(AS452+ROUND(AS452*Y$3/12,2),2))</f>
      </c>
      <c r="F453" s="33">
        <f>IF(AT452&lt;=0,0,ROUND(AT452+ROUND(AT452*Z$3/12,2),2))</f>
      </c>
      <c r="G453" s="33">
        <f>IF(AU452&lt;=0,0,ROUND(AU452+ROUND(AU452*AA$3/12,2),2))</f>
      </c>
      <c r="H453" s="33">
        <f>IF(AV452&lt;=0,0,ROUND(AV452+ROUND(AV452*AB$3/12,2),2))</f>
      </c>
      <c r="I453" s="33">
        <f>IF(AW452&lt;=0,0,ROUND(AW452+ROUND(AW452*AC$3/12,2),2))</f>
      </c>
      <c r="J453" s="33">
        <f>IF(AX452&lt;=0,0,ROUND(AX452+ROUND(AX452*AD$3/12,2),2))</f>
      </c>
      <c r="K453" s="33">
        <f>IF(AY452&lt;=0,0,ROUND(AY452+ROUND(AY452*AE$3/12,2),2))</f>
      </c>
      <c r="L453" s="33">
        <f>ROUND(MIN(MAX(0,N('Your debts'!$E$6)),B453),2)</f>
      </c>
      <c r="M453" s="33">
        <f>ROUND(MIN(MAX(0,N('Your debts'!$E$7)),C453),2)</f>
      </c>
      <c r="N453" s="33">
        <f>ROUND(MIN(MAX(0,N('Your debts'!$E$8)),D453),2)</f>
      </c>
      <c r="O453" s="33">
        <f>ROUND(MIN(MAX(0,N('Your debts'!$E$9)),E453),2)</f>
      </c>
      <c r="P453" s="33">
        <f>ROUND(MIN(MAX(0,N('Your debts'!$E$10)),F453),2)</f>
      </c>
      <c r="Q453" s="33">
        <f>ROUND(MIN(MAX(0,N('Your debts'!$E$11)),G453),2)</f>
      </c>
      <c r="R453" s="33">
        <f>ROUND(MIN(MAX(0,N('Your debts'!$E$12)),H453),2)</f>
      </c>
      <c r="S453" s="33">
        <f>ROUND(MIN(MAX(0,N('Your debts'!$E$13)),I453),2)</f>
      </c>
      <c r="T453" s="33">
        <f>ROUND(MIN(MAX(0,N('Your debts'!$E$14)),J453),2)</f>
      </c>
      <c r="U453" s="33">
        <f>ROUND(MIN(MAX(0,N('Your debts'!$E$15)),K453),2)</f>
      </c>
      <c r="V453" s="33">
        <f>ROUND(B453-L453,2)</f>
      </c>
      <c r="W453" s="33">
        <f>ROUND(C453-M453,2)</f>
      </c>
      <c r="X453" s="33">
        <f>ROUND(D453-N453,2)</f>
      </c>
      <c r="Y453" s="33">
        <f>ROUND(E453-O453,2)</f>
      </c>
      <c r="Z453" s="33">
        <f>ROUND(F453-P453,2)</f>
      </c>
      <c r="AA453" s="33">
        <f>ROUND(G453-Q453,2)</f>
      </c>
      <c r="AB453" s="33">
        <f>ROUND(H453-R453,2)</f>
      </c>
      <c r="AC453" s="33">
        <f>ROUND(I453-S453,2)</f>
      </c>
      <c r="AD453" s="33">
        <f>ROUND(J453-T453,2)</f>
      </c>
      <c r="AE453" s="33">
        <f>ROUND(K453-U453,2)</f>
      </c>
      <c r="AF453" s="33">
        <f>IF(V453&lt;=0,0,MAX(0,MIN(V453,ROUND($AZ453-SUMPRODUCT($V453:$AE453*($V453:$AE453&gt;0)*(($V453:$AE453&lt;V453)+($V453:$AE453=V453)*($V$3:$AE$3&gt;V$3)+($V453:$AE453=V453)*($V$3:$AE$3=V$3)*($V$2:$AE$2&lt;V$2))),2))))</f>
      </c>
      <c r="AG453" s="33">
        <f>IF(W453&lt;=0,0,MAX(0,MIN(W453,ROUND($AZ453-SUMPRODUCT($V453:$AE453*($V453:$AE453&gt;0)*(($V453:$AE453&lt;W453)+($V453:$AE453=W453)*($V$3:$AE$3&gt;W$3)+($V453:$AE453=W453)*($V$3:$AE$3=W$3)*($V$2:$AE$2&lt;W$2))),2))))</f>
      </c>
      <c r="AH453" s="33">
        <f>IF(X453&lt;=0,0,MAX(0,MIN(X453,ROUND($AZ453-SUMPRODUCT($V453:$AE453*($V453:$AE453&gt;0)*(($V453:$AE453&lt;X453)+($V453:$AE453=X453)*($V$3:$AE$3&gt;X$3)+($V453:$AE453=X453)*($V$3:$AE$3=X$3)*($V$2:$AE$2&lt;X$2))),2))))</f>
      </c>
      <c r="AI453" s="33">
        <f>IF(Y453&lt;=0,0,MAX(0,MIN(Y453,ROUND($AZ453-SUMPRODUCT($V453:$AE453*($V453:$AE453&gt;0)*(($V453:$AE453&lt;Y453)+($V453:$AE453=Y453)*($V$3:$AE$3&gt;Y$3)+($V453:$AE453=Y453)*($V$3:$AE$3=Y$3)*($V$2:$AE$2&lt;Y$2))),2))))</f>
      </c>
      <c r="AJ453" s="33">
        <f>IF(Z453&lt;=0,0,MAX(0,MIN(Z453,ROUND($AZ453-SUMPRODUCT($V453:$AE453*($V453:$AE453&gt;0)*(($V453:$AE453&lt;Z453)+($V453:$AE453=Z453)*($V$3:$AE$3&gt;Z$3)+($V453:$AE453=Z453)*($V$3:$AE$3=Z$3)*($V$2:$AE$2&lt;Z$2))),2))))</f>
      </c>
      <c r="AK453" s="33">
        <f>IF(AA453&lt;=0,0,MAX(0,MIN(AA453,ROUND($AZ453-SUMPRODUCT($V453:$AE453*($V453:$AE453&gt;0)*(($V453:$AE453&lt;AA453)+($V453:$AE453=AA453)*($V$3:$AE$3&gt;AA$3)+($V453:$AE453=AA453)*($V$3:$AE$3=AA$3)*($V$2:$AE$2&lt;AA$2))),2))))</f>
      </c>
      <c r="AL453" s="33">
        <f>IF(AB453&lt;=0,0,MAX(0,MIN(AB453,ROUND($AZ453-SUMPRODUCT($V453:$AE453*($V453:$AE453&gt;0)*(($V453:$AE453&lt;AB453)+($V453:$AE453=AB453)*($V$3:$AE$3&gt;AB$3)+($V453:$AE453=AB453)*($V$3:$AE$3=AB$3)*($V$2:$AE$2&lt;AB$2))),2))))</f>
      </c>
      <c r="AM453" s="33">
        <f>IF(AC453&lt;=0,0,MAX(0,MIN(AC453,ROUND($AZ453-SUMPRODUCT($V453:$AE453*($V453:$AE453&gt;0)*(($V453:$AE453&lt;AC453)+($V453:$AE453=AC453)*($V$3:$AE$3&gt;AC$3)+($V453:$AE453=AC453)*($V$3:$AE$3=AC$3)*($V$2:$AE$2&lt;AC$2))),2))))</f>
      </c>
      <c r="AN453" s="33">
        <f>IF(AD453&lt;=0,0,MAX(0,MIN(AD453,ROUND($AZ453-SUMPRODUCT($V453:$AE453*($V453:$AE453&gt;0)*(($V453:$AE453&lt;AD453)+($V453:$AE453=AD453)*($V$3:$AE$3&gt;AD$3)+($V453:$AE453=AD453)*($V$3:$AE$3=AD$3)*($V$2:$AE$2&lt;AD$2))),2))))</f>
      </c>
      <c r="AO453" s="33">
        <f>IF(AE453&lt;=0,0,MAX(0,MIN(AE453,ROUND($AZ453-SUMPRODUCT($V453:$AE453*($V453:$AE453&gt;0)*(($V453:$AE453&lt;AE453)+($V453:$AE453=AE453)*($V$3:$AE$3&gt;AE$3)+($V453:$AE453=AE453)*($V$3:$AE$3=AE$3)*($V$2:$AE$2&lt;AE$2))),2))))</f>
      </c>
      <c r="AP453" s="33">
        <f>ROUND(V453-AF453,2)</f>
      </c>
      <c r="AQ453" s="33">
        <f>ROUND(W453-AG453,2)</f>
      </c>
      <c r="AR453" s="33">
        <f>ROUND(X453-AH453,2)</f>
      </c>
      <c r="AS453" s="33">
        <f>ROUND(Y453-AI453,2)</f>
      </c>
      <c r="AT453" s="33">
        <f>ROUND(Z453-AJ453,2)</f>
      </c>
      <c r="AU453" s="33">
        <f>ROUND(AA453-AK453,2)</f>
      </c>
      <c r="AV453" s="33">
        <f>ROUND(AB453-AL453,2)</f>
      </c>
      <c r="AW453" s="33">
        <f>ROUND(AC453-AM453,2)</f>
      </c>
      <c r="AX453" s="33">
        <f>ROUND(AD453-AN453,2)</f>
      </c>
      <c r="AY453" s="33">
        <f>ROUND(AE453-AO453,2)</f>
      </c>
      <c r="AZ453" s="33">
        <f>ROUND(MAX(0,'Your debts'!$D$22-SUM($L453:$U453)),2)</f>
      </c>
      <c r="BA453" s="33">
        <f>ROUND(SUM($B453:$K453)-SUM($AP452:$AY452),2)</f>
      </c>
      <c r="BB453" s="33">
        <f>SUM($AP453:$AY453)</f>
      </c>
      <c r="BC453" s="33">
        <f>ROUND(SUM($L453:$U453)+SUM($AF453:$AO453),2)</f>
      </c>
    </row>
    <row r="454" spans="1:55" x14ac:dyDescent="0.25">
      <c r="A454">
        <v>447</v>
      </c>
      <c r="B454" s="33">
        <f>IF(AP453&lt;=0,0,ROUND(AP453+ROUND(AP453*V$3/12,2),2))</f>
      </c>
      <c r="C454" s="33">
        <f>IF(AQ453&lt;=0,0,ROUND(AQ453+ROUND(AQ453*W$3/12,2),2))</f>
      </c>
      <c r="D454" s="33">
        <f>IF(AR453&lt;=0,0,ROUND(AR453+ROUND(AR453*X$3/12,2),2))</f>
      </c>
      <c r="E454" s="33">
        <f>IF(AS453&lt;=0,0,ROUND(AS453+ROUND(AS453*Y$3/12,2),2))</f>
      </c>
      <c r="F454" s="33">
        <f>IF(AT453&lt;=0,0,ROUND(AT453+ROUND(AT453*Z$3/12,2),2))</f>
      </c>
      <c r="G454" s="33">
        <f>IF(AU453&lt;=0,0,ROUND(AU453+ROUND(AU453*AA$3/12,2),2))</f>
      </c>
      <c r="H454" s="33">
        <f>IF(AV453&lt;=0,0,ROUND(AV453+ROUND(AV453*AB$3/12,2),2))</f>
      </c>
      <c r="I454" s="33">
        <f>IF(AW453&lt;=0,0,ROUND(AW453+ROUND(AW453*AC$3/12,2),2))</f>
      </c>
      <c r="J454" s="33">
        <f>IF(AX453&lt;=0,0,ROUND(AX453+ROUND(AX453*AD$3/12,2),2))</f>
      </c>
      <c r="K454" s="33">
        <f>IF(AY453&lt;=0,0,ROUND(AY453+ROUND(AY453*AE$3/12,2),2))</f>
      </c>
      <c r="L454" s="33">
        <f>ROUND(MIN(MAX(0,N('Your debts'!$E$6)),B454),2)</f>
      </c>
      <c r="M454" s="33">
        <f>ROUND(MIN(MAX(0,N('Your debts'!$E$7)),C454),2)</f>
      </c>
      <c r="N454" s="33">
        <f>ROUND(MIN(MAX(0,N('Your debts'!$E$8)),D454),2)</f>
      </c>
      <c r="O454" s="33">
        <f>ROUND(MIN(MAX(0,N('Your debts'!$E$9)),E454),2)</f>
      </c>
      <c r="P454" s="33">
        <f>ROUND(MIN(MAX(0,N('Your debts'!$E$10)),F454),2)</f>
      </c>
      <c r="Q454" s="33">
        <f>ROUND(MIN(MAX(0,N('Your debts'!$E$11)),G454),2)</f>
      </c>
      <c r="R454" s="33">
        <f>ROUND(MIN(MAX(0,N('Your debts'!$E$12)),H454),2)</f>
      </c>
      <c r="S454" s="33">
        <f>ROUND(MIN(MAX(0,N('Your debts'!$E$13)),I454),2)</f>
      </c>
      <c r="T454" s="33">
        <f>ROUND(MIN(MAX(0,N('Your debts'!$E$14)),J454),2)</f>
      </c>
      <c r="U454" s="33">
        <f>ROUND(MIN(MAX(0,N('Your debts'!$E$15)),K454),2)</f>
      </c>
      <c r="V454" s="33">
        <f>ROUND(B454-L454,2)</f>
      </c>
      <c r="W454" s="33">
        <f>ROUND(C454-M454,2)</f>
      </c>
      <c r="X454" s="33">
        <f>ROUND(D454-N454,2)</f>
      </c>
      <c r="Y454" s="33">
        <f>ROUND(E454-O454,2)</f>
      </c>
      <c r="Z454" s="33">
        <f>ROUND(F454-P454,2)</f>
      </c>
      <c r="AA454" s="33">
        <f>ROUND(G454-Q454,2)</f>
      </c>
      <c r="AB454" s="33">
        <f>ROUND(H454-R454,2)</f>
      </c>
      <c r="AC454" s="33">
        <f>ROUND(I454-S454,2)</f>
      </c>
      <c r="AD454" s="33">
        <f>ROUND(J454-T454,2)</f>
      </c>
      <c r="AE454" s="33">
        <f>ROUND(K454-U454,2)</f>
      </c>
      <c r="AF454" s="33">
        <f>IF(V454&lt;=0,0,MAX(0,MIN(V454,ROUND($AZ454-SUMPRODUCT($V454:$AE454*($V454:$AE454&gt;0)*(($V454:$AE454&lt;V454)+($V454:$AE454=V454)*($V$3:$AE$3&gt;V$3)+($V454:$AE454=V454)*($V$3:$AE$3=V$3)*($V$2:$AE$2&lt;V$2))),2))))</f>
      </c>
      <c r="AG454" s="33">
        <f>IF(W454&lt;=0,0,MAX(0,MIN(W454,ROUND($AZ454-SUMPRODUCT($V454:$AE454*($V454:$AE454&gt;0)*(($V454:$AE454&lt;W454)+($V454:$AE454=W454)*($V$3:$AE$3&gt;W$3)+($V454:$AE454=W454)*($V$3:$AE$3=W$3)*($V$2:$AE$2&lt;W$2))),2))))</f>
      </c>
      <c r="AH454" s="33">
        <f>IF(X454&lt;=0,0,MAX(0,MIN(X454,ROUND($AZ454-SUMPRODUCT($V454:$AE454*($V454:$AE454&gt;0)*(($V454:$AE454&lt;X454)+($V454:$AE454=X454)*($V$3:$AE$3&gt;X$3)+($V454:$AE454=X454)*($V$3:$AE$3=X$3)*($V$2:$AE$2&lt;X$2))),2))))</f>
      </c>
      <c r="AI454" s="33">
        <f>IF(Y454&lt;=0,0,MAX(0,MIN(Y454,ROUND($AZ454-SUMPRODUCT($V454:$AE454*($V454:$AE454&gt;0)*(($V454:$AE454&lt;Y454)+($V454:$AE454=Y454)*($V$3:$AE$3&gt;Y$3)+($V454:$AE454=Y454)*($V$3:$AE$3=Y$3)*($V$2:$AE$2&lt;Y$2))),2))))</f>
      </c>
      <c r="AJ454" s="33">
        <f>IF(Z454&lt;=0,0,MAX(0,MIN(Z454,ROUND($AZ454-SUMPRODUCT($V454:$AE454*($V454:$AE454&gt;0)*(($V454:$AE454&lt;Z454)+($V454:$AE454=Z454)*($V$3:$AE$3&gt;Z$3)+($V454:$AE454=Z454)*($V$3:$AE$3=Z$3)*($V$2:$AE$2&lt;Z$2))),2))))</f>
      </c>
      <c r="AK454" s="33">
        <f>IF(AA454&lt;=0,0,MAX(0,MIN(AA454,ROUND($AZ454-SUMPRODUCT($V454:$AE454*($V454:$AE454&gt;0)*(($V454:$AE454&lt;AA454)+($V454:$AE454=AA454)*($V$3:$AE$3&gt;AA$3)+($V454:$AE454=AA454)*($V$3:$AE$3=AA$3)*($V$2:$AE$2&lt;AA$2))),2))))</f>
      </c>
      <c r="AL454" s="33">
        <f>IF(AB454&lt;=0,0,MAX(0,MIN(AB454,ROUND($AZ454-SUMPRODUCT($V454:$AE454*($V454:$AE454&gt;0)*(($V454:$AE454&lt;AB454)+($V454:$AE454=AB454)*($V$3:$AE$3&gt;AB$3)+($V454:$AE454=AB454)*($V$3:$AE$3=AB$3)*($V$2:$AE$2&lt;AB$2))),2))))</f>
      </c>
      <c r="AM454" s="33">
        <f>IF(AC454&lt;=0,0,MAX(0,MIN(AC454,ROUND($AZ454-SUMPRODUCT($V454:$AE454*($V454:$AE454&gt;0)*(($V454:$AE454&lt;AC454)+($V454:$AE454=AC454)*($V$3:$AE$3&gt;AC$3)+($V454:$AE454=AC454)*($V$3:$AE$3=AC$3)*($V$2:$AE$2&lt;AC$2))),2))))</f>
      </c>
      <c r="AN454" s="33">
        <f>IF(AD454&lt;=0,0,MAX(0,MIN(AD454,ROUND($AZ454-SUMPRODUCT($V454:$AE454*($V454:$AE454&gt;0)*(($V454:$AE454&lt;AD454)+($V454:$AE454=AD454)*($V$3:$AE$3&gt;AD$3)+($V454:$AE454=AD454)*($V$3:$AE$3=AD$3)*($V$2:$AE$2&lt;AD$2))),2))))</f>
      </c>
      <c r="AO454" s="33">
        <f>IF(AE454&lt;=0,0,MAX(0,MIN(AE454,ROUND($AZ454-SUMPRODUCT($V454:$AE454*($V454:$AE454&gt;0)*(($V454:$AE454&lt;AE454)+($V454:$AE454=AE454)*($V$3:$AE$3&gt;AE$3)+($V454:$AE454=AE454)*($V$3:$AE$3=AE$3)*($V$2:$AE$2&lt;AE$2))),2))))</f>
      </c>
      <c r="AP454" s="33">
        <f>ROUND(V454-AF454,2)</f>
      </c>
      <c r="AQ454" s="33">
        <f>ROUND(W454-AG454,2)</f>
      </c>
      <c r="AR454" s="33">
        <f>ROUND(X454-AH454,2)</f>
      </c>
      <c r="AS454" s="33">
        <f>ROUND(Y454-AI454,2)</f>
      </c>
      <c r="AT454" s="33">
        <f>ROUND(Z454-AJ454,2)</f>
      </c>
      <c r="AU454" s="33">
        <f>ROUND(AA454-AK454,2)</f>
      </c>
      <c r="AV454" s="33">
        <f>ROUND(AB454-AL454,2)</f>
      </c>
      <c r="AW454" s="33">
        <f>ROUND(AC454-AM454,2)</f>
      </c>
      <c r="AX454" s="33">
        <f>ROUND(AD454-AN454,2)</f>
      </c>
      <c r="AY454" s="33">
        <f>ROUND(AE454-AO454,2)</f>
      </c>
      <c r="AZ454" s="33">
        <f>ROUND(MAX(0,'Your debts'!$D$22-SUM($L454:$U454)),2)</f>
      </c>
      <c r="BA454" s="33">
        <f>ROUND(SUM($B454:$K454)-SUM($AP453:$AY453),2)</f>
      </c>
      <c r="BB454" s="33">
        <f>SUM($AP454:$AY454)</f>
      </c>
      <c r="BC454" s="33">
        <f>ROUND(SUM($L454:$U454)+SUM($AF454:$AO454),2)</f>
      </c>
    </row>
    <row r="455" spans="1:55" x14ac:dyDescent="0.25">
      <c r="A455">
        <v>448</v>
      </c>
      <c r="B455" s="33">
        <f>IF(AP454&lt;=0,0,ROUND(AP454+ROUND(AP454*V$3/12,2),2))</f>
      </c>
      <c r="C455" s="33">
        <f>IF(AQ454&lt;=0,0,ROUND(AQ454+ROUND(AQ454*W$3/12,2),2))</f>
      </c>
      <c r="D455" s="33">
        <f>IF(AR454&lt;=0,0,ROUND(AR454+ROUND(AR454*X$3/12,2),2))</f>
      </c>
      <c r="E455" s="33">
        <f>IF(AS454&lt;=0,0,ROUND(AS454+ROUND(AS454*Y$3/12,2),2))</f>
      </c>
      <c r="F455" s="33">
        <f>IF(AT454&lt;=0,0,ROUND(AT454+ROUND(AT454*Z$3/12,2),2))</f>
      </c>
      <c r="G455" s="33">
        <f>IF(AU454&lt;=0,0,ROUND(AU454+ROUND(AU454*AA$3/12,2),2))</f>
      </c>
      <c r="H455" s="33">
        <f>IF(AV454&lt;=0,0,ROUND(AV454+ROUND(AV454*AB$3/12,2),2))</f>
      </c>
      <c r="I455" s="33">
        <f>IF(AW454&lt;=0,0,ROUND(AW454+ROUND(AW454*AC$3/12,2),2))</f>
      </c>
      <c r="J455" s="33">
        <f>IF(AX454&lt;=0,0,ROUND(AX454+ROUND(AX454*AD$3/12,2),2))</f>
      </c>
      <c r="K455" s="33">
        <f>IF(AY454&lt;=0,0,ROUND(AY454+ROUND(AY454*AE$3/12,2),2))</f>
      </c>
      <c r="L455" s="33">
        <f>ROUND(MIN(MAX(0,N('Your debts'!$E$6)),B455),2)</f>
      </c>
      <c r="M455" s="33">
        <f>ROUND(MIN(MAX(0,N('Your debts'!$E$7)),C455),2)</f>
      </c>
      <c r="N455" s="33">
        <f>ROUND(MIN(MAX(0,N('Your debts'!$E$8)),D455),2)</f>
      </c>
      <c r="O455" s="33">
        <f>ROUND(MIN(MAX(0,N('Your debts'!$E$9)),E455),2)</f>
      </c>
      <c r="P455" s="33">
        <f>ROUND(MIN(MAX(0,N('Your debts'!$E$10)),F455),2)</f>
      </c>
      <c r="Q455" s="33">
        <f>ROUND(MIN(MAX(0,N('Your debts'!$E$11)),G455),2)</f>
      </c>
      <c r="R455" s="33">
        <f>ROUND(MIN(MAX(0,N('Your debts'!$E$12)),H455),2)</f>
      </c>
      <c r="S455" s="33">
        <f>ROUND(MIN(MAX(0,N('Your debts'!$E$13)),I455),2)</f>
      </c>
      <c r="T455" s="33">
        <f>ROUND(MIN(MAX(0,N('Your debts'!$E$14)),J455),2)</f>
      </c>
      <c r="U455" s="33">
        <f>ROUND(MIN(MAX(0,N('Your debts'!$E$15)),K455),2)</f>
      </c>
      <c r="V455" s="33">
        <f>ROUND(B455-L455,2)</f>
      </c>
      <c r="W455" s="33">
        <f>ROUND(C455-M455,2)</f>
      </c>
      <c r="X455" s="33">
        <f>ROUND(D455-N455,2)</f>
      </c>
      <c r="Y455" s="33">
        <f>ROUND(E455-O455,2)</f>
      </c>
      <c r="Z455" s="33">
        <f>ROUND(F455-P455,2)</f>
      </c>
      <c r="AA455" s="33">
        <f>ROUND(G455-Q455,2)</f>
      </c>
      <c r="AB455" s="33">
        <f>ROUND(H455-R455,2)</f>
      </c>
      <c r="AC455" s="33">
        <f>ROUND(I455-S455,2)</f>
      </c>
      <c r="AD455" s="33">
        <f>ROUND(J455-T455,2)</f>
      </c>
      <c r="AE455" s="33">
        <f>ROUND(K455-U455,2)</f>
      </c>
      <c r="AF455" s="33">
        <f>IF(V455&lt;=0,0,MAX(0,MIN(V455,ROUND($AZ455-SUMPRODUCT($V455:$AE455*($V455:$AE455&gt;0)*(($V455:$AE455&lt;V455)+($V455:$AE455=V455)*($V$3:$AE$3&gt;V$3)+($V455:$AE455=V455)*($V$3:$AE$3=V$3)*($V$2:$AE$2&lt;V$2))),2))))</f>
      </c>
      <c r="AG455" s="33">
        <f>IF(W455&lt;=0,0,MAX(0,MIN(W455,ROUND($AZ455-SUMPRODUCT($V455:$AE455*($V455:$AE455&gt;0)*(($V455:$AE455&lt;W455)+($V455:$AE455=W455)*($V$3:$AE$3&gt;W$3)+($V455:$AE455=W455)*($V$3:$AE$3=W$3)*($V$2:$AE$2&lt;W$2))),2))))</f>
      </c>
      <c r="AH455" s="33">
        <f>IF(X455&lt;=0,0,MAX(0,MIN(X455,ROUND($AZ455-SUMPRODUCT($V455:$AE455*($V455:$AE455&gt;0)*(($V455:$AE455&lt;X455)+($V455:$AE455=X455)*($V$3:$AE$3&gt;X$3)+($V455:$AE455=X455)*($V$3:$AE$3=X$3)*($V$2:$AE$2&lt;X$2))),2))))</f>
      </c>
      <c r="AI455" s="33">
        <f>IF(Y455&lt;=0,0,MAX(0,MIN(Y455,ROUND($AZ455-SUMPRODUCT($V455:$AE455*($V455:$AE455&gt;0)*(($V455:$AE455&lt;Y455)+($V455:$AE455=Y455)*($V$3:$AE$3&gt;Y$3)+($V455:$AE455=Y455)*($V$3:$AE$3=Y$3)*($V$2:$AE$2&lt;Y$2))),2))))</f>
      </c>
      <c r="AJ455" s="33">
        <f>IF(Z455&lt;=0,0,MAX(0,MIN(Z455,ROUND($AZ455-SUMPRODUCT($V455:$AE455*($V455:$AE455&gt;0)*(($V455:$AE455&lt;Z455)+($V455:$AE455=Z455)*($V$3:$AE$3&gt;Z$3)+($V455:$AE455=Z455)*($V$3:$AE$3=Z$3)*($V$2:$AE$2&lt;Z$2))),2))))</f>
      </c>
      <c r="AK455" s="33">
        <f>IF(AA455&lt;=0,0,MAX(0,MIN(AA455,ROUND($AZ455-SUMPRODUCT($V455:$AE455*($V455:$AE455&gt;0)*(($V455:$AE455&lt;AA455)+($V455:$AE455=AA455)*($V$3:$AE$3&gt;AA$3)+($V455:$AE455=AA455)*($V$3:$AE$3=AA$3)*($V$2:$AE$2&lt;AA$2))),2))))</f>
      </c>
      <c r="AL455" s="33">
        <f>IF(AB455&lt;=0,0,MAX(0,MIN(AB455,ROUND($AZ455-SUMPRODUCT($V455:$AE455*($V455:$AE455&gt;0)*(($V455:$AE455&lt;AB455)+($V455:$AE455=AB455)*($V$3:$AE$3&gt;AB$3)+($V455:$AE455=AB455)*($V$3:$AE$3=AB$3)*($V$2:$AE$2&lt;AB$2))),2))))</f>
      </c>
      <c r="AM455" s="33">
        <f>IF(AC455&lt;=0,0,MAX(0,MIN(AC455,ROUND($AZ455-SUMPRODUCT($V455:$AE455*($V455:$AE455&gt;0)*(($V455:$AE455&lt;AC455)+($V455:$AE455=AC455)*($V$3:$AE$3&gt;AC$3)+($V455:$AE455=AC455)*($V$3:$AE$3=AC$3)*($V$2:$AE$2&lt;AC$2))),2))))</f>
      </c>
      <c r="AN455" s="33">
        <f>IF(AD455&lt;=0,0,MAX(0,MIN(AD455,ROUND($AZ455-SUMPRODUCT($V455:$AE455*($V455:$AE455&gt;0)*(($V455:$AE455&lt;AD455)+($V455:$AE455=AD455)*($V$3:$AE$3&gt;AD$3)+($V455:$AE455=AD455)*($V$3:$AE$3=AD$3)*($V$2:$AE$2&lt;AD$2))),2))))</f>
      </c>
      <c r="AO455" s="33">
        <f>IF(AE455&lt;=0,0,MAX(0,MIN(AE455,ROUND($AZ455-SUMPRODUCT($V455:$AE455*($V455:$AE455&gt;0)*(($V455:$AE455&lt;AE455)+($V455:$AE455=AE455)*($V$3:$AE$3&gt;AE$3)+($V455:$AE455=AE455)*($V$3:$AE$3=AE$3)*($V$2:$AE$2&lt;AE$2))),2))))</f>
      </c>
      <c r="AP455" s="33">
        <f>ROUND(V455-AF455,2)</f>
      </c>
      <c r="AQ455" s="33">
        <f>ROUND(W455-AG455,2)</f>
      </c>
      <c r="AR455" s="33">
        <f>ROUND(X455-AH455,2)</f>
      </c>
      <c r="AS455" s="33">
        <f>ROUND(Y455-AI455,2)</f>
      </c>
      <c r="AT455" s="33">
        <f>ROUND(Z455-AJ455,2)</f>
      </c>
      <c r="AU455" s="33">
        <f>ROUND(AA455-AK455,2)</f>
      </c>
      <c r="AV455" s="33">
        <f>ROUND(AB455-AL455,2)</f>
      </c>
      <c r="AW455" s="33">
        <f>ROUND(AC455-AM455,2)</f>
      </c>
      <c r="AX455" s="33">
        <f>ROUND(AD455-AN455,2)</f>
      </c>
      <c r="AY455" s="33">
        <f>ROUND(AE455-AO455,2)</f>
      </c>
      <c r="AZ455" s="33">
        <f>ROUND(MAX(0,'Your debts'!$D$22-SUM($L455:$U455)),2)</f>
      </c>
      <c r="BA455" s="33">
        <f>ROUND(SUM($B455:$K455)-SUM($AP454:$AY454),2)</f>
      </c>
      <c r="BB455" s="33">
        <f>SUM($AP455:$AY455)</f>
      </c>
      <c r="BC455" s="33">
        <f>ROUND(SUM($L455:$U455)+SUM($AF455:$AO455),2)</f>
      </c>
    </row>
    <row r="456" spans="1:55" x14ac:dyDescent="0.25">
      <c r="A456">
        <v>449</v>
      </c>
      <c r="B456" s="33">
        <f>IF(AP455&lt;=0,0,ROUND(AP455+ROUND(AP455*V$3/12,2),2))</f>
      </c>
      <c r="C456" s="33">
        <f>IF(AQ455&lt;=0,0,ROUND(AQ455+ROUND(AQ455*W$3/12,2),2))</f>
      </c>
      <c r="D456" s="33">
        <f>IF(AR455&lt;=0,0,ROUND(AR455+ROUND(AR455*X$3/12,2),2))</f>
      </c>
      <c r="E456" s="33">
        <f>IF(AS455&lt;=0,0,ROUND(AS455+ROUND(AS455*Y$3/12,2),2))</f>
      </c>
      <c r="F456" s="33">
        <f>IF(AT455&lt;=0,0,ROUND(AT455+ROUND(AT455*Z$3/12,2),2))</f>
      </c>
      <c r="G456" s="33">
        <f>IF(AU455&lt;=0,0,ROUND(AU455+ROUND(AU455*AA$3/12,2),2))</f>
      </c>
      <c r="H456" s="33">
        <f>IF(AV455&lt;=0,0,ROUND(AV455+ROUND(AV455*AB$3/12,2),2))</f>
      </c>
      <c r="I456" s="33">
        <f>IF(AW455&lt;=0,0,ROUND(AW455+ROUND(AW455*AC$3/12,2),2))</f>
      </c>
      <c r="J456" s="33">
        <f>IF(AX455&lt;=0,0,ROUND(AX455+ROUND(AX455*AD$3/12,2),2))</f>
      </c>
      <c r="K456" s="33">
        <f>IF(AY455&lt;=0,0,ROUND(AY455+ROUND(AY455*AE$3/12,2),2))</f>
      </c>
      <c r="L456" s="33">
        <f>ROUND(MIN(MAX(0,N('Your debts'!$E$6)),B456),2)</f>
      </c>
      <c r="M456" s="33">
        <f>ROUND(MIN(MAX(0,N('Your debts'!$E$7)),C456),2)</f>
      </c>
      <c r="N456" s="33">
        <f>ROUND(MIN(MAX(0,N('Your debts'!$E$8)),D456),2)</f>
      </c>
      <c r="O456" s="33">
        <f>ROUND(MIN(MAX(0,N('Your debts'!$E$9)),E456),2)</f>
      </c>
      <c r="P456" s="33">
        <f>ROUND(MIN(MAX(0,N('Your debts'!$E$10)),F456),2)</f>
      </c>
      <c r="Q456" s="33">
        <f>ROUND(MIN(MAX(0,N('Your debts'!$E$11)),G456),2)</f>
      </c>
      <c r="R456" s="33">
        <f>ROUND(MIN(MAX(0,N('Your debts'!$E$12)),H456),2)</f>
      </c>
      <c r="S456" s="33">
        <f>ROUND(MIN(MAX(0,N('Your debts'!$E$13)),I456),2)</f>
      </c>
      <c r="T456" s="33">
        <f>ROUND(MIN(MAX(0,N('Your debts'!$E$14)),J456),2)</f>
      </c>
      <c r="U456" s="33">
        <f>ROUND(MIN(MAX(0,N('Your debts'!$E$15)),K456),2)</f>
      </c>
      <c r="V456" s="33">
        <f>ROUND(B456-L456,2)</f>
      </c>
      <c r="W456" s="33">
        <f>ROUND(C456-M456,2)</f>
      </c>
      <c r="X456" s="33">
        <f>ROUND(D456-N456,2)</f>
      </c>
      <c r="Y456" s="33">
        <f>ROUND(E456-O456,2)</f>
      </c>
      <c r="Z456" s="33">
        <f>ROUND(F456-P456,2)</f>
      </c>
      <c r="AA456" s="33">
        <f>ROUND(G456-Q456,2)</f>
      </c>
      <c r="AB456" s="33">
        <f>ROUND(H456-R456,2)</f>
      </c>
      <c r="AC456" s="33">
        <f>ROUND(I456-S456,2)</f>
      </c>
      <c r="AD456" s="33">
        <f>ROUND(J456-T456,2)</f>
      </c>
      <c r="AE456" s="33">
        <f>ROUND(K456-U456,2)</f>
      </c>
      <c r="AF456" s="33">
        <f>IF(V456&lt;=0,0,MAX(0,MIN(V456,ROUND($AZ456-SUMPRODUCT($V456:$AE456*($V456:$AE456&gt;0)*(($V456:$AE456&lt;V456)+($V456:$AE456=V456)*($V$3:$AE$3&gt;V$3)+($V456:$AE456=V456)*($V$3:$AE$3=V$3)*($V$2:$AE$2&lt;V$2))),2))))</f>
      </c>
      <c r="AG456" s="33">
        <f>IF(W456&lt;=0,0,MAX(0,MIN(W456,ROUND($AZ456-SUMPRODUCT($V456:$AE456*($V456:$AE456&gt;0)*(($V456:$AE456&lt;W456)+($V456:$AE456=W456)*($V$3:$AE$3&gt;W$3)+($V456:$AE456=W456)*($V$3:$AE$3=W$3)*($V$2:$AE$2&lt;W$2))),2))))</f>
      </c>
      <c r="AH456" s="33">
        <f>IF(X456&lt;=0,0,MAX(0,MIN(X456,ROUND($AZ456-SUMPRODUCT($V456:$AE456*($V456:$AE456&gt;0)*(($V456:$AE456&lt;X456)+($V456:$AE456=X456)*($V$3:$AE$3&gt;X$3)+($V456:$AE456=X456)*($V$3:$AE$3=X$3)*($V$2:$AE$2&lt;X$2))),2))))</f>
      </c>
      <c r="AI456" s="33">
        <f>IF(Y456&lt;=0,0,MAX(0,MIN(Y456,ROUND($AZ456-SUMPRODUCT($V456:$AE456*($V456:$AE456&gt;0)*(($V456:$AE456&lt;Y456)+($V456:$AE456=Y456)*($V$3:$AE$3&gt;Y$3)+($V456:$AE456=Y456)*($V$3:$AE$3=Y$3)*($V$2:$AE$2&lt;Y$2))),2))))</f>
      </c>
      <c r="AJ456" s="33">
        <f>IF(Z456&lt;=0,0,MAX(0,MIN(Z456,ROUND($AZ456-SUMPRODUCT($V456:$AE456*($V456:$AE456&gt;0)*(($V456:$AE456&lt;Z456)+($V456:$AE456=Z456)*($V$3:$AE$3&gt;Z$3)+($V456:$AE456=Z456)*($V$3:$AE$3=Z$3)*($V$2:$AE$2&lt;Z$2))),2))))</f>
      </c>
      <c r="AK456" s="33">
        <f>IF(AA456&lt;=0,0,MAX(0,MIN(AA456,ROUND($AZ456-SUMPRODUCT($V456:$AE456*($V456:$AE456&gt;0)*(($V456:$AE456&lt;AA456)+($V456:$AE456=AA456)*($V$3:$AE$3&gt;AA$3)+($V456:$AE456=AA456)*($V$3:$AE$3=AA$3)*($V$2:$AE$2&lt;AA$2))),2))))</f>
      </c>
      <c r="AL456" s="33">
        <f>IF(AB456&lt;=0,0,MAX(0,MIN(AB456,ROUND($AZ456-SUMPRODUCT($V456:$AE456*($V456:$AE456&gt;0)*(($V456:$AE456&lt;AB456)+($V456:$AE456=AB456)*($V$3:$AE$3&gt;AB$3)+($V456:$AE456=AB456)*($V$3:$AE$3=AB$3)*($V$2:$AE$2&lt;AB$2))),2))))</f>
      </c>
      <c r="AM456" s="33">
        <f>IF(AC456&lt;=0,0,MAX(0,MIN(AC456,ROUND($AZ456-SUMPRODUCT($V456:$AE456*($V456:$AE456&gt;0)*(($V456:$AE456&lt;AC456)+($V456:$AE456=AC456)*($V$3:$AE$3&gt;AC$3)+($V456:$AE456=AC456)*($V$3:$AE$3=AC$3)*($V$2:$AE$2&lt;AC$2))),2))))</f>
      </c>
      <c r="AN456" s="33">
        <f>IF(AD456&lt;=0,0,MAX(0,MIN(AD456,ROUND($AZ456-SUMPRODUCT($V456:$AE456*($V456:$AE456&gt;0)*(($V456:$AE456&lt;AD456)+($V456:$AE456=AD456)*($V$3:$AE$3&gt;AD$3)+($V456:$AE456=AD456)*($V$3:$AE$3=AD$3)*($V$2:$AE$2&lt;AD$2))),2))))</f>
      </c>
      <c r="AO456" s="33">
        <f>IF(AE456&lt;=0,0,MAX(0,MIN(AE456,ROUND($AZ456-SUMPRODUCT($V456:$AE456*($V456:$AE456&gt;0)*(($V456:$AE456&lt;AE456)+($V456:$AE456=AE456)*($V$3:$AE$3&gt;AE$3)+($V456:$AE456=AE456)*($V$3:$AE$3=AE$3)*($V$2:$AE$2&lt;AE$2))),2))))</f>
      </c>
      <c r="AP456" s="33">
        <f>ROUND(V456-AF456,2)</f>
      </c>
      <c r="AQ456" s="33">
        <f>ROUND(W456-AG456,2)</f>
      </c>
      <c r="AR456" s="33">
        <f>ROUND(X456-AH456,2)</f>
      </c>
      <c r="AS456" s="33">
        <f>ROUND(Y456-AI456,2)</f>
      </c>
      <c r="AT456" s="33">
        <f>ROUND(Z456-AJ456,2)</f>
      </c>
      <c r="AU456" s="33">
        <f>ROUND(AA456-AK456,2)</f>
      </c>
      <c r="AV456" s="33">
        <f>ROUND(AB456-AL456,2)</f>
      </c>
      <c r="AW456" s="33">
        <f>ROUND(AC456-AM456,2)</f>
      </c>
      <c r="AX456" s="33">
        <f>ROUND(AD456-AN456,2)</f>
      </c>
      <c r="AY456" s="33">
        <f>ROUND(AE456-AO456,2)</f>
      </c>
      <c r="AZ456" s="33">
        <f>ROUND(MAX(0,'Your debts'!$D$22-SUM($L456:$U456)),2)</f>
      </c>
      <c r="BA456" s="33">
        <f>ROUND(SUM($B456:$K456)-SUM($AP455:$AY455),2)</f>
      </c>
      <c r="BB456" s="33">
        <f>SUM($AP456:$AY456)</f>
      </c>
      <c r="BC456" s="33">
        <f>ROUND(SUM($L456:$U456)+SUM($AF456:$AO456),2)</f>
      </c>
    </row>
    <row r="457" spans="1:55" x14ac:dyDescent="0.25">
      <c r="A457">
        <v>450</v>
      </c>
      <c r="B457" s="33">
        <f>IF(AP456&lt;=0,0,ROUND(AP456+ROUND(AP456*V$3/12,2),2))</f>
      </c>
      <c r="C457" s="33">
        <f>IF(AQ456&lt;=0,0,ROUND(AQ456+ROUND(AQ456*W$3/12,2),2))</f>
      </c>
      <c r="D457" s="33">
        <f>IF(AR456&lt;=0,0,ROUND(AR456+ROUND(AR456*X$3/12,2),2))</f>
      </c>
      <c r="E457" s="33">
        <f>IF(AS456&lt;=0,0,ROUND(AS456+ROUND(AS456*Y$3/12,2),2))</f>
      </c>
      <c r="F457" s="33">
        <f>IF(AT456&lt;=0,0,ROUND(AT456+ROUND(AT456*Z$3/12,2),2))</f>
      </c>
      <c r="G457" s="33">
        <f>IF(AU456&lt;=0,0,ROUND(AU456+ROUND(AU456*AA$3/12,2),2))</f>
      </c>
      <c r="H457" s="33">
        <f>IF(AV456&lt;=0,0,ROUND(AV456+ROUND(AV456*AB$3/12,2),2))</f>
      </c>
      <c r="I457" s="33">
        <f>IF(AW456&lt;=0,0,ROUND(AW456+ROUND(AW456*AC$3/12,2),2))</f>
      </c>
      <c r="J457" s="33">
        <f>IF(AX456&lt;=0,0,ROUND(AX456+ROUND(AX456*AD$3/12,2),2))</f>
      </c>
      <c r="K457" s="33">
        <f>IF(AY456&lt;=0,0,ROUND(AY456+ROUND(AY456*AE$3/12,2),2))</f>
      </c>
      <c r="L457" s="33">
        <f>ROUND(MIN(MAX(0,N('Your debts'!$E$6)),B457),2)</f>
      </c>
      <c r="M457" s="33">
        <f>ROUND(MIN(MAX(0,N('Your debts'!$E$7)),C457),2)</f>
      </c>
      <c r="N457" s="33">
        <f>ROUND(MIN(MAX(0,N('Your debts'!$E$8)),D457),2)</f>
      </c>
      <c r="O457" s="33">
        <f>ROUND(MIN(MAX(0,N('Your debts'!$E$9)),E457),2)</f>
      </c>
      <c r="P457" s="33">
        <f>ROUND(MIN(MAX(0,N('Your debts'!$E$10)),F457),2)</f>
      </c>
      <c r="Q457" s="33">
        <f>ROUND(MIN(MAX(0,N('Your debts'!$E$11)),G457),2)</f>
      </c>
      <c r="R457" s="33">
        <f>ROUND(MIN(MAX(0,N('Your debts'!$E$12)),H457),2)</f>
      </c>
      <c r="S457" s="33">
        <f>ROUND(MIN(MAX(0,N('Your debts'!$E$13)),I457),2)</f>
      </c>
      <c r="T457" s="33">
        <f>ROUND(MIN(MAX(0,N('Your debts'!$E$14)),J457),2)</f>
      </c>
      <c r="U457" s="33">
        <f>ROUND(MIN(MAX(0,N('Your debts'!$E$15)),K457),2)</f>
      </c>
      <c r="V457" s="33">
        <f>ROUND(B457-L457,2)</f>
      </c>
      <c r="W457" s="33">
        <f>ROUND(C457-M457,2)</f>
      </c>
      <c r="X457" s="33">
        <f>ROUND(D457-N457,2)</f>
      </c>
      <c r="Y457" s="33">
        <f>ROUND(E457-O457,2)</f>
      </c>
      <c r="Z457" s="33">
        <f>ROUND(F457-P457,2)</f>
      </c>
      <c r="AA457" s="33">
        <f>ROUND(G457-Q457,2)</f>
      </c>
      <c r="AB457" s="33">
        <f>ROUND(H457-R457,2)</f>
      </c>
      <c r="AC457" s="33">
        <f>ROUND(I457-S457,2)</f>
      </c>
      <c r="AD457" s="33">
        <f>ROUND(J457-T457,2)</f>
      </c>
      <c r="AE457" s="33">
        <f>ROUND(K457-U457,2)</f>
      </c>
      <c r="AF457" s="33">
        <f>IF(V457&lt;=0,0,MAX(0,MIN(V457,ROUND($AZ457-SUMPRODUCT($V457:$AE457*($V457:$AE457&gt;0)*(($V457:$AE457&lt;V457)+($V457:$AE457=V457)*($V$3:$AE$3&gt;V$3)+($V457:$AE457=V457)*($V$3:$AE$3=V$3)*($V$2:$AE$2&lt;V$2))),2))))</f>
      </c>
      <c r="AG457" s="33">
        <f>IF(W457&lt;=0,0,MAX(0,MIN(W457,ROUND($AZ457-SUMPRODUCT($V457:$AE457*($V457:$AE457&gt;0)*(($V457:$AE457&lt;W457)+($V457:$AE457=W457)*($V$3:$AE$3&gt;W$3)+($V457:$AE457=W457)*($V$3:$AE$3=W$3)*($V$2:$AE$2&lt;W$2))),2))))</f>
      </c>
      <c r="AH457" s="33">
        <f>IF(X457&lt;=0,0,MAX(0,MIN(X457,ROUND($AZ457-SUMPRODUCT($V457:$AE457*($V457:$AE457&gt;0)*(($V457:$AE457&lt;X457)+($V457:$AE457=X457)*($V$3:$AE$3&gt;X$3)+($V457:$AE457=X457)*($V$3:$AE$3=X$3)*($V$2:$AE$2&lt;X$2))),2))))</f>
      </c>
      <c r="AI457" s="33">
        <f>IF(Y457&lt;=0,0,MAX(0,MIN(Y457,ROUND($AZ457-SUMPRODUCT($V457:$AE457*($V457:$AE457&gt;0)*(($V457:$AE457&lt;Y457)+($V457:$AE457=Y457)*($V$3:$AE$3&gt;Y$3)+($V457:$AE457=Y457)*($V$3:$AE$3=Y$3)*($V$2:$AE$2&lt;Y$2))),2))))</f>
      </c>
      <c r="AJ457" s="33">
        <f>IF(Z457&lt;=0,0,MAX(0,MIN(Z457,ROUND($AZ457-SUMPRODUCT($V457:$AE457*($V457:$AE457&gt;0)*(($V457:$AE457&lt;Z457)+($V457:$AE457=Z457)*($V$3:$AE$3&gt;Z$3)+($V457:$AE457=Z457)*($V$3:$AE$3=Z$3)*($V$2:$AE$2&lt;Z$2))),2))))</f>
      </c>
      <c r="AK457" s="33">
        <f>IF(AA457&lt;=0,0,MAX(0,MIN(AA457,ROUND($AZ457-SUMPRODUCT($V457:$AE457*($V457:$AE457&gt;0)*(($V457:$AE457&lt;AA457)+($V457:$AE457=AA457)*($V$3:$AE$3&gt;AA$3)+($V457:$AE457=AA457)*($V$3:$AE$3=AA$3)*($V$2:$AE$2&lt;AA$2))),2))))</f>
      </c>
      <c r="AL457" s="33">
        <f>IF(AB457&lt;=0,0,MAX(0,MIN(AB457,ROUND($AZ457-SUMPRODUCT($V457:$AE457*($V457:$AE457&gt;0)*(($V457:$AE457&lt;AB457)+($V457:$AE457=AB457)*($V$3:$AE$3&gt;AB$3)+($V457:$AE457=AB457)*($V$3:$AE$3=AB$3)*($V$2:$AE$2&lt;AB$2))),2))))</f>
      </c>
      <c r="AM457" s="33">
        <f>IF(AC457&lt;=0,0,MAX(0,MIN(AC457,ROUND($AZ457-SUMPRODUCT($V457:$AE457*($V457:$AE457&gt;0)*(($V457:$AE457&lt;AC457)+($V457:$AE457=AC457)*($V$3:$AE$3&gt;AC$3)+($V457:$AE457=AC457)*($V$3:$AE$3=AC$3)*($V$2:$AE$2&lt;AC$2))),2))))</f>
      </c>
      <c r="AN457" s="33">
        <f>IF(AD457&lt;=0,0,MAX(0,MIN(AD457,ROUND($AZ457-SUMPRODUCT($V457:$AE457*($V457:$AE457&gt;0)*(($V457:$AE457&lt;AD457)+($V457:$AE457=AD457)*($V$3:$AE$3&gt;AD$3)+($V457:$AE457=AD457)*($V$3:$AE$3=AD$3)*($V$2:$AE$2&lt;AD$2))),2))))</f>
      </c>
      <c r="AO457" s="33">
        <f>IF(AE457&lt;=0,0,MAX(0,MIN(AE457,ROUND($AZ457-SUMPRODUCT($V457:$AE457*($V457:$AE457&gt;0)*(($V457:$AE457&lt;AE457)+($V457:$AE457=AE457)*($V$3:$AE$3&gt;AE$3)+($V457:$AE457=AE457)*($V$3:$AE$3=AE$3)*($V$2:$AE$2&lt;AE$2))),2))))</f>
      </c>
      <c r="AP457" s="33">
        <f>ROUND(V457-AF457,2)</f>
      </c>
      <c r="AQ457" s="33">
        <f>ROUND(W457-AG457,2)</f>
      </c>
      <c r="AR457" s="33">
        <f>ROUND(X457-AH457,2)</f>
      </c>
      <c r="AS457" s="33">
        <f>ROUND(Y457-AI457,2)</f>
      </c>
      <c r="AT457" s="33">
        <f>ROUND(Z457-AJ457,2)</f>
      </c>
      <c r="AU457" s="33">
        <f>ROUND(AA457-AK457,2)</f>
      </c>
      <c r="AV457" s="33">
        <f>ROUND(AB457-AL457,2)</f>
      </c>
      <c r="AW457" s="33">
        <f>ROUND(AC457-AM457,2)</f>
      </c>
      <c r="AX457" s="33">
        <f>ROUND(AD457-AN457,2)</f>
      </c>
      <c r="AY457" s="33">
        <f>ROUND(AE457-AO457,2)</f>
      </c>
      <c r="AZ457" s="33">
        <f>ROUND(MAX(0,'Your debts'!$D$22-SUM($L457:$U457)),2)</f>
      </c>
      <c r="BA457" s="33">
        <f>ROUND(SUM($B457:$K457)-SUM($AP456:$AY456),2)</f>
      </c>
      <c r="BB457" s="33">
        <f>SUM($AP457:$AY457)</f>
      </c>
      <c r="BC457" s="33">
        <f>ROUND(SUM($L457:$U457)+SUM($AF457:$AO457),2)</f>
      </c>
    </row>
    <row r="458" spans="1:55" x14ac:dyDescent="0.25">
      <c r="A458">
        <v>451</v>
      </c>
      <c r="B458" s="33">
        <f>IF(AP457&lt;=0,0,ROUND(AP457+ROUND(AP457*V$3/12,2),2))</f>
      </c>
      <c r="C458" s="33">
        <f>IF(AQ457&lt;=0,0,ROUND(AQ457+ROUND(AQ457*W$3/12,2),2))</f>
      </c>
      <c r="D458" s="33">
        <f>IF(AR457&lt;=0,0,ROUND(AR457+ROUND(AR457*X$3/12,2),2))</f>
      </c>
      <c r="E458" s="33">
        <f>IF(AS457&lt;=0,0,ROUND(AS457+ROUND(AS457*Y$3/12,2),2))</f>
      </c>
      <c r="F458" s="33">
        <f>IF(AT457&lt;=0,0,ROUND(AT457+ROUND(AT457*Z$3/12,2),2))</f>
      </c>
      <c r="G458" s="33">
        <f>IF(AU457&lt;=0,0,ROUND(AU457+ROUND(AU457*AA$3/12,2),2))</f>
      </c>
      <c r="H458" s="33">
        <f>IF(AV457&lt;=0,0,ROUND(AV457+ROUND(AV457*AB$3/12,2),2))</f>
      </c>
      <c r="I458" s="33">
        <f>IF(AW457&lt;=0,0,ROUND(AW457+ROUND(AW457*AC$3/12,2),2))</f>
      </c>
      <c r="J458" s="33">
        <f>IF(AX457&lt;=0,0,ROUND(AX457+ROUND(AX457*AD$3/12,2),2))</f>
      </c>
      <c r="K458" s="33">
        <f>IF(AY457&lt;=0,0,ROUND(AY457+ROUND(AY457*AE$3/12,2),2))</f>
      </c>
      <c r="L458" s="33">
        <f>ROUND(MIN(MAX(0,N('Your debts'!$E$6)),B458),2)</f>
      </c>
      <c r="M458" s="33">
        <f>ROUND(MIN(MAX(0,N('Your debts'!$E$7)),C458),2)</f>
      </c>
      <c r="N458" s="33">
        <f>ROUND(MIN(MAX(0,N('Your debts'!$E$8)),D458),2)</f>
      </c>
      <c r="O458" s="33">
        <f>ROUND(MIN(MAX(0,N('Your debts'!$E$9)),E458),2)</f>
      </c>
      <c r="P458" s="33">
        <f>ROUND(MIN(MAX(0,N('Your debts'!$E$10)),F458),2)</f>
      </c>
      <c r="Q458" s="33">
        <f>ROUND(MIN(MAX(0,N('Your debts'!$E$11)),G458),2)</f>
      </c>
      <c r="R458" s="33">
        <f>ROUND(MIN(MAX(0,N('Your debts'!$E$12)),H458),2)</f>
      </c>
      <c r="S458" s="33">
        <f>ROUND(MIN(MAX(0,N('Your debts'!$E$13)),I458),2)</f>
      </c>
      <c r="T458" s="33">
        <f>ROUND(MIN(MAX(0,N('Your debts'!$E$14)),J458),2)</f>
      </c>
      <c r="U458" s="33">
        <f>ROUND(MIN(MAX(0,N('Your debts'!$E$15)),K458),2)</f>
      </c>
      <c r="V458" s="33">
        <f>ROUND(B458-L458,2)</f>
      </c>
      <c r="W458" s="33">
        <f>ROUND(C458-M458,2)</f>
      </c>
      <c r="X458" s="33">
        <f>ROUND(D458-N458,2)</f>
      </c>
      <c r="Y458" s="33">
        <f>ROUND(E458-O458,2)</f>
      </c>
      <c r="Z458" s="33">
        <f>ROUND(F458-P458,2)</f>
      </c>
      <c r="AA458" s="33">
        <f>ROUND(G458-Q458,2)</f>
      </c>
      <c r="AB458" s="33">
        <f>ROUND(H458-R458,2)</f>
      </c>
      <c r="AC458" s="33">
        <f>ROUND(I458-S458,2)</f>
      </c>
      <c r="AD458" s="33">
        <f>ROUND(J458-T458,2)</f>
      </c>
      <c r="AE458" s="33">
        <f>ROUND(K458-U458,2)</f>
      </c>
      <c r="AF458" s="33">
        <f>IF(V458&lt;=0,0,MAX(0,MIN(V458,ROUND($AZ458-SUMPRODUCT($V458:$AE458*($V458:$AE458&gt;0)*(($V458:$AE458&lt;V458)+($V458:$AE458=V458)*($V$3:$AE$3&gt;V$3)+($V458:$AE458=V458)*($V$3:$AE$3=V$3)*($V$2:$AE$2&lt;V$2))),2))))</f>
      </c>
      <c r="AG458" s="33">
        <f>IF(W458&lt;=0,0,MAX(0,MIN(W458,ROUND($AZ458-SUMPRODUCT($V458:$AE458*($V458:$AE458&gt;0)*(($V458:$AE458&lt;W458)+($V458:$AE458=W458)*($V$3:$AE$3&gt;W$3)+($V458:$AE458=W458)*($V$3:$AE$3=W$3)*($V$2:$AE$2&lt;W$2))),2))))</f>
      </c>
      <c r="AH458" s="33">
        <f>IF(X458&lt;=0,0,MAX(0,MIN(X458,ROUND($AZ458-SUMPRODUCT($V458:$AE458*($V458:$AE458&gt;0)*(($V458:$AE458&lt;X458)+($V458:$AE458=X458)*($V$3:$AE$3&gt;X$3)+($V458:$AE458=X458)*($V$3:$AE$3=X$3)*($V$2:$AE$2&lt;X$2))),2))))</f>
      </c>
      <c r="AI458" s="33">
        <f>IF(Y458&lt;=0,0,MAX(0,MIN(Y458,ROUND($AZ458-SUMPRODUCT($V458:$AE458*($V458:$AE458&gt;0)*(($V458:$AE458&lt;Y458)+($V458:$AE458=Y458)*($V$3:$AE$3&gt;Y$3)+($V458:$AE458=Y458)*($V$3:$AE$3=Y$3)*($V$2:$AE$2&lt;Y$2))),2))))</f>
      </c>
      <c r="AJ458" s="33">
        <f>IF(Z458&lt;=0,0,MAX(0,MIN(Z458,ROUND($AZ458-SUMPRODUCT($V458:$AE458*($V458:$AE458&gt;0)*(($V458:$AE458&lt;Z458)+($V458:$AE458=Z458)*($V$3:$AE$3&gt;Z$3)+($V458:$AE458=Z458)*($V$3:$AE$3=Z$3)*($V$2:$AE$2&lt;Z$2))),2))))</f>
      </c>
      <c r="AK458" s="33">
        <f>IF(AA458&lt;=0,0,MAX(0,MIN(AA458,ROUND($AZ458-SUMPRODUCT($V458:$AE458*($V458:$AE458&gt;0)*(($V458:$AE458&lt;AA458)+($V458:$AE458=AA458)*($V$3:$AE$3&gt;AA$3)+($V458:$AE458=AA458)*($V$3:$AE$3=AA$3)*($V$2:$AE$2&lt;AA$2))),2))))</f>
      </c>
      <c r="AL458" s="33">
        <f>IF(AB458&lt;=0,0,MAX(0,MIN(AB458,ROUND($AZ458-SUMPRODUCT($V458:$AE458*($V458:$AE458&gt;0)*(($V458:$AE458&lt;AB458)+($V458:$AE458=AB458)*($V$3:$AE$3&gt;AB$3)+($V458:$AE458=AB458)*($V$3:$AE$3=AB$3)*($V$2:$AE$2&lt;AB$2))),2))))</f>
      </c>
      <c r="AM458" s="33">
        <f>IF(AC458&lt;=0,0,MAX(0,MIN(AC458,ROUND($AZ458-SUMPRODUCT($V458:$AE458*($V458:$AE458&gt;0)*(($V458:$AE458&lt;AC458)+($V458:$AE458=AC458)*($V$3:$AE$3&gt;AC$3)+($V458:$AE458=AC458)*($V$3:$AE$3=AC$3)*($V$2:$AE$2&lt;AC$2))),2))))</f>
      </c>
      <c r="AN458" s="33">
        <f>IF(AD458&lt;=0,0,MAX(0,MIN(AD458,ROUND($AZ458-SUMPRODUCT($V458:$AE458*($V458:$AE458&gt;0)*(($V458:$AE458&lt;AD458)+($V458:$AE458=AD458)*($V$3:$AE$3&gt;AD$3)+($V458:$AE458=AD458)*($V$3:$AE$3=AD$3)*($V$2:$AE$2&lt;AD$2))),2))))</f>
      </c>
      <c r="AO458" s="33">
        <f>IF(AE458&lt;=0,0,MAX(0,MIN(AE458,ROUND($AZ458-SUMPRODUCT($V458:$AE458*($V458:$AE458&gt;0)*(($V458:$AE458&lt;AE458)+($V458:$AE458=AE458)*($V$3:$AE$3&gt;AE$3)+($V458:$AE458=AE458)*($V$3:$AE$3=AE$3)*($V$2:$AE$2&lt;AE$2))),2))))</f>
      </c>
      <c r="AP458" s="33">
        <f>ROUND(V458-AF458,2)</f>
      </c>
      <c r="AQ458" s="33">
        <f>ROUND(W458-AG458,2)</f>
      </c>
      <c r="AR458" s="33">
        <f>ROUND(X458-AH458,2)</f>
      </c>
      <c r="AS458" s="33">
        <f>ROUND(Y458-AI458,2)</f>
      </c>
      <c r="AT458" s="33">
        <f>ROUND(Z458-AJ458,2)</f>
      </c>
      <c r="AU458" s="33">
        <f>ROUND(AA458-AK458,2)</f>
      </c>
      <c r="AV458" s="33">
        <f>ROUND(AB458-AL458,2)</f>
      </c>
      <c r="AW458" s="33">
        <f>ROUND(AC458-AM458,2)</f>
      </c>
      <c r="AX458" s="33">
        <f>ROUND(AD458-AN458,2)</f>
      </c>
      <c r="AY458" s="33">
        <f>ROUND(AE458-AO458,2)</f>
      </c>
      <c r="AZ458" s="33">
        <f>ROUND(MAX(0,'Your debts'!$D$22-SUM($L458:$U458)),2)</f>
      </c>
      <c r="BA458" s="33">
        <f>ROUND(SUM($B458:$K458)-SUM($AP457:$AY457),2)</f>
      </c>
      <c r="BB458" s="33">
        <f>SUM($AP458:$AY458)</f>
      </c>
      <c r="BC458" s="33">
        <f>ROUND(SUM($L458:$U458)+SUM($AF458:$AO458),2)</f>
      </c>
    </row>
    <row r="459" spans="1:55" x14ac:dyDescent="0.25">
      <c r="A459">
        <v>452</v>
      </c>
      <c r="B459" s="33">
        <f>IF(AP458&lt;=0,0,ROUND(AP458+ROUND(AP458*V$3/12,2),2))</f>
      </c>
      <c r="C459" s="33">
        <f>IF(AQ458&lt;=0,0,ROUND(AQ458+ROUND(AQ458*W$3/12,2),2))</f>
      </c>
      <c r="D459" s="33">
        <f>IF(AR458&lt;=0,0,ROUND(AR458+ROUND(AR458*X$3/12,2),2))</f>
      </c>
      <c r="E459" s="33">
        <f>IF(AS458&lt;=0,0,ROUND(AS458+ROUND(AS458*Y$3/12,2),2))</f>
      </c>
      <c r="F459" s="33">
        <f>IF(AT458&lt;=0,0,ROUND(AT458+ROUND(AT458*Z$3/12,2),2))</f>
      </c>
      <c r="G459" s="33">
        <f>IF(AU458&lt;=0,0,ROUND(AU458+ROUND(AU458*AA$3/12,2),2))</f>
      </c>
      <c r="H459" s="33">
        <f>IF(AV458&lt;=0,0,ROUND(AV458+ROUND(AV458*AB$3/12,2),2))</f>
      </c>
      <c r="I459" s="33">
        <f>IF(AW458&lt;=0,0,ROUND(AW458+ROUND(AW458*AC$3/12,2),2))</f>
      </c>
      <c r="J459" s="33">
        <f>IF(AX458&lt;=0,0,ROUND(AX458+ROUND(AX458*AD$3/12,2),2))</f>
      </c>
      <c r="K459" s="33">
        <f>IF(AY458&lt;=0,0,ROUND(AY458+ROUND(AY458*AE$3/12,2),2))</f>
      </c>
      <c r="L459" s="33">
        <f>ROUND(MIN(MAX(0,N('Your debts'!$E$6)),B459),2)</f>
      </c>
      <c r="M459" s="33">
        <f>ROUND(MIN(MAX(0,N('Your debts'!$E$7)),C459),2)</f>
      </c>
      <c r="N459" s="33">
        <f>ROUND(MIN(MAX(0,N('Your debts'!$E$8)),D459),2)</f>
      </c>
      <c r="O459" s="33">
        <f>ROUND(MIN(MAX(0,N('Your debts'!$E$9)),E459),2)</f>
      </c>
      <c r="P459" s="33">
        <f>ROUND(MIN(MAX(0,N('Your debts'!$E$10)),F459),2)</f>
      </c>
      <c r="Q459" s="33">
        <f>ROUND(MIN(MAX(0,N('Your debts'!$E$11)),G459),2)</f>
      </c>
      <c r="R459" s="33">
        <f>ROUND(MIN(MAX(0,N('Your debts'!$E$12)),H459),2)</f>
      </c>
      <c r="S459" s="33">
        <f>ROUND(MIN(MAX(0,N('Your debts'!$E$13)),I459),2)</f>
      </c>
      <c r="T459" s="33">
        <f>ROUND(MIN(MAX(0,N('Your debts'!$E$14)),J459),2)</f>
      </c>
      <c r="U459" s="33">
        <f>ROUND(MIN(MAX(0,N('Your debts'!$E$15)),K459),2)</f>
      </c>
      <c r="V459" s="33">
        <f>ROUND(B459-L459,2)</f>
      </c>
      <c r="W459" s="33">
        <f>ROUND(C459-M459,2)</f>
      </c>
      <c r="X459" s="33">
        <f>ROUND(D459-N459,2)</f>
      </c>
      <c r="Y459" s="33">
        <f>ROUND(E459-O459,2)</f>
      </c>
      <c r="Z459" s="33">
        <f>ROUND(F459-P459,2)</f>
      </c>
      <c r="AA459" s="33">
        <f>ROUND(G459-Q459,2)</f>
      </c>
      <c r="AB459" s="33">
        <f>ROUND(H459-R459,2)</f>
      </c>
      <c r="AC459" s="33">
        <f>ROUND(I459-S459,2)</f>
      </c>
      <c r="AD459" s="33">
        <f>ROUND(J459-T459,2)</f>
      </c>
      <c r="AE459" s="33">
        <f>ROUND(K459-U459,2)</f>
      </c>
      <c r="AF459" s="33">
        <f>IF(V459&lt;=0,0,MAX(0,MIN(V459,ROUND($AZ459-SUMPRODUCT($V459:$AE459*($V459:$AE459&gt;0)*(($V459:$AE459&lt;V459)+($V459:$AE459=V459)*($V$3:$AE$3&gt;V$3)+($V459:$AE459=V459)*($V$3:$AE$3=V$3)*($V$2:$AE$2&lt;V$2))),2))))</f>
      </c>
      <c r="AG459" s="33">
        <f>IF(W459&lt;=0,0,MAX(0,MIN(W459,ROUND($AZ459-SUMPRODUCT($V459:$AE459*($V459:$AE459&gt;0)*(($V459:$AE459&lt;W459)+($V459:$AE459=W459)*($V$3:$AE$3&gt;W$3)+($V459:$AE459=W459)*($V$3:$AE$3=W$3)*($V$2:$AE$2&lt;W$2))),2))))</f>
      </c>
      <c r="AH459" s="33">
        <f>IF(X459&lt;=0,0,MAX(0,MIN(X459,ROUND($AZ459-SUMPRODUCT($V459:$AE459*($V459:$AE459&gt;0)*(($V459:$AE459&lt;X459)+($V459:$AE459=X459)*($V$3:$AE$3&gt;X$3)+($V459:$AE459=X459)*($V$3:$AE$3=X$3)*($V$2:$AE$2&lt;X$2))),2))))</f>
      </c>
      <c r="AI459" s="33">
        <f>IF(Y459&lt;=0,0,MAX(0,MIN(Y459,ROUND($AZ459-SUMPRODUCT($V459:$AE459*($V459:$AE459&gt;0)*(($V459:$AE459&lt;Y459)+($V459:$AE459=Y459)*($V$3:$AE$3&gt;Y$3)+($V459:$AE459=Y459)*($V$3:$AE$3=Y$3)*($V$2:$AE$2&lt;Y$2))),2))))</f>
      </c>
      <c r="AJ459" s="33">
        <f>IF(Z459&lt;=0,0,MAX(0,MIN(Z459,ROUND($AZ459-SUMPRODUCT($V459:$AE459*($V459:$AE459&gt;0)*(($V459:$AE459&lt;Z459)+($V459:$AE459=Z459)*($V$3:$AE$3&gt;Z$3)+($V459:$AE459=Z459)*($V$3:$AE$3=Z$3)*($V$2:$AE$2&lt;Z$2))),2))))</f>
      </c>
      <c r="AK459" s="33">
        <f>IF(AA459&lt;=0,0,MAX(0,MIN(AA459,ROUND($AZ459-SUMPRODUCT($V459:$AE459*($V459:$AE459&gt;0)*(($V459:$AE459&lt;AA459)+($V459:$AE459=AA459)*($V$3:$AE$3&gt;AA$3)+($V459:$AE459=AA459)*($V$3:$AE$3=AA$3)*($V$2:$AE$2&lt;AA$2))),2))))</f>
      </c>
      <c r="AL459" s="33">
        <f>IF(AB459&lt;=0,0,MAX(0,MIN(AB459,ROUND($AZ459-SUMPRODUCT($V459:$AE459*($V459:$AE459&gt;0)*(($V459:$AE459&lt;AB459)+($V459:$AE459=AB459)*($V$3:$AE$3&gt;AB$3)+($V459:$AE459=AB459)*($V$3:$AE$3=AB$3)*($V$2:$AE$2&lt;AB$2))),2))))</f>
      </c>
      <c r="AM459" s="33">
        <f>IF(AC459&lt;=0,0,MAX(0,MIN(AC459,ROUND($AZ459-SUMPRODUCT($V459:$AE459*($V459:$AE459&gt;0)*(($V459:$AE459&lt;AC459)+($V459:$AE459=AC459)*($V$3:$AE$3&gt;AC$3)+($V459:$AE459=AC459)*($V$3:$AE$3=AC$3)*($V$2:$AE$2&lt;AC$2))),2))))</f>
      </c>
      <c r="AN459" s="33">
        <f>IF(AD459&lt;=0,0,MAX(0,MIN(AD459,ROUND($AZ459-SUMPRODUCT($V459:$AE459*($V459:$AE459&gt;0)*(($V459:$AE459&lt;AD459)+($V459:$AE459=AD459)*($V$3:$AE$3&gt;AD$3)+($V459:$AE459=AD459)*($V$3:$AE$3=AD$3)*($V$2:$AE$2&lt;AD$2))),2))))</f>
      </c>
      <c r="AO459" s="33">
        <f>IF(AE459&lt;=0,0,MAX(0,MIN(AE459,ROUND($AZ459-SUMPRODUCT($V459:$AE459*($V459:$AE459&gt;0)*(($V459:$AE459&lt;AE459)+($V459:$AE459=AE459)*($V$3:$AE$3&gt;AE$3)+($V459:$AE459=AE459)*($V$3:$AE$3=AE$3)*($V$2:$AE$2&lt;AE$2))),2))))</f>
      </c>
      <c r="AP459" s="33">
        <f>ROUND(V459-AF459,2)</f>
      </c>
      <c r="AQ459" s="33">
        <f>ROUND(W459-AG459,2)</f>
      </c>
      <c r="AR459" s="33">
        <f>ROUND(X459-AH459,2)</f>
      </c>
      <c r="AS459" s="33">
        <f>ROUND(Y459-AI459,2)</f>
      </c>
      <c r="AT459" s="33">
        <f>ROUND(Z459-AJ459,2)</f>
      </c>
      <c r="AU459" s="33">
        <f>ROUND(AA459-AK459,2)</f>
      </c>
      <c r="AV459" s="33">
        <f>ROUND(AB459-AL459,2)</f>
      </c>
      <c r="AW459" s="33">
        <f>ROUND(AC459-AM459,2)</f>
      </c>
      <c r="AX459" s="33">
        <f>ROUND(AD459-AN459,2)</f>
      </c>
      <c r="AY459" s="33">
        <f>ROUND(AE459-AO459,2)</f>
      </c>
      <c r="AZ459" s="33">
        <f>ROUND(MAX(0,'Your debts'!$D$22-SUM($L459:$U459)),2)</f>
      </c>
      <c r="BA459" s="33">
        <f>ROUND(SUM($B459:$K459)-SUM($AP458:$AY458),2)</f>
      </c>
      <c r="BB459" s="33">
        <f>SUM($AP459:$AY459)</f>
      </c>
      <c r="BC459" s="33">
        <f>ROUND(SUM($L459:$U459)+SUM($AF459:$AO459),2)</f>
      </c>
    </row>
    <row r="460" spans="1:55" x14ac:dyDescent="0.25">
      <c r="A460">
        <v>453</v>
      </c>
      <c r="B460" s="33">
        <f>IF(AP459&lt;=0,0,ROUND(AP459+ROUND(AP459*V$3/12,2),2))</f>
      </c>
      <c r="C460" s="33">
        <f>IF(AQ459&lt;=0,0,ROUND(AQ459+ROUND(AQ459*W$3/12,2),2))</f>
      </c>
      <c r="D460" s="33">
        <f>IF(AR459&lt;=0,0,ROUND(AR459+ROUND(AR459*X$3/12,2),2))</f>
      </c>
      <c r="E460" s="33">
        <f>IF(AS459&lt;=0,0,ROUND(AS459+ROUND(AS459*Y$3/12,2),2))</f>
      </c>
      <c r="F460" s="33">
        <f>IF(AT459&lt;=0,0,ROUND(AT459+ROUND(AT459*Z$3/12,2),2))</f>
      </c>
      <c r="G460" s="33">
        <f>IF(AU459&lt;=0,0,ROUND(AU459+ROUND(AU459*AA$3/12,2),2))</f>
      </c>
      <c r="H460" s="33">
        <f>IF(AV459&lt;=0,0,ROUND(AV459+ROUND(AV459*AB$3/12,2),2))</f>
      </c>
      <c r="I460" s="33">
        <f>IF(AW459&lt;=0,0,ROUND(AW459+ROUND(AW459*AC$3/12,2),2))</f>
      </c>
      <c r="J460" s="33">
        <f>IF(AX459&lt;=0,0,ROUND(AX459+ROUND(AX459*AD$3/12,2),2))</f>
      </c>
      <c r="K460" s="33">
        <f>IF(AY459&lt;=0,0,ROUND(AY459+ROUND(AY459*AE$3/12,2),2))</f>
      </c>
      <c r="L460" s="33">
        <f>ROUND(MIN(MAX(0,N('Your debts'!$E$6)),B460),2)</f>
      </c>
      <c r="M460" s="33">
        <f>ROUND(MIN(MAX(0,N('Your debts'!$E$7)),C460),2)</f>
      </c>
      <c r="N460" s="33">
        <f>ROUND(MIN(MAX(0,N('Your debts'!$E$8)),D460),2)</f>
      </c>
      <c r="O460" s="33">
        <f>ROUND(MIN(MAX(0,N('Your debts'!$E$9)),E460),2)</f>
      </c>
      <c r="P460" s="33">
        <f>ROUND(MIN(MAX(0,N('Your debts'!$E$10)),F460),2)</f>
      </c>
      <c r="Q460" s="33">
        <f>ROUND(MIN(MAX(0,N('Your debts'!$E$11)),G460),2)</f>
      </c>
      <c r="R460" s="33">
        <f>ROUND(MIN(MAX(0,N('Your debts'!$E$12)),H460),2)</f>
      </c>
      <c r="S460" s="33">
        <f>ROUND(MIN(MAX(0,N('Your debts'!$E$13)),I460),2)</f>
      </c>
      <c r="T460" s="33">
        <f>ROUND(MIN(MAX(0,N('Your debts'!$E$14)),J460),2)</f>
      </c>
      <c r="U460" s="33">
        <f>ROUND(MIN(MAX(0,N('Your debts'!$E$15)),K460),2)</f>
      </c>
      <c r="V460" s="33">
        <f>ROUND(B460-L460,2)</f>
      </c>
      <c r="W460" s="33">
        <f>ROUND(C460-M460,2)</f>
      </c>
      <c r="X460" s="33">
        <f>ROUND(D460-N460,2)</f>
      </c>
      <c r="Y460" s="33">
        <f>ROUND(E460-O460,2)</f>
      </c>
      <c r="Z460" s="33">
        <f>ROUND(F460-P460,2)</f>
      </c>
      <c r="AA460" s="33">
        <f>ROUND(G460-Q460,2)</f>
      </c>
      <c r="AB460" s="33">
        <f>ROUND(H460-R460,2)</f>
      </c>
      <c r="AC460" s="33">
        <f>ROUND(I460-S460,2)</f>
      </c>
      <c r="AD460" s="33">
        <f>ROUND(J460-T460,2)</f>
      </c>
      <c r="AE460" s="33">
        <f>ROUND(K460-U460,2)</f>
      </c>
      <c r="AF460" s="33">
        <f>IF(V460&lt;=0,0,MAX(0,MIN(V460,ROUND($AZ460-SUMPRODUCT($V460:$AE460*($V460:$AE460&gt;0)*(($V460:$AE460&lt;V460)+($V460:$AE460=V460)*($V$3:$AE$3&gt;V$3)+($V460:$AE460=V460)*($V$3:$AE$3=V$3)*($V$2:$AE$2&lt;V$2))),2))))</f>
      </c>
      <c r="AG460" s="33">
        <f>IF(W460&lt;=0,0,MAX(0,MIN(W460,ROUND($AZ460-SUMPRODUCT($V460:$AE460*($V460:$AE460&gt;0)*(($V460:$AE460&lt;W460)+($V460:$AE460=W460)*($V$3:$AE$3&gt;W$3)+($V460:$AE460=W460)*($V$3:$AE$3=W$3)*($V$2:$AE$2&lt;W$2))),2))))</f>
      </c>
      <c r="AH460" s="33">
        <f>IF(X460&lt;=0,0,MAX(0,MIN(X460,ROUND($AZ460-SUMPRODUCT($V460:$AE460*($V460:$AE460&gt;0)*(($V460:$AE460&lt;X460)+($V460:$AE460=X460)*($V$3:$AE$3&gt;X$3)+($V460:$AE460=X460)*($V$3:$AE$3=X$3)*($V$2:$AE$2&lt;X$2))),2))))</f>
      </c>
      <c r="AI460" s="33">
        <f>IF(Y460&lt;=0,0,MAX(0,MIN(Y460,ROUND($AZ460-SUMPRODUCT($V460:$AE460*($V460:$AE460&gt;0)*(($V460:$AE460&lt;Y460)+($V460:$AE460=Y460)*($V$3:$AE$3&gt;Y$3)+($V460:$AE460=Y460)*($V$3:$AE$3=Y$3)*($V$2:$AE$2&lt;Y$2))),2))))</f>
      </c>
      <c r="AJ460" s="33">
        <f>IF(Z460&lt;=0,0,MAX(0,MIN(Z460,ROUND($AZ460-SUMPRODUCT($V460:$AE460*($V460:$AE460&gt;0)*(($V460:$AE460&lt;Z460)+($V460:$AE460=Z460)*($V$3:$AE$3&gt;Z$3)+($V460:$AE460=Z460)*($V$3:$AE$3=Z$3)*($V$2:$AE$2&lt;Z$2))),2))))</f>
      </c>
      <c r="AK460" s="33">
        <f>IF(AA460&lt;=0,0,MAX(0,MIN(AA460,ROUND($AZ460-SUMPRODUCT($V460:$AE460*($V460:$AE460&gt;0)*(($V460:$AE460&lt;AA460)+($V460:$AE460=AA460)*($V$3:$AE$3&gt;AA$3)+($V460:$AE460=AA460)*($V$3:$AE$3=AA$3)*($V$2:$AE$2&lt;AA$2))),2))))</f>
      </c>
      <c r="AL460" s="33">
        <f>IF(AB460&lt;=0,0,MAX(0,MIN(AB460,ROUND($AZ460-SUMPRODUCT($V460:$AE460*($V460:$AE460&gt;0)*(($V460:$AE460&lt;AB460)+($V460:$AE460=AB460)*($V$3:$AE$3&gt;AB$3)+($V460:$AE460=AB460)*($V$3:$AE$3=AB$3)*($V$2:$AE$2&lt;AB$2))),2))))</f>
      </c>
      <c r="AM460" s="33">
        <f>IF(AC460&lt;=0,0,MAX(0,MIN(AC460,ROUND($AZ460-SUMPRODUCT($V460:$AE460*($V460:$AE460&gt;0)*(($V460:$AE460&lt;AC460)+($V460:$AE460=AC460)*($V$3:$AE$3&gt;AC$3)+($V460:$AE460=AC460)*($V$3:$AE$3=AC$3)*($V$2:$AE$2&lt;AC$2))),2))))</f>
      </c>
      <c r="AN460" s="33">
        <f>IF(AD460&lt;=0,0,MAX(0,MIN(AD460,ROUND($AZ460-SUMPRODUCT($V460:$AE460*($V460:$AE460&gt;0)*(($V460:$AE460&lt;AD460)+($V460:$AE460=AD460)*($V$3:$AE$3&gt;AD$3)+($V460:$AE460=AD460)*($V$3:$AE$3=AD$3)*($V$2:$AE$2&lt;AD$2))),2))))</f>
      </c>
      <c r="AO460" s="33">
        <f>IF(AE460&lt;=0,0,MAX(0,MIN(AE460,ROUND($AZ460-SUMPRODUCT($V460:$AE460*($V460:$AE460&gt;0)*(($V460:$AE460&lt;AE460)+($V460:$AE460=AE460)*($V$3:$AE$3&gt;AE$3)+($V460:$AE460=AE460)*($V$3:$AE$3=AE$3)*($V$2:$AE$2&lt;AE$2))),2))))</f>
      </c>
      <c r="AP460" s="33">
        <f>ROUND(V460-AF460,2)</f>
      </c>
      <c r="AQ460" s="33">
        <f>ROUND(W460-AG460,2)</f>
      </c>
      <c r="AR460" s="33">
        <f>ROUND(X460-AH460,2)</f>
      </c>
      <c r="AS460" s="33">
        <f>ROUND(Y460-AI460,2)</f>
      </c>
      <c r="AT460" s="33">
        <f>ROUND(Z460-AJ460,2)</f>
      </c>
      <c r="AU460" s="33">
        <f>ROUND(AA460-AK460,2)</f>
      </c>
      <c r="AV460" s="33">
        <f>ROUND(AB460-AL460,2)</f>
      </c>
      <c r="AW460" s="33">
        <f>ROUND(AC460-AM460,2)</f>
      </c>
      <c r="AX460" s="33">
        <f>ROUND(AD460-AN460,2)</f>
      </c>
      <c r="AY460" s="33">
        <f>ROUND(AE460-AO460,2)</f>
      </c>
      <c r="AZ460" s="33">
        <f>ROUND(MAX(0,'Your debts'!$D$22-SUM($L460:$U460)),2)</f>
      </c>
      <c r="BA460" s="33">
        <f>ROUND(SUM($B460:$K460)-SUM($AP459:$AY459),2)</f>
      </c>
      <c r="BB460" s="33">
        <f>SUM($AP460:$AY460)</f>
      </c>
      <c r="BC460" s="33">
        <f>ROUND(SUM($L460:$U460)+SUM($AF460:$AO460),2)</f>
      </c>
    </row>
    <row r="461" spans="1:55" x14ac:dyDescent="0.25">
      <c r="A461">
        <v>454</v>
      </c>
      <c r="B461" s="33">
        <f>IF(AP460&lt;=0,0,ROUND(AP460+ROUND(AP460*V$3/12,2),2))</f>
      </c>
      <c r="C461" s="33">
        <f>IF(AQ460&lt;=0,0,ROUND(AQ460+ROUND(AQ460*W$3/12,2),2))</f>
      </c>
      <c r="D461" s="33">
        <f>IF(AR460&lt;=0,0,ROUND(AR460+ROUND(AR460*X$3/12,2),2))</f>
      </c>
      <c r="E461" s="33">
        <f>IF(AS460&lt;=0,0,ROUND(AS460+ROUND(AS460*Y$3/12,2),2))</f>
      </c>
      <c r="F461" s="33">
        <f>IF(AT460&lt;=0,0,ROUND(AT460+ROUND(AT460*Z$3/12,2),2))</f>
      </c>
      <c r="G461" s="33">
        <f>IF(AU460&lt;=0,0,ROUND(AU460+ROUND(AU460*AA$3/12,2),2))</f>
      </c>
      <c r="H461" s="33">
        <f>IF(AV460&lt;=0,0,ROUND(AV460+ROUND(AV460*AB$3/12,2),2))</f>
      </c>
      <c r="I461" s="33">
        <f>IF(AW460&lt;=0,0,ROUND(AW460+ROUND(AW460*AC$3/12,2),2))</f>
      </c>
      <c r="J461" s="33">
        <f>IF(AX460&lt;=0,0,ROUND(AX460+ROUND(AX460*AD$3/12,2),2))</f>
      </c>
      <c r="K461" s="33">
        <f>IF(AY460&lt;=0,0,ROUND(AY460+ROUND(AY460*AE$3/12,2),2))</f>
      </c>
      <c r="L461" s="33">
        <f>ROUND(MIN(MAX(0,N('Your debts'!$E$6)),B461),2)</f>
      </c>
      <c r="M461" s="33">
        <f>ROUND(MIN(MAX(0,N('Your debts'!$E$7)),C461),2)</f>
      </c>
      <c r="N461" s="33">
        <f>ROUND(MIN(MAX(0,N('Your debts'!$E$8)),D461),2)</f>
      </c>
      <c r="O461" s="33">
        <f>ROUND(MIN(MAX(0,N('Your debts'!$E$9)),E461),2)</f>
      </c>
      <c r="P461" s="33">
        <f>ROUND(MIN(MAX(0,N('Your debts'!$E$10)),F461),2)</f>
      </c>
      <c r="Q461" s="33">
        <f>ROUND(MIN(MAX(0,N('Your debts'!$E$11)),G461),2)</f>
      </c>
      <c r="R461" s="33">
        <f>ROUND(MIN(MAX(0,N('Your debts'!$E$12)),H461),2)</f>
      </c>
      <c r="S461" s="33">
        <f>ROUND(MIN(MAX(0,N('Your debts'!$E$13)),I461),2)</f>
      </c>
      <c r="T461" s="33">
        <f>ROUND(MIN(MAX(0,N('Your debts'!$E$14)),J461),2)</f>
      </c>
      <c r="U461" s="33">
        <f>ROUND(MIN(MAX(0,N('Your debts'!$E$15)),K461),2)</f>
      </c>
      <c r="V461" s="33">
        <f>ROUND(B461-L461,2)</f>
      </c>
      <c r="W461" s="33">
        <f>ROUND(C461-M461,2)</f>
      </c>
      <c r="X461" s="33">
        <f>ROUND(D461-N461,2)</f>
      </c>
      <c r="Y461" s="33">
        <f>ROUND(E461-O461,2)</f>
      </c>
      <c r="Z461" s="33">
        <f>ROUND(F461-P461,2)</f>
      </c>
      <c r="AA461" s="33">
        <f>ROUND(G461-Q461,2)</f>
      </c>
      <c r="AB461" s="33">
        <f>ROUND(H461-R461,2)</f>
      </c>
      <c r="AC461" s="33">
        <f>ROUND(I461-S461,2)</f>
      </c>
      <c r="AD461" s="33">
        <f>ROUND(J461-T461,2)</f>
      </c>
      <c r="AE461" s="33">
        <f>ROUND(K461-U461,2)</f>
      </c>
      <c r="AF461" s="33">
        <f>IF(V461&lt;=0,0,MAX(0,MIN(V461,ROUND($AZ461-SUMPRODUCT($V461:$AE461*($V461:$AE461&gt;0)*(($V461:$AE461&lt;V461)+($V461:$AE461=V461)*($V$3:$AE$3&gt;V$3)+($V461:$AE461=V461)*($V$3:$AE$3=V$3)*($V$2:$AE$2&lt;V$2))),2))))</f>
      </c>
      <c r="AG461" s="33">
        <f>IF(W461&lt;=0,0,MAX(0,MIN(W461,ROUND($AZ461-SUMPRODUCT($V461:$AE461*($V461:$AE461&gt;0)*(($V461:$AE461&lt;W461)+($V461:$AE461=W461)*($V$3:$AE$3&gt;W$3)+($V461:$AE461=W461)*($V$3:$AE$3=W$3)*($V$2:$AE$2&lt;W$2))),2))))</f>
      </c>
      <c r="AH461" s="33">
        <f>IF(X461&lt;=0,0,MAX(0,MIN(X461,ROUND($AZ461-SUMPRODUCT($V461:$AE461*($V461:$AE461&gt;0)*(($V461:$AE461&lt;X461)+($V461:$AE461=X461)*($V$3:$AE$3&gt;X$3)+($V461:$AE461=X461)*($V$3:$AE$3=X$3)*($V$2:$AE$2&lt;X$2))),2))))</f>
      </c>
      <c r="AI461" s="33">
        <f>IF(Y461&lt;=0,0,MAX(0,MIN(Y461,ROUND($AZ461-SUMPRODUCT($V461:$AE461*($V461:$AE461&gt;0)*(($V461:$AE461&lt;Y461)+($V461:$AE461=Y461)*($V$3:$AE$3&gt;Y$3)+($V461:$AE461=Y461)*($V$3:$AE$3=Y$3)*($V$2:$AE$2&lt;Y$2))),2))))</f>
      </c>
      <c r="AJ461" s="33">
        <f>IF(Z461&lt;=0,0,MAX(0,MIN(Z461,ROUND($AZ461-SUMPRODUCT($V461:$AE461*($V461:$AE461&gt;0)*(($V461:$AE461&lt;Z461)+($V461:$AE461=Z461)*($V$3:$AE$3&gt;Z$3)+($V461:$AE461=Z461)*($V$3:$AE$3=Z$3)*($V$2:$AE$2&lt;Z$2))),2))))</f>
      </c>
      <c r="AK461" s="33">
        <f>IF(AA461&lt;=0,0,MAX(0,MIN(AA461,ROUND($AZ461-SUMPRODUCT($V461:$AE461*($V461:$AE461&gt;0)*(($V461:$AE461&lt;AA461)+($V461:$AE461=AA461)*($V$3:$AE$3&gt;AA$3)+($V461:$AE461=AA461)*($V$3:$AE$3=AA$3)*($V$2:$AE$2&lt;AA$2))),2))))</f>
      </c>
      <c r="AL461" s="33">
        <f>IF(AB461&lt;=0,0,MAX(0,MIN(AB461,ROUND($AZ461-SUMPRODUCT($V461:$AE461*($V461:$AE461&gt;0)*(($V461:$AE461&lt;AB461)+($V461:$AE461=AB461)*($V$3:$AE$3&gt;AB$3)+($V461:$AE461=AB461)*($V$3:$AE$3=AB$3)*($V$2:$AE$2&lt;AB$2))),2))))</f>
      </c>
      <c r="AM461" s="33">
        <f>IF(AC461&lt;=0,0,MAX(0,MIN(AC461,ROUND($AZ461-SUMPRODUCT($V461:$AE461*($V461:$AE461&gt;0)*(($V461:$AE461&lt;AC461)+($V461:$AE461=AC461)*($V$3:$AE$3&gt;AC$3)+($V461:$AE461=AC461)*($V$3:$AE$3=AC$3)*($V$2:$AE$2&lt;AC$2))),2))))</f>
      </c>
      <c r="AN461" s="33">
        <f>IF(AD461&lt;=0,0,MAX(0,MIN(AD461,ROUND($AZ461-SUMPRODUCT($V461:$AE461*($V461:$AE461&gt;0)*(($V461:$AE461&lt;AD461)+($V461:$AE461=AD461)*($V$3:$AE$3&gt;AD$3)+($V461:$AE461=AD461)*($V$3:$AE$3=AD$3)*($V$2:$AE$2&lt;AD$2))),2))))</f>
      </c>
      <c r="AO461" s="33">
        <f>IF(AE461&lt;=0,0,MAX(0,MIN(AE461,ROUND($AZ461-SUMPRODUCT($V461:$AE461*($V461:$AE461&gt;0)*(($V461:$AE461&lt;AE461)+($V461:$AE461=AE461)*($V$3:$AE$3&gt;AE$3)+($V461:$AE461=AE461)*($V$3:$AE$3=AE$3)*($V$2:$AE$2&lt;AE$2))),2))))</f>
      </c>
      <c r="AP461" s="33">
        <f>ROUND(V461-AF461,2)</f>
      </c>
      <c r="AQ461" s="33">
        <f>ROUND(W461-AG461,2)</f>
      </c>
      <c r="AR461" s="33">
        <f>ROUND(X461-AH461,2)</f>
      </c>
      <c r="AS461" s="33">
        <f>ROUND(Y461-AI461,2)</f>
      </c>
      <c r="AT461" s="33">
        <f>ROUND(Z461-AJ461,2)</f>
      </c>
      <c r="AU461" s="33">
        <f>ROUND(AA461-AK461,2)</f>
      </c>
      <c r="AV461" s="33">
        <f>ROUND(AB461-AL461,2)</f>
      </c>
      <c r="AW461" s="33">
        <f>ROUND(AC461-AM461,2)</f>
      </c>
      <c r="AX461" s="33">
        <f>ROUND(AD461-AN461,2)</f>
      </c>
      <c r="AY461" s="33">
        <f>ROUND(AE461-AO461,2)</f>
      </c>
      <c r="AZ461" s="33">
        <f>ROUND(MAX(0,'Your debts'!$D$22-SUM($L461:$U461)),2)</f>
      </c>
      <c r="BA461" s="33">
        <f>ROUND(SUM($B461:$K461)-SUM($AP460:$AY460),2)</f>
      </c>
      <c r="BB461" s="33">
        <f>SUM($AP461:$AY461)</f>
      </c>
      <c r="BC461" s="33">
        <f>ROUND(SUM($L461:$U461)+SUM($AF461:$AO461),2)</f>
      </c>
    </row>
    <row r="462" spans="1:55" x14ac:dyDescent="0.25">
      <c r="A462">
        <v>455</v>
      </c>
      <c r="B462" s="33">
        <f>IF(AP461&lt;=0,0,ROUND(AP461+ROUND(AP461*V$3/12,2),2))</f>
      </c>
      <c r="C462" s="33">
        <f>IF(AQ461&lt;=0,0,ROUND(AQ461+ROUND(AQ461*W$3/12,2),2))</f>
      </c>
      <c r="D462" s="33">
        <f>IF(AR461&lt;=0,0,ROUND(AR461+ROUND(AR461*X$3/12,2),2))</f>
      </c>
      <c r="E462" s="33">
        <f>IF(AS461&lt;=0,0,ROUND(AS461+ROUND(AS461*Y$3/12,2),2))</f>
      </c>
      <c r="F462" s="33">
        <f>IF(AT461&lt;=0,0,ROUND(AT461+ROUND(AT461*Z$3/12,2),2))</f>
      </c>
      <c r="G462" s="33">
        <f>IF(AU461&lt;=0,0,ROUND(AU461+ROUND(AU461*AA$3/12,2),2))</f>
      </c>
      <c r="H462" s="33">
        <f>IF(AV461&lt;=0,0,ROUND(AV461+ROUND(AV461*AB$3/12,2),2))</f>
      </c>
      <c r="I462" s="33">
        <f>IF(AW461&lt;=0,0,ROUND(AW461+ROUND(AW461*AC$3/12,2),2))</f>
      </c>
      <c r="J462" s="33">
        <f>IF(AX461&lt;=0,0,ROUND(AX461+ROUND(AX461*AD$3/12,2),2))</f>
      </c>
      <c r="K462" s="33">
        <f>IF(AY461&lt;=0,0,ROUND(AY461+ROUND(AY461*AE$3/12,2),2))</f>
      </c>
      <c r="L462" s="33">
        <f>ROUND(MIN(MAX(0,N('Your debts'!$E$6)),B462),2)</f>
      </c>
      <c r="M462" s="33">
        <f>ROUND(MIN(MAX(0,N('Your debts'!$E$7)),C462),2)</f>
      </c>
      <c r="N462" s="33">
        <f>ROUND(MIN(MAX(0,N('Your debts'!$E$8)),D462),2)</f>
      </c>
      <c r="O462" s="33">
        <f>ROUND(MIN(MAX(0,N('Your debts'!$E$9)),E462),2)</f>
      </c>
      <c r="P462" s="33">
        <f>ROUND(MIN(MAX(0,N('Your debts'!$E$10)),F462),2)</f>
      </c>
      <c r="Q462" s="33">
        <f>ROUND(MIN(MAX(0,N('Your debts'!$E$11)),G462),2)</f>
      </c>
      <c r="R462" s="33">
        <f>ROUND(MIN(MAX(0,N('Your debts'!$E$12)),H462),2)</f>
      </c>
      <c r="S462" s="33">
        <f>ROUND(MIN(MAX(0,N('Your debts'!$E$13)),I462),2)</f>
      </c>
      <c r="T462" s="33">
        <f>ROUND(MIN(MAX(0,N('Your debts'!$E$14)),J462),2)</f>
      </c>
      <c r="U462" s="33">
        <f>ROUND(MIN(MAX(0,N('Your debts'!$E$15)),K462),2)</f>
      </c>
      <c r="V462" s="33">
        <f>ROUND(B462-L462,2)</f>
      </c>
      <c r="W462" s="33">
        <f>ROUND(C462-M462,2)</f>
      </c>
      <c r="X462" s="33">
        <f>ROUND(D462-N462,2)</f>
      </c>
      <c r="Y462" s="33">
        <f>ROUND(E462-O462,2)</f>
      </c>
      <c r="Z462" s="33">
        <f>ROUND(F462-P462,2)</f>
      </c>
      <c r="AA462" s="33">
        <f>ROUND(G462-Q462,2)</f>
      </c>
      <c r="AB462" s="33">
        <f>ROUND(H462-R462,2)</f>
      </c>
      <c r="AC462" s="33">
        <f>ROUND(I462-S462,2)</f>
      </c>
      <c r="AD462" s="33">
        <f>ROUND(J462-T462,2)</f>
      </c>
      <c r="AE462" s="33">
        <f>ROUND(K462-U462,2)</f>
      </c>
      <c r="AF462" s="33">
        <f>IF(V462&lt;=0,0,MAX(0,MIN(V462,ROUND($AZ462-SUMPRODUCT($V462:$AE462*($V462:$AE462&gt;0)*(($V462:$AE462&lt;V462)+($V462:$AE462=V462)*($V$3:$AE$3&gt;V$3)+($V462:$AE462=V462)*($V$3:$AE$3=V$3)*($V$2:$AE$2&lt;V$2))),2))))</f>
      </c>
      <c r="AG462" s="33">
        <f>IF(W462&lt;=0,0,MAX(0,MIN(W462,ROUND($AZ462-SUMPRODUCT($V462:$AE462*($V462:$AE462&gt;0)*(($V462:$AE462&lt;W462)+($V462:$AE462=W462)*($V$3:$AE$3&gt;W$3)+($V462:$AE462=W462)*($V$3:$AE$3=W$3)*($V$2:$AE$2&lt;W$2))),2))))</f>
      </c>
      <c r="AH462" s="33">
        <f>IF(X462&lt;=0,0,MAX(0,MIN(X462,ROUND($AZ462-SUMPRODUCT($V462:$AE462*($V462:$AE462&gt;0)*(($V462:$AE462&lt;X462)+($V462:$AE462=X462)*($V$3:$AE$3&gt;X$3)+($V462:$AE462=X462)*($V$3:$AE$3=X$3)*($V$2:$AE$2&lt;X$2))),2))))</f>
      </c>
      <c r="AI462" s="33">
        <f>IF(Y462&lt;=0,0,MAX(0,MIN(Y462,ROUND($AZ462-SUMPRODUCT($V462:$AE462*($V462:$AE462&gt;0)*(($V462:$AE462&lt;Y462)+($V462:$AE462=Y462)*($V$3:$AE$3&gt;Y$3)+($V462:$AE462=Y462)*($V$3:$AE$3=Y$3)*($V$2:$AE$2&lt;Y$2))),2))))</f>
      </c>
      <c r="AJ462" s="33">
        <f>IF(Z462&lt;=0,0,MAX(0,MIN(Z462,ROUND($AZ462-SUMPRODUCT($V462:$AE462*($V462:$AE462&gt;0)*(($V462:$AE462&lt;Z462)+($V462:$AE462=Z462)*($V$3:$AE$3&gt;Z$3)+($V462:$AE462=Z462)*($V$3:$AE$3=Z$3)*($V$2:$AE$2&lt;Z$2))),2))))</f>
      </c>
      <c r="AK462" s="33">
        <f>IF(AA462&lt;=0,0,MAX(0,MIN(AA462,ROUND($AZ462-SUMPRODUCT($V462:$AE462*($V462:$AE462&gt;0)*(($V462:$AE462&lt;AA462)+($V462:$AE462=AA462)*($V$3:$AE$3&gt;AA$3)+($V462:$AE462=AA462)*($V$3:$AE$3=AA$3)*($V$2:$AE$2&lt;AA$2))),2))))</f>
      </c>
      <c r="AL462" s="33">
        <f>IF(AB462&lt;=0,0,MAX(0,MIN(AB462,ROUND($AZ462-SUMPRODUCT($V462:$AE462*($V462:$AE462&gt;0)*(($V462:$AE462&lt;AB462)+($V462:$AE462=AB462)*($V$3:$AE$3&gt;AB$3)+($V462:$AE462=AB462)*($V$3:$AE$3=AB$3)*($V$2:$AE$2&lt;AB$2))),2))))</f>
      </c>
      <c r="AM462" s="33">
        <f>IF(AC462&lt;=0,0,MAX(0,MIN(AC462,ROUND($AZ462-SUMPRODUCT($V462:$AE462*($V462:$AE462&gt;0)*(($V462:$AE462&lt;AC462)+($V462:$AE462=AC462)*($V$3:$AE$3&gt;AC$3)+($V462:$AE462=AC462)*($V$3:$AE$3=AC$3)*($V$2:$AE$2&lt;AC$2))),2))))</f>
      </c>
      <c r="AN462" s="33">
        <f>IF(AD462&lt;=0,0,MAX(0,MIN(AD462,ROUND($AZ462-SUMPRODUCT($V462:$AE462*($V462:$AE462&gt;0)*(($V462:$AE462&lt;AD462)+($V462:$AE462=AD462)*($V$3:$AE$3&gt;AD$3)+($V462:$AE462=AD462)*($V$3:$AE$3=AD$3)*($V$2:$AE$2&lt;AD$2))),2))))</f>
      </c>
      <c r="AO462" s="33">
        <f>IF(AE462&lt;=0,0,MAX(0,MIN(AE462,ROUND($AZ462-SUMPRODUCT($V462:$AE462*($V462:$AE462&gt;0)*(($V462:$AE462&lt;AE462)+($V462:$AE462=AE462)*($V$3:$AE$3&gt;AE$3)+($V462:$AE462=AE462)*($V$3:$AE$3=AE$3)*($V$2:$AE$2&lt;AE$2))),2))))</f>
      </c>
      <c r="AP462" s="33">
        <f>ROUND(V462-AF462,2)</f>
      </c>
      <c r="AQ462" s="33">
        <f>ROUND(W462-AG462,2)</f>
      </c>
      <c r="AR462" s="33">
        <f>ROUND(X462-AH462,2)</f>
      </c>
      <c r="AS462" s="33">
        <f>ROUND(Y462-AI462,2)</f>
      </c>
      <c r="AT462" s="33">
        <f>ROUND(Z462-AJ462,2)</f>
      </c>
      <c r="AU462" s="33">
        <f>ROUND(AA462-AK462,2)</f>
      </c>
      <c r="AV462" s="33">
        <f>ROUND(AB462-AL462,2)</f>
      </c>
      <c r="AW462" s="33">
        <f>ROUND(AC462-AM462,2)</f>
      </c>
      <c r="AX462" s="33">
        <f>ROUND(AD462-AN462,2)</f>
      </c>
      <c r="AY462" s="33">
        <f>ROUND(AE462-AO462,2)</f>
      </c>
      <c r="AZ462" s="33">
        <f>ROUND(MAX(0,'Your debts'!$D$22-SUM($L462:$U462)),2)</f>
      </c>
      <c r="BA462" s="33">
        <f>ROUND(SUM($B462:$K462)-SUM($AP461:$AY461),2)</f>
      </c>
      <c r="BB462" s="33">
        <f>SUM($AP462:$AY462)</f>
      </c>
      <c r="BC462" s="33">
        <f>ROUND(SUM($L462:$U462)+SUM($AF462:$AO462),2)</f>
      </c>
    </row>
    <row r="463" spans="1:55" x14ac:dyDescent="0.25">
      <c r="A463">
        <v>456</v>
      </c>
      <c r="B463" s="33">
        <f>IF(AP462&lt;=0,0,ROUND(AP462+ROUND(AP462*V$3/12,2),2))</f>
      </c>
      <c r="C463" s="33">
        <f>IF(AQ462&lt;=0,0,ROUND(AQ462+ROUND(AQ462*W$3/12,2),2))</f>
      </c>
      <c r="D463" s="33">
        <f>IF(AR462&lt;=0,0,ROUND(AR462+ROUND(AR462*X$3/12,2),2))</f>
      </c>
      <c r="E463" s="33">
        <f>IF(AS462&lt;=0,0,ROUND(AS462+ROUND(AS462*Y$3/12,2),2))</f>
      </c>
      <c r="F463" s="33">
        <f>IF(AT462&lt;=0,0,ROUND(AT462+ROUND(AT462*Z$3/12,2),2))</f>
      </c>
      <c r="G463" s="33">
        <f>IF(AU462&lt;=0,0,ROUND(AU462+ROUND(AU462*AA$3/12,2),2))</f>
      </c>
      <c r="H463" s="33">
        <f>IF(AV462&lt;=0,0,ROUND(AV462+ROUND(AV462*AB$3/12,2),2))</f>
      </c>
      <c r="I463" s="33">
        <f>IF(AW462&lt;=0,0,ROUND(AW462+ROUND(AW462*AC$3/12,2),2))</f>
      </c>
      <c r="J463" s="33">
        <f>IF(AX462&lt;=0,0,ROUND(AX462+ROUND(AX462*AD$3/12,2),2))</f>
      </c>
      <c r="K463" s="33">
        <f>IF(AY462&lt;=0,0,ROUND(AY462+ROUND(AY462*AE$3/12,2),2))</f>
      </c>
      <c r="L463" s="33">
        <f>ROUND(MIN(MAX(0,N('Your debts'!$E$6)),B463),2)</f>
      </c>
      <c r="M463" s="33">
        <f>ROUND(MIN(MAX(0,N('Your debts'!$E$7)),C463),2)</f>
      </c>
      <c r="N463" s="33">
        <f>ROUND(MIN(MAX(0,N('Your debts'!$E$8)),D463),2)</f>
      </c>
      <c r="O463" s="33">
        <f>ROUND(MIN(MAX(0,N('Your debts'!$E$9)),E463),2)</f>
      </c>
      <c r="P463" s="33">
        <f>ROUND(MIN(MAX(0,N('Your debts'!$E$10)),F463),2)</f>
      </c>
      <c r="Q463" s="33">
        <f>ROUND(MIN(MAX(0,N('Your debts'!$E$11)),G463),2)</f>
      </c>
      <c r="R463" s="33">
        <f>ROUND(MIN(MAX(0,N('Your debts'!$E$12)),H463),2)</f>
      </c>
      <c r="S463" s="33">
        <f>ROUND(MIN(MAX(0,N('Your debts'!$E$13)),I463),2)</f>
      </c>
      <c r="T463" s="33">
        <f>ROUND(MIN(MAX(0,N('Your debts'!$E$14)),J463),2)</f>
      </c>
      <c r="U463" s="33">
        <f>ROUND(MIN(MAX(0,N('Your debts'!$E$15)),K463),2)</f>
      </c>
      <c r="V463" s="33">
        <f>ROUND(B463-L463,2)</f>
      </c>
      <c r="W463" s="33">
        <f>ROUND(C463-M463,2)</f>
      </c>
      <c r="X463" s="33">
        <f>ROUND(D463-N463,2)</f>
      </c>
      <c r="Y463" s="33">
        <f>ROUND(E463-O463,2)</f>
      </c>
      <c r="Z463" s="33">
        <f>ROUND(F463-P463,2)</f>
      </c>
      <c r="AA463" s="33">
        <f>ROUND(G463-Q463,2)</f>
      </c>
      <c r="AB463" s="33">
        <f>ROUND(H463-R463,2)</f>
      </c>
      <c r="AC463" s="33">
        <f>ROUND(I463-S463,2)</f>
      </c>
      <c r="AD463" s="33">
        <f>ROUND(J463-T463,2)</f>
      </c>
      <c r="AE463" s="33">
        <f>ROUND(K463-U463,2)</f>
      </c>
      <c r="AF463" s="33">
        <f>IF(V463&lt;=0,0,MAX(0,MIN(V463,ROUND($AZ463-SUMPRODUCT($V463:$AE463*($V463:$AE463&gt;0)*(($V463:$AE463&lt;V463)+($V463:$AE463=V463)*($V$3:$AE$3&gt;V$3)+($V463:$AE463=V463)*($V$3:$AE$3=V$3)*($V$2:$AE$2&lt;V$2))),2))))</f>
      </c>
      <c r="AG463" s="33">
        <f>IF(W463&lt;=0,0,MAX(0,MIN(W463,ROUND($AZ463-SUMPRODUCT($V463:$AE463*($V463:$AE463&gt;0)*(($V463:$AE463&lt;W463)+($V463:$AE463=W463)*($V$3:$AE$3&gt;W$3)+($V463:$AE463=W463)*($V$3:$AE$3=W$3)*($V$2:$AE$2&lt;W$2))),2))))</f>
      </c>
      <c r="AH463" s="33">
        <f>IF(X463&lt;=0,0,MAX(0,MIN(X463,ROUND($AZ463-SUMPRODUCT($V463:$AE463*($V463:$AE463&gt;0)*(($V463:$AE463&lt;X463)+($V463:$AE463=X463)*($V$3:$AE$3&gt;X$3)+($V463:$AE463=X463)*($V$3:$AE$3=X$3)*($V$2:$AE$2&lt;X$2))),2))))</f>
      </c>
      <c r="AI463" s="33">
        <f>IF(Y463&lt;=0,0,MAX(0,MIN(Y463,ROUND($AZ463-SUMPRODUCT($V463:$AE463*($V463:$AE463&gt;0)*(($V463:$AE463&lt;Y463)+($V463:$AE463=Y463)*($V$3:$AE$3&gt;Y$3)+($V463:$AE463=Y463)*($V$3:$AE$3=Y$3)*($V$2:$AE$2&lt;Y$2))),2))))</f>
      </c>
      <c r="AJ463" s="33">
        <f>IF(Z463&lt;=0,0,MAX(0,MIN(Z463,ROUND($AZ463-SUMPRODUCT($V463:$AE463*($V463:$AE463&gt;0)*(($V463:$AE463&lt;Z463)+($V463:$AE463=Z463)*($V$3:$AE$3&gt;Z$3)+($V463:$AE463=Z463)*($V$3:$AE$3=Z$3)*($V$2:$AE$2&lt;Z$2))),2))))</f>
      </c>
      <c r="AK463" s="33">
        <f>IF(AA463&lt;=0,0,MAX(0,MIN(AA463,ROUND($AZ463-SUMPRODUCT($V463:$AE463*($V463:$AE463&gt;0)*(($V463:$AE463&lt;AA463)+($V463:$AE463=AA463)*($V$3:$AE$3&gt;AA$3)+($V463:$AE463=AA463)*($V$3:$AE$3=AA$3)*($V$2:$AE$2&lt;AA$2))),2))))</f>
      </c>
      <c r="AL463" s="33">
        <f>IF(AB463&lt;=0,0,MAX(0,MIN(AB463,ROUND($AZ463-SUMPRODUCT($V463:$AE463*($V463:$AE463&gt;0)*(($V463:$AE463&lt;AB463)+($V463:$AE463=AB463)*($V$3:$AE$3&gt;AB$3)+($V463:$AE463=AB463)*($V$3:$AE$3=AB$3)*($V$2:$AE$2&lt;AB$2))),2))))</f>
      </c>
      <c r="AM463" s="33">
        <f>IF(AC463&lt;=0,0,MAX(0,MIN(AC463,ROUND($AZ463-SUMPRODUCT($V463:$AE463*($V463:$AE463&gt;0)*(($V463:$AE463&lt;AC463)+($V463:$AE463=AC463)*($V$3:$AE$3&gt;AC$3)+($V463:$AE463=AC463)*($V$3:$AE$3=AC$3)*($V$2:$AE$2&lt;AC$2))),2))))</f>
      </c>
      <c r="AN463" s="33">
        <f>IF(AD463&lt;=0,0,MAX(0,MIN(AD463,ROUND($AZ463-SUMPRODUCT($V463:$AE463*($V463:$AE463&gt;0)*(($V463:$AE463&lt;AD463)+($V463:$AE463=AD463)*($V$3:$AE$3&gt;AD$3)+($V463:$AE463=AD463)*($V$3:$AE$3=AD$3)*($V$2:$AE$2&lt;AD$2))),2))))</f>
      </c>
      <c r="AO463" s="33">
        <f>IF(AE463&lt;=0,0,MAX(0,MIN(AE463,ROUND($AZ463-SUMPRODUCT($V463:$AE463*($V463:$AE463&gt;0)*(($V463:$AE463&lt;AE463)+($V463:$AE463=AE463)*($V$3:$AE$3&gt;AE$3)+($V463:$AE463=AE463)*($V$3:$AE$3=AE$3)*($V$2:$AE$2&lt;AE$2))),2))))</f>
      </c>
      <c r="AP463" s="33">
        <f>ROUND(V463-AF463,2)</f>
      </c>
      <c r="AQ463" s="33">
        <f>ROUND(W463-AG463,2)</f>
      </c>
      <c r="AR463" s="33">
        <f>ROUND(X463-AH463,2)</f>
      </c>
      <c r="AS463" s="33">
        <f>ROUND(Y463-AI463,2)</f>
      </c>
      <c r="AT463" s="33">
        <f>ROUND(Z463-AJ463,2)</f>
      </c>
      <c r="AU463" s="33">
        <f>ROUND(AA463-AK463,2)</f>
      </c>
      <c r="AV463" s="33">
        <f>ROUND(AB463-AL463,2)</f>
      </c>
      <c r="AW463" s="33">
        <f>ROUND(AC463-AM463,2)</f>
      </c>
      <c r="AX463" s="33">
        <f>ROUND(AD463-AN463,2)</f>
      </c>
      <c r="AY463" s="33">
        <f>ROUND(AE463-AO463,2)</f>
      </c>
      <c r="AZ463" s="33">
        <f>ROUND(MAX(0,'Your debts'!$D$22-SUM($L463:$U463)),2)</f>
      </c>
      <c r="BA463" s="33">
        <f>ROUND(SUM($B463:$K463)-SUM($AP462:$AY462),2)</f>
      </c>
      <c r="BB463" s="33">
        <f>SUM($AP463:$AY463)</f>
      </c>
      <c r="BC463" s="33">
        <f>ROUND(SUM($L463:$U463)+SUM($AF463:$AO463),2)</f>
      </c>
    </row>
    <row r="464" spans="1:55" x14ac:dyDescent="0.25">
      <c r="A464">
        <v>457</v>
      </c>
      <c r="B464" s="33">
        <f>IF(AP463&lt;=0,0,ROUND(AP463+ROUND(AP463*V$3/12,2),2))</f>
      </c>
      <c r="C464" s="33">
        <f>IF(AQ463&lt;=0,0,ROUND(AQ463+ROUND(AQ463*W$3/12,2),2))</f>
      </c>
      <c r="D464" s="33">
        <f>IF(AR463&lt;=0,0,ROUND(AR463+ROUND(AR463*X$3/12,2),2))</f>
      </c>
      <c r="E464" s="33">
        <f>IF(AS463&lt;=0,0,ROUND(AS463+ROUND(AS463*Y$3/12,2),2))</f>
      </c>
      <c r="F464" s="33">
        <f>IF(AT463&lt;=0,0,ROUND(AT463+ROUND(AT463*Z$3/12,2),2))</f>
      </c>
      <c r="G464" s="33">
        <f>IF(AU463&lt;=0,0,ROUND(AU463+ROUND(AU463*AA$3/12,2),2))</f>
      </c>
      <c r="H464" s="33">
        <f>IF(AV463&lt;=0,0,ROUND(AV463+ROUND(AV463*AB$3/12,2),2))</f>
      </c>
      <c r="I464" s="33">
        <f>IF(AW463&lt;=0,0,ROUND(AW463+ROUND(AW463*AC$3/12,2),2))</f>
      </c>
      <c r="J464" s="33">
        <f>IF(AX463&lt;=0,0,ROUND(AX463+ROUND(AX463*AD$3/12,2),2))</f>
      </c>
      <c r="K464" s="33">
        <f>IF(AY463&lt;=0,0,ROUND(AY463+ROUND(AY463*AE$3/12,2),2))</f>
      </c>
      <c r="L464" s="33">
        <f>ROUND(MIN(MAX(0,N('Your debts'!$E$6)),B464),2)</f>
      </c>
      <c r="M464" s="33">
        <f>ROUND(MIN(MAX(0,N('Your debts'!$E$7)),C464),2)</f>
      </c>
      <c r="N464" s="33">
        <f>ROUND(MIN(MAX(0,N('Your debts'!$E$8)),D464),2)</f>
      </c>
      <c r="O464" s="33">
        <f>ROUND(MIN(MAX(0,N('Your debts'!$E$9)),E464),2)</f>
      </c>
      <c r="P464" s="33">
        <f>ROUND(MIN(MAX(0,N('Your debts'!$E$10)),F464),2)</f>
      </c>
      <c r="Q464" s="33">
        <f>ROUND(MIN(MAX(0,N('Your debts'!$E$11)),G464),2)</f>
      </c>
      <c r="R464" s="33">
        <f>ROUND(MIN(MAX(0,N('Your debts'!$E$12)),H464),2)</f>
      </c>
      <c r="S464" s="33">
        <f>ROUND(MIN(MAX(0,N('Your debts'!$E$13)),I464),2)</f>
      </c>
      <c r="T464" s="33">
        <f>ROUND(MIN(MAX(0,N('Your debts'!$E$14)),J464),2)</f>
      </c>
      <c r="U464" s="33">
        <f>ROUND(MIN(MAX(0,N('Your debts'!$E$15)),K464),2)</f>
      </c>
      <c r="V464" s="33">
        <f>ROUND(B464-L464,2)</f>
      </c>
      <c r="W464" s="33">
        <f>ROUND(C464-M464,2)</f>
      </c>
      <c r="X464" s="33">
        <f>ROUND(D464-N464,2)</f>
      </c>
      <c r="Y464" s="33">
        <f>ROUND(E464-O464,2)</f>
      </c>
      <c r="Z464" s="33">
        <f>ROUND(F464-P464,2)</f>
      </c>
      <c r="AA464" s="33">
        <f>ROUND(G464-Q464,2)</f>
      </c>
      <c r="AB464" s="33">
        <f>ROUND(H464-R464,2)</f>
      </c>
      <c r="AC464" s="33">
        <f>ROUND(I464-S464,2)</f>
      </c>
      <c r="AD464" s="33">
        <f>ROUND(J464-T464,2)</f>
      </c>
      <c r="AE464" s="33">
        <f>ROUND(K464-U464,2)</f>
      </c>
      <c r="AF464" s="33">
        <f>IF(V464&lt;=0,0,MAX(0,MIN(V464,ROUND($AZ464-SUMPRODUCT($V464:$AE464*($V464:$AE464&gt;0)*(($V464:$AE464&lt;V464)+($V464:$AE464=V464)*($V$3:$AE$3&gt;V$3)+($V464:$AE464=V464)*($V$3:$AE$3=V$3)*($V$2:$AE$2&lt;V$2))),2))))</f>
      </c>
      <c r="AG464" s="33">
        <f>IF(W464&lt;=0,0,MAX(0,MIN(W464,ROUND($AZ464-SUMPRODUCT($V464:$AE464*($V464:$AE464&gt;0)*(($V464:$AE464&lt;W464)+($V464:$AE464=W464)*($V$3:$AE$3&gt;W$3)+($V464:$AE464=W464)*($V$3:$AE$3=W$3)*($V$2:$AE$2&lt;W$2))),2))))</f>
      </c>
      <c r="AH464" s="33">
        <f>IF(X464&lt;=0,0,MAX(0,MIN(X464,ROUND($AZ464-SUMPRODUCT($V464:$AE464*($V464:$AE464&gt;0)*(($V464:$AE464&lt;X464)+($V464:$AE464=X464)*($V$3:$AE$3&gt;X$3)+($V464:$AE464=X464)*($V$3:$AE$3=X$3)*($V$2:$AE$2&lt;X$2))),2))))</f>
      </c>
      <c r="AI464" s="33">
        <f>IF(Y464&lt;=0,0,MAX(0,MIN(Y464,ROUND($AZ464-SUMPRODUCT($V464:$AE464*($V464:$AE464&gt;0)*(($V464:$AE464&lt;Y464)+($V464:$AE464=Y464)*($V$3:$AE$3&gt;Y$3)+($V464:$AE464=Y464)*($V$3:$AE$3=Y$3)*($V$2:$AE$2&lt;Y$2))),2))))</f>
      </c>
      <c r="AJ464" s="33">
        <f>IF(Z464&lt;=0,0,MAX(0,MIN(Z464,ROUND($AZ464-SUMPRODUCT($V464:$AE464*($V464:$AE464&gt;0)*(($V464:$AE464&lt;Z464)+($V464:$AE464=Z464)*($V$3:$AE$3&gt;Z$3)+($V464:$AE464=Z464)*($V$3:$AE$3=Z$3)*($V$2:$AE$2&lt;Z$2))),2))))</f>
      </c>
      <c r="AK464" s="33">
        <f>IF(AA464&lt;=0,0,MAX(0,MIN(AA464,ROUND($AZ464-SUMPRODUCT($V464:$AE464*($V464:$AE464&gt;0)*(($V464:$AE464&lt;AA464)+($V464:$AE464=AA464)*($V$3:$AE$3&gt;AA$3)+($V464:$AE464=AA464)*($V$3:$AE$3=AA$3)*($V$2:$AE$2&lt;AA$2))),2))))</f>
      </c>
      <c r="AL464" s="33">
        <f>IF(AB464&lt;=0,0,MAX(0,MIN(AB464,ROUND($AZ464-SUMPRODUCT($V464:$AE464*($V464:$AE464&gt;0)*(($V464:$AE464&lt;AB464)+($V464:$AE464=AB464)*($V$3:$AE$3&gt;AB$3)+($V464:$AE464=AB464)*($V$3:$AE$3=AB$3)*($V$2:$AE$2&lt;AB$2))),2))))</f>
      </c>
      <c r="AM464" s="33">
        <f>IF(AC464&lt;=0,0,MAX(0,MIN(AC464,ROUND($AZ464-SUMPRODUCT($V464:$AE464*($V464:$AE464&gt;0)*(($V464:$AE464&lt;AC464)+($V464:$AE464=AC464)*($V$3:$AE$3&gt;AC$3)+($V464:$AE464=AC464)*($V$3:$AE$3=AC$3)*($V$2:$AE$2&lt;AC$2))),2))))</f>
      </c>
      <c r="AN464" s="33">
        <f>IF(AD464&lt;=0,0,MAX(0,MIN(AD464,ROUND($AZ464-SUMPRODUCT($V464:$AE464*($V464:$AE464&gt;0)*(($V464:$AE464&lt;AD464)+($V464:$AE464=AD464)*($V$3:$AE$3&gt;AD$3)+($V464:$AE464=AD464)*($V$3:$AE$3=AD$3)*($V$2:$AE$2&lt;AD$2))),2))))</f>
      </c>
      <c r="AO464" s="33">
        <f>IF(AE464&lt;=0,0,MAX(0,MIN(AE464,ROUND($AZ464-SUMPRODUCT($V464:$AE464*($V464:$AE464&gt;0)*(($V464:$AE464&lt;AE464)+($V464:$AE464=AE464)*($V$3:$AE$3&gt;AE$3)+($V464:$AE464=AE464)*($V$3:$AE$3=AE$3)*($V$2:$AE$2&lt;AE$2))),2))))</f>
      </c>
      <c r="AP464" s="33">
        <f>ROUND(V464-AF464,2)</f>
      </c>
      <c r="AQ464" s="33">
        <f>ROUND(W464-AG464,2)</f>
      </c>
      <c r="AR464" s="33">
        <f>ROUND(X464-AH464,2)</f>
      </c>
      <c r="AS464" s="33">
        <f>ROUND(Y464-AI464,2)</f>
      </c>
      <c r="AT464" s="33">
        <f>ROUND(Z464-AJ464,2)</f>
      </c>
      <c r="AU464" s="33">
        <f>ROUND(AA464-AK464,2)</f>
      </c>
      <c r="AV464" s="33">
        <f>ROUND(AB464-AL464,2)</f>
      </c>
      <c r="AW464" s="33">
        <f>ROUND(AC464-AM464,2)</f>
      </c>
      <c r="AX464" s="33">
        <f>ROUND(AD464-AN464,2)</f>
      </c>
      <c r="AY464" s="33">
        <f>ROUND(AE464-AO464,2)</f>
      </c>
      <c r="AZ464" s="33">
        <f>ROUND(MAX(0,'Your debts'!$D$22-SUM($L464:$U464)),2)</f>
      </c>
      <c r="BA464" s="33">
        <f>ROUND(SUM($B464:$K464)-SUM($AP463:$AY463),2)</f>
      </c>
      <c r="BB464" s="33">
        <f>SUM($AP464:$AY464)</f>
      </c>
      <c r="BC464" s="33">
        <f>ROUND(SUM($L464:$U464)+SUM($AF464:$AO464),2)</f>
      </c>
    </row>
    <row r="465" spans="1:55" x14ac:dyDescent="0.25">
      <c r="A465">
        <v>458</v>
      </c>
      <c r="B465" s="33">
        <f>IF(AP464&lt;=0,0,ROUND(AP464+ROUND(AP464*V$3/12,2),2))</f>
      </c>
      <c r="C465" s="33">
        <f>IF(AQ464&lt;=0,0,ROUND(AQ464+ROUND(AQ464*W$3/12,2),2))</f>
      </c>
      <c r="D465" s="33">
        <f>IF(AR464&lt;=0,0,ROUND(AR464+ROUND(AR464*X$3/12,2),2))</f>
      </c>
      <c r="E465" s="33">
        <f>IF(AS464&lt;=0,0,ROUND(AS464+ROUND(AS464*Y$3/12,2),2))</f>
      </c>
      <c r="F465" s="33">
        <f>IF(AT464&lt;=0,0,ROUND(AT464+ROUND(AT464*Z$3/12,2),2))</f>
      </c>
      <c r="G465" s="33">
        <f>IF(AU464&lt;=0,0,ROUND(AU464+ROUND(AU464*AA$3/12,2),2))</f>
      </c>
      <c r="H465" s="33">
        <f>IF(AV464&lt;=0,0,ROUND(AV464+ROUND(AV464*AB$3/12,2),2))</f>
      </c>
      <c r="I465" s="33">
        <f>IF(AW464&lt;=0,0,ROUND(AW464+ROUND(AW464*AC$3/12,2),2))</f>
      </c>
      <c r="J465" s="33">
        <f>IF(AX464&lt;=0,0,ROUND(AX464+ROUND(AX464*AD$3/12,2),2))</f>
      </c>
      <c r="K465" s="33">
        <f>IF(AY464&lt;=0,0,ROUND(AY464+ROUND(AY464*AE$3/12,2),2))</f>
      </c>
      <c r="L465" s="33">
        <f>ROUND(MIN(MAX(0,N('Your debts'!$E$6)),B465),2)</f>
      </c>
      <c r="M465" s="33">
        <f>ROUND(MIN(MAX(0,N('Your debts'!$E$7)),C465),2)</f>
      </c>
      <c r="N465" s="33">
        <f>ROUND(MIN(MAX(0,N('Your debts'!$E$8)),D465),2)</f>
      </c>
      <c r="O465" s="33">
        <f>ROUND(MIN(MAX(0,N('Your debts'!$E$9)),E465),2)</f>
      </c>
      <c r="P465" s="33">
        <f>ROUND(MIN(MAX(0,N('Your debts'!$E$10)),F465),2)</f>
      </c>
      <c r="Q465" s="33">
        <f>ROUND(MIN(MAX(0,N('Your debts'!$E$11)),G465),2)</f>
      </c>
      <c r="R465" s="33">
        <f>ROUND(MIN(MAX(0,N('Your debts'!$E$12)),H465),2)</f>
      </c>
      <c r="S465" s="33">
        <f>ROUND(MIN(MAX(0,N('Your debts'!$E$13)),I465),2)</f>
      </c>
      <c r="T465" s="33">
        <f>ROUND(MIN(MAX(0,N('Your debts'!$E$14)),J465),2)</f>
      </c>
      <c r="U465" s="33">
        <f>ROUND(MIN(MAX(0,N('Your debts'!$E$15)),K465),2)</f>
      </c>
      <c r="V465" s="33">
        <f>ROUND(B465-L465,2)</f>
      </c>
      <c r="W465" s="33">
        <f>ROUND(C465-M465,2)</f>
      </c>
      <c r="X465" s="33">
        <f>ROUND(D465-N465,2)</f>
      </c>
      <c r="Y465" s="33">
        <f>ROUND(E465-O465,2)</f>
      </c>
      <c r="Z465" s="33">
        <f>ROUND(F465-P465,2)</f>
      </c>
      <c r="AA465" s="33">
        <f>ROUND(G465-Q465,2)</f>
      </c>
      <c r="AB465" s="33">
        <f>ROUND(H465-R465,2)</f>
      </c>
      <c r="AC465" s="33">
        <f>ROUND(I465-S465,2)</f>
      </c>
      <c r="AD465" s="33">
        <f>ROUND(J465-T465,2)</f>
      </c>
      <c r="AE465" s="33">
        <f>ROUND(K465-U465,2)</f>
      </c>
      <c r="AF465" s="33">
        <f>IF(V465&lt;=0,0,MAX(0,MIN(V465,ROUND($AZ465-SUMPRODUCT($V465:$AE465*($V465:$AE465&gt;0)*(($V465:$AE465&lt;V465)+($V465:$AE465=V465)*($V$3:$AE$3&gt;V$3)+($V465:$AE465=V465)*($V$3:$AE$3=V$3)*($V$2:$AE$2&lt;V$2))),2))))</f>
      </c>
      <c r="AG465" s="33">
        <f>IF(W465&lt;=0,0,MAX(0,MIN(W465,ROUND($AZ465-SUMPRODUCT($V465:$AE465*($V465:$AE465&gt;0)*(($V465:$AE465&lt;W465)+($V465:$AE465=W465)*($V$3:$AE$3&gt;W$3)+($V465:$AE465=W465)*($V$3:$AE$3=W$3)*($V$2:$AE$2&lt;W$2))),2))))</f>
      </c>
      <c r="AH465" s="33">
        <f>IF(X465&lt;=0,0,MAX(0,MIN(X465,ROUND($AZ465-SUMPRODUCT($V465:$AE465*($V465:$AE465&gt;0)*(($V465:$AE465&lt;X465)+($V465:$AE465=X465)*($V$3:$AE$3&gt;X$3)+($V465:$AE465=X465)*($V$3:$AE$3=X$3)*($V$2:$AE$2&lt;X$2))),2))))</f>
      </c>
      <c r="AI465" s="33">
        <f>IF(Y465&lt;=0,0,MAX(0,MIN(Y465,ROUND($AZ465-SUMPRODUCT($V465:$AE465*($V465:$AE465&gt;0)*(($V465:$AE465&lt;Y465)+($V465:$AE465=Y465)*($V$3:$AE$3&gt;Y$3)+($V465:$AE465=Y465)*($V$3:$AE$3=Y$3)*($V$2:$AE$2&lt;Y$2))),2))))</f>
      </c>
      <c r="AJ465" s="33">
        <f>IF(Z465&lt;=0,0,MAX(0,MIN(Z465,ROUND($AZ465-SUMPRODUCT($V465:$AE465*($V465:$AE465&gt;0)*(($V465:$AE465&lt;Z465)+($V465:$AE465=Z465)*($V$3:$AE$3&gt;Z$3)+($V465:$AE465=Z465)*($V$3:$AE$3=Z$3)*($V$2:$AE$2&lt;Z$2))),2))))</f>
      </c>
      <c r="AK465" s="33">
        <f>IF(AA465&lt;=0,0,MAX(0,MIN(AA465,ROUND($AZ465-SUMPRODUCT($V465:$AE465*($V465:$AE465&gt;0)*(($V465:$AE465&lt;AA465)+($V465:$AE465=AA465)*($V$3:$AE$3&gt;AA$3)+($V465:$AE465=AA465)*($V$3:$AE$3=AA$3)*($V$2:$AE$2&lt;AA$2))),2))))</f>
      </c>
      <c r="AL465" s="33">
        <f>IF(AB465&lt;=0,0,MAX(0,MIN(AB465,ROUND($AZ465-SUMPRODUCT($V465:$AE465*($V465:$AE465&gt;0)*(($V465:$AE465&lt;AB465)+($V465:$AE465=AB465)*($V$3:$AE$3&gt;AB$3)+($V465:$AE465=AB465)*($V$3:$AE$3=AB$3)*($V$2:$AE$2&lt;AB$2))),2))))</f>
      </c>
      <c r="AM465" s="33">
        <f>IF(AC465&lt;=0,0,MAX(0,MIN(AC465,ROUND($AZ465-SUMPRODUCT($V465:$AE465*($V465:$AE465&gt;0)*(($V465:$AE465&lt;AC465)+($V465:$AE465=AC465)*($V$3:$AE$3&gt;AC$3)+($V465:$AE465=AC465)*($V$3:$AE$3=AC$3)*($V$2:$AE$2&lt;AC$2))),2))))</f>
      </c>
      <c r="AN465" s="33">
        <f>IF(AD465&lt;=0,0,MAX(0,MIN(AD465,ROUND($AZ465-SUMPRODUCT($V465:$AE465*($V465:$AE465&gt;0)*(($V465:$AE465&lt;AD465)+($V465:$AE465=AD465)*($V$3:$AE$3&gt;AD$3)+($V465:$AE465=AD465)*($V$3:$AE$3=AD$3)*($V$2:$AE$2&lt;AD$2))),2))))</f>
      </c>
      <c r="AO465" s="33">
        <f>IF(AE465&lt;=0,0,MAX(0,MIN(AE465,ROUND($AZ465-SUMPRODUCT($V465:$AE465*($V465:$AE465&gt;0)*(($V465:$AE465&lt;AE465)+($V465:$AE465=AE465)*($V$3:$AE$3&gt;AE$3)+($V465:$AE465=AE465)*($V$3:$AE$3=AE$3)*($V$2:$AE$2&lt;AE$2))),2))))</f>
      </c>
      <c r="AP465" s="33">
        <f>ROUND(V465-AF465,2)</f>
      </c>
      <c r="AQ465" s="33">
        <f>ROUND(W465-AG465,2)</f>
      </c>
      <c r="AR465" s="33">
        <f>ROUND(X465-AH465,2)</f>
      </c>
      <c r="AS465" s="33">
        <f>ROUND(Y465-AI465,2)</f>
      </c>
      <c r="AT465" s="33">
        <f>ROUND(Z465-AJ465,2)</f>
      </c>
      <c r="AU465" s="33">
        <f>ROUND(AA465-AK465,2)</f>
      </c>
      <c r="AV465" s="33">
        <f>ROUND(AB465-AL465,2)</f>
      </c>
      <c r="AW465" s="33">
        <f>ROUND(AC465-AM465,2)</f>
      </c>
      <c r="AX465" s="33">
        <f>ROUND(AD465-AN465,2)</f>
      </c>
      <c r="AY465" s="33">
        <f>ROUND(AE465-AO465,2)</f>
      </c>
      <c r="AZ465" s="33">
        <f>ROUND(MAX(0,'Your debts'!$D$22-SUM($L465:$U465)),2)</f>
      </c>
      <c r="BA465" s="33">
        <f>ROUND(SUM($B465:$K465)-SUM($AP464:$AY464),2)</f>
      </c>
      <c r="BB465" s="33">
        <f>SUM($AP465:$AY465)</f>
      </c>
      <c r="BC465" s="33">
        <f>ROUND(SUM($L465:$U465)+SUM($AF465:$AO465),2)</f>
      </c>
    </row>
    <row r="466" spans="1:55" x14ac:dyDescent="0.25">
      <c r="A466">
        <v>459</v>
      </c>
      <c r="B466" s="33">
        <f>IF(AP465&lt;=0,0,ROUND(AP465+ROUND(AP465*V$3/12,2),2))</f>
      </c>
      <c r="C466" s="33">
        <f>IF(AQ465&lt;=0,0,ROUND(AQ465+ROUND(AQ465*W$3/12,2),2))</f>
      </c>
      <c r="D466" s="33">
        <f>IF(AR465&lt;=0,0,ROUND(AR465+ROUND(AR465*X$3/12,2),2))</f>
      </c>
      <c r="E466" s="33">
        <f>IF(AS465&lt;=0,0,ROUND(AS465+ROUND(AS465*Y$3/12,2),2))</f>
      </c>
      <c r="F466" s="33">
        <f>IF(AT465&lt;=0,0,ROUND(AT465+ROUND(AT465*Z$3/12,2),2))</f>
      </c>
      <c r="G466" s="33">
        <f>IF(AU465&lt;=0,0,ROUND(AU465+ROUND(AU465*AA$3/12,2),2))</f>
      </c>
      <c r="H466" s="33">
        <f>IF(AV465&lt;=0,0,ROUND(AV465+ROUND(AV465*AB$3/12,2),2))</f>
      </c>
      <c r="I466" s="33">
        <f>IF(AW465&lt;=0,0,ROUND(AW465+ROUND(AW465*AC$3/12,2),2))</f>
      </c>
      <c r="J466" s="33">
        <f>IF(AX465&lt;=0,0,ROUND(AX465+ROUND(AX465*AD$3/12,2),2))</f>
      </c>
      <c r="K466" s="33">
        <f>IF(AY465&lt;=0,0,ROUND(AY465+ROUND(AY465*AE$3/12,2),2))</f>
      </c>
      <c r="L466" s="33">
        <f>ROUND(MIN(MAX(0,N('Your debts'!$E$6)),B466),2)</f>
      </c>
      <c r="M466" s="33">
        <f>ROUND(MIN(MAX(0,N('Your debts'!$E$7)),C466),2)</f>
      </c>
      <c r="N466" s="33">
        <f>ROUND(MIN(MAX(0,N('Your debts'!$E$8)),D466),2)</f>
      </c>
      <c r="O466" s="33">
        <f>ROUND(MIN(MAX(0,N('Your debts'!$E$9)),E466),2)</f>
      </c>
      <c r="P466" s="33">
        <f>ROUND(MIN(MAX(0,N('Your debts'!$E$10)),F466),2)</f>
      </c>
      <c r="Q466" s="33">
        <f>ROUND(MIN(MAX(0,N('Your debts'!$E$11)),G466),2)</f>
      </c>
      <c r="R466" s="33">
        <f>ROUND(MIN(MAX(0,N('Your debts'!$E$12)),H466),2)</f>
      </c>
      <c r="S466" s="33">
        <f>ROUND(MIN(MAX(0,N('Your debts'!$E$13)),I466),2)</f>
      </c>
      <c r="T466" s="33">
        <f>ROUND(MIN(MAX(0,N('Your debts'!$E$14)),J466),2)</f>
      </c>
      <c r="U466" s="33">
        <f>ROUND(MIN(MAX(0,N('Your debts'!$E$15)),K466),2)</f>
      </c>
      <c r="V466" s="33">
        <f>ROUND(B466-L466,2)</f>
      </c>
      <c r="W466" s="33">
        <f>ROUND(C466-M466,2)</f>
      </c>
      <c r="X466" s="33">
        <f>ROUND(D466-N466,2)</f>
      </c>
      <c r="Y466" s="33">
        <f>ROUND(E466-O466,2)</f>
      </c>
      <c r="Z466" s="33">
        <f>ROUND(F466-P466,2)</f>
      </c>
      <c r="AA466" s="33">
        <f>ROUND(G466-Q466,2)</f>
      </c>
      <c r="AB466" s="33">
        <f>ROUND(H466-R466,2)</f>
      </c>
      <c r="AC466" s="33">
        <f>ROUND(I466-S466,2)</f>
      </c>
      <c r="AD466" s="33">
        <f>ROUND(J466-T466,2)</f>
      </c>
      <c r="AE466" s="33">
        <f>ROUND(K466-U466,2)</f>
      </c>
      <c r="AF466" s="33">
        <f>IF(V466&lt;=0,0,MAX(0,MIN(V466,ROUND($AZ466-SUMPRODUCT($V466:$AE466*($V466:$AE466&gt;0)*(($V466:$AE466&lt;V466)+($V466:$AE466=V466)*($V$3:$AE$3&gt;V$3)+($V466:$AE466=V466)*($V$3:$AE$3=V$3)*($V$2:$AE$2&lt;V$2))),2))))</f>
      </c>
      <c r="AG466" s="33">
        <f>IF(W466&lt;=0,0,MAX(0,MIN(W466,ROUND($AZ466-SUMPRODUCT($V466:$AE466*($V466:$AE466&gt;0)*(($V466:$AE466&lt;W466)+($V466:$AE466=W466)*($V$3:$AE$3&gt;W$3)+($V466:$AE466=W466)*($V$3:$AE$3=W$3)*($V$2:$AE$2&lt;W$2))),2))))</f>
      </c>
      <c r="AH466" s="33">
        <f>IF(X466&lt;=0,0,MAX(0,MIN(X466,ROUND($AZ466-SUMPRODUCT($V466:$AE466*($V466:$AE466&gt;0)*(($V466:$AE466&lt;X466)+($V466:$AE466=X466)*($V$3:$AE$3&gt;X$3)+($V466:$AE466=X466)*($V$3:$AE$3=X$3)*($V$2:$AE$2&lt;X$2))),2))))</f>
      </c>
      <c r="AI466" s="33">
        <f>IF(Y466&lt;=0,0,MAX(0,MIN(Y466,ROUND($AZ466-SUMPRODUCT($V466:$AE466*($V466:$AE466&gt;0)*(($V466:$AE466&lt;Y466)+($V466:$AE466=Y466)*($V$3:$AE$3&gt;Y$3)+($V466:$AE466=Y466)*($V$3:$AE$3=Y$3)*($V$2:$AE$2&lt;Y$2))),2))))</f>
      </c>
      <c r="AJ466" s="33">
        <f>IF(Z466&lt;=0,0,MAX(0,MIN(Z466,ROUND($AZ466-SUMPRODUCT($V466:$AE466*($V466:$AE466&gt;0)*(($V466:$AE466&lt;Z466)+($V466:$AE466=Z466)*($V$3:$AE$3&gt;Z$3)+($V466:$AE466=Z466)*($V$3:$AE$3=Z$3)*($V$2:$AE$2&lt;Z$2))),2))))</f>
      </c>
      <c r="AK466" s="33">
        <f>IF(AA466&lt;=0,0,MAX(0,MIN(AA466,ROUND($AZ466-SUMPRODUCT($V466:$AE466*($V466:$AE466&gt;0)*(($V466:$AE466&lt;AA466)+($V466:$AE466=AA466)*($V$3:$AE$3&gt;AA$3)+($V466:$AE466=AA466)*($V$3:$AE$3=AA$3)*($V$2:$AE$2&lt;AA$2))),2))))</f>
      </c>
      <c r="AL466" s="33">
        <f>IF(AB466&lt;=0,0,MAX(0,MIN(AB466,ROUND($AZ466-SUMPRODUCT($V466:$AE466*($V466:$AE466&gt;0)*(($V466:$AE466&lt;AB466)+($V466:$AE466=AB466)*($V$3:$AE$3&gt;AB$3)+($V466:$AE466=AB466)*($V$3:$AE$3=AB$3)*($V$2:$AE$2&lt;AB$2))),2))))</f>
      </c>
      <c r="AM466" s="33">
        <f>IF(AC466&lt;=0,0,MAX(0,MIN(AC466,ROUND($AZ466-SUMPRODUCT($V466:$AE466*($V466:$AE466&gt;0)*(($V466:$AE466&lt;AC466)+($V466:$AE466=AC466)*($V$3:$AE$3&gt;AC$3)+($V466:$AE466=AC466)*($V$3:$AE$3=AC$3)*($V$2:$AE$2&lt;AC$2))),2))))</f>
      </c>
      <c r="AN466" s="33">
        <f>IF(AD466&lt;=0,0,MAX(0,MIN(AD466,ROUND($AZ466-SUMPRODUCT($V466:$AE466*($V466:$AE466&gt;0)*(($V466:$AE466&lt;AD466)+($V466:$AE466=AD466)*($V$3:$AE$3&gt;AD$3)+($V466:$AE466=AD466)*($V$3:$AE$3=AD$3)*($V$2:$AE$2&lt;AD$2))),2))))</f>
      </c>
      <c r="AO466" s="33">
        <f>IF(AE466&lt;=0,0,MAX(0,MIN(AE466,ROUND($AZ466-SUMPRODUCT($V466:$AE466*($V466:$AE466&gt;0)*(($V466:$AE466&lt;AE466)+($V466:$AE466=AE466)*($V$3:$AE$3&gt;AE$3)+($V466:$AE466=AE466)*($V$3:$AE$3=AE$3)*($V$2:$AE$2&lt;AE$2))),2))))</f>
      </c>
      <c r="AP466" s="33">
        <f>ROUND(V466-AF466,2)</f>
      </c>
      <c r="AQ466" s="33">
        <f>ROUND(W466-AG466,2)</f>
      </c>
      <c r="AR466" s="33">
        <f>ROUND(X466-AH466,2)</f>
      </c>
      <c r="AS466" s="33">
        <f>ROUND(Y466-AI466,2)</f>
      </c>
      <c r="AT466" s="33">
        <f>ROUND(Z466-AJ466,2)</f>
      </c>
      <c r="AU466" s="33">
        <f>ROUND(AA466-AK466,2)</f>
      </c>
      <c r="AV466" s="33">
        <f>ROUND(AB466-AL466,2)</f>
      </c>
      <c r="AW466" s="33">
        <f>ROUND(AC466-AM466,2)</f>
      </c>
      <c r="AX466" s="33">
        <f>ROUND(AD466-AN466,2)</f>
      </c>
      <c r="AY466" s="33">
        <f>ROUND(AE466-AO466,2)</f>
      </c>
      <c r="AZ466" s="33">
        <f>ROUND(MAX(0,'Your debts'!$D$22-SUM($L466:$U466)),2)</f>
      </c>
      <c r="BA466" s="33">
        <f>ROUND(SUM($B466:$K466)-SUM($AP465:$AY465),2)</f>
      </c>
      <c r="BB466" s="33">
        <f>SUM($AP466:$AY466)</f>
      </c>
      <c r="BC466" s="33">
        <f>ROUND(SUM($L466:$U466)+SUM($AF466:$AO466),2)</f>
      </c>
    </row>
    <row r="467" spans="1:55" x14ac:dyDescent="0.25">
      <c r="A467">
        <v>460</v>
      </c>
      <c r="B467" s="33">
        <f>IF(AP466&lt;=0,0,ROUND(AP466+ROUND(AP466*V$3/12,2),2))</f>
      </c>
      <c r="C467" s="33">
        <f>IF(AQ466&lt;=0,0,ROUND(AQ466+ROUND(AQ466*W$3/12,2),2))</f>
      </c>
      <c r="D467" s="33">
        <f>IF(AR466&lt;=0,0,ROUND(AR466+ROUND(AR466*X$3/12,2),2))</f>
      </c>
      <c r="E467" s="33">
        <f>IF(AS466&lt;=0,0,ROUND(AS466+ROUND(AS466*Y$3/12,2),2))</f>
      </c>
      <c r="F467" s="33">
        <f>IF(AT466&lt;=0,0,ROUND(AT466+ROUND(AT466*Z$3/12,2),2))</f>
      </c>
      <c r="G467" s="33">
        <f>IF(AU466&lt;=0,0,ROUND(AU466+ROUND(AU466*AA$3/12,2),2))</f>
      </c>
      <c r="H467" s="33">
        <f>IF(AV466&lt;=0,0,ROUND(AV466+ROUND(AV466*AB$3/12,2),2))</f>
      </c>
      <c r="I467" s="33">
        <f>IF(AW466&lt;=0,0,ROUND(AW466+ROUND(AW466*AC$3/12,2),2))</f>
      </c>
      <c r="J467" s="33">
        <f>IF(AX466&lt;=0,0,ROUND(AX466+ROUND(AX466*AD$3/12,2),2))</f>
      </c>
      <c r="K467" s="33">
        <f>IF(AY466&lt;=0,0,ROUND(AY466+ROUND(AY466*AE$3/12,2),2))</f>
      </c>
      <c r="L467" s="33">
        <f>ROUND(MIN(MAX(0,N('Your debts'!$E$6)),B467),2)</f>
      </c>
      <c r="M467" s="33">
        <f>ROUND(MIN(MAX(0,N('Your debts'!$E$7)),C467),2)</f>
      </c>
      <c r="N467" s="33">
        <f>ROUND(MIN(MAX(0,N('Your debts'!$E$8)),D467),2)</f>
      </c>
      <c r="O467" s="33">
        <f>ROUND(MIN(MAX(0,N('Your debts'!$E$9)),E467),2)</f>
      </c>
      <c r="P467" s="33">
        <f>ROUND(MIN(MAX(0,N('Your debts'!$E$10)),F467),2)</f>
      </c>
      <c r="Q467" s="33">
        <f>ROUND(MIN(MAX(0,N('Your debts'!$E$11)),G467),2)</f>
      </c>
      <c r="R467" s="33">
        <f>ROUND(MIN(MAX(0,N('Your debts'!$E$12)),H467),2)</f>
      </c>
      <c r="S467" s="33">
        <f>ROUND(MIN(MAX(0,N('Your debts'!$E$13)),I467),2)</f>
      </c>
      <c r="T467" s="33">
        <f>ROUND(MIN(MAX(0,N('Your debts'!$E$14)),J467),2)</f>
      </c>
      <c r="U467" s="33">
        <f>ROUND(MIN(MAX(0,N('Your debts'!$E$15)),K467),2)</f>
      </c>
      <c r="V467" s="33">
        <f>ROUND(B467-L467,2)</f>
      </c>
      <c r="W467" s="33">
        <f>ROUND(C467-M467,2)</f>
      </c>
      <c r="X467" s="33">
        <f>ROUND(D467-N467,2)</f>
      </c>
      <c r="Y467" s="33">
        <f>ROUND(E467-O467,2)</f>
      </c>
      <c r="Z467" s="33">
        <f>ROUND(F467-P467,2)</f>
      </c>
      <c r="AA467" s="33">
        <f>ROUND(G467-Q467,2)</f>
      </c>
      <c r="AB467" s="33">
        <f>ROUND(H467-R467,2)</f>
      </c>
      <c r="AC467" s="33">
        <f>ROUND(I467-S467,2)</f>
      </c>
      <c r="AD467" s="33">
        <f>ROUND(J467-T467,2)</f>
      </c>
      <c r="AE467" s="33">
        <f>ROUND(K467-U467,2)</f>
      </c>
      <c r="AF467" s="33">
        <f>IF(V467&lt;=0,0,MAX(0,MIN(V467,ROUND($AZ467-SUMPRODUCT($V467:$AE467*($V467:$AE467&gt;0)*(($V467:$AE467&lt;V467)+($V467:$AE467=V467)*($V$3:$AE$3&gt;V$3)+($V467:$AE467=V467)*($V$3:$AE$3=V$3)*($V$2:$AE$2&lt;V$2))),2))))</f>
      </c>
      <c r="AG467" s="33">
        <f>IF(W467&lt;=0,0,MAX(0,MIN(W467,ROUND($AZ467-SUMPRODUCT($V467:$AE467*($V467:$AE467&gt;0)*(($V467:$AE467&lt;W467)+($V467:$AE467=W467)*($V$3:$AE$3&gt;W$3)+($V467:$AE467=W467)*($V$3:$AE$3=W$3)*($V$2:$AE$2&lt;W$2))),2))))</f>
      </c>
      <c r="AH467" s="33">
        <f>IF(X467&lt;=0,0,MAX(0,MIN(X467,ROUND($AZ467-SUMPRODUCT($V467:$AE467*($V467:$AE467&gt;0)*(($V467:$AE467&lt;X467)+($V467:$AE467=X467)*($V$3:$AE$3&gt;X$3)+($V467:$AE467=X467)*($V$3:$AE$3=X$3)*($V$2:$AE$2&lt;X$2))),2))))</f>
      </c>
      <c r="AI467" s="33">
        <f>IF(Y467&lt;=0,0,MAX(0,MIN(Y467,ROUND($AZ467-SUMPRODUCT($V467:$AE467*($V467:$AE467&gt;0)*(($V467:$AE467&lt;Y467)+($V467:$AE467=Y467)*($V$3:$AE$3&gt;Y$3)+($V467:$AE467=Y467)*($V$3:$AE$3=Y$3)*($V$2:$AE$2&lt;Y$2))),2))))</f>
      </c>
      <c r="AJ467" s="33">
        <f>IF(Z467&lt;=0,0,MAX(0,MIN(Z467,ROUND($AZ467-SUMPRODUCT($V467:$AE467*($V467:$AE467&gt;0)*(($V467:$AE467&lt;Z467)+($V467:$AE467=Z467)*($V$3:$AE$3&gt;Z$3)+($V467:$AE467=Z467)*($V$3:$AE$3=Z$3)*($V$2:$AE$2&lt;Z$2))),2))))</f>
      </c>
      <c r="AK467" s="33">
        <f>IF(AA467&lt;=0,0,MAX(0,MIN(AA467,ROUND($AZ467-SUMPRODUCT($V467:$AE467*($V467:$AE467&gt;0)*(($V467:$AE467&lt;AA467)+($V467:$AE467=AA467)*($V$3:$AE$3&gt;AA$3)+($V467:$AE467=AA467)*($V$3:$AE$3=AA$3)*($V$2:$AE$2&lt;AA$2))),2))))</f>
      </c>
      <c r="AL467" s="33">
        <f>IF(AB467&lt;=0,0,MAX(0,MIN(AB467,ROUND($AZ467-SUMPRODUCT($V467:$AE467*($V467:$AE467&gt;0)*(($V467:$AE467&lt;AB467)+($V467:$AE467=AB467)*($V$3:$AE$3&gt;AB$3)+($V467:$AE467=AB467)*($V$3:$AE$3=AB$3)*($V$2:$AE$2&lt;AB$2))),2))))</f>
      </c>
      <c r="AM467" s="33">
        <f>IF(AC467&lt;=0,0,MAX(0,MIN(AC467,ROUND($AZ467-SUMPRODUCT($V467:$AE467*($V467:$AE467&gt;0)*(($V467:$AE467&lt;AC467)+($V467:$AE467=AC467)*($V$3:$AE$3&gt;AC$3)+($V467:$AE467=AC467)*($V$3:$AE$3=AC$3)*($V$2:$AE$2&lt;AC$2))),2))))</f>
      </c>
      <c r="AN467" s="33">
        <f>IF(AD467&lt;=0,0,MAX(0,MIN(AD467,ROUND($AZ467-SUMPRODUCT($V467:$AE467*($V467:$AE467&gt;0)*(($V467:$AE467&lt;AD467)+($V467:$AE467=AD467)*($V$3:$AE$3&gt;AD$3)+($V467:$AE467=AD467)*($V$3:$AE$3=AD$3)*($V$2:$AE$2&lt;AD$2))),2))))</f>
      </c>
      <c r="AO467" s="33">
        <f>IF(AE467&lt;=0,0,MAX(0,MIN(AE467,ROUND($AZ467-SUMPRODUCT($V467:$AE467*($V467:$AE467&gt;0)*(($V467:$AE467&lt;AE467)+($V467:$AE467=AE467)*($V$3:$AE$3&gt;AE$3)+($V467:$AE467=AE467)*($V$3:$AE$3=AE$3)*($V$2:$AE$2&lt;AE$2))),2))))</f>
      </c>
      <c r="AP467" s="33">
        <f>ROUND(V467-AF467,2)</f>
      </c>
      <c r="AQ467" s="33">
        <f>ROUND(W467-AG467,2)</f>
      </c>
      <c r="AR467" s="33">
        <f>ROUND(X467-AH467,2)</f>
      </c>
      <c r="AS467" s="33">
        <f>ROUND(Y467-AI467,2)</f>
      </c>
      <c r="AT467" s="33">
        <f>ROUND(Z467-AJ467,2)</f>
      </c>
      <c r="AU467" s="33">
        <f>ROUND(AA467-AK467,2)</f>
      </c>
      <c r="AV467" s="33">
        <f>ROUND(AB467-AL467,2)</f>
      </c>
      <c r="AW467" s="33">
        <f>ROUND(AC467-AM467,2)</f>
      </c>
      <c r="AX467" s="33">
        <f>ROUND(AD467-AN467,2)</f>
      </c>
      <c r="AY467" s="33">
        <f>ROUND(AE467-AO467,2)</f>
      </c>
      <c r="AZ467" s="33">
        <f>ROUND(MAX(0,'Your debts'!$D$22-SUM($L467:$U467)),2)</f>
      </c>
      <c r="BA467" s="33">
        <f>ROUND(SUM($B467:$K467)-SUM($AP466:$AY466),2)</f>
      </c>
      <c r="BB467" s="33">
        <f>SUM($AP467:$AY467)</f>
      </c>
      <c r="BC467" s="33">
        <f>ROUND(SUM($L467:$U467)+SUM($AF467:$AO467),2)</f>
      </c>
    </row>
    <row r="468" spans="1:55" x14ac:dyDescent="0.25">
      <c r="A468">
        <v>461</v>
      </c>
      <c r="B468" s="33">
        <f>IF(AP467&lt;=0,0,ROUND(AP467+ROUND(AP467*V$3/12,2),2))</f>
      </c>
      <c r="C468" s="33">
        <f>IF(AQ467&lt;=0,0,ROUND(AQ467+ROUND(AQ467*W$3/12,2),2))</f>
      </c>
      <c r="D468" s="33">
        <f>IF(AR467&lt;=0,0,ROUND(AR467+ROUND(AR467*X$3/12,2),2))</f>
      </c>
      <c r="E468" s="33">
        <f>IF(AS467&lt;=0,0,ROUND(AS467+ROUND(AS467*Y$3/12,2),2))</f>
      </c>
      <c r="F468" s="33">
        <f>IF(AT467&lt;=0,0,ROUND(AT467+ROUND(AT467*Z$3/12,2),2))</f>
      </c>
      <c r="G468" s="33">
        <f>IF(AU467&lt;=0,0,ROUND(AU467+ROUND(AU467*AA$3/12,2),2))</f>
      </c>
      <c r="H468" s="33">
        <f>IF(AV467&lt;=0,0,ROUND(AV467+ROUND(AV467*AB$3/12,2),2))</f>
      </c>
      <c r="I468" s="33">
        <f>IF(AW467&lt;=0,0,ROUND(AW467+ROUND(AW467*AC$3/12,2),2))</f>
      </c>
      <c r="J468" s="33">
        <f>IF(AX467&lt;=0,0,ROUND(AX467+ROUND(AX467*AD$3/12,2),2))</f>
      </c>
      <c r="K468" s="33">
        <f>IF(AY467&lt;=0,0,ROUND(AY467+ROUND(AY467*AE$3/12,2),2))</f>
      </c>
      <c r="L468" s="33">
        <f>ROUND(MIN(MAX(0,N('Your debts'!$E$6)),B468),2)</f>
      </c>
      <c r="M468" s="33">
        <f>ROUND(MIN(MAX(0,N('Your debts'!$E$7)),C468),2)</f>
      </c>
      <c r="N468" s="33">
        <f>ROUND(MIN(MAX(0,N('Your debts'!$E$8)),D468),2)</f>
      </c>
      <c r="O468" s="33">
        <f>ROUND(MIN(MAX(0,N('Your debts'!$E$9)),E468),2)</f>
      </c>
      <c r="P468" s="33">
        <f>ROUND(MIN(MAX(0,N('Your debts'!$E$10)),F468),2)</f>
      </c>
      <c r="Q468" s="33">
        <f>ROUND(MIN(MAX(0,N('Your debts'!$E$11)),G468),2)</f>
      </c>
      <c r="R468" s="33">
        <f>ROUND(MIN(MAX(0,N('Your debts'!$E$12)),H468),2)</f>
      </c>
      <c r="S468" s="33">
        <f>ROUND(MIN(MAX(0,N('Your debts'!$E$13)),I468),2)</f>
      </c>
      <c r="T468" s="33">
        <f>ROUND(MIN(MAX(0,N('Your debts'!$E$14)),J468),2)</f>
      </c>
      <c r="U468" s="33">
        <f>ROUND(MIN(MAX(0,N('Your debts'!$E$15)),K468),2)</f>
      </c>
      <c r="V468" s="33">
        <f>ROUND(B468-L468,2)</f>
      </c>
      <c r="W468" s="33">
        <f>ROUND(C468-M468,2)</f>
      </c>
      <c r="X468" s="33">
        <f>ROUND(D468-N468,2)</f>
      </c>
      <c r="Y468" s="33">
        <f>ROUND(E468-O468,2)</f>
      </c>
      <c r="Z468" s="33">
        <f>ROUND(F468-P468,2)</f>
      </c>
      <c r="AA468" s="33">
        <f>ROUND(G468-Q468,2)</f>
      </c>
      <c r="AB468" s="33">
        <f>ROUND(H468-R468,2)</f>
      </c>
      <c r="AC468" s="33">
        <f>ROUND(I468-S468,2)</f>
      </c>
      <c r="AD468" s="33">
        <f>ROUND(J468-T468,2)</f>
      </c>
      <c r="AE468" s="33">
        <f>ROUND(K468-U468,2)</f>
      </c>
      <c r="AF468" s="33">
        <f>IF(V468&lt;=0,0,MAX(0,MIN(V468,ROUND($AZ468-SUMPRODUCT($V468:$AE468*($V468:$AE468&gt;0)*(($V468:$AE468&lt;V468)+($V468:$AE468=V468)*($V$3:$AE$3&gt;V$3)+($V468:$AE468=V468)*($V$3:$AE$3=V$3)*($V$2:$AE$2&lt;V$2))),2))))</f>
      </c>
      <c r="AG468" s="33">
        <f>IF(W468&lt;=0,0,MAX(0,MIN(W468,ROUND($AZ468-SUMPRODUCT($V468:$AE468*($V468:$AE468&gt;0)*(($V468:$AE468&lt;W468)+($V468:$AE468=W468)*($V$3:$AE$3&gt;W$3)+($V468:$AE468=W468)*($V$3:$AE$3=W$3)*($V$2:$AE$2&lt;W$2))),2))))</f>
      </c>
      <c r="AH468" s="33">
        <f>IF(X468&lt;=0,0,MAX(0,MIN(X468,ROUND($AZ468-SUMPRODUCT($V468:$AE468*($V468:$AE468&gt;0)*(($V468:$AE468&lt;X468)+($V468:$AE468=X468)*($V$3:$AE$3&gt;X$3)+($V468:$AE468=X468)*($V$3:$AE$3=X$3)*($V$2:$AE$2&lt;X$2))),2))))</f>
      </c>
      <c r="AI468" s="33">
        <f>IF(Y468&lt;=0,0,MAX(0,MIN(Y468,ROUND($AZ468-SUMPRODUCT($V468:$AE468*($V468:$AE468&gt;0)*(($V468:$AE468&lt;Y468)+($V468:$AE468=Y468)*($V$3:$AE$3&gt;Y$3)+($V468:$AE468=Y468)*($V$3:$AE$3=Y$3)*($V$2:$AE$2&lt;Y$2))),2))))</f>
      </c>
      <c r="AJ468" s="33">
        <f>IF(Z468&lt;=0,0,MAX(0,MIN(Z468,ROUND($AZ468-SUMPRODUCT($V468:$AE468*($V468:$AE468&gt;0)*(($V468:$AE468&lt;Z468)+($V468:$AE468=Z468)*($V$3:$AE$3&gt;Z$3)+($V468:$AE468=Z468)*($V$3:$AE$3=Z$3)*($V$2:$AE$2&lt;Z$2))),2))))</f>
      </c>
      <c r="AK468" s="33">
        <f>IF(AA468&lt;=0,0,MAX(0,MIN(AA468,ROUND($AZ468-SUMPRODUCT($V468:$AE468*($V468:$AE468&gt;0)*(($V468:$AE468&lt;AA468)+($V468:$AE468=AA468)*($V$3:$AE$3&gt;AA$3)+($V468:$AE468=AA468)*($V$3:$AE$3=AA$3)*($V$2:$AE$2&lt;AA$2))),2))))</f>
      </c>
      <c r="AL468" s="33">
        <f>IF(AB468&lt;=0,0,MAX(0,MIN(AB468,ROUND($AZ468-SUMPRODUCT($V468:$AE468*($V468:$AE468&gt;0)*(($V468:$AE468&lt;AB468)+($V468:$AE468=AB468)*($V$3:$AE$3&gt;AB$3)+($V468:$AE468=AB468)*($V$3:$AE$3=AB$3)*($V$2:$AE$2&lt;AB$2))),2))))</f>
      </c>
      <c r="AM468" s="33">
        <f>IF(AC468&lt;=0,0,MAX(0,MIN(AC468,ROUND($AZ468-SUMPRODUCT($V468:$AE468*($V468:$AE468&gt;0)*(($V468:$AE468&lt;AC468)+($V468:$AE468=AC468)*($V$3:$AE$3&gt;AC$3)+($V468:$AE468=AC468)*($V$3:$AE$3=AC$3)*($V$2:$AE$2&lt;AC$2))),2))))</f>
      </c>
      <c r="AN468" s="33">
        <f>IF(AD468&lt;=0,0,MAX(0,MIN(AD468,ROUND($AZ468-SUMPRODUCT($V468:$AE468*($V468:$AE468&gt;0)*(($V468:$AE468&lt;AD468)+($V468:$AE468=AD468)*($V$3:$AE$3&gt;AD$3)+($V468:$AE468=AD468)*($V$3:$AE$3=AD$3)*($V$2:$AE$2&lt;AD$2))),2))))</f>
      </c>
      <c r="AO468" s="33">
        <f>IF(AE468&lt;=0,0,MAX(0,MIN(AE468,ROUND($AZ468-SUMPRODUCT($V468:$AE468*($V468:$AE468&gt;0)*(($V468:$AE468&lt;AE468)+($V468:$AE468=AE468)*($V$3:$AE$3&gt;AE$3)+($V468:$AE468=AE468)*($V$3:$AE$3=AE$3)*($V$2:$AE$2&lt;AE$2))),2))))</f>
      </c>
      <c r="AP468" s="33">
        <f>ROUND(V468-AF468,2)</f>
      </c>
      <c r="AQ468" s="33">
        <f>ROUND(W468-AG468,2)</f>
      </c>
      <c r="AR468" s="33">
        <f>ROUND(X468-AH468,2)</f>
      </c>
      <c r="AS468" s="33">
        <f>ROUND(Y468-AI468,2)</f>
      </c>
      <c r="AT468" s="33">
        <f>ROUND(Z468-AJ468,2)</f>
      </c>
      <c r="AU468" s="33">
        <f>ROUND(AA468-AK468,2)</f>
      </c>
      <c r="AV468" s="33">
        <f>ROUND(AB468-AL468,2)</f>
      </c>
      <c r="AW468" s="33">
        <f>ROUND(AC468-AM468,2)</f>
      </c>
      <c r="AX468" s="33">
        <f>ROUND(AD468-AN468,2)</f>
      </c>
      <c r="AY468" s="33">
        <f>ROUND(AE468-AO468,2)</f>
      </c>
      <c r="AZ468" s="33">
        <f>ROUND(MAX(0,'Your debts'!$D$22-SUM($L468:$U468)),2)</f>
      </c>
      <c r="BA468" s="33">
        <f>ROUND(SUM($B468:$K468)-SUM($AP467:$AY467),2)</f>
      </c>
      <c r="BB468" s="33">
        <f>SUM($AP468:$AY468)</f>
      </c>
      <c r="BC468" s="33">
        <f>ROUND(SUM($L468:$U468)+SUM($AF468:$AO468),2)</f>
      </c>
    </row>
    <row r="469" spans="1:55" x14ac:dyDescent="0.25">
      <c r="A469">
        <v>462</v>
      </c>
      <c r="B469" s="33">
        <f>IF(AP468&lt;=0,0,ROUND(AP468+ROUND(AP468*V$3/12,2),2))</f>
      </c>
      <c r="C469" s="33">
        <f>IF(AQ468&lt;=0,0,ROUND(AQ468+ROUND(AQ468*W$3/12,2),2))</f>
      </c>
      <c r="D469" s="33">
        <f>IF(AR468&lt;=0,0,ROUND(AR468+ROUND(AR468*X$3/12,2),2))</f>
      </c>
      <c r="E469" s="33">
        <f>IF(AS468&lt;=0,0,ROUND(AS468+ROUND(AS468*Y$3/12,2),2))</f>
      </c>
      <c r="F469" s="33">
        <f>IF(AT468&lt;=0,0,ROUND(AT468+ROUND(AT468*Z$3/12,2),2))</f>
      </c>
      <c r="G469" s="33">
        <f>IF(AU468&lt;=0,0,ROUND(AU468+ROUND(AU468*AA$3/12,2),2))</f>
      </c>
      <c r="H469" s="33">
        <f>IF(AV468&lt;=0,0,ROUND(AV468+ROUND(AV468*AB$3/12,2),2))</f>
      </c>
      <c r="I469" s="33">
        <f>IF(AW468&lt;=0,0,ROUND(AW468+ROUND(AW468*AC$3/12,2),2))</f>
      </c>
      <c r="J469" s="33">
        <f>IF(AX468&lt;=0,0,ROUND(AX468+ROUND(AX468*AD$3/12,2),2))</f>
      </c>
      <c r="K469" s="33">
        <f>IF(AY468&lt;=0,0,ROUND(AY468+ROUND(AY468*AE$3/12,2),2))</f>
      </c>
      <c r="L469" s="33">
        <f>ROUND(MIN(MAX(0,N('Your debts'!$E$6)),B469),2)</f>
      </c>
      <c r="M469" s="33">
        <f>ROUND(MIN(MAX(0,N('Your debts'!$E$7)),C469),2)</f>
      </c>
      <c r="N469" s="33">
        <f>ROUND(MIN(MAX(0,N('Your debts'!$E$8)),D469),2)</f>
      </c>
      <c r="O469" s="33">
        <f>ROUND(MIN(MAX(0,N('Your debts'!$E$9)),E469),2)</f>
      </c>
      <c r="P469" s="33">
        <f>ROUND(MIN(MAX(0,N('Your debts'!$E$10)),F469),2)</f>
      </c>
      <c r="Q469" s="33">
        <f>ROUND(MIN(MAX(0,N('Your debts'!$E$11)),G469),2)</f>
      </c>
      <c r="R469" s="33">
        <f>ROUND(MIN(MAX(0,N('Your debts'!$E$12)),H469),2)</f>
      </c>
      <c r="S469" s="33">
        <f>ROUND(MIN(MAX(0,N('Your debts'!$E$13)),I469),2)</f>
      </c>
      <c r="T469" s="33">
        <f>ROUND(MIN(MAX(0,N('Your debts'!$E$14)),J469),2)</f>
      </c>
      <c r="U469" s="33">
        <f>ROUND(MIN(MAX(0,N('Your debts'!$E$15)),K469),2)</f>
      </c>
      <c r="V469" s="33">
        <f>ROUND(B469-L469,2)</f>
      </c>
      <c r="W469" s="33">
        <f>ROUND(C469-M469,2)</f>
      </c>
      <c r="X469" s="33">
        <f>ROUND(D469-N469,2)</f>
      </c>
      <c r="Y469" s="33">
        <f>ROUND(E469-O469,2)</f>
      </c>
      <c r="Z469" s="33">
        <f>ROUND(F469-P469,2)</f>
      </c>
      <c r="AA469" s="33">
        <f>ROUND(G469-Q469,2)</f>
      </c>
      <c r="AB469" s="33">
        <f>ROUND(H469-R469,2)</f>
      </c>
      <c r="AC469" s="33">
        <f>ROUND(I469-S469,2)</f>
      </c>
      <c r="AD469" s="33">
        <f>ROUND(J469-T469,2)</f>
      </c>
      <c r="AE469" s="33">
        <f>ROUND(K469-U469,2)</f>
      </c>
      <c r="AF469" s="33">
        <f>IF(V469&lt;=0,0,MAX(0,MIN(V469,ROUND($AZ469-SUMPRODUCT($V469:$AE469*($V469:$AE469&gt;0)*(($V469:$AE469&lt;V469)+($V469:$AE469=V469)*($V$3:$AE$3&gt;V$3)+($V469:$AE469=V469)*($V$3:$AE$3=V$3)*($V$2:$AE$2&lt;V$2))),2))))</f>
      </c>
      <c r="AG469" s="33">
        <f>IF(W469&lt;=0,0,MAX(0,MIN(W469,ROUND($AZ469-SUMPRODUCT($V469:$AE469*($V469:$AE469&gt;0)*(($V469:$AE469&lt;W469)+($V469:$AE469=W469)*($V$3:$AE$3&gt;W$3)+($V469:$AE469=W469)*($V$3:$AE$3=W$3)*($V$2:$AE$2&lt;W$2))),2))))</f>
      </c>
      <c r="AH469" s="33">
        <f>IF(X469&lt;=0,0,MAX(0,MIN(X469,ROUND($AZ469-SUMPRODUCT($V469:$AE469*($V469:$AE469&gt;0)*(($V469:$AE469&lt;X469)+($V469:$AE469=X469)*($V$3:$AE$3&gt;X$3)+($V469:$AE469=X469)*($V$3:$AE$3=X$3)*($V$2:$AE$2&lt;X$2))),2))))</f>
      </c>
      <c r="AI469" s="33">
        <f>IF(Y469&lt;=0,0,MAX(0,MIN(Y469,ROUND($AZ469-SUMPRODUCT($V469:$AE469*($V469:$AE469&gt;0)*(($V469:$AE469&lt;Y469)+($V469:$AE469=Y469)*($V$3:$AE$3&gt;Y$3)+($V469:$AE469=Y469)*($V$3:$AE$3=Y$3)*($V$2:$AE$2&lt;Y$2))),2))))</f>
      </c>
      <c r="AJ469" s="33">
        <f>IF(Z469&lt;=0,0,MAX(0,MIN(Z469,ROUND($AZ469-SUMPRODUCT($V469:$AE469*($V469:$AE469&gt;0)*(($V469:$AE469&lt;Z469)+($V469:$AE469=Z469)*($V$3:$AE$3&gt;Z$3)+($V469:$AE469=Z469)*($V$3:$AE$3=Z$3)*($V$2:$AE$2&lt;Z$2))),2))))</f>
      </c>
      <c r="AK469" s="33">
        <f>IF(AA469&lt;=0,0,MAX(0,MIN(AA469,ROUND($AZ469-SUMPRODUCT($V469:$AE469*($V469:$AE469&gt;0)*(($V469:$AE469&lt;AA469)+($V469:$AE469=AA469)*($V$3:$AE$3&gt;AA$3)+($V469:$AE469=AA469)*($V$3:$AE$3=AA$3)*($V$2:$AE$2&lt;AA$2))),2))))</f>
      </c>
      <c r="AL469" s="33">
        <f>IF(AB469&lt;=0,0,MAX(0,MIN(AB469,ROUND($AZ469-SUMPRODUCT($V469:$AE469*($V469:$AE469&gt;0)*(($V469:$AE469&lt;AB469)+($V469:$AE469=AB469)*($V$3:$AE$3&gt;AB$3)+($V469:$AE469=AB469)*($V$3:$AE$3=AB$3)*($V$2:$AE$2&lt;AB$2))),2))))</f>
      </c>
      <c r="AM469" s="33">
        <f>IF(AC469&lt;=0,0,MAX(0,MIN(AC469,ROUND($AZ469-SUMPRODUCT($V469:$AE469*($V469:$AE469&gt;0)*(($V469:$AE469&lt;AC469)+($V469:$AE469=AC469)*($V$3:$AE$3&gt;AC$3)+($V469:$AE469=AC469)*($V$3:$AE$3=AC$3)*($V$2:$AE$2&lt;AC$2))),2))))</f>
      </c>
      <c r="AN469" s="33">
        <f>IF(AD469&lt;=0,0,MAX(0,MIN(AD469,ROUND($AZ469-SUMPRODUCT($V469:$AE469*($V469:$AE469&gt;0)*(($V469:$AE469&lt;AD469)+($V469:$AE469=AD469)*($V$3:$AE$3&gt;AD$3)+($V469:$AE469=AD469)*($V$3:$AE$3=AD$3)*($V$2:$AE$2&lt;AD$2))),2))))</f>
      </c>
      <c r="AO469" s="33">
        <f>IF(AE469&lt;=0,0,MAX(0,MIN(AE469,ROUND($AZ469-SUMPRODUCT($V469:$AE469*($V469:$AE469&gt;0)*(($V469:$AE469&lt;AE469)+($V469:$AE469=AE469)*($V$3:$AE$3&gt;AE$3)+($V469:$AE469=AE469)*($V$3:$AE$3=AE$3)*($V$2:$AE$2&lt;AE$2))),2))))</f>
      </c>
      <c r="AP469" s="33">
        <f>ROUND(V469-AF469,2)</f>
      </c>
      <c r="AQ469" s="33">
        <f>ROUND(W469-AG469,2)</f>
      </c>
      <c r="AR469" s="33">
        <f>ROUND(X469-AH469,2)</f>
      </c>
      <c r="AS469" s="33">
        <f>ROUND(Y469-AI469,2)</f>
      </c>
      <c r="AT469" s="33">
        <f>ROUND(Z469-AJ469,2)</f>
      </c>
      <c r="AU469" s="33">
        <f>ROUND(AA469-AK469,2)</f>
      </c>
      <c r="AV469" s="33">
        <f>ROUND(AB469-AL469,2)</f>
      </c>
      <c r="AW469" s="33">
        <f>ROUND(AC469-AM469,2)</f>
      </c>
      <c r="AX469" s="33">
        <f>ROUND(AD469-AN469,2)</f>
      </c>
      <c r="AY469" s="33">
        <f>ROUND(AE469-AO469,2)</f>
      </c>
      <c r="AZ469" s="33">
        <f>ROUND(MAX(0,'Your debts'!$D$22-SUM($L469:$U469)),2)</f>
      </c>
      <c r="BA469" s="33">
        <f>ROUND(SUM($B469:$K469)-SUM($AP468:$AY468),2)</f>
      </c>
      <c r="BB469" s="33">
        <f>SUM($AP469:$AY469)</f>
      </c>
      <c r="BC469" s="33">
        <f>ROUND(SUM($L469:$U469)+SUM($AF469:$AO469),2)</f>
      </c>
    </row>
    <row r="470" spans="1:55" x14ac:dyDescent="0.25">
      <c r="A470">
        <v>463</v>
      </c>
      <c r="B470" s="33">
        <f>IF(AP469&lt;=0,0,ROUND(AP469+ROUND(AP469*V$3/12,2),2))</f>
      </c>
      <c r="C470" s="33">
        <f>IF(AQ469&lt;=0,0,ROUND(AQ469+ROUND(AQ469*W$3/12,2),2))</f>
      </c>
      <c r="D470" s="33">
        <f>IF(AR469&lt;=0,0,ROUND(AR469+ROUND(AR469*X$3/12,2),2))</f>
      </c>
      <c r="E470" s="33">
        <f>IF(AS469&lt;=0,0,ROUND(AS469+ROUND(AS469*Y$3/12,2),2))</f>
      </c>
      <c r="F470" s="33">
        <f>IF(AT469&lt;=0,0,ROUND(AT469+ROUND(AT469*Z$3/12,2),2))</f>
      </c>
      <c r="G470" s="33">
        <f>IF(AU469&lt;=0,0,ROUND(AU469+ROUND(AU469*AA$3/12,2),2))</f>
      </c>
      <c r="H470" s="33">
        <f>IF(AV469&lt;=0,0,ROUND(AV469+ROUND(AV469*AB$3/12,2),2))</f>
      </c>
      <c r="I470" s="33">
        <f>IF(AW469&lt;=0,0,ROUND(AW469+ROUND(AW469*AC$3/12,2),2))</f>
      </c>
      <c r="J470" s="33">
        <f>IF(AX469&lt;=0,0,ROUND(AX469+ROUND(AX469*AD$3/12,2),2))</f>
      </c>
      <c r="K470" s="33">
        <f>IF(AY469&lt;=0,0,ROUND(AY469+ROUND(AY469*AE$3/12,2),2))</f>
      </c>
      <c r="L470" s="33">
        <f>ROUND(MIN(MAX(0,N('Your debts'!$E$6)),B470),2)</f>
      </c>
      <c r="M470" s="33">
        <f>ROUND(MIN(MAX(0,N('Your debts'!$E$7)),C470),2)</f>
      </c>
      <c r="N470" s="33">
        <f>ROUND(MIN(MAX(0,N('Your debts'!$E$8)),D470),2)</f>
      </c>
      <c r="O470" s="33">
        <f>ROUND(MIN(MAX(0,N('Your debts'!$E$9)),E470),2)</f>
      </c>
      <c r="P470" s="33">
        <f>ROUND(MIN(MAX(0,N('Your debts'!$E$10)),F470),2)</f>
      </c>
      <c r="Q470" s="33">
        <f>ROUND(MIN(MAX(0,N('Your debts'!$E$11)),G470),2)</f>
      </c>
      <c r="R470" s="33">
        <f>ROUND(MIN(MAX(0,N('Your debts'!$E$12)),H470),2)</f>
      </c>
      <c r="S470" s="33">
        <f>ROUND(MIN(MAX(0,N('Your debts'!$E$13)),I470),2)</f>
      </c>
      <c r="T470" s="33">
        <f>ROUND(MIN(MAX(0,N('Your debts'!$E$14)),J470),2)</f>
      </c>
      <c r="U470" s="33">
        <f>ROUND(MIN(MAX(0,N('Your debts'!$E$15)),K470),2)</f>
      </c>
      <c r="V470" s="33">
        <f>ROUND(B470-L470,2)</f>
      </c>
      <c r="W470" s="33">
        <f>ROUND(C470-M470,2)</f>
      </c>
      <c r="X470" s="33">
        <f>ROUND(D470-N470,2)</f>
      </c>
      <c r="Y470" s="33">
        <f>ROUND(E470-O470,2)</f>
      </c>
      <c r="Z470" s="33">
        <f>ROUND(F470-P470,2)</f>
      </c>
      <c r="AA470" s="33">
        <f>ROUND(G470-Q470,2)</f>
      </c>
      <c r="AB470" s="33">
        <f>ROUND(H470-R470,2)</f>
      </c>
      <c r="AC470" s="33">
        <f>ROUND(I470-S470,2)</f>
      </c>
      <c r="AD470" s="33">
        <f>ROUND(J470-T470,2)</f>
      </c>
      <c r="AE470" s="33">
        <f>ROUND(K470-U470,2)</f>
      </c>
      <c r="AF470" s="33">
        <f>IF(V470&lt;=0,0,MAX(0,MIN(V470,ROUND($AZ470-SUMPRODUCT($V470:$AE470*($V470:$AE470&gt;0)*(($V470:$AE470&lt;V470)+($V470:$AE470=V470)*($V$3:$AE$3&gt;V$3)+($V470:$AE470=V470)*($V$3:$AE$3=V$3)*($V$2:$AE$2&lt;V$2))),2))))</f>
      </c>
      <c r="AG470" s="33">
        <f>IF(W470&lt;=0,0,MAX(0,MIN(W470,ROUND($AZ470-SUMPRODUCT($V470:$AE470*($V470:$AE470&gt;0)*(($V470:$AE470&lt;W470)+($V470:$AE470=W470)*($V$3:$AE$3&gt;W$3)+($V470:$AE470=W470)*($V$3:$AE$3=W$3)*($V$2:$AE$2&lt;W$2))),2))))</f>
      </c>
      <c r="AH470" s="33">
        <f>IF(X470&lt;=0,0,MAX(0,MIN(X470,ROUND($AZ470-SUMPRODUCT($V470:$AE470*($V470:$AE470&gt;0)*(($V470:$AE470&lt;X470)+($V470:$AE470=X470)*($V$3:$AE$3&gt;X$3)+($V470:$AE470=X470)*($V$3:$AE$3=X$3)*($V$2:$AE$2&lt;X$2))),2))))</f>
      </c>
      <c r="AI470" s="33">
        <f>IF(Y470&lt;=0,0,MAX(0,MIN(Y470,ROUND($AZ470-SUMPRODUCT($V470:$AE470*($V470:$AE470&gt;0)*(($V470:$AE470&lt;Y470)+($V470:$AE470=Y470)*($V$3:$AE$3&gt;Y$3)+($V470:$AE470=Y470)*($V$3:$AE$3=Y$3)*($V$2:$AE$2&lt;Y$2))),2))))</f>
      </c>
      <c r="AJ470" s="33">
        <f>IF(Z470&lt;=0,0,MAX(0,MIN(Z470,ROUND($AZ470-SUMPRODUCT($V470:$AE470*($V470:$AE470&gt;0)*(($V470:$AE470&lt;Z470)+($V470:$AE470=Z470)*($V$3:$AE$3&gt;Z$3)+($V470:$AE470=Z470)*($V$3:$AE$3=Z$3)*($V$2:$AE$2&lt;Z$2))),2))))</f>
      </c>
      <c r="AK470" s="33">
        <f>IF(AA470&lt;=0,0,MAX(0,MIN(AA470,ROUND($AZ470-SUMPRODUCT($V470:$AE470*($V470:$AE470&gt;0)*(($V470:$AE470&lt;AA470)+($V470:$AE470=AA470)*($V$3:$AE$3&gt;AA$3)+($V470:$AE470=AA470)*($V$3:$AE$3=AA$3)*($V$2:$AE$2&lt;AA$2))),2))))</f>
      </c>
      <c r="AL470" s="33">
        <f>IF(AB470&lt;=0,0,MAX(0,MIN(AB470,ROUND($AZ470-SUMPRODUCT($V470:$AE470*($V470:$AE470&gt;0)*(($V470:$AE470&lt;AB470)+($V470:$AE470=AB470)*($V$3:$AE$3&gt;AB$3)+($V470:$AE470=AB470)*($V$3:$AE$3=AB$3)*($V$2:$AE$2&lt;AB$2))),2))))</f>
      </c>
      <c r="AM470" s="33">
        <f>IF(AC470&lt;=0,0,MAX(0,MIN(AC470,ROUND($AZ470-SUMPRODUCT($V470:$AE470*($V470:$AE470&gt;0)*(($V470:$AE470&lt;AC470)+($V470:$AE470=AC470)*($V$3:$AE$3&gt;AC$3)+($V470:$AE470=AC470)*($V$3:$AE$3=AC$3)*($V$2:$AE$2&lt;AC$2))),2))))</f>
      </c>
      <c r="AN470" s="33">
        <f>IF(AD470&lt;=0,0,MAX(0,MIN(AD470,ROUND($AZ470-SUMPRODUCT($V470:$AE470*($V470:$AE470&gt;0)*(($V470:$AE470&lt;AD470)+($V470:$AE470=AD470)*($V$3:$AE$3&gt;AD$3)+($V470:$AE470=AD470)*($V$3:$AE$3=AD$3)*($V$2:$AE$2&lt;AD$2))),2))))</f>
      </c>
      <c r="AO470" s="33">
        <f>IF(AE470&lt;=0,0,MAX(0,MIN(AE470,ROUND($AZ470-SUMPRODUCT($V470:$AE470*($V470:$AE470&gt;0)*(($V470:$AE470&lt;AE470)+($V470:$AE470=AE470)*($V$3:$AE$3&gt;AE$3)+($V470:$AE470=AE470)*($V$3:$AE$3=AE$3)*($V$2:$AE$2&lt;AE$2))),2))))</f>
      </c>
      <c r="AP470" s="33">
        <f>ROUND(V470-AF470,2)</f>
      </c>
      <c r="AQ470" s="33">
        <f>ROUND(W470-AG470,2)</f>
      </c>
      <c r="AR470" s="33">
        <f>ROUND(X470-AH470,2)</f>
      </c>
      <c r="AS470" s="33">
        <f>ROUND(Y470-AI470,2)</f>
      </c>
      <c r="AT470" s="33">
        <f>ROUND(Z470-AJ470,2)</f>
      </c>
      <c r="AU470" s="33">
        <f>ROUND(AA470-AK470,2)</f>
      </c>
      <c r="AV470" s="33">
        <f>ROUND(AB470-AL470,2)</f>
      </c>
      <c r="AW470" s="33">
        <f>ROUND(AC470-AM470,2)</f>
      </c>
      <c r="AX470" s="33">
        <f>ROUND(AD470-AN470,2)</f>
      </c>
      <c r="AY470" s="33">
        <f>ROUND(AE470-AO470,2)</f>
      </c>
      <c r="AZ470" s="33">
        <f>ROUND(MAX(0,'Your debts'!$D$22-SUM($L470:$U470)),2)</f>
      </c>
      <c r="BA470" s="33">
        <f>ROUND(SUM($B470:$K470)-SUM($AP469:$AY469),2)</f>
      </c>
      <c r="BB470" s="33">
        <f>SUM($AP470:$AY470)</f>
      </c>
      <c r="BC470" s="33">
        <f>ROUND(SUM($L470:$U470)+SUM($AF470:$AO470),2)</f>
      </c>
    </row>
    <row r="471" spans="1:55" x14ac:dyDescent="0.25">
      <c r="A471">
        <v>464</v>
      </c>
      <c r="B471" s="33">
        <f>IF(AP470&lt;=0,0,ROUND(AP470+ROUND(AP470*V$3/12,2),2))</f>
      </c>
      <c r="C471" s="33">
        <f>IF(AQ470&lt;=0,0,ROUND(AQ470+ROUND(AQ470*W$3/12,2),2))</f>
      </c>
      <c r="D471" s="33">
        <f>IF(AR470&lt;=0,0,ROUND(AR470+ROUND(AR470*X$3/12,2),2))</f>
      </c>
      <c r="E471" s="33">
        <f>IF(AS470&lt;=0,0,ROUND(AS470+ROUND(AS470*Y$3/12,2),2))</f>
      </c>
      <c r="F471" s="33">
        <f>IF(AT470&lt;=0,0,ROUND(AT470+ROUND(AT470*Z$3/12,2),2))</f>
      </c>
      <c r="G471" s="33">
        <f>IF(AU470&lt;=0,0,ROUND(AU470+ROUND(AU470*AA$3/12,2),2))</f>
      </c>
      <c r="H471" s="33">
        <f>IF(AV470&lt;=0,0,ROUND(AV470+ROUND(AV470*AB$3/12,2),2))</f>
      </c>
      <c r="I471" s="33">
        <f>IF(AW470&lt;=0,0,ROUND(AW470+ROUND(AW470*AC$3/12,2),2))</f>
      </c>
      <c r="J471" s="33">
        <f>IF(AX470&lt;=0,0,ROUND(AX470+ROUND(AX470*AD$3/12,2),2))</f>
      </c>
      <c r="K471" s="33">
        <f>IF(AY470&lt;=0,0,ROUND(AY470+ROUND(AY470*AE$3/12,2),2))</f>
      </c>
      <c r="L471" s="33">
        <f>ROUND(MIN(MAX(0,N('Your debts'!$E$6)),B471),2)</f>
      </c>
      <c r="M471" s="33">
        <f>ROUND(MIN(MAX(0,N('Your debts'!$E$7)),C471),2)</f>
      </c>
      <c r="N471" s="33">
        <f>ROUND(MIN(MAX(0,N('Your debts'!$E$8)),D471),2)</f>
      </c>
      <c r="O471" s="33">
        <f>ROUND(MIN(MAX(0,N('Your debts'!$E$9)),E471),2)</f>
      </c>
      <c r="P471" s="33">
        <f>ROUND(MIN(MAX(0,N('Your debts'!$E$10)),F471),2)</f>
      </c>
      <c r="Q471" s="33">
        <f>ROUND(MIN(MAX(0,N('Your debts'!$E$11)),G471),2)</f>
      </c>
      <c r="R471" s="33">
        <f>ROUND(MIN(MAX(0,N('Your debts'!$E$12)),H471),2)</f>
      </c>
      <c r="S471" s="33">
        <f>ROUND(MIN(MAX(0,N('Your debts'!$E$13)),I471),2)</f>
      </c>
      <c r="T471" s="33">
        <f>ROUND(MIN(MAX(0,N('Your debts'!$E$14)),J471),2)</f>
      </c>
      <c r="U471" s="33">
        <f>ROUND(MIN(MAX(0,N('Your debts'!$E$15)),K471),2)</f>
      </c>
      <c r="V471" s="33">
        <f>ROUND(B471-L471,2)</f>
      </c>
      <c r="W471" s="33">
        <f>ROUND(C471-M471,2)</f>
      </c>
      <c r="X471" s="33">
        <f>ROUND(D471-N471,2)</f>
      </c>
      <c r="Y471" s="33">
        <f>ROUND(E471-O471,2)</f>
      </c>
      <c r="Z471" s="33">
        <f>ROUND(F471-P471,2)</f>
      </c>
      <c r="AA471" s="33">
        <f>ROUND(G471-Q471,2)</f>
      </c>
      <c r="AB471" s="33">
        <f>ROUND(H471-R471,2)</f>
      </c>
      <c r="AC471" s="33">
        <f>ROUND(I471-S471,2)</f>
      </c>
      <c r="AD471" s="33">
        <f>ROUND(J471-T471,2)</f>
      </c>
      <c r="AE471" s="33">
        <f>ROUND(K471-U471,2)</f>
      </c>
      <c r="AF471" s="33">
        <f>IF(V471&lt;=0,0,MAX(0,MIN(V471,ROUND($AZ471-SUMPRODUCT($V471:$AE471*($V471:$AE471&gt;0)*(($V471:$AE471&lt;V471)+($V471:$AE471=V471)*($V$3:$AE$3&gt;V$3)+($V471:$AE471=V471)*($V$3:$AE$3=V$3)*($V$2:$AE$2&lt;V$2))),2))))</f>
      </c>
      <c r="AG471" s="33">
        <f>IF(W471&lt;=0,0,MAX(0,MIN(W471,ROUND($AZ471-SUMPRODUCT($V471:$AE471*($V471:$AE471&gt;0)*(($V471:$AE471&lt;W471)+($V471:$AE471=W471)*($V$3:$AE$3&gt;W$3)+($V471:$AE471=W471)*($V$3:$AE$3=W$3)*($V$2:$AE$2&lt;W$2))),2))))</f>
      </c>
      <c r="AH471" s="33">
        <f>IF(X471&lt;=0,0,MAX(0,MIN(X471,ROUND($AZ471-SUMPRODUCT($V471:$AE471*($V471:$AE471&gt;0)*(($V471:$AE471&lt;X471)+($V471:$AE471=X471)*($V$3:$AE$3&gt;X$3)+($V471:$AE471=X471)*($V$3:$AE$3=X$3)*($V$2:$AE$2&lt;X$2))),2))))</f>
      </c>
      <c r="AI471" s="33">
        <f>IF(Y471&lt;=0,0,MAX(0,MIN(Y471,ROUND($AZ471-SUMPRODUCT($V471:$AE471*($V471:$AE471&gt;0)*(($V471:$AE471&lt;Y471)+($V471:$AE471=Y471)*($V$3:$AE$3&gt;Y$3)+($V471:$AE471=Y471)*($V$3:$AE$3=Y$3)*($V$2:$AE$2&lt;Y$2))),2))))</f>
      </c>
      <c r="AJ471" s="33">
        <f>IF(Z471&lt;=0,0,MAX(0,MIN(Z471,ROUND($AZ471-SUMPRODUCT($V471:$AE471*($V471:$AE471&gt;0)*(($V471:$AE471&lt;Z471)+($V471:$AE471=Z471)*($V$3:$AE$3&gt;Z$3)+($V471:$AE471=Z471)*($V$3:$AE$3=Z$3)*($V$2:$AE$2&lt;Z$2))),2))))</f>
      </c>
      <c r="AK471" s="33">
        <f>IF(AA471&lt;=0,0,MAX(0,MIN(AA471,ROUND($AZ471-SUMPRODUCT($V471:$AE471*($V471:$AE471&gt;0)*(($V471:$AE471&lt;AA471)+($V471:$AE471=AA471)*($V$3:$AE$3&gt;AA$3)+($V471:$AE471=AA471)*($V$3:$AE$3=AA$3)*($V$2:$AE$2&lt;AA$2))),2))))</f>
      </c>
      <c r="AL471" s="33">
        <f>IF(AB471&lt;=0,0,MAX(0,MIN(AB471,ROUND($AZ471-SUMPRODUCT($V471:$AE471*($V471:$AE471&gt;0)*(($V471:$AE471&lt;AB471)+($V471:$AE471=AB471)*($V$3:$AE$3&gt;AB$3)+($V471:$AE471=AB471)*($V$3:$AE$3=AB$3)*($V$2:$AE$2&lt;AB$2))),2))))</f>
      </c>
      <c r="AM471" s="33">
        <f>IF(AC471&lt;=0,0,MAX(0,MIN(AC471,ROUND($AZ471-SUMPRODUCT($V471:$AE471*($V471:$AE471&gt;0)*(($V471:$AE471&lt;AC471)+($V471:$AE471=AC471)*($V$3:$AE$3&gt;AC$3)+($V471:$AE471=AC471)*($V$3:$AE$3=AC$3)*($V$2:$AE$2&lt;AC$2))),2))))</f>
      </c>
      <c r="AN471" s="33">
        <f>IF(AD471&lt;=0,0,MAX(0,MIN(AD471,ROUND($AZ471-SUMPRODUCT($V471:$AE471*($V471:$AE471&gt;0)*(($V471:$AE471&lt;AD471)+($V471:$AE471=AD471)*($V$3:$AE$3&gt;AD$3)+($V471:$AE471=AD471)*($V$3:$AE$3=AD$3)*($V$2:$AE$2&lt;AD$2))),2))))</f>
      </c>
      <c r="AO471" s="33">
        <f>IF(AE471&lt;=0,0,MAX(0,MIN(AE471,ROUND($AZ471-SUMPRODUCT($V471:$AE471*($V471:$AE471&gt;0)*(($V471:$AE471&lt;AE471)+($V471:$AE471=AE471)*($V$3:$AE$3&gt;AE$3)+($V471:$AE471=AE471)*($V$3:$AE$3=AE$3)*($V$2:$AE$2&lt;AE$2))),2))))</f>
      </c>
      <c r="AP471" s="33">
        <f>ROUND(V471-AF471,2)</f>
      </c>
      <c r="AQ471" s="33">
        <f>ROUND(W471-AG471,2)</f>
      </c>
      <c r="AR471" s="33">
        <f>ROUND(X471-AH471,2)</f>
      </c>
      <c r="AS471" s="33">
        <f>ROUND(Y471-AI471,2)</f>
      </c>
      <c r="AT471" s="33">
        <f>ROUND(Z471-AJ471,2)</f>
      </c>
      <c r="AU471" s="33">
        <f>ROUND(AA471-AK471,2)</f>
      </c>
      <c r="AV471" s="33">
        <f>ROUND(AB471-AL471,2)</f>
      </c>
      <c r="AW471" s="33">
        <f>ROUND(AC471-AM471,2)</f>
      </c>
      <c r="AX471" s="33">
        <f>ROUND(AD471-AN471,2)</f>
      </c>
      <c r="AY471" s="33">
        <f>ROUND(AE471-AO471,2)</f>
      </c>
      <c r="AZ471" s="33">
        <f>ROUND(MAX(0,'Your debts'!$D$22-SUM($L471:$U471)),2)</f>
      </c>
      <c r="BA471" s="33">
        <f>ROUND(SUM($B471:$K471)-SUM($AP470:$AY470),2)</f>
      </c>
      <c r="BB471" s="33">
        <f>SUM($AP471:$AY471)</f>
      </c>
      <c r="BC471" s="33">
        <f>ROUND(SUM($L471:$U471)+SUM($AF471:$AO471),2)</f>
      </c>
    </row>
    <row r="472" spans="1:55" x14ac:dyDescent="0.25">
      <c r="A472">
        <v>465</v>
      </c>
      <c r="B472" s="33">
        <f>IF(AP471&lt;=0,0,ROUND(AP471+ROUND(AP471*V$3/12,2),2))</f>
      </c>
      <c r="C472" s="33">
        <f>IF(AQ471&lt;=0,0,ROUND(AQ471+ROUND(AQ471*W$3/12,2),2))</f>
      </c>
      <c r="D472" s="33">
        <f>IF(AR471&lt;=0,0,ROUND(AR471+ROUND(AR471*X$3/12,2),2))</f>
      </c>
      <c r="E472" s="33">
        <f>IF(AS471&lt;=0,0,ROUND(AS471+ROUND(AS471*Y$3/12,2),2))</f>
      </c>
      <c r="F472" s="33">
        <f>IF(AT471&lt;=0,0,ROUND(AT471+ROUND(AT471*Z$3/12,2),2))</f>
      </c>
      <c r="G472" s="33">
        <f>IF(AU471&lt;=0,0,ROUND(AU471+ROUND(AU471*AA$3/12,2),2))</f>
      </c>
      <c r="H472" s="33">
        <f>IF(AV471&lt;=0,0,ROUND(AV471+ROUND(AV471*AB$3/12,2),2))</f>
      </c>
      <c r="I472" s="33">
        <f>IF(AW471&lt;=0,0,ROUND(AW471+ROUND(AW471*AC$3/12,2),2))</f>
      </c>
      <c r="J472" s="33">
        <f>IF(AX471&lt;=0,0,ROUND(AX471+ROUND(AX471*AD$3/12,2),2))</f>
      </c>
      <c r="K472" s="33">
        <f>IF(AY471&lt;=0,0,ROUND(AY471+ROUND(AY471*AE$3/12,2),2))</f>
      </c>
      <c r="L472" s="33">
        <f>ROUND(MIN(MAX(0,N('Your debts'!$E$6)),B472),2)</f>
      </c>
      <c r="M472" s="33">
        <f>ROUND(MIN(MAX(0,N('Your debts'!$E$7)),C472),2)</f>
      </c>
      <c r="N472" s="33">
        <f>ROUND(MIN(MAX(0,N('Your debts'!$E$8)),D472),2)</f>
      </c>
      <c r="O472" s="33">
        <f>ROUND(MIN(MAX(0,N('Your debts'!$E$9)),E472),2)</f>
      </c>
      <c r="P472" s="33">
        <f>ROUND(MIN(MAX(0,N('Your debts'!$E$10)),F472),2)</f>
      </c>
      <c r="Q472" s="33">
        <f>ROUND(MIN(MAX(0,N('Your debts'!$E$11)),G472),2)</f>
      </c>
      <c r="R472" s="33">
        <f>ROUND(MIN(MAX(0,N('Your debts'!$E$12)),H472),2)</f>
      </c>
      <c r="S472" s="33">
        <f>ROUND(MIN(MAX(0,N('Your debts'!$E$13)),I472),2)</f>
      </c>
      <c r="T472" s="33">
        <f>ROUND(MIN(MAX(0,N('Your debts'!$E$14)),J472),2)</f>
      </c>
      <c r="U472" s="33">
        <f>ROUND(MIN(MAX(0,N('Your debts'!$E$15)),K472),2)</f>
      </c>
      <c r="V472" s="33">
        <f>ROUND(B472-L472,2)</f>
      </c>
      <c r="W472" s="33">
        <f>ROUND(C472-M472,2)</f>
      </c>
      <c r="X472" s="33">
        <f>ROUND(D472-N472,2)</f>
      </c>
      <c r="Y472" s="33">
        <f>ROUND(E472-O472,2)</f>
      </c>
      <c r="Z472" s="33">
        <f>ROUND(F472-P472,2)</f>
      </c>
      <c r="AA472" s="33">
        <f>ROUND(G472-Q472,2)</f>
      </c>
      <c r="AB472" s="33">
        <f>ROUND(H472-R472,2)</f>
      </c>
      <c r="AC472" s="33">
        <f>ROUND(I472-S472,2)</f>
      </c>
      <c r="AD472" s="33">
        <f>ROUND(J472-T472,2)</f>
      </c>
      <c r="AE472" s="33">
        <f>ROUND(K472-U472,2)</f>
      </c>
      <c r="AF472" s="33">
        <f>IF(V472&lt;=0,0,MAX(0,MIN(V472,ROUND($AZ472-SUMPRODUCT($V472:$AE472*($V472:$AE472&gt;0)*(($V472:$AE472&lt;V472)+($V472:$AE472=V472)*($V$3:$AE$3&gt;V$3)+($V472:$AE472=V472)*($V$3:$AE$3=V$3)*($V$2:$AE$2&lt;V$2))),2))))</f>
      </c>
      <c r="AG472" s="33">
        <f>IF(W472&lt;=0,0,MAX(0,MIN(W472,ROUND($AZ472-SUMPRODUCT($V472:$AE472*($V472:$AE472&gt;0)*(($V472:$AE472&lt;W472)+($V472:$AE472=W472)*($V$3:$AE$3&gt;W$3)+($V472:$AE472=W472)*($V$3:$AE$3=W$3)*($V$2:$AE$2&lt;W$2))),2))))</f>
      </c>
      <c r="AH472" s="33">
        <f>IF(X472&lt;=0,0,MAX(0,MIN(X472,ROUND($AZ472-SUMPRODUCT($V472:$AE472*($V472:$AE472&gt;0)*(($V472:$AE472&lt;X472)+($V472:$AE472=X472)*($V$3:$AE$3&gt;X$3)+($V472:$AE472=X472)*($V$3:$AE$3=X$3)*($V$2:$AE$2&lt;X$2))),2))))</f>
      </c>
      <c r="AI472" s="33">
        <f>IF(Y472&lt;=0,0,MAX(0,MIN(Y472,ROUND($AZ472-SUMPRODUCT($V472:$AE472*($V472:$AE472&gt;0)*(($V472:$AE472&lt;Y472)+($V472:$AE472=Y472)*($V$3:$AE$3&gt;Y$3)+($V472:$AE472=Y472)*($V$3:$AE$3=Y$3)*($V$2:$AE$2&lt;Y$2))),2))))</f>
      </c>
      <c r="AJ472" s="33">
        <f>IF(Z472&lt;=0,0,MAX(0,MIN(Z472,ROUND($AZ472-SUMPRODUCT($V472:$AE472*($V472:$AE472&gt;0)*(($V472:$AE472&lt;Z472)+($V472:$AE472=Z472)*($V$3:$AE$3&gt;Z$3)+($V472:$AE472=Z472)*($V$3:$AE$3=Z$3)*($V$2:$AE$2&lt;Z$2))),2))))</f>
      </c>
      <c r="AK472" s="33">
        <f>IF(AA472&lt;=0,0,MAX(0,MIN(AA472,ROUND($AZ472-SUMPRODUCT($V472:$AE472*($V472:$AE472&gt;0)*(($V472:$AE472&lt;AA472)+($V472:$AE472=AA472)*($V$3:$AE$3&gt;AA$3)+($V472:$AE472=AA472)*($V$3:$AE$3=AA$3)*($V$2:$AE$2&lt;AA$2))),2))))</f>
      </c>
      <c r="AL472" s="33">
        <f>IF(AB472&lt;=0,0,MAX(0,MIN(AB472,ROUND($AZ472-SUMPRODUCT($V472:$AE472*($V472:$AE472&gt;0)*(($V472:$AE472&lt;AB472)+($V472:$AE472=AB472)*($V$3:$AE$3&gt;AB$3)+($V472:$AE472=AB472)*($V$3:$AE$3=AB$3)*($V$2:$AE$2&lt;AB$2))),2))))</f>
      </c>
      <c r="AM472" s="33">
        <f>IF(AC472&lt;=0,0,MAX(0,MIN(AC472,ROUND($AZ472-SUMPRODUCT($V472:$AE472*($V472:$AE472&gt;0)*(($V472:$AE472&lt;AC472)+($V472:$AE472=AC472)*($V$3:$AE$3&gt;AC$3)+($V472:$AE472=AC472)*($V$3:$AE$3=AC$3)*($V$2:$AE$2&lt;AC$2))),2))))</f>
      </c>
      <c r="AN472" s="33">
        <f>IF(AD472&lt;=0,0,MAX(0,MIN(AD472,ROUND($AZ472-SUMPRODUCT($V472:$AE472*($V472:$AE472&gt;0)*(($V472:$AE472&lt;AD472)+($V472:$AE472=AD472)*($V$3:$AE$3&gt;AD$3)+($V472:$AE472=AD472)*($V$3:$AE$3=AD$3)*($V$2:$AE$2&lt;AD$2))),2))))</f>
      </c>
      <c r="AO472" s="33">
        <f>IF(AE472&lt;=0,0,MAX(0,MIN(AE472,ROUND($AZ472-SUMPRODUCT($V472:$AE472*($V472:$AE472&gt;0)*(($V472:$AE472&lt;AE472)+($V472:$AE472=AE472)*($V$3:$AE$3&gt;AE$3)+($V472:$AE472=AE472)*($V$3:$AE$3=AE$3)*($V$2:$AE$2&lt;AE$2))),2))))</f>
      </c>
      <c r="AP472" s="33">
        <f>ROUND(V472-AF472,2)</f>
      </c>
      <c r="AQ472" s="33">
        <f>ROUND(W472-AG472,2)</f>
      </c>
      <c r="AR472" s="33">
        <f>ROUND(X472-AH472,2)</f>
      </c>
      <c r="AS472" s="33">
        <f>ROUND(Y472-AI472,2)</f>
      </c>
      <c r="AT472" s="33">
        <f>ROUND(Z472-AJ472,2)</f>
      </c>
      <c r="AU472" s="33">
        <f>ROUND(AA472-AK472,2)</f>
      </c>
      <c r="AV472" s="33">
        <f>ROUND(AB472-AL472,2)</f>
      </c>
      <c r="AW472" s="33">
        <f>ROUND(AC472-AM472,2)</f>
      </c>
      <c r="AX472" s="33">
        <f>ROUND(AD472-AN472,2)</f>
      </c>
      <c r="AY472" s="33">
        <f>ROUND(AE472-AO472,2)</f>
      </c>
      <c r="AZ472" s="33">
        <f>ROUND(MAX(0,'Your debts'!$D$22-SUM($L472:$U472)),2)</f>
      </c>
      <c r="BA472" s="33">
        <f>ROUND(SUM($B472:$K472)-SUM($AP471:$AY471),2)</f>
      </c>
      <c r="BB472" s="33">
        <f>SUM($AP472:$AY472)</f>
      </c>
      <c r="BC472" s="33">
        <f>ROUND(SUM($L472:$U472)+SUM($AF472:$AO472),2)</f>
      </c>
    </row>
    <row r="473" spans="1:55" x14ac:dyDescent="0.25">
      <c r="A473">
        <v>466</v>
      </c>
      <c r="B473" s="33">
        <f>IF(AP472&lt;=0,0,ROUND(AP472+ROUND(AP472*V$3/12,2),2))</f>
      </c>
      <c r="C473" s="33">
        <f>IF(AQ472&lt;=0,0,ROUND(AQ472+ROUND(AQ472*W$3/12,2),2))</f>
      </c>
      <c r="D473" s="33">
        <f>IF(AR472&lt;=0,0,ROUND(AR472+ROUND(AR472*X$3/12,2),2))</f>
      </c>
      <c r="E473" s="33">
        <f>IF(AS472&lt;=0,0,ROUND(AS472+ROUND(AS472*Y$3/12,2),2))</f>
      </c>
      <c r="F473" s="33">
        <f>IF(AT472&lt;=0,0,ROUND(AT472+ROUND(AT472*Z$3/12,2),2))</f>
      </c>
      <c r="G473" s="33">
        <f>IF(AU472&lt;=0,0,ROUND(AU472+ROUND(AU472*AA$3/12,2),2))</f>
      </c>
      <c r="H473" s="33">
        <f>IF(AV472&lt;=0,0,ROUND(AV472+ROUND(AV472*AB$3/12,2),2))</f>
      </c>
      <c r="I473" s="33">
        <f>IF(AW472&lt;=0,0,ROUND(AW472+ROUND(AW472*AC$3/12,2),2))</f>
      </c>
      <c r="J473" s="33">
        <f>IF(AX472&lt;=0,0,ROUND(AX472+ROUND(AX472*AD$3/12,2),2))</f>
      </c>
      <c r="K473" s="33">
        <f>IF(AY472&lt;=0,0,ROUND(AY472+ROUND(AY472*AE$3/12,2),2))</f>
      </c>
      <c r="L473" s="33">
        <f>ROUND(MIN(MAX(0,N('Your debts'!$E$6)),B473),2)</f>
      </c>
      <c r="M473" s="33">
        <f>ROUND(MIN(MAX(0,N('Your debts'!$E$7)),C473),2)</f>
      </c>
      <c r="N473" s="33">
        <f>ROUND(MIN(MAX(0,N('Your debts'!$E$8)),D473),2)</f>
      </c>
      <c r="O473" s="33">
        <f>ROUND(MIN(MAX(0,N('Your debts'!$E$9)),E473),2)</f>
      </c>
      <c r="P473" s="33">
        <f>ROUND(MIN(MAX(0,N('Your debts'!$E$10)),F473),2)</f>
      </c>
      <c r="Q473" s="33">
        <f>ROUND(MIN(MAX(0,N('Your debts'!$E$11)),G473),2)</f>
      </c>
      <c r="R473" s="33">
        <f>ROUND(MIN(MAX(0,N('Your debts'!$E$12)),H473),2)</f>
      </c>
      <c r="S473" s="33">
        <f>ROUND(MIN(MAX(0,N('Your debts'!$E$13)),I473),2)</f>
      </c>
      <c r="T473" s="33">
        <f>ROUND(MIN(MAX(0,N('Your debts'!$E$14)),J473),2)</f>
      </c>
      <c r="U473" s="33">
        <f>ROUND(MIN(MAX(0,N('Your debts'!$E$15)),K473),2)</f>
      </c>
      <c r="V473" s="33">
        <f>ROUND(B473-L473,2)</f>
      </c>
      <c r="W473" s="33">
        <f>ROUND(C473-M473,2)</f>
      </c>
      <c r="X473" s="33">
        <f>ROUND(D473-N473,2)</f>
      </c>
      <c r="Y473" s="33">
        <f>ROUND(E473-O473,2)</f>
      </c>
      <c r="Z473" s="33">
        <f>ROUND(F473-P473,2)</f>
      </c>
      <c r="AA473" s="33">
        <f>ROUND(G473-Q473,2)</f>
      </c>
      <c r="AB473" s="33">
        <f>ROUND(H473-R473,2)</f>
      </c>
      <c r="AC473" s="33">
        <f>ROUND(I473-S473,2)</f>
      </c>
      <c r="AD473" s="33">
        <f>ROUND(J473-T473,2)</f>
      </c>
      <c r="AE473" s="33">
        <f>ROUND(K473-U473,2)</f>
      </c>
      <c r="AF473" s="33">
        <f>IF(V473&lt;=0,0,MAX(0,MIN(V473,ROUND($AZ473-SUMPRODUCT($V473:$AE473*($V473:$AE473&gt;0)*(($V473:$AE473&lt;V473)+($V473:$AE473=V473)*($V$3:$AE$3&gt;V$3)+($V473:$AE473=V473)*($V$3:$AE$3=V$3)*($V$2:$AE$2&lt;V$2))),2))))</f>
      </c>
      <c r="AG473" s="33">
        <f>IF(W473&lt;=0,0,MAX(0,MIN(W473,ROUND($AZ473-SUMPRODUCT($V473:$AE473*($V473:$AE473&gt;0)*(($V473:$AE473&lt;W473)+($V473:$AE473=W473)*($V$3:$AE$3&gt;W$3)+($V473:$AE473=W473)*($V$3:$AE$3=W$3)*($V$2:$AE$2&lt;W$2))),2))))</f>
      </c>
      <c r="AH473" s="33">
        <f>IF(X473&lt;=0,0,MAX(0,MIN(X473,ROUND($AZ473-SUMPRODUCT($V473:$AE473*($V473:$AE473&gt;0)*(($V473:$AE473&lt;X473)+($V473:$AE473=X473)*($V$3:$AE$3&gt;X$3)+($V473:$AE473=X473)*($V$3:$AE$3=X$3)*($V$2:$AE$2&lt;X$2))),2))))</f>
      </c>
      <c r="AI473" s="33">
        <f>IF(Y473&lt;=0,0,MAX(0,MIN(Y473,ROUND($AZ473-SUMPRODUCT($V473:$AE473*($V473:$AE473&gt;0)*(($V473:$AE473&lt;Y473)+($V473:$AE473=Y473)*($V$3:$AE$3&gt;Y$3)+($V473:$AE473=Y473)*($V$3:$AE$3=Y$3)*($V$2:$AE$2&lt;Y$2))),2))))</f>
      </c>
      <c r="AJ473" s="33">
        <f>IF(Z473&lt;=0,0,MAX(0,MIN(Z473,ROUND($AZ473-SUMPRODUCT($V473:$AE473*($V473:$AE473&gt;0)*(($V473:$AE473&lt;Z473)+($V473:$AE473=Z473)*($V$3:$AE$3&gt;Z$3)+($V473:$AE473=Z473)*($V$3:$AE$3=Z$3)*($V$2:$AE$2&lt;Z$2))),2))))</f>
      </c>
      <c r="AK473" s="33">
        <f>IF(AA473&lt;=0,0,MAX(0,MIN(AA473,ROUND($AZ473-SUMPRODUCT($V473:$AE473*($V473:$AE473&gt;0)*(($V473:$AE473&lt;AA473)+($V473:$AE473=AA473)*($V$3:$AE$3&gt;AA$3)+($V473:$AE473=AA473)*($V$3:$AE$3=AA$3)*($V$2:$AE$2&lt;AA$2))),2))))</f>
      </c>
      <c r="AL473" s="33">
        <f>IF(AB473&lt;=0,0,MAX(0,MIN(AB473,ROUND($AZ473-SUMPRODUCT($V473:$AE473*($V473:$AE473&gt;0)*(($V473:$AE473&lt;AB473)+($V473:$AE473=AB473)*($V$3:$AE$3&gt;AB$3)+($V473:$AE473=AB473)*($V$3:$AE$3=AB$3)*($V$2:$AE$2&lt;AB$2))),2))))</f>
      </c>
      <c r="AM473" s="33">
        <f>IF(AC473&lt;=0,0,MAX(0,MIN(AC473,ROUND($AZ473-SUMPRODUCT($V473:$AE473*($V473:$AE473&gt;0)*(($V473:$AE473&lt;AC473)+($V473:$AE473=AC473)*($V$3:$AE$3&gt;AC$3)+($V473:$AE473=AC473)*($V$3:$AE$3=AC$3)*($V$2:$AE$2&lt;AC$2))),2))))</f>
      </c>
      <c r="AN473" s="33">
        <f>IF(AD473&lt;=0,0,MAX(0,MIN(AD473,ROUND($AZ473-SUMPRODUCT($V473:$AE473*($V473:$AE473&gt;0)*(($V473:$AE473&lt;AD473)+($V473:$AE473=AD473)*($V$3:$AE$3&gt;AD$3)+($V473:$AE473=AD473)*($V$3:$AE$3=AD$3)*($V$2:$AE$2&lt;AD$2))),2))))</f>
      </c>
      <c r="AO473" s="33">
        <f>IF(AE473&lt;=0,0,MAX(0,MIN(AE473,ROUND($AZ473-SUMPRODUCT($V473:$AE473*($V473:$AE473&gt;0)*(($V473:$AE473&lt;AE473)+($V473:$AE473=AE473)*($V$3:$AE$3&gt;AE$3)+($V473:$AE473=AE473)*($V$3:$AE$3=AE$3)*($V$2:$AE$2&lt;AE$2))),2))))</f>
      </c>
      <c r="AP473" s="33">
        <f>ROUND(V473-AF473,2)</f>
      </c>
      <c r="AQ473" s="33">
        <f>ROUND(W473-AG473,2)</f>
      </c>
      <c r="AR473" s="33">
        <f>ROUND(X473-AH473,2)</f>
      </c>
      <c r="AS473" s="33">
        <f>ROUND(Y473-AI473,2)</f>
      </c>
      <c r="AT473" s="33">
        <f>ROUND(Z473-AJ473,2)</f>
      </c>
      <c r="AU473" s="33">
        <f>ROUND(AA473-AK473,2)</f>
      </c>
      <c r="AV473" s="33">
        <f>ROUND(AB473-AL473,2)</f>
      </c>
      <c r="AW473" s="33">
        <f>ROUND(AC473-AM473,2)</f>
      </c>
      <c r="AX473" s="33">
        <f>ROUND(AD473-AN473,2)</f>
      </c>
      <c r="AY473" s="33">
        <f>ROUND(AE473-AO473,2)</f>
      </c>
      <c r="AZ473" s="33">
        <f>ROUND(MAX(0,'Your debts'!$D$22-SUM($L473:$U473)),2)</f>
      </c>
      <c r="BA473" s="33">
        <f>ROUND(SUM($B473:$K473)-SUM($AP472:$AY472),2)</f>
      </c>
      <c r="BB473" s="33">
        <f>SUM($AP473:$AY473)</f>
      </c>
      <c r="BC473" s="33">
        <f>ROUND(SUM($L473:$U473)+SUM($AF473:$AO473),2)</f>
      </c>
    </row>
    <row r="474" spans="1:55" x14ac:dyDescent="0.25">
      <c r="A474">
        <v>467</v>
      </c>
      <c r="B474" s="33">
        <f>IF(AP473&lt;=0,0,ROUND(AP473+ROUND(AP473*V$3/12,2),2))</f>
      </c>
      <c r="C474" s="33">
        <f>IF(AQ473&lt;=0,0,ROUND(AQ473+ROUND(AQ473*W$3/12,2),2))</f>
      </c>
      <c r="D474" s="33">
        <f>IF(AR473&lt;=0,0,ROUND(AR473+ROUND(AR473*X$3/12,2),2))</f>
      </c>
      <c r="E474" s="33">
        <f>IF(AS473&lt;=0,0,ROUND(AS473+ROUND(AS473*Y$3/12,2),2))</f>
      </c>
      <c r="F474" s="33">
        <f>IF(AT473&lt;=0,0,ROUND(AT473+ROUND(AT473*Z$3/12,2),2))</f>
      </c>
      <c r="G474" s="33">
        <f>IF(AU473&lt;=0,0,ROUND(AU473+ROUND(AU473*AA$3/12,2),2))</f>
      </c>
      <c r="H474" s="33">
        <f>IF(AV473&lt;=0,0,ROUND(AV473+ROUND(AV473*AB$3/12,2),2))</f>
      </c>
      <c r="I474" s="33">
        <f>IF(AW473&lt;=0,0,ROUND(AW473+ROUND(AW473*AC$3/12,2),2))</f>
      </c>
      <c r="J474" s="33">
        <f>IF(AX473&lt;=0,0,ROUND(AX473+ROUND(AX473*AD$3/12,2),2))</f>
      </c>
      <c r="K474" s="33">
        <f>IF(AY473&lt;=0,0,ROUND(AY473+ROUND(AY473*AE$3/12,2),2))</f>
      </c>
      <c r="L474" s="33">
        <f>ROUND(MIN(MAX(0,N('Your debts'!$E$6)),B474),2)</f>
      </c>
      <c r="M474" s="33">
        <f>ROUND(MIN(MAX(0,N('Your debts'!$E$7)),C474),2)</f>
      </c>
      <c r="N474" s="33">
        <f>ROUND(MIN(MAX(0,N('Your debts'!$E$8)),D474),2)</f>
      </c>
      <c r="O474" s="33">
        <f>ROUND(MIN(MAX(0,N('Your debts'!$E$9)),E474),2)</f>
      </c>
      <c r="P474" s="33">
        <f>ROUND(MIN(MAX(0,N('Your debts'!$E$10)),F474),2)</f>
      </c>
      <c r="Q474" s="33">
        <f>ROUND(MIN(MAX(0,N('Your debts'!$E$11)),G474),2)</f>
      </c>
      <c r="R474" s="33">
        <f>ROUND(MIN(MAX(0,N('Your debts'!$E$12)),H474),2)</f>
      </c>
      <c r="S474" s="33">
        <f>ROUND(MIN(MAX(0,N('Your debts'!$E$13)),I474),2)</f>
      </c>
      <c r="T474" s="33">
        <f>ROUND(MIN(MAX(0,N('Your debts'!$E$14)),J474),2)</f>
      </c>
      <c r="U474" s="33">
        <f>ROUND(MIN(MAX(0,N('Your debts'!$E$15)),K474),2)</f>
      </c>
      <c r="V474" s="33">
        <f>ROUND(B474-L474,2)</f>
      </c>
      <c r="W474" s="33">
        <f>ROUND(C474-M474,2)</f>
      </c>
      <c r="X474" s="33">
        <f>ROUND(D474-N474,2)</f>
      </c>
      <c r="Y474" s="33">
        <f>ROUND(E474-O474,2)</f>
      </c>
      <c r="Z474" s="33">
        <f>ROUND(F474-P474,2)</f>
      </c>
      <c r="AA474" s="33">
        <f>ROUND(G474-Q474,2)</f>
      </c>
      <c r="AB474" s="33">
        <f>ROUND(H474-R474,2)</f>
      </c>
      <c r="AC474" s="33">
        <f>ROUND(I474-S474,2)</f>
      </c>
      <c r="AD474" s="33">
        <f>ROUND(J474-T474,2)</f>
      </c>
      <c r="AE474" s="33">
        <f>ROUND(K474-U474,2)</f>
      </c>
      <c r="AF474" s="33">
        <f>IF(V474&lt;=0,0,MAX(0,MIN(V474,ROUND($AZ474-SUMPRODUCT($V474:$AE474*($V474:$AE474&gt;0)*(($V474:$AE474&lt;V474)+($V474:$AE474=V474)*($V$3:$AE$3&gt;V$3)+($V474:$AE474=V474)*($V$3:$AE$3=V$3)*($V$2:$AE$2&lt;V$2))),2))))</f>
      </c>
      <c r="AG474" s="33">
        <f>IF(W474&lt;=0,0,MAX(0,MIN(W474,ROUND($AZ474-SUMPRODUCT($V474:$AE474*($V474:$AE474&gt;0)*(($V474:$AE474&lt;W474)+($V474:$AE474=W474)*($V$3:$AE$3&gt;W$3)+($V474:$AE474=W474)*($V$3:$AE$3=W$3)*($V$2:$AE$2&lt;W$2))),2))))</f>
      </c>
      <c r="AH474" s="33">
        <f>IF(X474&lt;=0,0,MAX(0,MIN(X474,ROUND($AZ474-SUMPRODUCT($V474:$AE474*($V474:$AE474&gt;0)*(($V474:$AE474&lt;X474)+($V474:$AE474=X474)*($V$3:$AE$3&gt;X$3)+($V474:$AE474=X474)*($V$3:$AE$3=X$3)*($V$2:$AE$2&lt;X$2))),2))))</f>
      </c>
      <c r="AI474" s="33">
        <f>IF(Y474&lt;=0,0,MAX(0,MIN(Y474,ROUND($AZ474-SUMPRODUCT($V474:$AE474*($V474:$AE474&gt;0)*(($V474:$AE474&lt;Y474)+($V474:$AE474=Y474)*($V$3:$AE$3&gt;Y$3)+($V474:$AE474=Y474)*($V$3:$AE$3=Y$3)*($V$2:$AE$2&lt;Y$2))),2))))</f>
      </c>
      <c r="AJ474" s="33">
        <f>IF(Z474&lt;=0,0,MAX(0,MIN(Z474,ROUND($AZ474-SUMPRODUCT($V474:$AE474*($V474:$AE474&gt;0)*(($V474:$AE474&lt;Z474)+($V474:$AE474=Z474)*($V$3:$AE$3&gt;Z$3)+($V474:$AE474=Z474)*($V$3:$AE$3=Z$3)*($V$2:$AE$2&lt;Z$2))),2))))</f>
      </c>
      <c r="AK474" s="33">
        <f>IF(AA474&lt;=0,0,MAX(0,MIN(AA474,ROUND($AZ474-SUMPRODUCT($V474:$AE474*($V474:$AE474&gt;0)*(($V474:$AE474&lt;AA474)+($V474:$AE474=AA474)*($V$3:$AE$3&gt;AA$3)+($V474:$AE474=AA474)*($V$3:$AE$3=AA$3)*($V$2:$AE$2&lt;AA$2))),2))))</f>
      </c>
      <c r="AL474" s="33">
        <f>IF(AB474&lt;=0,0,MAX(0,MIN(AB474,ROUND($AZ474-SUMPRODUCT($V474:$AE474*($V474:$AE474&gt;0)*(($V474:$AE474&lt;AB474)+($V474:$AE474=AB474)*($V$3:$AE$3&gt;AB$3)+($V474:$AE474=AB474)*($V$3:$AE$3=AB$3)*($V$2:$AE$2&lt;AB$2))),2))))</f>
      </c>
      <c r="AM474" s="33">
        <f>IF(AC474&lt;=0,0,MAX(0,MIN(AC474,ROUND($AZ474-SUMPRODUCT($V474:$AE474*($V474:$AE474&gt;0)*(($V474:$AE474&lt;AC474)+($V474:$AE474=AC474)*($V$3:$AE$3&gt;AC$3)+($V474:$AE474=AC474)*($V$3:$AE$3=AC$3)*($V$2:$AE$2&lt;AC$2))),2))))</f>
      </c>
      <c r="AN474" s="33">
        <f>IF(AD474&lt;=0,0,MAX(0,MIN(AD474,ROUND($AZ474-SUMPRODUCT($V474:$AE474*($V474:$AE474&gt;0)*(($V474:$AE474&lt;AD474)+($V474:$AE474=AD474)*($V$3:$AE$3&gt;AD$3)+($V474:$AE474=AD474)*($V$3:$AE$3=AD$3)*($V$2:$AE$2&lt;AD$2))),2))))</f>
      </c>
      <c r="AO474" s="33">
        <f>IF(AE474&lt;=0,0,MAX(0,MIN(AE474,ROUND($AZ474-SUMPRODUCT($V474:$AE474*($V474:$AE474&gt;0)*(($V474:$AE474&lt;AE474)+($V474:$AE474=AE474)*($V$3:$AE$3&gt;AE$3)+($V474:$AE474=AE474)*($V$3:$AE$3=AE$3)*($V$2:$AE$2&lt;AE$2))),2))))</f>
      </c>
      <c r="AP474" s="33">
        <f>ROUND(V474-AF474,2)</f>
      </c>
      <c r="AQ474" s="33">
        <f>ROUND(W474-AG474,2)</f>
      </c>
      <c r="AR474" s="33">
        <f>ROUND(X474-AH474,2)</f>
      </c>
      <c r="AS474" s="33">
        <f>ROUND(Y474-AI474,2)</f>
      </c>
      <c r="AT474" s="33">
        <f>ROUND(Z474-AJ474,2)</f>
      </c>
      <c r="AU474" s="33">
        <f>ROUND(AA474-AK474,2)</f>
      </c>
      <c r="AV474" s="33">
        <f>ROUND(AB474-AL474,2)</f>
      </c>
      <c r="AW474" s="33">
        <f>ROUND(AC474-AM474,2)</f>
      </c>
      <c r="AX474" s="33">
        <f>ROUND(AD474-AN474,2)</f>
      </c>
      <c r="AY474" s="33">
        <f>ROUND(AE474-AO474,2)</f>
      </c>
      <c r="AZ474" s="33">
        <f>ROUND(MAX(0,'Your debts'!$D$22-SUM($L474:$U474)),2)</f>
      </c>
      <c r="BA474" s="33">
        <f>ROUND(SUM($B474:$K474)-SUM($AP473:$AY473),2)</f>
      </c>
      <c r="BB474" s="33">
        <f>SUM($AP474:$AY474)</f>
      </c>
      <c r="BC474" s="33">
        <f>ROUND(SUM($L474:$U474)+SUM($AF474:$AO474),2)</f>
      </c>
    </row>
    <row r="475" spans="1:55" x14ac:dyDescent="0.25">
      <c r="A475">
        <v>468</v>
      </c>
      <c r="B475" s="33">
        <f>IF(AP474&lt;=0,0,ROUND(AP474+ROUND(AP474*V$3/12,2),2))</f>
      </c>
      <c r="C475" s="33">
        <f>IF(AQ474&lt;=0,0,ROUND(AQ474+ROUND(AQ474*W$3/12,2),2))</f>
      </c>
      <c r="D475" s="33">
        <f>IF(AR474&lt;=0,0,ROUND(AR474+ROUND(AR474*X$3/12,2),2))</f>
      </c>
      <c r="E475" s="33">
        <f>IF(AS474&lt;=0,0,ROUND(AS474+ROUND(AS474*Y$3/12,2),2))</f>
      </c>
      <c r="F475" s="33">
        <f>IF(AT474&lt;=0,0,ROUND(AT474+ROUND(AT474*Z$3/12,2),2))</f>
      </c>
      <c r="G475" s="33">
        <f>IF(AU474&lt;=0,0,ROUND(AU474+ROUND(AU474*AA$3/12,2),2))</f>
      </c>
      <c r="H475" s="33">
        <f>IF(AV474&lt;=0,0,ROUND(AV474+ROUND(AV474*AB$3/12,2),2))</f>
      </c>
      <c r="I475" s="33">
        <f>IF(AW474&lt;=0,0,ROUND(AW474+ROUND(AW474*AC$3/12,2),2))</f>
      </c>
      <c r="J475" s="33">
        <f>IF(AX474&lt;=0,0,ROUND(AX474+ROUND(AX474*AD$3/12,2),2))</f>
      </c>
      <c r="K475" s="33">
        <f>IF(AY474&lt;=0,0,ROUND(AY474+ROUND(AY474*AE$3/12,2),2))</f>
      </c>
      <c r="L475" s="33">
        <f>ROUND(MIN(MAX(0,N('Your debts'!$E$6)),B475),2)</f>
      </c>
      <c r="M475" s="33">
        <f>ROUND(MIN(MAX(0,N('Your debts'!$E$7)),C475),2)</f>
      </c>
      <c r="N475" s="33">
        <f>ROUND(MIN(MAX(0,N('Your debts'!$E$8)),D475),2)</f>
      </c>
      <c r="O475" s="33">
        <f>ROUND(MIN(MAX(0,N('Your debts'!$E$9)),E475),2)</f>
      </c>
      <c r="P475" s="33">
        <f>ROUND(MIN(MAX(0,N('Your debts'!$E$10)),F475),2)</f>
      </c>
      <c r="Q475" s="33">
        <f>ROUND(MIN(MAX(0,N('Your debts'!$E$11)),G475),2)</f>
      </c>
      <c r="R475" s="33">
        <f>ROUND(MIN(MAX(0,N('Your debts'!$E$12)),H475),2)</f>
      </c>
      <c r="S475" s="33">
        <f>ROUND(MIN(MAX(0,N('Your debts'!$E$13)),I475),2)</f>
      </c>
      <c r="T475" s="33">
        <f>ROUND(MIN(MAX(0,N('Your debts'!$E$14)),J475),2)</f>
      </c>
      <c r="U475" s="33">
        <f>ROUND(MIN(MAX(0,N('Your debts'!$E$15)),K475),2)</f>
      </c>
      <c r="V475" s="33">
        <f>ROUND(B475-L475,2)</f>
      </c>
      <c r="W475" s="33">
        <f>ROUND(C475-M475,2)</f>
      </c>
      <c r="X475" s="33">
        <f>ROUND(D475-N475,2)</f>
      </c>
      <c r="Y475" s="33">
        <f>ROUND(E475-O475,2)</f>
      </c>
      <c r="Z475" s="33">
        <f>ROUND(F475-P475,2)</f>
      </c>
      <c r="AA475" s="33">
        <f>ROUND(G475-Q475,2)</f>
      </c>
      <c r="AB475" s="33">
        <f>ROUND(H475-R475,2)</f>
      </c>
      <c r="AC475" s="33">
        <f>ROUND(I475-S475,2)</f>
      </c>
      <c r="AD475" s="33">
        <f>ROUND(J475-T475,2)</f>
      </c>
      <c r="AE475" s="33">
        <f>ROUND(K475-U475,2)</f>
      </c>
      <c r="AF475" s="33">
        <f>IF(V475&lt;=0,0,MAX(0,MIN(V475,ROUND($AZ475-SUMPRODUCT($V475:$AE475*($V475:$AE475&gt;0)*(($V475:$AE475&lt;V475)+($V475:$AE475=V475)*($V$3:$AE$3&gt;V$3)+($V475:$AE475=V475)*($V$3:$AE$3=V$3)*($V$2:$AE$2&lt;V$2))),2))))</f>
      </c>
      <c r="AG475" s="33">
        <f>IF(W475&lt;=0,0,MAX(0,MIN(W475,ROUND($AZ475-SUMPRODUCT($V475:$AE475*($V475:$AE475&gt;0)*(($V475:$AE475&lt;W475)+($V475:$AE475=W475)*($V$3:$AE$3&gt;W$3)+($V475:$AE475=W475)*($V$3:$AE$3=W$3)*($V$2:$AE$2&lt;W$2))),2))))</f>
      </c>
      <c r="AH475" s="33">
        <f>IF(X475&lt;=0,0,MAX(0,MIN(X475,ROUND($AZ475-SUMPRODUCT($V475:$AE475*($V475:$AE475&gt;0)*(($V475:$AE475&lt;X475)+($V475:$AE475=X475)*($V$3:$AE$3&gt;X$3)+($V475:$AE475=X475)*($V$3:$AE$3=X$3)*($V$2:$AE$2&lt;X$2))),2))))</f>
      </c>
      <c r="AI475" s="33">
        <f>IF(Y475&lt;=0,0,MAX(0,MIN(Y475,ROUND($AZ475-SUMPRODUCT($V475:$AE475*($V475:$AE475&gt;0)*(($V475:$AE475&lt;Y475)+($V475:$AE475=Y475)*($V$3:$AE$3&gt;Y$3)+($V475:$AE475=Y475)*($V$3:$AE$3=Y$3)*($V$2:$AE$2&lt;Y$2))),2))))</f>
      </c>
      <c r="AJ475" s="33">
        <f>IF(Z475&lt;=0,0,MAX(0,MIN(Z475,ROUND($AZ475-SUMPRODUCT($V475:$AE475*($V475:$AE475&gt;0)*(($V475:$AE475&lt;Z475)+($V475:$AE475=Z475)*($V$3:$AE$3&gt;Z$3)+($V475:$AE475=Z475)*($V$3:$AE$3=Z$3)*($V$2:$AE$2&lt;Z$2))),2))))</f>
      </c>
      <c r="AK475" s="33">
        <f>IF(AA475&lt;=0,0,MAX(0,MIN(AA475,ROUND($AZ475-SUMPRODUCT($V475:$AE475*($V475:$AE475&gt;0)*(($V475:$AE475&lt;AA475)+($V475:$AE475=AA475)*($V$3:$AE$3&gt;AA$3)+($V475:$AE475=AA475)*($V$3:$AE$3=AA$3)*($V$2:$AE$2&lt;AA$2))),2))))</f>
      </c>
      <c r="AL475" s="33">
        <f>IF(AB475&lt;=0,0,MAX(0,MIN(AB475,ROUND($AZ475-SUMPRODUCT($V475:$AE475*($V475:$AE475&gt;0)*(($V475:$AE475&lt;AB475)+($V475:$AE475=AB475)*($V$3:$AE$3&gt;AB$3)+($V475:$AE475=AB475)*($V$3:$AE$3=AB$3)*($V$2:$AE$2&lt;AB$2))),2))))</f>
      </c>
      <c r="AM475" s="33">
        <f>IF(AC475&lt;=0,0,MAX(0,MIN(AC475,ROUND($AZ475-SUMPRODUCT($V475:$AE475*($V475:$AE475&gt;0)*(($V475:$AE475&lt;AC475)+($V475:$AE475=AC475)*($V$3:$AE$3&gt;AC$3)+($V475:$AE475=AC475)*($V$3:$AE$3=AC$3)*($V$2:$AE$2&lt;AC$2))),2))))</f>
      </c>
      <c r="AN475" s="33">
        <f>IF(AD475&lt;=0,0,MAX(0,MIN(AD475,ROUND($AZ475-SUMPRODUCT($V475:$AE475*($V475:$AE475&gt;0)*(($V475:$AE475&lt;AD475)+($V475:$AE475=AD475)*($V$3:$AE$3&gt;AD$3)+($V475:$AE475=AD475)*($V$3:$AE$3=AD$3)*($V$2:$AE$2&lt;AD$2))),2))))</f>
      </c>
      <c r="AO475" s="33">
        <f>IF(AE475&lt;=0,0,MAX(0,MIN(AE475,ROUND($AZ475-SUMPRODUCT($V475:$AE475*($V475:$AE475&gt;0)*(($V475:$AE475&lt;AE475)+($V475:$AE475=AE475)*($V$3:$AE$3&gt;AE$3)+($V475:$AE475=AE475)*($V$3:$AE$3=AE$3)*($V$2:$AE$2&lt;AE$2))),2))))</f>
      </c>
      <c r="AP475" s="33">
        <f>ROUND(V475-AF475,2)</f>
      </c>
      <c r="AQ475" s="33">
        <f>ROUND(W475-AG475,2)</f>
      </c>
      <c r="AR475" s="33">
        <f>ROUND(X475-AH475,2)</f>
      </c>
      <c r="AS475" s="33">
        <f>ROUND(Y475-AI475,2)</f>
      </c>
      <c r="AT475" s="33">
        <f>ROUND(Z475-AJ475,2)</f>
      </c>
      <c r="AU475" s="33">
        <f>ROUND(AA475-AK475,2)</f>
      </c>
      <c r="AV475" s="33">
        <f>ROUND(AB475-AL475,2)</f>
      </c>
      <c r="AW475" s="33">
        <f>ROUND(AC475-AM475,2)</f>
      </c>
      <c r="AX475" s="33">
        <f>ROUND(AD475-AN475,2)</f>
      </c>
      <c r="AY475" s="33">
        <f>ROUND(AE475-AO475,2)</f>
      </c>
      <c r="AZ475" s="33">
        <f>ROUND(MAX(0,'Your debts'!$D$22-SUM($L475:$U475)),2)</f>
      </c>
      <c r="BA475" s="33">
        <f>ROUND(SUM($B475:$K475)-SUM($AP474:$AY474),2)</f>
      </c>
      <c r="BB475" s="33">
        <f>SUM($AP475:$AY475)</f>
      </c>
      <c r="BC475" s="33">
        <f>ROUND(SUM($L475:$U475)+SUM($AF475:$AO475),2)</f>
      </c>
    </row>
    <row r="476" spans="1:55" x14ac:dyDescent="0.25">
      <c r="A476">
        <v>469</v>
      </c>
      <c r="B476" s="33">
        <f>IF(AP475&lt;=0,0,ROUND(AP475+ROUND(AP475*V$3/12,2),2))</f>
      </c>
      <c r="C476" s="33">
        <f>IF(AQ475&lt;=0,0,ROUND(AQ475+ROUND(AQ475*W$3/12,2),2))</f>
      </c>
      <c r="D476" s="33">
        <f>IF(AR475&lt;=0,0,ROUND(AR475+ROUND(AR475*X$3/12,2),2))</f>
      </c>
      <c r="E476" s="33">
        <f>IF(AS475&lt;=0,0,ROUND(AS475+ROUND(AS475*Y$3/12,2),2))</f>
      </c>
      <c r="F476" s="33">
        <f>IF(AT475&lt;=0,0,ROUND(AT475+ROUND(AT475*Z$3/12,2),2))</f>
      </c>
      <c r="G476" s="33">
        <f>IF(AU475&lt;=0,0,ROUND(AU475+ROUND(AU475*AA$3/12,2),2))</f>
      </c>
      <c r="H476" s="33">
        <f>IF(AV475&lt;=0,0,ROUND(AV475+ROUND(AV475*AB$3/12,2),2))</f>
      </c>
      <c r="I476" s="33">
        <f>IF(AW475&lt;=0,0,ROUND(AW475+ROUND(AW475*AC$3/12,2),2))</f>
      </c>
      <c r="J476" s="33">
        <f>IF(AX475&lt;=0,0,ROUND(AX475+ROUND(AX475*AD$3/12,2),2))</f>
      </c>
      <c r="K476" s="33">
        <f>IF(AY475&lt;=0,0,ROUND(AY475+ROUND(AY475*AE$3/12,2),2))</f>
      </c>
      <c r="L476" s="33">
        <f>ROUND(MIN(MAX(0,N('Your debts'!$E$6)),B476),2)</f>
      </c>
      <c r="M476" s="33">
        <f>ROUND(MIN(MAX(0,N('Your debts'!$E$7)),C476),2)</f>
      </c>
      <c r="N476" s="33">
        <f>ROUND(MIN(MAX(0,N('Your debts'!$E$8)),D476),2)</f>
      </c>
      <c r="O476" s="33">
        <f>ROUND(MIN(MAX(0,N('Your debts'!$E$9)),E476),2)</f>
      </c>
      <c r="P476" s="33">
        <f>ROUND(MIN(MAX(0,N('Your debts'!$E$10)),F476),2)</f>
      </c>
      <c r="Q476" s="33">
        <f>ROUND(MIN(MAX(0,N('Your debts'!$E$11)),G476),2)</f>
      </c>
      <c r="R476" s="33">
        <f>ROUND(MIN(MAX(0,N('Your debts'!$E$12)),H476),2)</f>
      </c>
      <c r="S476" s="33">
        <f>ROUND(MIN(MAX(0,N('Your debts'!$E$13)),I476),2)</f>
      </c>
      <c r="T476" s="33">
        <f>ROUND(MIN(MAX(0,N('Your debts'!$E$14)),J476),2)</f>
      </c>
      <c r="U476" s="33">
        <f>ROUND(MIN(MAX(0,N('Your debts'!$E$15)),K476),2)</f>
      </c>
      <c r="V476" s="33">
        <f>ROUND(B476-L476,2)</f>
      </c>
      <c r="W476" s="33">
        <f>ROUND(C476-M476,2)</f>
      </c>
      <c r="X476" s="33">
        <f>ROUND(D476-N476,2)</f>
      </c>
      <c r="Y476" s="33">
        <f>ROUND(E476-O476,2)</f>
      </c>
      <c r="Z476" s="33">
        <f>ROUND(F476-P476,2)</f>
      </c>
      <c r="AA476" s="33">
        <f>ROUND(G476-Q476,2)</f>
      </c>
      <c r="AB476" s="33">
        <f>ROUND(H476-R476,2)</f>
      </c>
      <c r="AC476" s="33">
        <f>ROUND(I476-S476,2)</f>
      </c>
      <c r="AD476" s="33">
        <f>ROUND(J476-T476,2)</f>
      </c>
      <c r="AE476" s="33">
        <f>ROUND(K476-U476,2)</f>
      </c>
      <c r="AF476" s="33">
        <f>IF(V476&lt;=0,0,MAX(0,MIN(V476,ROUND($AZ476-SUMPRODUCT($V476:$AE476*($V476:$AE476&gt;0)*(($V476:$AE476&lt;V476)+($V476:$AE476=V476)*($V$3:$AE$3&gt;V$3)+($V476:$AE476=V476)*($V$3:$AE$3=V$3)*($V$2:$AE$2&lt;V$2))),2))))</f>
      </c>
      <c r="AG476" s="33">
        <f>IF(W476&lt;=0,0,MAX(0,MIN(W476,ROUND($AZ476-SUMPRODUCT($V476:$AE476*($V476:$AE476&gt;0)*(($V476:$AE476&lt;W476)+($V476:$AE476=W476)*($V$3:$AE$3&gt;W$3)+($V476:$AE476=W476)*($V$3:$AE$3=W$3)*($V$2:$AE$2&lt;W$2))),2))))</f>
      </c>
      <c r="AH476" s="33">
        <f>IF(X476&lt;=0,0,MAX(0,MIN(X476,ROUND($AZ476-SUMPRODUCT($V476:$AE476*($V476:$AE476&gt;0)*(($V476:$AE476&lt;X476)+($V476:$AE476=X476)*($V$3:$AE$3&gt;X$3)+($V476:$AE476=X476)*($V$3:$AE$3=X$3)*($V$2:$AE$2&lt;X$2))),2))))</f>
      </c>
      <c r="AI476" s="33">
        <f>IF(Y476&lt;=0,0,MAX(0,MIN(Y476,ROUND($AZ476-SUMPRODUCT($V476:$AE476*($V476:$AE476&gt;0)*(($V476:$AE476&lt;Y476)+($V476:$AE476=Y476)*($V$3:$AE$3&gt;Y$3)+($V476:$AE476=Y476)*($V$3:$AE$3=Y$3)*($V$2:$AE$2&lt;Y$2))),2))))</f>
      </c>
      <c r="AJ476" s="33">
        <f>IF(Z476&lt;=0,0,MAX(0,MIN(Z476,ROUND($AZ476-SUMPRODUCT($V476:$AE476*($V476:$AE476&gt;0)*(($V476:$AE476&lt;Z476)+($V476:$AE476=Z476)*($V$3:$AE$3&gt;Z$3)+($V476:$AE476=Z476)*($V$3:$AE$3=Z$3)*($V$2:$AE$2&lt;Z$2))),2))))</f>
      </c>
      <c r="AK476" s="33">
        <f>IF(AA476&lt;=0,0,MAX(0,MIN(AA476,ROUND($AZ476-SUMPRODUCT($V476:$AE476*($V476:$AE476&gt;0)*(($V476:$AE476&lt;AA476)+($V476:$AE476=AA476)*($V$3:$AE$3&gt;AA$3)+($V476:$AE476=AA476)*($V$3:$AE$3=AA$3)*($V$2:$AE$2&lt;AA$2))),2))))</f>
      </c>
      <c r="AL476" s="33">
        <f>IF(AB476&lt;=0,0,MAX(0,MIN(AB476,ROUND($AZ476-SUMPRODUCT($V476:$AE476*($V476:$AE476&gt;0)*(($V476:$AE476&lt;AB476)+($V476:$AE476=AB476)*($V$3:$AE$3&gt;AB$3)+($V476:$AE476=AB476)*($V$3:$AE$3=AB$3)*($V$2:$AE$2&lt;AB$2))),2))))</f>
      </c>
      <c r="AM476" s="33">
        <f>IF(AC476&lt;=0,0,MAX(0,MIN(AC476,ROUND($AZ476-SUMPRODUCT($V476:$AE476*($V476:$AE476&gt;0)*(($V476:$AE476&lt;AC476)+($V476:$AE476=AC476)*($V$3:$AE$3&gt;AC$3)+($V476:$AE476=AC476)*($V$3:$AE$3=AC$3)*($V$2:$AE$2&lt;AC$2))),2))))</f>
      </c>
      <c r="AN476" s="33">
        <f>IF(AD476&lt;=0,0,MAX(0,MIN(AD476,ROUND($AZ476-SUMPRODUCT($V476:$AE476*($V476:$AE476&gt;0)*(($V476:$AE476&lt;AD476)+($V476:$AE476=AD476)*($V$3:$AE$3&gt;AD$3)+($V476:$AE476=AD476)*($V$3:$AE$3=AD$3)*($V$2:$AE$2&lt;AD$2))),2))))</f>
      </c>
      <c r="AO476" s="33">
        <f>IF(AE476&lt;=0,0,MAX(0,MIN(AE476,ROUND($AZ476-SUMPRODUCT($V476:$AE476*($V476:$AE476&gt;0)*(($V476:$AE476&lt;AE476)+($V476:$AE476=AE476)*($V$3:$AE$3&gt;AE$3)+($V476:$AE476=AE476)*($V$3:$AE$3=AE$3)*($V$2:$AE$2&lt;AE$2))),2))))</f>
      </c>
      <c r="AP476" s="33">
        <f>ROUND(V476-AF476,2)</f>
      </c>
      <c r="AQ476" s="33">
        <f>ROUND(W476-AG476,2)</f>
      </c>
      <c r="AR476" s="33">
        <f>ROUND(X476-AH476,2)</f>
      </c>
      <c r="AS476" s="33">
        <f>ROUND(Y476-AI476,2)</f>
      </c>
      <c r="AT476" s="33">
        <f>ROUND(Z476-AJ476,2)</f>
      </c>
      <c r="AU476" s="33">
        <f>ROUND(AA476-AK476,2)</f>
      </c>
      <c r="AV476" s="33">
        <f>ROUND(AB476-AL476,2)</f>
      </c>
      <c r="AW476" s="33">
        <f>ROUND(AC476-AM476,2)</f>
      </c>
      <c r="AX476" s="33">
        <f>ROUND(AD476-AN476,2)</f>
      </c>
      <c r="AY476" s="33">
        <f>ROUND(AE476-AO476,2)</f>
      </c>
      <c r="AZ476" s="33">
        <f>ROUND(MAX(0,'Your debts'!$D$22-SUM($L476:$U476)),2)</f>
      </c>
      <c r="BA476" s="33">
        <f>ROUND(SUM($B476:$K476)-SUM($AP475:$AY475),2)</f>
      </c>
      <c r="BB476" s="33">
        <f>SUM($AP476:$AY476)</f>
      </c>
      <c r="BC476" s="33">
        <f>ROUND(SUM($L476:$U476)+SUM($AF476:$AO476),2)</f>
      </c>
    </row>
    <row r="477" spans="1:55" x14ac:dyDescent="0.25">
      <c r="A477">
        <v>470</v>
      </c>
      <c r="B477" s="33">
        <f>IF(AP476&lt;=0,0,ROUND(AP476+ROUND(AP476*V$3/12,2),2))</f>
      </c>
      <c r="C477" s="33">
        <f>IF(AQ476&lt;=0,0,ROUND(AQ476+ROUND(AQ476*W$3/12,2),2))</f>
      </c>
      <c r="D477" s="33">
        <f>IF(AR476&lt;=0,0,ROUND(AR476+ROUND(AR476*X$3/12,2),2))</f>
      </c>
      <c r="E477" s="33">
        <f>IF(AS476&lt;=0,0,ROUND(AS476+ROUND(AS476*Y$3/12,2),2))</f>
      </c>
      <c r="F477" s="33">
        <f>IF(AT476&lt;=0,0,ROUND(AT476+ROUND(AT476*Z$3/12,2),2))</f>
      </c>
      <c r="G477" s="33">
        <f>IF(AU476&lt;=0,0,ROUND(AU476+ROUND(AU476*AA$3/12,2),2))</f>
      </c>
      <c r="H477" s="33">
        <f>IF(AV476&lt;=0,0,ROUND(AV476+ROUND(AV476*AB$3/12,2),2))</f>
      </c>
      <c r="I477" s="33">
        <f>IF(AW476&lt;=0,0,ROUND(AW476+ROUND(AW476*AC$3/12,2),2))</f>
      </c>
      <c r="J477" s="33">
        <f>IF(AX476&lt;=0,0,ROUND(AX476+ROUND(AX476*AD$3/12,2),2))</f>
      </c>
      <c r="K477" s="33">
        <f>IF(AY476&lt;=0,0,ROUND(AY476+ROUND(AY476*AE$3/12,2),2))</f>
      </c>
      <c r="L477" s="33">
        <f>ROUND(MIN(MAX(0,N('Your debts'!$E$6)),B477),2)</f>
      </c>
      <c r="M477" s="33">
        <f>ROUND(MIN(MAX(0,N('Your debts'!$E$7)),C477),2)</f>
      </c>
      <c r="N477" s="33">
        <f>ROUND(MIN(MAX(0,N('Your debts'!$E$8)),D477),2)</f>
      </c>
      <c r="O477" s="33">
        <f>ROUND(MIN(MAX(0,N('Your debts'!$E$9)),E477),2)</f>
      </c>
      <c r="P477" s="33">
        <f>ROUND(MIN(MAX(0,N('Your debts'!$E$10)),F477),2)</f>
      </c>
      <c r="Q477" s="33">
        <f>ROUND(MIN(MAX(0,N('Your debts'!$E$11)),G477),2)</f>
      </c>
      <c r="R477" s="33">
        <f>ROUND(MIN(MAX(0,N('Your debts'!$E$12)),H477),2)</f>
      </c>
      <c r="S477" s="33">
        <f>ROUND(MIN(MAX(0,N('Your debts'!$E$13)),I477),2)</f>
      </c>
      <c r="T477" s="33">
        <f>ROUND(MIN(MAX(0,N('Your debts'!$E$14)),J477),2)</f>
      </c>
      <c r="U477" s="33">
        <f>ROUND(MIN(MAX(0,N('Your debts'!$E$15)),K477),2)</f>
      </c>
      <c r="V477" s="33">
        <f>ROUND(B477-L477,2)</f>
      </c>
      <c r="W477" s="33">
        <f>ROUND(C477-M477,2)</f>
      </c>
      <c r="X477" s="33">
        <f>ROUND(D477-N477,2)</f>
      </c>
      <c r="Y477" s="33">
        <f>ROUND(E477-O477,2)</f>
      </c>
      <c r="Z477" s="33">
        <f>ROUND(F477-P477,2)</f>
      </c>
      <c r="AA477" s="33">
        <f>ROUND(G477-Q477,2)</f>
      </c>
      <c r="AB477" s="33">
        <f>ROUND(H477-R477,2)</f>
      </c>
      <c r="AC477" s="33">
        <f>ROUND(I477-S477,2)</f>
      </c>
      <c r="AD477" s="33">
        <f>ROUND(J477-T477,2)</f>
      </c>
      <c r="AE477" s="33">
        <f>ROUND(K477-U477,2)</f>
      </c>
      <c r="AF477" s="33">
        <f>IF(V477&lt;=0,0,MAX(0,MIN(V477,ROUND($AZ477-SUMPRODUCT($V477:$AE477*($V477:$AE477&gt;0)*(($V477:$AE477&lt;V477)+($V477:$AE477=V477)*($V$3:$AE$3&gt;V$3)+($V477:$AE477=V477)*($V$3:$AE$3=V$3)*($V$2:$AE$2&lt;V$2))),2))))</f>
      </c>
      <c r="AG477" s="33">
        <f>IF(W477&lt;=0,0,MAX(0,MIN(W477,ROUND($AZ477-SUMPRODUCT($V477:$AE477*($V477:$AE477&gt;0)*(($V477:$AE477&lt;W477)+($V477:$AE477=W477)*($V$3:$AE$3&gt;W$3)+($V477:$AE477=W477)*($V$3:$AE$3=W$3)*($V$2:$AE$2&lt;W$2))),2))))</f>
      </c>
      <c r="AH477" s="33">
        <f>IF(X477&lt;=0,0,MAX(0,MIN(X477,ROUND($AZ477-SUMPRODUCT($V477:$AE477*($V477:$AE477&gt;0)*(($V477:$AE477&lt;X477)+($V477:$AE477=X477)*($V$3:$AE$3&gt;X$3)+($V477:$AE477=X477)*($V$3:$AE$3=X$3)*($V$2:$AE$2&lt;X$2))),2))))</f>
      </c>
      <c r="AI477" s="33">
        <f>IF(Y477&lt;=0,0,MAX(0,MIN(Y477,ROUND($AZ477-SUMPRODUCT($V477:$AE477*($V477:$AE477&gt;0)*(($V477:$AE477&lt;Y477)+($V477:$AE477=Y477)*($V$3:$AE$3&gt;Y$3)+($V477:$AE477=Y477)*($V$3:$AE$3=Y$3)*($V$2:$AE$2&lt;Y$2))),2))))</f>
      </c>
      <c r="AJ477" s="33">
        <f>IF(Z477&lt;=0,0,MAX(0,MIN(Z477,ROUND($AZ477-SUMPRODUCT($V477:$AE477*($V477:$AE477&gt;0)*(($V477:$AE477&lt;Z477)+($V477:$AE477=Z477)*($V$3:$AE$3&gt;Z$3)+($V477:$AE477=Z477)*($V$3:$AE$3=Z$3)*($V$2:$AE$2&lt;Z$2))),2))))</f>
      </c>
      <c r="AK477" s="33">
        <f>IF(AA477&lt;=0,0,MAX(0,MIN(AA477,ROUND($AZ477-SUMPRODUCT($V477:$AE477*($V477:$AE477&gt;0)*(($V477:$AE477&lt;AA477)+($V477:$AE477=AA477)*($V$3:$AE$3&gt;AA$3)+($V477:$AE477=AA477)*($V$3:$AE$3=AA$3)*($V$2:$AE$2&lt;AA$2))),2))))</f>
      </c>
      <c r="AL477" s="33">
        <f>IF(AB477&lt;=0,0,MAX(0,MIN(AB477,ROUND($AZ477-SUMPRODUCT($V477:$AE477*($V477:$AE477&gt;0)*(($V477:$AE477&lt;AB477)+($V477:$AE477=AB477)*($V$3:$AE$3&gt;AB$3)+($V477:$AE477=AB477)*($V$3:$AE$3=AB$3)*($V$2:$AE$2&lt;AB$2))),2))))</f>
      </c>
      <c r="AM477" s="33">
        <f>IF(AC477&lt;=0,0,MAX(0,MIN(AC477,ROUND($AZ477-SUMPRODUCT($V477:$AE477*($V477:$AE477&gt;0)*(($V477:$AE477&lt;AC477)+($V477:$AE477=AC477)*($V$3:$AE$3&gt;AC$3)+($V477:$AE477=AC477)*($V$3:$AE$3=AC$3)*($V$2:$AE$2&lt;AC$2))),2))))</f>
      </c>
      <c r="AN477" s="33">
        <f>IF(AD477&lt;=0,0,MAX(0,MIN(AD477,ROUND($AZ477-SUMPRODUCT($V477:$AE477*($V477:$AE477&gt;0)*(($V477:$AE477&lt;AD477)+($V477:$AE477=AD477)*($V$3:$AE$3&gt;AD$3)+($V477:$AE477=AD477)*($V$3:$AE$3=AD$3)*($V$2:$AE$2&lt;AD$2))),2))))</f>
      </c>
      <c r="AO477" s="33">
        <f>IF(AE477&lt;=0,0,MAX(0,MIN(AE477,ROUND($AZ477-SUMPRODUCT($V477:$AE477*($V477:$AE477&gt;0)*(($V477:$AE477&lt;AE477)+($V477:$AE477=AE477)*($V$3:$AE$3&gt;AE$3)+($V477:$AE477=AE477)*($V$3:$AE$3=AE$3)*($V$2:$AE$2&lt;AE$2))),2))))</f>
      </c>
      <c r="AP477" s="33">
        <f>ROUND(V477-AF477,2)</f>
      </c>
      <c r="AQ477" s="33">
        <f>ROUND(W477-AG477,2)</f>
      </c>
      <c r="AR477" s="33">
        <f>ROUND(X477-AH477,2)</f>
      </c>
      <c r="AS477" s="33">
        <f>ROUND(Y477-AI477,2)</f>
      </c>
      <c r="AT477" s="33">
        <f>ROUND(Z477-AJ477,2)</f>
      </c>
      <c r="AU477" s="33">
        <f>ROUND(AA477-AK477,2)</f>
      </c>
      <c r="AV477" s="33">
        <f>ROUND(AB477-AL477,2)</f>
      </c>
      <c r="AW477" s="33">
        <f>ROUND(AC477-AM477,2)</f>
      </c>
      <c r="AX477" s="33">
        <f>ROUND(AD477-AN477,2)</f>
      </c>
      <c r="AY477" s="33">
        <f>ROUND(AE477-AO477,2)</f>
      </c>
      <c r="AZ477" s="33">
        <f>ROUND(MAX(0,'Your debts'!$D$22-SUM($L477:$U477)),2)</f>
      </c>
      <c r="BA477" s="33">
        <f>ROUND(SUM($B477:$K477)-SUM($AP476:$AY476),2)</f>
      </c>
      <c r="BB477" s="33">
        <f>SUM($AP477:$AY477)</f>
      </c>
      <c r="BC477" s="33">
        <f>ROUND(SUM($L477:$U477)+SUM($AF477:$AO477),2)</f>
      </c>
    </row>
    <row r="478" spans="1:55" x14ac:dyDescent="0.25">
      <c r="A478">
        <v>471</v>
      </c>
      <c r="B478" s="33">
        <f>IF(AP477&lt;=0,0,ROUND(AP477+ROUND(AP477*V$3/12,2),2))</f>
      </c>
      <c r="C478" s="33">
        <f>IF(AQ477&lt;=0,0,ROUND(AQ477+ROUND(AQ477*W$3/12,2),2))</f>
      </c>
      <c r="D478" s="33">
        <f>IF(AR477&lt;=0,0,ROUND(AR477+ROUND(AR477*X$3/12,2),2))</f>
      </c>
      <c r="E478" s="33">
        <f>IF(AS477&lt;=0,0,ROUND(AS477+ROUND(AS477*Y$3/12,2),2))</f>
      </c>
      <c r="F478" s="33">
        <f>IF(AT477&lt;=0,0,ROUND(AT477+ROUND(AT477*Z$3/12,2),2))</f>
      </c>
      <c r="G478" s="33">
        <f>IF(AU477&lt;=0,0,ROUND(AU477+ROUND(AU477*AA$3/12,2),2))</f>
      </c>
      <c r="H478" s="33">
        <f>IF(AV477&lt;=0,0,ROUND(AV477+ROUND(AV477*AB$3/12,2),2))</f>
      </c>
      <c r="I478" s="33">
        <f>IF(AW477&lt;=0,0,ROUND(AW477+ROUND(AW477*AC$3/12,2),2))</f>
      </c>
      <c r="J478" s="33">
        <f>IF(AX477&lt;=0,0,ROUND(AX477+ROUND(AX477*AD$3/12,2),2))</f>
      </c>
      <c r="K478" s="33">
        <f>IF(AY477&lt;=0,0,ROUND(AY477+ROUND(AY477*AE$3/12,2),2))</f>
      </c>
      <c r="L478" s="33">
        <f>ROUND(MIN(MAX(0,N('Your debts'!$E$6)),B478),2)</f>
      </c>
      <c r="M478" s="33">
        <f>ROUND(MIN(MAX(0,N('Your debts'!$E$7)),C478),2)</f>
      </c>
      <c r="N478" s="33">
        <f>ROUND(MIN(MAX(0,N('Your debts'!$E$8)),D478),2)</f>
      </c>
      <c r="O478" s="33">
        <f>ROUND(MIN(MAX(0,N('Your debts'!$E$9)),E478),2)</f>
      </c>
      <c r="P478" s="33">
        <f>ROUND(MIN(MAX(0,N('Your debts'!$E$10)),F478),2)</f>
      </c>
      <c r="Q478" s="33">
        <f>ROUND(MIN(MAX(0,N('Your debts'!$E$11)),G478),2)</f>
      </c>
      <c r="R478" s="33">
        <f>ROUND(MIN(MAX(0,N('Your debts'!$E$12)),H478),2)</f>
      </c>
      <c r="S478" s="33">
        <f>ROUND(MIN(MAX(0,N('Your debts'!$E$13)),I478),2)</f>
      </c>
      <c r="T478" s="33">
        <f>ROUND(MIN(MAX(0,N('Your debts'!$E$14)),J478),2)</f>
      </c>
      <c r="U478" s="33">
        <f>ROUND(MIN(MAX(0,N('Your debts'!$E$15)),K478),2)</f>
      </c>
      <c r="V478" s="33">
        <f>ROUND(B478-L478,2)</f>
      </c>
      <c r="W478" s="33">
        <f>ROUND(C478-M478,2)</f>
      </c>
      <c r="X478" s="33">
        <f>ROUND(D478-N478,2)</f>
      </c>
      <c r="Y478" s="33">
        <f>ROUND(E478-O478,2)</f>
      </c>
      <c r="Z478" s="33">
        <f>ROUND(F478-P478,2)</f>
      </c>
      <c r="AA478" s="33">
        <f>ROUND(G478-Q478,2)</f>
      </c>
      <c r="AB478" s="33">
        <f>ROUND(H478-R478,2)</f>
      </c>
      <c r="AC478" s="33">
        <f>ROUND(I478-S478,2)</f>
      </c>
      <c r="AD478" s="33">
        <f>ROUND(J478-T478,2)</f>
      </c>
      <c r="AE478" s="33">
        <f>ROUND(K478-U478,2)</f>
      </c>
      <c r="AF478" s="33">
        <f>IF(V478&lt;=0,0,MAX(0,MIN(V478,ROUND($AZ478-SUMPRODUCT($V478:$AE478*($V478:$AE478&gt;0)*(($V478:$AE478&lt;V478)+($V478:$AE478=V478)*($V$3:$AE$3&gt;V$3)+($V478:$AE478=V478)*($V$3:$AE$3=V$3)*($V$2:$AE$2&lt;V$2))),2))))</f>
      </c>
      <c r="AG478" s="33">
        <f>IF(W478&lt;=0,0,MAX(0,MIN(W478,ROUND($AZ478-SUMPRODUCT($V478:$AE478*($V478:$AE478&gt;0)*(($V478:$AE478&lt;W478)+($V478:$AE478=W478)*($V$3:$AE$3&gt;W$3)+($V478:$AE478=W478)*($V$3:$AE$3=W$3)*($V$2:$AE$2&lt;W$2))),2))))</f>
      </c>
      <c r="AH478" s="33">
        <f>IF(X478&lt;=0,0,MAX(0,MIN(X478,ROUND($AZ478-SUMPRODUCT($V478:$AE478*($V478:$AE478&gt;0)*(($V478:$AE478&lt;X478)+($V478:$AE478=X478)*($V$3:$AE$3&gt;X$3)+($V478:$AE478=X478)*($V$3:$AE$3=X$3)*($V$2:$AE$2&lt;X$2))),2))))</f>
      </c>
      <c r="AI478" s="33">
        <f>IF(Y478&lt;=0,0,MAX(0,MIN(Y478,ROUND($AZ478-SUMPRODUCT($V478:$AE478*($V478:$AE478&gt;0)*(($V478:$AE478&lt;Y478)+($V478:$AE478=Y478)*($V$3:$AE$3&gt;Y$3)+($V478:$AE478=Y478)*($V$3:$AE$3=Y$3)*($V$2:$AE$2&lt;Y$2))),2))))</f>
      </c>
      <c r="AJ478" s="33">
        <f>IF(Z478&lt;=0,0,MAX(0,MIN(Z478,ROUND($AZ478-SUMPRODUCT($V478:$AE478*($V478:$AE478&gt;0)*(($V478:$AE478&lt;Z478)+($V478:$AE478=Z478)*($V$3:$AE$3&gt;Z$3)+($V478:$AE478=Z478)*($V$3:$AE$3=Z$3)*($V$2:$AE$2&lt;Z$2))),2))))</f>
      </c>
      <c r="AK478" s="33">
        <f>IF(AA478&lt;=0,0,MAX(0,MIN(AA478,ROUND($AZ478-SUMPRODUCT($V478:$AE478*($V478:$AE478&gt;0)*(($V478:$AE478&lt;AA478)+($V478:$AE478=AA478)*($V$3:$AE$3&gt;AA$3)+($V478:$AE478=AA478)*($V$3:$AE$3=AA$3)*($V$2:$AE$2&lt;AA$2))),2))))</f>
      </c>
      <c r="AL478" s="33">
        <f>IF(AB478&lt;=0,0,MAX(0,MIN(AB478,ROUND($AZ478-SUMPRODUCT($V478:$AE478*($V478:$AE478&gt;0)*(($V478:$AE478&lt;AB478)+($V478:$AE478=AB478)*($V$3:$AE$3&gt;AB$3)+($V478:$AE478=AB478)*($V$3:$AE$3=AB$3)*($V$2:$AE$2&lt;AB$2))),2))))</f>
      </c>
      <c r="AM478" s="33">
        <f>IF(AC478&lt;=0,0,MAX(0,MIN(AC478,ROUND($AZ478-SUMPRODUCT($V478:$AE478*($V478:$AE478&gt;0)*(($V478:$AE478&lt;AC478)+($V478:$AE478=AC478)*($V$3:$AE$3&gt;AC$3)+($V478:$AE478=AC478)*($V$3:$AE$3=AC$3)*($V$2:$AE$2&lt;AC$2))),2))))</f>
      </c>
      <c r="AN478" s="33">
        <f>IF(AD478&lt;=0,0,MAX(0,MIN(AD478,ROUND($AZ478-SUMPRODUCT($V478:$AE478*($V478:$AE478&gt;0)*(($V478:$AE478&lt;AD478)+($V478:$AE478=AD478)*($V$3:$AE$3&gt;AD$3)+($V478:$AE478=AD478)*($V$3:$AE$3=AD$3)*($V$2:$AE$2&lt;AD$2))),2))))</f>
      </c>
      <c r="AO478" s="33">
        <f>IF(AE478&lt;=0,0,MAX(0,MIN(AE478,ROUND($AZ478-SUMPRODUCT($V478:$AE478*($V478:$AE478&gt;0)*(($V478:$AE478&lt;AE478)+($V478:$AE478=AE478)*($V$3:$AE$3&gt;AE$3)+($V478:$AE478=AE478)*($V$3:$AE$3=AE$3)*($V$2:$AE$2&lt;AE$2))),2))))</f>
      </c>
      <c r="AP478" s="33">
        <f>ROUND(V478-AF478,2)</f>
      </c>
      <c r="AQ478" s="33">
        <f>ROUND(W478-AG478,2)</f>
      </c>
      <c r="AR478" s="33">
        <f>ROUND(X478-AH478,2)</f>
      </c>
      <c r="AS478" s="33">
        <f>ROUND(Y478-AI478,2)</f>
      </c>
      <c r="AT478" s="33">
        <f>ROUND(Z478-AJ478,2)</f>
      </c>
      <c r="AU478" s="33">
        <f>ROUND(AA478-AK478,2)</f>
      </c>
      <c r="AV478" s="33">
        <f>ROUND(AB478-AL478,2)</f>
      </c>
      <c r="AW478" s="33">
        <f>ROUND(AC478-AM478,2)</f>
      </c>
      <c r="AX478" s="33">
        <f>ROUND(AD478-AN478,2)</f>
      </c>
      <c r="AY478" s="33">
        <f>ROUND(AE478-AO478,2)</f>
      </c>
      <c r="AZ478" s="33">
        <f>ROUND(MAX(0,'Your debts'!$D$22-SUM($L478:$U478)),2)</f>
      </c>
      <c r="BA478" s="33">
        <f>ROUND(SUM($B478:$K478)-SUM($AP477:$AY477),2)</f>
      </c>
      <c r="BB478" s="33">
        <f>SUM($AP478:$AY478)</f>
      </c>
      <c r="BC478" s="33">
        <f>ROUND(SUM($L478:$U478)+SUM($AF478:$AO478),2)</f>
      </c>
    </row>
    <row r="479" spans="1:55" x14ac:dyDescent="0.25">
      <c r="A479">
        <v>472</v>
      </c>
      <c r="B479" s="33">
        <f>IF(AP478&lt;=0,0,ROUND(AP478+ROUND(AP478*V$3/12,2),2))</f>
      </c>
      <c r="C479" s="33">
        <f>IF(AQ478&lt;=0,0,ROUND(AQ478+ROUND(AQ478*W$3/12,2),2))</f>
      </c>
      <c r="D479" s="33">
        <f>IF(AR478&lt;=0,0,ROUND(AR478+ROUND(AR478*X$3/12,2),2))</f>
      </c>
      <c r="E479" s="33">
        <f>IF(AS478&lt;=0,0,ROUND(AS478+ROUND(AS478*Y$3/12,2),2))</f>
      </c>
      <c r="F479" s="33">
        <f>IF(AT478&lt;=0,0,ROUND(AT478+ROUND(AT478*Z$3/12,2),2))</f>
      </c>
      <c r="G479" s="33">
        <f>IF(AU478&lt;=0,0,ROUND(AU478+ROUND(AU478*AA$3/12,2),2))</f>
      </c>
      <c r="H479" s="33">
        <f>IF(AV478&lt;=0,0,ROUND(AV478+ROUND(AV478*AB$3/12,2),2))</f>
      </c>
      <c r="I479" s="33">
        <f>IF(AW478&lt;=0,0,ROUND(AW478+ROUND(AW478*AC$3/12,2),2))</f>
      </c>
      <c r="J479" s="33">
        <f>IF(AX478&lt;=0,0,ROUND(AX478+ROUND(AX478*AD$3/12,2),2))</f>
      </c>
      <c r="K479" s="33">
        <f>IF(AY478&lt;=0,0,ROUND(AY478+ROUND(AY478*AE$3/12,2),2))</f>
      </c>
      <c r="L479" s="33">
        <f>ROUND(MIN(MAX(0,N('Your debts'!$E$6)),B479),2)</f>
      </c>
      <c r="M479" s="33">
        <f>ROUND(MIN(MAX(0,N('Your debts'!$E$7)),C479),2)</f>
      </c>
      <c r="N479" s="33">
        <f>ROUND(MIN(MAX(0,N('Your debts'!$E$8)),D479),2)</f>
      </c>
      <c r="O479" s="33">
        <f>ROUND(MIN(MAX(0,N('Your debts'!$E$9)),E479),2)</f>
      </c>
      <c r="P479" s="33">
        <f>ROUND(MIN(MAX(0,N('Your debts'!$E$10)),F479),2)</f>
      </c>
      <c r="Q479" s="33">
        <f>ROUND(MIN(MAX(0,N('Your debts'!$E$11)),G479),2)</f>
      </c>
      <c r="R479" s="33">
        <f>ROUND(MIN(MAX(0,N('Your debts'!$E$12)),H479),2)</f>
      </c>
      <c r="S479" s="33">
        <f>ROUND(MIN(MAX(0,N('Your debts'!$E$13)),I479),2)</f>
      </c>
      <c r="T479" s="33">
        <f>ROUND(MIN(MAX(0,N('Your debts'!$E$14)),J479),2)</f>
      </c>
      <c r="U479" s="33">
        <f>ROUND(MIN(MAX(0,N('Your debts'!$E$15)),K479),2)</f>
      </c>
      <c r="V479" s="33">
        <f>ROUND(B479-L479,2)</f>
      </c>
      <c r="W479" s="33">
        <f>ROUND(C479-M479,2)</f>
      </c>
      <c r="X479" s="33">
        <f>ROUND(D479-N479,2)</f>
      </c>
      <c r="Y479" s="33">
        <f>ROUND(E479-O479,2)</f>
      </c>
      <c r="Z479" s="33">
        <f>ROUND(F479-P479,2)</f>
      </c>
      <c r="AA479" s="33">
        <f>ROUND(G479-Q479,2)</f>
      </c>
      <c r="AB479" s="33">
        <f>ROUND(H479-R479,2)</f>
      </c>
      <c r="AC479" s="33">
        <f>ROUND(I479-S479,2)</f>
      </c>
      <c r="AD479" s="33">
        <f>ROUND(J479-T479,2)</f>
      </c>
      <c r="AE479" s="33">
        <f>ROUND(K479-U479,2)</f>
      </c>
      <c r="AF479" s="33">
        <f>IF(V479&lt;=0,0,MAX(0,MIN(V479,ROUND($AZ479-SUMPRODUCT($V479:$AE479*($V479:$AE479&gt;0)*(($V479:$AE479&lt;V479)+($V479:$AE479=V479)*($V$3:$AE$3&gt;V$3)+($V479:$AE479=V479)*($V$3:$AE$3=V$3)*($V$2:$AE$2&lt;V$2))),2))))</f>
      </c>
      <c r="AG479" s="33">
        <f>IF(W479&lt;=0,0,MAX(0,MIN(W479,ROUND($AZ479-SUMPRODUCT($V479:$AE479*($V479:$AE479&gt;0)*(($V479:$AE479&lt;W479)+($V479:$AE479=W479)*($V$3:$AE$3&gt;W$3)+($V479:$AE479=W479)*($V$3:$AE$3=W$3)*($V$2:$AE$2&lt;W$2))),2))))</f>
      </c>
      <c r="AH479" s="33">
        <f>IF(X479&lt;=0,0,MAX(0,MIN(X479,ROUND($AZ479-SUMPRODUCT($V479:$AE479*($V479:$AE479&gt;0)*(($V479:$AE479&lt;X479)+($V479:$AE479=X479)*($V$3:$AE$3&gt;X$3)+($V479:$AE479=X479)*($V$3:$AE$3=X$3)*($V$2:$AE$2&lt;X$2))),2))))</f>
      </c>
      <c r="AI479" s="33">
        <f>IF(Y479&lt;=0,0,MAX(0,MIN(Y479,ROUND($AZ479-SUMPRODUCT($V479:$AE479*($V479:$AE479&gt;0)*(($V479:$AE479&lt;Y479)+($V479:$AE479=Y479)*($V$3:$AE$3&gt;Y$3)+($V479:$AE479=Y479)*($V$3:$AE$3=Y$3)*($V$2:$AE$2&lt;Y$2))),2))))</f>
      </c>
      <c r="AJ479" s="33">
        <f>IF(Z479&lt;=0,0,MAX(0,MIN(Z479,ROUND($AZ479-SUMPRODUCT($V479:$AE479*($V479:$AE479&gt;0)*(($V479:$AE479&lt;Z479)+($V479:$AE479=Z479)*($V$3:$AE$3&gt;Z$3)+($V479:$AE479=Z479)*($V$3:$AE$3=Z$3)*($V$2:$AE$2&lt;Z$2))),2))))</f>
      </c>
      <c r="AK479" s="33">
        <f>IF(AA479&lt;=0,0,MAX(0,MIN(AA479,ROUND($AZ479-SUMPRODUCT($V479:$AE479*($V479:$AE479&gt;0)*(($V479:$AE479&lt;AA479)+($V479:$AE479=AA479)*($V$3:$AE$3&gt;AA$3)+($V479:$AE479=AA479)*($V$3:$AE$3=AA$3)*($V$2:$AE$2&lt;AA$2))),2))))</f>
      </c>
      <c r="AL479" s="33">
        <f>IF(AB479&lt;=0,0,MAX(0,MIN(AB479,ROUND($AZ479-SUMPRODUCT($V479:$AE479*($V479:$AE479&gt;0)*(($V479:$AE479&lt;AB479)+($V479:$AE479=AB479)*($V$3:$AE$3&gt;AB$3)+($V479:$AE479=AB479)*($V$3:$AE$3=AB$3)*($V$2:$AE$2&lt;AB$2))),2))))</f>
      </c>
      <c r="AM479" s="33">
        <f>IF(AC479&lt;=0,0,MAX(0,MIN(AC479,ROUND($AZ479-SUMPRODUCT($V479:$AE479*($V479:$AE479&gt;0)*(($V479:$AE479&lt;AC479)+($V479:$AE479=AC479)*($V$3:$AE$3&gt;AC$3)+($V479:$AE479=AC479)*($V$3:$AE$3=AC$3)*($V$2:$AE$2&lt;AC$2))),2))))</f>
      </c>
      <c r="AN479" s="33">
        <f>IF(AD479&lt;=0,0,MAX(0,MIN(AD479,ROUND($AZ479-SUMPRODUCT($V479:$AE479*($V479:$AE479&gt;0)*(($V479:$AE479&lt;AD479)+($V479:$AE479=AD479)*($V$3:$AE$3&gt;AD$3)+($V479:$AE479=AD479)*($V$3:$AE$3=AD$3)*($V$2:$AE$2&lt;AD$2))),2))))</f>
      </c>
      <c r="AO479" s="33">
        <f>IF(AE479&lt;=0,0,MAX(0,MIN(AE479,ROUND($AZ479-SUMPRODUCT($V479:$AE479*($V479:$AE479&gt;0)*(($V479:$AE479&lt;AE479)+($V479:$AE479=AE479)*($V$3:$AE$3&gt;AE$3)+($V479:$AE479=AE479)*($V$3:$AE$3=AE$3)*($V$2:$AE$2&lt;AE$2))),2))))</f>
      </c>
      <c r="AP479" s="33">
        <f>ROUND(V479-AF479,2)</f>
      </c>
      <c r="AQ479" s="33">
        <f>ROUND(W479-AG479,2)</f>
      </c>
      <c r="AR479" s="33">
        <f>ROUND(X479-AH479,2)</f>
      </c>
      <c r="AS479" s="33">
        <f>ROUND(Y479-AI479,2)</f>
      </c>
      <c r="AT479" s="33">
        <f>ROUND(Z479-AJ479,2)</f>
      </c>
      <c r="AU479" s="33">
        <f>ROUND(AA479-AK479,2)</f>
      </c>
      <c r="AV479" s="33">
        <f>ROUND(AB479-AL479,2)</f>
      </c>
      <c r="AW479" s="33">
        <f>ROUND(AC479-AM479,2)</f>
      </c>
      <c r="AX479" s="33">
        <f>ROUND(AD479-AN479,2)</f>
      </c>
      <c r="AY479" s="33">
        <f>ROUND(AE479-AO479,2)</f>
      </c>
      <c r="AZ479" s="33">
        <f>ROUND(MAX(0,'Your debts'!$D$22-SUM($L479:$U479)),2)</f>
      </c>
      <c r="BA479" s="33">
        <f>ROUND(SUM($B479:$K479)-SUM($AP478:$AY478),2)</f>
      </c>
      <c r="BB479" s="33">
        <f>SUM($AP479:$AY479)</f>
      </c>
      <c r="BC479" s="33">
        <f>ROUND(SUM($L479:$U479)+SUM($AF479:$AO479),2)</f>
      </c>
    </row>
    <row r="480" spans="1:55" x14ac:dyDescent="0.25">
      <c r="A480">
        <v>473</v>
      </c>
      <c r="B480" s="33">
        <f>IF(AP479&lt;=0,0,ROUND(AP479+ROUND(AP479*V$3/12,2),2))</f>
      </c>
      <c r="C480" s="33">
        <f>IF(AQ479&lt;=0,0,ROUND(AQ479+ROUND(AQ479*W$3/12,2),2))</f>
      </c>
      <c r="D480" s="33">
        <f>IF(AR479&lt;=0,0,ROUND(AR479+ROUND(AR479*X$3/12,2),2))</f>
      </c>
      <c r="E480" s="33">
        <f>IF(AS479&lt;=0,0,ROUND(AS479+ROUND(AS479*Y$3/12,2),2))</f>
      </c>
      <c r="F480" s="33">
        <f>IF(AT479&lt;=0,0,ROUND(AT479+ROUND(AT479*Z$3/12,2),2))</f>
      </c>
      <c r="G480" s="33">
        <f>IF(AU479&lt;=0,0,ROUND(AU479+ROUND(AU479*AA$3/12,2),2))</f>
      </c>
      <c r="H480" s="33">
        <f>IF(AV479&lt;=0,0,ROUND(AV479+ROUND(AV479*AB$3/12,2),2))</f>
      </c>
      <c r="I480" s="33">
        <f>IF(AW479&lt;=0,0,ROUND(AW479+ROUND(AW479*AC$3/12,2),2))</f>
      </c>
      <c r="J480" s="33">
        <f>IF(AX479&lt;=0,0,ROUND(AX479+ROUND(AX479*AD$3/12,2),2))</f>
      </c>
      <c r="K480" s="33">
        <f>IF(AY479&lt;=0,0,ROUND(AY479+ROUND(AY479*AE$3/12,2),2))</f>
      </c>
      <c r="L480" s="33">
        <f>ROUND(MIN(MAX(0,N('Your debts'!$E$6)),B480),2)</f>
      </c>
      <c r="M480" s="33">
        <f>ROUND(MIN(MAX(0,N('Your debts'!$E$7)),C480),2)</f>
      </c>
      <c r="N480" s="33">
        <f>ROUND(MIN(MAX(0,N('Your debts'!$E$8)),D480),2)</f>
      </c>
      <c r="O480" s="33">
        <f>ROUND(MIN(MAX(0,N('Your debts'!$E$9)),E480),2)</f>
      </c>
      <c r="P480" s="33">
        <f>ROUND(MIN(MAX(0,N('Your debts'!$E$10)),F480),2)</f>
      </c>
      <c r="Q480" s="33">
        <f>ROUND(MIN(MAX(0,N('Your debts'!$E$11)),G480),2)</f>
      </c>
      <c r="R480" s="33">
        <f>ROUND(MIN(MAX(0,N('Your debts'!$E$12)),H480),2)</f>
      </c>
      <c r="S480" s="33">
        <f>ROUND(MIN(MAX(0,N('Your debts'!$E$13)),I480),2)</f>
      </c>
      <c r="T480" s="33">
        <f>ROUND(MIN(MAX(0,N('Your debts'!$E$14)),J480),2)</f>
      </c>
      <c r="U480" s="33">
        <f>ROUND(MIN(MAX(0,N('Your debts'!$E$15)),K480),2)</f>
      </c>
      <c r="V480" s="33">
        <f>ROUND(B480-L480,2)</f>
      </c>
      <c r="W480" s="33">
        <f>ROUND(C480-M480,2)</f>
      </c>
      <c r="X480" s="33">
        <f>ROUND(D480-N480,2)</f>
      </c>
      <c r="Y480" s="33">
        <f>ROUND(E480-O480,2)</f>
      </c>
      <c r="Z480" s="33">
        <f>ROUND(F480-P480,2)</f>
      </c>
      <c r="AA480" s="33">
        <f>ROUND(G480-Q480,2)</f>
      </c>
      <c r="AB480" s="33">
        <f>ROUND(H480-R480,2)</f>
      </c>
      <c r="AC480" s="33">
        <f>ROUND(I480-S480,2)</f>
      </c>
      <c r="AD480" s="33">
        <f>ROUND(J480-T480,2)</f>
      </c>
      <c r="AE480" s="33">
        <f>ROUND(K480-U480,2)</f>
      </c>
      <c r="AF480" s="33">
        <f>IF(V480&lt;=0,0,MAX(0,MIN(V480,ROUND($AZ480-SUMPRODUCT($V480:$AE480*($V480:$AE480&gt;0)*(($V480:$AE480&lt;V480)+($V480:$AE480=V480)*($V$3:$AE$3&gt;V$3)+($V480:$AE480=V480)*($V$3:$AE$3=V$3)*($V$2:$AE$2&lt;V$2))),2))))</f>
      </c>
      <c r="AG480" s="33">
        <f>IF(W480&lt;=0,0,MAX(0,MIN(W480,ROUND($AZ480-SUMPRODUCT($V480:$AE480*($V480:$AE480&gt;0)*(($V480:$AE480&lt;W480)+($V480:$AE480=W480)*($V$3:$AE$3&gt;W$3)+($V480:$AE480=W480)*($V$3:$AE$3=W$3)*($V$2:$AE$2&lt;W$2))),2))))</f>
      </c>
      <c r="AH480" s="33">
        <f>IF(X480&lt;=0,0,MAX(0,MIN(X480,ROUND($AZ480-SUMPRODUCT($V480:$AE480*($V480:$AE480&gt;0)*(($V480:$AE480&lt;X480)+($V480:$AE480=X480)*($V$3:$AE$3&gt;X$3)+($V480:$AE480=X480)*($V$3:$AE$3=X$3)*($V$2:$AE$2&lt;X$2))),2))))</f>
      </c>
      <c r="AI480" s="33">
        <f>IF(Y480&lt;=0,0,MAX(0,MIN(Y480,ROUND($AZ480-SUMPRODUCT($V480:$AE480*($V480:$AE480&gt;0)*(($V480:$AE480&lt;Y480)+($V480:$AE480=Y480)*($V$3:$AE$3&gt;Y$3)+($V480:$AE480=Y480)*($V$3:$AE$3=Y$3)*($V$2:$AE$2&lt;Y$2))),2))))</f>
      </c>
      <c r="AJ480" s="33">
        <f>IF(Z480&lt;=0,0,MAX(0,MIN(Z480,ROUND($AZ480-SUMPRODUCT($V480:$AE480*($V480:$AE480&gt;0)*(($V480:$AE480&lt;Z480)+($V480:$AE480=Z480)*($V$3:$AE$3&gt;Z$3)+($V480:$AE480=Z480)*($V$3:$AE$3=Z$3)*($V$2:$AE$2&lt;Z$2))),2))))</f>
      </c>
      <c r="AK480" s="33">
        <f>IF(AA480&lt;=0,0,MAX(0,MIN(AA480,ROUND($AZ480-SUMPRODUCT($V480:$AE480*($V480:$AE480&gt;0)*(($V480:$AE480&lt;AA480)+($V480:$AE480=AA480)*($V$3:$AE$3&gt;AA$3)+($V480:$AE480=AA480)*($V$3:$AE$3=AA$3)*($V$2:$AE$2&lt;AA$2))),2))))</f>
      </c>
      <c r="AL480" s="33">
        <f>IF(AB480&lt;=0,0,MAX(0,MIN(AB480,ROUND($AZ480-SUMPRODUCT($V480:$AE480*($V480:$AE480&gt;0)*(($V480:$AE480&lt;AB480)+($V480:$AE480=AB480)*($V$3:$AE$3&gt;AB$3)+($V480:$AE480=AB480)*($V$3:$AE$3=AB$3)*($V$2:$AE$2&lt;AB$2))),2))))</f>
      </c>
      <c r="AM480" s="33">
        <f>IF(AC480&lt;=0,0,MAX(0,MIN(AC480,ROUND($AZ480-SUMPRODUCT($V480:$AE480*($V480:$AE480&gt;0)*(($V480:$AE480&lt;AC480)+($V480:$AE480=AC480)*($V$3:$AE$3&gt;AC$3)+($V480:$AE480=AC480)*($V$3:$AE$3=AC$3)*($V$2:$AE$2&lt;AC$2))),2))))</f>
      </c>
      <c r="AN480" s="33">
        <f>IF(AD480&lt;=0,0,MAX(0,MIN(AD480,ROUND($AZ480-SUMPRODUCT($V480:$AE480*($V480:$AE480&gt;0)*(($V480:$AE480&lt;AD480)+($V480:$AE480=AD480)*($V$3:$AE$3&gt;AD$3)+($V480:$AE480=AD480)*($V$3:$AE$3=AD$3)*($V$2:$AE$2&lt;AD$2))),2))))</f>
      </c>
      <c r="AO480" s="33">
        <f>IF(AE480&lt;=0,0,MAX(0,MIN(AE480,ROUND($AZ480-SUMPRODUCT($V480:$AE480*($V480:$AE480&gt;0)*(($V480:$AE480&lt;AE480)+($V480:$AE480=AE480)*($V$3:$AE$3&gt;AE$3)+($V480:$AE480=AE480)*($V$3:$AE$3=AE$3)*($V$2:$AE$2&lt;AE$2))),2))))</f>
      </c>
      <c r="AP480" s="33">
        <f>ROUND(V480-AF480,2)</f>
      </c>
      <c r="AQ480" s="33">
        <f>ROUND(W480-AG480,2)</f>
      </c>
      <c r="AR480" s="33">
        <f>ROUND(X480-AH480,2)</f>
      </c>
      <c r="AS480" s="33">
        <f>ROUND(Y480-AI480,2)</f>
      </c>
      <c r="AT480" s="33">
        <f>ROUND(Z480-AJ480,2)</f>
      </c>
      <c r="AU480" s="33">
        <f>ROUND(AA480-AK480,2)</f>
      </c>
      <c r="AV480" s="33">
        <f>ROUND(AB480-AL480,2)</f>
      </c>
      <c r="AW480" s="33">
        <f>ROUND(AC480-AM480,2)</f>
      </c>
      <c r="AX480" s="33">
        <f>ROUND(AD480-AN480,2)</f>
      </c>
      <c r="AY480" s="33">
        <f>ROUND(AE480-AO480,2)</f>
      </c>
      <c r="AZ480" s="33">
        <f>ROUND(MAX(0,'Your debts'!$D$22-SUM($L480:$U480)),2)</f>
      </c>
      <c r="BA480" s="33">
        <f>ROUND(SUM($B480:$K480)-SUM($AP479:$AY479),2)</f>
      </c>
      <c r="BB480" s="33">
        <f>SUM($AP480:$AY480)</f>
      </c>
      <c r="BC480" s="33">
        <f>ROUND(SUM($L480:$U480)+SUM($AF480:$AO480),2)</f>
      </c>
    </row>
    <row r="481" spans="1:55" x14ac:dyDescent="0.25">
      <c r="A481">
        <v>474</v>
      </c>
      <c r="B481" s="33">
        <f>IF(AP480&lt;=0,0,ROUND(AP480+ROUND(AP480*V$3/12,2),2))</f>
      </c>
      <c r="C481" s="33">
        <f>IF(AQ480&lt;=0,0,ROUND(AQ480+ROUND(AQ480*W$3/12,2),2))</f>
      </c>
      <c r="D481" s="33">
        <f>IF(AR480&lt;=0,0,ROUND(AR480+ROUND(AR480*X$3/12,2),2))</f>
      </c>
      <c r="E481" s="33">
        <f>IF(AS480&lt;=0,0,ROUND(AS480+ROUND(AS480*Y$3/12,2),2))</f>
      </c>
      <c r="F481" s="33">
        <f>IF(AT480&lt;=0,0,ROUND(AT480+ROUND(AT480*Z$3/12,2),2))</f>
      </c>
      <c r="G481" s="33">
        <f>IF(AU480&lt;=0,0,ROUND(AU480+ROUND(AU480*AA$3/12,2),2))</f>
      </c>
      <c r="H481" s="33">
        <f>IF(AV480&lt;=0,0,ROUND(AV480+ROUND(AV480*AB$3/12,2),2))</f>
      </c>
      <c r="I481" s="33">
        <f>IF(AW480&lt;=0,0,ROUND(AW480+ROUND(AW480*AC$3/12,2),2))</f>
      </c>
      <c r="J481" s="33">
        <f>IF(AX480&lt;=0,0,ROUND(AX480+ROUND(AX480*AD$3/12,2),2))</f>
      </c>
      <c r="K481" s="33">
        <f>IF(AY480&lt;=0,0,ROUND(AY480+ROUND(AY480*AE$3/12,2),2))</f>
      </c>
      <c r="L481" s="33">
        <f>ROUND(MIN(MAX(0,N('Your debts'!$E$6)),B481),2)</f>
      </c>
      <c r="M481" s="33">
        <f>ROUND(MIN(MAX(0,N('Your debts'!$E$7)),C481),2)</f>
      </c>
      <c r="N481" s="33">
        <f>ROUND(MIN(MAX(0,N('Your debts'!$E$8)),D481),2)</f>
      </c>
      <c r="O481" s="33">
        <f>ROUND(MIN(MAX(0,N('Your debts'!$E$9)),E481),2)</f>
      </c>
      <c r="P481" s="33">
        <f>ROUND(MIN(MAX(0,N('Your debts'!$E$10)),F481),2)</f>
      </c>
      <c r="Q481" s="33">
        <f>ROUND(MIN(MAX(0,N('Your debts'!$E$11)),G481),2)</f>
      </c>
      <c r="R481" s="33">
        <f>ROUND(MIN(MAX(0,N('Your debts'!$E$12)),H481),2)</f>
      </c>
      <c r="S481" s="33">
        <f>ROUND(MIN(MAX(0,N('Your debts'!$E$13)),I481),2)</f>
      </c>
      <c r="T481" s="33">
        <f>ROUND(MIN(MAX(0,N('Your debts'!$E$14)),J481),2)</f>
      </c>
      <c r="U481" s="33">
        <f>ROUND(MIN(MAX(0,N('Your debts'!$E$15)),K481),2)</f>
      </c>
      <c r="V481" s="33">
        <f>ROUND(B481-L481,2)</f>
      </c>
      <c r="W481" s="33">
        <f>ROUND(C481-M481,2)</f>
      </c>
      <c r="X481" s="33">
        <f>ROUND(D481-N481,2)</f>
      </c>
      <c r="Y481" s="33">
        <f>ROUND(E481-O481,2)</f>
      </c>
      <c r="Z481" s="33">
        <f>ROUND(F481-P481,2)</f>
      </c>
      <c r="AA481" s="33">
        <f>ROUND(G481-Q481,2)</f>
      </c>
      <c r="AB481" s="33">
        <f>ROUND(H481-R481,2)</f>
      </c>
      <c r="AC481" s="33">
        <f>ROUND(I481-S481,2)</f>
      </c>
      <c r="AD481" s="33">
        <f>ROUND(J481-T481,2)</f>
      </c>
      <c r="AE481" s="33">
        <f>ROUND(K481-U481,2)</f>
      </c>
      <c r="AF481" s="33">
        <f>IF(V481&lt;=0,0,MAX(0,MIN(V481,ROUND($AZ481-SUMPRODUCT($V481:$AE481*($V481:$AE481&gt;0)*(($V481:$AE481&lt;V481)+($V481:$AE481=V481)*($V$3:$AE$3&gt;V$3)+($V481:$AE481=V481)*($V$3:$AE$3=V$3)*($V$2:$AE$2&lt;V$2))),2))))</f>
      </c>
      <c r="AG481" s="33">
        <f>IF(W481&lt;=0,0,MAX(0,MIN(W481,ROUND($AZ481-SUMPRODUCT($V481:$AE481*($V481:$AE481&gt;0)*(($V481:$AE481&lt;W481)+($V481:$AE481=W481)*($V$3:$AE$3&gt;W$3)+($V481:$AE481=W481)*($V$3:$AE$3=W$3)*($V$2:$AE$2&lt;W$2))),2))))</f>
      </c>
      <c r="AH481" s="33">
        <f>IF(X481&lt;=0,0,MAX(0,MIN(X481,ROUND($AZ481-SUMPRODUCT($V481:$AE481*($V481:$AE481&gt;0)*(($V481:$AE481&lt;X481)+($V481:$AE481=X481)*($V$3:$AE$3&gt;X$3)+($V481:$AE481=X481)*($V$3:$AE$3=X$3)*($V$2:$AE$2&lt;X$2))),2))))</f>
      </c>
      <c r="AI481" s="33">
        <f>IF(Y481&lt;=0,0,MAX(0,MIN(Y481,ROUND($AZ481-SUMPRODUCT($V481:$AE481*($V481:$AE481&gt;0)*(($V481:$AE481&lt;Y481)+($V481:$AE481=Y481)*($V$3:$AE$3&gt;Y$3)+($V481:$AE481=Y481)*($V$3:$AE$3=Y$3)*($V$2:$AE$2&lt;Y$2))),2))))</f>
      </c>
      <c r="AJ481" s="33">
        <f>IF(Z481&lt;=0,0,MAX(0,MIN(Z481,ROUND($AZ481-SUMPRODUCT($V481:$AE481*($V481:$AE481&gt;0)*(($V481:$AE481&lt;Z481)+($V481:$AE481=Z481)*($V$3:$AE$3&gt;Z$3)+($V481:$AE481=Z481)*($V$3:$AE$3=Z$3)*($V$2:$AE$2&lt;Z$2))),2))))</f>
      </c>
      <c r="AK481" s="33">
        <f>IF(AA481&lt;=0,0,MAX(0,MIN(AA481,ROUND($AZ481-SUMPRODUCT($V481:$AE481*($V481:$AE481&gt;0)*(($V481:$AE481&lt;AA481)+($V481:$AE481=AA481)*($V$3:$AE$3&gt;AA$3)+($V481:$AE481=AA481)*($V$3:$AE$3=AA$3)*($V$2:$AE$2&lt;AA$2))),2))))</f>
      </c>
      <c r="AL481" s="33">
        <f>IF(AB481&lt;=0,0,MAX(0,MIN(AB481,ROUND($AZ481-SUMPRODUCT($V481:$AE481*($V481:$AE481&gt;0)*(($V481:$AE481&lt;AB481)+($V481:$AE481=AB481)*($V$3:$AE$3&gt;AB$3)+($V481:$AE481=AB481)*($V$3:$AE$3=AB$3)*($V$2:$AE$2&lt;AB$2))),2))))</f>
      </c>
      <c r="AM481" s="33">
        <f>IF(AC481&lt;=0,0,MAX(0,MIN(AC481,ROUND($AZ481-SUMPRODUCT($V481:$AE481*($V481:$AE481&gt;0)*(($V481:$AE481&lt;AC481)+($V481:$AE481=AC481)*($V$3:$AE$3&gt;AC$3)+($V481:$AE481=AC481)*($V$3:$AE$3=AC$3)*($V$2:$AE$2&lt;AC$2))),2))))</f>
      </c>
      <c r="AN481" s="33">
        <f>IF(AD481&lt;=0,0,MAX(0,MIN(AD481,ROUND($AZ481-SUMPRODUCT($V481:$AE481*($V481:$AE481&gt;0)*(($V481:$AE481&lt;AD481)+($V481:$AE481=AD481)*($V$3:$AE$3&gt;AD$3)+($V481:$AE481=AD481)*($V$3:$AE$3=AD$3)*($V$2:$AE$2&lt;AD$2))),2))))</f>
      </c>
      <c r="AO481" s="33">
        <f>IF(AE481&lt;=0,0,MAX(0,MIN(AE481,ROUND($AZ481-SUMPRODUCT($V481:$AE481*($V481:$AE481&gt;0)*(($V481:$AE481&lt;AE481)+($V481:$AE481=AE481)*($V$3:$AE$3&gt;AE$3)+($V481:$AE481=AE481)*($V$3:$AE$3=AE$3)*($V$2:$AE$2&lt;AE$2))),2))))</f>
      </c>
      <c r="AP481" s="33">
        <f>ROUND(V481-AF481,2)</f>
      </c>
      <c r="AQ481" s="33">
        <f>ROUND(W481-AG481,2)</f>
      </c>
      <c r="AR481" s="33">
        <f>ROUND(X481-AH481,2)</f>
      </c>
      <c r="AS481" s="33">
        <f>ROUND(Y481-AI481,2)</f>
      </c>
      <c r="AT481" s="33">
        <f>ROUND(Z481-AJ481,2)</f>
      </c>
      <c r="AU481" s="33">
        <f>ROUND(AA481-AK481,2)</f>
      </c>
      <c r="AV481" s="33">
        <f>ROUND(AB481-AL481,2)</f>
      </c>
      <c r="AW481" s="33">
        <f>ROUND(AC481-AM481,2)</f>
      </c>
      <c r="AX481" s="33">
        <f>ROUND(AD481-AN481,2)</f>
      </c>
      <c r="AY481" s="33">
        <f>ROUND(AE481-AO481,2)</f>
      </c>
      <c r="AZ481" s="33">
        <f>ROUND(MAX(0,'Your debts'!$D$22-SUM($L481:$U481)),2)</f>
      </c>
      <c r="BA481" s="33">
        <f>ROUND(SUM($B481:$K481)-SUM($AP480:$AY480),2)</f>
      </c>
      <c r="BB481" s="33">
        <f>SUM($AP481:$AY481)</f>
      </c>
      <c r="BC481" s="33">
        <f>ROUND(SUM($L481:$U481)+SUM($AF481:$AO481),2)</f>
      </c>
    </row>
    <row r="482" spans="1:55" x14ac:dyDescent="0.25">
      <c r="A482">
        <v>475</v>
      </c>
      <c r="B482" s="33">
        <f>IF(AP481&lt;=0,0,ROUND(AP481+ROUND(AP481*V$3/12,2),2))</f>
      </c>
      <c r="C482" s="33">
        <f>IF(AQ481&lt;=0,0,ROUND(AQ481+ROUND(AQ481*W$3/12,2),2))</f>
      </c>
      <c r="D482" s="33">
        <f>IF(AR481&lt;=0,0,ROUND(AR481+ROUND(AR481*X$3/12,2),2))</f>
      </c>
      <c r="E482" s="33">
        <f>IF(AS481&lt;=0,0,ROUND(AS481+ROUND(AS481*Y$3/12,2),2))</f>
      </c>
      <c r="F482" s="33">
        <f>IF(AT481&lt;=0,0,ROUND(AT481+ROUND(AT481*Z$3/12,2),2))</f>
      </c>
      <c r="G482" s="33">
        <f>IF(AU481&lt;=0,0,ROUND(AU481+ROUND(AU481*AA$3/12,2),2))</f>
      </c>
      <c r="H482" s="33">
        <f>IF(AV481&lt;=0,0,ROUND(AV481+ROUND(AV481*AB$3/12,2),2))</f>
      </c>
      <c r="I482" s="33">
        <f>IF(AW481&lt;=0,0,ROUND(AW481+ROUND(AW481*AC$3/12,2),2))</f>
      </c>
      <c r="J482" s="33">
        <f>IF(AX481&lt;=0,0,ROUND(AX481+ROUND(AX481*AD$3/12,2),2))</f>
      </c>
      <c r="K482" s="33">
        <f>IF(AY481&lt;=0,0,ROUND(AY481+ROUND(AY481*AE$3/12,2),2))</f>
      </c>
      <c r="L482" s="33">
        <f>ROUND(MIN(MAX(0,N('Your debts'!$E$6)),B482),2)</f>
      </c>
      <c r="M482" s="33">
        <f>ROUND(MIN(MAX(0,N('Your debts'!$E$7)),C482),2)</f>
      </c>
      <c r="N482" s="33">
        <f>ROUND(MIN(MAX(0,N('Your debts'!$E$8)),D482),2)</f>
      </c>
      <c r="O482" s="33">
        <f>ROUND(MIN(MAX(0,N('Your debts'!$E$9)),E482),2)</f>
      </c>
      <c r="P482" s="33">
        <f>ROUND(MIN(MAX(0,N('Your debts'!$E$10)),F482),2)</f>
      </c>
      <c r="Q482" s="33">
        <f>ROUND(MIN(MAX(0,N('Your debts'!$E$11)),G482),2)</f>
      </c>
      <c r="R482" s="33">
        <f>ROUND(MIN(MAX(0,N('Your debts'!$E$12)),H482),2)</f>
      </c>
      <c r="S482" s="33">
        <f>ROUND(MIN(MAX(0,N('Your debts'!$E$13)),I482),2)</f>
      </c>
      <c r="T482" s="33">
        <f>ROUND(MIN(MAX(0,N('Your debts'!$E$14)),J482),2)</f>
      </c>
      <c r="U482" s="33">
        <f>ROUND(MIN(MAX(0,N('Your debts'!$E$15)),K482),2)</f>
      </c>
      <c r="V482" s="33">
        <f>ROUND(B482-L482,2)</f>
      </c>
      <c r="W482" s="33">
        <f>ROUND(C482-M482,2)</f>
      </c>
      <c r="X482" s="33">
        <f>ROUND(D482-N482,2)</f>
      </c>
      <c r="Y482" s="33">
        <f>ROUND(E482-O482,2)</f>
      </c>
      <c r="Z482" s="33">
        <f>ROUND(F482-P482,2)</f>
      </c>
      <c r="AA482" s="33">
        <f>ROUND(G482-Q482,2)</f>
      </c>
      <c r="AB482" s="33">
        <f>ROUND(H482-R482,2)</f>
      </c>
      <c r="AC482" s="33">
        <f>ROUND(I482-S482,2)</f>
      </c>
      <c r="AD482" s="33">
        <f>ROUND(J482-T482,2)</f>
      </c>
      <c r="AE482" s="33">
        <f>ROUND(K482-U482,2)</f>
      </c>
      <c r="AF482" s="33">
        <f>IF(V482&lt;=0,0,MAX(0,MIN(V482,ROUND($AZ482-SUMPRODUCT($V482:$AE482*($V482:$AE482&gt;0)*(($V482:$AE482&lt;V482)+($V482:$AE482=V482)*($V$3:$AE$3&gt;V$3)+($V482:$AE482=V482)*($V$3:$AE$3=V$3)*($V$2:$AE$2&lt;V$2))),2))))</f>
      </c>
      <c r="AG482" s="33">
        <f>IF(W482&lt;=0,0,MAX(0,MIN(W482,ROUND($AZ482-SUMPRODUCT($V482:$AE482*($V482:$AE482&gt;0)*(($V482:$AE482&lt;W482)+($V482:$AE482=W482)*($V$3:$AE$3&gt;W$3)+($V482:$AE482=W482)*($V$3:$AE$3=W$3)*($V$2:$AE$2&lt;W$2))),2))))</f>
      </c>
      <c r="AH482" s="33">
        <f>IF(X482&lt;=0,0,MAX(0,MIN(X482,ROUND($AZ482-SUMPRODUCT($V482:$AE482*($V482:$AE482&gt;0)*(($V482:$AE482&lt;X482)+($V482:$AE482=X482)*($V$3:$AE$3&gt;X$3)+($V482:$AE482=X482)*($V$3:$AE$3=X$3)*($V$2:$AE$2&lt;X$2))),2))))</f>
      </c>
      <c r="AI482" s="33">
        <f>IF(Y482&lt;=0,0,MAX(0,MIN(Y482,ROUND($AZ482-SUMPRODUCT($V482:$AE482*($V482:$AE482&gt;0)*(($V482:$AE482&lt;Y482)+($V482:$AE482=Y482)*($V$3:$AE$3&gt;Y$3)+($V482:$AE482=Y482)*($V$3:$AE$3=Y$3)*($V$2:$AE$2&lt;Y$2))),2))))</f>
      </c>
      <c r="AJ482" s="33">
        <f>IF(Z482&lt;=0,0,MAX(0,MIN(Z482,ROUND($AZ482-SUMPRODUCT($V482:$AE482*($V482:$AE482&gt;0)*(($V482:$AE482&lt;Z482)+($V482:$AE482=Z482)*($V$3:$AE$3&gt;Z$3)+($V482:$AE482=Z482)*($V$3:$AE$3=Z$3)*($V$2:$AE$2&lt;Z$2))),2))))</f>
      </c>
      <c r="AK482" s="33">
        <f>IF(AA482&lt;=0,0,MAX(0,MIN(AA482,ROUND($AZ482-SUMPRODUCT($V482:$AE482*($V482:$AE482&gt;0)*(($V482:$AE482&lt;AA482)+($V482:$AE482=AA482)*($V$3:$AE$3&gt;AA$3)+($V482:$AE482=AA482)*($V$3:$AE$3=AA$3)*($V$2:$AE$2&lt;AA$2))),2))))</f>
      </c>
      <c r="AL482" s="33">
        <f>IF(AB482&lt;=0,0,MAX(0,MIN(AB482,ROUND($AZ482-SUMPRODUCT($V482:$AE482*($V482:$AE482&gt;0)*(($V482:$AE482&lt;AB482)+($V482:$AE482=AB482)*($V$3:$AE$3&gt;AB$3)+($V482:$AE482=AB482)*($V$3:$AE$3=AB$3)*($V$2:$AE$2&lt;AB$2))),2))))</f>
      </c>
      <c r="AM482" s="33">
        <f>IF(AC482&lt;=0,0,MAX(0,MIN(AC482,ROUND($AZ482-SUMPRODUCT($V482:$AE482*($V482:$AE482&gt;0)*(($V482:$AE482&lt;AC482)+($V482:$AE482=AC482)*($V$3:$AE$3&gt;AC$3)+($V482:$AE482=AC482)*($V$3:$AE$3=AC$3)*($V$2:$AE$2&lt;AC$2))),2))))</f>
      </c>
      <c r="AN482" s="33">
        <f>IF(AD482&lt;=0,0,MAX(0,MIN(AD482,ROUND($AZ482-SUMPRODUCT($V482:$AE482*($V482:$AE482&gt;0)*(($V482:$AE482&lt;AD482)+($V482:$AE482=AD482)*($V$3:$AE$3&gt;AD$3)+($V482:$AE482=AD482)*($V$3:$AE$3=AD$3)*($V$2:$AE$2&lt;AD$2))),2))))</f>
      </c>
      <c r="AO482" s="33">
        <f>IF(AE482&lt;=0,0,MAX(0,MIN(AE482,ROUND($AZ482-SUMPRODUCT($V482:$AE482*($V482:$AE482&gt;0)*(($V482:$AE482&lt;AE482)+($V482:$AE482=AE482)*($V$3:$AE$3&gt;AE$3)+($V482:$AE482=AE482)*($V$3:$AE$3=AE$3)*($V$2:$AE$2&lt;AE$2))),2))))</f>
      </c>
      <c r="AP482" s="33">
        <f>ROUND(V482-AF482,2)</f>
      </c>
      <c r="AQ482" s="33">
        <f>ROUND(W482-AG482,2)</f>
      </c>
      <c r="AR482" s="33">
        <f>ROUND(X482-AH482,2)</f>
      </c>
      <c r="AS482" s="33">
        <f>ROUND(Y482-AI482,2)</f>
      </c>
      <c r="AT482" s="33">
        <f>ROUND(Z482-AJ482,2)</f>
      </c>
      <c r="AU482" s="33">
        <f>ROUND(AA482-AK482,2)</f>
      </c>
      <c r="AV482" s="33">
        <f>ROUND(AB482-AL482,2)</f>
      </c>
      <c r="AW482" s="33">
        <f>ROUND(AC482-AM482,2)</f>
      </c>
      <c r="AX482" s="33">
        <f>ROUND(AD482-AN482,2)</f>
      </c>
      <c r="AY482" s="33">
        <f>ROUND(AE482-AO482,2)</f>
      </c>
      <c r="AZ482" s="33">
        <f>ROUND(MAX(0,'Your debts'!$D$22-SUM($L482:$U482)),2)</f>
      </c>
      <c r="BA482" s="33">
        <f>ROUND(SUM($B482:$K482)-SUM($AP481:$AY481),2)</f>
      </c>
      <c r="BB482" s="33">
        <f>SUM($AP482:$AY482)</f>
      </c>
      <c r="BC482" s="33">
        <f>ROUND(SUM($L482:$U482)+SUM($AF482:$AO482),2)</f>
      </c>
    </row>
    <row r="483" spans="1:55" x14ac:dyDescent="0.25">
      <c r="A483">
        <v>476</v>
      </c>
      <c r="B483" s="33">
        <f>IF(AP482&lt;=0,0,ROUND(AP482+ROUND(AP482*V$3/12,2),2))</f>
      </c>
      <c r="C483" s="33">
        <f>IF(AQ482&lt;=0,0,ROUND(AQ482+ROUND(AQ482*W$3/12,2),2))</f>
      </c>
      <c r="D483" s="33">
        <f>IF(AR482&lt;=0,0,ROUND(AR482+ROUND(AR482*X$3/12,2),2))</f>
      </c>
      <c r="E483" s="33">
        <f>IF(AS482&lt;=0,0,ROUND(AS482+ROUND(AS482*Y$3/12,2),2))</f>
      </c>
      <c r="F483" s="33">
        <f>IF(AT482&lt;=0,0,ROUND(AT482+ROUND(AT482*Z$3/12,2),2))</f>
      </c>
      <c r="G483" s="33">
        <f>IF(AU482&lt;=0,0,ROUND(AU482+ROUND(AU482*AA$3/12,2),2))</f>
      </c>
      <c r="H483" s="33">
        <f>IF(AV482&lt;=0,0,ROUND(AV482+ROUND(AV482*AB$3/12,2),2))</f>
      </c>
      <c r="I483" s="33">
        <f>IF(AW482&lt;=0,0,ROUND(AW482+ROUND(AW482*AC$3/12,2),2))</f>
      </c>
      <c r="J483" s="33">
        <f>IF(AX482&lt;=0,0,ROUND(AX482+ROUND(AX482*AD$3/12,2),2))</f>
      </c>
      <c r="K483" s="33">
        <f>IF(AY482&lt;=0,0,ROUND(AY482+ROUND(AY482*AE$3/12,2),2))</f>
      </c>
      <c r="L483" s="33">
        <f>ROUND(MIN(MAX(0,N('Your debts'!$E$6)),B483),2)</f>
      </c>
      <c r="M483" s="33">
        <f>ROUND(MIN(MAX(0,N('Your debts'!$E$7)),C483),2)</f>
      </c>
      <c r="N483" s="33">
        <f>ROUND(MIN(MAX(0,N('Your debts'!$E$8)),D483),2)</f>
      </c>
      <c r="O483" s="33">
        <f>ROUND(MIN(MAX(0,N('Your debts'!$E$9)),E483),2)</f>
      </c>
      <c r="P483" s="33">
        <f>ROUND(MIN(MAX(0,N('Your debts'!$E$10)),F483),2)</f>
      </c>
      <c r="Q483" s="33">
        <f>ROUND(MIN(MAX(0,N('Your debts'!$E$11)),G483),2)</f>
      </c>
      <c r="R483" s="33">
        <f>ROUND(MIN(MAX(0,N('Your debts'!$E$12)),H483),2)</f>
      </c>
      <c r="S483" s="33">
        <f>ROUND(MIN(MAX(0,N('Your debts'!$E$13)),I483),2)</f>
      </c>
      <c r="T483" s="33">
        <f>ROUND(MIN(MAX(0,N('Your debts'!$E$14)),J483),2)</f>
      </c>
      <c r="U483" s="33">
        <f>ROUND(MIN(MAX(0,N('Your debts'!$E$15)),K483),2)</f>
      </c>
      <c r="V483" s="33">
        <f>ROUND(B483-L483,2)</f>
      </c>
      <c r="W483" s="33">
        <f>ROUND(C483-M483,2)</f>
      </c>
      <c r="X483" s="33">
        <f>ROUND(D483-N483,2)</f>
      </c>
      <c r="Y483" s="33">
        <f>ROUND(E483-O483,2)</f>
      </c>
      <c r="Z483" s="33">
        <f>ROUND(F483-P483,2)</f>
      </c>
      <c r="AA483" s="33">
        <f>ROUND(G483-Q483,2)</f>
      </c>
      <c r="AB483" s="33">
        <f>ROUND(H483-R483,2)</f>
      </c>
      <c r="AC483" s="33">
        <f>ROUND(I483-S483,2)</f>
      </c>
      <c r="AD483" s="33">
        <f>ROUND(J483-T483,2)</f>
      </c>
      <c r="AE483" s="33">
        <f>ROUND(K483-U483,2)</f>
      </c>
      <c r="AF483" s="33">
        <f>IF(V483&lt;=0,0,MAX(0,MIN(V483,ROUND($AZ483-SUMPRODUCT($V483:$AE483*($V483:$AE483&gt;0)*(($V483:$AE483&lt;V483)+($V483:$AE483=V483)*($V$3:$AE$3&gt;V$3)+($V483:$AE483=V483)*($V$3:$AE$3=V$3)*($V$2:$AE$2&lt;V$2))),2))))</f>
      </c>
      <c r="AG483" s="33">
        <f>IF(W483&lt;=0,0,MAX(0,MIN(W483,ROUND($AZ483-SUMPRODUCT($V483:$AE483*($V483:$AE483&gt;0)*(($V483:$AE483&lt;W483)+($V483:$AE483=W483)*($V$3:$AE$3&gt;W$3)+($V483:$AE483=W483)*($V$3:$AE$3=W$3)*($V$2:$AE$2&lt;W$2))),2))))</f>
      </c>
      <c r="AH483" s="33">
        <f>IF(X483&lt;=0,0,MAX(0,MIN(X483,ROUND($AZ483-SUMPRODUCT($V483:$AE483*($V483:$AE483&gt;0)*(($V483:$AE483&lt;X483)+($V483:$AE483=X483)*($V$3:$AE$3&gt;X$3)+($V483:$AE483=X483)*($V$3:$AE$3=X$3)*($V$2:$AE$2&lt;X$2))),2))))</f>
      </c>
      <c r="AI483" s="33">
        <f>IF(Y483&lt;=0,0,MAX(0,MIN(Y483,ROUND($AZ483-SUMPRODUCT($V483:$AE483*($V483:$AE483&gt;0)*(($V483:$AE483&lt;Y483)+($V483:$AE483=Y483)*($V$3:$AE$3&gt;Y$3)+($V483:$AE483=Y483)*($V$3:$AE$3=Y$3)*($V$2:$AE$2&lt;Y$2))),2))))</f>
      </c>
      <c r="AJ483" s="33">
        <f>IF(Z483&lt;=0,0,MAX(0,MIN(Z483,ROUND($AZ483-SUMPRODUCT($V483:$AE483*($V483:$AE483&gt;0)*(($V483:$AE483&lt;Z483)+($V483:$AE483=Z483)*($V$3:$AE$3&gt;Z$3)+($V483:$AE483=Z483)*($V$3:$AE$3=Z$3)*($V$2:$AE$2&lt;Z$2))),2))))</f>
      </c>
      <c r="AK483" s="33">
        <f>IF(AA483&lt;=0,0,MAX(0,MIN(AA483,ROUND($AZ483-SUMPRODUCT($V483:$AE483*($V483:$AE483&gt;0)*(($V483:$AE483&lt;AA483)+($V483:$AE483=AA483)*($V$3:$AE$3&gt;AA$3)+($V483:$AE483=AA483)*($V$3:$AE$3=AA$3)*($V$2:$AE$2&lt;AA$2))),2))))</f>
      </c>
      <c r="AL483" s="33">
        <f>IF(AB483&lt;=0,0,MAX(0,MIN(AB483,ROUND($AZ483-SUMPRODUCT($V483:$AE483*($V483:$AE483&gt;0)*(($V483:$AE483&lt;AB483)+($V483:$AE483=AB483)*($V$3:$AE$3&gt;AB$3)+($V483:$AE483=AB483)*($V$3:$AE$3=AB$3)*($V$2:$AE$2&lt;AB$2))),2))))</f>
      </c>
      <c r="AM483" s="33">
        <f>IF(AC483&lt;=0,0,MAX(0,MIN(AC483,ROUND($AZ483-SUMPRODUCT($V483:$AE483*($V483:$AE483&gt;0)*(($V483:$AE483&lt;AC483)+($V483:$AE483=AC483)*($V$3:$AE$3&gt;AC$3)+($V483:$AE483=AC483)*($V$3:$AE$3=AC$3)*($V$2:$AE$2&lt;AC$2))),2))))</f>
      </c>
      <c r="AN483" s="33">
        <f>IF(AD483&lt;=0,0,MAX(0,MIN(AD483,ROUND($AZ483-SUMPRODUCT($V483:$AE483*($V483:$AE483&gt;0)*(($V483:$AE483&lt;AD483)+($V483:$AE483=AD483)*($V$3:$AE$3&gt;AD$3)+($V483:$AE483=AD483)*($V$3:$AE$3=AD$3)*($V$2:$AE$2&lt;AD$2))),2))))</f>
      </c>
      <c r="AO483" s="33">
        <f>IF(AE483&lt;=0,0,MAX(0,MIN(AE483,ROUND($AZ483-SUMPRODUCT($V483:$AE483*($V483:$AE483&gt;0)*(($V483:$AE483&lt;AE483)+($V483:$AE483=AE483)*($V$3:$AE$3&gt;AE$3)+($V483:$AE483=AE483)*($V$3:$AE$3=AE$3)*($V$2:$AE$2&lt;AE$2))),2))))</f>
      </c>
      <c r="AP483" s="33">
        <f>ROUND(V483-AF483,2)</f>
      </c>
      <c r="AQ483" s="33">
        <f>ROUND(W483-AG483,2)</f>
      </c>
      <c r="AR483" s="33">
        <f>ROUND(X483-AH483,2)</f>
      </c>
      <c r="AS483" s="33">
        <f>ROUND(Y483-AI483,2)</f>
      </c>
      <c r="AT483" s="33">
        <f>ROUND(Z483-AJ483,2)</f>
      </c>
      <c r="AU483" s="33">
        <f>ROUND(AA483-AK483,2)</f>
      </c>
      <c r="AV483" s="33">
        <f>ROUND(AB483-AL483,2)</f>
      </c>
      <c r="AW483" s="33">
        <f>ROUND(AC483-AM483,2)</f>
      </c>
      <c r="AX483" s="33">
        <f>ROUND(AD483-AN483,2)</f>
      </c>
      <c r="AY483" s="33">
        <f>ROUND(AE483-AO483,2)</f>
      </c>
      <c r="AZ483" s="33">
        <f>ROUND(MAX(0,'Your debts'!$D$22-SUM($L483:$U483)),2)</f>
      </c>
      <c r="BA483" s="33">
        <f>ROUND(SUM($B483:$K483)-SUM($AP482:$AY482),2)</f>
      </c>
      <c r="BB483" s="33">
        <f>SUM($AP483:$AY483)</f>
      </c>
      <c r="BC483" s="33">
        <f>ROUND(SUM($L483:$U483)+SUM($AF483:$AO483),2)</f>
      </c>
    </row>
    <row r="484" spans="1:55" x14ac:dyDescent="0.25">
      <c r="A484">
        <v>477</v>
      </c>
      <c r="B484" s="33">
        <f>IF(AP483&lt;=0,0,ROUND(AP483+ROUND(AP483*V$3/12,2),2))</f>
      </c>
      <c r="C484" s="33">
        <f>IF(AQ483&lt;=0,0,ROUND(AQ483+ROUND(AQ483*W$3/12,2),2))</f>
      </c>
      <c r="D484" s="33">
        <f>IF(AR483&lt;=0,0,ROUND(AR483+ROUND(AR483*X$3/12,2),2))</f>
      </c>
      <c r="E484" s="33">
        <f>IF(AS483&lt;=0,0,ROUND(AS483+ROUND(AS483*Y$3/12,2),2))</f>
      </c>
      <c r="F484" s="33">
        <f>IF(AT483&lt;=0,0,ROUND(AT483+ROUND(AT483*Z$3/12,2),2))</f>
      </c>
      <c r="G484" s="33">
        <f>IF(AU483&lt;=0,0,ROUND(AU483+ROUND(AU483*AA$3/12,2),2))</f>
      </c>
      <c r="H484" s="33">
        <f>IF(AV483&lt;=0,0,ROUND(AV483+ROUND(AV483*AB$3/12,2),2))</f>
      </c>
      <c r="I484" s="33">
        <f>IF(AW483&lt;=0,0,ROUND(AW483+ROUND(AW483*AC$3/12,2),2))</f>
      </c>
      <c r="J484" s="33">
        <f>IF(AX483&lt;=0,0,ROUND(AX483+ROUND(AX483*AD$3/12,2),2))</f>
      </c>
      <c r="K484" s="33">
        <f>IF(AY483&lt;=0,0,ROUND(AY483+ROUND(AY483*AE$3/12,2),2))</f>
      </c>
      <c r="L484" s="33">
        <f>ROUND(MIN(MAX(0,N('Your debts'!$E$6)),B484),2)</f>
      </c>
      <c r="M484" s="33">
        <f>ROUND(MIN(MAX(0,N('Your debts'!$E$7)),C484),2)</f>
      </c>
      <c r="N484" s="33">
        <f>ROUND(MIN(MAX(0,N('Your debts'!$E$8)),D484),2)</f>
      </c>
      <c r="O484" s="33">
        <f>ROUND(MIN(MAX(0,N('Your debts'!$E$9)),E484),2)</f>
      </c>
      <c r="P484" s="33">
        <f>ROUND(MIN(MAX(0,N('Your debts'!$E$10)),F484),2)</f>
      </c>
      <c r="Q484" s="33">
        <f>ROUND(MIN(MAX(0,N('Your debts'!$E$11)),G484),2)</f>
      </c>
      <c r="R484" s="33">
        <f>ROUND(MIN(MAX(0,N('Your debts'!$E$12)),H484),2)</f>
      </c>
      <c r="S484" s="33">
        <f>ROUND(MIN(MAX(0,N('Your debts'!$E$13)),I484),2)</f>
      </c>
      <c r="T484" s="33">
        <f>ROUND(MIN(MAX(0,N('Your debts'!$E$14)),J484),2)</f>
      </c>
      <c r="U484" s="33">
        <f>ROUND(MIN(MAX(0,N('Your debts'!$E$15)),K484),2)</f>
      </c>
      <c r="V484" s="33">
        <f>ROUND(B484-L484,2)</f>
      </c>
      <c r="W484" s="33">
        <f>ROUND(C484-M484,2)</f>
      </c>
      <c r="X484" s="33">
        <f>ROUND(D484-N484,2)</f>
      </c>
      <c r="Y484" s="33">
        <f>ROUND(E484-O484,2)</f>
      </c>
      <c r="Z484" s="33">
        <f>ROUND(F484-P484,2)</f>
      </c>
      <c r="AA484" s="33">
        <f>ROUND(G484-Q484,2)</f>
      </c>
      <c r="AB484" s="33">
        <f>ROUND(H484-R484,2)</f>
      </c>
      <c r="AC484" s="33">
        <f>ROUND(I484-S484,2)</f>
      </c>
      <c r="AD484" s="33">
        <f>ROUND(J484-T484,2)</f>
      </c>
      <c r="AE484" s="33">
        <f>ROUND(K484-U484,2)</f>
      </c>
      <c r="AF484" s="33">
        <f>IF(V484&lt;=0,0,MAX(0,MIN(V484,ROUND($AZ484-SUMPRODUCT($V484:$AE484*($V484:$AE484&gt;0)*(($V484:$AE484&lt;V484)+($V484:$AE484=V484)*($V$3:$AE$3&gt;V$3)+($V484:$AE484=V484)*($V$3:$AE$3=V$3)*($V$2:$AE$2&lt;V$2))),2))))</f>
      </c>
      <c r="AG484" s="33">
        <f>IF(W484&lt;=0,0,MAX(0,MIN(W484,ROUND($AZ484-SUMPRODUCT($V484:$AE484*($V484:$AE484&gt;0)*(($V484:$AE484&lt;W484)+($V484:$AE484=W484)*($V$3:$AE$3&gt;W$3)+($V484:$AE484=W484)*($V$3:$AE$3=W$3)*($V$2:$AE$2&lt;W$2))),2))))</f>
      </c>
      <c r="AH484" s="33">
        <f>IF(X484&lt;=0,0,MAX(0,MIN(X484,ROUND($AZ484-SUMPRODUCT($V484:$AE484*($V484:$AE484&gt;0)*(($V484:$AE484&lt;X484)+($V484:$AE484=X484)*($V$3:$AE$3&gt;X$3)+($V484:$AE484=X484)*($V$3:$AE$3=X$3)*($V$2:$AE$2&lt;X$2))),2))))</f>
      </c>
      <c r="AI484" s="33">
        <f>IF(Y484&lt;=0,0,MAX(0,MIN(Y484,ROUND($AZ484-SUMPRODUCT($V484:$AE484*($V484:$AE484&gt;0)*(($V484:$AE484&lt;Y484)+($V484:$AE484=Y484)*($V$3:$AE$3&gt;Y$3)+($V484:$AE484=Y484)*($V$3:$AE$3=Y$3)*($V$2:$AE$2&lt;Y$2))),2))))</f>
      </c>
      <c r="AJ484" s="33">
        <f>IF(Z484&lt;=0,0,MAX(0,MIN(Z484,ROUND($AZ484-SUMPRODUCT($V484:$AE484*($V484:$AE484&gt;0)*(($V484:$AE484&lt;Z484)+($V484:$AE484=Z484)*($V$3:$AE$3&gt;Z$3)+($V484:$AE484=Z484)*($V$3:$AE$3=Z$3)*($V$2:$AE$2&lt;Z$2))),2))))</f>
      </c>
      <c r="AK484" s="33">
        <f>IF(AA484&lt;=0,0,MAX(0,MIN(AA484,ROUND($AZ484-SUMPRODUCT($V484:$AE484*($V484:$AE484&gt;0)*(($V484:$AE484&lt;AA484)+($V484:$AE484=AA484)*($V$3:$AE$3&gt;AA$3)+($V484:$AE484=AA484)*($V$3:$AE$3=AA$3)*($V$2:$AE$2&lt;AA$2))),2))))</f>
      </c>
      <c r="AL484" s="33">
        <f>IF(AB484&lt;=0,0,MAX(0,MIN(AB484,ROUND($AZ484-SUMPRODUCT($V484:$AE484*($V484:$AE484&gt;0)*(($V484:$AE484&lt;AB484)+($V484:$AE484=AB484)*($V$3:$AE$3&gt;AB$3)+($V484:$AE484=AB484)*($V$3:$AE$3=AB$3)*($V$2:$AE$2&lt;AB$2))),2))))</f>
      </c>
      <c r="AM484" s="33">
        <f>IF(AC484&lt;=0,0,MAX(0,MIN(AC484,ROUND($AZ484-SUMPRODUCT($V484:$AE484*($V484:$AE484&gt;0)*(($V484:$AE484&lt;AC484)+($V484:$AE484=AC484)*($V$3:$AE$3&gt;AC$3)+($V484:$AE484=AC484)*($V$3:$AE$3=AC$3)*($V$2:$AE$2&lt;AC$2))),2))))</f>
      </c>
      <c r="AN484" s="33">
        <f>IF(AD484&lt;=0,0,MAX(0,MIN(AD484,ROUND($AZ484-SUMPRODUCT($V484:$AE484*($V484:$AE484&gt;0)*(($V484:$AE484&lt;AD484)+($V484:$AE484=AD484)*($V$3:$AE$3&gt;AD$3)+($V484:$AE484=AD484)*($V$3:$AE$3=AD$3)*($V$2:$AE$2&lt;AD$2))),2))))</f>
      </c>
      <c r="AO484" s="33">
        <f>IF(AE484&lt;=0,0,MAX(0,MIN(AE484,ROUND($AZ484-SUMPRODUCT($V484:$AE484*($V484:$AE484&gt;0)*(($V484:$AE484&lt;AE484)+($V484:$AE484=AE484)*($V$3:$AE$3&gt;AE$3)+($V484:$AE484=AE484)*($V$3:$AE$3=AE$3)*($V$2:$AE$2&lt;AE$2))),2))))</f>
      </c>
      <c r="AP484" s="33">
        <f>ROUND(V484-AF484,2)</f>
      </c>
      <c r="AQ484" s="33">
        <f>ROUND(W484-AG484,2)</f>
      </c>
      <c r="AR484" s="33">
        <f>ROUND(X484-AH484,2)</f>
      </c>
      <c r="AS484" s="33">
        <f>ROUND(Y484-AI484,2)</f>
      </c>
      <c r="AT484" s="33">
        <f>ROUND(Z484-AJ484,2)</f>
      </c>
      <c r="AU484" s="33">
        <f>ROUND(AA484-AK484,2)</f>
      </c>
      <c r="AV484" s="33">
        <f>ROUND(AB484-AL484,2)</f>
      </c>
      <c r="AW484" s="33">
        <f>ROUND(AC484-AM484,2)</f>
      </c>
      <c r="AX484" s="33">
        <f>ROUND(AD484-AN484,2)</f>
      </c>
      <c r="AY484" s="33">
        <f>ROUND(AE484-AO484,2)</f>
      </c>
      <c r="AZ484" s="33">
        <f>ROUND(MAX(0,'Your debts'!$D$22-SUM($L484:$U484)),2)</f>
      </c>
      <c r="BA484" s="33">
        <f>ROUND(SUM($B484:$K484)-SUM($AP483:$AY483),2)</f>
      </c>
      <c r="BB484" s="33">
        <f>SUM($AP484:$AY484)</f>
      </c>
      <c r="BC484" s="33">
        <f>ROUND(SUM($L484:$U484)+SUM($AF484:$AO484),2)</f>
      </c>
    </row>
    <row r="485" spans="1:55" x14ac:dyDescent="0.25">
      <c r="A485">
        <v>478</v>
      </c>
      <c r="B485" s="33">
        <f>IF(AP484&lt;=0,0,ROUND(AP484+ROUND(AP484*V$3/12,2),2))</f>
      </c>
      <c r="C485" s="33">
        <f>IF(AQ484&lt;=0,0,ROUND(AQ484+ROUND(AQ484*W$3/12,2),2))</f>
      </c>
      <c r="D485" s="33">
        <f>IF(AR484&lt;=0,0,ROUND(AR484+ROUND(AR484*X$3/12,2),2))</f>
      </c>
      <c r="E485" s="33">
        <f>IF(AS484&lt;=0,0,ROUND(AS484+ROUND(AS484*Y$3/12,2),2))</f>
      </c>
      <c r="F485" s="33">
        <f>IF(AT484&lt;=0,0,ROUND(AT484+ROUND(AT484*Z$3/12,2),2))</f>
      </c>
      <c r="G485" s="33">
        <f>IF(AU484&lt;=0,0,ROUND(AU484+ROUND(AU484*AA$3/12,2),2))</f>
      </c>
      <c r="H485" s="33">
        <f>IF(AV484&lt;=0,0,ROUND(AV484+ROUND(AV484*AB$3/12,2),2))</f>
      </c>
      <c r="I485" s="33">
        <f>IF(AW484&lt;=0,0,ROUND(AW484+ROUND(AW484*AC$3/12,2),2))</f>
      </c>
      <c r="J485" s="33">
        <f>IF(AX484&lt;=0,0,ROUND(AX484+ROUND(AX484*AD$3/12,2),2))</f>
      </c>
      <c r="K485" s="33">
        <f>IF(AY484&lt;=0,0,ROUND(AY484+ROUND(AY484*AE$3/12,2),2))</f>
      </c>
      <c r="L485" s="33">
        <f>ROUND(MIN(MAX(0,N('Your debts'!$E$6)),B485),2)</f>
      </c>
      <c r="M485" s="33">
        <f>ROUND(MIN(MAX(0,N('Your debts'!$E$7)),C485),2)</f>
      </c>
      <c r="N485" s="33">
        <f>ROUND(MIN(MAX(0,N('Your debts'!$E$8)),D485),2)</f>
      </c>
      <c r="O485" s="33">
        <f>ROUND(MIN(MAX(0,N('Your debts'!$E$9)),E485),2)</f>
      </c>
      <c r="P485" s="33">
        <f>ROUND(MIN(MAX(0,N('Your debts'!$E$10)),F485),2)</f>
      </c>
      <c r="Q485" s="33">
        <f>ROUND(MIN(MAX(0,N('Your debts'!$E$11)),G485),2)</f>
      </c>
      <c r="R485" s="33">
        <f>ROUND(MIN(MAX(0,N('Your debts'!$E$12)),H485),2)</f>
      </c>
      <c r="S485" s="33">
        <f>ROUND(MIN(MAX(0,N('Your debts'!$E$13)),I485),2)</f>
      </c>
      <c r="T485" s="33">
        <f>ROUND(MIN(MAX(0,N('Your debts'!$E$14)),J485),2)</f>
      </c>
      <c r="U485" s="33">
        <f>ROUND(MIN(MAX(0,N('Your debts'!$E$15)),K485),2)</f>
      </c>
      <c r="V485" s="33">
        <f>ROUND(B485-L485,2)</f>
      </c>
      <c r="W485" s="33">
        <f>ROUND(C485-M485,2)</f>
      </c>
      <c r="X485" s="33">
        <f>ROUND(D485-N485,2)</f>
      </c>
      <c r="Y485" s="33">
        <f>ROUND(E485-O485,2)</f>
      </c>
      <c r="Z485" s="33">
        <f>ROUND(F485-P485,2)</f>
      </c>
      <c r="AA485" s="33">
        <f>ROUND(G485-Q485,2)</f>
      </c>
      <c r="AB485" s="33">
        <f>ROUND(H485-R485,2)</f>
      </c>
      <c r="AC485" s="33">
        <f>ROUND(I485-S485,2)</f>
      </c>
      <c r="AD485" s="33">
        <f>ROUND(J485-T485,2)</f>
      </c>
      <c r="AE485" s="33">
        <f>ROUND(K485-U485,2)</f>
      </c>
      <c r="AF485" s="33">
        <f>IF(V485&lt;=0,0,MAX(0,MIN(V485,ROUND($AZ485-SUMPRODUCT($V485:$AE485*($V485:$AE485&gt;0)*(($V485:$AE485&lt;V485)+($V485:$AE485=V485)*($V$3:$AE$3&gt;V$3)+($V485:$AE485=V485)*($V$3:$AE$3=V$3)*($V$2:$AE$2&lt;V$2))),2))))</f>
      </c>
      <c r="AG485" s="33">
        <f>IF(W485&lt;=0,0,MAX(0,MIN(W485,ROUND($AZ485-SUMPRODUCT($V485:$AE485*($V485:$AE485&gt;0)*(($V485:$AE485&lt;W485)+($V485:$AE485=W485)*($V$3:$AE$3&gt;W$3)+($V485:$AE485=W485)*($V$3:$AE$3=W$3)*($V$2:$AE$2&lt;W$2))),2))))</f>
      </c>
      <c r="AH485" s="33">
        <f>IF(X485&lt;=0,0,MAX(0,MIN(X485,ROUND($AZ485-SUMPRODUCT($V485:$AE485*($V485:$AE485&gt;0)*(($V485:$AE485&lt;X485)+($V485:$AE485=X485)*($V$3:$AE$3&gt;X$3)+($V485:$AE485=X485)*($V$3:$AE$3=X$3)*($V$2:$AE$2&lt;X$2))),2))))</f>
      </c>
      <c r="AI485" s="33">
        <f>IF(Y485&lt;=0,0,MAX(0,MIN(Y485,ROUND($AZ485-SUMPRODUCT($V485:$AE485*($V485:$AE485&gt;0)*(($V485:$AE485&lt;Y485)+($V485:$AE485=Y485)*($V$3:$AE$3&gt;Y$3)+($V485:$AE485=Y485)*($V$3:$AE$3=Y$3)*($V$2:$AE$2&lt;Y$2))),2))))</f>
      </c>
      <c r="AJ485" s="33">
        <f>IF(Z485&lt;=0,0,MAX(0,MIN(Z485,ROUND($AZ485-SUMPRODUCT($V485:$AE485*($V485:$AE485&gt;0)*(($V485:$AE485&lt;Z485)+($V485:$AE485=Z485)*($V$3:$AE$3&gt;Z$3)+($V485:$AE485=Z485)*($V$3:$AE$3=Z$3)*($V$2:$AE$2&lt;Z$2))),2))))</f>
      </c>
      <c r="AK485" s="33">
        <f>IF(AA485&lt;=0,0,MAX(0,MIN(AA485,ROUND($AZ485-SUMPRODUCT($V485:$AE485*($V485:$AE485&gt;0)*(($V485:$AE485&lt;AA485)+($V485:$AE485=AA485)*($V$3:$AE$3&gt;AA$3)+($V485:$AE485=AA485)*($V$3:$AE$3=AA$3)*($V$2:$AE$2&lt;AA$2))),2))))</f>
      </c>
      <c r="AL485" s="33">
        <f>IF(AB485&lt;=0,0,MAX(0,MIN(AB485,ROUND($AZ485-SUMPRODUCT($V485:$AE485*($V485:$AE485&gt;0)*(($V485:$AE485&lt;AB485)+($V485:$AE485=AB485)*($V$3:$AE$3&gt;AB$3)+($V485:$AE485=AB485)*($V$3:$AE$3=AB$3)*($V$2:$AE$2&lt;AB$2))),2))))</f>
      </c>
      <c r="AM485" s="33">
        <f>IF(AC485&lt;=0,0,MAX(0,MIN(AC485,ROUND($AZ485-SUMPRODUCT($V485:$AE485*($V485:$AE485&gt;0)*(($V485:$AE485&lt;AC485)+($V485:$AE485=AC485)*($V$3:$AE$3&gt;AC$3)+($V485:$AE485=AC485)*($V$3:$AE$3=AC$3)*($V$2:$AE$2&lt;AC$2))),2))))</f>
      </c>
      <c r="AN485" s="33">
        <f>IF(AD485&lt;=0,0,MAX(0,MIN(AD485,ROUND($AZ485-SUMPRODUCT($V485:$AE485*($V485:$AE485&gt;0)*(($V485:$AE485&lt;AD485)+($V485:$AE485=AD485)*($V$3:$AE$3&gt;AD$3)+($V485:$AE485=AD485)*($V$3:$AE$3=AD$3)*($V$2:$AE$2&lt;AD$2))),2))))</f>
      </c>
      <c r="AO485" s="33">
        <f>IF(AE485&lt;=0,0,MAX(0,MIN(AE485,ROUND($AZ485-SUMPRODUCT($V485:$AE485*($V485:$AE485&gt;0)*(($V485:$AE485&lt;AE485)+($V485:$AE485=AE485)*($V$3:$AE$3&gt;AE$3)+($V485:$AE485=AE485)*($V$3:$AE$3=AE$3)*($V$2:$AE$2&lt;AE$2))),2))))</f>
      </c>
      <c r="AP485" s="33">
        <f>ROUND(V485-AF485,2)</f>
      </c>
      <c r="AQ485" s="33">
        <f>ROUND(W485-AG485,2)</f>
      </c>
      <c r="AR485" s="33">
        <f>ROUND(X485-AH485,2)</f>
      </c>
      <c r="AS485" s="33">
        <f>ROUND(Y485-AI485,2)</f>
      </c>
      <c r="AT485" s="33">
        <f>ROUND(Z485-AJ485,2)</f>
      </c>
      <c r="AU485" s="33">
        <f>ROUND(AA485-AK485,2)</f>
      </c>
      <c r="AV485" s="33">
        <f>ROUND(AB485-AL485,2)</f>
      </c>
      <c r="AW485" s="33">
        <f>ROUND(AC485-AM485,2)</f>
      </c>
      <c r="AX485" s="33">
        <f>ROUND(AD485-AN485,2)</f>
      </c>
      <c r="AY485" s="33">
        <f>ROUND(AE485-AO485,2)</f>
      </c>
      <c r="AZ485" s="33">
        <f>ROUND(MAX(0,'Your debts'!$D$22-SUM($L485:$U485)),2)</f>
      </c>
      <c r="BA485" s="33">
        <f>ROUND(SUM($B485:$K485)-SUM($AP484:$AY484),2)</f>
      </c>
      <c r="BB485" s="33">
        <f>SUM($AP485:$AY485)</f>
      </c>
      <c r="BC485" s="33">
        <f>ROUND(SUM($L485:$U485)+SUM($AF485:$AO485),2)</f>
      </c>
    </row>
    <row r="486" spans="1:55" x14ac:dyDescent="0.25">
      <c r="A486">
        <v>479</v>
      </c>
      <c r="B486" s="33">
        <f>IF(AP485&lt;=0,0,ROUND(AP485+ROUND(AP485*V$3/12,2),2))</f>
      </c>
      <c r="C486" s="33">
        <f>IF(AQ485&lt;=0,0,ROUND(AQ485+ROUND(AQ485*W$3/12,2),2))</f>
      </c>
      <c r="D486" s="33">
        <f>IF(AR485&lt;=0,0,ROUND(AR485+ROUND(AR485*X$3/12,2),2))</f>
      </c>
      <c r="E486" s="33">
        <f>IF(AS485&lt;=0,0,ROUND(AS485+ROUND(AS485*Y$3/12,2),2))</f>
      </c>
      <c r="F486" s="33">
        <f>IF(AT485&lt;=0,0,ROUND(AT485+ROUND(AT485*Z$3/12,2),2))</f>
      </c>
      <c r="G486" s="33">
        <f>IF(AU485&lt;=0,0,ROUND(AU485+ROUND(AU485*AA$3/12,2),2))</f>
      </c>
      <c r="H486" s="33">
        <f>IF(AV485&lt;=0,0,ROUND(AV485+ROUND(AV485*AB$3/12,2),2))</f>
      </c>
      <c r="I486" s="33">
        <f>IF(AW485&lt;=0,0,ROUND(AW485+ROUND(AW485*AC$3/12,2),2))</f>
      </c>
      <c r="J486" s="33">
        <f>IF(AX485&lt;=0,0,ROUND(AX485+ROUND(AX485*AD$3/12,2),2))</f>
      </c>
      <c r="K486" s="33">
        <f>IF(AY485&lt;=0,0,ROUND(AY485+ROUND(AY485*AE$3/12,2),2))</f>
      </c>
      <c r="L486" s="33">
        <f>ROUND(MIN(MAX(0,N('Your debts'!$E$6)),B486),2)</f>
      </c>
      <c r="M486" s="33">
        <f>ROUND(MIN(MAX(0,N('Your debts'!$E$7)),C486),2)</f>
      </c>
      <c r="N486" s="33">
        <f>ROUND(MIN(MAX(0,N('Your debts'!$E$8)),D486),2)</f>
      </c>
      <c r="O486" s="33">
        <f>ROUND(MIN(MAX(0,N('Your debts'!$E$9)),E486),2)</f>
      </c>
      <c r="P486" s="33">
        <f>ROUND(MIN(MAX(0,N('Your debts'!$E$10)),F486),2)</f>
      </c>
      <c r="Q486" s="33">
        <f>ROUND(MIN(MAX(0,N('Your debts'!$E$11)),G486),2)</f>
      </c>
      <c r="R486" s="33">
        <f>ROUND(MIN(MAX(0,N('Your debts'!$E$12)),H486),2)</f>
      </c>
      <c r="S486" s="33">
        <f>ROUND(MIN(MAX(0,N('Your debts'!$E$13)),I486),2)</f>
      </c>
      <c r="T486" s="33">
        <f>ROUND(MIN(MAX(0,N('Your debts'!$E$14)),J486),2)</f>
      </c>
      <c r="U486" s="33">
        <f>ROUND(MIN(MAX(0,N('Your debts'!$E$15)),K486),2)</f>
      </c>
      <c r="V486" s="33">
        <f>ROUND(B486-L486,2)</f>
      </c>
      <c r="W486" s="33">
        <f>ROUND(C486-M486,2)</f>
      </c>
      <c r="X486" s="33">
        <f>ROUND(D486-N486,2)</f>
      </c>
      <c r="Y486" s="33">
        <f>ROUND(E486-O486,2)</f>
      </c>
      <c r="Z486" s="33">
        <f>ROUND(F486-P486,2)</f>
      </c>
      <c r="AA486" s="33">
        <f>ROUND(G486-Q486,2)</f>
      </c>
      <c r="AB486" s="33">
        <f>ROUND(H486-R486,2)</f>
      </c>
      <c r="AC486" s="33">
        <f>ROUND(I486-S486,2)</f>
      </c>
      <c r="AD486" s="33">
        <f>ROUND(J486-T486,2)</f>
      </c>
      <c r="AE486" s="33">
        <f>ROUND(K486-U486,2)</f>
      </c>
      <c r="AF486" s="33">
        <f>IF(V486&lt;=0,0,MAX(0,MIN(V486,ROUND($AZ486-SUMPRODUCT($V486:$AE486*($V486:$AE486&gt;0)*(($V486:$AE486&lt;V486)+($V486:$AE486=V486)*($V$3:$AE$3&gt;V$3)+($V486:$AE486=V486)*($V$3:$AE$3=V$3)*($V$2:$AE$2&lt;V$2))),2))))</f>
      </c>
      <c r="AG486" s="33">
        <f>IF(W486&lt;=0,0,MAX(0,MIN(W486,ROUND($AZ486-SUMPRODUCT($V486:$AE486*($V486:$AE486&gt;0)*(($V486:$AE486&lt;W486)+($V486:$AE486=W486)*($V$3:$AE$3&gt;W$3)+($V486:$AE486=W486)*($V$3:$AE$3=W$3)*($V$2:$AE$2&lt;W$2))),2))))</f>
      </c>
      <c r="AH486" s="33">
        <f>IF(X486&lt;=0,0,MAX(0,MIN(X486,ROUND($AZ486-SUMPRODUCT($V486:$AE486*($V486:$AE486&gt;0)*(($V486:$AE486&lt;X486)+($V486:$AE486=X486)*($V$3:$AE$3&gt;X$3)+($V486:$AE486=X486)*($V$3:$AE$3=X$3)*($V$2:$AE$2&lt;X$2))),2))))</f>
      </c>
      <c r="AI486" s="33">
        <f>IF(Y486&lt;=0,0,MAX(0,MIN(Y486,ROUND($AZ486-SUMPRODUCT($V486:$AE486*($V486:$AE486&gt;0)*(($V486:$AE486&lt;Y486)+($V486:$AE486=Y486)*($V$3:$AE$3&gt;Y$3)+($V486:$AE486=Y486)*($V$3:$AE$3=Y$3)*($V$2:$AE$2&lt;Y$2))),2))))</f>
      </c>
      <c r="AJ486" s="33">
        <f>IF(Z486&lt;=0,0,MAX(0,MIN(Z486,ROUND($AZ486-SUMPRODUCT($V486:$AE486*($V486:$AE486&gt;0)*(($V486:$AE486&lt;Z486)+($V486:$AE486=Z486)*($V$3:$AE$3&gt;Z$3)+($V486:$AE486=Z486)*($V$3:$AE$3=Z$3)*($V$2:$AE$2&lt;Z$2))),2))))</f>
      </c>
      <c r="AK486" s="33">
        <f>IF(AA486&lt;=0,0,MAX(0,MIN(AA486,ROUND($AZ486-SUMPRODUCT($V486:$AE486*($V486:$AE486&gt;0)*(($V486:$AE486&lt;AA486)+($V486:$AE486=AA486)*($V$3:$AE$3&gt;AA$3)+($V486:$AE486=AA486)*($V$3:$AE$3=AA$3)*($V$2:$AE$2&lt;AA$2))),2))))</f>
      </c>
      <c r="AL486" s="33">
        <f>IF(AB486&lt;=0,0,MAX(0,MIN(AB486,ROUND($AZ486-SUMPRODUCT($V486:$AE486*($V486:$AE486&gt;0)*(($V486:$AE486&lt;AB486)+($V486:$AE486=AB486)*($V$3:$AE$3&gt;AB$3)+($V486:$AE486=AB486)*($V$3:$AE$3=AB$3)*($V$2:$AE$2&lt;AB$2))),2))))</f>
      </c>
      <c r="AM486" s="33">
        <f>IF(AC486&lt;=0,0,MAX(0,MIN(AC486,ROUND($AZ486-SUMPRODUCT($V486:$AE486*($V486:$AE486&gt;0)*(($V486:$AE486&lt;AC486)+($V486:$AE486=AC486)*($V$3:$AE$3&gt;AC$3)+($V486:$AE486=AC486)*($V$3:$AE$3=AC$3)*($V$2:$AE$2&lt;AC$2))),2))))</f>
      </c>
      <c r="AN486" s="33">
        <f>IF(AD486&lt;=0,0,MAX(0,MIN(AD486,ROUND($AZ486-SUMPRODUCT($V486:$AE486*($V486:$AE486&gt;0)*(($V486:$AE486&lt;AD486)+($V486:$AE486=AD486)*($V$3:$AE$3&gt;AD$3)+($V486:$AE486=AD486)*($V$3:$AE$3=AD$3)*($V$2:$AE$2&lt;AD$2))),2))))</f>
      </c>
      <c r="AO486" s="33">
        <f>IF(AE486&lt;=0,0,MAX(0,MIN(AE486,ROUND($AZ486-SUMPRODUCT($V486:$AE486*($V486:$AE486&gt;0)*(($V486:$AE486&lt;AE486)+($V486:$AE486=AE486)*($V$3:$AE$3&gt;AE$3)+($V486:$AE486=AE486)*($V$3:$AE$3=AE$3)*($V$2:$AE$2&lt;AE$2))),2))))</f>
      </c>
      <c r="AP486" s="33">
        <f>ROUND(V486-AF486,2)</f>
      </c>
      <c r="AQ486" s="33">
        <f>ROUND(W486-AG486,2)</f>
      </c>
      <c r="AR486" s="33">
        <f>ROUND(X486-AH486,2)</f>
      </c>
      <c r="AS486" s="33">
        <f>ROUND(Y486-AI486,2)</f>
      </c>
      <c r="AT486" s="33">
        <f>ROUND(Z486-AJ486,2)</f>
      </c>
      <c r="AU486" s="33">
        <f>ROUND(AA486-AK486,2)</f>
      </c>
      <c r="AV486" s="33">
        <f>ROUND(AB486-AL486,2)</f>
      </c>
      <c r="AW486" s="33">
        <f>ROUND(AC486-AM486,2)</f>
      </c>
      <c r="AX486" s="33">
        <f>ROUND(AD486-AN486,2)</f>
      </c>
      <c r="AY486" s="33">
        <f>ROUND(AE486-AO486,2)</f>
      </c>
      <c r="AZ486" s="33">
        <f>ROUND(MAX(0,'Your debts'!$D$22-SUM($L486:$U486)),2)</f>
      </c>
      <c r="BA486" s="33">
        <f>ROUND(SUM($B486:$K486)-SUM($AP485:$AY485),2)</f>
      </c>
      <c r="BB486" s="33">
        <f>SUM($AP486:$AY486)</f>
      </c>
      <c r="BC486" s="33">
        <f>ROUND(SUM($L486:$U486)+SUM($AF486:$AO486),2)</f>
      </c>
    </row>
    <row r="487" spans="1:55" x14ac:dyDescent="0.25">
      <c r="A487">
        <v>480</v>
      </c>
      <c r="B487" s="33">
        <f>IF(AP486&lt;=0,0,ROUND(AP486+ROUND(AP486*V$3/12,2),2))</f>
      </c>
      <c r="C487" s="33">
        <f>IF(AQ486&lt;=0,0,ROUND(AQ486+ROUND(AQ486*W$3/12,2),2))</f>
      </c>
      <c r="D487" s="33">
        <f>IF(AR486&lt;=0,0,ROUND(AR486+ROUND(AR486*X$3/12,2),2))</f>
      </c>
      <c r="E487" s="33">
        <f>IF(AS486&lt;=0,0,ROUND(AS486+ROUND(AS486*Y$3/12,2),2))</f>
      </c>
      <c r="F487" s="33">
        <f>IF(AT486&lt;=0,0,ROUND(AT486+ROUND(AT486*Z$3/12,2),2))</f>
      </c>
      <c r="G487" s="33">
        <f>IF(AU486&lt;=0,0,ROUND(AU486+ROUND(AU486*AA$3/12,2),2))</f>
      </c>
      <c r="H487" s="33">
        <f>IF(AV486&lt;=0,0,ROUND(AV486+ROUND(AV486*AB$3/12,2),2))</f>
      </c>
      <c r="I487" s="33">
        <f>IF(AW486&lt;=0,0,ROUND(AW486+ROUND(AW486*AC$3/12,2),2))</f>
      </c>
      <c r="J487" s="33">
        <f>IF(AX486&lt;=0,0,ROUND(AX486+ROUND(AX486*AD$3/12,2),2))</f>
      </c>
      <c r="K487" s="33">
        <f>IF(AY486&lt;=0,0,ROUND(AY486+ROUND(AY486*AE$3/12,2),2))</f>
      </c>
      <c r="L487" s="33">
        <f>ROUND(MIN(MAX(0,N('Your debts'!$E$6)),B487),2)</f>
      </c>
      <c r="M487" s="33">
        <f>ROUND(MIN(MAX(0,N('Your debts'!$E$7)),C487),2)</f>
      </c>
      <c r="N487" s="33">
        <f>ROUND(MIN(MAX(0,N('Your debts'!$E$8)),D487),2)</f>
      </c>
      <c r="O487" s="33">
        <f>ROUND(MIN(MAX(0,N('Your debts'!$E$9)),E487),2)</f>
      </c>
      <c r="P487" s="33">
        <f>ROUND(MIN(MAX(0,N('Your debts'!$E$10)),F487),2)</f>
      </c>
      <c r="Q487" s="33">
        <f>ROUND(MIN(MAX(0,N('Your debts'!$E$11)),G487),2)</f>
      </c>
      <c r="R487" s="33">
        <f>ROUND(MIN(MAX(0,N('Your debts'!$E$12)),H487),2)</f>
      </c>
      <c r="S487" s="33">
        <f>ROUND(MIN(MAX(0,N('Your debts'!$E$13)),I487),2)</f>
      </c>
      <c r="T487" s="33">
        <f>ROUND(MIN(MAX(0,N('Your debts'!$E$14)),J487),2)</f>
      </c>
      <c r="U487" s="33">
        <f>ROUND(MIN(MAX(0,N('Your debts'!$E$15)),K487),2)</f>
      </c>
      <c r="V487" s="33">
        <f>ROUND(B487-L487,2)</f>
      </c>
      <c r="W487" s="33">
        <f>ROUND(C487-M487,2)</f>
      </c>
      <c r="X487" s="33">
        <f>ROUND(D487-N487,2)</f>
      </c>
      <c r="Y487" s="33">
        <f>ROUND(E487-O487,2)</f>
      </c>
      <c r="Z487" s="33">
        <f>ROUND(F487-P487,2)</f>
      </c>
      <c r="AA487" s="33">
        <f>ROUND(G487-Q487,2)</f>
      </c>
      <c r="AB487" s="33">
        <f>ROUND(H487-R487,2)</f>
      </c>
      <c r="AC487" s="33">
        <f>ROUND(I487-S487,2)</f>
      </c>
      <c r="AD487" s="33">
        <f>ROUND(J487-T487,2)</f>
      </c>
      <c r="AE487" s="33">
        <f>ROUND(K487-U487,2)</f>
      </c>
      <c r="AF487" s="33">
        <f>IF(V487&lt;=0,0,MAX(0,MIN(V487,ROUND($AZ487-SUMPRODUCT($V487:$AE487*($V487:$AE487&gt;0)*(($V487:$AE487&lt;V487)+($V487:$AE487=V487)*($V$3:$AE$3&gt;V$3)+($V487:$AE487=V487)*($V$3:$AE$3=V$3)*($V$2:$AE$2&lt;V$2))),2))))</f>
      </c>
      <c r="AG487" s="33">
        <f>IF(W487&lt;=0,0,MAX(0,MIN(W487,ROUND($AZ487-SUMPRODUCT($V487:$AE487*($V487:$AE487&gt;0)*(($V487:$AE487&lt;W487)+($V487:$AE487=W487)*($V$3:$AE$3&gt;W$3)+($V487:$AE487=W487)*($V$3:$AE$3=W$3)*($V$2:$AE$2&lt;W$2))),2))))</f>
      </c>
      <c r="AH487" s="33">
        <f>IF(X487&lt;=0,0,MAX(0,MIN(X487,ROUND($AZ487-SUMPRODUCT($V487:$AE487*($V487:$AE487&gt;0)*(($V487:$AE487&lt;X487)+($V487:$AE487=X487)*($V$3:$AE$3&gt;X$3)+($V487:$AE487=X487)*($V$3:$AE$3=X$3)*($V$2:$AE$2&lt;X$2))),2))))</f>
      </c>
      <c r="AI487" s="33">
        <f>IF(Y487&lt;=0,0,MAX(0,MIN(Y487,ROUND($AZ487-SUMPRODUCT($V487:$AE487*($V487:$AE487&gt;0)*(($V487:$AE487&lt;Y487)+($V487:$AE487=Y487)*($V$3:$AE$3&gt;Y$3)+($V487:$AE487=Y487)*($V$3:$AE$3=Y$3)*($V$2:$AE$2&lt;Y$2))),2))))</f>
      </c>
      <c r="AJ487" s="33">
        <f>IF(Z487&lt;=0,0,MAX(0,MIN(Z487,ROUND($AZ487-SUMPRODUCT($V487:$AE487*($V487:$AE487&gt;0)*(($V487:$AE487&lt;Z487)+($V487:$AE487=Z487)*($V$3:$AE$3&gt;Z$3)+($V487:$AE487=Z487)*($V$3:$AE$3=Z$3)*($V$2:$AE$2&lt;Z$2))),2))))</f>
      </c>
      <c r="AK487" s="33">
        <f>IF(AA487&lt;=0,0,MAX(0,MIN(AA487,ROUND($AZ487-SUMPRODUCT($V487:$AE487*($V487:$AE487&gt;0)*(($V487:$AE487&lt;AA487)+($V487:$AE487=AA487)*($V$3:$AE$3&gt;AA$3)+($V487:$AE487=AA487)*($V$3:$AE$3=AA$3)*($V$2:$AE$2&lt;AA$2))),2))))</f>
      </c>
      <c r="AL487" s="33">
        <f>IF(AB487&lt;=0,0,MAX(0,MIN(AB487,ROUND($AZ487-SUMPRODUCT($V487:$AE487*($V487:$AE487&gt;0)*(($V487:$AE487&lt;AB487)+($V487:$AE487=AB487)*($V$3:$AE$3&gt;AB$3)+($V487:$AE487=AB487)*($V$3:$AE$3=AB$3)*($V$2:$AE$2&lt;AB$2))),2))))</f>
      </c>
      <c r="AM487" s="33">
        <f>IF(AC487&lt;=0,0,MAX(0,MIN(AC487,ROUND($AZ487-SUMPRODUCT($V487:$AE487*($V487:$AE487&gt;0)*(($V487:$AE487&lt;AC487)+($V487:$AE487=AC487)*($V$3:$AE$3&gt;AC$3)+($V487:$AE487=AC487)*($V$3:$AE$3=AC$3)*($V$2:$AE$2&lt;AC$2))),2))))</f>
      </c>
      <c r="AN487" s="33">
        <f>IF(AD487&lt;=0,0,MAX(0,MIN(AD487,ROUND($AZ487-SUMPRODUCT($V487:$AE487*($V487:$AE487&gt;0)*(($V487:$AE487&lt;AD487)+($V487:$AE487=AD487)*($V$3:$AE$3&gt;AD$3)+($V487:$AE487=AD487)*($V$3:$AE$3=AD$3)*($V$2:$AE$2&lt;AD$2))),2))))</f>
      </c>
      <c r="AO487" s="33">
        <f>IF(AE487&lt;=0,0,MAX(0,MIN(AE487,ROUND($AZ487-SUMPRODUCT($V487:$AE487*($V487:$AE487&gt;0)*(($V487:$AE487&lt;AE487)+($V487:$AE487=AE487)*($V$3:$AE$3&gt;AE$3)+($V487:$AE487=AE487)*($V$3:$AE$3=AE$3)*($V$2:$AE$2&lt;AE$2))),2))))</f>
      </c>
      <c r="AP487" s="33">
        <f>ROUND(V487-AF487,2)</f>
      </c>
      <c r="AQ487" s="33">
        <f>ROUND(W487-AG487,2)</f>
      </c>
      <c r="AR487" s="33">
        <f>ROUND(X487-AH487,2)</f>
      </c>
      <c r="AS487" s="33">
        <f>ROUND(Y487-AI487,2)</f>
      </c>
      <c r="AT487" s="33">
        <f>ROUND(Z487-AJ487,2)</f>
      </c>
      <c r="AU487" s="33">
        <f>ROUND(AA487-AK487,2)</f>
      </c>
      <c r="AV487" s="33">
        <f>ROUND(AB487-AL487,2)</f>
      </c>
      <c r="AW487" s="33">
        <f>ROUND(AC487-AM487,2)</f>
      </c>
      <c r="AX487" s="33">
        <f>ROUND(AD487-AN487,2)</f>
      </c>
      <c r="AY487" s="33">
        <f>ROUND(AE487-AO487,2)</f>
      </c>
      <c r="AZ487" s="33">
        <f>ROUND(MAX(0,'Your debts'!$D$22-SUM($L487:$U487)),2)</f>
      </c>
      <c r="BA487" s="33">
        <f>ROUND(SUM($B487:$K487)-SUM($AP486:$AY486),2)</f>
      </c>
      <c r="BB487" s="33">
        <f>SUM($AP487:$AY487)</f>
      </c>
      <c r="BC487" s="33">
        <f>ROUND(SUM($L487:$U487)+SUM($AF487:$AO487),2)</f>
      </c>
    </row>
    <row r="488" spans="1:55" x14ac:dyDescent="0.25">
      <c r="A488">
        <v>481</v>
      </c>
      <c r="B488" s="33">
        <f>IF(AP487&lt;=0,0,ROUND(AP487+ROUND(AP487*V$3/12,2),2))</f>
      </c>
      <c r="C488" s="33">
        <f>IF(AQ487&lt;=0,0,ROUND(AQ487+ROUND(AQ487*W$3/12,2),2))</f>
      </c>
      <c r="D488" s="33">
        <f>IF(AR487&lt;=0,0,ROUND(AR487+ROUND(AR487*X$3/12,2),2))</f>
      </c>
      <c r="E488" s="33">
        <f>IF(AS487&lt;=0,0,ROUND(AS487+ROUND(AS487*Y$3/12,2),2))</f>
      </c>
      <c r="F488" s="33">
        <f>IF(AT487&lt;=0,0,ROUND(AT487+ROUND(AT487*Z$3/12,2),2))</f>
      </c>
      <c r="G488" s="33">
        <f>IF(AU487&lt;=0,0,ROUND(AU487+ROUND(AU487*AA$3/12,2),2))</f>
      </c>
      <c r="H488" s="33">
        <f>IF(AV487&lt;=0,0,ROUND(AV487+ROUND(AV487*AB$3/12,2),2))</f>
      </c>
      <c r="I488" s="33">
        <f>IF(AW487&lt;=0,0,ROUND(AW487+ROUND(AW487*AC$3/12,2),2))</f>
      </c>
      <c r="J488" s="33">
        <f>IF(AX487&lt;=0,0,ROUND(AX487+ROUND(AX487*AD$3/12,2),2))</f>
      </c>
      <c r="K488" s="33">
        <f>IF(AY487&lt;=0,0,ROUND(AY487+ROUND(AY487*AE$3/12,2),2))</f>
      </c>
      <c r="L488" s="33">
        <f>ROUND(MIN(MAX(0,N('Your debts'!$E$6)),B488),2)</f>
      </c>
      <c r="M488" s="33">
        <f>ROUND(MIN(MAX(0,N('Your debts'!$E$7)),C488),2)</f>
      </c>
      <c r="N488" s="33">
        <f>ROUND(MIN(MAX(0,N('Your debts'!$E$8)),D488),2)</f>
      </c>
      <c r="O488" s="33">
        <f>ROUND(MIN(MAX(0,N('Your debts'!$E$9)),E488),2)</f>
      </c>
      <c r="P488" s="33">
        <f>ROUND(MIN(MAX(0,N('Your debts'!$E$10)),F488),2)</f>
      </c>
      <c r="Q488" s="33">
        <f>ROUND(MIN(MAX(0,N('Your debts'!$E$11)),G488),2)</f>
      </c>
      <c r="R488" s="33">
        <f>ROUND(MIN(MAX(0,N('Your debts'!$E$12)),H488),2)</f>
      </c>
      <c r="S488" s="33">
        <f>ROUND(MIN(MAX(0,N('Your debts'!$E$13)),I488),2)</f>
      </c>
      <c r="T488" s="33">
        <f>ROUND(MIN(MAX(0,N('Your debts'!$E$14)),J488),2)</f>
      </c>
      <c r="U488" s="33">
        <f>ROUND(MIN(MAX(0,N('Your debts'!$E$15)),K488),2)</f>
      </c>
      <c r="V488" s="33">
        <f>ROUND(B488-L488,2)</f>
      </c>
      <c r="W488" s="33">
        <f>ROUND(C488-M488,2)</f>
      </c>
      <c r="X488" s="33">
        <f>ROUND(D488-N488,2)</f>
      </c>
      <c r="Y488" s="33">
        <f>ROUND(E488-O488,2)</f>
      </c>
      <c r="Z488" s="33">
        <f>ROUND(F488-P488,2)</f>
      </c>
      <c r="AA488" s="33">
        <f>ROUND(G488-Q488,2)</f>
      </c>
      <c r="AB488" s="33">
        <f>ROUND(H488-R488,2)</f>
      </c>
      <c r="AC488" s="33">
        <f>ROUND(I488-S488,2)</f>
      </c>
      <c r="AD488" s="33">
        <f>ROUND(J488-T488,2)</f>
      </c>
      <c r="AE488" s="33">
        <f>ROUND(K488-U488,2)</f>
      </c>
      <c r="AF488" s="33">
        <f>IF(V488&lt;=0,0,MAX(0,MIN(V488,ROUND($AZ488-SUMPRODUCT($V488:$AE488*($V488:$AE488&gt;0)*(($V488:$AE488&lt;V488)+($V488:$AE488=V488)*($V$3:$AE$3&gt;V$3)+($V488:$AE488=V488)*($V$3:$AE$3=V$3)*($V$2:$AE$2&lt;V$2))),2))))</f>
      </c>
      <c r="AG488" s="33">
        <f>IF(W488&lt;=0,0,MAX(0,MIN(W488,ROUND($AZ488-SUMPRODUCT($V488:$AE488*($V488:$AE488&gt;0)*(($V488:$AE488&lt;W488)+($V488:$AE488=W488)*($V$3:$AE$3&gt;W$3)+($V488:$AE488=W488)*($V$3:$AE$3=W$3)*($V$2:$AE$2&lt;W$2))),2))))</f>
      </c>
      <c r="AH488" s="33">
        <f>IF(X488&lt;=0,0,MAX(0,MIN(X488,ROUND($AZ488-SUMPRODUCT($V488:$AE488*($V488:$AE488&gt;0)*(($V488:$AE488&lt;X488)+($V488:$AE488=X488)*($V$3:$AE$3&gt;X$3)+($V488:$AE488=X488)*($V$3:$AE$3=X$3)*($V$2:$AE$2&lt;X$2))),2))))</f>
      </c>
      <c r="AI488" s="33">
        <f>IF(Y488&lt;=0,0,MAX(0,MIN(Y488,ROUND($AZ488-SUMPRODUCT($V488:$AE488*($V488:$AE488&gt;0)*(($V488:$AE488&lt;Y488)+($V488:$AE488=Y488)*($V$3:$AE$3&gt;Y$3)+($V488:$AE488=Y488)*($V$3:$AE$3=Y$3)*($V$2:$AE$2&lt;Y$2))),2))))</f>
      </c>
      <c r="AJ488" s="33">
        <f>IF(Z488&lt;=0,0,MAX(0,MIN(Z488,ROUND($AZ488-SUMPRODUCT($V488:$AE488*($V488:$AE488&gt;0)*(($V488:$AE488&lt;Z488)+($V488:$AE488=Z488)*($V$3:$AE$3&gt;Z$3)+($V488:$AE488=Z488)*($V$3:$AE$3=Z$3)*($V$2:$AE$2&lt;Z$2))),2))))</f>
      </c>
      <c r="AK488" s="33">
        <f>IF(AA488&lt;=0,0,MAX(0,MIN(AA488,ROUND($AZ488-SUMPRODUCT($V488:$AE488*($V488:$AE488&gt;0)*(($V488:$AE488&lt;AA488)+($V488:$AE488=AA488)*($V$3:$AE$3&gt;AA$3)+($V488:$AE488=AA488)*($V$3:$AE$3=AA$3)*($V$2:$AE$2&lt;AA$2))),2))))</f>
      </c>
      <c r="AL488" s="33">
        <f>IF(AB488&lt;=0,0,MAX(0,MIN(AB488,ROUND($AZ488-SUMPRODUCT($V488:$AE488*($V488:$AE488&gt;0)*(($V488:$AE488&lt;AB488)+($V488:$AE488=AB488)*($V$3:$AE$3&gt;AB$3)+($V488:$AE488=AB488)*($V$3:$AE$3=AB$3)*($V$2:$AE$2&lt;AB$2))),2))))</f>
      </c>
      <c r="AM488" s="33">
        <f>IF(AC488&lt;=0,0,MAX(0,MIN(AC488,ROUND($AZ488-SUMPRODUCT($V488:$AE488*($V488:$AE488&gt;0)*(($V488:$AE488&lt;AC488)+($V488:$AE488=AC488)*($V$3:$AE$3&gt;AC$3)+($V488:$AE488=AC488)*($V$3:$AE$3=AC$3)*($V$2:$AE$2&lt;AC$2))),2))))</f>
      </c>
      <c r="AN488" s="33">
        <f>IF(AD488&lt;=0,0,MAX(0,MIN(AD488,ROUND($AZ488-SUMPRODUCT($V488:$AE488*($V488:$AE488&gt;0)*(($V488:$AE488&lt;AD488)+($V488:$AE488=AD488)*($V$3:$AE$3&gt;AD$3)+($V488:$AE488=AD488)*($V$3:$AE$3=AD$3)*($V$2:$AE$2&lt;AD$2))),2))))</f>
      </c>
      <c r="AO488" s="33">
        <f>IF(AE488&lt;=0,0,MAX(0,MIN(AE488,ROUND($AZ488-SUMPRODUCT($V488:$AE488*($V488:$AE488&gt;0)*(($V488:$AE488&lt;AE488)+($V488:$AE488=AE488)*($V$3:$AE$3&gt;AE$3)+($V488:$AE488=AE488)*($V$3:$AE$3=AE$3)*($V$2:$AE$2&lt;AE$2))),2))))</f>
      </c>
      <c r="AP488" s="33">
        <f>ROUND(V488-AF488,2)</f>
      </c>
      <c r="AQ488" s="33">
        <f>ROUND(W488-AG488,2)</f>
      </c>
      <c r="AR488" s="33">
        <f>ROUND(X488-AH488,2)</f>
      </c>
      <c r="AS488" s="33">
        <f>ROUND(Y488-AI488,2)</f>
      </c>
      <c r="AT488" s="33">
        <f>ROUND(Z488-AJ488,2)</f>
      </c>
      <c r="AU488" s="33">
        <f>ROUND(AA488-AK488,2)</f>
      </c>
      <c r="AV488" s="33">
        <f>ROUND(AB488-AL488,2)</f>
      </c>
      <c r="AW488" s="33">
        <f>ROUND(AC488-AM488,2)</f>
      </c>
      <c r="AX488" s="33">
        <f>ROUND(AD488-AN488,2)</f>
      </c>
      <c r="AY488" s="33">
        <f>ROUND(AE488-AO488,2)</f>
      </c>
      <c r="AZ488" s="33">
        <f>ROUND(MAX(0,'Your debts'!$D$22-SUM($L488:$U488)),2)</f>
      </c>
      <c r="BA488" s="33">
        <f>ROUND(SUM($B488:$K488)-SUM($AP487:$AY487),2)</f>
      </c>
      <c r="BB488" s="33">
        <f>SUM($AP488:$AY488)</f>
      </c>
      <c r="BC488" s="33">
        <f>ROUND(SUM($L488:$U488)+SUM($AF488:$AO488),2)</f>
      </c>
    </row>
    <row r="489" spans="1:55" x14ac:dyDescent="0.25">
      <c r="A489">
        <v>482</v>
      </c>
      <c r="B489" s="33">
        <f>IF(AP488&lt;=0,0,ROUND(AP488+ROUND(AP488*V$3/12,2),2))</f>
      </c>
      <c r="C489" s="33">
        <f>IF(AQ488&lt;=0,0,ROUND(AQ488+ROUND(AQ488*W$3/12,2),2))</f>
      </c>
      <c r="D489" s="33">
        <f>IF(AR488&lt;=0,0,ROUND(AR488+ROUND(AR488*X$3/12,2),2))</f>
      </c>
      <c r="E489" s="33">
        <f>IF(AS488&lt;=0,0,ROUND(AS488+ROUND(AS488*Y$3/12,2),2))</f>
      </c>
      <c r="F489" s="33">
        <f>IF(AT488&lt;=0,0,ROUND(AT488+ROUND(AT488*Z$3/12,2),2))</f>
      </c>
      <c r="G489" s="33">
        <f>IF(AU488&lt;=0,0,ROUND(AU488+ROUND(AU488*AA$3/12,2),2))</f>
      </c>
      <c r="H489" s="33">
        <f>IF(AV488&lt;=0,0,ROUND(AV488+ROUND(AV488*AB$3/12,2),2))</f>
      </c>
      <c r="I489" s="33">
        <f>IF(AW488&lt;=0,0,ROUND(AW488+ROUND(AW488*AC$3/12,2),2))</f>
      </c>
      <c r="J489" s="33">
        <f>IF(AX488&lt;=0,0,ROUND(AX488+ROUND(AX488*AD$3/12,2),2))</f>
      </c>
      <c r="K489" s="33">
        <f>IF(AY488&lt;=0,0,ROUND(AY488+ROUND(AY488*AE$3/12,2),2))</f>
      </c>
      <c r="L489" s="33">
        <f>ROUND(MIN(MAX(0,N('Your debts'!$E$6)),B489),2)</f>
      </c>
      <c r="M489" s="33">
        <f>ROUND(MIN(MAX(0,N('Your debts'!$E$7)),C489),2)</f>
      </c>
      <c r="N489" s="33">
        <f>ROUND(MIN(MAX(0,N('Your debts'!$E$8)),D489),2)</f>
      </c>
      <c r="O489" s="33">
        <f>ROUND(MIN(MAX(0,N('Your debts'!$E$9)),E489),2)</f>
      </c>
      <c r="P489" s="33">
        <f>ROUND(MIN(MAX(0,N('Your debts'!$E$10)),F489),2)</f>
      </c>
      <c r="Q489" s="33">
        <f>ROUND(MIN(MAX(0,N('Your debts'!$E$11)),G489),2)</f>
      </c>
      <c r="R489" s="33">
        <f>ROUND(MIN(MAX(0,N('Your debts'!$E$12)),H489),2)</f>
      </c>
      <c r="S489" s="33">
        <f>ROUND(MIN(MAX(0,N('Your debts'!$E$13)),I489),2)</f>
      </c>
      <c r="T489" s="33">
        <f>ROUND(MIN(MAX(0,N('Your debts'!$E$14)),J489),2)</f>
      </c>
      <c r="U489" s="33">
        <f>ROUND(MIN(MAX(0,N('Your debts'!$E$15)),K489),2)</f>
      </c>
      <c r="V489" s="33">
        <f>ROUND(B489-L489,2)</f>
      </c>
      <c r="W489" s="33">
        <f>ROUND(C489-M489,2)</f>
      </c>
      <c r="X489" s="33">
        <f>ROUND(D489-N489,2)</f>
      </c>
      <c r="Y489" s="33">
        <f>ROUND(E489-O489,2)</f>
      </c>
      <c r="Z489" s="33">
        <f>ROUND(F489-P489,2)</f>
      </c>
      <c r="AA489" s="33">
        <f>ROUND(G489-Q489,2)</f>
      </c>
      <c r="AB489" s="33">
        <f>ROUND(H489-R489,2)</f>
      </c>
      <c r="AC489" s="33">
        <f>ROUND(I489-S489,2)</f>
      </c>
      <c r="AD489" s="33">
        <f>ROUND(J489-T489,2)</f>
      </c>
      <c r="AE489" s="33">
        <f>ROUND(K489-U489,2)</f>
      </c>
      <c r="AF489" s="33">
        <f>IF(V489&lt;=0,0,MAX(0,MIN(V489,ROUND($AZ489-SUMPRODUCT($V489:$AE489*($V489:$AE489&gt;0)*(($V489:$AE489&lt;V489)+($V489:$AE489=V489)*($V$3:$AE$3&gt;V$3)+($V489:$AE489=V489)*($V$3:$AE$3=V$3)*($V$2:$AE$2&lt;V$2))),2))))</f>
      </c>
      <c r="AG489" s="33">
        <f>IF(W489&lt;=0,0,MAX(0,MIN(W489,ROUND($AZ489-SUMPRODUCT($V489:$AE489*($V489:$AE489&gt;0)*(($V489:$AE489&lt;W489)+($V489:$AE489=W489)*($V$3:$AE$3&gt;W$3)+($V489:$AE489=W489)*($V$3:$AE$3=W$3)*($V$2:$AE$2&lt;W$2))),2))))</f>
      </c>
      <c r="AH489" s="33">
        <f>IF(X489&lt;=0,0,MAX(0,MIN(X489,ROUND($AZ489-SUMPRODUCT($V489:$AE489*($V489:$AE489&gt;0)*(($V489:$AE489&lt;X489)+($V489:$AE489=X489)*($V$3:$AE$3&gt;X$3)+($V489:$AE489=X489)*($V$3:$AE$3=X$3)*($V$2:$AE$2&lt;X$2))),2))))</f>
      </c>
      <c r="AI489" s="33">
        <f>IF(Y489&lt;=0,0,MAX(0,MIN(Y489,ROUND($AZ489-SUMPRODUCT($V489:$AE489*($V489:$AE489&gt;0)*(($V489:$AE489&lt;Y489)+($V489:$AE489=Y489)*($V$3:$AE$3&gt;Y$3)+($V489:$AE489=Y489)*($V$3:$AE$3=Y$3)*($V$2:$AE$2&lt;Y$2))),2))))</f>
      </c>
      <c r="AJ489" s="33">
        <f>IF(Z489&lt;=0,0,MAX(0,MIN(Z489,ROUND($AZ489-SUMPRODUCT($V489:$AE489*($V489:$AE489&gt;0)*(($V489:$AE489&lt;Z489)+($V489:$AE489=Z489)*($V$3:$AE$3&gt;Z$3)+($V489:$AE489=Z489)*($V$3:$AE$3=Z$3)*($V$2:$AE$2&lt;Z$2))),2))))</f>
      </c>
      <c r="AK489" s="33">
        <f>IF(AA489&lt;=0,0,MAX(0,MIN(AA489,ROUND($AZ489-SUMPRODUCT($V489:$AE489*($V489:$AE489&gt;0)*(($V489:$AE489&lt;AA489)+($V489:$AE489=AA489)*($V$3:$AE$3&gt;AA$3)+($V489:$AE489=AA489)*($V$3:$AE$3=AA$3)*($V$2:$AE$2&lt;AA$2))),2))))</f>
      </c>
      <c r="AL489" s="33">
        <f>IF(AB489&lt;=0,0,MAX(0,MIN(AB489,ROUND($AZ489-SUMPRODUCT($V489:$AE489*($V489:$AE489&gt;0)*(($V489:$AE489&lt;AB489)+($V489:$AE489=AB489)*($V$3:$AE$3&gt;AB$3)+($V489:$AE489=AB489)*($V$3:$AE$3=AB$3)*($V$2:$AE$2&lt;AB$2))),2))))</f>
      </c>
      <c r="AM489" s="33">
        <f>IF(AC489&lt;=0,0,MAX(0,MIN(AC489,ROUND($AZ489-SUMPRODUCT($V489:$AE489*($V489:$AE489&gt;0)*(($V489:$AE489&lt;AC489)+($V489:$AE489=AC489)*($V$3:$AE$3&gt;AC$3)+($V489:$AE489=AC489)*($V$3:$AE$3=AC$3)*($V$2:$AE$2&lt;AC$2))),2))))</f>
      </c>
      <c r="AN489" s="33">
        <f>IF(AD489&lt;=0,0,MAX(0,MIN(AD489,ROUND($AZ489-SUMPRODUCT($V489:$AE489*($V489:$AE489&gt;0)*(($V489:$AE489&lt;AD489)+($V489:$AE489=AD489)*($V$3:$AE$3&gt;AD$3)+($V489:$AE489=AD489)*($V$3:$AE$3=AD$3)*($V$2:$AE$2&lt;AD$2))),2))))</f>
      </c>
      <c r="AO489" s="33">
        <f>IF(AE489&lt;=0,0,MAX(0,MIN(AE489,ROUND($AZ489-SUMPRODUCT($V489:$AE489*($V489:$AE489&gt;0)*(($V489:$AE489&lt;AE489)+($V489:$AE489=AE489)*($V$3:$AE$3&gt;AE$3)+($V489:$AE489=AE489)*($V$3:$AE$3=AE$3)*($V$2:$AE$2&lt;AE$2))),2))))</f>
      </c>
      <c r="AP489" s="33">
        <f>ROUND(V489-AF489,2)</f>
      </c>
      <c r="AQ489" s="33">
        <f>ROUND(W489-AG489,2)</f>
      </c>
      <c r="AR489" s="33">
        <f>ROUND(X489-AH489,2)</f>
      </c>
      <c r="AS489" s="33">
        <f>ROUND(Y489-AI489,2)</f>
      </c>
      <c r="AT489" s="33">
        <f>ROUND(Z489-AJ489,2)</f>
      </c>
      <c r="AU489" s="33">
        <f>ROUND(AA489-AK489,2)</f>
      </c>
      <c r="AV489" s="33">
        <f>ROUND(AB489-AL489,2)</f>
      </c>
      <c r="AW489" s="33">
        <f>ROUND(AC489-AM489,2)</f>
      </c>
      <c r="AX489" s="33">
        <f>ROUND(AD489-AN489,2)</f>
      </c>
      <c r="AY489" s="33">
        <f>ROUND(AE489-AO489,2)</f>
      </c>
      <c r="AZ489" s="33">
        <f>ROUND(MAX(0,'Your debts'!$D$22-SUM($L489:$U489)),2)</f>
      </c>
      <c r="BA489" s="33">
        <f>ROUND(SUM($B489:$K489)-SUM($AP488:$AY488),2)</f>
      </c>
      <c r="BB489" s="33">
        <f>SUM($AP489:$AY489)</f>
      </c>
      <c r="BC489" s="33">
        <f>ROUND(SUM($L489:$U489)+SUM($AF489:$AO489),2)</f>
      </c>
    </row>
    <row r="490" spans="1:55" x14ac:dyDescent="0.25">
      <c r="A490">
        <v>483</v>
      </c>
      <c r="B490" s="33">
        <f>IF(AP489&lt;=0,0,ROUND(AP489+ROUND(AP489*V$3/12,2),2))</f>
      </c>
      <c r="C490" s="33">
        <f>IF(AQ489&lt;=0,0,ROUND(AQ489+ROUND(AQ489*W$3/12,2),2))</f>
      </c>
      <c r="D490" s="33">
        <f>IF(AR489&lt;=0,0,ROUND(AR489+ROUND(AR489*X$3/12,2),2))</f>
      </c>
      <c r="E490" s="33">
        <f>IF(AS489&lt;=0,0,ROUND(AS489+ROUND(AS489*Y$3/12,2),2))</f>
      </c>
      <c r="F490" s="33">
        <f>IF(AT489&lt;=0,0,ROUND(AT489+ROUND(AT489*Z$3/12,2),2))</f>
      </c>
      <c r="G490" s="33">
        <f>IF(AU489&lt;=0,0,ROUND(AU489+ROUND(AU489*AA$3/12,2),2))</f>
      </c>
      <c r="H490" s="33">
        <f>IF(AV489&lt;=0,0,ROUND(AV489+ROUND(AV489*AB$3/12,2),2))</f>
      </c>
      <c r="I490" s="33">
        <f>IF(AW489&lt;=0,0,ROUND(AW489+ROUND(AW489*AC$3/12,2),2))</f>
      </c>
      <c r="J490" s="33">
        <f>IF(AX489&lt;=0,0,ROUND(AX489+ROUND(AX489*AD$3/12,2),2))</f>
      </c>
      <c r="K490" s="33">
        <f>IF(AY489&lt;=0,0,ROUND(AY489+ROUND(AY489*AE$3/12,2),2))</f>
      </c>
      <c r="L490" s="33">
        <f>ROUND(MIN(MAX(0,N('Your debts'!$E$6)),B490),2)</f>
      </c>
      <c r="M490" s="33">
        <f>ROUND(MIN(MAX(0,N('Your debts'!$E$7)),C490),2)</f>
      </c>
      <c r="N490" s="33">
        <f>ROUND(MIN(MAX(0,N('Your debts'!$E$8)),D490),2)</f>
      </c>
      <c r="O490" s="33">
        <f>ROUND(MIN(MAX(0,N('Your debts'!$E$9)),E490),2)</f>
      </c>
      <c r="P490" s="33">
        <f>ROUND(MIN(MAX(0,N('Your debts'!$E$10)),F490),2)</f>
      </c>
      <c r="Q490" s="33">
        <f>ROUND(MIN(MAX(0,N('Your debts'!$E$11)),G490),2)</f>
      </c>
      <c r="R490" s="33">
        <f>ROUND(MIN(MAX(0,N('Your debts'!$E$12)),H490),2)</f>
      </c>
      <c r="S490" s="33">
        <f>ROUND(MIN(MAX(0,N('Your debts'!$E$13)),I490),2)</f>
      </c>
      <c r="T490" s="33">
        <f>ROUND(MIN(MAX(0,N('Your debts'!$E$14)),J490),2)</f>
      </c>
      <c r="U490" s="33">
        <f>ROUND(MIN(MAX(0,N('Your debts'!$E$15)),K490),2)</f>
      </c>
      <c r="V490" s="33">
        <f>ROUND(B490-L490,2)</f>
      </c>
      <c r="W490" s="33">
        <f>ROUND(C490-M490,2)</f>
      </c>
      <c r="X490" s="33">
        <f>ROUND(D490-N490,2)</f>
      </c>
      <c r="Y490" s="33">
        <f>ROUND(E490-O490,2)</f>
      </c>
      <c r="Z490" s="33">
        <f>ROUND(F490-P490,2)</f>
      </c>
      <c r="AA490" s="33">
        <f>ROUND(G490-Q490,2)</f>
      </c>
      <c r="AB490" s="33">
        <f>ROUND(H490-R490,2)</f>
      </c>
      <c r="AC490" s="33">
        <f>ROUND(I490-S490,2)</f>
      </c>
      <c r="AD490" s="33">
        <f>ROUND(J490-T490,2)</f>
      </c>
      <c r="AE490" s="33">
        <f>ROUND(K490-U490,2)</f>
      </c>
      <c r="AF490" s="33">
        <f>IF(V490&lt;=0,0,MAX(0,MIN(V490,ROUND($AZ490-SUMPRODUCT($V490:$AE490*($V490:$AE490&gt;0)*(($V490:$AE490&lt;V490)+($V490:$AE490=V490)*($V$3:$AE$3&gt;V$3)+($V490:$AE490=V490)*($V$3:$AE$3=V$3)*($V$2:$AE$2&lt;V$2))),2))))</f>
      </c>
      <c r="AG490" s="33">
        <f>IF(W490&lt;=0,0,MAX(0,MIN(W490,ROUND($AZ490-SUMPRODUCT($V490:$AE490*($V490:$AE490&gt;0)*(($V490:$AE490&lt;W490)+($V490:$AE490=W490)*($V$3:$AE$3&gt;W$3)+($V490:$AE490=W490)*($V$3:$AE$3=W$3)*($V$2:$AE$2&lt;W$2))),2))))</f>
      </c>
      <c r="AH490" s="33">
        <f>IF(X490&lt;=0,0,MAX(0,MIN(X490,ROUND($AZ490-SUMPRODUCT($V490:$AE490*($V490:$AE490&gt;0)*(($V490:$AE490&lt;X490)+($V490:$AE490=X490)*($V$3:$AE$3&gt;X$3)+($V490:$AE490=X490)*($V$3:$AE$3=X$3)*($V$2:$AE$2&lt;X$2))),2))))</f>
      </c>
      <c r="AI490" s="33">
        <f>IF(Y490&lt;=0,0,MAX(0,MIN(Y490,ROUND($AZ490-SUMPRODUCT($V490:$AE490*($V490:$AE490&gt;0)*(($V490:$AE490&lt;Y490)+($V490:$AE490=Y490)*($V$3:$AE$3&gt;Y$3)+($V490:$AE490=Y490)*($V$3:$AE$3=Y$3)*($V$2:$AE$2&lt;Y$2))),2))))</f>
      </c>
      <c r="AJ490" s="33">
        <f>IF(Z490&lt;=0,0,MAX(0,MIN(Z490,ROUND($AZ490-SUMPRODUCT($V490:$AE490*($V490:$AE490&gt;0)*(($V490:$AE490&lt;Z490)+($V490:$AE490=Z490)*($V$3:$AE$3&gt;Z$3)+($V490:$AE490=Z490)*($V$3:$AE$3=Z$3)*($V$2:$AE$2&lt;Z$2))),2))))</f>
      </c>
      <c r="AK490" s="33">
        <f>IF(AA490&lt;=0,0,MAX(0,MIN(AA490,ROUND($AZ490-SUMPRODUCT($V490:$AE490*($V490:$AE490&gt;0)*(($V490:$AE490&lt;AA490)+($V490:$AE490=AA490)*($V$3:$AE$3&gt;AA$3)+($V490:$AE490=AA490)*($V$3:$AE$3=AA$3)*($V$2:$AE$2&lt;AA$2))),2))))</f>
      </c>
      <c r="AL490" s="33">
        <f>IF(AB490&lt;=0,0,MAX(0,MIN(AB490,ROUND($AZ490-SUMPRODUCT($V490:$AE490*($V490:$AE490&gt;0)*(($V490:$AE490&lt;AB490)+($V490:$AE490=AB490)*($V$3:$AE$3&gt;AB$3)+($V490:$AE490=AB490)*($V$3:$AE$3=AB$3)*($V$2:$AE$2&lt;AB$2))),2))))</f>
      </c>
      <c r="AM490" s="33">
        <f>IF(AC490&lt;=0,0,MAX(0,MIN(AC490,ROUND($AZ490-SUMPRODUCT($V490:$AE490*($V490:$AE490&gt;0)*(($V490:$AE490&lt;AC490)+($V490:$AE490=AC490)*($V$3:$AE$3&gt;AC$3)+($V490:$AE490=AC490)*($V$3:$AE$3=AC$3)*($V$2:$AE$2&lt;AC$2))),2))))</f>
      </c>
      <c r="AN490" s="33">
        <f>IF(AD490&lt;=0,0,MAX(0,MIN(AD490,ROUND($AZ490-SUMPRODUCT($V490:$AE490*($V490:$AE490&gt;0)*(($V490:$AE490&lt;AD490)+($V490:$AE490=AD490)*($V$3:$AE$3&gt;AD$3)+($V490:$AE490=AD490)*($V$3:$AE$3=AD$3)*($V$2:$AE$2&lt;AD$2))),2))))</f>
      </c>
      <c r="AO490" s="33">
        <f>IF(AE490&lt;=0,0,MAX(0,MIN(AE490,ROUND($AZ490-SUMPRODUCT($V490:$AE490*($V490:$AE490&gt;0)*(($V490:$AE490&lt;AE490)+($V490:$AE490=AE490)*($V$3:$AE$3&gt;AE$3)+($V490:$AE490=AE490)*($V$3:$AE$3=AE$3)*($V$2:$AE$2&lt;AE$2))),2))))</f>
      </c>
      <c r="AP490" s="33">
        <f>ROUND(V490-AF490,2)</f>
      </c>
      <c r="AQ490" s="33">
        <f>ROUND(W490-AG490,2)</f>
      </c>
      <c r="AR490" s="33">
        <f>ROUND(X490-AH490,2)</f>
      </c>
      <c r="AS490" s="33">
        <f>ROUND(Y490-AI490,2)</f>
      </c>
      <c r="AT490" s="33">
        <f>ROUND(Z490-AJ490,2)</f>
      </c>
      <c r="AU490" s="33">
        <f>ROUND(AA490-AK490,2)</f>
      </c>
      <c r="AV490" s="33">
        <f>ROUND(AB490-AL490,2)</f>
      </c>
      <c r="AW490" s="33">
        <f>ROUND(AC490-AM490,2)</f>
      </c>
      <c r="AX490" s="33">
        <f>ROUND(AD490-AN490,2)</f>
      </c>
      <c r="AY490" s="33">
        <f>ROUND(AE490-AO490,2)</f>
      </c>
      <c r="AZ490" s="33">
        <f>ROUND(MAX(0,'Your debts'!$D$22-SUM($L490:$U490)),2)</f>
      </c>
      <c r="BA490" s="33">
        <f>ROUND(SUM($B490:$K490)-SUM($AP489:$AY489),2)</f>
      </c>
      <c r="BB490" s="33">
        <f>SUM($AP490:$AY490)</f>
      </c>
      <c r="BC490" s="33">
        <f>ROUND(SUM($L490:$U490)+SUM($AF490:$AO490),2)</f>
      </c>
    </row>
    <row r="491" spans="1:55" x14ac:dyDescent="0.25">
      <c r="A491">
        <v>484</v>
      </c>
      <c r="B491" s="33">
        <f>IF(AP490&lt;=0,0,ROUND(AP490+ROUND(AP490*V$3/12,2),2))</f>
      </c>
      <c r="C491" s="33">
        <f>IF(AQ490&lt;=0,0,ROUND(AQ490+ROUND(AQ490*W$3/12,2),2))</f>
      </c>
      <c r="D491" s="33">
        <f>IF(AR490&lt;=0,0,ROUND(AR490+ROUND(AR490*X$3/12,2),2))</f>
      </c>
      <c r="E491" s="33">
        <f>IF(AS490&lt;=0,0,ROUND(AS490+ROUND(AS490*Y$3/12,2),2))</f>
      </c>
      <c r="F491" s="33">
        <f>IF(AT490&lt;=0,0,ROUND(AT490+ROUND(AT490*Z$3/12,2),2))</f>
      </c>
      <c r="G491" s="33">
        <f>IF(AU490&lt;=0,0,ROUND(AU490+ROUND(AU490*AA$3/12,2),2))</f>
      </c>
      <c r="H491" s="33">
        <f>IF(AV490&lt;=0,0,ROUND(AV490+ROUND(AV490*AB$3/12,2),2))</f>
      </c>
      <c r="I491" s="33">
        <f>IF(AW490&lt;=0,0,ROUND(AW490+ROUND(AW490*AC$3/12,2),2))</f>
      </c>
      <c r="J491" s="33">
        <f>IF(AX490&lt;=0,0,ROUND(AX490+ROUND(AX490*AD$3/12,2),2))</f>
      </c>
      <c r="K491" s="33">
        <f>IF(AY490&lt;=0,0,ROUND(AY490+ROUND(AY490*AE$3/12,2),2))</f>
      </c>
      <c r="L491" s="33">
        <f>ROUND(MIN(MAX(0,N('Your debts'!$E$6)),B491),2)</f>
      </c>
      <c r="M491" s="33">
        <f>ROUND(MIN(MAX(0,N('Your debts'!$E$7)),C491),2)</f>
      </c>
      <c r="N491" s="33">
        <f>ROUND(MIN(MAX(0,N('Your debts'!$E$8)),D491),2)</f>
      </c>
      <c r="O491" s="33">
        <f>ROUND(MIN(MAX(0,N('Your debts'!$E$9)),E491),2)</f>
      </c>
      <c r="P491" s="33">
        <f>ROUND(MIN(MAX(0,N('Your debts'!$E$10)),F491),2)</f>
      </c>
      <c r="Q491" s="33">
        <f>ROUND(MIN(MAX(0,N('Your debts'!$E$11)),G491),2)</f>
      </c>
      <c r="R491" s="33">
        <f>ROUND(MIN(MAX(0,N('Your debts'!$E$12)),H491),2)</f>
      </c>
      <c r="S491" s="33">
        <f>ROUND(MIN(MAX(0,N('Your debts'!$E$13)),I491),2)</f>
      </c>
      <c r="T491" s="33">
        <f>ROUND(MIN(MAX(0,N('Your debts'!$E$14)),J491),2)</f>
      </c>
      <c r="U491" s="33">
        <f>ROUND(MIN(MAX(0,N('Your debts'!$E$15)),K491),2)</f>
      </c>
      <c r="V491" s="33">
        <f>ROUND(B491-L491,2)</f>
      </c>
      <c r="W491" s="33">
        <f>ROUND(C491-M491,2)</f>
      </c>
      <c r="X491" s="33">
        <f>ROUND(D491-N491,2)</f>
      </c>
      <c r="Y491" s="33">
        <f>ROUND(E491-O491,2)</f>
      </c>
      <c r="Z491" s="33">
        <f>ROUND(F491-P491,2)</f>
      </c>
      <c r="AA491" s="33">
        <f>ROUND(G491-Q491,2)</f>
      </c>
      <c r="AB491" s="33">
        <f>ROUND(H491-R491,2)</f>
      </c>
      <c r="AC491" s="33">
        <f>ROUND(I491-S491,2)</f>
      </c>
      <c r="AD491" s="33">
        <f>ROUND(J491-T491,2)</f>
      </c>
      <c r="AE491" s="33">
        <f>ROUND(K491-U491,2)</f>
      </c>
      <c r="AF491" s="33">
        <f>IF(V491&lt;=0,0,MAX(0,MIN(V491,ROUND($AZ491-SUMPRODUCT($V491:$AE491*($V491:$AE491&gt;0)*(($V491:$AE491&lt;V491)+($V491:$AE491=V491)*($V$3:$AE$3&gt;V$3)+($V491:$AE491=V491)*($V$3:$AE$3=V$3)*($V$2:$AE$2&lt;V$2))),2))))</f>
      </c>
      <c r="AG491" s="33">
        <f>IF(W491&lt;=0,0,MAX(0,MIN(W491,ROUND($AZ491-SUMPRODUCT($V491:$AE491*($V491:$AE491&gt;0)*(($V491:$AE491&lt;W491)+($V491:$AE491=W491)*($V$3:$AE$3&gt;W$3)+($V491:$AE491=W491)*($V$3:$AE$3=W$3)*($V$2:$AE$2&lt;W$2))),2))))</f>
      </c>
      <c r="AH491" s="33">
        <f>IF(X491&lt;=0,0,MAX(0,MIN(X491,ROUND($AZ491-SUMPRODUCT($V491:$AE491*($V491:$AE491&gt;0)*(($V491:$AE491&lt;X491)+($V491:$AE491=X491)*($V$3:$AE$3&gt;X$3)+($V491:$AE491=X491)*($V$3:$AE$3=X$3)*($V$2:$AE$2&lt;X$2))),2))))</f>
      </c>
      <c r="AI491" s="33">
        <f>IF(Y491&lt;=0,0,MAX(0,MIN(Y491,ROUND($AZ491-SUMPRODUCT($V491:$AE491*($V491:$AE491&gt;0)*(($V491:$AE491&lt;Y491)+($V491:$AE491=Y491)*($V$3:$AE$3&gt;Y$3)+($V491:$AE491=Y491)*($V$3:$AE$3=Y$3)*($V$2:$AE$2&lt;Y$2))),2))))</f>
      </c>
      <c r="AJ491" s="33">
        <f>IF(Z491&lt;=0,0,MAX(0,MIN(Z491,ROUND($AZ491-SUMPRODUCT($V491:$AE491*($V491:$AE491&gt;0)*(($V491:$AE491&lt;Z491)+($V491:$AE491=Z491)*($V$3:$AE$3&gt;Z$3)+($V491:$AE491=Z491)*($V$3:$AE$3=Z$3)*($V$2:$AE$2&lt;Z$2))),2))))</f>
      </c>
      <c r="AK491" s="33">
        <f>IF(AA491&lt;=0,0,MAX(0,MIN(AA491,ROUND($AZ491-SUMPRODUCT($V491:$AE491*($V491:$AE491&gt;0)*(($V491:$AE491&lt;AA491)+($V491:$AE491=AA491)*($V$3:$AE$3&gt;AA$3)+($V491:$AE491=AA491)*($V$3:$AE$3=AA$3)*($V$2:$AE$2&lt;AA$2))),2))))</f>
      </c>
      <c r="AL491" s="33">
        <f>IF(AB491&lt;=0,0,MAX(0,MIN(AB491,ROUND($AZ491-SUMPRODUCT($V491:$AE491*($V491:$AE491&gt;0)*(($V491:$AE491&lt;AB491)+($V491:$AE491=AB491)*($V$3:$AE$3&gt;AB$3)+($V491:$AE491=AB491)*($V$3:$AE$3=AB$3)*($V$2:$AE$2&lt;AB$2))),2))))</f>
      </c>
      <c r="AM491" s="33">
        <f>IF(AC491&lt;=0,0,MAX(0,MIN(AC491,ROUND($AZ491-SUMPRODUCT($V491:$AE491*($V491:$AE491&gt;0)*(($V491:$AE491&lt;AC491)+($V491:$AE491=AC491)*($V$3:$AE$3&gt;AC$3)+($V491:$AE491=AC491)*($V$3:$AE$3=AC$3)*($V$2:$AE$2&lt;AC$2))),2))))</f>
      </c>
      <c r="AN491" s="33">
        <f>IF(AD491&lt;=0,0,MAX(0,MIN(AD491,ROUND($AZ491-SUMPRODUCT($V491:$AE491*($V491:$AE491&gt;0)*(($V491:$AE491&lt;AD491)+($V491:$AE491=AD491)*($V$3:$AE$3&gt;AD$3)+($V491:$AE491=AD491)*($V$3:$AE$3=AD$3)*($V$2:$AE$2&lt;AD$2))),2))))</f>
      </c>
      <c r="AO491" s="33">
        <f>IF(AE491&lt;=0,0,MAX(0,MIN(AE491,ROUND($AZ491-SUMPRODUCT($V491:$AE491*($V491:$AE491&gt;0)*(($V491:$AE491&lt;AE491)+($V491:$AE491=AE491)*($V$3:$AE$3&gt;AE$3)+($V491:$AE491=AE491)*($V$3:$AE$3=AE$3)*($V$2:$AE$2&lt;AE$2))),2))))</f>
      </c>
      <c r="AP491" s="33">
        <f>ROUND(V491-AF491,2)</f>
      </c>
      <c r="AQ491" s="33">
        <f>ROUND(W491-AG491,2)</f>
      </c>
      <c r="AR491" s="33">
        <f>ROUND(X491-AH491,2)</f>
      </c>
      <c r="AS491" s="33">
        <f>ROUND(Y491-AI491,2)</f>
      </c>
      <c r="AT491" s="33">
        <f>ROUND(Z491-AJ491,2)</f>
      </c>
      <c r="AU491" s="33">
        <f>ROUND(AA491-AK491,2)</f>
      </c>
      <c r="AV491" s="33">
        <f>ROUND(AB491-AL491,2)</f>
      </c>
      <c r="AW491" s="33">
        <f>ROUND(AC491-AM491,2)</f>
      </c>
      <c r="AX491" s="33">
        <f>ROUND(AD491-AN491,2)</f>
      </c>
      <c r="AY491" s="33">
        <f>ROUND(AE491-AO491,2)</f>
      </c>
      <c r="AZ491" s="33">
        <f>ROUND(MAX(0,'Your debts'!$D$22-SUM($L491:$U491)),2)</f>
      </c>
      <c r="BA491" s="33">
        <f>ROUND(SUM($B491:$K491)-SUM($AP490:$AY490),2)</f>
      </c>
      <c r="BB491" s="33">
        <f>SUM($AP491:$AY491)</f>
      </c>
      <c r="BC491" s="33">
        <f>ROUND(SUM($L491:$U491)+SUM($AF491:$AO491),2)</f>
      </c>
    </row>
    <row r="492" spans="1:55" x14ac:dyDescent="0.25">
      <c r="A492">
        <v>485</v>
      </c>
      <c r="B492" s="33">
        <f>IF(AP491&lt;=0,0,ROUND(AP491+ROUND(AP491*V$3/12,2),2))</f>
      </c>
      <c r="C492" s="33">
        <f>IF(AQ491&lt;=0,0,ROUND(AQ491+ROUND(AQ491*W$3/12,2),2))</f>
      </c>
      <c r="D492" s="33">
        <f>IF(AR491&lt;=0,0,ROUND(AR491+ROUND(AR491*X$3/12,2),2))</f>
      </c>
      <c r="E492" s="33">
        <f>IF(AS491&lt;=0,0,ROUND(AS491+ROUND(AS491*Y$3/12,2),2))</f>
      </c>
      <c r="F492" s="33">
        <f>IF(AT491&lt;=0,0,ROUND(AT491+ROUND(AT491*Z$3/12,2),2))</f>
      </c>
      <c r="G492" s="33">
        <f>IF(AU491&lt;=0,0,ROUND(AU491+ROUND(AU491*AA$3/12,2),2))</f>
      </c>
      <c r="H492" s="33">
        <f>IF(AV491&lt;=0,0,ROUND(AV491+ROUND(AV491*AB$3/12,2),2))</f>
      </c>
      <c r="I492" s="33">
        <f>IF(AW491&lt;=0,0,ROUND(AW491+ROUND(AW491*AC$3/12,2),2))</f>
      </c>
      <c r="J492" s="33">
        <f>IF(AX491&lt;=0,0,ROUND(AX491+ROUND(AX491*AD$3/12,2),2))</f>
      </c>
      <c r="K492" s="33">
        <f>IF(AY491&lt;=0,0,ROUND(AY491+ROUND(AY491*AE$3/12,2),2))</f>
      </c>
      <c r="L492" s="33">
        <f>ROUND(MIN(MAX(0,N('Your debts'!$E$6)),B492),2)</f>
      </c>
      <c r="M492" s="33">
        <f>ROUND(MIN(MAX(0,N('Your debts'!$E$7)),C492),2)</f>
      </c>
      <c r="N492" s="33">
        <f>ROUND(MIN(MAX(0,N('Your debts'!$E$8)),D492),2)</f>
      </c>
      <c r="O492" s="33">
        <f>ROUND(MIN(MAX(0,N('Your debts'!$E$9)),E492),2)</f>
      </c>
      <c r="P492" s="33">
        <f>ROUND(MIN(MAX(0,N('Your debts'!$E$10)),F492),2)</f>
      </c>
      <c r="Q492" s="33">
        <f>ROUND(MIN(MAX(0,N('Your debts'!$E$11)),G492),2)</f>
      </c>
      <c r="R492" s="33">
        <f>ROUND(MIN(MAX(0,N('Your debts'!$E$12)),H492),2)</f>
      </c>
      <c r="S492" s="33">
        <f>ROUND(MIN(MAX(0,N('Your debts'!$E$13)),I492),2)</f>
      </c>
      <c r="T492" s="33">
        <f>ROUND(MIN(MAX(0,N('Your debts'!$E$14)),J492),2)</f>
      </c>
      <c r="U492" s="33">
        <f>ROUND(MIN(MAX(0,N('Your debts'!$E$15)),K492),2)</f>
      </c>
      <c r="V492" s="33">
        <f>ROUND(B492-L492,2)</f>
      </c>
      <c r="W492" s="33">
        <f>ROUND(C492-M492,2)</f>
      </c>
      <c r="X492" s="33">
        <f>ROUND(D492-N492,2)</f>
      </c>
      <c r="Y492" s="33">
        <f>ROUND(E492-O492,2)</f>
      </c>
      <c r="Z492" s="33">
        <f>ROUND(F492-P492,2)</f>
      </c>
      <c r="AA492" s="33">
        <f>ROUND(G492-Q492,2)</f>
      </c>
      <c r="AB492" s="33">
        <f>ROUND(H492-R492,2)</f>
      </c>
      <c r="AC492" s="33">
        <f>ROUND(I492-S492,2)</f>
      </c>
      <c r="AD492" s="33">
        <f>ROUND(J492-T492,2)</f>
      </c>
      <c r="AE492" s="33">
        <f>ROUND(K492-U492,2)</f>
      </c>
      <c r="AF492" s="33">
        <f>IF(V492&lt;=0,0,MAX(0,MIN(V492,ROUND($AZ492-SUMPRODUCT($V492:$AE492*($V492:$AE492&gt;0)*(($V492:$AE492&lt;V492)+($V492:$AE492=V492)*($V$3:$AE$3&gt;V$3)+($V492:$AE492=V492)*($V$3:$AE$3=V$3)*($V$2:$AE$2&lt;V$2))),2))))</f>
      </c>
      <c r="AG492" s="33">
        <f>IF(W492&lt;=0,0,MAX(0,MIN(W492,ROUND($AZ492-SUMPRODUCT($V492:$AE492*($V492:$AE492&gt;0)*(($V492:$AE492&lt;W492)+($V492:$AE492=W492)*($V$3:$AE$3&gt;W$3)+($V492:$AE492=W492)*($V$3:$AE$3=W$3)*($V$2:$AE$2&lt;W$2))),2))))</f>
      </c>
      <c r="AH492" s="33">
        <f>IF(X492&lt;=0,0,MAX(0,MIN(X492,ROUND($AZ492-SUMPRODUCT($V492:$AE492*($V492:$AE492&gt;0)*(($V492:$AE492&lt;X492)+($V492:$AE492=X492)*($V$3:$AE$3&gt;X$3)+($V492:$AE492=X492)*($V$3:$AE$3=X$3)*($V$2:$AE$2&lt;X$2))),2))))</f>
      </c>
      <c r="AI492" s="33">
        <f>IF(Y492&lt;=0,0,MAX(0,MIN(Y492,ROUND($AZ492-SUMPRODUCT($V492:$AE492*($V492:$AE492&gt;0)*(($V492:$AE492&lt;Y492)+($V492:$AE492=Y492)*($V$3:$AE$3&gt;Y$3)+($V492:$AE492=Y492)*($V$3:$AE$3=Y$3)*($V$2:$AE$2&lt;Y$2))),2))))</f>
      </c>
      <c r="AJ492" s="33">
        <f>IF(Z492&lt;=0,0,MAX(0,MIN(Z492,ROUND($AZ492-SUMPRODUCT($V492:$AE492*($V492:$AE492&gt;0)*(($V492:$AE492&lt;Z492)+($V492:$AE492=Z492)*($V$3:$AE$3&gt;Z$3)+($V492:$AE492=Z492)*($V$3:$AE$3=Z$3)*($V$2:$AE$2&lt;Z$2))),2))))</f>
      </c>
      <c r="AK492" s="33">
        <f>IF(AA492&lt;=0,0,MAX(0,MIN(AA492,ROUND($AZ492-SUMPRODUCT($V492:$AE492*($V492:$AE492&gt;0)*(($V492:$AE492&lt;AA492)+($V492:$AE492=AA492)*($V$3:$AE$3&gt;AA$3)+($V492:$AE492=AA492)*($V$3:$AE$3=AA$3)*($V$2:$AE$2&lt;AA$2))),2))))</f>
      </c>
      <c r="AL492" s="33">
        <f>IF(AB492&lt;=0,0,MAX(0,MIN(AB492,ROUND($AZ492-SUMPRODUCT($V492:$AE492*($V492:$AE492&gt;0)*(($V492:$AE492&lt;AB492)+($V492:$AE492=AB492)*($V$3:$AE$3&gt;AB$3)+($V492:$AE492=AB492)*($V$3:$AE$3=AB$3)*($V$2:$AE$2&lt;AB$2))),2))))</f>
      </c>
      <c r="AM492" s="33">
        <f>IF(AC492&lt;=0,0,MAX(0,MIN(AC492,ROUND($AZ492-SUMPRODUCT($V492:$AE492*($V492:$AE492&gt;0)*(($V492:$AE492&lt;AC492)+($V492:$AE492=AC492)*($V$3:$AE$3&gt;AC$3)+($V492:$AE492=AC492)*($V$3:$AE$3=AC$3)*($V$2:$AE$2&lt;AC$2))),2))))</f>
      </c>
      <c r="AN492" s="33">
        <f>IF(AD492&lt;=0,0,MAX(0,MIN(AD492,ROUND($AZ492-SUMPRODUCT($V492:$AE492*($V492:$AE492&gt;0)*(($V492:$AE492&lt;AD492)+($V492:$AE492=AD492)*($V$3:$AE$3&gt;AD$3)+($V492:$AE492=AD492)*($V$3:$AE$3=AD$3)*($V$2:$AE$2&lt;AD$2))),2))))</f>
      </c>
      <c r="AO492" s="33">
        <f>IF(AE492&lt;=0,0,MAX(0,MIN(AE492,ROUND($AZ492-SUMPRODUCT($V492:$AE492*($V492:$AE492&gt;0)*(($V492:$AE492&lt;AE492)+($V492:$AE492=AE492)*($V$3:$AE$3&gt;AE$3)+($V492:$AE492=AE492)*($V$3:$AE$3=AE$3)*($V$2:$AE$2&lt;AE$2))),2))))</f>
      </c>
      <c r="AP492" s="33">
        <f>ROUND(V492-AF492,2)</f>
      </c>
      <c r="AQ492" s="33">
        <f>ROUND(W492-AG492,2)</f>
      </c>
      <c r="AR492" s="33">
        <f>ROUND(X492-AH492,2)</f>
      </c>
      <c r="AS492" s="33">
        <f>ROUND(Y492-AI492,2)</f>
      </c>
      <c r="AT492" s="33">
        <f>ROUND(Z492-AJ492,2)</f>
      </c>
      <c r="AU492" s="33">
        <f>ROUND(AA492-AK492,2)</f>
      </c>
      <c r="AV492" s="33">
        <f>ROUND(AB492-AL492,2)</f>
      </c>
      <c r="AW492" s="33">
        <f>ROUND(AC492-AM492,2)</f>
      </c>
      <c r="AX492" s="33">
        <f>ROUND(AD492-AN492,2)</f>
      </c>
      <c r="AY492" s="33">
        <f>ROUND(AE492-AO492,2)</f>
      </c>
      <c r="AZ492" s="33">
        <f>ROUND(MAX(0,'Your debts'!$D$22-SUM($L492:$U492)),2)</f>
      </c>
      <c r="BA492" s="33">
        <f>ROUND(SUM($B492:$K492)-SUM($AP491:$AY491),2)</f>
      </c>
      <c r="BB492" s="33">
        <f>SUM($AP492:$AY492)</f>
      </c>
      <c r="BC492" s="33">
        <f>ROUND(SUM($L492:$U492)+SUM($AF492:$AO492),2)</f>
      </c>
    </row>
    <row r="493" spans="1:55" x14ac:dyDescent="0.25">
      <c r="A493">
        <v>486</v>
      </c>
      <c r="B493" s="33">
        <f>IF(AP492&lt;=0,0,ROUND(AP492+ROUND(AP492*V$3/12,2),2))</f>
      </c>
      <c r="C493" s="33">
        <f>IF(AQ492&lt;=0,0,ROUND(AQ492+ROUND(AQ492*W$3/12,2),2))</f>
      </c>
      <c r="D493" s="33">
        <f>IF(AR492&lt;=0,0,ROUND(AR492+ROUND(AR492*X$3/12,2),2))</f>
      </c>
      <c r="E493" s="33">
        <f>IF(AS492&lt;=0,0,ROUND(AS492+ROUND(AS492*Y$3/12,2),2))</f>
      </c>
      <c r="F493" s="33">
        <f>IF(AT492&lt;=0,0,ROUND(AT492+ROUND(AT492*Z$3/12,2),2))</f>
      </c>
      <c r="G493" s="33">
        <f>IF(AU492&lt;=0,0,ROUND(AU492+ROUND(AU492*AA$3/12,2),2))</f>
      </c>
      <c r="H493" s="33">
        <f>IF(AV492&lt;=0,0,ROUND(AV492+ROUND(AV492*AB$3/12,2),2))</f>
      </c>
      <c r="I493" s="33">
        <f>IF(AW492&lt;=0,0,ROUND(AW492+ROUND(AW492*AC$3/12,2),2))</f>
      </c>
      <c r="J493" s="33">
        <f>IF(AX492&lt;=0,0,ROUND(AX492+ROUND(AX492*AD$3/12,2),2))</f>
      </c>
      <c r="K493" s="33">
        <f>IF(AY492&lt;=0,0,ROUND(AY492+ROUND(AY492*AE$3/12,2),2))</f>
      </c>
      <c r="L493" s="33">
        <f>ROUND(MIN(MAX(0,N('Your debts'!$E$6)),B493),2)</f>
      </c>
      <c r="M493" s="33">
        <f>ROUND(MIN(MAX(0,N('Your debts'!$E$7)),C493),2)</f>
      </c>
      <c r="N493" s="33">
        <f>ROUND(MIN(MAX(0,N('Your debts'!$E$8)),D493),2)</f>
      </c>
      <c r="O493" s="33">
        <f>ROUND(MIN(MAX(0,N('Your debts'!$E$9)),E493),2)</f>
      </c>
      <c r="P493" s="33">
        <f>ROUND(MIN(MAX(0,N('Your debts'!$E$10)),F493),2)</f>
      </c>
      <c r="Q493" s="33">
        <f>ROUND(MIN(MAX(0,N('Your debts'!$E$11)),G493),2)</f>
      </c>
      <c r="R493" s="33">
        <f>ROUND(MIN(MAX(0,N('Your debts'!$E$12)),H493),2)</f>
      </c>
      <c r="S493" s="33">
        <f>ROUND(MIN(MAX(0,N('Your debts'!$E$13)),I493),2)</f>
      </c>
      <c r="T493" s="33">
        <f>ROUND(MIN(MAX(0,N('Your debts'!$E$14)),J493),2)</f>
      </c>
      <c r="U493" s="33">
        <f>ROUND(MIN(MAX(0,N('Your debts'!$E$15)),K493),2)</f>
      </c>
      <c r="V493" s="33">
        <f>ROUND(B493-L493,2)</f>
      </c>
      <c r="W493" s="33">
        <f>ROUND(C493-M493,2)</f>
      </c>
      <c r="X493" s="33">
        <f>ROUND(D493-N493,2)</f>
      </c>
      <c r="Y493" s="33">
        <f>ROUND(E493-O493,2)</f>
      </c>
      <c r="Z493" s="33">
        <f>ROUND(F493-P493,2)</f>
      </c>
      <c r="AA493" s="33">
        <f>ROUND(G493-Q493,2)</f>
      </c>
      <c r="AB493" s="33">
        <f>ROUND(H493-R493,2)</f>
      </c>
      <c r="AC493" s="33">
        <f>ROUND(I493-S493,2)</f>
      </c>
      <c r="AD493" s="33">
        <f>ROUND(J493-T493,2)</f>
      </c>
      <c r="AE493" s="33">
        <f>ROUND(K493-U493,2)</f>
      </c>
      <c r="AF493" s="33">
        <f>IF(V493&lt;=0,0,MAX(0,MIN(V493,ROUND($AZ493-SUMPRODUCT($V493:$AE493*($V493:$AE493&gt;0)*(($V493:$AE493&lt;V493)+($V493:$AE493=V493)*($V$3:$AE$3&gt;V$3)+($V493:$AE493=V493)*($V$3:$AE$3=V$3)*($V$2:$AE$2&lt;V$2))),2))))</f>
      </c>
      <c r="AG493" s="33">
        <f>IF(W493&lt;=0,0,MAX(0,MIN(W493,ROUND($AZ493-SUMPRODUCT($V493:$AE493*($V493:$AE493&gt;0)*(($V493:$AE493&lt;W493)+($V493:$AE493=W493)*($V$3:$AE$3&gt;W$3)+($V493:$AE493=W493)*($V$3:$AE$3=W$3)*($V$2:$AE$2&lt;W$2))),2))))</f>
      </c>
      <c r="AH493" s="33">
        <f>IF(X493&lt;=0,0,MAX(0,MIN(X493,ROUND($AZ493-SUMPRODUCT($V493:$AE493*($V493:$AE493&gt;0)*(($V493:$AE493&lt;X493)+($V493:$AE493=X493)*($V$3:$AE$3&gt;X$3)+($V493:$AE493=X493)*($V$3:$AE$3=X$3)*($V$2:$AE$2&lt;X$2))),2))))</f>
      </c>
      <c r="AI493" s="33">
        <f>IF(Y493&lt;=0,0,MAX(0,MIN(Y493,ROUND($AZ493-SUMPRODUCT($V493:$AE493*($V493:$AE493&gt;0)*(($V493:$AE493&lt;Y493)+($V493:$AE493=Y493)*($V$3:$AE$3&gt;Y$3)+($V493:$AE493=Y493)*($V$3:$AE$3=Y$3)*($V$2:$AE$2&lt;Y$2))),2))))</f>
      </c>
      <c r="AJ493" s="33">
        <f>IF(Z493&lt;=0,0,MAX(0,MIN(Z493,ROUND($AZ493-SUMPRODUCT($V493:$AE493*($V493:$AE493&gt;0)*(($V493:$AE493&lt;Z493)+($V493:$AE493=Z493)*($V$3:$AE$3&gt;Z$3)+($V493:$AE493=Z493)*($V$3:$AE$3=Z$3)*($V$2:$AE$2&lt;Z$2))),2))))</f>
      </c>
      <c r="AK493" s="33">
        <f>IF(AA493&lt;=0,0,MAX(0,MIN(AA493,ROUND($AZ493-SUMPRODUCT($V493:$AE493*($V493:$AE493&gt;0)*(($V493:$AE493&lt;AA493)+($V493:$AE493=AA493)*($V$3:$AE$3&gt;AA$3)+($V493:$AE493=AA493)*($V$3:$AE$3=AA$3)*($V$2:$AE$2&lt;AA$2))),2))))</f>
      </c>
      <c r="AL493" s="33">
        <f>IF(AB493&lt;=0,0,MAX(0,MIN(AB493,ROUND($AZ493-SUMPRODUCT($V493:$AE493*($V493:$AE493&gt;0)*(($V493:$AE493&lt;AB493)+($V493:$AE493=AB493)*($V$3:$AE$3&gt;AB$3)+($V493:$AE493=AB493)*($V$3:$AE$3=AB$3)*($V$2:$AE$2&lt;AB$2))),2))))</f>
      </c>
      <c r="AM493" s="33">
        <f>IF(AC493&lt;=0,0,MAX(0,MIN(AC493,ROUND($AZ493-SUMPRODUCT($V493:$AE493*($V493:$AE493&gt;0)*(($V493:$AE493&lt;AC493)+($V493:$AE493=AC493)*($V$3:$AE$3&gt;AC$3)+($V493:$AE493=AC493)*($V$3:$AE$3=AC$3)*($V$2:$AE$2&lt;AC$2))),2))))</f>
      </c>
      <c r="AN493" s="33">
        <f>IF(AD493&lt;=0,0,MAX(0,MIN(AD493,ROUND($AZ493-SUMPRODUCT($V493:$AE493*($V493:$AE493&gt;0)*(($V493:$AE493&lt;AD493)+($V493:$AE493=AD493)*($V$3:$AE$3&gt;AD$3)+($V493:$AE493=AD493)*($V$3:$AE$3=AD$3)*($V$2:$AE$2&lt;AD$2))),2))))</f>
      </c>
      <c r="AO493" s="33">
        <f>IF(AE493&lt;=0,0,MAX(0,MIN(AE493,ROUND($AZ493-SUMPRODUCT($V493:$AE493*($V493:$AE493&gt;0)*(($V493:$AE493&lt;AE493)+($V493:$AE493=AE493)*($V$3:$AE$3&gt;AE$3)+($V493:$AE493=AE493)*($V$3:$AE$3=AE$3)*($V$2:$AE$2&lt;AE$2))),2))))</f>
      </c>
      <c r="AP493" s="33">
        <f>ROUND(V493-AF493,2)</f>
      </c>
      <c r="AQ493" s="33">
        <f>ROUND(W493-AG493,2)</f>
      </c>
      <c r="AR493" s="33">
        <f>ROUND(X493-AH493,2)</f>
      </c>
      <c r="AS493" s="33">
        <f>ROUND(Y493-AI493,2)</f>
      </c>
      <c r="AT493" s="33">
        <f>ROUND(Z493-AJ493,2)</f>
      </c>
      <c r="AU493" s="33">
        <f>ROUND(AA493-AK493,2)</f>
      </c>
      <c r="AV493" s="33">
        <f>ROUND(AB493-AL493,2)</f>
      </c>
      <c r="AW493" s="33">
        <f>ROUND(AC493-AM493,2)</f>
      </c>
      <c r="AX493" s="33">
        <f>ROUND(AD493-AN493,2)</f>
      </c>
      <c r="AY493" s="33">
        <f>ROUND(AE493-AO493,2)</f>
      </c>
      <c r="AZ493" s="33">
        <f>ROUND(MAX(0,'Your debts'!$D$22-SUM($L493:$U493)),2)</f>
      </c>
      <c r="BA493" s="33">
        <f>ROUND(SUM($B493:$K493)-SUM($AP492:$AY492),2)</f>
      </c>
      <c r="BB493" s="33">
        <f>SUM($AP493:$AY493)</f>
      </c>
      <c r="BC493" s="33">
        <f>ROUND(SUM($L493:$U493)+SUM($AF493:$AO493),2)</f>
      </c>
    </row>
    <row r="494" spans="1:55" x14ac:dyDescent="0.25">
      <c r="A494">
        <v>487</v>
      </c>
      <c r="B494" s="33">
        <f>IF(AP493&lt;=0,0,ROUND(AP493+ROUND(AP493*V$3/12,2),2))</f>
      </c>
      <c r="C494" s="33">
        <f>IF(AQ493&lt;=0,0,ROUND(AQ493+ROUND(AQ493*W$3/12,2),2))</f>
      </c>
      <c r="D494" s="33">
        <f>IF(AR493&lt;=0,0,ROUND(AR493+ROUND(AR493*X$3/12,2),2))</f>
      </c>
      <c r="E494" s="33">
        <f>IF(AS493&lt;=0,0,ROUND(AS493+ROUND(AS493*Y$3/12,2),2))</f>
      </c>
      <c r="F494" s="33">
        <f>IF(AT493&lt;=0,0,ROUND(AT493+ROUND(AT493*Z$3/12,2),2))</f>
      </c>
      <c r="G494" s="33">
        <f>IF(AU493&lt;=0,0,ROUND(AU493+ROUND(AU493*AA$3/12,2),2))</f>
      </c>
      <c r="H494" s="33">
        <f>IF(AV493&lt;=0,0,ROUND(AV493+ROUND(AV493*AB$3/12,2),2))</f>
      </c>
      <c r="I494" s="33">
        <f>IF(AW493&lt;=0,0,ROUND(AW493+ROUND(AW493*AC$3/12,2),2))</f>
      </c>
      <c r="J494" s="33">
        <f>IF(AX493&lt;=0,0,ROUND(AX493+ROUND(AX493*AD$3/12,2),2))</f>
      </c>
      <c r="K494" s="33">
        <f>IF(AY493&lt;=0,0,ROUND(AY493+ROUND(AY493*AE$3/12,2),2))</f>
      </c>
      <c r="L494" s="33">
        <f>ROUND(MIN(MAX(0,N('Your debts'!$E$6)),B494),2)</f>
      </c>
      <c r="M494" s="33">
        <f>ROUND(MIN(MAX(0,N('Your debts'!$E$7)),C494),2)</f>
      </c>
      <c r="N494" s="33">
        <f>ROUND(MIN(MAX(0,N('Your debts'!$E$8)),D494),2)</f>
      </c>
      <c r="O494" s="33">
        <f>ROUND(MIN(MAX(0,N('Your debts'!$E$9)),E494),2)</f>
      </c>
      <c r="P494" s="33">
        <f>ROUND(MIN(MAX(0,N('Your debts'!$E$10)),F494),2)</f>
      </c>
      <c r="Q494" s="33">
        <f>ROUND(MIN(MAX(0,N('Your debts'!$E$11)),G494),2)</f>
      </c>
      <c r="R494" s="33">
        <f>ROUND(MIN(MAX(0,N('Your debts'!$E$12)),H494),2)</f>
      </c>
      <c r="S494" s="33">
        <f>ROUND(MIN(MAX(0,N('Your debts'!$E$13)),I494),2)</f>
      </c>
      <c r="T494" s="33">
        <f>ROUND(MIN(MAX(0,N('Your debts'!$E$14)),J494),2)</f>
      </c>
      <c r="U494" s="33">
        <f>ROUND(MIN(MAX(0,N('Your debts'!$E$15)),K494),2)</f>
      </c>
      <c r="V494" s="33">
        <f>ROUND(B494-L494,2)</f>
      </c>
      <c r="W494" s="33">
        <f>ROUND(C494-M494,2)</f>
      </c>
      <c r="X494" s="33">
        <f>ROUND(D494-N494,2)</f>
      </c>
      <c r="Y494" s="33">
        <f>ROUND(E494-O494,2)</f>
      </c>
      <c r="Z494" s="33">
        <f>ROUND(F494-P494,2)</f>
      </c>
      <c r="AA494" s="33">
        <f>ROUND(G494-Q494,2)</f>
      </c>
      <c r="AB494" s="33">
        <f>ROUND(H494-R494,2)</f>
      </c>
      <c r="AC494" s="33">
        <f>ROUND(I494-S494,2)</f>
      </c>
      <c r="AD494" s="33">
        <f>ROUND(J494-T494,2)</f>
      </c>
      <c r="AE494" s="33">
        <f>ROUND(K494-U494,2)</f>
      </c>
      <c r="AF494" s="33">
        <f>IF(V494&lt;=0,0,MAX(0,MIN(V494,ROUND($AZ494-SUMPRODUCT($V494:$AE494*($V494:$AE494&gt;0)*(($V494:$AE494&lt;V494)+($V494:$AE494=V494)*($V$3:$AE$3&gt;V$3)+($V494:$AE494=V494)*($V$3:$AE$3=V$3)*($V$2:$AE$2&lt;V$2))),2))))</f>
      </c>
      <c r="AG494" s="33">
        <f>IF(W494&lt;=0,0,MAX(0,MIN(W494,ROUND($AZ494-SUMPRODUCT($V494:$AE494*($V494:$AE494&gt;0)*(($V494:$AE494&lt;W494)+($V494:$AE494=W494)*($V$3:$AE$3&gt;W$3)+($V494:$AE494=W494)*($V$3:$AE$3=W$3)*($V$2:$AE$2&lt;W$2))),2))))</f>
      </c>
      <c r="AH494" s="33">
        <f>IF(X494&lt;=0,0,MAX(0,MIN(X494,ROUND($AZ494-SUMPRODUCT($V494:$AE494*($V494:$AE494&gt;0)*(($V494:$AE494&lt;X494)+($V494:$AE494=X494)*($V$3:$AE$3&gt;X$3)+($V494:$AE494=X494)*($V$3:$AE$3=X$3)*($V$2:$AE$2&lt;X$2))),2))))</f>
      </c>
      <c r="AI494" s="33">
        <f>IF(Y494&lt;=0,0,MAX(0,MIN(Y494,ROUND($AZ494-SUMPRODUCT($V494:$AE494*($V494:$AE494&gt;0)*(($V494:$AE494&lt;Y494)+($V494:$AE494=Y494)*($V$3:$AE$3&gt;Y$3)+($V494:$AE494=Y494)*($V$3:$AE$3=Y$3)*($V$2:$AE$2&lt;Y$2))),2))))</f>
      </c>
      <c r="AJ494" s="33">
        <f>IF(Z494&lt;=0,0,MAX(0,MIN(Z494,ROUND($AZ494-SUMPRODUCT($V494:$AE494*($V494:$AE494&gt;0)*(($V494:$AE494&lt;Z494)+($V494:$AE494=Z494)*($V$3:$AE$3&gt;Z$3)+($V494:$AE494=Z494)*($V$3:$AE$3=Z$3)*($V$2:$AE$2&lt;Z$2))),2))))</f>
      </c>
      <c r="AK494" s="33">
        <f>IF(AA494&lt;=0,0,MAX(0,MIN(AA494,ROUND($AZ494-SUMPRODUCT($V494:$AE494*($V494:$AE494&gt;0)*(($V494:$AE494&lt;AA494)+($V494:$AE494=AA494)*($V$3:$AE$3&gt;AA$3)+($V494:$AE494=AA494)*($V$3:$AE$3=AA$3)*($V$2:$AE$2&lt;AA$2))),2))))</f>
      </c>
      <c r="AL494" s="33">
        <f>IF(AB494&lt;=0,0,MAX(0,MIN(AB494,ROUND($AZ494-SUMPRODUCT($V494:$AE494*($V494:$AE494&gt;0)*(($V494:$AE494&lt;AB494)+($V494:$AE494=AB494)*($V$3:$AE$3&gt;AB$3)+($V494:$AE494=AB494)*($V$3:$AE$3=AB$3)*($V$2:$AE$2&lt;AB$2))),2))))</f>
      </c>
      <c r="AM494" s="33">
        <f>IF(AC494&lt;=0,0,MAX(0,MIN(AC494,ROUND($AZ494-SUMPRODUCT($V494:$AE494*($V494:$AE494&gt;0)*(($V494:$AE494&lt;AC494)+($V494:$AE494=AC494)*($V$3:$AE$3&gt;AC$3)+($V494:$AE494=AC494)*($V$3:$AE$3=AC$3)*($V$2:$AE$2&lt;AC$2))),2))))</f>
      </c>
      <c r="AN494" s="33">
        <f>IF(AD494&lt;=0,0,MAX(0,MIN(AD494,ROUND($AZ494-SUMPRODUCT($V494:$AE494*($V494:$AE494&gt;0)*(($V494:$AE494&lt;AD494)+($V494:$AE494=AD494)*($V$3:$AE$3&gt;AD$3)+($V494:$AE494=AD494)*($V$3:$AE$3=AD$3)*($V$2:$AE$2&lt;AD$2))),2))))</f>
      </c>
      <c r="AO494" s="33">
        <f>IF(AE494&lt;=0,0,MAX(0,MIN(AE494,ROUND($AZ494-SUMPRODUCT($V494:$AE494*($V494:$AE494&gt;0)*(($V494:$AE494&lt;AE494)+($V494:$AE494=AE494)*($V$3:$AE$3&gt;AE$3)+($V494:$AE494=AE494)*($V$3:$AE$3=AE$3)*($V$2:$AE$2&lt;AE$2))),2))))</f>
      </c>
      <c r="AP494" s="33">
        <f>ROUND(V494-AF494,2)</f>
      </c>
      <c r="AQ494" s="33">
        <f>ROUND(W494-AG494,2)</f>
      </c>
      <c r="AR494" s="33">
        <f>ROUND(X494-AH494,2)</f>
      </c>
      <c r="AS494" s="33">
        <f>ROUND(Y494-AI494,2)</f>
      </c>
      <c r="AT494" s="33">
        <f>ROUND(Z494-AJ494,2)</f>
      </c>
      <c r="AU494" s="33">
        <f>ROUND(AA494-AK494,2)</f>
      </c>
      <c r="AV494" s="33">
        <f>ROUND(AB494-AL494,2)</f>
      </c>
      <c r="AW494" s="33">
        <f>ROUND(AC494-AM494,2)</f>
      </c>
      <c r="AX494" s="33">
        <f>ROUND(AD494-AN494,2)</f>
      </c>
      <c r="AY494" s="33">
        <f>ROUND(AE494-AO494,2)</f>
      </c>
      <c r="AZ494" s="33">
        <f>ROUND(MAX(0,'Your debts'!$D$22-SUM($L494:$U494)),2)</f>
      </c>
      <c r="BA494" s="33">
        <f>ROUND(SUM($B494:$K494)-SUM($AP493:$AY493),2)</f>
      </c>
      <c r="BB494" s="33">
        <f>SUM($AP494:$AY494)</f>
      </c>
      <c r="BC494" s="33">
        <f>ROUND(SUM($L494:$U494)+SUM($AF494:$AO494),2)</f>
      </c>
    </row>
    <row r="495" spans="1:55" x14ac:dyDescent="0.25">
      <c r="A495">
        <v>488</v>
      </c>
      <c r="B495" s="33">
        <f>IF(AP494&lt;=0,0,ROUND(AP494+ROUND(AP494*V$3/12,2),2))</f>
      </c>
      <c r="C495" s="33">
        <f>IF(AQ494&lt;=0,0,ROUND(AQ494+ROUND(AQ494*W$3/12,2),2))</f>
      </c>
      <c r="D495" s="33">
        <f>IF(AR494&lt;=0,0,ROUND(AR494+ROUND(AR494*X$3/12,2),2))</f>
      </c>
      <c r="E495" s="33">
        <f>IF(AS494&lt;=0,0,ROUND(AS494+ROUND(AS494*Y$3/12,2),2))</f>
      </c>
      <c r="F495" s="33">
        <f>IF(AT494&lt;=0,0,ROUND(AT494+ROUND(AT494*Z$3/12,2),2))</f>
      </c>
      <c r="G495" s="33">
        <f>IF(AU494&lt;=0,0,ROUND(AU494+ROUND(AU494*AA$3/12,2),2))</f>
      </c>
      <c r="H495" s="33">
        <f>IF(AV494&lt;=0,0,ROUND(AV494+ROUND(AV494*AB$3/12,2),2))</f>
      </c>
      <c r="I495" s="33">
        <f>IF(AW494&lt;=0,0,ROUND(AW494+ROUND(AW494*AC$3/12,2),2))</f>
      </c>
      <c r="J495" s="33">
        <f>IF(AX494&lt;=0,0,ROUND(AX494+ROUND(AX494*AD$3/12,2),2))</f>
      </c>
      <c r="K495" s="33">
        <f>IF(AY494&lt;=0,0,ROUND(AY494+ROUND(AY494*AE$3/12,2),2))</f>
      </c>
      <c r="L495" s="33">
        <f>ROUND(MIN(MAX(0,N('Your debts'!$E$6)),B495),2)</f>
      </c>
      <c r="M495" s="33">
        <f>ROUND(MIN(MAX(0,N('Your debts'!$E$7)),C495),2)</f>
      </c>
      <c r="N495" s="33">
        <f>ROUND(MIN(MAX(0,N('Your debts'!$E$8)),D495),2)</f>
      </c>
      <c r="O495" s="33">
        <f>ROUND(MIN(MAX(0,N('Your debts'!$E$9)),E495),2)</f>
      </c>
      <c r="P495" s="33">
        <f>ROUND(MIN(MAX(0,N('Your debts'!$E$10)),F495),2)</f>
      </c>
      <c r="Q495" s="33">
        <f>ROUND(MIN(MAX(0,N('Your debts'!$E$11)),G495),2)</f>
      </c>
      <c r="R495" s="33">
        <f>ROUND(MIN(MAX(0,N('Your debts'!$E$12)),H495),2)</f>
      </c>
      <c r="S495" s="33">
        <f>ROUND(MIN(MAX(0,N('Your debts'!$E$13)),I495),2)</f>
      </c>
      <c r="T495" s="33">
        <f>ROUND(MIN(MAX(0,N('Your debts'!$E$14)),J495),2)</f>
      </c>
      <c r="U495" s="33">
        <f>ROUND(MIN(MAX(0,N('Your debts'!$E$15)),K495),2)</f>
      </c>
      <c r="V495" s="33">
        <f>ROUND(B495-L495,2)</f>
      </c>
      <c r="W495" s="33">
        <f>ROUND(C495-M495,2)</f>
      </c>
      <c r="X495" s="33">
        <f>ROUND(D495-N495,2)</f>
      </c>
      <c r="Y495" s="33">
        <f>ROUND(E495-O495,2)</f>
      </c>
      <c r="Z495" s="33">
        <f>ROUND(F495-P495,2)</f>
      </c>
      <c r="AA495" s="33">
        <f>ROUND(G495-Q495,2)</f>
      </c>
      <c r="AB495" s="33">
        <f>ROUND(H495-R495,2)</f>
      </c>
      <c r="AC495" s="33">
        <f>ROUND(I495-S495,2)</f>
      </c>
      <c r="AD495" s="33">
        <f>ROUND(J495-T495,2)</f>
      </c>
      <c r="AE495" s="33">
        <f>ROUND(K495-U495,2)</f>
      </c>
      <c r="AF495" s="33">
        <f>IF(V495&lt;=0,0,MAX(0,MIN(V495,ROUND($AZ495-SUMPRODUCT($V495:$AE495*($V495:$AE495&gt;0)*(($V495:$AE495&lt;V495)+($V495:$AE495=V495)*($V$3:$AE$3&gt;V$3)+($V495:$AE495=V495)*($V$3:$AE$3=V$3)*($V$2:$AE$2&lt;V$2))),2))))</f>
      </c>
      <c r="AG495" s="33">
        <f>IF(W495&lt;=0,0,MAX(0,MIN(W495,ROUND($AZ495-SUMPRODUCT($V495:$AE495*($V495:$AE495&gt;0)*(($V495:$AE495&lt;W495)+($V495:$AE495=W495)*($V$3:$AE$3&gt;W$3)+($V495:$AE495=W495)*($V$3:$AE$3=W$3)*($V$2:$AE$2&lt;W$2))),2))))</f>
      </c>
      <c r="AH495" s="33">
        <f>IF(X495&lt;=0,0,MAX(0,MIN(X495,ROUND($AZ495-SUMPRODUCT($V495:$AE495*($V495:$AE495&gt;0)*(($V495:$AE495&lt;X495)+($V495:$AE495=X495)*($V$3:$AE$3&gt;X$3)+($V495:$AE495=X495)*($V$3:$AE$3=X$3)*($V$2:$AE$2&lt;X$2))),2))))</f>
      </c>
      <c r="AI495" s="33">
        <f>IF(Y495&lt;=0,0,MAX(0,MIN(Y495,ROUND($AZ495-SUMPRODUCT($V495:$AE495*($V495:$AE495&gt;0)*(($V495:$AE495&lt;Y495)+($V495:$AE495=Y495)*($V$3:$AE$3&gt;Y$3)+($V495:$AE495=Y495)*($V$3:$AE$3=Y$3)*($V$2:$AE$2&lt;Y$2))),2))))</f>
      </c>
      <c r="AJ495" s="33">
        <f>IF(Z495&lt;=0,0,MAX(0,MIN(Z495,ROUND($AZ495-SUMPRODUCT($V495:$AE495*($V495:$AE495&gt;0)*(($V495:$AE495&lt;Z495)+($V495:$AE495=Z495)*($V$3:$AE$3&gt;Z$3)+($V495:$AE495=Z495)*($V$3:$AE$3=Z$3)*($V$2:$AE$2&lt;Z$2))),2))))</f>
      </c>
      <c r="AK495" s="33">
        <f>IF(AA495&lt;=0,0,MAX(0,MIN(AA495,ROUND($AZ495-SUMPRODUCT($V495:$AE495*($V495:$AE495&gt;0)*(($V495:$AE495&lt;AA495)+($V495:$AE495=AA495)*($V$3:$AE$3&gt;AA$3)+($V495:$AE495=AA495)*($V$3:$AE$3=AA$3)*($V$2:$AE$2&lt;AA$2))),2))))</f>
      </c>
      <c r="AL495" s="33">
        <f>IF(AB495&lt;=0,0,MAX(0,MIN(AB495,ROUND($AZ495-SUMPRODUCT($V495:$AE495*($V495:$AE495&gt;0)*(($V495:$AE495&lt;AB495)+($V495:$AE495=AB495)*($V$3:$AE$3&gt;AB$3)+($V495:$AE495=AB495)*($V$3:$AE$3=AB$3)*($V$2:$AE$2&lt;AB$2))),2))))</f>
      </c>
      <c r="AM495" s="33">
        <f>IF(AC495&lt;=0,0,MAX(0,MIN(AC495,ROUND($AZ495-SUMPRODUCT($V495:$AE495*($V495:$AE495&gt;0)*(($V495:$AE495&lt;AC495)+($V495:$AE495=AC495)*($V$3:$AE$3&gt;AC$3)+($V495:$AE495=AC495)*($V$3:$AE$3=AC$3)*($V$2:$AE$2&lt;AC$2))),2))))</f>
      </c>
      <c r="AN495" s="33">
        <f>IF(AD495&lt;=0,0,MAX(0,MIN(AD495,ROUND($AZ495-SUMPRODUCT($V495:$AE495*($V495:$AE495&gt;0)*(($V495:$AE495&lt;AD495)+($V495:$AE495=AD495)*($V$3:$AE$3&gt;AD$3)+($V495:$AE495=AD495)*($V$3:$AE$3=AD$3)*($V$2:$AE$2&lt;AD$2))),2))))</f>
      </c>
      <c r="AO495" s="33">
        <f>IF(AE495&lt;=0,0,MAX(0,MIN(AE495,ROUND($AZ495-SUMPRODUCT($V495:$AE495*($V495:$AE495&gt;0)*(($V495:$AE495&lt;AE495)+($V495:$AE495=AE495)*($V$3:$AE$3&gt;AE$3)+($V495:$AE495=AE495)*($V$3:$AE$3=AE$3)*($V$2:$AE$2&lt;AE$2))),2))))</f>
      </c>
      <c r="AP495" s="33">
        <f>ROUND(V495-AF495,2)</f>
      </c>
      <c r="AQ495" s="33">
        <f>ROUND(W495-AG495,2)</f>
      </c>
      <c r="AR495" s="33">
        <f>ROUND(X495-AH495,2)</f>
      </c>
      <c r="AS495" s="33">
        <f>ROUND(Y495-AI495,2)</f>
      </c>
      <c r="AT495" s="33">
        <f>ROUND(Z495-AJ495,2)</f>
      </c>
      <c r="AU495" s="33">
        <f>ROUND(AA495-AK495,2)</f>
      </c>
      <c r="AV495" s="33">
        <f>ROUND(AB495-AL495,2)</f>
      </c>
      <c r="AW495" s="33">
        <f>ROUND(AC495-AM495,2)</f>
      </c>
      <c r="AX495" s="33">
        <f>ROUND(AD495-AN495,2)</f>
      </c>
      <c r="AY495" s="33">
        <f>ROUND(AE495-AO495,2)</f>
      </c>
      <c r="AZ495" s="33">
        <f>ROUND(MAX(0,'Your debts'!$D$22-SUM($L495:$U495)),2)</f>
      </c>
      <c r="BA495" s="33">
        <f>ROUND(SUM($B495:$K495)-SUM($AP494:$AY494),2)</f>
      </c>
      <c r="BB495" s="33">
        <f>SUM($AP495:$AY495)</f>
      </c>
      <c r="BC495" s="33">
        <f>ROUND(SUM($L495:$U495)+SUM($AF495:$AO495),2)</f>
      </c>
    </row>
    <row r="496" spans="1:55" x14ac:dyDescent="0.25">
      <c r="A496">
        <v>489</v>
      </c>
      <c r="B496" s="33">
        <f>IF(AP495&lt;=0,0,ROUND(AP495+ROUND(AP495*V$3/12,2),2))</f>
      </c>
      <c r="C496" s="33">
        <f>IF(AQ495&lt;=0,0,ROUND(AQ495+ROUND(AQ495*W$3/12,2),2))</f>
      </c>
      <c r="D496" s="33">
        <f>IF(AR495&lt;=0,0,ROUND(AR495+ROUND(AR495*X$3/12,2),2))</f>
      </c>
      <c r="E496" s="33">
        <f>IF(AS495&lt;=0,0,ROUND(AS495+ROUND(AS495*Y$3/12,2),2))</f>
      </c>
      <c r="F496" s="33">
        <f>IF(AT495&lt;=0,0,ROUND(AT495+ROUND(AT495*Z$3/12,2),2))</f>
      </c>
      <c r="G496" s="33">
        <f>IF(AU495&lt;=0,0,ROUND(AU495+ROUND(AU495*AA$3/12,2),2))</f>
      </c>
      <c r="H496" s="33">
        <f>IF(AV495&lt;=0,0,ROUND(AV495+ROUND(AV495*AB$3/12,2),2))</f>
      </c>
      <c r="I496" s="33">
        <f>IF(AW495&lt;=0,0,ROUND(AW495+ROUND(AW495*AC$3/12,2),2))</f>
      </c>
      <c r="J496" s="33">
        <f>IF(AX495&lt;=0,0,ROUND(AX495+ROUND(AX495*AD$3/12,2),2))</f>
      </c>
      <c r="K496" s="33">
        <f>IF(AY495&lt;=0,0,ROUND(AY495+ROUND(AY495*AE$3/12,2),2))</f>
      </c>
      <c r="L496" s="33">
        <f>ROUND(MIN(MAX(0,N('Your debts'!$E$6)),B496),2)</f>
      </c>
      <c r="M496" s="33">
        <f>ROUND(MIN(MAX(0,N('Your debts'!$E$7)),C496),2)</f>
      </c>
      <c r="N496" s="33">
        <f>ROUND(MIN(MAX(0,N('Your debts'!$E$8)),D496),2)</f>
      </c>
      <c r="O496" s="33">
        <f>ROUND(MIN(MAX(0,N('Your debts'!$E$9)),E496),2)</f>
      </c>
      <c r="P496" s="33">
        <f>ROUND(MIN(MAX(0,N('Your debts'!$E$10)),F496),2)</f>
      </c>
      <c r="Q496" s="33">
        <f>ROUND(MIN(MAX(0,N('Your debts'!$E$11)),G496),2)</f>
      </c>
      <c r="R496" s="33">
        <f>ROUND(MIN(MAX(0,N('Your debts'!$E$12)),H496),2)</f>
      </c>
      <c r="S496" s="33">
        <f>ROUND(MIN(MAX(0,N('Your debts'!$E$13)),I496),2)</f>
      </c>
      <c r="T496" s="33">
        <f>ROUND(MIN(MAX(0,N('Your debts'!$E$14)),J496),2)</f>
      </c>
      <c r="U496" s="33">
        <f>ROUND(MIN(MAX(0,N('Your debts'!$E$15)),K496),2)</f>
      </c>
      <c r="V496" s="33">
        <f>ROUND(B496-L496,2)</f>
      </c>
      <c r="W496" s="33">
        <f>ROUND(C496-M496,2)</f>
      </c>
      <c r="X496" s="33">
        <f>ROUND(D496-N496,2)</f>
      </c>
      <c r="Y496" s="33">
        <f>ROUND(E496-O496,2)</f>
      </c>
      <c r="Z496" s="33">
        <f>ROUND(F496-P496,2)</f>
      </c>
      <c r="AA496" s="33">
        <f>ROUND(G496-Q496,2)</f>
      </c>
      <c r="AB496" s="33">
        <f>ROUND(H496-R496,2)</f>
      </c>
      <c r="AC496" s="33">
        <f>ROUND(I496-S496,2)</f>
      </c>
      <c r="AD496" s="33">
        <f>ROUND(J496-T496,2)</f>
      </c>
      <c r="AE496" s="33">
        <f>ROUND(K496-U496,2)</f>
      </c>
      <c r="AF496" s="33">
        <f>IF(V496&lt;=0,0,MAX(0,MIN(V496,ROUND($AZ496-SUMPRODUCT($V496:$AE496*($V496:$AE496&gt;0)*(($V496:$AE496&lt;V496)+($V496:$AE496=V496)*($V$3:$AE$3&gt;V$3)+($V496:$AE496=V496)*($V$3:$AE$3=V$3)*($V$2:$AE$2&lt;V$2))),2))))</f>
      </c>
      <c r="AG496" s="33">
        <f>IF(W496&lt;=0,0,MAX(0,MIN(W496,ROUND($AZ496-SUMPRODUCT($V496:$AE496*($V496:$AE496&gt;0)*(($V496:$AE496&lt;W496)+($V496:$AE496=W496)*($V$3:$AE$3&gt;W$3)+($V496:$AE496=W496)*($V$3:$AE$3=W$3)*($V$2:$AE$2&lt;W$2))),2))))</f>
      </c>
      <c r="AH496" s="33">
        <f>IF(X496&lt;=0,0,MAX(0,MIN(X496,ROUND($AZ496-SUMPRODUCT($V496:$AE496*($V496:$AE496&gt;0)*(($V496:$AE496&lt;X496)+($V496:$AE496=X496)*($V$3:$AE$3&gt;X$3)+($V496:$AE496=X496)*($V$3:$AE$3=X$3)*($V$2:$AE$2&lt;X$2))),2))))</f>
      </c>
      <c r="AI496" s="33">
        <f>IF(Y496&lt;=0,0,MAX(0,MIN(Y496,ROUND($AZ496-SUMPRODUCT($V496:$AE496*($V496:$AE496&gt;0)*(($V496:$AE496&lt;Y496)+($V496:$AE496=Y496)*($V$3:$AE$3&gt;Y$3)+($V496:$AE496=Y496)*($V$3:$AE$3=Y$3)*($V$2:$AE$2&lt;Y$2))),2))))</f>
      </c>
      <c r="AJ496" s="33">
        <f>IF(Z496&lt;=0,0,MAX(0,MIN(Z496,ROUND($AZ496-SUMPRODUCT($V496:$AE496*($V496:$AE496&gt;0)*(($V496:$AE496&lt;Z496)+($V496:$AE496=Z496)*($V$3:$AE$3&gt;Z$3)+($V496:$AE496=Z496)*($V$3:$AE$3=Z$3)*($V$2:$AE$2&lt;Z$2))),2))))</f>
      </c>
      <c r="AK496" s="33">
        <f>IF(AA496&lt;=0,0,MAX(0,MIN(AA496,ROUND($AZ496-SUMPRODUCT($V496:$AE496*($V496:$AE496&gt;0)*(($V496:$AE496&lt;AA496)+($V496:$AE496=AA496)*($V$3:$AE$3&gt;AA$3)+($V496:$AE496=AA496)*($V$3:$AE$3=AA$3)*($V$2:$AE$2&lt;AA$2))),2))))</f>
      </c>
      <c r="AL496" s="33">
        <f>IF(AB496&lt;=0,0,MAX(0,MIN(AB496,ROUND($AZ496-SUMPRODUCT($V496:$AE496*($V496:$AE496&gt;0)*(($V496:$AE496&lt;AB496)+($V496:$AE496=AB496)*($V$3:$AE$3&gt;AB$3)+($V496:$AE496=AB496)*($V$3:$AE$3=AB$3)*($V$2:$AE$2&lt;AB$2))),2))))</f>
      </c>
      <c r="AM496" s="33">
        <f>IF(AC496&lt;=0,0,MAX(0,MIN(AC496,ROUND($AZ496-SUMPRODUCT($V496:$AE496*($V496:$AE496&gt;0)*(($V496:$AE496&lt;AC496)+($V496:$AE496=AC496)*($V$3:$AE$3&gt;AC$3)+($V496:$AE496=AC496)*($V$3:$AE$3=AC$3)*($V$2:$AE$2&lt;AC$2))),2))))</f>
      </c>
      <c r="AN496" s="33">
        <f>IF(AD496&lt;=0,0,MAX(0,MIN(AD496,ROUND($AZ496-SUMPRODUCT($V496:$AE496*($V496:$AE496&gt;0)*(($V496:$AE496&lt;AD496)+($V496:$AE496=AD496)*($V$3:$AE$3&gt;AD$3)+($V496:$AE496=AD496)*($V$3:$AE$3=AD$3)*($V$2:$AE$2&lt;AD$2))),2))))</f>
      </c>
      <c r="AO496" s="33">
        <f>IF(AE496&lt;=0,0,MAX(0,MIN(AE496,ROUND($AZ496-SUMPRODUCT($V496:$AE496*($V496:$AE496&gt;0)*(($V496:$AE496&lt;AE496)+($V496:$AE496=AE496)*($V$3:$AE$3&gt;AE$3)+($V496:$AE496=AE496)*($V$3:$AE$3=AE$3)*($V$2:$AE$2&lt;AE$2))),2))))</f>
      </c>
      <c r="AP496" s="33">
        <f>ROUND(V496-AF496,2)</f>
      </c>
      <c r="AQ496" s="33">
        <f>ROUND(W496-AG496,2)</f>
      </c>
      <c r="AR496" s="33">
        <f>ROUND(X496-AH496,2)</f>
      </c>
      <c r="AS496" s="33">
        <f>ROUND(Y496-AI496,2)</f>
      </c>
      <c r="AT496" s="33">
        <f>ROUND(Z496-AJ496,2)</f>
      </c>
      <c r="AU496" s="33">
        <f>ROUND(AA496-AK496,2)</f>
      </c>
      <c r="AV496" s="33">
        <f>ROUND(AB496-AL496,2)</f>
      </c>
      <c r="AW496" s="33">
        <f>ROUND(AC496-AM496,2)</f>
      </c>
      <c r="AX496" s="33">
        <f>ROUND(AD496-AN496,2)</f>
      </c>
      <c r="AY496" s="33">
        <f>ROUND(AE496-AO496,2)</f>
      </c>
      <c r="AZ496" s="33">
        <f>ROUND(MAX(0,'Your debts'!$D$22-SUM($L496:$U496)),2)</f>
      </c>
      <c r="BA496" s="33">
        <f>ROUND(SUM($B496:$K496)-SUM($AP495:$AY495),2)</f>
      </c>
      <c r="BB496" s="33">
        <f>SUM($AP496:$AY496)</f>
      </c>
      <c r="BC496" s="33">
        <f>ROUND(SUM($L496:$U496)+SUM($AF496:$AO496),2)</f>
      </c>
    </row>
    <row r="497" spans="1:55" x14ac:dyDescent="0.25">
      <c r="A497">
        <v>490</v>
      </c>
      <c r="B497" s="33">
        <f>IF(AP496&lt;=0,0,ROUND(AP496+ROUND(AP496*V$3/12,2),2))</f>
      </c>
      <c r="C497" s="33">
        <f>IF(AQ496&lt;=0,0,ROUND(AQ496+ROUND(AQ496*W$3/12,2),2))</f>
      </c>
      <c r="D497" s="33">
        <f>IF(AR496&lt;=0,0,ROUND(AR496+ROUND(AR496*X$3/12,2),2))</f>
      </c>
      <c r="E497" s="33">
        <f>IF(AS496&lt;=0,0,ROUND(AS496+ROUND(AS496*Y$3/12,2),2))</f>
      </c>
      <c r="F497" s="33">
        <f>IF(AT496&lt;=0,0,ROUND(AT496+ROUND(AT496*Z$3/12,2),2))</f>
      </c>
      <c r="G497" s="33">
        <f>IF(AU496&lt;=0,0,ROUND(AU496+ROUND(AU496*AA$3/12,2),2))</f>
      </c>
      <c r="H497" s="33">
        <f>IF(AV496&lt;=0,0,ROUND(AV496+ROUND(AV496*AB$3/12,2),2))</f>
      </c>
      <c r="I497" s="33">
        <f>IF(AW496&lt;=0,0,ROUND(AW496+ROUND(AW496*AC$3/12,2),2))</f>
      </c>
      <c r="J497" s="33">
        <f>IF(AX496&lt;=0,0,ROUND(AX496+ROUND(AX496*AD$3/12,2),2))</f>
      </c>
      <c r="K497" s="33">
        <f>IF(AY496&lt;=0,0,ROUND(AY496+ROUND(AY496*AE$3/12,2),2))</f>
      </c>
      <c r="L497" s="33">
        <f>ROUND(MIN(MAX(0,N('Your debts'!$E$6)),B497),2)</f>
      </c>
      <c r="M497" s="33">
        <f>ROUND(MIN(MAX(0,N('Your debts'!$E$7)),C497),2)</f>
      </c>
      <c r="N497" s="33">
        <f>ROUND(MIN(MAX(0,N('Your debts'!$E$8)),D497),2)</f>
      </c>
      <c r="O497" s="33">
        <f>ROUND(MIN(MAX(0,N('Your debts'!$E$9)),E497),2)</f>
      </c>
      <c r="P497" s="33">
        <f>ROUND(MIN(MAX(0,N('Your debts'!$E$10)),F497),2)</f>
      </c>
      <c r="Q497" s="33">
        <f>ROUND(MIN(MAX(0,N('Your debts'!$E$11)),G497),2)</f>
      </c>
      <c r="R497" s="33">
        <f>ROUND(MIN(MAX(0,N('Your debts'!$E$12)),H497),2)</f>
      </c>
      <c r="S497" s="33">
        <f>ROUND(MIN(MAX(0,N('Your debts'!$E$13)),I497),2)</f>
      </c>
      <c r="T497" s="33">
        <f>ROUND(MIN(MAX(0,N('Your debts'!$E$14)),J497),2)</f>
      </c>
      <c r="U497" s="33">
        <f>ROUND(MIN(MAX(0,N('Your debts'!$E$15)),K497),2)</f>
      </c>
      <c r="V497" s="33">
        <f>ROUND(B497-L497,2)</f>
      </c>
      <c r="W497" s="33">
        <f>ROUND(C497-M497,2)</f>
      </c>
      <c r="X497" s="33">
        <f>ROUND(D497-N497,2)</f>
      </c>
      <c r="Y497" s="33">
        <f>ROUND(E497-O497,2)</f>
      </c>
      <c r="Z497" s="33">
        <f>ROUND(F497-P497,2)</f>
      </c>
      <c r="AA497" s="33">
        <f>ROUND(G497-Q497,2)</f>
      </c>
      <c r="AB497" s="33">
        <f>ROUND(H497-R497,2)</f>
      </c>
      <c r="AC497" s="33">
        <f>ROUND(I497-S497,2)</f>
      </c>
      <c r="AD497" s="33">
        <f>ROUND(J497-T497,2)</f>
      </c>
      <c r="AE497" s="33">
        <f>ROUND(K497-U497,2)</f>
      </c>
      <c r="AF497" s="33">
        <f>IF(V497&lt;=0,0,MAX(0,MIN(V497,ROUND($AZ497-SUMPRODUCT($V497:$AE497*($V497:$AE497&gt;0)*(($V497:$AE497&lt;V497)+($V497:$AE497=V497)*($V$3:$AE$3&gt;V$3)+($V497:$AE497=V497)*($V$3:$AE$3=V$3)*($V$2:$AE$2&lt;V$2))),2))))</f>
      </c>
      <c r="AG497" s="33">
        <f>IF(W497&lt;=0,0,MAX(0,MIN(W497,ROUND($AZ497-SUMPRODUCT($V497:$AE497*($V497:$AE497&gt;0)*(($V497:$AE497&lt;W497)+($V497:$AE497=W497)*($V$3:$AE$3&gt;W$3)+($V497:$AE497=W497)*($V$3:$AE$3=W$3)*($V$2:$AE$2&lt;W$2))),2))))</f>
      </c>
      <c r="AH497" s="33">
        <f>IF(X497&lt;=0,0,MAX(0,MIN(X497,ROUND($AZ497-SUMPRODUCT($V497:$AE497*($V497:$AE497&gt;0)*(($V497:$AE497&lt;X497)+($V497:$AE497=X497)*($V$3:$AE$3&gt;X$3)+($V497:$AE497=X497)*($V$3:$AE$3=X$3)*($V$2:$AE$2&lt;X$2))),2))))</f>
      </c>
      <c r="AI497" s="33">
        <f>IF(Y497&lt;=0,0,MAX(0,MIN(Y497,ROUND($AZ497-SUMPRODUCT($V497:$AE497*($V497:$AE497&gt;0)*(($V497:$AE497&lt;Y497)+($V497:$AE497=Y497)*($V$3:$AE$3&gt;Y$3)+($V497:$AE497=Y497)*($V$3:$AE$3=Y$3)*($V$2:$AE$2&lt;Y$2))),2))))</f>
      </c>
      <c r="AJ497" s="33">
        <f>IF(Z497&lt;=0,0,MAX(0,MIN(Z497,ROUND($AZ497-SUMPRODUCT($V497:$AE497*($V497:$AE497&gt;0)*(($V497:$AE497&lt;Z497)+($V497:$AE497=Z497)*($V$3:$AE$3&gt;Z$3)+($V497:$AE497=Z497)*($V$3:$AE$3=Z$3)*($V$2:$AE$2&lt;Z$2))),2))))</f>
      </c>
      <c r="AK497" s="33">
        <f>IF(AA497&lt;=0,0,MAX(0,MIN(AA497,ROUND($AZ497-SUMPRODUCT($V497:$AE497*($V497:$AE497&gt;0)*(($V497:$AE497&lt;AA497)+($V497:$AE497=AA497)*($V$3:$AE$3&gt;AA$3)+($V497:$AE497=AA497)*($V$3:$AE$3=AA$3)*($V$2:$AE$2&lt;AA$2))),2))))</f>
      </c>
      <c r="AL497" s="33">
        <f>IF(AB497&lt;=0,0,MAX(0,MIN(AB497,ROUND($AZ497-SUMPRODUCT($V497:$AE497*($V497:$AE497&gt;0)*(($V497:$AE497&lt;AB497)+($V497:$AE497=AB497)*($V$3:$AE$3&gt;AB$3)+($V497:$AE497=AB497)*($V$3:$AE$3=AB$3)*($V$2:$AE$2&lt;AB$2))),2))))</f>
      </c>
      <c r="AM497" s="33">
        <f>IF(AC497&lt;=0,0,MAX(0,MIN(AC497,ROUND($AZ497-SUMPRODUCT($V497:$AE497*($V497:$AE497&gt;0)*(($V497:$AE497&lt;AC497)+($V497:$AE497=AC497)*($V$3:$AE$3&gt;AC$3)+($V497:$AE497=AC497)*($V$3:$AE$3=AC$3)*($V$2:$AE$2&lt;AC$2))),2))))</f>
      </c>
      <c r="AN497" s="33">
        <f>IF(AD497&lt;=0,0,MAX(0,MIN(AD497,ROUND($AZ497-SUMPRODUCT($V497:$AE497*($V497:$AE497&gt;0)*(($V497:$AE497&lt;AD497)+($V497:$AE497=AD497)*($V$3:$AE$3&gt;AD$3)+($V497:$AE497=AD497)*($V$3:$AE$3=AD$3)*($V$2:$AE$2&lt;AD$2))),2))))</f>
      </c>
      <c r="AO497" s="33">
        <f>IF(AE497&lt;=0,0,MAX(0,MIN(AE497,ROUND($AZ497-SUMPRODUCT($V497:$AE497*($V497:$AE497&gt;0)*(($V497:$AE497&lt;AE497)+($V497:$AE497=AE497)*($V$3:$AE$3&gt;AE$3)+($V497:$AE497=AE497)*($V$3:$AE$3=AE$3)*($V$2:$AE$2&lt;AE$2))),2))))</f>
      </c>
      <c r="AP497" s="33">
        <f>ROUND(V497-AF497,2)</f>
      </c>
      <c r="AQ497" s="33">
        <f>ROUND(W497-AG497,2)</f>
      </c>
      <c r="AR497" s="33">
        <f>ROUND(X497-AH497,2)</f>
      </c>
      <c r="AS497" s="33">
        <f>ROUND(Y497-AI497,2)</f>
      </c>
      <c r="AT497" s="33">
        <f>ROUND(Z497-AJ497,2)</f>
      </c>
      <c r="AU497" s="33">
        <f>ROUND(AA497-AK497,2)</f>
      </c>
      <c r="AV497" s="33">
        <f>ROUND(AB497-AL497,2)</f>
      </c>
      <c r="AW497" s="33">
        <f>ROUND(AC497-AM497,2)</f>
      </c>
      <c r="AX497" s="33">
        <f>ROUND(AD497-AN497,2)</f>
      </c>
      <c r="AY497" s="33">
        <f>ROUND(AE497-AO497,2)</f>
      </c>
      <c r="AZ497" s="33">
        <f>ROUND(MAX(0,'Your debts'!$D$22-SUM($L497:$U497)),2)</f>
      </c>
      <c r="BA497" s="33">
        <f>ROUND(SUM($B497:$K497)-SUM($AP496:$AY496),2)</f>
      </c>
      <c r="BB497" s="33">
        <f>SUM($AP497:$AY497)</f>
      </c>
      <c r="BC497" s="33">
        <f>ROUND(SUM($L497:$U497)+SUM($AF497:$AO497),2)</f>
      </c>
    </row>
    <row r="498" spans="1:55" x14ac:dyDescent="0.25">
      <c r="A498">
        <v>491</v>
      </c>
      <c r="B498" s="33">
        <f>IF(AP497&lt;=0,0,ROUND(AP497+ROUND(AP497*V$3/12,2),2))</f>
      </c>
      <c r="C498" s="33">
        <f>IF(AQ497&lt;=0,0,ROUND(AQ497+ROUND(AQ497*W$3/12,2),2))</f>
      </c>
      <c r="D498" s="33">
        <f>IF(AR497&lt;=0,0,ROUND(AR497+ROUND(AR497*X$3/12,2),2))</f>
      </c>
      <c r="E498" s="33">
        <f>IF(AS497&lt;=0,0,ROUND(AS497+ROUND(AS497*Y$3/12,2),2))</f>
      </c>
      <c r="F498" s="33">
        <f>IF(AT497&lt;=0,0,ROUND(AT497+ROUND(AT497*Z$3/12,2),2))</f>
      </c>
      <c r="G498" s="33">
        <f>IF(AU497&lt;=0,0,ROUND(AU497+ROUND(AU497*AA$3/12,2),2))</f>
      </c>
      <c r="H498" s="33">
        <f>IF(AV497&lt;=0,0,ROUND(AV497+ROUND(AV497*AB$3/12,2),2))</f>
      </c>
      <c r="I498" s="33">
        <f>IF(AW497&lt;=0,0,ROUND(AW497+ROUND(AW497*AC$3/12,2),2))</f>
      </c>
      <c r="J498" s="33">
        <f>IF(AX497&lt;=0,0,ROUND(AX497+ROUND(AX497*AD$3/12,2),2))</f>
      </c>
      <c r="K498" s="33">
        <f>IF(AY497&lt;=0,0,ROUND(AY497+ROUND(AY497*AE$3/12,2),2))</f>
      </c>
      <c r="L498" s="33">
        <f>ROUND(MIN(MAX(0,N('Your debts'!$E$6)),B498),2)</f>
      </c>
      <c r="M498" s="33">
        <f>ROUND(MIN(MAX(0,N('Your debts'!$E$7)),C498),2)</f>
      </c>
      <c r="N498" s="33">
        <f>ROUND(MIN(MAX(0,N('Your debts'!$E$8)),D498),2)</f>
      </c>
      <c r="O498" s="33">
        <f>ROUND(MIN(MAX(0,N('Your debts'!$E$9)),E498),2)</f>
      </c>
      <c r="P498" s="33">
        <f>ROUND(MIN(MAX(0,N('Your debts'!$E$10)),F498),2)</f>
      </c>
      <c r="Q498" s="33">
        <f>ROUND(MIN(MAX(0,N('Your debts'!$E$11)),G498),2)</f>
      </c>
      <c r="R498" s="33">
        <f>ROUND(MIN(MAX(0,N('Your debts'!$E$12)),H498),2)</f>
      </c>
      <c r="S498" s="33">
        <f>ROUND(MIN(MAX(0,N('Your debts'!$E$13)),I498),2)</f>
      </c>
      <c r="T498" s="33">
        <f>ROUND(MIN(MAX(0,N('Your debts'!$E$14)),J498),2)</f>
      </c>
      <c r="U498" s="33">
        <f>ROUND(MIN(MAX(0,N('Your debts'!$E$15)),K498),2)</f>
      </c>
      <c r="V498" s="33">
        <f>ROUND(B498-L498,2)</f>
      </c>
      <c r="W498" s="33">
        <f>ROUND(C498-M498,2)</f>
      </c>
      <c r="X498" s="33">
        <f>ROUND(D498-N498,2)</f>
      </c>
      <c r="Y498" s="33">
        <f>ROUND(E498-O498,2)</f>
      </c>
      <c r="Z498" s="33">
        <f>ROUND(F498-P498,2)</f>
      </c>
      <c r="AA498" s="33">
        <f>ROUND(G498-Q498,2)</f>
      </c>
      <c r="AB498" s="33">
        <f>ROUND(H498-R498,2)</f>
      </c>
      <c r="AC498" s="33">
        <f>ROUND(I498-S498,2)</f>
      </c>
      <c r="AD498" s="33">
        <f>ROUND(J498-T498,2)</f>
      </c>
      <c r="AE498" s="33">
        <f>ROUND(K498-U498,2)</f>
      </c>
      <c r="AF498" s="33">
        <f>IF(V498&lt;=0,0,MAX(0,MIN(V498,ROUND($AZ498-SUMPRODUCT($V498:$AE498*($V498:$AE498&gt;0)*(($V498:$AE498&lt;V498)+($V498:$AE498=V498)*($V$3:$AE$3&gt;V$3)+($V498:$AE498=V498)*($V$3:$AE$3=V$3)*($V$2:$AE$2&lt;V$2))),2))))</f>
      </c>
      <c r="AG498" s="33">
        <f>IF(W498&lt;=0,0,MAX(0,MIN(W498,ROUND($AZ498-SUMPRODUCT($V498:$AE498*($V498:$AE498&gt;0)*(($V498:$AE498&lt;W498)+($V498:$AE498=W498)*($V$3:$AE$3&gt;W$3)+($V498:$AE498=W498)*($V$3:$AE$3=W$3)*($V$2:$AE$2&lt;W$2))),2))))</f>
      </c>
      <c r="AH498" s="33">
        <f>IF(X498&lt;=0,0,MAX(0,MIN(X498,ROUND($AZ498-SUMPRODUCT($V498:$AE498*($V498:$AE498&gt;0)*(($V498:$AE498&lt;X498)+($V498:$AE498=X498)*($V$3:$AE$3&gt;X$3)+($V498:$AE498=X498)*($V$3:$AE$3=X$3)*($V$2:$AE$2&lt;X$2))),2))))</f>
      </c>
      <c r="AI498" s="33">
        <f>IF(Y498&lt;=0,0,MAX(0,MIN(Y498,ROUND($AZ498-SUMPRODUCT($V498:$AE498*($V498:$AE498&gt;0)*(($V498:$AE498&lt;Y498)+($V498:$AE498=Y498)*($V$3:$AE$3&gt;Y$3)+($V498:$AE498=Y498)*($V$3:$AE$3=Y$3)*($V$2:$AE$2&lt;Y$2))),2))))</f>
      </c>
      <c r="AJ498" s="33">
        <f>IF(Z498&lt;=0,0,MAX(0,MIN(Z498,ROUND($AZ498-SUMPRODUCT($V498:$AE498*($V498:$AE498&gt;0)*(($V498:$AE498&lt;Z498)+($V498:$AE498=Z498)*($V$3:$AE$3&gt;Z$3)+($V498:$AE498=Z498)*($V$3:$AE$3=Z$3)*($V$2:$AE$2&lt;Z$2))),2))))</f>
      </c>
      <c r="AK498" s="33">
        <f>IF(AA498&lt;=0,0,MAX(0,MIN(AA498,ROUND($AZ498-SUMPRODUCT($V498:$AE498*($V498:$AE498&gt;0)*(($V498:$AE498&lt;AA498)+($V498:$AE498=AA498)*($V$3:$AE$3&gt;AA$3)+($V498:$AE498=AA498)*($V$3:$AE$3=AA$3)*($V$2:$AE$2&lt;AA$2))),2))))</f>
      </c>
      <c r="AL498" s="33">
        <f>IF(AB498&lt;=0,0,MAX(0,MIN(AB498,ROUND($AZ498-SUMPRODUCT($V498:$AE498*($V498:$AE498&gt;0)*(($V498:$AE498&lt;AB498)+($V498:$AE498=AB498)*($V$3:$AE$3&gt;AB$3)+($V498:$AE498=AB498)*($V$3:$AE$3=AB$3)*($V$2:$AE$2&lt;AB$2))),2))))</f>
      </c>
      <c r="AM498" s="33">
        <f>IF(AC498&lt;=0,0,MAX(0,MIN(AC498,ROUND($AZ498-SUMPRODUCT($V498:$AE498*($V498:$AE498&gt;0)*(($V498:$AE498&lt;AC498)+($V498:$AE498=AC498)*($V$3:$AE$3&gt;AC$3)+($V498:$AE498=AC498)*($V$3:$AE$3=AC$3)*($V$2:$AE$2&lt;AC$2))),2))))</f>
      </c>
      <c r="AN498" s="33">
        <f>IF(AD498&lt;=0,0,MAX(0,MIN(AD498,ROUND($AZ498-SUMPRODUCT($V498:$AE498*($V498:$AE498&gt;0)*(($V498:$AE498&lt;AD498)+($V498:$AE498=AD498)*($V$3:$AE$3&gt;AD$3)+($V498:$AE498=AD498)*($V$3:$AE$3=AD$3)*($V$2:$AE$2&lt;AD$2))),2))))</f>
      </c>
      <c r="AO498" s="33">
        <f>IF(AE498&lt;=0,0,MAX(0,MIN(AE498,ROUND($AZ498-SUMPRODUCT($V498:$AE498*($V498:$AE498&gt;0)*(($V498:$AE498&lt;AE498)+($V498:$AE498=AE498)*($V$3:$AE$3&gt;AE$3)+($V498:$AE498=AE498)*($V$3:$AE$3=AE$3)*($V$2:$AE$2&lt;AE$2))),2))))</f>
      </c>
      <c r="AP498" s="33">
        <f>ROUND(V498-AF498,2)</f>
      </c>
      <c r="AQ498" s="33">
        <f>ROUND(W498-AG498,2)</f>
      </c>
      <c r="AR498" s="33">
        <f>ROUND(X498-AH498,2)</f>
      </c>
      <c r="AS498" s="33">
        <f>ROUND(Y498-AI498,2)</f>
      </c>
      <c r="AT498" s="33">
        <f>ROUND(Z498-AJ498,2)</f>
      </c>
      <c r="AU498" s="33">
        <f>ROUND(AA498-AK498,2)</f>
      </c>
      <c r="AV498" s="33">
        <f>ROUND(AB498-AL498,2)</f>
      </c>
      <c r="AW498" s="33">
        <f>ROUND(AC498-AM498,2)</f>
      </c>
      <c r="AX498" s="33">
        <f>ROUND(AD498-AN498,2)</f>
      </c>
      <c r="AY498" s="33">
        <f>ROUND(AE498-AO498,2)</f>
      </c>
      <c r="AZ498" s="33">
        <f>ROUND(MAX(0,'Your debts'!$D$22-SUM($L498:$U498)),2)</f>
      </c>
      <c r="BA498" s="33">
        <f>ROUND(SUM($B498:$K498)-SUM($AP497:$AY497),2)</f>
      </c>
      <c r="BB498" s="33">
        <f>SUM($AP498:$AY498)</f>
      </c>
      <c r="BC498" s="33">
        <f>ROUND(SUM($L498:$U498)+SUM($AF498:$AO498),2)</f>
      </c>
    </row>
    <row r="499" spans="1:55" x14ac:dyDescent="0.25">
      <c r="A499">
        <v>492</v>
      </c>
      <c r="B499" s="33">
        <f>IF(AP498&lt;=0,0,ROUND(AP498+ROUND(AP498*V$3/12,2),2))</f>
      </c>
      <c r="C499" s="33">
        <f>IF(AQ498&lt;=0,0,ROUND(AQ498+ROUND(AQ498*W$3/12,2),2))</f>
      </c>
      <c r="D499" s="33">
        <f>IF(AR498&lt;=0,0,ROUND(AR498+ROUND(AR498*X$3/12,2),2))</f>
      </c>
      <c r="E499" s="33">
        <f>IF(AS498&lt;=0,0,ROUND(AS498+ROUND(AS498*Y$3/12,2),2))</f>
      </c>
      <c r="F499" s="33">
        <f>IF(AT498&lt;=0,0,ROUND(AT498+ROUND(AT498*Z$3/12,2),2))</f>
      </c>
      <c r="G499" s="33">
        <f>IF(AU498&lt;=0,0,ROUND(AU498+ROUND(AU498*AA$3/12,2),2))</f>
      </c>
      <c r="H499" s="33">
        <f>IF(AV498&lt;=0,0,ROUND(AV498+ROUND(AV498*AB$3/12,2),2))</f>
      </c>
      <c r="I499" s="33">
        <f>IF(AW498&lt;=0,0,ROUND(AW498+ROUND(AW498*AC$3/12,2),2))</f>
      </c>
      <c r="J499" s="33">
        <f>IF(AX498&lt;=0,0,ROUND(AX498+ROUND(AX498*AD$3/12,2),2))</f>
      </c>
      <c r="K499" s="33">
        <f>IF(AY498&lt;=0,0,ROUND(AY498+ROUND(AY498*AE$3/12,2),2))</f>
      </c>
      <c r="L499" s="33">
        <f>ROUND(MIN(MAX(0,N('Your debts'!$E$6)),B499),2)</f>
      </c>
      <c r="M499" s="33">
        <f>ROUND(MIN(MAX(0,N('Your debts'!$E$7)),C499),2)</f>
      </c>
      <c r="N499" s="33">
        <f>ROUND(MIN(MAX(0,N('Your debts'!$E$8)),D499),2)</f>
      </c>
      <c r="O499" s="33">
        <f>ROUND(MIN(MAX(0,N('Your debts'!$E$9)),E499),2)</f>
      </c>
      <c r="P499" s="33">
        <f>ROUND(MIN(MAX(0,N('Your debts'!$E$10)),F499),2)</f>
      </c>
      <c r="Q499" s="33">
        <f>ROUND(MIN(MAX(0,N('Your debts'!$E$11)),G499),2)</f>
      </c>
      <c r="R499" s="33">
        <f>ROUND(MIN(MAX(0,N('Your debts'!$E$12)),H499),2)</f>
      </c>
      <c r="S499" s="33">
        <f>ROUND(MIN(MAX(0,N('Your debts'!$E$13)),I499),2)</f>
      </c>
      <c r="T499" s="33">
        <f>ROUND(MIN(MAX(0,N('Your debts'!$E$14)),J499),2)</f>
      </c>
      <c r="U499" s="33">
        <f>ROUND(MIN(MAX(0,N('Your debts'!$E$15)),K499),2)</f>
      </c>
      <c r="V499" s="33">
        <f>ROUND(B499-L499,2)</f>
      </c>
      <c r="W499" s="33">
        <f>ROUND(C499-M499,2)</f>
      </c>
      <c r="X499" s="33">
        <f>ROUND(D499-N499,2)</f>
      </c>
      <c r="Y499" s="33">
        <f>ROUND(E499-O499,2)</f>
      </c>
      <c r="Z499" s="33">
        <f>ROUND(F499-P499,2)</f>
      </c>
      <c r="AA499" s="33">
        <f>ROUND(G499-Q499,2)</f>
      </c>
      <c r="AB499" s="33">
        <f>ROUND(H499-R499,2)</f>
      </c>
      <c r="AC499" s="33">
        <f>ROUND(I499-S499,2)</f>
      </c>
      <c r="AD499" s="33">
        <f>ROUND(J499-T499,2)</f>
      </c>
      <c r="AE499" s="33">
        <f>ROUND(K499-U499,2)</f>
      </c>
      <c r="AF499" s="33">
        <f>IF(V499&lt;=0,0,MAX(0,MIN(V499,ROUND($AZ499-SUMPRODUCT($V499:$AE499*($V499:$AE499&gt;0)*(($V499:$AE499&lt;V499)+($V499:$AE499=V499)*($V$3:$AE$3&gt;V$3)+($V499:$AE499=V499)*($V$3:$AE$3=V$3)*($V$2:$AE$2&lt;V$2))),2))))</f>
      </c>
      <c r="AG499" s="33">
        <f>IF(W499&lt;=0,0,MAX(0,MIN(W499,ROUND($AZ499-SUMPRODUCT($V499:$AE499*($V499:$AE499&gt;0)*(($V499:$AE499&lt;W499)+($V499:$AE499=W499)*($V$3:$AE$3&gt;W$3)+($V499:$AE499=W499)*($V$3:$AE$3=W$3)*($V$2:$AE$2&lt;W$2))),2))))</f>
      </c>
      <c r="AH499" s="33">
        <f>IF(X499&lt;=0,0,MAX(0,MIN(X499,ROUND($AZ499-SUMPRODUCT($V499:$AE499*($V499:$AE499&gt;0)*(($V499:$AE499&lt;X499)+($V499:$AE499=X499)*($V$3:$AE$3&gt;X$3)+($V499:$AE499=X499)*($V$3:$AE$3=X$3)*($V$2:$AE$2&lt;X$2))),2))))</f>
      </c>
      <c r="AI499" s="33">
        <f>IF(Y499&lt;=0,0,MAX(0,MIN(Y499,ROUND($AZ499-SUMPRODUCT($V499:$AE499*($V499:$AE499&gt;0)*(($V499:$AE499&lt;Y499)+($V499:$AE499=Y499)*($V$3:$AE$3&gt;Y$3)+($V499:$AE499=Y499)*($V$3:$AE$3=Y$3)*($V$2:$AE$2&lt;Y$2))),2))))</f>
      </c>
      <c r="AJ499" s="33">
        <f>IF(Z499&lt;=0,0,MAX(0,MIN(Z499,ROUND($AZ499-SUMPRODUCT($V499:$AE499*($V499:$AE499&gt;0)*(($V499:$AE499&lt;Z499)+($V499:$AE499=Z499)*($V$3:$AE$3&gt;Z$3)+($V499:$AE499=Z499)*($V$3:$AE$3=Z$3)*($V$2:$AE$2&lt;Z$2))),2))))</f>
      </c>
      <c r="AK499" s="33">
        <f>IF(AA499&lt;=0,0,MAX(0,MIN(AA499,ROUND($AZ499-SUMPRODUCT($V499:$AE499*($V499:$AE499&gt;0)*(($V499:$AE499&lt;AA499)+($V499:$AE499=AA499)*($V$3:$AE$3&gt;AA$3)+($V499:$AE499=AA499)*($V$3:$AE$3=AA$3)*($V$2:$AE$2&lt;AA$2))),2))))</f>
      </c>
      <c r="AL499" s="33">
        <f>IF(AB499&lt;=0,0,MAX(0,MIN(AB499,ROUND($AZ499-SUMPRODUCT($V499:$AE499*($V499:$AE499&gt;0)*(($V499:$AE499&lt;AB499)+($V499:$AE499=AB499)*($V$3:$AE$3&gt;AB$3)+($V499:$AE499=AB499)*($V$3:$AE$3=AB$3)*($V$2:$AE$2&lt;AB$2))),2))))</f>
      </c>
      <c r="AM499" s="33">
        <f>IF(AC499&lt;=0,0,MAX(0,MIN(AC499,ROUND($AZ499-SUMPRODUCT($V499:$AE499*($V499:$AE499&gt;0)*(($V499:$AE499&lt;AC499)+($V499:$AE499=AC499)*($V$3:$AE$3&gt;AC$3)+($V499:$AE499=AC499)*($V$3:$AE$3=AC$3)*($V$2:$AE$2&lt;AC$2))),2))))</f>
      </c>
      <c r="AN499" s="33">
        <f>IF(AD499&lt;=0,0,MAX(0,MIN(AD499,ROUND($AZ499-SUMPRODUCT($V499:$AE499*($V499:$AE499&gt;0)*(($V499:$AE499&lt;AD499)+($V499:$AE499=AD499)*($V$3:$AE$3&gt;AD$3)+($V499:$AE499=AD499)*($V$3:$AE$3=AD$3)*($V$2:$AE$2&lt;AD$2))),2))))</f>
      </c>
      <c r="AO499" s="33">
        <f>IF(AE499&lt;=0,0,MAX(0,MIN(AE499,ROUND($AZ499-SUMPRODUCT($V499:$AE499*($V499:$AE499&gt;0)*(($V499:$AE499&lt;AE499)+($V499:$AE499=AE499)*($V$3:$AE$3&gt;AE$3)+($V499:$AE499=AE499)*($V$3:$AE$3=AE$3)*($V$2:$AE$2&lt;AE$2))),2))))</f>
      </c>
      <c r="AP499" s="33">
        <f>ROUND(V499-AF499,2)</f>
      </c>
      <c r="AQ499" s="33">
        <f>ROUND(W499-AG499,2)</f>
      </c>
      <c r="AR499" s="33">
        <f>ROUND(X499-AH499,2)</f>
      </c>
      <c r="AS499" s="33">
        <f>ROUND(Y499-AI499,2)</f>
      </c>
      <c r="AT499" s="33">
        <f>ROUND(Z499-AJ499,2)</f>
      </c>
      <c r="AU499" s="33">
        <f>ROUND(AA499-AK499,2)</f>
      </c>
      <c r="AV499" s="33">
        <f>ROUND(AB499-AL499,2)</f>
      </c>
      <c r="AW499" s="33">
        <f>ROUND(AC499-AM499,2)</f>
      </c>
      <c r="AX499" s="33">
        <f>ROUND(AD499-AN499,2)</f>
      </c>
      <c r="AY499" s="33">
        <f>ROUND(AE499-AO499,2)</f>
      </c>
      <c r="AZ499" s="33">
        <f>ROUND(MAX(0,'Your debts'!$D$22-SUM($L499:$U499)),2)</f>
      </c>
      <c r="BA499" s="33">
        <f>ROUND(SUM($B499:$K499)-SUM($AP498:$AY498),2)</f>
      </c>
      <c r="BB499" s="33">
        <f>SUM($AP499:$AY499)</f>
      </c>
      <c r="BC499" s="33">
        <f>ROUND(SUM($L499:$U499)+SUM($AF499:$AO499),2)</f>
      </c>
    </row>
    <row r="500" spans="1:55" x14ac:dyDescent="0.25">
      <c r="A500">
        <v>493</v>
      </c>
      <c r="B500" s="33">
        <f>IF(AP499&lt;=0,0,ROUND(AP499+ROUND(AP499*V$3/12,2),2))</f>
      </c>
      <c r="C500" s="33">
        <f>IF(AQ499&lt;=0,0,ROUND(AQ499+ROUND(AQ499*W$3/12,2),2))</f>
      </c>
      <c r="D500" s="33">
        <f>IF(AR499&lt;=0,0,ROUND(AR499+ROUND(AR499*X$3/12,2),2))</f>
      </c>
      <c r="E500" s="33">
        <f>IF(AS499&lt;=0,0,ROUND(AS499+ROUND(AS499*Y$3/12,2),2))</f>
      </c>
      <c r="F500" s="33">
        <f>IF(AT499&lt;=0,0,ROUND(AT499+ROUND(AT499*Z$3/12,2),2))</f>
      </c>
      <c r="G500" s="33">
        <f>IF(AU499&lt;=0,0,ROUND(AU499+ROUND(AU499*AA$3/12,2),2))</f>
      </c>
      <c r="H500" s="33">
        <f>IF(AV499&lt;=0,0,ROUND(AV499+ROUND(AV499*AB$3/12,2),2))</f>
      </c>
      <c r="I500" s="33">
        <f>IF(AW499&lt;=0,0,ROUND(AW499+ROUND(AW499*AC$3/12,2),2))</f>
      </c>
      <c r="J500" s="33">
        <f>IF(AX499&lt;=0,0,ROUND(AX499+ROUND(AX499*AD$3/12,2),2))</f>
      </c>
      <c r="K500" s="33">
        <f>IF(AY499&lt;=0,0,ROUND(AY499+ROUND(AY499*AE$3/12,2),2))</f>
      </c>
      <c r="L500" s="33">
        <f>ROUND(MIN(MAX(0,N('Your debts'!$E$6)),B500),2)</f>
      </c>
      <c r="M500" s="33">
        <f>ROUND(MIN(MAX(0,N('Your debts'!$E$7)),C500),2)</f>
      </c>
      <c r="N500" s="33">
        <f>ROUND(MIN(MAX(0,N('Your debts'!$E$8)),D500),2)</f>
      </c>
      <c r="O500" s="33">
        <f>ROUND(MIN(MAX(0,N('Your debts'!$E$9)),E500),2)</f>
      </c>
      <c r="P500" s="33">
        <f>ROUND(MIN(MAX(0,N('Your debts'!$E$10)),F500),2)</f>
      </c>
      <c r="Q500" s="33">
        <f>ROUND(MIN(MAX(0,N('Your debts'!$E$11)),G500),2)</f>
      </c>
      <c r="R500" s="33">
        <f>ROUND(MIN(MAX(0,N('Your debts'!$E$12)),H500),2)</f>
      </c>
      <c r="S500" s="33">
        <f>ROUND(MIN(MAX(0,N('Your debts'!$E$13)),I500),2)</f>
      </c>
      <c r="T500" s="33">
        <f>ROUND(MIN(MAX(0,N('Your debts'!$E$14)),J500),2)</f>
      </c>
      <c r="U500" s="33">
        <f>ROUND(MIN(MAX(0,N('Your debts'!$E$15)),K500),2)</f>
      </c>
      <c r="V500" s="33">
        <f>ROUND(B500-L500,2)</f>
      </c>
      <c r="W500" s="33">
        <f>ROUND(C500-M500,2)</f>
      </c>
      <c r="X500" s="33">
        <f>ROUND(D500-N500,2)</f>
      </c>
      <c r="Y500" s="33">
        <f>ROUND(E500-O500,2)</f>
      </c>
      <c r="Z500" s="33">
        <f>ROUND(F500-P500,2)</f>
      </c>
      <c r="AA500" s="33">
        <f>ROUND(G500-Q500,2)</f>
      </c>
      <c r="AB500" s="33">
        <f>ROUND(H500-R500,2)</f>
      </c>
      <c r="AC500" s="33">
        <f>ROUND(I500-S500,2)</f>
      </c>
      <c r="AD500" s="33">
        <f>ROUND(J500-T500,2)</f>
      </c>
      <c r="AE500" s="33">
        <f>ROUND(K500-U500,2)</f>
      </c>
      <c r="AF500" s="33">
        <f>IF(V500&lt;=0,0,MAX(0,MIN(V500,ROUND($AZ500-SUMPRODUCT($V500:$AE500*($V500:$AE500&gt;0)*(($V500:$AE500&lt;V500)+($V500:$AE500=V500)*($V$3:$AE$3&gt;V$3)+($V500:$AE500=V500)*($V$3:$AE$3=V$3)*($V$2:$AE$2&lt;V$2))),2))))</f>
      </c>
      <c r="AG500" s="33">
        <f>IF(W500&lt;=0,0,MAX(0,MIN(W500,ROUND($AZ500-SUMPRODUCT($V500:$AE500*($V500:$AE500&gt;0)*(($V500:$AE500&lt;W500)+($V500:$AE500=W500)*($V$3:$AE$3&gt;W$3)+($V500:$AE500=W500)*($V$3:$AE$3=W$3)*($V$2:$AE$2&lt;W$2))),2))))</f>
      </c>
      <c r="AH500" s="33">
        <f>IF(X500&lt;=0,0,MAX(0,MIN(X500,ROUND($AZ500-SUMPRODUCT($V500:$AE500*($V500:$AE500&gt;0)*(($V500:$AE500&lt;X500)+($V500:$AE500=X500)*($V$3:$AE$3&gt;X$3)+($V500:$AE500=X500)*($V$3:$AE$3=X$3)*($V$2:$AE$2&lt;X$2))),2))))</f>
      </c>
      <c r="AI500" s="33">
        <f>IF(Y500&lt;=0,0,MAX(0,MIN(Y500,ROUND($AZ500-SUMPRODUCT($V500:$AE500*($V500:$AE500&gt;0)*(($V500:$AE500&lt;Y500)+($V500:$AE500=Y500)*($V$3:$AE$3&gt;Y$3)+($V500:$AE500=Y500)*($V$3:$AE$3=Y$3)*($V$2:$AE$2&lt;Y$2))),2))))</f>
      </c>
      <c r="AJ500" s="33">
        <f>IF(Z500&lt;=0,0,MAX(0,MIN(Z500,ROUND($AZ500-SUMPRODUCT($V500:$AE500*($V500:$AE500&gt;0)*(($V500:$AE500&lt;Z500)+($V500:$AE500=Z500)*($V$3:$AE$3&gt;Z$3)+($V500:$AE500=Z500)*($V$3:$AE$3=Z$3)*($V$2:$AE$2&lt;Z$2))),2))))</f>
      </c>
      <c r="AK500" s="33">
        <f>IF(AA500&lt;=0,0,MAX(0,MIN(AA500,ROUND($AZ500-SUMPRODUCT($V500:$AE500*($V500:$AE500&gt;0)*(($V500:$AE500&lt;AA500)+($V500:$AE500=AA500)*($V$3:$AE$3&gt;AA$3)+($V500:$AE500=AA500)*($V$3:$AE$3=AA$3)*($V$2:$AE$2&lt;AA$2))),2))))</f>
      </c>
      <c r="AL500" s="33">
        <f>IF(AB500&lt;=0,0,MAX(0,MIN(AB500,ROUND($AZ500-SUMPRODUCT($V500:$AE500*($V500:$AE500&gt;0)*(($V500:$AE500&lt;AB500)+($V500:$AE500=AB500)*($V$3:$AE$3&gt;AB$3)+($V500:$AE500=AB500)*($V$3:$AE$3=AB$3)*($V$2:$AE$2&lt;AB$2))),2))))</f>
      </c>
      <c r="AM500" s="33">
        <f>IF(AC500&lt;=0,0,MAX(0,MIN(AC500,ROUND($AZ500-SUMPRODUCT($V500:$AE500*($V500:$AE500&gt;0)*(($V500:$AE500&lt;AC500)+($V500:$AE500=AC500)*($V$3:$AE$3&gt;AC$3)+($V500:$AE500=AC500)*($V$3:$AE$3=AC$3)*($V$2:$AE$2&lt;AC$2))),2))))</f>
      </c>
      <c r="AN500" s="33">
        <f>IF(AD500&lt;=0,0,MAX(0,MIN(AD500,ROUND($AZ500-SUMPRODUCT($V500:$AE500*($V500:$AE500&gt;0)*(($V500:$AE500&lt;AD500)+($V500:$AE500=AD500)*($V$3:$AE$3&gt;AD$3)+($V500:$AE500=AD500)*($V$3:$AE$3=AD$3)*($V$2:$AE$2&lt;AD$2))),2))))</f>
      </c>
      <c r="AO500" s="33">
        <f>IF(AE500&lt;=0,0,MAX(0,MIN(AE500,ROUND($AZ500-SUMPRODUCT($V500:$AE500*($V500:$AE500&gt;0)*(($V500:$AE500&lt;AE500)+($V500:$AE500=AE500)*($V$3:$AE$3&gt;AE$3)+($V500:$AE500=AE500)*($V$3:$AE$3=AE$3)*($V$2:$AE$2&lt;AE$2))),2))))</f>
      </c>
      <c r="AP500" s="33">
        <f>ROUND(V500-AF500,2)</f>
      </c>
      <c r="AQ500" s="33">
        <f>ROUND(W500-AG500,2)</f>
      </c>
      <c r="AR500" s="33">
        <f>ROUND(X500-AH500,2)</f>
      </c>
      <c r="AS500" s="33">
        <f>ROUND(Y500-AI500,2)</f>
      </c>
      <c r="AT500" s="33">
        <f>ROUND(Z500-AJ500,2)</f>
      </c>
      <c r="AU500" s="33">
        <f>ROUND(AA500-AK500,2)</f>
      </c>
      <c r="AV500" s="33">
        <f>ROUND(AB500-AL500,2)</f>
      </c>
      <c r="AW500" s="33">
        <f>ROUND(AC500-AM500,2)</f>
      </c>
      <c r="AX500" s="33">
        <f>ROUND(AD500-AN500,2)</f>
      </c>
      <c r="AY500" s="33">
        <f>ROUND(AE500-AO500,2)</f>
      </c>
      <c r="AZ500" s="33">
        <f>ROUND(MAX(0,'Your debts'!$D$22-SUM($L500:$U500)),2)</f>
      </c>
      <c r="BA500" s="33">
        <f>ROUND(SUM($B500:$K500)-SUM($AP499:$AY499),2)</f>
      </c>
      <c r="BB500" s="33">
        <f>SUM($AP500:$AY500)</f>
      </c>
      <c r="BC500" s="33">
        <f>ROUND(SUM($L500:$U500)+SUM($AF500:$AO500),2)</f>
      </c>
    </row>
    <row r="501" spans="1:55" x14ac:dyDescent="0.25">
      <c r="A501">
        <v>494</v>
      </c>
      <c r="B501" s="33">
        <f>IF(AP500&lt;=0,0,ROUND(AP500+ROUND(AP500*V$3/12,2),2))</f>
      </c>
      <c r="C501" s="33">
        <f>IF(AQ500&lt;=0,0,ROUND(AQ500+ROUND(AQ500*W$3/12,2),2))</f>
      </c>
      <c r="D501" s="33">
        <f>IF(AR500&lt;=0,0,ROUND(AR500+ROUND(AR500*X$3/12,2),2))</f>
      </c>
      <c r="E501" s="33">
        <f>IF(AS500&lt;=0,0,ROUND(AS500+ROUND(AS500*Y$3/12,2),2))</f>
      </c>
      <c r="F501" s="33">
        <f>IF(AT500&lt;=0,0,ROUND(AT500+ROUND(AT500*Z$3/12,2),2))</f>
      </c>
      <c r="G501" s="33">
        <f>IF(AU500&lt;=0,0,ROUND(AU500+ROUND(AU500*AA$3/12,2),2))</f>
      </c>
      <c r="H501" s="33">
        <f>IF(AV500&lt;=0,0,ROUND(AV500+ROUND(AV500*AB$3/12,2),2))</f>
      </c>
      <c r="I501" s="33">
        <f>IF(AW500&lt;=0,0,ROUND(AW500+ROUND(AW500*AC$3/12,2),2))</f>
      </c>
      <c r="J501" s="33">
        <f>IF(AX500&lt;=0,0,ROUND(AX500+ROUND(AX500*AD$3/12,2),2))</f>
      </c>
      <c r="K501" s="33">
        <f>IF(AY500&lt;=0,0,ROUND(AY500+ROUND(AY500*AE$3/12,2),2))</f>
      </c>
      <c r="L501" s="33">
        <f>ROUND(MIN(MAX(0,N('Your debts'!$E$6)),B501),2)</f>
      </c>
      <c r="M501" s="33">
        <f>ROUND(MIN(MAX(0,N('Your debts'!$E$7)),C501),2)</f>
      </c>
      <c r="N501" s="33">
        <f>ROUND(MIN(MAX(0,N('Your debts'!$E$8)),D501),2)</f>
      </c>
      <c r="O501" s="33">
        <f>ROUND(MIN(MAX(0,N('Your debts'!$E$9)),E501),2)</f>
      </c>
      <c r="P501" s="33">
        <f>ROUND(MIN(MAX(0,N('Your debts'!$E$10)),F501),2)</f>
      </c>
      <c r="Q501" s="33">
        <f>ROUND(MIN(MAX(0,N('Your debts'!$E$11)),G501),2)</f>
      </c>
      <c r="R501" s="33">
        <f>ROUND(MIN(MAX(0,N('Your debts'!$E$12)),H501),2)</f>
      </c>
      <c r="S501" s="33">
        <f>ROUND(MIN(MAX(0,N('Your debts'!$E$13)),I501),2)</f>
      </c>
      <c r="T501" s="33">
        <f>ROUND(MIN(MAX(0,N('Your debts'!$E$14)),J501),2)</f>
      </c>
      <c r="U501" s="33">
        <f>ROUND(MIN(MAX(0,N('Your debts'!$E$15)),K501),2)</f>
      </c>
      <c r="V501" s="33">
        <f>ROUND(B501-L501,2)</f>
      </c>
      <c r="W501" s="33">
        <f>ROUND(C501-M501,2)</f>
      </c>
      <c r="X501" s="33">
        <f>ROUND(D501-N501,2)</f>
      </c>
      <c r="Y501" s="33">
        <f>ROUND(E501-O501,2)</f>
      </c>
      <c r="Z501" s="33">
        <f>ROUND(F501-P501,2)</f>
      </c>
      <c r="AA501" s="33">
        <f>ROUND(G501-Q501,2)</f>
      </c>
      <c r="AB501" s="33">
        <f>ROUND(H501-R501,2)</f>
      </c>
      <c r="AC501" s="33">
        <f>ROUND(I501-S501,2)</f>
      </c>
      <c r="AD501" s="33">
        <f>ROUND(J501-T501,2)</f>
      </c>
      <c r="AE501" s="33">
        <f>ROUND(K501-U501,2)</f>
      </c>
      <c r="AF501" s="33">
        <f>IF(V501&lt;=0,0,MAX(0,MIN(V501,ROUND($AZ501-SUMPRODUCT($V501:$AE501*($V501:$AE501&gt;0)*(($V501:$AE501&lt;V501)+($V501:$AE501=V501)*($V$3:$AE$3&gt;V$3)+($V501:$AE501=V501)*($V$3:$AE$3=V$3)*($V$2:$AE$2&lt;V$2))),2))))</f>
      </c>
      <c r="AG501" s="33">
        <f>IF(W501&lt;=0,0,MAX(0,MIN(W501,ROUND($AZ501-SUMPRODUCT($V501:$AE501*($V501:$AE501&gt;0)*(($V501:$AE501&lt;W501)+($V501:$AE501=W501)*($V$3:$AE$3&gt;W$3)+($V501:$AE501=W501)*($V$3:$AE$3=W$3)*($V$2:$AE$2&lt;W$2))),2))))</f>
      </c>
      <c r="AH501" s="33">
        <f>IF(X501&lt;=0,0,MAX(0,MIN(X501,ROUND($AZ501-SUMPRODUCT($V501:$AE501*($V501:$AE501&gt;0)*(($V501:$AE501&lt;X501)+($V501:$AE501=X501)*($V$3:$AE$3&gt;X$3)+($V501:$AE501=X501)*($V$3:$AE$3=X$3)*($V$2:$AE$2&lt;X$2))),2))))</f>
      </c>
      <c r="AI501" s="33">
        <f>IF(Y501&lt;=0,0,MAX(0,MIN(Y501,ROUND($AZ501-SUMPRODUCT($V501:$AE501*($V501:$AE501&gt;0)*(($V501:$AE501&lt;Y501)+($V501:$AE501=Y501)*($V$3:$AE$3&gt;Y$3)+($V501:$AE501=Y501)*($V$3:$AE$3=Y$3)*($V$2:$AE$2&lt;Y$2))),2))))</f>
      </c>
      <c r="AJ501" s="33">
        <f>IF(Z501&lt;=0,0,MAX(0,MIN(Z501,ROUND($AZ501-SUMPRODUCT($V501:$AE501*($V501:$AE501&gt;0)*(($V501:$AE501&lt;Z501)+($V501:$AE501=Z501)*($V$3:$AE$3&gt;Z$3)+($V501:$AE501=Z501)*($V$3:$AE$3=Z$3)*($V$2:$AE$2&lt;Z$2))),2))))</f>
      </c>
      <c r="AK501" s="33">
        <f>IF(AA501&lt;=0,0,MAX(0,MIN(AA501,ROUND($AZ501-SUMPRODUCT($V501:$AE501*($V501:$AE501&gt;0)*(($V501:$AE501&lt;AA501)+($V501:$AE501=AA501)*($V$3:$AE$3&gt;AA$3)+($V501:$AE501=AA501)*($V$3:$AE$3=AA$3)*($V$2:$AE$2&lt;AA$2))),2))))</f>
      </c>
      <c r="AL501" s="33">
        <f>IF(AB501&lt;=0,0,MAX(0,MIN(AB501,ROUND($AZ501-SUMPRODUCT($V501:$AE501*($V501:$AE501&gt;0)*(($V501:$AE501&lt;AB501)+($V501:$AE501=AB501)*($V$3:$AE$3&gt;AB$3)+($V501:$AE501=AB501)*($V$3:$AE$3=AB$3)*($V$2:$AE$2&lt;AB$2))),2))))</f>
      </c>
      <c r="AM501" s="33">
        <f>IF(AC501&lt;=0,0,MAX(0,MIN(AC501,ROUND($AZ501-SUMPRODUCT($V501:$AE501*($V501:$AE501&gt;0)*(($V501:$AE501&lt;AC501)+($V501:$AE501=AC501)*($V$3:$AE$3&gt;AC$3)+($V501:$AE501=AC501)*($V$3:$AE$3=AC$3)*($V$2:$AE$2&lt;AC$2))),2))))</f>
      </c>
      <c r="AN501" s="33">
        <f>IF(AD501&lt;=0,0,MAX(0,MIN(AD501,ROUND($AZ501-SUMPRODUCT($V501:$AE501*($V501:$AE501&gt;0)*(($V501:$AE501&lt;AD501)+($V501:$AE501=AD501)*($V$3:$AE$3&gt;AD$3)+($V501:$AE501=AD501)*($V$3:$AE$3=AD$3)*($V$2:$AE$2&lt;AD$2))),2))))</f>
      </c>
      <c r="AO501" s="33">
        <f>IF(AE501&lt;=0,0,MAX(0,MIN(AE501,ROUND($AZ501-SUMPRODUCT($V501:$AE501*($V501:$AE501&gt;0)*(($V501:$AE501&lt;AE501)+($V501:$AE501=AE501)*($V$3:$AE$3&gt;AE$3)+($V501:$AE501=AE501)*($V$3:$AE$3=AE$3)*($V$2:$AE$2&lt;AE$2))),2))))</f>
      </c>
      <c r="AP501" s="33">
        <f>ROUND(V501-AF501,2)</f>
      </c>
      <c r="AQ501" s="33">
        <f>ROUND(W501-AG501,2)</f>
      </c>
      <c r="AR501" s="33">
        <f>ROUND(X501-AH501,2)</f>
      </c>
      <c r="AS501" s="33">
        <f>ROUND(Y501-AI501,2)</f>
      </c>
      <c r="AT501" s="33">
        <f>ROUND(Z501-AJ501,2)</f>
      </c>
      <c r="AU501" s="33">
        <f>ROUND(AA501-AK501,2)</f>
      </c>
      <c r="AV501" s="33">
        <f>ROUND(AB501-AL501,2)</f>
      </c>
      <c r="AW501" s="33">
        <f>ROUND(AC501-AM501,2)</f>
      </c>
      <c r="AX501" s="33">
        <f>ROUND(AD501-AN501,2)</f>
      </c>
      <c r="AY501" s="33">
        <f>ROUND(AE501-AO501,2)</f>
      </c>
      <c r="AZ501" s="33">
        <f>ROUND(MAX(0,'Your debts'!$D$22-SUM($L501:$U501)),2)</f>
      </c>
      <c r="BA501" s="33">
        <f>ROUND(SUM($B501:$K501)-SUM($AP500:$AY500),2)</f>
      </c>
      <c r="BB501" s="33">
        <f>SUM($AP501:$AY501)</f>
      </c>
      <c r="BC501" s="33">
        <f>ROUND(SUM($L501:$U501)+SUM($AF501:$AO501),2)</f>
      </c>
    </row>
    <row r="502" spans="1:55" x14ac:dyDescent="0.25">
      <c r="A502">
        <v>495</v>
      </c>
      <c r="B502" s="33">
        <f>IF(AP501&lt;=0,0,ROUND(AP501+ROUND(AP501*V$3/12,2),2))</f>
      </c>
      <c r="C502" s="33">
        <f>IF(AQ501&lt;=0,0,ROUND(AQ501+ROUND(AQ501*W$3/12,2),2))</f>
      </c>
      <c r="D502" s="33">
        <f>IF(AR501&lt;=0,0,ROUND(AR501+ROUND(AR501*X$3/12,2),2))</f>
      </c>
      <c r="E502" s="33">
        <f>IF(AS501&lt;=0,0,ROUND(AS501+ROUND(AS501*Y$3/12,2),2))</f>
      </c>
      <c r="F502" s="33">
        <f>IF(AT501&lt;=0,0,ROUND(AT501+ROUND(AT501*Z$3/12,2),2))</f>
      </c>
      <c r="G502" s="33">
        <f>IF(AU501&lt;=0,0,ROUND(AU501+ROUND(AU501*AA$3/12,2),2))</f>
      </c>
      <c r="H502" s="33">
        <f>IF(AV501&lt;=0,0,ROUND(AV501+ROUND(AV501*AB$3/12,2),2))</f>
      </c>
      <c r="I502" s="33">
        <f>IF(AW501&lt;=0,0,ROUND(AW501+ROUND(AW501*AC$3/12,2),2))</f>
      </c>
      <c r="J502" s="33">
        <f>IF(AX501&lt;=0,0,ROUND(AX501+ROUND(AX501*AD$3/12,2),2))</f>
      </c>
      <c r="K502" s="33">
        <f>IF(AY501&lt;=0,0,ROUND(AY501+ROUND(AY501*AE$3/12,2),2))</f>
      </c>
      <c r="L502" s="33">
        <f>ROUND(MIN(MAX(0,N('Your debts'!$E$6)),B502),2)</f>
      </c>
      <c r="M502" s="33">
        <f>ROUND(MIN(MAX(0,N('Your debts'!$E$7)),C502),2)</f>
      </c>
      <c r="N502" s="33">
        <f>ROUND(MIN(MAX(0,N('Your debts'!$E$8)),D502),2)</f>
      </c>
      <c r="O502" s="33">
        <f>ROUND(MIN(MAX(0,N('Your debts'!$E$9)),E502),2)</f>
      </c>
      <c r="P502" s="33">
        <f>ROUND(MIN(MAX(0,N('Your debts'!$E$10)),F502),2)</f>
      </c>
      <c r="Q502" s="33">
        <f>ROUND(MIN(MAX(0,N('Your debts'!$E$11)),G502),2)</f>
      </c>
      <c r="R502" s="33">
        <f>ROUND(MIN(MAX(0,N('Your debts'!$E$12)),H502),2)</f>
      </c>
      <c r="S502" s="33">
        <f>ROUND(MIN(MAX(0,N('Your debts'!$E$13)),I502),2)</f>
      </c>
      <c r="T502" s="33">
        <f>ROUND(MIN(MAX(0,N('Your debts'!$E$14)),J502),2)</f>
      </c>
      <c r="U502" s="33">
        <f>ROUND(MIN(MAX(0,N('Your debts'!$E$15)),K502),2)</f>
      </c>
      <c r="V502" s="33">
        <f>ROUND(B502-L502,2)</f>
      </c>
      <c r="W502" s="33">
        <f>ROUND(C502-M502,2)</f>
      </c>
      <c r="X502" s="33">
        <f>ROUND(D502-N502,2)</f>
      </c>
      <c r="Y502" s="33">
        <f>ROUND(E502-O502,2)</f>
      </c>
      <c r="Z502" s="33">
        <f>ROUND(F502-P502,2)</f>
      </c>
      <c r="AA502" s="33">
        <f>ROUND(G502-Q502,2)</f>
      </c>
      <c r="AB502" s="33">
        <f>ROUND(H502-R502,2)</f>
      </c>
      <c r="AC502" s="33">
        <f>ROUND(I502-S502,2)</f>
      </c>
      <c r="AD502" s="33">
        <f>ROUND(J502-T502,2)</f>
      </c>
      <c r="AE502" s="33">
        <f>ROUND(K502-U502,2)</f>
      </c>
      <c r="AF502" s="33">
        <f>IF(V502&lt;=0,0,MAX(0,MIN(V502,ROUND($AZ502-SUMPRODUCT($V502:$AE502*($V502:$AE502&gt;0)*(($V502:$AE502&lt;V502)+($V502:$AE502=V502)*($V$3:$AE$3&gt;V$3)+($V502:$AE502=V502)*($V$3:$AE$3=V$3)*($V$2:$AE$2&lt;V$2))),2))))</f>
      </c>
      <c r="AG502" s="33">
        <f>IF(W502&lt;=0,0,MAX(0,MIN(W502,ROUND($AZ502-SUMPRODUCT($V502:$AE502*($V502:$AE502&gt;0)*(($V502:$AE502&lt;W502)+($V502:$AE502=W502)*($V$3:$AE$3&gt;W$3)+($V502:$AE502=W502)*($V$3:$AE$3=W$3)*($V$2:$AE$2&lt;W$2))),2))))</f>
      </c>
      <c r="AH502" s="33">
        <f>IF(X502&lt;=0,0,MAX(0,MIN(X502,ROUND($AZ502-SUMPRODUCT($V502:$AE502*($V502:$AE502&gt;0)*(($V502:$AE502&lt;X502)+($V502:$AE502=X502)*($V$3:$AE$3&gt;X$3)+($V502:$AE502=X502)*($V$3:$AE$3=X$3)*($V$2:$AE$2&lt;X$2))),2))))</f>
      </c>
      <c r="AI502" s="33">
        <f>IF(Y502&lt;=0,0,MAX(0,MIN(Y502,ROUND($AZ502-SUMPRODUCT($V502:$AE502*($V502:$AE502&gt;0)*(($V502:$AE502&lt;Y502)+($V502:$AE502=Y502)*($V$3:$AE$3&gt;Y$3)+($V502:$AE502=Y502)*($V$3:$AE$3=Y$3)*($V$2:$AE$2&lt;Y$2))),2))))</f>
      </c>
      <c r="AJ502" s="33">
        <f>IF(Z502&lt;=0,0,MAX(0,MIN(Z502,ROUND($AZ502-SUMPRODUCT($V502:$AE502*($V502:$AE502&gt;0)*(($V502:$AE502&lt;Z502)+($V502:$AE502=Z502)*($V$3:$AE$3&gt;Z$3)+($V502:$AE502=Z502)*($V$3:$AE$3=Z$3)*($V$2:$AE$2&lt;Z$2))),2))))</f>
      </c>
      <c r="AK502" s="33">
        <f>IF(AA502&lt;=0,0,MAX(0,MIN(AA502,ROUND($AZ502-SUMPRODUCT($V502:$AE502*($V502:$AE502&gt;0)*(($V502:$AE502&lt;AA502)+($V502:$AE502=AA502)*($V$3:$AE$3&gt;AA$3)+($V502:$AE502=AA502)*($V$3:$AE$3=AA$3)*($V$2:$AE$2&lt;AA$2))),2))))</f>
      </c>
      <c r="AL502" s="33">
        <f>IF(AB502&lt;=0,0,MAX(0,MIN(AB502,ROUND($AZ502-SUMPRODUCT($V502:$AE502*($V502:$AE502&gt;0)*(($V502:$AE502&lt;AB502)+($V502:$AE502=AB502)*($V$3:$AE$3&gt;AB$3)+($V502:$AE502=AB502)*($V$3:$AE$3=AB$3)*($V$2:$AE$2&lt;AB$2))),2))))</f>
      </c>
      <c r="AM502" s="33">
        <f>IF(AC502&lt;=0,0,MAX(0,MIN(AC502,ROUND($AZ502-SUMPRODUCT($V502:$AE502*($V502:$AE502&gt;0)*(($V502:$AE502&lt;AC502)+($V502:$AE502=AC502)*($V$3:$AE$3&gt;AC$3)+($V502:$AE502=AC502)*($V$3:$AE$3=AC$3)*($V$2:$AE$2&lt;AC$2))),2))))</f>
      </c>
      <c r="AN502" s="33">
        <f>IF(AD502&lt;=0,0,MAX(0,MIN(AD502,ROUND($AZ502-SUMPRODUCT($V502:$AE502*($V502:$AE502&gt;0)*(($V502:$AE502&lt;AD502)+($V502:$AE502=AD502)*($V$3:$AE$3&gt;AD$3)+($V502:$AE502=AD502)*($V$3:$AE$3=AD$3)*($V$2:$AE$2&lt;AD$2))),2))))</f>
      </c>
      <c r="AO502" s="33">
        <f>IF(AE502&lt;=0,0,MAX(0,MIN(AE502,ROUND($AZ502-SUMPRODUCT($V502:$AE502*($V502:$AE502&gt;0)*(($V502:$AE502&lt;AE502)+($V502:$AE502=AE502)*($V$3:$AE$3&gt;AE$3)+($V502:$AE502=AE502)*($V$3:$AE$3=AE$3)*($V$2:$AE$2&lt;AE$2))),2))))</f>
      </c>
      <c r="AP502" s="33">
        <f>ROUND(V502-AF502,2)</f>
      </c>
      <c r="AQ502" s="33">
        <f>ROUND(W502-AG502,2)</f>
      </c>
      <c r="AR502" s="33">
        <f>ROUND(X502-AH502,2)</f>
      </c>
      <c r="AS502" s="33">
        <f>ROUND(Y502-AI502,2)</f>
      </c>
      <c r="AT502" s="33">
        <f>ROUND(Z502-AJ502,2)</f>
      </c>
      <c r="AU502" s="33">
        <f>ROUND(AA502-AK502,2)</f>
      </c>
      <c r="AV502" s="33">
        <f>ROUND(AB502-AL502,2)</f>
      </c>
      <c r="AW502" s="33">
        <f>ROUND(AC502-AM502,2)</f>
      </c>
      <c r="AX502" s="33">
        <f>ROUND(AD502-AN502,2)</f>
      </c>
      <c r="AY502" s="33">
        <f>ROUND(AE502-AO502,2)</f>
      </c>
      <c r="AZ502" s="33">
        <f>ROUND(MAX(0,'Your debts'!$D$22-SUM($L502:$U502)),2)</f>
      </c>
      <c r="BA502" s="33">
        <f>ROUND(SUM($B502:$K502)-SUM($AP501:$AY501),2)</f>
      </c>
      <c r="BB502" s="33">
        <f>SUM($AP502:$AY502)</f>
      </c>
      <c r="BC502" s="33">
        <f>ROUND(SUM($L502:$U502)+SUM($AF502:$AO502),2)</f>
      </c>
    </row>
    <row r="503" spans="1:55" x14ac:dyDescent="0.25">
      <c r="A503">
        <v>496</v>
      </c>
      <c r="B503" s="33">
        <f>IF(AP502&lt;=0,0,ROUND(AP502+ROUND(AP502*V$3/12,2),2))</f>
      </c>
      <c r="C503" s="33">
        <f>IF(AQ502&lt;=0,0,ROUND(AQ502+ROUND(AQ502*W$3/12,2),2))</f>
      </c>
      <c r="D503" s="33">
        <f>IF(AR502&lt;=0,0,ROUND(AR502+ROUND(AR502*X$3/12,2),2))</f>
      </c>
      <c r="E503" s="33">
        <f>IF(AS502&lt;=0,0,ROUND(AS502+ROUND(AS502*Y$3/12,2),2))</f>
      </c>
      <c r="F503" s="33">
        <f>IF(AT502&lt;=0,0,ROUND(AT502+ROUND(AT502*Z$3/12,2),2))</f>
      </c>
      <c r="G503" s="33">
        <f>IF(AU502&lt;=0,0,ROUND(AU502+ROUND(AU502*AA$3/12,2),2))</f>
      </c>
      <c r="H503" s="33">
        <f>IF(AV502&lt;=0,0,ROUND(AV502+ROUND(AV502*AB$3/12,2),2))</f>
      </c>
      <c r="I503" s="33">
        <f>IF(AW502&lt;=0,0,ROUND(AW502+ROUND(AW502*AC$3/12,2),2))</f>
      </c>
      <c r="J503" s="33">
        <f>IF(AX502&lt;=0,0,ROUND(AX502+ROUND(AX502*AD$3/12,2),2))</f>
      </c>
      <c r="K503" s="33">
        <f>IF(AY502&lt;=0,0,ROUND(AY502+ROUND(AY502*AE$3/12,2),2))</f>
      </c>
      <c r="L503" s="33">
        <f>ROUND(MIN(MAX(0,N('Your debts'!$E$6)),B503),2)</f>
      </c>
      <c r="M503" s="33">
        <f>ROUND(MIN(MAX(0,N('Your debts'!$E$7)),C503),2)</f>
      </c>
      <c r="N503" s="33">
        <f>ROUND(MIN(MAX(0,N('Your debts'!$E$8)),D503),2)</f>
      </c>
      <c r="O503" s="33">
        <f>ROUND(MIN(MAX(0,N('Your debts'!$E$9)),E503),2)</f>
      </c>
      <c r="P503" s="33">
        <f>ROUND(MIN(MAX(0,N('Your debts'!$E$10)),F503),2)</f>
      </c>
      <c r="Q503" s="33">
        <f>ROUND(MIN(MAX(0,N('Your debts'!$E$11)),G503),2)</f>
      </c>
      <c r="R503" s="33">
        <f>ROUND(MIN(MAX(0,N('Your debts'!$E$12)),H503),2)</f>
      </c>
      <c r="S503" s="33">
        <f>ROUND(MIN(MAX(0,N('Your debts'!$E$13)),I503),2)</f>
      </c>
      <c r="T503" s="33">
        <f>ROUND(MIN(MAX(0,N('Your debts'!$E$14)),J503),2)</f>
      </c>
      <c r="U503" s="33">
        <f>ROUND(MIN(MAX(0,N('Your debts'!$E$15)),K503),2)</f>
      </c>
      <c r="V503" s="33">
        <f>ROUND(B503-L503,2)</f>
      </c>
      <c r="W503" s="33">
        <f>ROUND(C503-M503,2)</f>
      </c>
      <c r="X503" s="33">
        <f>ROUND(D503-N503,2)</f>
      </c>
      <c r="Y503" s="33">
        <f>ROUND(E503-O503,2)</f>
      </c>
      <c r="Z503" s="33">
        <f>ROUND(F503-P503,2)</f>
      </c>
      <c r="AA503" s="33">
        <f>ROUND(G503-Q503,2)</f>
      </c>
      <c r="AB503" s="33">
        <f>ROUND(H503-R503,2)</f>
      </c>
      <c r="AC503" s="33">
        <f>ROUND(I503-S503,2)</f>
      </c>
      <c r="AD503" s="33">
        <f>ROUND(J503-T503,2)</f>
      </c>
      <c r="AE503" s="33">
        <f>ROUND(K503-U503,2)</f>
      </c>
      <c r="AF503" s="33">
        <f>IF(V503&lt;=0,0,MAX(0,MIN(V503,ROUND($AZ503-SUMPRODUCT($V503:$AE503*($V503:$AE503&gt;0)*(($V503:$AE503&lt;V503)+($V503:$AE503=V503)*($V$3:$AE$3&gt;V$3)+($V503:$AE503=V503)*($V$3:$AE$3=V$3)*($V$2:$AE$2&lt;V$2))),2))))</f>
      </c>
      <c r="AG503" s="33">
        <f>IF(W503&lt;=0,0,MAX(0,MIN(W503,ROUND($AZ503-SUMPRODUCT($V503:$AE503*($V503:$AE503&gt;0)*(($V503:$AE503&lt;W503)+($V503:$AE503=W503)*($V$3:$AE$3&gt;W$3)+($V503:$AE503=W503)*($V$3:$AE$3=W$3)*($V$2:$AE$2&lt;W$2))),2))))</f>
      </c>
      <c r="AH503" s="33">
        <f>IF(X503&lt;=0,0,MAX(0,MIN(X503,ROUND($AZ503-SUMPRODUCT($V503:$AE503*($V503:$AE503&gt;0)*(($V503:$AE503&lt;X503)+($V503:$AE503=X503)*($V$3:$AE$3&gt;X$3)+($V503:$AE503=X503)*($V$3:$AE$3=X$3)*($V$2:$AE$2&lt;X$2))),2))))</f>
      </c>
      <c r="AI503" s="33">
        <f>IF(Y503&lt;=0,0,MAX(0,MIN(Y503,ROUND($AZ503-SUMPRODUCT($V503:$AE503*($V503:$AE503&gt;0)*(($V503:$AE503&lt;Y503)+($V503:$AE503=Y503)*($V$3:$AE$3&gt;Y$3)+($V503:$AE503=Y503)*($V$3:$AE$3=Y$3)*($V$2:$AE$2&lt;Y$2))),2))))</f>
      </c>
      <c r="AJ503" s="33">
        <f>IF(Z503&lt;=0,0,MAX(0,MIN(Z503,ROUND($AZ503-SUMPRODUCT($V503:$AE503*($V503:$AE503&gt;0)*(($V503:$AE503&lt;Z503)+($V503:$AE503=Z503)*($V$3:$AE$3&gt;Z$3)+($V503:$AE503=Z503)*($V$3:$AE$3=Z$3)*($V$2:$AE$2&lt;Z$2))),2))))</f>
      </c>
      <c r="AK503" s="33">
        <f>IF(AA503&lt;=0,0,MAX(0,MIN(AA503,ROUND($AZ503-SUMPRODUCT($V503:$AE503*($V503:$AE503&gt;0)*(($V503:$AE503&lt;AA503)+($V503:$AE503=AA503)*($V$3:$AE$3&gt;AA$3)+($V503:$AE503=AA503)*($V$3:$AE$3=AA$3)*($V$2:$AE$2&lt;AA$2))),2))))</f>
      </c>
      <c r="AL503" s="33">
        <f>IF(AB503&lt;=0,0,MAX(0,MIN(AB503,ROUND($AZ503-SUMPRODUCT($V503:$AE503*($V503:$AE503&gt;0)*(($V503:$AE503&lt;AB503)+($V503:$AE503=AB503)*($V$3:$AE$3&gt;AB$3)+($V503:$AE503=AB503)*($V$3:$AE$3=AB$3)*($V$2:$AE$2&lt;AB$2))),2))))</f>
      </c>
      <c r="AM503" s="33">
        <f>IF(AC503&lt;=0,0,MAX(0,MIN(AC503,ROUND($AZ503-SUMPRODUCT($V503:$AE503*($V503:$AE503&gt;0)*(($V503:$AE503&lt;AC503)+($V503:$AE503=AC503)*($V$3:$AE$3&gt;AC$3)+($V503:$AE503=AC503)*($V$3:$AE$3=AC$3)*($V$2:$AE$2&lt;AC$2))),2))))</f>
      </c>
      <c r="AN503" s="33">
        <f>IF(AD503&lt;=0,0,MAX(0,MIN(AD503,ROUND($AZ503-SUMPRODUCT($V503:$AE503*($V503:$AE503&gt;0)*(($V503:$AE503&lt;AD503)+($V503:$AE503=AD503)*($V$3:$AE$3&gt;AD$3)+($V503:$AE503=AD503)*($V$3:$AE$3=AD$3)*($V$2:$AE$2&lt;AD$2))),2))))</f>
      </c>
      <c r="AO503" s="33">
        <f>IF(AE503&lt;=0,0,MAX(0,MIN(AE503,ROUND($AZ503-SUMPRODUCT($V503:$AE503*($V503:$AE503&gt;0)*(($V503:$AE503&lt;AE503)+($V503:$AE503=AE503)*($V$3:$AE$3&gt;AE$3)+($V503:$AE503=AE503)*($V$3:$AE$3=AE$3)*($V$2:$AE$2&lt;AE$2))),2))))</f>
      </c>
      <c r="AP503" s="33">
        <f>ROUND(V503-AF503,2)</f>
      </c>
      <c r="AQ503" s="33">
        <f>ROUND(W503-AG503,2)</f>
      </c>
      <c r="AR503" s="33">
        <f>ROUND(X503-AH503,2)</f>
      </c>
      <c r="AS503" s="33">
        <f>ROUND(Y503-AI503,2)</f>
      </c>
      <c r="AT503" s="33">
        <f>ROUND(Z503-AJ503,2)</f>
      </c>
      <c r="AU503" s="33">
        <f>ROUND(AA503-AK503,2)</f>
      </c>
      <c r="AV503" s="33">
        <f>ROUND(AB503-AL503,2)</f>
      </c>
      <c r="AW503" s="33">
        <f>ROUND(AC503-AM503,2)</f>
      </c>
      <c r="AX503" s="33">
        <f>ROUND(AD503-AN503,2)</f>
      </c>
      <c r="AY503" s="33">
        <f>ROUND(AE503-AO503,2)</f>
      </c>
      <c r="AZ503" s="33">
        <f>ROUND(MAX(0,'Your debts'!$D$22-SUM($L503:$U503)),2)</f>
      </c>
      <c r="BA503" s="33">
        <f>ROUND(SUM($B503:$K503)-SUM($AP502:$AY502),2)</f>
      </c>
      <c r="BB503" s="33">
        <f>SUM($AP503:$AY503)</f>
      </c>
      <c r="BC503" s="33">
        <f>ROUND(SUM($L503:$U503)+SUM($AF503:$AO503),2)</f>
      </c>
    </row>
    <row r="504" spans="1:55" x14ac:dyDescent="0.25">
      <c r="A504">
        <v>497</v>
      </c>
      <c r="B504" s="33">
        <f>IF(AP503&lt;=0,0,ROUND(AP503+ROUND(AP503*V$3/12,2),2))</f>
      </c>
      <c r="C504" s="33">
        <f>IF(AQ503&lt;=0,0,ROUND(AQ503+ROUND(AQ503*W$3/12,2),2))</f>
      </c>
      <c r="D504" s="33">
        <f>IF(AR503&lt;=0,0,ROUND(AR503+ROUND(AR503*X$3/12,2),2))</f>
      </c>
      <c r="E504" s="33">
        <f>IF(AS503&lt;=0,0,ROUND(AS503+ROUND(AS503*Y$3/12,2),2))</f>
      </c>
      <c r="F504" s="33">
        <f>IF(AT503&lt;=0,0,ROUND(AT503+ROUND(AT503*Z$3/12,2),2))</f>
      </c>
      <c r="G504" s="33">
        <f>IF(AU503&lt;=0,0,ROUND(AU503+ROUND(AU503*AA$3/12,2),2))</f>
      </c>
      <c r="H504" s="33">
        <f>IF(AV503&lt;=0,0,ROUND(AV503+ROUND(AV503*AB$3/12,2),2))</f>
      </c>
      <c r="I504" s="33">
        <f>IF(AW503&lt;=0,0,ROUND(AW503+ROUND(AW503*AC$3/12,2),2))</f>
      </c>
      <c r="J504" s="33">
        <f>IF(AX503&lt;=0,0,ROUND(AX503+ROUND(AX503*AD$3/12,2),2))</f>
      </c>
      <c r="K504" s="33">
        <f>IF(AY503&lt;=0,0,ROUND(AY503+ROUND(AY503*AE$3/12,2),2))</f>
      </c>
      <c r="L504" s="33">
        <f>ROUND(MIN(MAX(0,N('Your debts'!$E$6)),B504),2)</f>
      </c>
      <c r="M504" s="33">
        <f>ROUND(MIN(MAX(0,N('Your debts'!$E$7)),C504),2)</f>
      </c>
      <c r="N504" s="33">
        <f>ROUND(MIN(MAX(0,N('Your debts'!$E$8)),D504),2)</f>
      </c>
      <c r="O504" s="33">
        <f>ROUND(MIN(MAX(0,N('Your debts'!$E$9)),E504),2)</f>
      </c>
      <c r="P504" s="33">
        <f>ROUND(MIN(MAX(0,N('Your debts'!$E$10)),F504),2)</f>
      </c>
      <c r="Q504" s="33">
        <f>ROUND(MIN(MAX(0,N('Your debts'!$E$11)),G504),2)</f>
      </c>
      <c r="R504" s="33">
        <f>ROUND(MIN(MAX(0,N('Your debts'!$E$12)),H504),2)</f>
      </c>
      <c r="S504" s="33">
        <f>ROUND(MIN(MAX(0,N('Your debts'!$E$13)),I504),2)</f>
      </c>
      <c r="T504" s="33">
        <f>ROUND(MIN(MAX(0,N('Your debts'!$E$14)),J504),2)</f>
      </c>
      <c r="U504" s="33">
        <f>ROUND(MIN(MAX(0,N('Your debts'!$E$15)),K504),2)</f>
      </c>
      <c r="V504" s="33">
        <f>ROUND(B504-L504,2)</f>
      </c>
      <c r="W504" s="33">
        <f>ROUND(C504-M504,2)</f>
      </c>
      <c r="X504" s="33">
        <f>ROUND(D504-N504,2)</f>
      </c>
      <c r="Y504" s="33">
        <f>ROUND(E504-O504,2)</f>
      </c>
      <c r="Z504" s="33">
        <f>ROUND(F504-P504,2)</f>
      </c>
      <c r="AA504" s="33">
        <f>ROUND(G504-Q504,2)</f>
      </c>
      <c r="AB504" s="33">
        <f>ROUND(H504-R504,2)</f>
      </c>
      <c r="AC504" s="33">
        <f>ROUND(I504-S504,2)</f>
      </c>
      <c r="AD504" s="33">
        <f>ROUND(J504-T504,2)</f>
      </c>
      <c r="AE504" s="33">
        <f>ROUND(K504-U504,2)</f>
      </c>
      <c r="AF504" s="33">
        <f>IF(V504&lt;=0,0,MAX(0,MIN(V504,ROUND($AZ504-SUMPRODUCT($V504:$AE504*($V504:$AE504&gt;0)*(($V504:$AE504&lt;V504)+($V504:$AE504=V504)*($V$3:$AE$3&gt;V$3)+($V504:$AE504=V504)*($V$3:$AE$3=V$3)*($V$2:$AE$2&lt;V$2))),2))))</f>
      </c>
      <c r="AG504" s="33">
        <f>IF(W504&lt;=0,0,MAX(0,MIN(W504,ROUND($AZ504-SUMPRODUCT($V504:$AE504*($V504:$AE504&gt;0)*(($V504:$AE504&lt;W504)+($V504:$AE504=W504)*($V$3:$AE$3&gt;W$3)+($V504:$AE504=W504)*($V$3:$AE$3=W$3)*($V$2:$AE$2&lt;W$2))),2))))</f>
      </c>
      <c r="AH504" s="33">
        <f>IF(X504&lt;=0,0,MAX(0,MIN(X504,ROUND($AZ504-SUMPRODUCT($V504:$AE504*($V504:$AE504&gt;0)*(($V504:$AE504&lt;X504)+($V504:$AE504=X504)*($V$3:$AE$3&gt;X$3)+($V504:$AE504=X504)*($V$3:$AE$3=X$3)*($V$2:$AE$2&lt;X$2))),2))))</f>
      </c>
      <c r="AI504" s="33">
        <f>IF(Y504&lt;=0,0,MAX(0,MIN(Y504,ROUND($AZ504-SUMPRODUCT($V504:$AE504*($V504:$AE504&gt;0)*(($V504:$AE504&lt;Y504)+($V504:$AE504=Y504)*($V$3:$AE$3&gt;Y$3)+($V504:$AE504=Y504)*($V$3:$AE$3=Y$3)*($V$2:$AE$2&lt;Y$2))),2))))</f>
      </c>
      <c r="AJ504" s="33">
        <f>IF(Z504&lt;=0,0,MAX(0,MIN(Z504,ROUND($AZ504-SUMPRODUCT($V504:$AE504*($V504:$AE504&gt;0)*(($V504:$AE504&lt;Z504)+($V504:$AE504=Z504)*($V$3:$AE$3&gt;Z$3)+($V504:$AE504=Z504)*($V$3:$AE$3=Z$3)*($V$2:$AE$2&lt;Z$2))),2))))</f>
      </c>
      <c r="AK504" s="33">
        <f>IF(AA504&lt;=0,0,MAX(0,MIN(AA504,ROUND($AZ504-SUMPRODUCT($V504:$AE504*($V504:$AE504&gt;0)*(($V504:$AE504&lt;AA504)+($V504:$AE504=AA504)*($V$3:$AE$3&gt;AA$3)+($V504:$AE504=AA504)*($V$3:$AE$3=AA$3)*($V$2:$AE$2&lt;AA$2))),2))))</f>
      </c>
      <c r="AL504" s="33">
        <f>IF(AB504&lt;=0,0,MAX(0,MIN(AB504,ROUND($AZ504-SUMPRODUCT($V504:$AE504*($V504:$AE504&gt;0)*(($V504:$AE504&lt;AB504)+($V504:$AE504=AB504)*($V$3:$AE$3&gt;AB$3)+($V504:$AE504=AB504)*($V$3:$AE$3=AB$3)*($V$2:$AE$2&lt;AB$2))),2))))</f>
      </c>
      <c r="AM504" s="33">
        <f>IF(AC504&lt;=0,0,MAX(0,MIN(AC504,ROUND($AZ504-SUMPRODUCT($V504:$AE504*($V504:$AE504&gt;0)*(($V504:$AE504&lt;AC504)+($V504:$AE504=AC504)*($V$3:$AE$3&gt;AC$3)+($V504:$AE504=AC504)*($V$3:$AE$3=AC$3)*($V$2:$AE$2&lt;AC$2))),2))))</f>
      </c>
      <c r="AN504" s="33">
        <f>IF(AD504&lt;=0,0,MAX(0,MIN(AD504,ROUND($AZ504-SUMPRODUCT($V504:$AE504*($V504:$AE504&gt;0)*(($V504:$AE504&lt;AD504)+($V504:$AE504=AD504)*($V$3:$AE$3&gt;AD$3)+($V504:$AE504=AD504)*($V$3:$AE$3=AD$3)*($V$2:$AE$2&lt;AD$2))),2))))</f>
      </c>
      <c r="AO504" s="33">
        <f>IF(AE504&lt;=0,0,MAX(0,MIN(AE504,ROUND($AZ504-SUMPRODUCT($V504:$AE504*($V504:$AE504&gt;0)*(($V504:$AE504&lt;AE504)+($V504:$AE504=AE504)*($V$3:$AE$3&gt;AE$3)+($V504:$AE504=AE504)*($V$3:$AE$3=AE$3)*($V$2:$AE$2&lt;AE$2))),2))))</f>
      </c>
      <c r="AP504" s="33">
        <f>ROUND(V504-AF504,2)</f>
      </c>
      <c r="AQ504" s="33">
        <f>ROUND(W504-AG504,2)</f>
      </c>
      <c r="AR504" s="33">
        <f>ROUND(X504-AH504,2)</f>
      </c>
      <c r="AS504" s="33">
        <f>ROUND(Y504-AI504,2)</f>
      </c>
      <c r="AT504" s="33">
        <f>ROUND(Z504-AJ504,2)</f>
      </c>
      <c r="AU504" s="33">
        <f>ROUND(AA504-AK504,2)</f>
      </c>
      <c r="AV504" s="33">
        <f>ROUND(AB504-AL504,2)</f>
      </c>
      <c r="AW504" s="33">
        <f>ROUND(AC504-AM504,2)</f>
      </c>
      <c r="AX504" s="33">
        <f>ROUND(AD504-AN504,2)</f>
      </c>
      <c r="AY504" s="33">
        <f>ROUND(AE504-AO504,2)</f>
      </c>
      <c r="AZ504" s="33">
        <f>ROUND(MAX(0,'Your debts'!$D$22-SUM($L504:$U504)),2)</f>
      </c>
      <c r="BA504" s="33">
        <f>ROUND(SUM($B504:$K504)-SUM($AP503:$AY503),2)</f>
      </c>
      <c r="BB504" s="33">
        <f>SUM($AP504:$AY504)</f>
      </c>
      <c r="BC504" s="33">
        <f>ROUND(SUM($L504:$U504)+SUM($AF504:$AO504),2)</f>
      </c>
    </row>
    <row r="505" spans="1:55" x14ac:dyDescent="0.25">
      <c r="A505">
        <v>498</v>
      </c>
      <c r="B505" s="33">
        <f>IF(AP504&lt;=0,0,ROUND(AP504+ROUND(AP504*V$3/12,2),2))</f>
      </c>
      <c r="C505" s="33">
        <f>IF(AQ504&lt;=0,0,ROUND(AQ504+ROUND(AQ504*W$3/12,2),2))</f>
      </c>
      <c r="D505" s="33">
        <f>IF(AR504&lt;=0,0,ROUND(AR504+ROUND(AR504*X$3/12,2),2))</f>
      </c>
      <c r="E505" s="33">
        <f>IF(AS504&lt;=0,0,ROUND(AS504+ROUND(AS504*Y$3/12,2),2))</f>
      </c>
      <c r="F505" s="33">
        <f>IF(AT504&lt;=0,0,ROUND(AT504+ROUND(AT504*Z$3/12,2),2))</f>
      </c>
      <c r="G505" s="33">
        <f>IF(AU504&lt;=0,0,ROUND(AU504+ROUND(AU504*AA$3/12,2),2))</f>
      </c>
      <c r="H505" s="33">
        <f>IF(AV504&lt;=0,0,ROUND(AV504+ROUND(AV504*AB$3/12,2),2))</f>
      </c>
      <c r="I505" s="33">
        <f>IF(AW504&lt;=0,0,ROUND(AW504+ROUND(AW504*AC$3/12,2),2))</f>
      </c>
      <c r="J505" s="33">
        <f>IF(AX504&lt;=0,0,ROUND(AX504+ROUND(AX504*AD$3/12,2),2))</f>
      </c>
      <c r="K505" s="33">
        <f>IF(AY504&lt;=0,0,ROUND(AY504+ROUND(AY504*AE$3/12,2),2))</f>
      </c>
      <c r="L505" s="33">
        <f>ROUND(MIN(MAX(0,N('Your debts'!$E$6)),B505),2)</f>
      </c>
      <c r="M505" s="33">
        <f>ROUND(MIN(MAX(0,N('Your debts'!$E$7)),C505),2)</f>
      </c>
      <c r="N505" s="33">
        <f>ROUND(MIN(MAX(0,N('Your debts'!$E$8)),D505),2)</f>
      </c>
      <c r="O505" s="33">
        <f>ROUND(MIN(MAX(0,N('Your debts'!$E$9)),E505),2)</f>
      </c>
      <c r="P505" s="33">
        <f>ROUND(MIN(MAX(0,N('Your debts'!$E$10)),F505),2)</f>
      </c>
      <c r="Q505" s="33">
        <f>ROUND(MIN(MAX(0,N('Your debts'!$E$11)),G505),2)</f>
      </c>
      <c r="R505" s="33">
        <f>ROUND(MIN(MAX(0,N('Your debts'!$E$12)),H505),2)</f>
      </c>
      <c r="S505" s="33">
        <f>ROUND(MIN(MAX(0,N('Your debts'!$E$13)),I505),2)</f>
      </c>
      <c r="T505" s="33">
        <f>ROUND(MIN(MAX(0,N('Your debts'!$E$14)),J505),2)</f>
      </c>
      <c r="U505" s="33">
        <f>ROUND(MIN(MAX(0,N('Your debts'!$E$15)),K505),2)</f>
      </c>
      <c r="V505" s="33">
        <f>ROUND(B505-L505,2)</f>
      </c>
      <c r="W505" s="33">
        <f>ROUND(C505-M505,2)</f>
      </c>
      <c r="X505" s="33">
        <f>ROUND(D505-N505,2)</f>
      </c>
      <c r="Y505" s="33">
        <f>ROUND(E505-O505,2)</f>
      </c>
      <c r="Z505" s="33">
        <f>ROUND(F505-P505,2)</f>
      </c>
      <c r="AA505" s="33">
        <f>ROUND(G505-Q505,2)</f>
      </c>
      <c r="AB505" s="33">
        <f>ROUND(H505-R505,2)</f>
      </c>
      <c r="AC505" s="33">
        <f>ROUND(I505-S505,2)</f>
      </c>
      <c r="AD505" s="33">
        <f>ROUND(J505-T505,2)</f>
      </c>
      <c r="AE505" s="33">
        <f>ROUND(K505-U505,2)</f>
      </c>
      <c r="AF505" s="33">
        <f>IF(V505&lt;=0,0,MAX(0,MIN(V505,ROUND($AZ505-SUMPRODUCT($V505:$AE505*($V505:$AE505&gt;0)*(($V505:$AE505&lt;V505)+($V505:$AE505=V505)*($V$3:$AE$3&gt;V$3)+($V505:$AE505=V505)*($V$3:$AE$3=V$3)*($V$2:$AE$2&lt;V$2))),2))))</f>
      </c>
      <c r="AG505" s="33">
        <f>IF(W505&lt;=0,0,MAX(0,MIN(W505,ROUND($AZ505-SUMPRODUCT($V505:$AE505*($V505:$AE505&gt;0)*(($V505:$AE505&lt;W505)+($V505:$AE505=W505)*($V$3:$AE$3&gt;W$3)+($V505:$AE505=W505)*($V$3:$AE$3=W$3)*($V$2:$AE$2&lt;W$2))),2))))</f>
      </c>
      <c r="AH505" s="33">
        <f>IF(X505&lt;=0,0,MAX(0,MIN(X505,ROUND($AZ505-SUMPRODUCT($V505:$AE505*($V505:$AE505&gt;0)*(($V505:$AE505&lt;X505)+($V505:$AE505=X505)*($V$3:$AE$3&gt;X$3)+($V505:$AE505=X505)*($V$3:$AE$3=X$3)*($V$2:$AE$2&lt;X$2))),2))))</f>
      </c>
      <c r="AI505" s="33">
        <f>IF(Y505&lt;=0,0,MAX(0,MIN(Y505,ROUND($AZ505-SUMPRODUCT($V505:$AE505*($V505:$AE505&gt;0)*(($V505:$AE505&lt;Y505)+($V505:$AE505=Y505)*($V$3:$AE$3&gt;Y$3)+($V505:$AE505=Y505)*($V$3:$AE$3=Y$3)*($V$2:$AE$2&lt;Y$2))),2))))</f>
      </c>
      <c r="AJ505" s="33">
        <f>IF(Z505&lt;=0,0,MAX(0,MIN(Z505,ROUND($AZ505-SUMPRODUCT($V505:$AE505*($V505:$AE505&gt;0)*(($V505:$AE505&lt;Z505)+($V505:$AE505=Z505)*($V$3:$AE$3&gt;Z$3)+($V505:$AE505=Z505)*($V$3:$AE$3=Z$3)*($V$2:$AE$2&lt;Z$2))),2))))</f>
      </c>
      <c r="AK505" s="33">
        <f>IF(AA505&lt;=0,0,MAX(0,MIN(AA505,ROUND($AZ505-SUMPRODUCT($V505:$AE505*($V505:$AE505&gt;0)*(($V505:$AE505&lt;AA505)+($V505:$AE505=AA505)*($V$3:$AE$3&gt;AA$3)+($V505:$AE505=AA505)*($V$3:$AE$3=AA$3)*($V$2:$AE$2&lt;AA$2))),2))))</f>
      </c>
      <c r="AL505" s="33">
        <f>IF(AB505&lt;=0,0,MAX(0,MIN(AB505,ROUND($AZ505-SUMPRODUCT($V505:$AE505*($V505:$AE505&gt;0)*(($V505:$AE505&lt;AB505)+($V505:$AE505=AB505)*($V$3:$AE$3&gt;AB$3)+($V505:$AE505=AB505)*($V$3:$AE$3=AB$3)*($V$2:$AE$2&lt;AB$2))),2))))</f>
      </c>
      <c r="AM505" s="33">
        <f>IF(AC505&lt;=0,0,MAX(0,MIN(AC505,ROUND($AZ505-SUMPRODUCT($V505:$AE505*($V505:$AE505&gt;0)*(($V505:$AE505&lt;AC505)+($V505:$AE505=AC505)*($V$3:$AE$3&gt;AC$3)+($V505:$AE505=AC505)*($V$3:$AE$3=AC$3)*($V$2:$AE$2&lt;AC$2))),2))))</f>
      </c>
      <c r="AN505" s="33">
        <f>IF(AD505&lt;=0,0,MAX(0,MIN(AD505,ROUND($AZ505-SUMPRODUCT($V505:$AE505*($V505:$AE505&gt;0)*(($V505:$AE505&lt;AD505)+($V505:$AE505=AD505)*($V$3:$AE$3&gt;AD$3)+($V505:$AE505=AD505)*($V$3:$AE$3=AD$3)*($V$2:$AE$2&lt;AD$2))),2))))</f>
      </c>
      <c r="AO505" s="33">
        <f>IF(AE505&lt;=0,0,MAX(0,MIN(AE505,ROUND($AZ505-SUMPRODUCT($V505:$AE505*($V505:$AE505&gt;0)*(($V505:$AE505&lt;AE505)+($V505:$AE505=AE505)*($V$3:$AE$3&gt;AE$3)+($V505:$AE505=AE505)*($V$3:$AE$3=AE$3)*($V$2:$AE$2&lt;AE$2))),2))))</f>
      </c>
      <c r="AP505" s="33">
        <f>ROUND(V505-AF505,2)</f>
      </c>
      <c r="AQ505" s="33">
        <f>ROUND(W505-AG505,2)</f>
      </c>
      <c r="AR505" s="33">
        <f>ROUND(X505-AH505,2)</f>
      </c>
      <c r="AS505" s="33">
        <f>ROUND(Y505-AI505,2)</f>
      </c>
      <c r="AT505" s="33">
        <f>ROUND(Z505-AJ505,2)</f>
      </c>
      <c r="AU505" s="33">
        <f>ROUND(AA505-AK505,2)</f>
      </c>
      <c r="AV505" s="33">
        <f>ROUND(AB505-AL505,2)</f>
      </c>
      <c r="AW505" s="33">
        <f>ROUND(AC505-AM505,2)</f>
      </c>
      <c r="AX505" s="33">
        <f>ROUND(AD505-AN505,2)</f>
      </c>
      <c r="AY505" s="33">
        <f>ROUND(AE505-AO505,2)</f>
      </c>
      <c r="AZ505" s="33">
        <f>ROUND(MAX(0,'Your debts'!$D$22-SUM($L505:$U505)),2)</f>
      </c>
      <c r="BA505" s="33">
        <f>ROUND(SUM($B505:$K505)-SUM($AP504:$AY504),2)</f>
      </c>
      <c r="BB505" s="33">
        <f>SUM($AP505:$AY505)</f>
      </c>
      <c r="BC505" s="33">
        <f>ROUND(SUM($L505:$U505)+SUM($AF505:$AO505),2)</f>
      </c>
    </row>
    <row r="506" spans="1:55" x14ac:dyDescent="0.25">
      <c r="A506">
        <v>499</v>
      </c>
      <c r="B506" s="33">
        <f>IF(AP505&lt;=0,0,ROUND(AP505+ROUND(AP505*V$3/12,2),2))</f>
      </c>
      <c r="C506" s="33">
        <f>IF(AQ505&lt;=0,0,ROUND(AQ505+ROUND(AQ505*W$3/12,2),2))</f>
      </c>
      <c r="D506" s="33">
        <f>IF(AR505&lt;=0,0,ROUND(AR505+ROUND(AR505*X$3/12,2),2))</f>
      </c>
      <c r="E506" s="33">
        <f>IF(AS505&lt;=0,0,ROUND(AS505+ROUND(AS505*Y$3/12,2),2))</f>
      </c>
      <c r="F506" s="33">
        <f>IF(AT505&lt;=0,0,ROUND(AT505+ROUND(AT505*Z$3/12,2),2))</f>
      </c>
      <c r="G506" s="33">
        <f>IF(AU505&lt;=0,0,ROUND(AU505+ROUND(AU505*AA$3/12,2),2))</f>
      </c>
      <c r="H506" s="33">
        <f>IF(AV505&lt;=0,0,ROUND(AV505+ROUND(AV505*AB$3/12,2),2))</f>
      </c>
      <c r="I506" s="33">
        <f>IF(AW505&lt;=0,0,ROUND(AW505+ROUND(AW505*AC$3/12,2),2))</f>
      </c>
      <c r="J506" s="33">
        <f>IF(AX505&lt;=0,0,ROUND(AX505+ROUND(AX505*AD$3/12,2),2))</f>
      </c>
      <c r="K506" s="33">
        <f>IF(AY505&lt;=0,0,ROUND(AY505+ROUND(AY505*AE$3/12,2),2))</f>
      </c>
      <c r="L506" s="33">
        <f>ROUND(MIN(MAX(0,N('Your debts'!$E$6)),B506),2)</f>
      </c>
      <c r="M506" s="33">
        <f>ROUND(MIN(MAX(0,N('Your debts'!$E$7)),C506),2)</f>
      </c>
      <c r="N506" s="33">
        <f>ROUND(MIN(MAX(0,N('Your debts'!$E$8)),D506),2)</f>
      </c>
      <c r="O506" s="33">
        <f>ROUND(MIN(MAX(0,N('Your debts'!$E$9)),E506),2)</f>
      </c>
      <c r="P506" s="33">
        <f>ROUND(MIN(MAX(0,N('Your debts'!$E$10)),F506),2)</f>
      </c>
      <c r="Q506" s="33">
        <f>ROUND(MIN(MAX(0,N('Your debts'!$E$11)),G506),2)</f>
      </c>
      <c r="R506" s="33">
        <f>ROUND(MIN(MAX(0,N('Your debts'!$E$12)),H506),2)</f>
      </c>
      <c r="S506" s="33">
        <f>ROUND(MIN(MAX(0,N('Your debts'!$E$13)),I506),2)</f>
      </c>
      <c r="T506" s="33">
        <f>ROUND(MIN(MAX(0,N('Your debts'!$E$14)),J506),2)</f>
      </c>
      <c r="U506" s="33">
        <f>ROUND(MIN(MAX(0,N('Your debts'!$E$15)),K506),2)</f>
      </c>
      <c r="V506" s="33">
        <f>ROUND(B506-L506,2)</f>
      </c>
      <c r="W506" s="33">
        <f>ROUND(C506-M506,2)</f>
      </c>
      <c r="X506" s="33">
        <f>ROUND(D506-N506,2)</f>
      </c>
      <c r="Y506" s="33">
        <f>ROUND(E506-O506,2)</f>
      </c>
      <c r="Z506" s="33">
        <f>ROUND(F506-P506,2)</f>
      </c>
      <c r="AA506" s="33">
        <f>ROUND(G506-Q506,2)</f>
      </c>
      <c r="AB506" s="33">
        <f>ROUND(H506-R506,2)</f>
      </c>
      <c r="AC506" s="33">
        <f>ROUND(I506-S506,2)</f>
      </c>
      <c r="AD506" s="33">
        <f>ROUND(J506-T506,2)</f>
      </c>
      <c r="AE506" s="33">
        <f>ROUND(K506-U506,2)</f>
      </c>
      <c r="AF506" s="33">
        <f>IF(V506&lt;=0,0,MAX(0,MIN(V506,ROUND($AZ506-SUMPRODUCT($V506:$AE506*($V506:$AE506&gt;0)*(($V506:$AE506&lt;V506)+($V506:$AE506=V506)*($V$3:$AE$3&gt;V$3)+($V506:$AE506=V506)*($V$3:$AE$3=V$3)*($V$2:$AE$2&lt;V$2))),2))))</f>
      </c>
      <c r="AG506" s="33">
        <f>IF(W506&lt;=0,0,MAX(0,MIN(W506,ROUND($AZ506-SUMPRODUCT($V506:$AE506*($V506:$AE506&gt;0)*(($V506:$AE506&lt;W506)+($V506:$AE506=W506)*($V$3:$AE$3&gt;W$3)+($V506:$AE506=W506)*($V$3:$AE$3=W$3)*($V$2:$AE$2&lt;W$2))),2))))</f>
      </c>
      <c r="AH506" s="33">
        <f>IF(X506&lt;=0,0,MAX(0,MIN(X506,ROUND($AZ506-SUMPRODUCT($V506:$AE506*($V506:$AE506&gt;0)*(($V506:$AE506&lt;X506)+($V506:$AE506=X506)*($V$3:$AE$3&gt;X$3)+($V506:$AE506=X506)*($V$3:$AE$3=X$3)*($V$2:$AE$2&lt;X$2))),2))))</f>
      </c>
      <c r="AI506" s="33">
        <f>IF(Y506&lt;=0,0,MAX(0,MIN(Y506,ROUND($AZ506-SUMPRODUCT($V506:$AE506*($V506:$AE506&gt;0)*(($V506:$AE506&lt;Y506)+($V506:$AE506=Y506)*($V$3:$AE$3&gt;Y$3)+($V506:$AE506=Y506)*($V$3:$AE$3=Y$3)*($V$2:$AE$2&lt;Y$2))),2))))</f>
      </c>
      <c r="AJ506" s="33">
        <f>IF(Z506&lt;=0,0,MAX(0,MIN(Z506,ROUND($AZ506-SUMPRODUCT($V506:$AE506*($V506:$AE506&gt;0)*(($V506:$AE506&lt;Z506)+($V506:$AE506=Z506)*($V$3:$AE$3&gt;Z$3)+($V506:$AE506=Z506)*($V$3:$AE$3=Z$3)*($V$2:$AE$2&lt;Z$2))),2))))</f>
      </c>
      <c r="AK506" s="33">
        <f>IF(AA506&lt;=0,0,MAX(0,MIN(AA506,ROUND($AZ506-SUMPRODUCT($V506:$AE506*($V506:$AE506&gt;0)*(($V506:$AE506&lt;AA506)+($V506:$AE506=AA506)*($V$3:$AE$3&gt;AA$3)+($V506:$AE506=AA506)*($V$3:$AE$3=AA$3)*($V$2:$AE$2&lt;AA$2))),2))))</f>
      </c>
      <c r="AL506" s="33">
        <f>IF(AB506&lt;=0,0,MAX(0,MIN(AB506,ROUND($AZ506-SUMPRODUCT($V506:$AE506*($V506:$AE506&gt;0)*(($V506:$AE506&lt;AB506)+($V506:$AE506=AB506)*($V$3:$AE$3&gt;AB$3)+($V506:$AE506=AB506)*($V$3:$AE$3=AB$3)*($V$2:$AE$2&lt;AB$2))),2))))</f>
      </c>
      <c r="AM506" s="33">
        <f>IF(AC506&lt;=0,0,MAX(0,MIN(AC506,ROUND($AZ506-SUMPRODUCT($V506:$AE506*($V506:$AE506&gt;0)*(($V506:$AE506&lt;AC506)+($V506:$AE506=AC506)*($V$3:$AE$3&gt;AC$3)+($V506:$AE506=AC506)*($V$3:$AE$3=AC$3)*($V$2:$AE$2&lt;AC$2))),2))))</f>
      </c>
      <c r="AN506" s="33">
        <f>IF(AD506&lt;=0,0,MAX(0,MIN(AD506,ROUND($AZ506-SUMPRODUCT($V506:$AE506*($V506:$AE506&gt;0)*(($V506:$AE506&lt;AD506)+($V506:$AE506=AD506)*($V$3:$AE$3&gt;AD$3)+($V506:$AE506=AD506)*($V$3:$AE$3=AD$3)*($V$2:$AE$2&lt;AD$2))),2))))</f>
      </c>
      <c r="AO506" s="33">
        <f>IF(AE506&lt;=0,0,MAX(0,MIN(AE506,ROUND($AZ506-SUMPRODUCT($V506:$AE506*($V506:$AE506&gt;0)*(($V506:$AE506&lt;AE506)+($V506:$AE506=AE506)*($V$3:$AE$3&gt;AE$3)+($V506:$AE506=AE506)*($V$3:$AE$3=AE$3)*($V$2:$AE$2&lt;AE$2))),2))))</f>
      </c>
      <c r="AP506" s="33">
        <f>ROUND(V506-AF506,2)</f>
      </c>
      <c r="AQ506" s="33">
        <f>ROUND(W506-AG506,2)</f>
      </c>
      <c r="AR506" s="33">
        <f>ROUND(X506-AH506,2)</f>
      </c>
      <c r="AS506" s="33">
        <f>ROUND(Y506-AI506,2)</f>
      </c>
      <c r="AT506" s="33">
        <f>ROUND(Z506-AJ506,2)</f>
      </c>
      <c r="AU506" s="33">
        <f>ROUND(AA506-AK506,2)</f>
      </c>
      <c r="AV506" s="33">
        <f>ROUND(AB506-AL506,2)</f>
      </c>
      <c r="AW506" s="33">
        <f>ROUND(AC506-AM506,2)</f>
      </c>
      <c r="AX506" s="33">
        <f>ROUND(AD506-AN506,2)</f>
      </c>
      <c r="AY506" s="33">
        <f>ROUND(AE506-AO506,2)</f>
      </c>
      <c r="AZ506" s="33">
        <f>ROUND(MAX(0,'Your debts'!$D$22-SUM($L506:$U506)),2)</f>
      </c>
      <c r="BA506" s="33">
        <f>ROUND(SUM($B506:$K506)-SUM($AP505:$AY505),2)</f>
      </c>
      <c r="BB506" s="33">
        <f>SUM($AP506:$AY506)</f>
      </c>
      <c r="BC506" s="33">
        <f>ROUND(SUM($L506:$U506)+SUM($AF506:$AO506),2)</f>
      </c>
    </row>
    <row r="507" spans="1:55" x14ac:dyDescent="0.25">
      <c r="A507">
        <v>500</v>
      </c>
      <c r="B507" s="33">
        <f>IF(AP506&lt;=0,0,ROUND(AP506+ROUND(AP506*V$3/12,2),2))</f>
      </c>
      <c r="C507" s="33">
        <f>IF(AQ506&lt;=0,0,ROUND(AQ506+ROUND(AQ506*W$3/12,2),2))</f>
      </c>
      <c r="D507" s="33">
        <f>IF(AR506&lt;=0,0,ROUND(AR506+ROUND(AR506*X$3/12,2),2))</f>
      </c>
      <c r="E507" s="33">
        <f>IF(AS506&lt;=0,0,ROUND(AS506+ROUND(AS506*Y$3/12,2),2))</f>
      </c>
      <c r="F507" s="33">
        <f>IF(AT506&lt;=0,0,ROUND(AT506+ROUND(AT506*Z$3/12,2),2))</f>
      </c>
      <c r="G507" s="33">
        <f>IF(AU506&lt;=0,0,ROUND(AU506+ROUND(AU506*AA$3/12,2),2))</f>
      </c>
      <c r="H507" s="33">
        <f>IF(AV506&lt;=0,0,ROUND(AV506+ROUND(AV506*AB$3/12,2),2))</f>
      </c>
      <c r="I507" s="33">
        <f>IF(AW506&lt;=0,0,ROUND(AW506+ROUND(AW506*AC$3/12,2),2))</f>
      </c>
      <c r="J507" s="33">
        <f>IF(AX506&lt;=0,0,ROUND(AX506+ROUND(AX506*AD$3/12,2),2))</f>
      </c>
      <c r="K507" s="33">
        <f>IF(AY506&lt;=0,0,ROUND(AY506+ROUND(AY506*AE$3/12,2),2))</f>
      </c>
      <c r="L507" s="33">
        <f>ROUND(MIN(MAX(0,N('Your debts'!$E$6)),B507),2)</f>
      </c>
      <c r="M507" s="33">
        <f>ROUND(MIN(MAX(0,N('Your debts'!$E$7)),C507),2)</f>
      </c>
      <c r="N507" s="33">
        <f>ROUND(MIN(MAX(0,N('Your debts'!$E$8)),D507),2)</f>
      </c>
      <c r="O507" s="33">
        <f>ROUND(MIN(MAX(0,N('Your debts'!$E$9)),E507),2)</f>
      </c>
      <c r="P507" s="33">
        <f>ROUND(MIN(MAX(0,N('Your debts'!$E$10)),F507),2)</f>
      </c>
      <c r="Q507" s="33">
        <f>ROUND(MIN(MAX(0,N('Your debts'!$E$11)),G507),2)</f>
      </c>
      <c r="R507" s="33">
        <f>ROUND(MIN(MAX(0,N('Your debts'!$E$12)),H507),2)</f>
      </c>
      <c r="S507" s="33">
        <f>ROUND(MIN(MAX(0,N('Your debts'!$E$13)),I507),2)</f>
      </c>
      <c r="T507" s="33">
        <f>ROUND(MIN(MAX(0,N('Your debts'!$E$14)),J507),2)</f>
      </c>
      <c r="U507" s="33">
        <f>ROUND(MIN(MAX(0,N('Your debts'!$E$15)),K507),2)</f>
      </c>
      <c r="V507" s="33">
        <f>ROUND(B507-L507,2)</f>
      </c>
      <c r="W507" s="33">
        <f>ROUND(C507-M507,2)</f>
      </c>
      <c r="X507" s="33">
        <f>ROUND(D507-N507,2)</f>
      </c>
      <c r="Y507" s="33">
        <f>ROUND(E507-O507,2)</f>
      </c>
      <c r="Z507" s="33">
        <f>ROUND(F507-P507,2)</f>
      </c>
      <c r="AA507" s="33">
        <f>ROUND(G507-Q507,2)</f>
      </c>
      <c r="AB507" s="33">
        <f>ROUND(H507-R507,2)</f>
      </c>
      <c r="AC507" s="33">
        <f>ROUND(I507-S507,2)</f>
      </c>
      <c r="AD507" s="33">
        <f>ROUND(J507-T507,2)</f>
      </c>
      <c r="AE507" s="33">
        <f>ROUND(K507-U507,2)</f>
      </c>
      <c r="AF507" s="33">
        <f>IF(V507&lt;=0,0,MAX(0,MIN(V507,ROUND($AZ507-SUMPRODUCT($V507:$AE507*($V507:$AE507&gt;0)*(($V507:$AE507&lt;V507)+($V507:$AE507=V507)*($V$3:$AE$3&gt;V$3)+($V507:$AE507=V507)*($V$3:$AE$3=V$3)*($V$2:$AE$2&lt;V$2))),2))))</f>
      </c>
      <c r="AG507" s="33">
        <f>IF(W507&lt;=0,0,MAX(0,MIN(W507,ROUND($AZ507-SUMPRODUCT($V507:$AE507*($V507:$AE507&gt;0)*(($V507:$AE507&lt;W507)+($V507:$AE507=W507)*($V$3:$AE$3&gt;W$3)+($V507:$AE507=W507)*($V$3:$AE$3=W$3)*($V$2:$AE$2&lt;W$2))),2))))</f>
      </c>
      <c r="AH507" s="33">
        <f>IF(X507&lt;=0,0,MAX(0,MIN(X507,ROUND($AZ507-SUMPRODUCT($V507:$AE507*($V507:$AE507&gt;0)*(($V507:$AE507&lt;X507)+($V507:$AE507=X507)*($V$3:$AE$3&gt;X$3)+($V507:$AE507=X507)*($V$3:$AE$3=X$3)*($V$2:$AE$2&lt;X$2))),2))))</f>
      </c>
      <c r="AI507" s="33">
        <f>IF(Y507&lt;=0,0,MAX(0,MIN(Y507,ROUND($AZ507-SUMPRODUCT($V507:$AE507*($V507:$AE507&gt;0)*(($V507:$AE507&lt;Y507)+($V507:$AE507=Y507)*($V$3:$AE$3&gt;Y$3)+($V507:$AE507=Y507)*($V$3:$AE$3=Y$3)*($V$2:$AE$2&lt;Y$2))),2))))</f>
      </c>
      <c r="AJ507" s="33">
        <f>IF(Z507&lt;=0,0,MAX(0,MIN(Z507,ROUND($AZ507-SUMPRODUCT($V507:$AE507*($V507:$AE507&gt;0)*(($V507:$AE507&lt;Z507)+($V507:$AE507=Z507)*($V$3:$AE$3&gt;Z$3)+($V507:$AE507=Z507)*($V$3:$AE$3=Z$3)*($V$2:$AE$2&lt;Z$2))),2))))</f>
      </c>
      <c r="AK507" s="33">
        <f>IF(AA507&lt;=0,0,MAX(0,MIN(AA507,ROUND($AZ507-SUMPRODUCT($V507:$AE507*($V507:$AE507&gt;0)*(($V507:$AE507&lt;AA507)+($V507:$AE507=AA507)*($V$3:$AE$3&gt;AA$3)+($V507:$AE507=AA507)*($V$3:$AE$3=AA$3)*($V$2:$AE$2&lt;AA$2))),2))))</f>
      </c>
      <c r="AL507" s="33">
        <f>IF(AB507&lt;=0,0,MAX(0,MIN(AB507,ROUND($AZ507-SUMPRODUCT($V507:$AE507*($V507:$AE507&gt;0)*(($V507:$AE507&lt;AB507)+($V507:$AE507=AB507)*($V$3:$AE$3&gt;AB$3)+($V507:$AE507=AB507)*($V$3:$AE$3=AB$3)*($V$2:$AE$2&lt;AB$2))),2))))</f>
      </c>
      <c r="AM507" s="33">
        <f>IF(AC507&lt;=0,0,MAX(0,MIN(AC507,ROUND($AZ507-SUMPRODUCT($V507:$AE507*($V507:$AE507&gt;0)*(($V507:$AE507&lt;AC507)+($V507:$AE507=AC507)*($V$3:$AE$3&gt;AC$3)+($V507:$AE507=AC507)*($V$3:$AE$3=AC$3)*($V$2:$AE$2&lt;AC$2))),2))))</f>
      </c>
      <c r="AN507" s="33">
        <f>IF(AD507&lt;=0,0,MAX(0,MIN(AD507,ROUND($AZ507-SUMPRODUCT($V507:$AE507*($V507:$AE507&gt;0)*(($V507:$AE507&lt;AD507)+($V507:$AE507=AD507)*($V$3:$AE$3&gt;AD$3)+($V507:$AE507=AD507)*($V$3:$AE$3=AD$3)*($V$2:$AE$2&lt;AD$2))),2))))</f>
      </c>
      <c r="AO507" s="33">
        <f>IF(AE507&lt;=0,0,MAX(0,MIN(AE507,ROUND($AZ507-SUMPRODUCT($V507:$AE507*($V507:$AE507&gt;0)*(($V507:$AE507&lt;AE507)+($V507:$AE507=AE507)*($V$3:$AE$3&gt;AE$3)+($V507:$AE507=AE507)*($V$3:$AE$3=AE$3)*($V$2:$AE$2&lt;AE$2))),2))))</f>
      </c>
      <c r="AP507" s="33">
        <f>ROUND(V507-AF507,2)</f>
      </c>
      <c r="AQ507" s="33">
        <f>ROUND(W507-AG507,2)</f>
      </c>
      <c r="AR507" s="33">
        <f>ROUND(X507-AH507,2)</f>
      </c>
      <c r="AS507" s="33">
        <f>ROUND(Y507-AI507,2)</f>
      </c>
      <c r="AT507" s="33">
        <f>ROUND(Z507-AJ507,2)</f>
      </c>
      <c r="AU507" s="33">
        <f>ROUND(AA507-AK507,2)</f>
      </c>
      <c r="AV507" s="33">
        <f>ROUND(AB507-AL507,2)</f>
      </c>
      <c r="AW507" s="33">
        <f>ROUND(AC507-AM507,2)</f>
      </c>
      <c r="AX507" s="33">
        <f>ROUND(AD507-AN507,2)</f>
      </c>
      <c r="AY507" s="33">
        <f>ROUND(AE507-AO507,2)</f>
      </c>
      <c r="AZ507" s="33">
        <f>ROUND(MAX(0,'Your debts'!$D$22-SUM($L507:$U507)),2)</f>
      </c>
      <c r="BA507" s="33">
        <f>ROUND(SUM($B507:$K507)-SUM($AP506:$AY506),2)</f>
      </c>
      <c r="BB507" s="33">
        <f>SUM($AP507:$AY507)</f>
      </c>
      <c r="BC507" s="33">
        <f>ROUND(SUM($L507:$U507)+SUM($AF507:$AO507),2)</f>
      </c>
    </row>
    <row r="508" spans="1:55" x14ac:dyDescent="0.25">
      <c r="A508">
        <v>501</v>
      </c>
      <c r="B508" s="33">
        <f>IF(AP507&lt;=0,0,ROUND(AP507+ROUND(AP507*V$3/12,2),2))</f>
      </c>
      <c r="C508" s="33">
        <f>IF(AQ507&lt;=0,0,ROUND(AQ507+ROUND(AQ507*W$3/12,2),2))</f>
      </c>
      <c r="D508" s="33">
        <f>IF(AR507&lt;=0,0,ROUND(AR507+ROUND(AR507*X$3/12,2),2))</f>
      </c>
      <c r="E508" s="33">
        <f>IF(AS507&lt;=0,0,ROUND(AS507+ROUND(AS507*Y$3/12,2),2))</f>
      </c>
      <c r="F508" s="33">
        <f>IF(AT507&lt;=0,0,ROUND(AT507+ROUND(AT507*Z$3/12,2),2))</f>
      </c>
      <c r="G508" s="33">
        <f>IF(AU507&lt;=0,0,ROUND(AU507+ROUND(AU507*AA$3/12,2),2))</f>
      </c>
      <c r="H508" s="33">
        <f>IF(AV507&lt;=0,0,ROUND(AV507+ROUND(AV507*AB$3/12,2),2))</f>
      </c>
      <c r="I508" s="33">
        <f>IF(AW507&lt;=0,0,ROUND(AW507+ROUND(AW507*AC$3/12,2),2))</f>
      </c>
      <c r="J508" s="33">
        <f>IF(AX507&lt;=0,0,ROUND(AX507+ROUND(AX507*AD$3/12,2),2))</f>
      </c>
      <c r="K508" s="33">
        <f>IF(AY507&lt;=0,0,ROUND(AY507+ROUND(AY507*AE$3/12,2),2))</f>
      </c>
      <c r="L508" s="33">
        <f>ROUND(MIN(MAX(0,N('Your debts'!$E$6)),B508),2)</f>
      </c>
      <c r="M508" s="33">
        <f>ROUND(MIN(MAX(0,N('Your debts'!$E$7)),C508),2)</f>
      </c>
      <c r="N508" s="33">
        <f>ROUND(MIN(MAX(0,N('Your debts'!$E$8)),D508),2)</f>
      </c>
      <c r="O508" s="33">
        <f>ROUND(MIN(MAX(0,N('Your debts'!$E$9)),E508),2)</f>
      </c>
      <c r="P508" s="33">
        <f>ROUND(MIN(MAX(0,N('Your debts'!$E$10)),F508),2)</f>
      </c>
      <c r="Q508" s="33">
        <f>ROUND(MIN(MAX(0,N('Your debts'!$E$11)),G508),2)</f>
      </c>
      <c r="R508" s="33">
        <f>ROUND(MIN(MAX(0,N('Your debts'!$E$12)),H508),2)</f>
      </c>
      <c r="S508" s="33">
        <f>ROUND(MIN(MAX(0,N('Your debts'!$E$13)),I508),2)</f>
      </c>
      <c r="T508" s="33">
        <f>ROUND(MIN(MAX(0,N('Your debts'!$E$14)),J508),2)</f>
      </c>
      <c r="U508" s="33">
        <f>ROUND(MIN(MAX(0,N('Your debts'!$E$15)),K508),2)</f>
      </c>
      <c r="V508" s="33">
        <f>ROUND(B508-L508,2)</f>
      </c>
      <c r="W508" s="33">
        <f>ROUND(C508-M508,2)</f>
      </c>
      <c r="X508" s="33">
        <f>ROUND(D508-N508,2)</f>
      </c>
      <c r="Y508" s="33">
        <f>ROUND(E508-O508,2)</f>
      </c>
      <c r="Z508" s="33">
        <f>ROUND(F508-P508,2)</f>
      </c>
      <c r="AA508" s="33">
        <f>ROUND(G508-Q508,2)</f>
      </c>
      <c r="AB508" s="33">
        <f>ROUND(H508-R508,2)</f>
      </c>
      <c r="AC508" s="33">
        <f>ROUND(I508-S508,2)</f>
      </c>
      <c r="AD508" s="33">
        <f>ROUND(J508-T508,2)</f>
      </c>
      <c r="AE508" s="33">
        <f>ROUND(K508-U508,2)</f>
      </c>
      <c r="AF508" s="33">
        <f>IF(V508&lt;=0,0,MAX(0,MIN(V508,ROUND($AZ508-SUMPRODUCT($V508:$AE508*($V508:$AE508&gt;0)*(($V508:$AE508&lt;V508)+($V508:$AE508=V508)*($V$3:$AE$3&gt;V$3)+($V508:$AE508=V508)*($V$3:$AE$3=V$3)*($V$2:$AE$2&lt;V$2))),2))))</f>
      </c>
      <c r="AG508" s="33">
        <f>IF(W508&lt;=0,0,MAX(0,MIN(W508,ROUND($AZ508-SUMPRODUCT($V508:$AE508*($V508:$AE508&gt;0)*(($V508:$AE508&lt;W508)+($V508:$AE508=W508)*($V$3:$AE$3&gt;W$3)+($V508:$AE508=W508)*($V$3:$AE$3=W$3)*($V$2:$AE$2&lt;W$2))),2))))</f>
      </c>
      <c r="AH508" s="33">
        <f>IF(X508&lt;=0,0,MAX(0,MIN(X508,ROUND($AZ508-SUMPRODUCT($V508:$AE508*($V508:$AE508&gt;0)*(($V508:$AE508&lt;X508)+($V508:$AE508=X508)*($V$3:$AE$3&gt;X$3)+($V508:$AE508=X508)*($V$3:$AE$3=X$3)*($V$2:$AE$2&lt;X$2))),2))))</f>
      </c>
      <c r="AI508" s="33">
        <f>IF(Y508&lt;=0,0,MAX(0,MIN(Y508,ROUND($AZ508-SUMPRODUCT($V508:$AE508*($V508:$AE508&gt;0)*(($V508:$AE508&lt;Y508)+($V508:$AE508=Y508)*($V$3:$AE$3&gt;Y$3)+($V508:$AE508=Y508)*($V$3:$AE$3=Y$3)*($V$2:$AE$2&lt;Y$2))),2))))</f>
      </c>
      <c r="AJ508" s="33">
        <f>IF(Z508&lt;=0,0,MAX(0,MIN(Z508,ROUND($AZ508-SUMPRODUCT($V508:$AE508*($V508:$AE508&gt;0)*(($V508:$AE508&lt;Z508)+($V508:$AE508=Z508)*($V$3:$AE$3&gt;Z$3)+($V508:$AE508=Z508)*($V$3:$AE$3=Z$3)*($V$2:$AE$2&lt;Z$2))),2))))</f>
      </c>
      <c r="AK508" s="33">
        <f>IF(AA508&lt;=0,0,MAX(0,MIN(AA508,ROUND($AZ508-SUMPRODUCT($V508:$AE508*($V508:$AE508&gt;0)*(($V508:$AE508&lt;AA508)+($V508:$AE508=AA508)*($V$3:$AE$3&gt;AA$3)+($V508:$AE508=AA508)*($V$3:$AE$3=AA$3)*($V$2:$AE$2&lt;AA$2))),2))))</f>
      </c>
      <c r="AL508" s="33">
        <f>IF(AB508&lt;=0,0,MAX(0,MIN(AB508,ROUND($AZ508-SUMPRODUCT($V508:$AE508*($V508:$AE508&gt;0)*(($V508:$AE508&lt;AB508)+($V508:$AE508=AB508)*($V$3:$AE$3&gt;AB$3)+($V508:$AE508=AB508)*($V$3:$AE$3=AB$3)*($V$2:$AE$2&lt;AB$2))),2))))</f>
      </c>
      <c r="AM508" s="33">
        <f>IF(AC508&lt;=0,0,MAX(0,MIN(AC508,ROUND($AZ508-SUMPRODUCT($V508:$AE508*($V508:$AE508&gt;0)*(($V508:$AE508&lt;AC508)+($V508:$AE508=AC508)*($V$3:$AE$3&gt;AC$3)+($V508:$AE508=AC508)*($V$3:$AE$3=AC$3)*($V$2:$AE$2&lt;AC$2))),2))))</f>
      </c>
      <c r="AN508" s="33">
        <f>IF(AD508&lt;=0,0,MAX(0,MIN(AD508,ROUND($AZ508-SUMPRODUCT($V508:$AE508*($V508:$AE508&gt;0)*(($V508:$AE508&lt;AD508)+($V508:$AE508=AD508)*($V$3:$AE$3&gt;AD$3)+($V508:$AE508=AD508)*($V$3:$AE$3=AD$3)*($V$2:$AE$2&lt;AD$2))),2))))</f>
      </c>
      <c r="AO508" s="33">
        <f>IF(AE508&lt;=0,0,MAX(0,MIN(AE508,ROUND($AZ508-SUMPRODUCT($V508:$AE508*($V508:$AE508&gt;0)*(($V508:$AE508&lt;AE508)+($V508:$AE508=AE508)*($V$3:$AE$3&gt;AE$3)+($V508:$AE508=AE508)*($V$3:$AE$3=AE$3)*($V$2:$AE$2&lt;AE$2))),2))))</f>
      </c>
      <c r="AP508" s="33">
        <f>ROUND(V508-AF508,2)</f>
      </c>
      <c r="AQ508" s="33">
        <f>ROUND(W508-AG508,2)</f>
      </c>
      <c r="AR508" s="33">
        <f>ROUND(X508-AH508,2)</f>
      </c>
      <c r="AS508" s="33">
        <f>ROUND(Y508-AI508,2)</f>
      </c>
      <c r="AT508" s="33">
        <f>ROUND(Z508-AJ508,2)</f>
      </c>
      <c r="AU508" s="33">
        <f>ROUND(AA508-AK508,2)</f>
      </c>
      <c r="AV508" s="33">
        <f>ROUND(AB508-AL508,2)</f>
      </c>
      <c r="AW508" s="33">
        <f>ROUND(AC508-AM508,2)</f>
      </c>
      <c r="AX508" s="33">
        <f>ROUND(AD508-AN508,2)</f>
      </c>
      <c r="AY508" s="33">
        <f>ROUND(AE508-AO508,2)</f>
      </c>
      <c r="AZ508" s="33">
        <f>ROUND(MAX(0,'Your debts'!$D$22-SUM($L508:$U508)),2)</f>
      </c>
      <c r="BA508" s="33">
        <f>ROUND(SUM($B508:$K508)-SUM($AP507:$AY507),2)</f>
      </c>
      <c r="BB508" s="33">
        <f>SUM($AP508:$AY508)</f>
      </c>
      <c r="BC508" s="33">
        <f>ROUND(SUM($L508:$U508)+SUM($AF508:$AO508),2)</f>
      </c>
    </row>
    <row r="509" spans="1:55" x14ac:dyDescent="0.25">
      <c r="A509">
        <v>502</v>
      </c>
      <c r="B509" s="33">
        <f>IF(AP508&lt;=0,0,ROUND(AP508+ROUND(AP508*V$3/12,2),2))</f>
      </c>
      <c r="C509" s="33">
        <f>IF(AQ508&lt;=0,0,ROUND(AQ508+ROUND(AQ508*W$3/12,2),2))</f>
      </c>
      <c r="D509" s="33">
        <f>IF(AR508&lt;=0,0,ROUND(AR508+ROUND(AR508*X$3/12,2),2))</f>
      </c>
      <c r="E509" s="33">
        <f>IF(AS508&lt;=0,0,ROUND(AS508+ROUND(AS508*Y$3/12,2),2))</f>
      </c>
      <c r="F509" s="33">
        <f>IF(AT508&lt;=0,0,ROUND(AT508+ROUND(AT508*Z$3/12,2),2))</f>
      </c>
      <c r="G509" s="33">
        <f>IF(AU508&lt;=0,0,ROUND(AU508+ROUND(AU508*AA$3/12,2),2))</f>
      </c>
      <c r="H509" s="33">
        <f>IF(AV508&lt;=0,0,ROUND(AV508+ROUND(AV508*AB$3/12,2),2))</f>
      </c>
      <c r="I509" s="33">
        <f>IF(AW508&lt;=0,0,ROUND(AW508+ROUND(AW508*AC$3/12,2),2))</f>
      </c>
      <c r="J509" s="33">
        <f>IF(AX508&lt;=0,0,ROUND(AX508+ROUND(AX508*AD$3/12,2),2))</f>
      </c>
      <c r="K509" s="33">
        <f>IF(AY508&lt;=0,0,ROUND(AY508+ROUND(AY508*AE$3/12,2),2))</f>
      </c>
      <c r="L509" s="33">
        <f>ROUND(MIN(MAX(0,N('Your debts'!$E$6)),B509),2)</f>
      </c>
      <c r="M509" s="33">
        <f>ROUND(MIN(MAX(0,N('Your debts'!$E$7)),C509),2)</f>
      </c>
      <c r="N509" s="33">
        <f>ROUND(MIN(MAX(0,N('Your debts'!$E$8)),D509),2)</f>
      </c>
      <c r="O509" s="33">
        <f>ROUND(MIN(MAX(0,N('Your debts'!$E$9)),E509),2)</f>
      </c>
      <c r="P509" s="33">
        <f>ROUND(MIN(MAX(0,N('Your debts'!$E$10)),F509),2)</f>
      </c>
      <c r="Q509" s="33">
        <f>ROUND(MIN(MAX(0,N('Your debts'!$E$11)),G509),2)</f>
      </c>
      <c r="R509" s="33">
        <f>ROUND(MIN(MAX(0,N('Your debts'!$E$12)),H509),2)</f>
      </c>
      <c r="S509" s="33">
        <f>ROUND(MIN(MAX(0,N('Your debts'!$E$13)),I509),2)</f>
      </c>
      <c r="T509" s="33">
        <f>ROUND(MIN(MAX(0,N('Your debts'!$E$14)),J509),2)</f>
      </c>
      <c r="U509" s="33">
        <f>ROUND(MIN(MAX(0,N('Your debts'!$E$15)),K509),2)</f>
      </c>
      <c r="V509" s="33">
        <f>ROUND(B509-L509,2)</f>
      </c>
      <c r="W509" s="33">
        <f>ROUND(C509-M509,2)</f>
      </c>
      <c r="X509" s="33">
        <f>ROUND(D509-N509,2)</f>
      </c>
      <c r="Y509" s="33">
        <f>ROUND(E509-O509,2)</f>
      </c>
      <c r="Z509" s="33">
        <f>ROUND(F509-P509,2)</f>
      </c>
      <c r="AA509" s="33">
        <f>ROUND(G509-Q509,2)</f>
      </c>
      <c r="AB509" s="33">
        <f>ROUND(H509-R509,2)</f>
      </c>
      <c r="AC509" s="33">
        <f>ROUND(I509-S509,2)</f>
      </c>
      <c r="AD509" s="33">
        <f>ROUND(J509-T509,2)</f>
      </c>
      <c r="AE509" s="33">
        <f>ROUND(K509-U509,2)</f>
      </c>
      <c r="AF509" s="33">
        <f>IF(V509&lt;=0,0,MAX(0,MIN(V509,ROUND($AZ509-SUMPRODUCT($V509:$AE509*($V509:$AE509&gt;0)*(($V509:$AE509&lt;V509)+($V509:$AE509=V509)*($V$3:$AE$3&gt;V$3)+($V509:$AE509=V509)*($V$3:$AE$3=V$3)*($V$2:$AE$2&lt;V$2))),2))))</f>
      </c>
      <c r="AG509" s="33">
        <f>IF(W509&lt;=0,0,MAX(0,MIN(W509,ROUND($AZ509-SUMPRODUCT($V509:$AE509*($V509:$AE509&gt;0)*(($V509:$AE509&lt;W509)+($V509:$AE509=W509)*($V$3:$AE$3&gt;W$3)+($V509:$AE509=W509)*($V$3:$AE$3=W$3)*($V$2:$AE$2&lt;W$2))),2))))</f>
      </c>
      <c r="AH509" s="33">
        <f>IF(X509&lt;=0,0,MAX(0,MIN(X509,ROUND($AZ509-SUMPRODUCT($V509:$AE509*($V509:$AE509&gt;0)*(($V509:$AE509&lt;X509)+($V509:$AE509=X509)*($V$3:$AE$3&gt;X$3)+($V509:$AE509=X509)*($V$3:$AE$3=X$3)*($V$2:$AE$2&lt;X$2))),2))))</f>
      </c>
      <c r="AI509" s="33">
        <f>IF(Y509&lt;=0,0,MAX(0,MIN(Y509,ROUND($AZ509-SUMPRODUCT($V509:$AE509*($V509:$AE509&gt;0)*(($V509:$AE509&lt;Y509)+($V509:$AE509=Y509)*($V$3:$AE$3&gt;Y$3)+($V509:$AE509=Y509)*($V$3:$AE$3=Y$3)*($V$2:$AE$2&lt;Y$2))),2))))</f>
      </c>
      <c r="AJ509" s="33">
        <f>IF(Z509&lt;=0,0,MAX(0,MIN(Z509,ROUND($AZ509-SUMPRODUCT($V509:$AE509*($V509:$AE509&gt;0)*(($V509:$AE509&lt;Z509)+($V509:$AE509=Z509)*($V$3:$AE$3&gt;Z$3)+($V509:$AE509=Z509)*($V$3:$AE$3=Z$3)*($V$2:$AE$2&lt;Z$2))),2))))</f>
      </c>
      <c r="AK509" s="33">
        <f>IF(AA509&lt;=0,0,MAX(0,MIN(AA509,ROUND($AZ509-SUMPRODUCT($V509:$AE509*($V509:$AE509&gt;0)*(($V509:$AE509&lt;AA509)+($V509:$AE509=AA509)*($V$3:$AE$3&gt;AA$3)+($V509:$AE509=AA509)*($V$3:$AE$3=AA$3)*($V$2:$AE$2&lt;AA$2))),2))))</f>
      </c>
      <c r="AL509" s="33">
        <f>IF(AB509&lt;=0,0,MAX(0,MIN(AB509,ROUND($AZ509-SUMPRODUCT($V509:$AE509*($V509:$AE509&gt;0)*(($V509:$AE509&lt;AB509)+($V509:$AE509=AB509)*($V$3:$AE$3&gt;AB$3)+($V509:$AE509=AB509)*($V$3:$AE$3=AB$3)*($V$2:$AE$2&lt;AB$2))),2))))</f>
      </c>
      <c r="AM509" s="33">
        <f>IF(AC509&lt;=0,0,MAX(0,MIN(AC509,ROUND($AZ509-SUMPRODUCT($V509:$AE509*($V509:$AE509&gt;0)*(($V509:$AE509&lt;AC509)+($V509:$AE509=AC509)*($V$3:$AE$3&gt;AC$3)+($V509:$AE509=AC509)*($V$3:$AE$3=AC$3)*($V$2:$AE$2&lt;AC$2))),2))))</f>
      </c>
      <c r="AN509" s="33">
        <f>IF(AD509&lt;=0,0,MAX(0,MIN(AD509,ROUND($AZ509-SUMPRODUCT($V509:$AE509*($V509:$AE509&gt;0)*(($V509:$AE509&lt;AD509)+($V509:$AE509=AD509)*($V$3:$AE$3&gt;AD$3)+($V509:$AE509=AD509)*($V$3:$AE$3=AD$3)*($V$2:$AE$2&lt;AD$2))),2))))</f>
      </c>
      <c r="AO509" s="33">
        <f>IF(AE509&lt;=0,0,MAX(0,MIN(AE509,ROUND($AZ509-SUMPRODUCT($V509:$AE509*($V509:$AE509&gt;0)*(($V509:$AE509&lt;AE509)+($V509:$AE509=AE509)*($V$3:$AE$3&gt;AE$3)+($V509:$AE509=AE509)*($V$3:$AE$3=AE$3)*($V$2:$AE$2&lt;AE$2))),2))))</f>
      </c>
      <c r="AP509" s="33">
        <f>ROUND(V509-AF509,2)</f>
      </c>
      <c r="AQ509" s="33">
        <f>ROUND(W509-AG509,2)</f>
      </c>
      <c r="AR509" s="33">
        <f>ROUND(X509-AH509,2)</f>
      </c>
      <c r="AS509" s="33">
        <f>ROUND(Y509-AI509,2)</f>
      </c>
      <c r="AT509" s="33">
        <f>ROUND(Z509-AJ509,2)</f>
      </c>
      <c r="AU509" s="33">
        <f>ROUND(AA509-AK509,2)</f>
      </c>
      <c r="AV509" s="33">
        <f>ROUND(AB509-AL509,2)</f>
      </c>
      <c r="AW509" s="33">
        <f>ROUND(AC509-AM509,2)</f>
      </c>
      <c r="AX509" s="33">
        <f>ROUND(AD509-AN509,2)</f>
      </c>
      <c r="AY509" s="33">
        <f>ROUND(AE509-AO509,2)</f>
      </c>
      <c r="AZ509" s="33">
        <f>ROUND(MAX(0,'Your debts'!$D$22-SUM($L509:$U509)),2)</f>
      </c>
      <c r="BA509" s="33">
        <f>ROUND(SUM($B509:$K509)-SUM($AP508:$AY508),2)</f>
      </c>
      <c r="BB509" s="33">
        <f>SUM($AP509:$AY509)</f>
      </c>
      <c r="BC509" s="33">
        <f>ROUND(SUM($L509:$U509)+SUM($AF509:$AO509),2)</f>
      </c>
    </row>
    <row r="510" spans="1:55" x14ac:dyDescent="0.25">
      <c r="A510">
        <v>503</v>
      </c>
      <c r="B510" s="33">
        <f>IF(AP509&lt;=0,0,ROUND(AP509+ROUND(AP509*V$3/12,2),2))</f>
      </c>
      <c r="C510" s="33">
        <f>IF(AQ509&lt;=0,0,ROUND(AQ509+ROUND(AQ509*W$3/12,2),2))</f>
      </c>
      <c r="D510" s="33">
        <f>IF(AR509&lt;=0,0,ROUND(AR509+ROUND(AR509*X$3/12,2),2))</f>
      </c>
      <c r="E510" s="33">
        <f>IF(AS509&lt;=0,0,ROUND(AS509+ROUND(AS509*Y$3/12,2),2))</f>
      </c>
      <c r="F510" s="33">
        <f>IF(AT509&lt;=0,0,ROUND(AT509+ROUND(AT509*Z$3/12,2),2))</f>
      </c>
      <c r="G510" s="33">
        <f>IF(AU509&lt;=0,0,ROUND(AU509+ROUND(AU509*AA$3/12,2),2))</f>
      </c>
      <c r="H510" s="33">
        <f>IF(AV509&lt;=0,0,ROUND(AV509+ROUND(AV509*AB$3/12,2),2))</f>
      </c>
      <c r="I510" s="33">
        <f>IF(AW509&lt;=0,0,ROUND(AW509+ROUND(AW509*AC$3/12,2),2))</f>
      </c>
      <c r="J510" s="33">
        <f>IF(AX509&lt;=0,0,ROUND(AX509+ROUND(AX509*AD$3/12,2),2))</f>
      </c>
      <c r="K510" s="33">
        <f>IF(AY509&lt;=0,0,ROUND(AY509+ROUND(AY509*AE$3/12,2),2))</f>
      </c>
      <c r="L510" s="33">
        <f>ROUND(MIN(MAX(0,N('Your debts'!$E$6)),B510),2)</f>
      </c>
      <c r="M510" s="33">
        <f>ROUND(MIN(MAX(0,N('Your debts'!$E$7)),C510),2)</f>
      </c>
      <c r="N510" s="33">
        <f>ROUND(MIN(MAX(0,N('Your debts'!$E$8)),D510),2)</f>
      </c>
      <c r="O510" s="33">
        <f>ROUND(MIN(MAX(0,N('Your debts'!$E$9)),E510),2)</f>
      </c>
      <c r="P510" s="33">
        <f>ROUND(MIN(MAX(0,N('Your debts'!$E$10)),F510),2)</f>
      </c>
      <c r="Q510" s="33">
        <f>ROUND(MIN(MAX(0,N('Your debts'!$E$11)),G510),2)</f>
      </c>
      <c r="R510" s="33">
        <f>ROUND(MIN(MAX(0,N('Your debts'!$E$12)),H510),2)</f>
      </c>
      <c r="S510" s="33">
        <f>ROUND(MIN(MAX(0,N('Your debts'!$E$13)),I510),2)</f>
      </c>
      <c r="T510" s="33">
        <f>ROUND(MIN(MAX(0,N('Your debts'!$E$14)),J510),2)</f>
      </c>
      <c r="U510" s="33">
        <f>ROUND(MIN(MAX(0,N('Your debts'!$E$15)),K510),2)</f>
      </c>
      <c r="V510" s="33">
        <f>ROUND(B510-L510,2)</f>
      </c>
      <c r="W510" s="33">
        <f>ROUND(C510-M510,2)</f>
      </c>
      <c r="X510" s="33">
        <f>ROUND(D510-N510,2)</f>
      </c>
      <c r="Y510" s="33">
        <f>ROUND(E510-O510,2)</f>
      </c>
      <c r="Z510" s="33">
        <f>ROUND(F510-P510,2)</f>
      </c>
      <c r="AA510" s="33">
        <f>ROUND(G510-Q510,2)</f>
      </c>
      <c r="AB510" s="33">
        <f>ROUND(H510-R510,2)</f>
      </c>
      <c r="AC510" s="33">
        <f>ROUND(I510-S510,2)</f>
      </c>
      <c r="AD510" s="33">
        <f>ROUND(J510-T510,2)</f>
      </c>
      <c r="AE510" s="33">
        <f>ROUND(K510-U510,2)</f>
      </c>
      <c r="AF510" s="33">
        <f>IF(V510&lt;=0,0,MAX(0,MIN(V510,ROUND($AZ510-SUMPRODUCT($V510:$AE510*($V510:$AE510&gt;0)*(($V510:$AE510&lt;V510)+($V510:$AE510=V510)*($V$3:$AE$3&gt;V$3)+($V510:$AE510=V510)*($V$3:$AE$3=V$3)*($V$2:$AE$2&lt;V$2))),2))))</f>
      </c>
      <c r="AG510" s="33">
        <f>IF(W510&lt;=0,0,MAX(0,MIN(W510,ROUND($AZ510-SUMPRODUCT($V510:$AE510*($V510:$AE510&gt;0)*(($V510:$AE510&lt;W510)+($V510:$AE510=W510)*($V$3:$AE$3&gt;W$3)+($V510:$AE510=W510)*($V$3:$AE$3=W$3)*($V$2:$AE$2&lt;W$2))),2))))</f>
      </c>
      <c r="AH510" s="33">
        <f>IF(X510&lt;=0,0,MAX(0,MIN(X510,ROUND($AZ510-SUMPRODUCT($V510:$AE510*($V510:$AE510&gt;0)*(($V510:$AE510&lt;X510)+($V510:$AE510=X510)*($V$3:$AE$3&gt;X$3)+($V510:$AE510=X510)*($V$3:$AE$3=X$3)*($V$2:$AE$2&lt;X$2))),2))))</f>
      </c>
      <c r="AI510" s="33">
        <f>IF(Y510&lt;=0,0,MAX(0,MIN(Y510,ROUND($AZ510-SUMPRODUCT($V510:$AE510*($V510:$AE510&gt;0)*(($V510:$AE510&lt;Y510)+($V510:$AE510=Y510)*($V$3:$AE$3&gt;Y$3)+($V510:$AE510=Y510)*($V$3:$AE$3=Y$3)*($V$2:$AE$2&lt;Y$2))),2))))</f>
      </c>
      <c r="AJ510" s="33">
        <f>IF(Z510&lt;=0,0,MAX(0,MIN(Z510,ROUND($AZ510-SUMPRODUCT($V510:$AE510*($V510:$AE510&gt;0)*(($V510:$AE510&lt;Z510)+($V510:$AE510=Z510)*($V$3:$AE$3&gt;Z$3)+($V510:$AE510=Z510)*($V$3:$AE$3=Z$3)*($V$2:$AE$2&lt;Z$2))),2))))</f>
      </c>
      <c r="AK510" s="33">
        <f>IF(AA510&lt;=0,0,MAX(0,MIN(AA510,ROUND($AZ510-SUMPRODUCT($V510:$AE510*($V510:$AE510&gt;0)*(($V510:$AE510&lt;AA510)+($V510:$AE510=AA510)*($V$3:$AE$3&gt;AA$3)+($V510:$AE510=AA510)*($V$3:$AE$3=AA$3)*($V$2:$AE$2&lt;AA$2))),2))))</f>
      </c>
      <c r="AL510" s="33">
        <f>IF(AB510&lt;=0,0,MAX(0,MIN(AB510,ROUND($AZ510-SUMPRODUCT($V510:$AE510*($V510:$AE510&gt;0)*(($V510:$AE510&lt;AB510)+($V510:$AE510=AB510)*($V$3:$AE$3&gt;AB$3)+($V510:$AE510=AB510)*($V$3:$AE$3=AB$3)*($V$2:$AE$2&lt;AB$2))),2))))</f>
      </c>
      <c r="AM510" s="33">
        <f>IF(AC510&lt;=0,0,MAX(0,MIN(AC510,ROUND($AZ510-SUMPRODUCT($V510:$AE510*($V510:$AE510&gt;0)*(($V510:$AE510&lt;AC510)+($V510:$AE510=AC510)*($V$3:$AE$3&gt;AC$3)+($V510:$AE510=AC510)*($V$3:$AE$3=AC$3)*($V$2:$AE$2&lt;AC$2))),2))))</f>
      </c>
      <c r="AN510" s="33">
        <f>IF(AD510&lt;=0,0,MAX(0,MIN(AD510,ROUND($AZ510-SUMPRODUCT($V510:$AE510*($V510:$AE510&gt;0)*(($V510:$AE510&lt;AD510)+($V510:$AE510=AD510)*($V$3:$AE$3&gt;AD$3)+($V510:$AE510=AD510)*($V$3:$AE$3=AD$3)*($V$2:$AE$2&lt;AD$2))),2))))</f>
      </c>
      <c r="AO510" s="33">
        <f>IF(AE510&lt;=0,0,MAX(0,MIN(AE510,ROUND($AZ510-SUMPRODUCT($V510:$AE510*($V510:$AE510&gt;0)*(($V510:$AE510&lt;AE510)+($V510:$AE510=AE510)*($V$3:$AE$3&gt;AE$3)+($V510:$AE510=AE510)*($V$3:$AE$3=AE$3)*($V$2:$AE$2&lt;AE$2))),2))))</f>
      </c>
      <c r="AP510" s="33">
        <f>ROUND(V510-AF510,2)</f>
      </c>
      <c r="AQ510" s="33">
        <f>ROUND(W510-AG510,2)</f>
      </c>
      <c r="AR510" s="33">
        <f>ROUND(X510-AH510,2)</f>
      </c>
      <c r="AS510" s="33">
        <f>ROUND(Y510-AI510,2)</f>
      </c>
      <c r="AT510" s="33">
        <f>ROUND(Z510-AJ510,2)</f>
      </c>
      <c r="AU510" s="33">
        <f>ROUND(AA510-AK510,2)</f>
      </c>
      <c r="AV510" s="33">
        <f>ROUND(AB510-AL510,2)</f>
      </c>
      <c r="AW510" s="33">
        <f>ROUND(AC510-AM510,2)</f>
      </c>
      <c r="AX510" s="33">
        <f>ROUND(AD510-AN510,2)</f>
      </c>
      <c r="AY510" s="33">
        <f>ROUND(AE510-AO510,2)</f>
      </c>
      <c r="AZ510" s="33">
        <f>ROUND(MAX(0,'Your debts'!$D$22-SUM($L510:$U510)),2)</f>
      </c>
      <c r="BA510" s="33">
        <f>ROUND(SUM($B510:$K510)-SUM($AP509:$AY509),2)</f>
      </c>
      <c r="BB510" s="33">
        <f>SUM($AP510:$AY510)</f>
      </c>
      <c r="BC510" s="33">
        <f>ROUND(SUM($L510:$U510)+SUM($AF510:$AO510),2)</f>
      </c>
    </row>
    <row r="511" spans="1:55" x14ac:dyDescent="0.25">
      <c r="A511">
        <v>504</v>
      </c>
      <c r="B511" s="33">
        <f>IF(AP510&lt;=0,0,ROUND(AP510+ROUND(AP510*V$3/12,2),2))</f>
      </c>
      <c r="C511" s="33">
        <f>IF(AQ510&lt;=0,0,ROUND(AQ510+ROUND(AQ510*W$3/12,2),2))</f>
      </c>
      <c r="D511" s="33">
        <f>IF(AR510&lt;=0,0,ROUND(AR510+ROUND(AR510*X$3/12,2),2))</f>
      </c>
      <c r="E511" s="33">
        <f>IF(AS510&lt;=0,0,ROUND(AS510+ROUND(AS510*Y$3/12,2),2))</f>
      </c>
      <c r="F511" s="33">
        <f>IF(AT510&lt;=0,0,ROUND(AT510+ROUND(AT510*Z$3/12,2),2))</f>
      </c>
      <c r="G511" s="33">
        <f>IF(AU510&lt;=0,0,ROUND(AU510+ROUND(AU510*AA$3/12,2),2))</f>
      </c>
      <c r="H511" s="33">
        <f>IF(AV510&lt;=0,0,ROUND(AV510+ROUND(AV510*AB$3/12,2),2))</f>
      </c>
      <c r="I511" s="33">
        <f>IF(AW510&lt;=0,0,ROUND(AW510+ROUND(AW510*AC$3/12,2),2))</f>
      </c>
      <c r="J511" s="33">
        <f>IF(AX510&lt;=0,0,ROUND(AX510+ROUND(AX510*AD$3/12,2),2))</f>
      </c>
      <c r="K511" s="33">
        <f>IF(AY510&lt;=0,0,ROUND(AY510+ROUND(AY510*AE$3/12,2),2))</f>
      </c>
      <c r="L511" s="33">
        <f>ROUND(MIN(MAX(0,N('Your debts'!$E$6)),B511),2)</f>
      </c>
      <c r="M511" s="33">
        <f>ROUND(MIN(MAX(0,N('Your debts'!$E$7)),C511),2)</f>
      </c>
      <c r="N511" s="33">
        <f>ROUND(MIN(MAX(0,N('Your debts'!$E$8)),D511),2)</f>
      </c>
      <c r="O511" s="33">
        <f>ROUND(MIN(MAX(0,N('Your debts'!$E$9)),E511),2)</f>
      </c>
      <c r="P511" s="33">
        <f>ROUND(MIN(MAX(0,N('Your debts'!$E$10)),F511),2)</f>
      </c>
      <c r="Q511" s="33">
        <f>ROUND(MIN(MAX(0,N('Your debts'!$E$11)),G511),2)</f>
      </c>
      <c r="R511" s="33">
        <f>ROUND(MIN(MAX(0,N('Your debts'!$E$12)),H511),2)</f>
      </c>
      <c r="S511" s="33">
        <f>ROUND(MIN(MAX(0,N('Your debts'!$E$13)),I511),2)</f>
      </c>
      <c r="T511" s="33">
        <f>ROUND(MIN(MAX(0,N('Your debts'!$E$14)),J511),2)</f>
      </c>
      <c r="U511" s="33">
        <f>ROUND(MIN(MAX(0,N('Your debts'!$E$15)),K511),2)</f>
      </c>
      <c r="V511" s="33">
        <f>ROUND(B511-L511,2)</f>
      </c>
      <c r="W511" s="33">
        <f>ROUND(C511-M511,2)</f>
      </c>
      <c r="X511" s="33">
        <f>ROUND(D511-N511,2)</f>
      </c>
      <c r="Y511" s="33">
        <f>ROUND(E511-O511,2)</f>
      </c>
      <c r="Z511" s="33">
        <f>ROUND(F511-P511,2)</f>
      </c>
      <c r="AA511" s="33">
        <f>ROUND(G511-Q511,2)</f>
      </c>
      <c r="AB511" s="33">
        <f>ROUND(H511-R511,2)</f>
      </c>
      <c r="AC511" s="33">
        <f>ROUND(I511-S511,2)</f>
      </c>
      <c r="AD511" s="33">
        <f>ROUND(J511-T511,2)</f>
      </c>
      <c r="AE511" s="33">
        <f>ROUND(K511-U511,2)</f>
      </c>
      <c r="AF511" s="33">
        <f>IF(V511&lt;=0,0,MAX(0,MIN(V511,ROUND($AZ511-SUMPRODUCT($V511:$AE511*($V511:$AE511&gt;0)*(($V511:$AE511&lt;V511)+($V511:$AE511=V511)*($V$3:$AE$3&gt;V$3)+($V511:$AE511=V511)*($V$3:$AE$3=V$3)*($V$2:$AE$2&lt;V$2))),2))))</f>
      </c>
      <c r="AG511" s="33">
        <f>IF(W511&lt;=0,0,MAX(0,MIN(W511,ROUND($AZ511-SUMPRODUCT($V511:$AE511*($V511:$AE511&gt;0)*(($V511:$AE511&lt;W511)+($V511:$AE511=W511)*($V$3:$AE$3&gt;W$3)+($V511:$AE511=W511)*($V$3:$AE$3=W$3)*($V$2:$AE$2&lt;W$2))),2))))</f>
      </c>
      <c r="AH511" s="33">
        <f>IF(X511&lt;=0,0,MAX(0,MIN(X511,ROUND($AZ511-SUMPRODUCT($V511:$AE511*($V511:$AE511&gt;0)*(($V511:$AE511&lt;X511)+($V511:$AE511=X511)*($V$3:$AE$3&gt;X$3)+($V511:$AE511=X511)*($V$3:$AE$3=X$3)*($V$2:$AE$2&lt;X$2))),2))))</f>
      </c>
      <c r="AI511" s="33">
        <f>IF(Y511&lt;=0,0,MAX(0,MIN(Y511,ROUND($AZ511-SUMPRODUCT($V511:$AE511*($V511:$AE511&gt;0)*(($V511:$AE511&lt;Y511)+($V511:$AE511=Y511)*($V$3:$AE$3&gt;Y$3)+($V511:$AE511=Y511)*($V$3:$AE$3=Y$3)*($V$2:$AE$2&lt;Y$2))),2))))</f>
      </c>
      <c r="AJ511" s="33">
        <f>IF(Z511&lt;=0,0,MAX(0,MIN(Z511,ROUND($AZ511-SUMPRODUCT($V511:$AE511*($V511:$AE511&gt;0)*(($V511:$AE511&lt;Z511)+($V511:$AE511=Z511)*($V$3:$AE$3&gt;Z$3)+($V511:$AE511=Z511)*($V$3:$AE$3=Z$3)*($V$2:$AE$2&lt;Z$2))),2))))</f>
      </c>
      <c r="AK511" s="33">
        <f>IF(AA511&lt;=0,0,MAX(0,MIN(AA511,ROUND($AZ511-SUMPRODUCT($V511:$AE511*($V511:$AE511&gt;0)*(($V511:$AE511&lt;AA511)+($V511:$AE511=AA511)*($V$3:$AE$3&gt;AA$3)+($V511:$AE511=AA511)*($V$3:$AE$3=AA$3)*($V$2:$AE$2&lt;AA$2))),2))))</f>
      </c>
      <c r="AL511" s="33">
        <f>IF(AB511&lt;=0,0,MAX(0,MIN(AB511,ROUND($AZ511-SUMPRODUCT($V511:$AE511*($V511:$AE511&gt;0)*(($V511:$AE511&lt;AB511)+($V511:$AE511=AB511)*($V$3:$AE$3&gt;AB$3)+($V511:$AE511=AB511)*($V$3:$AE$3=AB$3)*($V$2:$AE$2&lt;AB$2))),2))))</f>
      </c>
      <c r="AM511" s="33">
        <f>IF(AC511&lt;=0,0,MAX(0,MIN(AC511,ROUND($AZ511-SUMPRODUCT($V511:$AE511*($V511:$AE511&gt;0)*(($V511:$AE511&lt;AC511)+($V511:$AE511=AC511)*($V$3:$AE$3&gt;AC$3)+($V511:$AE511=AC511)*($V$3:$AE$3=AC$3)*($V$2:$AE$2&lt;AC$2))),2))))</f>
      </c>
      <c r="AN511" s="33">
        <f>IF(AD511&lt;=0,0,MAX(0,MIN(AD511,ROUND($AZ511-SUMPRODUCT($V511:$AE511*($V511:$AE511&gt;0)*(($V511:$AE511&lt;AD511)+($V511:$AE511=AD511)*($V$3:$AE$3&gt;AD$3)+($V511:$AE511=AD511)*($V$3:$AE$3=AD$3)*($V$2:$AE$2&lt;AD$2))),2))))</f>
      </c>
      <c r="AO511" s="33">
        <f>IF(AE511&lt;=0,0,MAX(0,MIN(AE511,ROUND($AZ511-SUMPRODUCT($V511:$AE511*($V511:$AE511&gt;0)*(($V511:$AE511&lt;AE511)+($V511:$AE511=AE511)*($V$3:$AE$3&gt;AE$3)+($V511:$AE511=AE511)*($V$3:$AE$3=AE$3)*($V$2:$AE$2&lt;AE$2))),2))))</f>
      </c>
      <c r="AP511" s="33">
        <f>ROUND(V511-AF511,2)</f>
      </c>
      <c r="AQ511" s="33">
        <f>ROUND(W511-AG511,2)</f>
      </c>
      <c r="AR511" s="33">
        <f>ROUND(X511-AH511,2)</f>
      </c>
      <c r="AS511" s="33">
        <f>ROUND(Y511-AI511,2)</f>
      </c>
      <c r="AT511" s="33">
        <f>ROUND(Z511-AJ511,2)</f>
      </c>
      <c r="AU511" s="33">
        <f>ROUND(AA511-AK511,2)</f>
      </c>
      <c r="AV511" s="33">
        <f>ROUND(AB511-AL511,2)</f>
      </c>
      <c r="AW511" s="33">
        <f>ROUND(AC511-AM511,2)</f>
      </c>
      <c r="AX511" s="33">
        <f>ROUND(AD511-AN511,2)</f>
      </c>
      <c r="AY511" s="33">
        <f>ROUND(AE511-AO511,2)</f>
      </c>
      <c r="AZ511" s="33">
        <f>ROUND(MAX(0,'Your debts'!$D$22-SUM($L511:$U511)),2)</f>
      </c>
      <c r="BA511" s="33">
        <f>ROUND(SUM($B511:$K511)-SUM($AP510:$AY510),2)</f>
      </c>
      <c r="BB511" s="33">
        <f>SUM($AP511:$AY511)</f>
      </c>
      <c r="BC511" s="33">
        <f>ROUND(SUM($L511:$U511)+SUM($AF511:$AO511),2)</f>
      </c>
    </row>
    <row r="512" spans="1:55" x14ac:dyDescent="0.25">
      <c r="A512">
        <v>505</v>
      </c>
      <c r="B512" s="33">
        <f>IF(AP511&lt;=0,0,ROUND(AP511+ROUND(AP511*V$3/12,2),2))</f>
      </c>
      <c r="C512" s="33">
        <f>IF(AQ511&lt;=0,0,ROUND(AQ511+ROUND(AQ511*W$3/12,2),2))</f>
      </c>
      <c r="D512" s="33">
        <f>IF(AR511&lt;=0,0,ROUND(AR511+ROUND(AR511*X$3/12,2),2))</f>
      </c>
      <c r="E512" s="33">
        <f>IF(AS511&lt;=0,0,ROUND(AS511+ROUND(AS511*Y$3/12,2),2))</f>
      </c>
      <c r="F512" s="33">
        <f>IF(AT511&lt;=0,0,ROUND(AT511+ROUND(AT511*Z$3/12,2),2))</f>
      </c>
      <c r="G512" s="33">
        <f>IF(AU511&lt;=0,0,ROUND(AU511+ROUND(AU511*AA$3/12,2),2))</f>
      </c>
      <c r="H512" s="33">
        <f>IF(AV511&lt;=0,0,ROUND(AV511+ROUND(AV511*AB$3/12,2),2))</f>
      </c>
      <c r="I512" s="33">
        <f>IF(AW511&lt;=0,0,ROUND(AW511+ROUND(AW511*AC$3/12,2),2))</f>
      </c>
      <c r="J512" s="33">
        <f>IF(AX511&lt;=0,0,ROUND(AX511+ROUND(AX511*AD$3/12,2),2))</f>
      </c>
      <c r="K512" s="33">
        <f>IF(AY511&lt;=0,0,ROUND(AY511+ROUND(AY511*AE$3/12,2),2))</f>
      </c>
      <c r="L512" s="33">
        <f>ROUND(MIN(MAX(0,N('Your debts'!$E$6)),B512),2)</f>
      </c>
      <c r="M512" s="33">
        <f>ROUND(MIN(MAX(0,N('Your debts'!$E$7)),C512),2)</f>
      </c>
      <c r="N512" s="33">
        <f>ROUND(MIN(MAX(0,N('Your debts'!$E$8)),D512),2)</f>
      </c>
      <c r="O512" s="33">
        <f>ROUND(MIN(MAX(0,N('Your debts'!$E$9)),E512),2)</f>
      </c>
      <c r="P512" s="33">
        <f>ROUND(MIN(MAX(0,N('Your debts'!$E$10)),F512),2)</f>
      </c>
      <c r="Q512" s="33">
        <f>ROUND(MIN(MAX(0,N('Your debts'!$E$11)),G512),2)</f>
      </c>
      <c r="R512" s="33">
        <f>ROUND(MIN(MAX(0,N('Your debts'!$E$12)),H512),2)</f>
      </c>
      <c r="S512" s="33">
        <f>ROUND(MIN(MAX(0,N('Your debts'!$E$13)),I512),2)</f>
      </c>
      <c r="T512" s="33">
        <f>ROUND(MIN(MAX(0,N('Your debts'!$E$14)),J512),2)</f>
      </c>
      <c r="U512" s="33">
        <f>ROUND(MIN(MAX(0,N('Your debts'!$E$15)),K512),2)</f>
      </c>
      <c r="V512" s="33">
        <f>ROUND(B512-L512,2)</f>
      </c>
      <c r="W512" s="33">
        <f>ROUND(C512-M512,2)</f>
      </c>
      <c r="X512" s="33">
        <f>ROUND(D512-N512,2)</f>
      </c>
      <c r="Y512" s="33">
        <f>ROUND(E512-O512,2)</f>
      </c>
      <c r="Z512" s="33">
        <f>ROUND(F512-P512,2)</f>
      </c>
      <c r="AA512" s="33">
        <f>ROUND(G512-Q512,2)</f>
      </c>
      <c r="AB512" s="33">
        <f>ROUND(H512-R512,2)</f>
      </c>
      <c r="AC512" s="33">
        <f>ROUND(I512-S512,2)</f>
      </c>
      <c r="AD512" s="33">
        <f>ROUND(J512-T512,2)</f>
      </c>
      <c r="AE512" s="33">
        <f>ROUND(K512-U512,2)</f>
      </c>
      <c r="AF512" s="33">
        <f>IF(V512&lt;=0,0,MAX(0,MIN(V512,ROUND($AZ512-SUMPRODUCT($V512:$AE512*($V512:$AE512&gt;0)*(($V512:$AE512&lt;V512)+($V512:$AE512=V512)*($V$3:$AE$3&gt;V$3)+($V512:$AE512=V512)*($V$3:$AE$3=V$3)*($V$2:$AE$2&lt;V$2))),2))))</f>
      </c>
      <c r="AG512" s="33">
        <f>IF(W512&lt;=0,0,MAX(0,MIN(W512,ROUND($AZ512-SUMPRODUCT($V512:$AE512*($V512:$AE512&gt;0)*(($V512:$AE512&lt;W512)+($V512:$AE512=W512)*($V$3:$AE$3&gt;W$3)+($V512:$AE512=W512)*($V$3:$AE$3=W$3)*($V$2:$AE$2&lt;W$2))),2))))</f>
      </c>
      <c r="AH512" s="33">
        <f>IF(X512&lt;=0,0,MAX(0,MIN(X512,ROUND($AZ512-SUMPRODUCT($V512:$AE512*($V512:$AE512&gt;0)*(($V512:$AE512&lt;X512)+($V512:$AE512=X512)*($V$3:$AE$3&gt;X$3)+($V512:$AE512=X512)*($V$3:$AE$3=X$3)*($V$2:$AE$2&lt;X$2))),2))))</f>
      </c>
      <c r="AI512" s="33">
        <f>IF(Y512&lt;=0,0,MAX(0,MIN(Y512,ROUND($AZ512-SUMPRODUCT($V512:$AE512*($V512:$AE512&gt;0)*(($V512:$AE512&lt;Y512)+($V512:$AE512=Y512)*($V$3:$AE$3&gt;Y$3)+($V512:$AE512=Y512)*($V$3:$AE$3=Y$3)*($V$2:$AE$2&lt;Y$2))),2))))</f>
      </c>
      <c r="AJ512" s="33">
        <f>IF(Z512&lt;=0,0,MAX(0,MIN(Z512,ROUND($AZ512-SUMPRODUCT($V512:$AE512*($V512:$AE512&gt;0)*(($V512:$AE512&lt;Z512)+($V512:$AE512=Z512)*($V$3:$AE$3&gt;Z$3)+($V512:$AE512=Z512)*($V$3:$AE$3=Z$3)*($V$2:$AE$2&lt;Z$2))),2))))</f>
      </c>
      <c r="AK512" s="33">
        <f>IF(AA512&lt;=0,0,MAX(0,MIN(AA512,ROUND($AZ512-SUMPRODUCT($V512:$AE512*($V512:$AE512&gt;0)*(($V512:$AE512&lt;AA512)+($V512:$AE512=AA512)*($V$3:$AE$3&gt;AA$3)+($V512:$AE512=AA512)*($V$3:$AE$3=AA$3)*($V$2:$AE$2&lt;AA$2))),2))))</f>
      </c>
      <c r="AL512" s="33">
        <f>IF(AB512&lt;=0,0,MAX(0,MIN(AB512,ROUND($AZ512-SUMPRODUCT($V512:$AE512*($V512:$AE512&gt;0)*(($V512:$AE512&lt;AB512)+($V512:$AE512=AB512)*($V$3:$AE$3&gt;AB$3)+($V512:$AE512=AB512)*($V$3:$AE$3=AB$3)*($V$2:$AE$2&lt;AB$2))),2))))</f>
      </c>
      <c r="AM512" s="33">
        <f>IF(AC512&lt;=0,0,MAX(0,MIN(AC512,ROUND($AZ512-SUMPRODUCT($V512:$AE512*($V512:$AE512&gt;0)*(($V512:$AE512&lt;AC512)+($V512:$AE512=AC512)*($V$3:$AE$3&gt;AC$3)+($V512:$AE512=AC512)*($V$3:$AE$3=AC$3)*($V$2:$AE$2&lt;AC$2))),2))))</f>
      </c>
      <c r="AN512" s="33">
        <f>IF(AD512&lt;=0,0,MAX(0,MIN(AD512,ROUND($AZ512-SUMPRODUCT($V512:$AE512*($V512:$AE512&gt;0)*(($V512:$AE512&lt;AD512)+($V512:$AE512=AD512)*($V$3:$AE$3&gt;AD$3)+($V512:$AE512=AD512)*($V$3:$AE$3=AD$3)*($V$2:$AE$2&lt;AD$2))),2))))</f>
      </c>
      <c r="AO512" s="33">
        <f>IF(AE512&lt;=0,0,MAX(0,MIN(AE512,ROUND($AZ512-SUMPRODUCT($V512:$AE512*($V512:$AE512&gt;0)*(($V512:$AE512&lt;AE512)+($V512:$AE512=AE512)*($V$3:$AE$3&gt;AE$3)+($V512:$AE512=AE512)*($V$3:$AE$3=AE$3)*($V$2:$AE$2&lt;AE$2))),2))))</f>
      </c>
      <c r="AP512" s="33">
        <f>ROUND(V512-AF512,2)</f>
      </c>
      <c r="AQ512" s="33">
        <f>ROUND(W512-AG512,2)</f>
      </c>
      <c r="AR512" s="33">
        <f>ROUND(X512-AH512,2)</f>
      </c>
      <c r="AS512" s="33">
        <f>ROUND(Y512-AI512,2)</f>
      </c>
      <c r="AT512" s="33">
        <f>ROUND(Z512-AJ512,2)</f>
      </c>
      <c r="AU512" s="33">
        <f>ROUND(AA512-AK512,2)</f>
      </c>
      <c r="AV512" s="33">
        <f>ROUND(AB512-AL512,2)</f>
      </c>
      <c r="AW512" s="33">
        <f>ROUND(AC512-AM512,2)</f>
      </c>
      <c r="AX512" s="33">
        <f>ROUND(AD512-AN512,2)</f>
      </c>
      <c r="AY512" s="33">
        <f>ROUND(AE512-AO512,2)</f>
      </c>
      <c r="AZ512" s="33">
        <f>ROUND(MAX(0,'Your debts'!$D$22-SUM($L512:$U512)),2)</f>
      </c>
      <c r="BA512" s="33">
        <f>ROUND(SUM($B512:$K512)-SUM($AP511:$AY511),2)</f>
      </c>
      <c r="BB512" s="33">
        <f>SUM($AP512:$AY512)</f>
      </c>
      <c r="BC512" s="33">
        <f>ROUND(SUM($L512:$U512)+SUM($AF512:$AO512),2)</f>
      </c>
    </row>
    <row r="513" spans="1:55" x14ac:dyDescent="0.25">
      <c r="A513">
        <v>506</v>
      </c>
      <c r="B513" s="33">
        <f>IF(AP512&lt;=0,0,ROUND(AP512+ROUND(AP512*V$3/12,2),2))</f>
      </c>
      <c r="C513" s="33">
        <f>IF(AQ512&lt;=0,0,ROUND(AQ512+ROUND(AQ512*W$3/12,2),2))</f>
      </c>
      <c r="D513" s="33">
        <f>IF(AR512&lt;=0,0,ROUND(AR512+ROUND(AR512*X$3/12,2),2))</f>
      </c>
      <c r="E513" s="33">
        <f>IF(AS512&lt;=0,0,ROUND(AS512+ROUND(AS512*Y$3/12,2),2))</f>
      </c>
      <c r="F513" s="33">
        <f>IF(AT512&lt;=0,0,ROUND(AT512+ROUND(AT512*Z$3/12,2),2))</f>
      </c>
      <c r="G513" s="33">
        <f>IF(AU512&lt;=0,0,ROUND(AU512+ROUND(AU512*AA$3/12,2),2))</f>
      </c>
      <c r="H513" s="33">
        <f>IF(AV512&lt;=0,0,ROUND(AV512+ROUND(AV512*AB$3/12,2),2))</f>
      </c>
      <c r="I513" s="33">
        <f>IF(AW512&lt;=0,0,ROUND(AW512+ROUND(AW512*AC$3/12,2),2))</f>
      </c>
      <c r="J513" s="33">
        <f>IF(AX512&lt;=0,0,ROUND(AX512+ROUND(AX512*AD$3/12,2),2))</f>
      </c>
      <c r="K513" s="33">
        <f>IF(AY512&lt;=0,0,ROUND(AY512+ROUND(AY512*AE$3/12,2),2))</f>
      </c>
      <c r="L513" s="33">
        <f>ROUND(MIN(MAX(0,N('Your debts'!$E$6)),B513),2)</f>
      </c>
      <c r="M513" s="33">
        <f>ROUND(MIN(MAX(0,N('Your debts'!$E$7)),C513),2)</f>
      </c>
      <c r="N513" s="33">
        <f>ROUND(MIN(MAX(0,N('Your debts'!$E$8)),D513),2)</f>
      </c>
      <c r="O513" s="33">
        <f>ROUND(MIN(MAX(0,N('Your debts'!$E$9)),E513),2)</f>
      </c>
      <c r="P513" s="33">
        <f>ROUND(MIN(MAX(0,N('Your debts'!$E$10)),F513),2)</f>
      </c>
      <c r="Q513" s="33">
        <f>ROUND(MIN(MAX(0,N('Your debts'!$E$11)),G513),2)</f>
      </c>
      <c r="R513" s="33">
        <f>ROUND(MIN(MAX(0,N('Your debts'!$E$12)),H513),2)</f>
      </c>
      <c r="S513" s="33">
        <f>ROUND(MIN(MAX(0,N('Your debts'!$E$13)),I513),2)</f>
      </c>
      <c r="T513" s="33">
        <f>ROUND(MIN(MAX(0,N('Your debts'!$E$14)),J513),2)</f>
      </c>
      <c r="U513" s="33">
        <f>ROUND(MIN(MAX(0,N('Your debts'!$E$15)),K513),2)</f>
      </c>
      <c r="V513" s="33">
        <f>ROUND(B513-L513,2)</f>
      </c>
      <c r="W513" s="33">
        <f>ROUND(C513-M513,2)</f>
      </c>
      <c r="X513" s="33">
        <f>ROUND(D513-N513,2)</f>
      </c>
      <c r="Y513" s="33">
        <f>ROUND(E513-O513,2)</f>
      </c>
      <c r="Z513" s="33">
        <f>ROUND(F513-P513,2)</f>
      </c>
      <c r="AA513" s="33">
        <f>ROUND(G513-Q513,2)</f>
      </c>
      <c r="AB513" s="33">
        <f>ROUND(H513-R513,2)</f>
      </c>
      <c r="AC513" s="33">
        <f>ROUND(I513-S513,2)</f>
      </c>
      <c r="AD513" s="33">
        <f>ROUND(J513-T513,2)</f>
      </c>
      <c r="AE513" s="33">
        <f>ROUND(K513-U513,2)</f>
      </c>
      <c r="AF513" s="33">
        <f>IF(V513&lt;=0,0,MAX(0,MIN(V513,ROUND($AZ513-SUMPRODUCT($V513:$AE513*($V513:$AE513&gt;0)*(($V513:$AE513&lt;V513)+($V513:$AE513=V513)*($V$3:$AE$3&gt;V$3)+($V513:$AE513=V513)*($V$3:$AE$3=V$3)*($V$2:$AE$2&lt;V$2))),2))))</f>
      </c>
      <c r="AG513" s="33">
        <f>IF(W513&lt;=0,0,MAX(0,MIN(W513,ROUND($AZ513-SUMPRODUCT($V513:$AE513*($V513:$AE513&gt;0)*(($V513:$AE513&lt;W513)+($V513:$AE513=W513)*($V$3:$AE$3&gt;W$3)+($V513:$AE513=W513)*($V$3:$AE$3=W$3)*($V$2:$AE$2&lt;W$2))),2))))</f>
      </c>
      <c r="AH513" s="33">
        <f>IF(X513&lt;=0,0,MAX(0,MIN(X513,ROUND($AZ513-SUMPRODUCT($V513:$AE513*($V513:$AE513&gt;0)*(($V513:$AE513&lt;X513)+($V513:$AE513=X513)*($V$3:$AE$3&gt;X$3)+($V513:$AE513=X513)*($V$3:$AE$3=X$3)*($V$2:$AE$2&lt;X$2))),2))))</f>
      </c>
      <c r="AI513" s="33">
        <f>IF(Y513&lt;=0,0,MAX(0,MIN(Y513,ROUND($AZ513-SUMPRODUCT($V513:$AE513*($V513:$AE513&gt;0)*(($V513:$AE513&lt;Y513)+($V513:$AE513=Y513)*($V$3:$AE$3&gt;Y$3)+($V513:$AE513=Y513)*($V$3:$AE$3=Y$3)*($V$2:$AE$2&lt;Y$2))),2))))</f>
      </c>
      <c r="AJ513" s="33">
        <f>IF(Z513&lt;=0,0,MAX(0,MIN(Z513,ROUND($AZ513-SUMPRODUCT($V513:$AE513*($V513:$AE513&gt;0)*(($V513:$AE513&lt;Z513)+($V513:$AE513=Z513)*($V$3:$AE$3&gt;Z$3)+($V513:$AE513=Z513)*($V$3:$AE$3=Z$3)*($V$2:$AE$2&lt;Z$2))),2))))</f>
      </c>
      <c r="AK513" s="33">
        <f>IF(AA513&lt;=0,0,MAX(0,MIN(AA513,ROUND($AZ513-SUMPRODUCT($V513:$AE513*($V513:$AE513&gt;0)*(($V513:$AE513&lt;AA513)+($V513:$AE513=AA513)*($V$3:$AE$3&gt;AA$3)+($V513:$AE513=AA513)*($V$3:$AE$3=AA$3)*($V$2:$AE$2&lt;AA$2))),2))))</f>
      </c>
      <c r="AL513" s="33">
        <f>IF(AB513&lt;=0,0,MAX(0,MIN(AB513,ROUND($AZ513-SUMPRODUCT($V513:$AE513*($V513:$AE513&gt;0)*(($V513:$AE513&lt;AB513)+($V513:$AE513=AB513)*($V$3:$AE$3&gt;AB$3)+($V513:$AE513=AB513)*($V$3:$AE$3=AB$3)*($V$2:$AE$2&lt;AB$2))),2))))</f>
      </c>
      <c r="AM513" s="33">
        <f>IF(AC513&lt;=0,0,MAX(0,MIN(AC513,ROUND($AZ513-SUMPRODUCT($V513:$AE513*($V513:$AE513&gt;0)*(($V513:$AE513&lt;AC513)+($V513:$AE513=AC513)*($V$3:$AE$3&gt;AC$3)+($V513:$AE513=AC513)*($V$3:$AE$3=AC$3)*($V$2:$AE$2&lt;AC$2))),2))))</f>
      </c>
      <c r="AN513" s="33">
        <f>IF(AD513&lt;=0,0,MAX(0,MIN(AD513,ROUND($AZ513-SUMPRODUCT($V513:$AE513*($V513:$AE513&gt;0)*(($V513:$AE513&lt;AD513)+($V513:$AE513=AD513)*($V$3:$AE$3&gt;AD$3)+($V513:$AE513=AD513)*($V$3:$AE$3=AD$3)*($V$2:$AE$2&lt;AD$2))),2))))</f>
      </c>
      <c r="AO513" s="33">
        <f>IF(AE513&lt;=0,0,MAX(0,MIN(AE513,ROUND($AZ513-SUMPRODUCT($V513:$AE513*($V513:$AE513&gt;0)*(($V513:$AE513&lt;AE513)+($V513:$AE513=AE513)*($V$3:$AE$3&gt;AE$3)+($V513:$AE513=AE513)*($V$3:$AE$3=AE$3)*($V$2:$AE$2&lt;AE$2))),2))))</f>
      </c>
      <c r="AP513" s="33">
        <f>ROUND(V513-AF513,2)</f>
      </c>
      <c r="AQ513" s="33">
        <f>ROUND(W513-AG513,2)</f>
      </c>
      <c r="AR513" s="33">
        <f>ROUND(X513-AH513,2)</f>
      </c>
      <c r="AS513" s="33">
        <f>ROUND(Y513-AI513,2)</f>
      </c>
      <c r="AT513" s="33">
        <f>ROUND(Z513-AJ513,2)</f>
      </c>
      <c r="AU513" s="33">
        <f>ROUND(AA513-AK513,2)</f>
      </c>
      <c r="AV513" s="33">
        <f>ROUND(AB513-AL513,2)</f>
      </c>
      <c r="AW513" s="33">
        <f>ROUND(AC513-AM513,2)</f>
      </c>
      <c r="AX513" s="33">
        <f>ROUND(AD513-AN513,2)</f>
      </c>
      <c r="AY513" s="33">
        <f>ROUND(AE513-AO513,2)</f>
      </c>
      <c r="AZ513" s="33">
        <f>ROUND(MAX(0,'Your debts'!$D$22-SUM($L513:$U513)),2)</f>
      </c>
      <c r="BA513" s="33">
        <f>ROUND(SUM($B513:$K513)-SUM($AP512:$AY512),2)</f>
      </c>
      <c r="BB513" s="33">
        <f>SUM($AP513:$AY513)</f>
      </c>
      <c r="BC513" s="33">
        <f>ROUND(SUM($L513:$U513)+SUM($AF513:$AO513),2)</f>
      </c>
    </row>
    <row r="514" spans="1:55" x14ac:dyDescent="0.25">
      <c r="A514">
        <v>507</v>
      </c>
      <c r="B514" s="33">
        <f>IF(AP513&lt;=0,0,ROUND(AP513+ROUND(AP513*V$3/12,2),2))</f>
      </c>
      <c r="C514" s="33">
        <f>IF(AQ513&lt;=0,0,ROUND(AQ513+ROUND(AQ513*W$3/12,2),2))</f>
      </c>
      <c r="D514" s="33">
        <f>IF(AR513&lt;=0,0,ROUND(AR513+ROUND(AR513*X$3/12,2),2))</f>
      </c>
      <c r="E514" s="33">
        <f>IF(AS513&lt;=0,0,ROUND(AS513+ROUND(AS513*Y$3/12,2),2))</f>
      </c>
      <c r="F514" s="33">
        <f>IF(AT513&lt;=0,0,ROUND(AT513+ROUND(AT513*Z$3/12,2),2))</f>
      </c>
      <c r="G514" s="33">
        <f>IF(AU513&lt;=0,0,ROUND(AU513+ROUND(AU513*AA$3/12,2),2))</f>
      </c>
      <c r="H514" s="33">
        <f>IF(AV513&lt;=0,0,ROUND(AV513+ROUND(AV513*AB$3/12,2),2))</f>
      </c>
      <c r="I514" s="33">
        <f>IF(AW513&lt;=0,0,ROUND(AW513+ROUND(AW513*AC$3/12,2),2))</f>
      </c>
      <c r="J514" s="33">
        <f>IF(AX513&lt;=0,0,ROUND(AX513+ROUND(AX513*AD$3/12,2),2))</f>
      </c>
      <c r="K514" s="33">
        <f>IF(AY513&lt;=0,0,ROUND(AY513+ROUND(AY513*AE$3/12,2),2))</f>
      </c>
      <c r="L514" s="33">
        <f>ROUND(MIN(MAX(0,N('Your debts'!$E$6)),B514),2)</f>
      </c>
      <c r="M514" s="33">
        <f>ROUND(MIN(MAX(0,N('Your debts'!$E$7)),C514),2)</f>
      </c>
      <c r="N514" s="33">
        <f>ROUND(MIN(MAX(0,N('Your debts'!$E$8)),D514),2)</f>
      </c>
      <c r="O514" s="33">
        <f>ROUND(MIN(MAX(0,N('Your debts'!$E$9)),E514),2)</f>
      </c>
      <c r="P514" s="33">
        <f>ROUND(MIN(MAX(0,N('Your debts'!$E$10)),F514),2)</f>
      </c>
      <c r="Q514" s="33">
        <f>ROUND(MIN(MAX(0,N('Your debts'!$E$11)),G514),2)</f>
      </c>
      <c r="R514" s="33">
        <f>ROUND(MIN(MAX(0,N('Your debts'!$E$12)),H514),2)</f>
      </c>
      <c r="S514" s="33">
        <f>ROUND(MIN(MAX(0,N('Your debts'!$E$13)),I514),2)</f>
      </c>
      <c r="T514" s="33">
        <f>ROUND(MIN(MAX(0,N('Your debts'!$E$14)),J514),2)</f>
      </c>
      <c r="U514" s="33">
        <f>ROUND(MIN(MAX(0,N('Your debts'!$E$15)),K514),2)</f>
      </c>
      <c r="V514" s="33">
        <f>ROUND(B514-L514,2)</f>
      </c>
      <c r="W514" s="33">
        <f>ROUND(C514-M514,2)</f>
      </c>
      <c r="X514" s="33">
        <f>ROUND(D514-N514,2)</f>
      </c>
      <c r="Y514" s="33">
        <f>ROUND(E514-O514,2)</f>
      </c>
      <c r="Z514" s="33">
        <f>ROUND(F514-P514,2)</f>
      </c>
      <c r="AA514" s="33">
        <f>ROUND(G514-Q514,2)</f>
      </c>
      <c r="AB514" s="33">
        <f>ROUND(H514-R514,2)</f>
      </c>
      <c r="AC514" s="33">
        <f>ROUND(I514-S514,2)</f>
      </c>
      <c r="AD514" s="33">
        <f>ROUND(J514-T514,2)</f>
      </c>
      <c r="AE514" s="33">
        <f>ROUND(K514-U514,2)</f>
      </c>
      <c r="AF514" s="33">
        <f>IF(V514&lt;=0,0,MAX(0,MIN(V514,ROUND($AZ514-SUMPRODUCT($V514:$AE514*($V514:$AE514&gt;0)*(($V514:$AE514&lt;V514)+($V514:$AE514=V514)*($V$3:$AE$3&gt;V$3)+($V514:$AE514=V514)*($V$3:$AE$3=V$3)*($V$2:$AE$2&lt;V$2))),2))))</f>
      </c>
      <c r="AG514" s="33">
        <f>IF(W514&lt;=0,0,MAX(0,MIN(W514,ROUND($AZ514-SUMPRODUCT($V514:$AE514*($V514:$AE514&gt;0)*(($V514:$AE514&lt;W514)+($V514:$AE514=W514)*($V$3:$AE$3&gt;W$3)+($V514:$AE514=W514)*($V$3:$AE$3=W$3)*($V$2:$AE$2&lt;W$2))),2))))</f>
      </c>
      <c r="AH514" s="33">
        <f>IF(X514&lt;=0,0,MAX(0,MIN(X514,ROUND($AZ514-SUMPRODUCT($V514:$AE514*($V514:$AE514&gt;0)*(($V514:$AE514&lt;X514)+($V514:$AE514=X514)*($V$3:$AE$3&gt;X$3)+($V514:$AE514=X514)*($V$3:$AE$3=X$3)*($V$2:$AE$2&lt;X$2))),2))))</f>
      </c>
      <c r="AI514" s="33">
        <f>IF(Y514&lt;=0,0,MAX(0,MIN(Y514,ROUND($AZ514-SUMPRODUCT($V514:$AE514*($V514:$AE514&gt;0)*(($V514:$AE514&lt;Y514)+($V514:$AE514=Y514)*($V$3:$AE$3&gt;Y$3)+($V514:$AE514=Y514)*($V$3:$AE$3=Y$3)*($V$2:$AE$2&lt;Y$2))),2))))</f>
      </c>
      <c r="AJ514" s="33">
        <f>IF(Z514&lt;=0,0,MAX(0,MIN(Z514,ROUND($AZ514-SUMPRODUCT($V514:$AE514*($V514:$AE514&gt;0)*(($V514:$AE514&lt;Z514)+($V514:$AE514=Z514)*($V$3:$AE$3&gt;Z$3)+($V514:$AE514=Z514)*($V$3:$AE$3=Z$3)*($V$2:$AE$2&lt;Z$2))),2))))</f>
      </c>
      <c r="AK514" s="33">
        <f>IF(AA514&lt;=0,0,MAX(0,MIN(AA514,ROUND($AZ514-SUMPRODUCT($V514:$AE514*($V514:$AE514&gt;0)*(($V514:$AE514&lt;AA514)+($V514:$AE514=AA514)*($V$3:$AE$3&gt;AA$3)+($V514:$AE514=AA514)*($V$3:$AE$3=AA$3)*($V$2:$AE$2&lt;AA$2))),2))))</f>
      </c>
      <c r="AL514" s="33">
        <f>IF(AB514&lt;=0,0,MAX(0,MIN(AB514,ROUND($AZ514-SUMPRODUCT($V514:$AE514*($V514:$AE514&gt;0)*(($V514:$AE514&lt;AB514)+($V514:$AE514=AB514)*($V$3:$AE$3&gt;AB$3)+($V514:$AE514=AB514)*($V$3:$AE$3=AB$3)*($V$2:$AE$2&lt;AB$2))),2))))</f>
      </c>
      <c r="AM514" s="33">
        <f>IF(AC514&lt;=0,0,MAX(0,MIN(AC514,ROUND($AZ514-SUMPRODUCT($V514:$AE514*($V514:$AE514&gt;0)*(($V514:$AE514&lt;AC514)+($V514:$AE514=AC514)*($V$3:$AE$3&gt;AC$3)+($V514:$AE514=AC514)*($V$3:$AE$3=AC$3)*($V$2:$AE$2&lt;AC$2))),2))))</f>
      </c>
      <c r="AN514" s="33">
        <f>IF(AD514&lt;=0,0,MAX(0,MIN(AD514,ROUND($AZ514-SUMPRODUCT($V514:$AE514*($V514:$AE514&gt;0)*(($V514:$AE514&lt;AD514)+($V514:$AE514=AD514)*($V$3:$AE$3&gt;AD$3)+($V514:$AE514=AD514)*($V$3:$AE$3=AD$3)*($V$2:$AE$2&lt;AD$2))),2))))</f>
      </c>
      <c r="AO514" s="33">
        <f>IF(AE514&lt;=0,0,MAX(0,MIN(AE514,ROUND($AZ514-SUMPRODUCT($V514:$AE514*($V514:$AE514&gt;0)*(($V514:$AE514&lt;AE514)+($V514:$AE514=AE514)*($V$3:$AE$3&gt;AE$3)+($V514:$AE514=AE514)*($V$3:$AE$3=AE$3)*($V$2:$AE$2&lt;AE$2))),2))))</f>
      </c>
      <c r="AP514" s="33">
        <f>ROUND(V514-AF514,2)</f>
      </c>
      <c r="AQ514" s="33">
        <f>ROUND(W514-AG514,2)</f>
      </c>
      <c r="AR514" s="33">
        <f>ROUND(X514-AH514,2)</f>
      </c>
      <c r="AS514" s="33">
        <f>ROUND(Y514-AI514,2)</f>
      </c>
      <c r="AT514" s="33">
        <f>ROUND(Z514-AJ514,2)</f>
      </c>
      <c r="AU514" s="33">
        <f>ROUND(AA514-AK514,2)</f>
      </c>
      <c r="AV514" s="33">
        <f>ROUND(AB514-AL514,2)</f>
      </c>
      <c r="AW514" s="33">
        <f>ROUND(AC514-AM514,2)</f>
      </c>
      <c r="AX514" s="33">
        <f>ROUND(AD514-AN514,2)</f>
      </c>
      <c r="AY514" s="33">
        <f>ROUND(AE514-AO514,2)</f>
      </c>
      <c r="AZ514" s="33">
        <f>ROUND(MAX(0,'Your debts'!$D$22-SUM($L514:$U514)),2)</f>
      </c>
      <c r="BA514" s="33">
        <f>ROUND(SUM($B514:$K514)-SUM($AP513:$AY513),2)</f>
      </c>
      <c r="BB514" s="33">
        <f>SUM($AP514:$AY514)</f>
      </c>
      <c r="BC514" s="33">
        <f>ROUND(SUM($L514:$U514)+SUM($AF514:$AO514),2)</f>
      </c>
    </row>
    <row r="515" spans="1:55" x14ac:dyDescent="0.25">
      <c r="A515">
        <v>508</v>
      </c>
      <c r="B515" s="33">
        <f>IF(AP514&lt;=0,0,ROUND(AP514+ROUND(AP514*V$3/12,2),2))</f>
      </c>
      <c r="C515" s="33">
        <f>IF(AQ514&lt;=0,0,ROUND(AQ514+ROUND(AQ514*W$3/12,2),2))</f>
      </c>
      <c r="D515" s="33">
        <f>IF(AR514&lt;=0,0,ROUND(AR514+ROUND(AR514*X$3/12,2),2))</f>
      </c>
      <c r="E515" s="33">
        <f>IF(AS514&lt;=0,0,ROUND(AS514+ROUND(AS514*Y$3/12,2),2))</f>
      </c>
      <c r="F515" s="33">
        <f>IF(AT514&lt;=0,0,ROUND(AT514+ROUND(AT514*Z$3/12,2),2))</f>
      </c>
      <c r="G515" s="33">
        <f>IF(AU514&lt;=0,0,ROUND(AU514+ROUND(AU514*AA$3/12,2),2))</f>
      </c>
      <c r="H515" s="33">
        <f>IF(AV514&lt;=0,0,ROUND(AV514+ROUND(AV514*AB$3/12,2),2))</f>
      </c>
      <c r="I515" s="33">
        <f>IF(AW514&lt;=0,0,ROUND(AW514+ROUND(AW514*AC$3/12,2),2))</f>
      </c>
      <c r="J515" s="33">
        <f>IF(AX514&lt;=0,0,ROUND(AX514+ROUND(AX514*AD$3/12,2),2))</f>
      </c>
      <c r="K515" s="33">
        <f>IF(AY514&lt;=0,0,ROUND(AY514+ROUND(AY514*AE$3/12,2),2))</f>
      </c>
      <c r="L515" s="33">
        <f>ROUND(MIN(MAX(0,N('Your debts'!$E$6)),B515),2)</f>
      </c>
      <c r="M515" s="33">
        <f>ROUND(MIN(MAX(0,N('Your debts'!$E$7)),C515),2)</f>
      </c>
      <c r="N515" s="33">
        <f>ROUND(MIN(MAX(0,N('Your debts'!$E$8)),D515),2)</f>
      </c>
      <c r="O515" s="33">
        <f>ROUND(MIN(MAX(0,N('Your debts'!$E$9)),E515),2)</f>
      </c>
      <c r="P515" s="33">
        <f>ROUND(MIN(MAX(0,N('Your debts'!$E$10)),F515),2)</f>
      </c>
      <c r="Q515" s="33">
        <f>ROUND(MIN(MAX(0,N('Your debts'!$E$11)),G515),2)</f>
      </c>
      <c r="R515" s="33">
        <f>ROUND(MIN(MAX(0,N('Your debts'!$E$12)),H515),2)</f>
      </c>
      <c r="S515" s="33">
        <f>ROUND(MIN(MAX(0,N('Your debts'!$E$13)),I515),2)</f>
      </c>
      <c r="T515" s="33">
        <f>ROUND(MIN(MAX(0,N('Your debts'!$E$14)),J515),2)</f>
      </c>
      <c r="U515" s="33">
        <f>ROUND(MIN(MAX(0,N('Your debts'!$E$15)),K515),2)</f>
      </c>
      <c r="V515" s="33">
        <f>ROUND(B515-L515,2)</f>
      </c>
      <c r="W515" s="33">
        <f>ROUND(C515-M515,2)</f>
      </c>
      <c r="X515" s="33">
        <f>ROUND(D515-N515,2)</f>
      </c>
      <c r="Y515" s="33">
        <f>ROUND(E515-O515,2)</f>
      </c>
      <c r="Z515" s="33">
        <f>ROUND(F515-P515,2)</f>
      </c>
      <c r="AA515" s="33">
        <f>ROUND(G515-Q515,2)</f>
      </c>
      <c r="AB515" s="33">
        <f>ROUND(H515-R515,2)</f>
      </c>
      <c r="AC515" s="33">
        <f>ROUND(I515-S515,2)</f>
      </c>
      <c r="AD515" s="33">
        <f>ROUND(J515-T515,2)</f>
      </c>
      <c r="AE515" s="33">
        <f>ROUND(K515-U515,2)</f>
      </c>
      <c r="AF515" s="33">
        <f>IF(V515&lt;=0,0,MAX(0,MIN(V515,ROUND($AZ515-SUMPRODUCT($V515:$AE515*($V515:$AE515&gt;0)*(($V515:$AE515&lt;V515)+($V515:$AE515=V515)*($V$3:$AE$3&gt;V$3)+($V515:$AE515=V515)*($V$3:$AE$3=V$3)*($V$2:$AE$2&lt;V$2))),2))))</f>
      </c>
      <c r="AG515" s="33">
        <f>IF(W515&lt;=0,0,MAX(0,MIN(W515,ROUND($AZ515-SUMPRODUCT($V515:$AE515*($V515:$AE515&gt;0)*(($V515:$AE515&lt;W515)+($V515:$AE515=W515)*($V$3:$AE$3&gt;W$3)+($V515:$AE515=W515)*($V$3:$AE$3=W$3)*($V$2:$AE$2&lt;W$2))),2))))</f>
      </c>
      <c r="AH515" s="33">
        <f>IF(X515&lt;=0,0,MAX(0,MIN(X515,ROUND($AZ515-SUMPRODUCT($V515:$AE515*($V515:$AE515&gt;0)*(($V515:$AE515&lt;X515)+($V515:$AE515=X515)*($V$3:$AE$3&gt;X$3)+($V515:$AE515=X515)*($V$3:$AE$3=X$3)*($V$2:$AE$2&lt;X$2))),2))))</f>
      </c>
      <c r="AI515" s="33">
        <f>IF(Y515&lt;=0,0,MAX(0,MIN(Y515,ROUND($AZ515-SUMPRODUCT($V515:$AE515*($V515:$AE515&gt;0)*(($V515:$AE515&lt;Y515)+($V515:$AE515=Y515)*($V$3:$AE$3&gt;Y$3)+($V515:$AE515=Y515)*($V$3:$AE$3=Y$3)*($V$2:$AE$2&lt;Y$2))),2))))</f>
      </c>
      <c r="AJ515" s="33">
        <f>IF(Z515&lt;=0,0,MAX(0,MIN(Z515,ROUND($AZ515-SUMPRODUCT($V515:$AE515*($V515:$AE515&gt;0)*(($V515:$AE515&lt;Z515)+($V515:$AE515=Z515)*($V$3:$AE$3&gt;Z$3)+($V515:$AE515=Z515)*($V$3:$AE$3=Z$3)*($V$2:$AE$2&lt;Z$2))),2))))</f>
      </c>
      <c r="AK515" s="33">
        <f>IF(AA515&lt;=0,0,MAX(0,MIN(AA515,ROUND($AZ515-SUMPRODUCT($V515:$AE515*($V515:$AE515&gt;0)*(($V515:$AE515&lt;AA515)+($V515:$AE515=AA515)*($V$3:$AE$3&gt;AA$3)+($V515:$AE515=AA515)*($V$3:$AE$3=AA$3)*($V$2:$AE$2&lt;AA$2))),2))))</f>
      </c>
      <c r="AL515" s="33">
        <f>IF(AB515&lt;=0,0,MAX(0,MIN(AB515,ROUND($AZ515-SUMPRODUCT($V515:$AE515*($V515:$AE515&gt;0)*(($V515:$AE515&lt;AB515)+($V515:$AE515=AB515)*($V$3:$AE$3&gt;AB$3)+($V515:$AE515=AB515)*($V$3:$AE$3=AB$3)*($V$2:$AE$2&lt;AB$2))),2))))</f>
      </c>
      <c r="AM515" s="33">
        <f>IF(AC515&lt;=0,0,MAX(0,MIN(AC515,ROUND($AZ515-SUMPRODUCT($V515:$AE515*($V515:$AE515&gt;0)*(($V515:$AE515&lt;AC515)+($V515:$AE515=AC515)*($V$3:$AE$3&gt;AC$3)+($V515:$AE515=AC515)*($V$3:$AE$3=AC$3)*($V$2:$AE$2&lt;AC$2))),2))))</f>
      </c>
      <c r="AN515" s="33">
        <f>IF(AD515&lt;=0,0,MAX(0,MIN(AD515,ROUND($AZ515-SUMPRODUCT($V515:$AE515*($V515:$AE515&gt;0)*(($V515:$AE515&lt;AD515)+($V515:$AE515=AD515)*($V$3:$AE$3&gt;AD$3)+($V515:$AE515=AD515)*($V$3:$AE$3=AD$3)*($V$2:$AE$2&lt;AD$2))),2))))</f>
      </c>
      <c r="AO515" s="33">
        <f>IF(AE515&lt;=0,0,MAX(0,MIN(AE515,ROUND($AZ515-SUMPRODUCT($V515:$AE515*($V515:$AE515&gt;0)*(($V515:$AE515&lt;AE515)+($V515:$AE515=AE515)*($V$3:$AE$3&gt;AE$3)+($V515:$AE515=AE515)*($V$3:$AE$3=AE$3)*($V$2:$AE$2&lt;AE$2))),2))))</f>
      </c>
      <c r="AP515" s="33">
        <f>ROUND(V515-AF515,2)</f>
      </c>
      <c r="AQ515" s="33">
        <f>ROUND(W515-AG515,2)</f>
      </c>
      <c r="AR515" s="33">
        <f>ROUND(X515-AH515,2)</f>
      </c>
      <c r="AS515" s="33">
        <f>ROUND(Y515-AI515,2)</f>
      </c>
      <c r="AT515" s="33">
        <f>ROUND(Z515-AJ515,2)</f>
      </c>
      <c r="AU515" s="33">
        <f>ROUND(AA515-AK515,2)</f>
      </c>
      <c r="AV515" s="33">
        <f>ROUND(AB515-AL515,2)</f>
      </c>
      <c r="AW515" s="33">
        <f>ROUND(AC515-AM515,2)</f>
      </c>
      <c r="AX515" s="33">
        <f>ROUND(AD515-AN515,2)</f>
      </c>
      <c r="AY515" s="33">
        <f>ROUND(AE515-AO515,2)</f>
      </c>
      <c r="AZ515" s="33">
        <f>ROUND(MAX(0,'Your debts'!$D$22-SUM($L515:$U515)),2)</f>
      </c>
      <c r="BA515" s="33">
        <f>ROUND(SUM($B515:$K515)-SUM($AP514:$AY514),2)</f>
      </c>
      <c r="BB515" s="33">
        <f>SUM($AP515:$AY515)</f>
      </c>
      <c r="BC515" s="33">
        <f>ROUND(SUM($L515:$U515)+SUM($AF515:$AO515),2)</f>
      </c>
    </row>
    <row r="516" spans="1:55" x14ac:dyDescent="0.25">
      <c r="A516">
        <v>509</v>
      </c>
      <c r="B516" s="33">
        <f>IF(AP515&lt;=0,0,ROUND(AP515+ROUND(AP515*V$3/12,2),2))</f>
      </c>
      <c r="C516" s="33">
        <f>IF(AQ515&lt;=0,0,ROUND(AQ515+ROUND(AQ515*W$3/12,2),2))</f>
      </c>
      <c r="D516" s="33">
        <f>IF(AR515&lt;=0,0,ROUND(AR515+ROUND(AR515*X$3/12,2),2))</f>
      </c>
      <c r="E516" s="33">
        <f>IF(AS515&lt;=0,0,ROUND(AS515+ROUND(AS515*Y$3/12,2),2))</f>
      </c>
      <c r="F516" s="33">
        <f>IF(AT515&lt;=0,0,ROUND(AT515+ROUND(AT515*Z$3/12,2),2))</f>
      </c>
      <c r="G516" s="33">
        <f>IF(AU515&lt;=0,0,ROUND(AU515+ROUND(AU515*AA$3/12,2),2))</f>
      </c>
      <c r="H516" s="33">
        <f>IF(AV515&lt;=0,0,ROUND(AV515+ROUND(AV515*AB$3/12,2),2))</f>
      </c>
      <c r="I516" s="33">
        <f>IF(AW515&lt;=0,0,ROUND(AW515+ROUND(AW515*AC$3/12,2),2))</f>
      </c>
      <c r="J516" s="33">
        <f>IF(AX515&lt;=0,0,ROUND(AX515+ROUND(AX515*AD$3/12,2),2))</f>
      </c>
      <c r="K516" s="33">
        <f>IF(AY515&lt;=0,0,ROUND(AY515+ROUND(AY515*AE$3/12,2),2))</f>
      </c>
      <c r="L516" s="33">
        <f>ROUND(MIN(MAX(0,N('Your debts'!$E$6)),B516),2)</f>
      </c>
      <c r="M516" s="33">
        <f>ROUND(MIN(MAX(0,N('Your debts'!$E$7)),C516),2)</f>
      </c>
      <c r="N516" s="33">
        <f>ROUND(MIN(MAX(0,N('Your debts'!$E$8)),D516),2)</f>
      </c>
      <c r="O516" s="33">
        <f>ROUND(MIN(MAX(0,N('Your debts'!$E$9)),E516),2)</f>
      </c>
      <c r="P516" s="33">
        <f>ROUND(MIN(MAX(0,N('Your debts'!$E$10)),F516),2)</f>
      </c>
      <c r="Q516" s="33">
        <f>ROUND(MIN(MAX(0,N('Your debts'!$E$11)),G516),2)</f>
      </c>
      <c r="R516" s="33">
        <f>ROUND(MIN(MAX(0,N('Your debts'!$E$12)),H516),2)</f>
      </c>
      <c r="S516" s="33">
        <f>ROUND(MIN(MAX(0,N('Your debts'!$E$13)),I516),2)</f>
      </c>
      <c r="T516" s="33">
        <f>ROUND(MIN(MAX(0,N('Your debts'!$E$14)),J516),2)</f>
      </c>
      <c r="U516" s="33">
        <f>ROUND(MIN(MAX(0,N('Your debts'!$E$15)),K516),2)</f>
      </c>
      <c r="V516" s="33">
        <f>ROUND(B516-L516,2)</f>
      </c>
      <c r="W516" s="33">
        <f>ROUND(C516-M516,2)</f>
      </c>
      <c r="X516" s="33">
        <f>ROUND(D516-N516,2)</f>
      </c>
      <c r="Y516" s="33">
        <f>ROUND(E516-O516,2)</f>
      </c>
      <c r="Z516" s="33">
        <f>ROUND(F516-P516,2)</f>
      </c>
      <c r="AA516" s="33">
        <f>ROUND(G516-Q516,2)</f>
      </c>
      <c r="AB516" s="33">
        <f>ROUND(H516-R516,2)</f>
      </c>
      <c r="AC516" s="33">
        <f>ROUND(I516-S516,2)</f>
      </c>
      <c r="AD516" s="33">
        <f>ROUND(J516-T516,2)</f>
      </c>
      <c r="AE516" s="33">
        <f>ROUND(K516-U516,2)</f>
      </c>
      <c r="AF516" s="33">
        <f>IF(V516&lt;=0,0,MAX(0,MIN(V516,ROUND($AZ516-SUMPRODUCT($V516:$AE516*($V516:$AE516&gt;0)*(($V516:$AE516&lt;V516)+($V516:$AE516=V516)*($V$3:$AE$3&gt;V$3)+($V516:$AE516=V516)*($V$3:$AE$3=V$3)*($V$2:$AE$2&lt;V$2))),2))))</f>
      </c>
      <c r="AG516" s="33">
        <f>IF(W516&lt;=0,0,MAX(0,MIN(W516,ROUND($AZ516-SUMPRODUCT($V516:$AE516*($V516:$AE516&gt;0)*(($V516:$AE516&lt;W516)+($V516:$AE516=W516)*($V$3:$AE$3&gt;W$3)+($V516:$AE516=W516)*($V$3:$AE$3=W$3)*($V$2:$AE$2&lt;W$2))),2))))</f>
      </c>
      <c r="AH516" s="33">
        <f>IF(X516&lt;=0,0,MAX(0,MIN(X516,ROUND($AZ516-SUMPRODUCT($V516:$AE516*($V516:$AE516&gt;0)*(($V516:$AE516&lt;X516)+($V516:$AE516=X516)*($V$3:$AE$3&gt;X$3)+($V516:$AE516=X516)*($V$3:$AE$3=X$3)*($V$2:$AE$2&lt;X$2))),2))))</f>
      </c>
      <c r="AI516" s="33">
        <f>IF(Y516&lt;=0,0,MAX(0,MIN(Y516,ROUND($AZ516-SUMPRODUCT($V516:$AE516*($V516:$AE516&gt;0)*(($V516:$AE516&lt;Y516)+($V516:$AE516=Y516)*($V$3:$AE$3&gt;Y$3)+($V516:$AE516=Y516)*($V$3:$AE$3=Y$3)*($V$2:$AE$2&lt;Y$2))),2))))</f>
      </c>
      <c r="AJ516" s="33">
        <f>IF(Z516&lt;=0,0,MAX(0,MIN(Z516,ROUND($AZ516-SUMPRODUCT($V516:$AE516*($V516:$AE516&gt;0)*(($V516:$AE516&lt;Z516)+($V516:$AE516=Z516)*($V$3:$AE$3&gt;Z$3)+($V516:$AE516=Z516)*($V$3:$AE$3=Z$3)*($V$2:$AE$2&lt;Z$2))),2))))</f>
      </c>
      <c r="AK516" s="33">
        <f>IF(AA516&lt;=0,0,MAX(0,MIN(AA516,ROUND($AZ516-SUMPRODUCT($V516:$AE516*($V516:$AE516&gt;0)*(($V516:$AE516&lt;AA516)+($V516:$AE516=AA516)*($V$3:$AE$3&gt;AA$3)+($V516:$AE516=AA516)*($V$3:$AE$3=AA$3)*($V$2:$AE$2&lt;AA$2))),2))))</f>
      </c>
      <c r="AL516" s="33">
        <f>IF(AB516&lt;=0,0,MAX(0,MIN(AB516,ROUND($AZ516-SUMPRODUCT($V516:$AE516*($V516:$AE516&gt;0)*(($V516:$AE516&lt;AB516)+($V516:$AE516=AB516)*($V$3:$AE$3&gt;AB$3)+($V516:$AE516=AB516)*($V$3:$AE$3=AB$3)*($V$2:$AE$2&lt;AB$2))),2))))</f>
      </c>
      <c r="AM516" s="33">
        <f>IF(AC516&lt;=0,0,MAX(0,MIN(AC516,ROUND($AZ516-SUMPRODUCT($V516:$AE516*($V516:$AE516&gt;0)*(($V516:$AE516&lt;AC516)+($V516:$AE516=AC516)*($V$3:$AE$3&gt;AC$3)+($V516:$AE516=AC516)*($V$3:$AE$3=AC$3)*($V$2:$AE$2&lt;AC$2))),2))))</f>
      </c>
      <c r="AN516" s="33">
        <f>IF(AD516&lt;=0,0,MAX(0,MIN(AD516,ROUND($AZ516-SUMPRODUCT($V516:$AE516*($V516:$AE516&gt;0)*(($V516:$AE516&lt;AD516)+($V516:$AE516=AD516)*($V$3:$AE$3&gt;AD$3)+($V516:$AE516=AD516)*($V$3:$AE$3=AD$3)*($V$2:$AE$2&lt;AD$2))),2))))</f>
      </c>
      <c r="AO516" s="33">
        <f>IF(AE516&lt;=0,0,MAX(0,MIN(AE516,ROUND($AZ516-SUMPRODUCT($V516:$AE516*($V516:$AE516&gt;0)*(($V516:$AE516&lt;AE516)+($V516:$AE516=AE516)*($V$3:$AE$3&gt;AE$3)+($V516:$AE516=AE516)*($V$3:$AE$3=AE$3)*($V$2:$AE$2&lt;AE$2))),2))))</f>
      </c>
      <c r="AP516" s="33">
        <f>ROUND(V516-AF516,2)</f>
      </c>
      <c r="AQ516" s="33">
        <f>ROUND(W516-AG516,2)</f>
      </c>
      <c r="AR516" s="33">
        <f>ROUND(X516-AH516,2)</f>
      </c>
      <c r="AS516" s="33">
        <f>ROUND(Y516-AI516,2)</f>
      </c>
      <c r="AT516" s="33">
        <f>ROUND(Z516-AJ516,2)</f>
      </c>
      <c r="AU516" s="33">
        <f>ROUND(AA516-AK516,2)</f>
      </c>
      <c r="AV516" s="33">
        <f>ROUND(AB516-AL516,2)</f>
      </c>
      <c r="AW516" s="33">
        <f>ROUND(AC516-AM516,2)</f>
      </c>
      <c r="AX516" s="33">
        <f>ROUND(AD516-AN516,2)</f>
      </c>
      <c r="AY516" s="33">
        <f>ROUND(AE516-AO516,2)</f>
      </c>
      <c r="AZ516" s="33">
        <f>ROUND(MAX(0,'Your debts'!$D$22-SUM($L516:$U516)),2)</f>
      </c>
      <c r="BA516" s="33">
        <f>ROUND(SUM($B516:$K516)-SUM($AP515:$AY515),2)</f>
      </c>
      <c r="BB516" s="33">
        <f>SUM($AP516:$AY516)</f>
      </c>
      <c r="BC516" s="33">
        <f>ROUND(SUM($L516:$U516)+SUM($AF516:$AO516),2)</f>
      </c>
    </row>
    <row r="517" spans="1:55" x14ac:dyDescent="0.25">
      <c r="A517">
        <v>510</v>
      </c>
      <c r="B517" s="33">
        <f>IF(AP516&lt;=0,0,ROUND(AP516+ROUND(AP516*V$3/12,2),2))</f>
      </c>
      <c r="C517" s="33">
        <f>IF(AQ516&lt;=0,0,ROUND(AQ516+ROUND(AQ516*W$3/12,2),2))</f>
      </c>
      <c r="D517" s="33">
        <f>IF(AR516&lt;=0,0,ROUND(AR516+ROUND(AR516*X$3/12,2),2))</f>
      </c>
      <c r="E517" s="33">
        <f>IF(AS516&lt;=0,0,ROUND(AS516+ROUND(AS516*Y$3/12,2),2))</f>
      </c>
      <c r="F517" s="33">
        <f>IF(AT516&lt;=0,0,ROUND(AT516+ROUND(AT516*Z$3/12,2),2))</f>
      </c>
      <c r="G517" s="33">
        <f>IF(AU516&lt;=0,0,ROUND(AU516+ROUND(AU516*AA$3/12,2),2))</f>
      </c>
      <c r="H517" s="33">
        <f>IF(AV516&lt;=0,0,ROUND(AV516+ROUND(AV516*AB$3/12,2),2))</f>
      </c>
      <c r="I517" s="33">
        <f>IF(AW516&lt;=0,0,ROUND(AW516+ROUND(AW516*AC$3/12,2),2))</f>
      </c>
      <c r="J517" s="33">
        <f>IF(AX516&lt;=0,0,ROUND(AX516+ROUND(AX516*AD$3/12,2),2))</f>
      </c>
      <c r="K517" s="33">
        <f>IF(AY516&lt;=0,0,ROUND(AY516+ROUND(AY516*AE$3/12,2),2))</f>
      </c>
      <c r="L517" s="33">
        <f>ROUND(MIN(MAX(0,N('Your debts'!$E$6)),B517),2)</f>
      </c>
      <c r="M517" s="33">
        <f>ROUND(MIN(MAX(0,N('Your debts'!$E$7)),C517),2)</f>
      </c>
      <c r="N517" s="33">
        <f>ROUND(MIN(MAX(0,N('Your debts'!$E$8)),D517),2)</f>
      </c>
      <c r="O517" s="33">
        <f>ROUND(MIN(MAX(0,N('Your debts'!$E$9)),E517),2)</f>
      </c>
      <c r="P517" s="33">
        <f>ROUND(MIN(MAX(0,N('Your debts'!$E$10)),F517),2)</f>
      </c>
      <c r="Q517" s="33">
        <f>ROUND(MIN(MAX(0,N('Your debts'!$E$11)),G517),2)</f>
      </c>
      <c r="R517" s="33">
        <f>ROUND(MIN(MAX(0,N('Your debts'!$E$12)),H517),2)</f>
      </c>
      <c r="S517" s="33">
        <f>ROUND(MIN(MAX(0,N('Your debts'!$E$13)),I517),2)</f>
      </c>
      <c r="T517" s="33">
        <f>ROUND(MIN(MAX(0,N('Your debts'!$E$14)),J517),2)</f>
      </c>
      <c r="U517" s="33">
        <f>ROUND(MIN(MAX(0,N('Your debts'!$E$15)),K517),2)</f>
      </c>
      <c r="V517" s="33">
        <f>ROUND(B517-L517,2)</f>
      </c>
      <c r="W517" s="33">
        <f>ROUND(C517-M517,2)</f>
      </c>
      <c r="X517" s="33">
        <f>ROUND(D517-N517,2)</f>
      </c>
      <c r="Y517" s="33">
        <f>ROUND(E517-O517,2)</f>
      </c>
      <c r="Z517" s="33">
        <f>ROUND(F517-P517,2)</f>
      </c>
      <c r="AA517" s="33">
        <f>ROUND(G517-Q517,2)</f>
      </c>
      <c r="AB517" s="33">
        <f>ROUND(H517-R517,2)</f>
      </c>
      <c r="AC517" s="33">
        <f>ROUND(I517-S517,2)</f>
      </c>
      <c r="AD517" s="33">
        <f>ROUND(J517-T517,2)</f>
      </c>
      <c r="AE517" s="33">
        <f>ROUND(K517-U517,2)</f>
      </c>
      <c r="AF517" s="33">
        <f>IF(V517&lt;=0,0,MAX(0,MIN(V517,ROUND($AZ517-SUMPRODUCT($V517:$AE517*($V517:$AE517&gt;0)*(($V517:$AE517&lt;V517)+($V517:$AE517=V517)*($V$3:$AE$3&gt;V$3)+($V517:$AE517=V517)*($V$3:$AE$3=V$3)*($V$2:$AE$2&lt;V$2))),2))))</f>
      </c>
      <c r="AG517" s="33">
        <f>IF(W517&lt;=0,0,MAX(0,MIN(W517,ROUND($AZ517-SUMPRODUCT($V517:$AE517*($V517:$AE517&gt;0)*(($V517:$AE517&lt;W517)+($V517:$AE517=W517)*($V$3:$AE$3&gt;W$3)+($V517:$AE517=W517)*($V$3:$AE$3=W$3)*($V$2:$AE$2&lt;W$2))),2))))</f>
      </c>
      <c r="AH517" s="33">
        <f>IF(X517&lt;=0,0,MAX(0,MIN(X517,ROUND($AZ517-SUMPRODUCT($V517:$AE517*($V517:$AE517&gt;0)*(($V517:$AE517&lt;X517)+($V517:$AE517=X517)*($V$3:$AE$3&gt;X$3)+($V517:$AE517=X517)*($V$3:$AE$3=X$3)*($V$2:$AE$2&lt;X$2))),2))))</f>
      </c>
      <c r="AI517" s="33">
        <f>IF(Y517&lt;=0,0,MAX(0,MIN(Y517,ROUND($AZ517-SUMPRODUCT($V517:$AE517*($V517:$AE517&gt;0)*(($V517:$AE517&lt;Y517)+($V517:$AE517=Y517)*($V$3:$AE$3&gt;Y$3)+($V517:$AE517=Y517)*($V$3:$AE$3=Y$3)*($V$2:$AE$2&lt;Y$2))),2))))</f>
      </c>
      <c r="AJ517" s="33">
        <f>IF(Z517&lt;=0,0,MAX(0,MIN(Z517,ROUND($AZ517-SUMPRODUCT($V517:$AE517*($V517:$AE517&gt;0)*(($V517:$AE517&lt;Z517)+($V517:$AE517=Z517)*($V$3:$AE$3&gt;Z$3)+($V517:$AE517=Z517)*($V$3:$AE$3=Z$3)*($V$2:$AE$2&lt;Z$2))),2))))</f>
      </c>
      <c r="AK517" s="33">
        <f>IF(AA517&lt;=0,0,MAX(0,MIN(AA517,ROUND($AZ517-SUMPRODUCT($V517:$AE517*($V517:$AE517&gt;0)*(($V517:$AE517&lt;AA517)+($V517:$AE517=AA517)*($V$3:$AE$3&gt;AA$3)+($V517:$AE517=AA517)*($V$3:$AE$3=AA$3)*($V$2:$AE$2&lt;AA$2))),2))))</f>
      </c>
      <c r="AL517" s="33">
        <f>IF(AB517&lt;=0,0,MAX(0,MIN(AB517,ROUND($AZ517-SUMPRODUCT($V517:$AE517*($V517:$AE517&gt;0)*(($V517:$AE517&lt;AB517)+($V517:$AE517=AB517)*($V$3:$AE$3&gt;AB$3)+($V517:$AE517=AB517)*($V$3:$AE$3=AB$3)*($V$2:$AE$2&lt;AB$2))),2))))</f>
      </c>
      <c r="AM517" s="33">
        <f>IF(AC517&lt;=0,0,MAX(0,MIN(AC517,ROUND($AZ517-SUMPRODUCT($V517:$AE517*($V517:$AE517&gt;0)*(($V517:$AE517&lt;AC517)+($V517:$AE517=AC517)*($V$3:$AE$3&gt;AC$3)+($V517:$AE517=AC517)*($V$3:$AE$3=AC$3)*($V$2:$AE$2&lt;AC$2))),2))))</f>
      </c>
      <c r="AN517" s="33">
        <f>IF(AD517&lt;=0,0,MAX(0,MIN(AD517,ROUND($AZ517-SUMPRODUCT($V517:$AE517*($V517:$AE517&gt;0)*(($V517:$AE517&lt;AD517)+($V517:$AE517=AD517)*($V$3:$AE$3&gt;AD$3)+($V517:$AE517=AD517)*($V$3:$AE$3=AD$3)*($V$2:$AE$2&lt;AD$2))),2))))</f>
      </c>
      <c r="AO517" s="33">
        <f>IF(AE517&lt;=0,0,MAX(0,MIN(AE517,ROUND($AZ517-SUMPRODUCT($V517:$AE517*($V517:$AE517&gt;0)*(($V517:$AE517&lt;AE517)+($V517:$AE517=AE517)*($V$3:$AE$3&gt;AE$3)+($V517:$AE517=AE517)*($V$3:$AE$3=AE$3)*($V$2:$AE$2&lt;AE$2))),2))))</f>
      </c>
      <c r="AP517" s="33">
        <f>ROUND(V517-AF517,2)</f>
      </c>
      <c r="AQ517" s="33">
        <f>ROUND(W517-AG517,2)</f>
      </c>
      <c r="AR517" s="33">
        <f>ROUND(X517-AH517,2)</f>
      </c>
      <c r="AS517" s="33">
        <f>ROUND(Y517-AI517,2)</f>
      </c>
      <c r="AT517" s="33">
        <f>ROUND(Z517-AJ517,2)</f>
      </c>
      <c r="AU517" s="33">
        <f>ROUND(AA517-AK517,2)</f>
      </c>
      <c r="AV517" s="33">
        <f>ROUND(AB517-AL517,2)</f>
      </c>
      <c r="AW517" s="33">
        <f>ROUND(AC517-AM517,2)</f>
      </c>
      <c r="AX517" s="33">
        <f>ROUND(AD517-AN517,2)</f>
      </c>
      <c r="AY517" s="33">
        <f>ROUND(AE517-AO517,2)</f>
      </c>
      <c r="AZ517" s="33">
        <f>ROUND(MAX(0,'Your debts'!$D$22-SUM($L517:$U517)),2)</f>
      </c>
      <c r="BA517" s="33">
        <f>ROUND(SUM($B517:$K517)-SUM($AP516:$AY516),2)</f>
      </c>
      <c r="BB517" s="33">
        <f>SUM($AP517:$AY517)</f>
      </c>
      <c r="BC517" s="33">
        <f>ROUND(SUM($L517:$U517)+SUM($AF517:$AO517),2)</f>
      </c>
    </row>
    <row r="518" spans="1:55" x14ac:dyDescent="0.25">
      <c r="A518">
        <v>511</v>
      </c>
      <c r="B518" s="33">
        <f>IF(AP517&lt;=0,0,ROUND(AP517+ROUND(AP517*V$3/12,2),2))</f>
      </c>
      <c r="C518" s="33">
        <f>IF(AQ517&lt;=0,0,ROUND(AQ517+ROUND(AQ517*W$3/12,2),2))</f>
      </c>
      <c r="D518" s="33">
        <f>IF(AR517&lt;=0,0,ROUND(AR517+ROUND(AR517*X$3/12,2),2))</f>
      </c>
      <c r="E518" s="33">
        <f>IF(AS517&lt;=0,0,ROUND(AS517+ROUND(AS517*Y$3/12,2),2))</f>
      </c>
      <c r="F518" s="33">
        <f>IF(AT517&lt;=0,0,ROUND(AT517+ROUND(AT517*Z$3/12,2),2))</f>
      </c>
      <c r="G518" s="33">
        <f>IF(AU517&lt;=0,0,ROUND(AU517+ROUND(AU517*AA$3/12,2),2))</f>
      </c>
      <c r="H518" s="33">
        <f>IF(AV517&lt;=0,0,ROUND(AV517+ROUND(AV517*AB$3/12,2),2))</f>
      </c>
      <c r="I518" s="33">
        <f>IF(AW517&lt;=0,0,ROUND(AW517+ROUND(AW517*AC$3/12,2),2))</f>
      </c>
      <c r="J518" s="33">
        <f>IF(AX517&lt;=0,0,ROUND(AX517+ROUND(AX517*AD$3/12,2),2))</f>
      </c>
      <c r="K518" s="33">
        <f>IF(AY517&lt;=0,0,ROUND(AY517+ROUND(AY517*AE$3/12,2),2))</f>
      </c>
      <c r="L518" s="33">
        <f>ROUND(MIN(MAX(0,N('Your debts'!$E$6)),B518),2)</f>
      </c>
      <c r="M518" s="33">
        <f>ROUND(MIN(MAX(0,N('Your debts'!$E$7)),C518),2)</f>
      </c>
      <c r="N518" s="33">
        <f>ROUND(MIN(MAX(0,N('Your debts'!$E$8)),D518),2)</f>
      </c>
      <c r="O518" s="33">
        <f>ROUND(MIN(MAX(0,N('Your debts'!$E$9)),E518),2)</f>
      </c>
      <c r="P518" s="33">
        <f>ROUND(MIN(MAX(0,N('Your debts'!$E$10)),F518),2)</f>
      </c>
      <c r="Q518" s="33">
        <f>ROUND(MIN(MAX(0,N('Your debts'!$E$11)),G518),2)</f>
      </c>
      <c r="R518" s="33">
        <f>ROUND(MIN(MAX(0,N('Your debts'!$E$12)),H518),2)</f>
      </c>
      <c r="S518" s="33">
        <f>ROUND(MIN(MAX(0,N('Your debts'!$E$13)),I518),2)</f>
      </c>
      <c r="T518" s="33">
        <f>ROUND(MIN(MAX(0,N('Your debts'!$E$14)),J518),2)</f>
      </c>
      <c r="U518" s="33">
        <f>ROUND(MIN(MAX(0,N('Your debts'!$E$15)),K518),2)</f>
      </c>
      <c r="V518" s="33">
        <f>ROUND(B518-L518,2)</f>
      </c>
      <c r="W518" s="33">
        <f>ROUND(C518-M518,2)</f>
      </c>
      <c r="X518" s="33">
        <f>ROUND(D518-N518,2)</f>
      </c>
      <c r="Y518" s="33">
        <f>ROUND(E518-O518,2)</f>
      </c>
      <c r="Z518" s="33">
        <f>ROUND(F518-P518,2)</f>
      </c>
      <c r="AA518" s="33">
        <f>ROUND(G518-Q518,2)</f>
      </c>
      <c r="AB518" s="33">
        <f>ROUND(H518-R518,2)</f>
      </c>
      <c r="AC518" s="33">
        <f>ROUND(I518-S518,2)</f>
      </c>
      <c r="AD518" s="33">
        <f>ROUND(J518-T518,2)</f>
      </c>
      <c r="AE518" s="33">
        <f>ROUND(K518-U518,2)</f>
      </c>
      <c r="AF518" s="33">
        <f>IF(V518&lt;=0,0,MAX(0,MIN(V518,ROUND($AZ518-SUMPRODUCT($V518:$AE518*($V518:$AE518&gt;0)*(($V518:$AE518&lt;V518)+($V518:$AE518=V518)*($V$3:$AE$3&gt;V$3)+($V518:$AE518=V518)*($V$3:$AE$3=V$3)*($V$2:$AE$2&lt;V$2))),2))))</f>
      </c>
      <c r="AG518" s="33">
        <f>IF(W518&lt;=0,0,MAX(0,MIN(W518,ROUND($AZ518-SUMPRODUCT($V518:$AE518*($V518:$AE518&gt;0)*(($V518:$AE518&lt;W518)+($V518:$AE518=W518)*($V$3:$AE$3&gt;W$3)+($V518:$AE518=W518)*($V$3:$AE$3=W$3)*($V$2:$AE$2&lt;W$2))),2))))</f>
      </c>
      <c r="AH518" s="33">
        <f>IF(X518&lt;=0,0,MAX(0,MIN(X518,ROUND($AZ518-SUMPRODUCT($V518:$AE518*($V518:$AE518&gt;0)*(($V518:$AE518&lt;X518)+($V518:$AE518=X518)*($V$3:$AE$3&gt;X$3)+($V518:$AE518=X518)*($V$3:$AE$3=X$3)*($V$2:$AE$2&lt;X$2))),2))))</f>
      </c>
      <c r="AI518" s="33">
        <f>IF(Y518&lt;=0,0,MAX(0,MIN(Y518,ROUND($AZ518-SUMPRODUCT($V518:$AE518*($V518:$AE518&gt;0)*(($V518:$AE518&lt;Y518)+($V518:$AE518=Y518)*($V$3:$AE$3&gt;Y$3)+($V518:$AE518=Y518)*($V$3:$AE$3=Y$3)*($V$2:$AE$2&lt;Y$2))),2))))</f>
      </c>
      <c r="AJ518" s="33">
        <f>IF(Z518&lt;=0,0,MAX(0,MIN(Z518,ROUND($AZ518-SUMPRODUCT($V518:$AE518*($V518:$AE518&gt;0)*(($V518:$AE518&lt;Z518)+($V518:$AE518=Z518)*($V$3:$AE$3&gt;Z$3)+($V518:$AE518=Z518)*($V$3:$AE$3=Z$3)*($V$2:$AE$2&lt;Z$2))),2))))</f>
      </c>
      <c r="AK518" s="33">
        <f>IF(AA518&lt;=0,0,MAX(0,MIN(AA518,ROUND($AZ518-SUMPRODUCT($V518:$AE518*($V518:$AE518&gt;0)*(($V518:$AE518&lt;AA518)+($V518:$AE518=AA518)*($V$3:$AE$3&gt;AA$3)+($V518:$AE518=AA518)*($V$3:$AE$3=AA$3)*($V$2:$AE$2&lt;AA$2))),2))))</f>
      </c>
      <c r="AL518" s="33">
        <f>IF(AB518&lt;=0,0,MAX(0,MIN(AB518,ROUND($AZ518-SUMPRODUCT($V518:$AE518*($V518:$AE518&gt;0)*(($V518:$AE518&lt;AB518)+($V518:$AE518=AB518)*($V$3:$AE$3&gt;AB$3)+($V518:$AE518=AB518)*($V$3:$AE$3=AB$3)*($V$2:$AE$2&lt;AB$2))),2))))</f>
      </c>
      <c r="AM518" s="33">
        <f>IF(AC518&lt;=0,0,MAX(0,MIN(AC518,ROUND($AZ518-SUMPRODUCT($V518:$AE518*($V518:$AE518&gt;0)*(($V518:$AE518&lt;AC518)+($V518:$AE518=AC518)*($V$3:$AE$3&gt;AC$3)+($V518:$AE518=AC518)*($V$3:$AE$3=AC$3)*($V$2:$AE$2&lt;AC$2))),2))))</f>
      </c>
      <c r="AN518" s="33">
        <f>IF(AD518&lt;=0,0,MAX(0,MIN(AD518,ROUND($AZ518-SUMPRODUCT($V518:$AE518*($V518:$AE518&gt;0)*(($V518:$AE518&lt;AD518)+($V518:$AE518=AD518)*($V$3:$AE$3&gt;AD$3)+($V518:$AE518=AD518)*($V$3:$AE$3=AD$3)*($V$2:$AE$2&lt;AD$2))),2))))</f>
      </c>
      <c r="AO518" s="33">
        <f>IF(AE518&lt;=0,0,MAX(0,MIN(AE518,ROUND($AZ518-SUMPRODUCT($V518:$AE518*($V518:$AE518&gt;0)*(($V518:$AE518&lt;AE518)+($V518:$AE518=AE518)*($V$3:$AE$3&gt;AE$3)+($V518:$AE518=AE518)*($V$3:$AE$3=AE$3)*($V$2:$AE$2&lt;AE$2))),2))))</f>
      </c>
      <c r="AP518" s="33">
        <f>ROUND(V518-AF518,2)</f>
      </c>
      <c r="AQ518" s="33">
        <f>ROUND(W518-AG518,2)</f>
      </c>
      <c r="AR518" s="33">
        <f>ROUND(X518-AH518,2)</f>
      </c>
      <c r="AS518" s="33">
        <f>ROUND(Y518-AI518,2)</f>
      </c>
      <c r="AT518" s="33">
        <f>ROUND(Z518-AJ518,2)</f>
      </c>
      <c r="AU518" s="33">
        <f>ROUND(AA518-AK518,2)</f>
      </c>
      <c r="AV518" s="33">
        <f>ROUND(AB518-AL518,2)</f>
      </c>
      <c r="AW518" s="33">
        <f>ROUND(AC518-AM518,2)</f>
      </c>
      <c r="AX518" s="33">
        <f>ROUND(AD518-AN518,2)</f>
      </c>
      <c r="AY518" s="33">
        <f>ROUND(AE518-AO518,2)</f>
      </c>
      <c r="AZ518" s="33">
        <f>ROUND(MAX(0,'Your debts'!$D$22-SUM($L518:$U518)),2)</f>
      </c>
      <c r="BA518" s="33">
        <f>ROUND(SUM($B518:$K518)-SUM($AP517:$AY517),2)</f>
      </c>
      <c r="BB518" s="33">
        <f>SUM($AP518:$AY518)</f>
      </c>
      <c r="BC518" s="33">
        <f>ROUND(SUM($L518:$U518)+SUM($AF518:$AO518),2)</f>
      </c>
    </row>
    <row r="519" spans="1:55" x14ac:dyDescent="0.25">
      <c r="A519">
        <v>512</v>
      </c>
      <c r="B519" s="33">
        <f>IF(AP518&lt;=0,0,ROUND(AP518+ROUND(AP518*V$3/12,2),2))</f>
      </c>
      <c r="C519" s="33">
        <f>IF(AQ518&lt;=0,0,ROUND(AQ518+ROUND(AQ518*W$3/12,2),2))</f>
      </c>
      <c r="D519" s="33">
        <f>IF(AR518&lt;=0,0,ROUND(AR518+ROUND(AR518*X$3/12,2),2))</f>
      </c>
      <c r="E519" s="33">
        <f>IF(AS518&lt;=0,0,ROUND(AS518+ROUND(AS518*Y$3/12,2),2))</f>
      </c>
      <c r="F519" s="33">
        <f>IF(AT518&lt;=0,0,ROUND(AT518+ROUND(AT518*Z$3/12,2),2))</f>
      </c>
      <c r="G519" s="33">
        <f>IF(AU518&lt;=0,0,ROUND(AU518+ROUND(AU518*AA$3/12,2),2))</f>
      </c>
      <c r="H519" s="33">
        <f>IF(AV518&lt;=0,0,ROUND(AV518+ROUND(AV518*AB$3/12,2),2))</f>
      </c>
      <c r="I519" s="33">
        <f>IF(AW518&lt;=0,0,ROUND(AW518+ROUND(AW518*AC$3/12,2),2))</f>
      </c>
      <c r="J519" s="33">
        <f>IF(AX518&lt;=0,0,ROUND(AX518+ROUND(AX518*AD$3/12,2),2))</f>
      </c>
      <c r="K519" s="33">
        <f>IF(AY518&lt;=0,0,ROUND(AY518+ROUND(AY518*AE$3/12,2),2))</f>
      </c>
      <c r="L519" s="33">
        <f>ROUND(MIN(MAX(0,N('Your debts'!$E$6)),B519),2)</f>
      </c>
      <c r="M519" s="33">
        <f>ROUND(MIN(MAX(0,N('Your debts'!$E$7)),C519),2)</f>
      </c>
      <c r="N519" s="33">
        <f>ROUND(MIN(MAX(0,N('Your debts'!$E$8)),D519),2)</f>
      </c>
      <c r="O519" s="33">
        <f>ROUND(MIN(MAX(0,N('Your debts'!$E$9)),E519),2)</f>
      </c>
      <c r="P519" s="33">
        <f>ROUND(MIN(MAX(0,N('Your debts'!$E$10)),F519),2)</f>
      </c>
      <c r="Q519" s="33">
        <f>ROUND(MIN(MAX(0,N('Your debts'!$E$11)),G519),2)</f>
      </c>
      <c r="R519" s="33">
        <f>ROUND(MIN(MAX(0,N('Your debts'!$E$12)),H519),2)</f>
      </c>
      <c r="S519" s="33">
        <f>ROUND(MIN(MAX(0,N('Your debts'!$E$13)),I519),2)</f>
      </c>
      <c r="T519" s="33">
        <f>ROUND(MIN(MAX(0,N('Your debts'!$E$14)),J519),2)</f>
      </c>
      <c r="U519" s="33">
        <f>ROUND(MIN(MAX(0,N('Your debts'!$E$15)),K519),2)</f>
      </c>
      <c r="V519" s="33">
        <f>ROUND(B519-L519,2)</f>
      </c>
      <c r="W519" s="33">
        <f>ROUND(C519-M519,2)</f>
      </c>
      <c r="X519" s="33">
        <f>ROUND(D519-N519,2)</f>
      </c>
      <c r="Y519" s="33">
        <f>ROUND(E519-O519,2)</f>
      </c>
      <c r="Z519" s="33">
        <f>ROUND(F519-P519,2)</f>
      </c>
      <c r="AA519" s="33">
        <f>ROUND(G519-Q519,2)</f>
      </c>
      <c r="AB519" s="33">
        <f>ROUND(H519-R519,2)</f>
      </c>
      <c r="AC519" s="33">
        <f>ROUND(I519-S519,2)</f>
      </c>
      <c r="AD519" s="33">
        <f>ROUND(J519-T519,2)</f>
      </c>
      <c r="AE519" s="33">
        <f>ROUND(K519-U519,2)</f>
      </c>
      <c r="AF519" s="33">
        <f>IF(V519&lt;=0,0,MAX(0,MIN(V519,ROUND($AZ519-SUMPRODUCT($V519:$AE519*($V519:$AE519&gt;0)*(($V519:$AE519&lt;V519)+($V519:$AE519=V519)*($V$3:$AE$3&gt;V$3)+($V519:$AE519=V519)*($V$3:$AE$3=V$3)*($V$2:$AE$2&lt;V$2))),2))))</f>
      </c>
      <c r="AG519" s="33">
        <f>IF(W519&lt;=0,0,MAX(0,MIN(W519,ROUND($AZ519-SUMPRODUCT($V519:$AE519*($V519:$AE519&gt;0)*(($V519:$AE519&lt;W519)+($V519:$AE519=W519)*($V$3:$AE$3&gt;W$3)+($V519:$AE519=W519)*($V$3:$AE$3=W$3)*($V$2:$AE$2&lt;W$2))),2))))</f>
      </c>
      <c r="AH519" s="33">
        <f>IF(X519&lt;=0,0,MAX(0,MIN(X519,ROUND($AZ519-SUMPRODUCT($V519:$AE519*($V519:$AE519&gt;0)*(($V519:$AE519&lt;X519)+($V519:$AE519=X519)*($V$3:$AE$3&gt;X$3)+($V519:$AE519=X519)*($V$3:$AE$3=X$3)*($V$2:$AE$2&lt;X$2))),2))))</f>
      </c>
      <c r="AI519" s="33">
        <f>IF(Y519&lt;=0,0,MAX(0,MIN(Y519,ROUND($AZ519-SUMPRODUCT($V519:$AE519*($V519:$AE519&gt;0)*(($V519:$AE519&lt;Y519)+($V519:$AE519=Y519)*($V$3:$AE$3&gt;Y$3)+($V519:$AE519=Y519)*($V$3:$AE$3=Y$3)*($V$2:$AE$2&lt;Y$2))),2))))</f>
      </c>
      <c r="AJ519" s="33">
        <f>IF(Z519&lt;=0,0,MAX(0,MIN(Z519,ROUND($AZ519-SUMPRODUCT($V519:$AE519*($V519:$AE519&gt;0)*(($V519:$AE519&lt;Z519)+($V519:$AE519=Z519)*($V$3:$AE$3&gt;Z$3)+($V519:$AE519=Z519)*($V$3:$AE$3=Z$3)*($V$2:$AE$2&lt;Z$2))),2))))</f>
      </c>
      <c r="AK519" s="33">
        <f>IF(AA519&lt;=0,0,MAX(0,MIN(AA519,ROUND($AZ519-SUMPRODUCT($V519:$AE519*($V519:$AE519&gt;0)*(($V519:$AE519&lt;AA519)+($V519:$AE519=AA519)*($V$3:$AE$3&gt;AA$3)+($V519:$AE519=AA519)*($V$3:$AE$3=AA$3)*($V$2:$AE$2&lt;AA$2))),2))))</f>
      </c>
      <c r="AL519" s="33">
        <f>IF(AB519&lt;=0,0,MAX(0,MIN(AB519,ROUND($AZ519-SUMPRODUCT($V519:$AE519*($V519:$AE519&gt;0)*(($V519:$AE519&lt;AB519)+($V519:$AE519=AB519)*($V$3:$AE$3&gt;AB$3)+($V519:$AE519=AB519)*($V$3:$AE$3=AB$3)*($V$2:$AE$2&lt;AB$2))),2))))</f>
      </c>
      <c r="AM519" s="33">
        <f>IF(AC519&lt;=0,0,MAX(0,MIN(AC519,ROUND($AZ519-SUMPRODUCT($V519:$AE519*($V519:$AE519&gt;0)*(($V519:$AE519&lt;AC519)+($V519:$AE519=AC519)*($V$3:$AE$3&gt;AC$3)+($V519:$AE519=AC519)*($V$3:$AE$3=AC$3)*($V$2:$AE$2&lt;AC$2))),2))))</f>
      </c>
      <c r="AN519" s="33">
        <f>IF(AD519&lt;=0,0,MAX(0,MIN(AD519,ROUND($AZ519-SUMPRODUCT($V519:$AE519*($V519:$AE519&gt;0)*(($V519:$AE519&lt;AD519)+($V519:$AE519=AD519)*($V$3:$AE$3&gt;AD$3)+($V519:$AE519=AD519)*($V$3:$AE$3=AD$3)*($V$2:$AE$2&lt;AD$2))),2))))</f>
      </c>
      <c r="AO519" s="33">
        <f>IF(AE519&lt;=0,0,MAX(0,MIN(AE519,ROUND($AZ519-SUMPRODUCT($V519:$AE519*($V519:$AE519&gt;0)*(($V519:$AE519&lt;AE519)+($V519:$AE519=AE519)*($V$3:$AE$3&gt;AE$3)+($V519:$AE519=AE519)*($V$3:$AE$3=AE$3)*($V$2:$AE$2&lt;AE$2))),2))))</f>
      </c>
      <c r="AP519" s="33">
        <f>ROUND(V519-AF519,2)</f>
      </c>
      <c r="AQ519" s="33">
        <f>ROUND(W519-AG519,2)</f>
      </c>
      <c r="AR519" s="33">
        <f>ROUND(X519-AH519,2)</f>
      </c>
      <c r="AS519" s="33">
        <f>ROUND(Y519-AI519,2)</f>
      </c>
      <c r="AT519" s="33">
        <f>ROUND(Z519-AJ519,2)</f>
      </c>
      <c r="AU519" s="33">
        <f>ROUND(AA519-AK519,2)</f>
      </c>
      <c r="AV519" s="33">
        <f>ROUND(AB519-AL519,2)</f>
      </c>
      <c r="AW519" s="33">
        <f>ROUND(AC519-AM519,2)</f>
      </c>
      <c r="AX519" s="33">
        <f>ROUND(AD519-AN519,2)</f>
      </c>
      <c r="AY519" s="33">
        <f>ROUND(AE519-AO519,2)</f>
      </c>
      <c r="AZ519" s="33">
        <f>ROUND(MAX(0,'Your debts'!$D$22-SUM($L519:$U519)),2)</f>
      </c>
      <c r="BA519" s="33">
        <f>ROUND(SUM($B519:$K519)-SUM($AP518:$AY518),2)</f>
      </c>
      <c r="BB519" s="33">
        <f>SUM($AP519:$AY519)</f>
      </c>
      <c r="BC519" s="33">
        <f>ROUND(SUM($L519:$U519)+SUM($AF519:$AO519),2)</f>
      </c>
    </row>
    <row r="520" spans="1:55" x14ac:dyDescent="0.25">
      <c r="A520">
        <v>513</v>
      </c>
      <c r="B520" s="33">
        <f>IF(AP519&lt;=0,0,ROUND(AP519+ROUND(AP519*V$3/12,2),2))</f>
      </c>
      <c r="C520" s="33">
        <f>IF(AQ519&lt;=0,0,ROUND(AQ519+ROUND(AQ519*W$3/12,2),2))</f>
      </c>
      <c r="D520" s="33">
        <f>IF(AR519&lt;=0,0,ROUND(AR519+ROUND(AR519*X$3/12,2),2))</f>
      </c>
      <c r="E520" s="33">
        <f>IF(AS519&lt;=0,0,ROUND(AS519+ROUND(AS519*Y$3/12,2),2))</f>
      </c>
      <c r="F520" s="33">
        <f>IF(AT519&lt;=0,0,ROUND(AT519+ROUND(AT519*Z$3/12,2),2))</f>
      </c>
      <c r="G520" s="33">
        <f>IF(AU519&lt;=0,0,ROUND(AU519+ROUND(AU519*AA$3/12,2),2))</f>
      </c>
      <c r="H520" s="33">
        <f>IF(AV519&lt;=0,0,ROUND(AV519+ROUND(AV519*AB$3/12,2),2))</f>
      </c>
      <c r="I520" s="33">
        <f>IF(AW519&lt;=0,0,ROUND(AW519+ROUND(AW519*AC$3/12,2),2))</f>
      </c>
      <c r="J520" s="33">
        <f>IF(AX519&lt;=0,0,ROUND(AX519+ROUND(AX519*AD$3/12,2),2))</f>
      </c>
      <c r="K520" s="33">
        <f>IF(AY519&lt;=0,0,ROUND(AY519+ROUND(AY519*AE$3/12,2),2))</f>
      </c>
      <c r="L520" s="33">
        <f>ROUND(MIN(MAX(0,N('Your debts'!$E$6)),B520),2)</f>
      </c>
      <c r="M520" s="33">
        <f>ROUND(MIN(MAX(0,N('Your debts'!$E$7)),C520),2)</f>
      </c>
      <c r="N520" s="33">
        <f>ROUND(MIN(MAX(0,N('Your debts'!$E$8)),D520),2)</f>
      </c>
      <c r="O520" s="33">
        <f>ROUND(MIN(MAX(0,N('Your debts'!$E$9)),E520),2)</f>
      </c>
      <c r="P520" s="33">
        <f>ROUND(MIN(MAX(0,N('Your debts'!$E$10)),F520),2)</f>
      </c>
      <c r="Q520" s="33">
        <f>ROUND(MIN(MAX(0,N('Your debts'!$E$11)),G520),2)</f>
      </c>
      <c r="R520" s="33">
        <f>ROUND(MIN(MAX(0,N('Your debts'!$E$12)),H520),2)</f>
      </c>
      <c r="S520" s="33">
        <f>ROUND(MIN(MAX(0,N('Your debts'!$E$13)),I520),2)</f>
      </c>
      <c r="T520" s="33">
        <f>ROUND(MIN(MAX(0,N('Your debts'!$E$14)),J520),2)</f>
      </c>
      <c r="U520" s="33">
        <f>ROUND(MIN(MAX(0,N('Your debts'!$E$15)),K520),2)</f>
      </c>
      <c r="V520" s="33">
        <f>ROUND(B520-L520,2)</f>
      </c>
      <c r="W520" s="33">
        <f>ROUND(C520-M520,2)</f>
      </c>
      <c r="X520" s="33">
        <f>ROUND(D520-N520,2)</f>
      </c>
      <c r="Y520" s="33">
        <f>ROUND(E520-O520,2)</f>
      </c>
      <c r="Z520" s="33">
        <f>ROUND(F520-P520,2)</f>
      </c>
      <c r="AA520" s="33">
        <f>ROUND(G520-Q520,2)</f>
      </c>
      <c r="AB520" s="33">
        <f>ROUND(H520-R520,2)</f>
      </c>
      <c r="AC520" s="33">
        <f>ROUND(I520-S520,2)</f>
      </c>
      <c r="AD520" s="33">
        <f>ROUND(J520-T520,2)</f>
      </c>
      <c r="AE520" s="33">
        <f>ROUND(K520-U520,2)</f>
      </c>
      <c r="AF520" s="33">
        <f>IF(V520&lt;=0,0,MAX(0,MIN(V520,ROUND($AZ520-SUMPRODUCT($V520:$AE520*($V520:$AE520&gt;0)*(($V520:$AE520&lt;V520)+($V520:$AE520=V520)*($V$3:$AE$3&gt;V$3)+($V520:$AE520=V520)*($V$3:$AE$3=V$3)*($V$2:$AE$2&lt;V$2))),2))))</f>
      </c>
      <c r="AG520" s="33">
        <f>IF(W520&lt;=0,0,MAX(0,MIN(W520,ROUND($AZ520-SUMPRODUCT($V520:$AE520*($V520:$AE520&gt;0)*(($V520:$AE520&lt;W520)+($V520:$AE520=W520)*($V$3:$AE$3&gt;W$3)+($V520:$AE520=W520)*($V$3:$AE$3=W$3)*($V$2:$AE$2&lt;W$2))),2))))</f>
      </c>
      <c r="AH520" s="33">
        <f>IF(X520&lt;=0,0,MAX(0,MIN(X520,ROUND($AZ520-SUMPRODUCT($V520:$AE520*($V520:$AE520&gt;0)*(($V520:$AE520&lt;X520)+($V520:$AE520=X520)*($V$3:$AE$3&gt;X$3)+($V520:$AE520=X520)*($V$3:$AE$3=X$3)*($V$2:$AE$2&lt;X$2))),2))))</f>
      </c>
      <c r="AI520" s="33">
        <f>IF(Y520&lt;=0,0,MAX(0,MIN(Y520,ROUND($AZ520-SUMPRODUCT($V520:$AE520*($V520:$AE520&gt;0)*(($V520:$AE520&lt;Y520)+($V520:$AE520=Y520)*($V$3:$AE$3&gt;Y$3)+($V520:$AE520=Y520)*($V$3:$AE$3=Y$3)*($V$2:$AE$2&lt;Y$2))),2))))</f>
      </c>
      <c r="AJ520" s="33">
        <f>IF(Z520&lt;=0,0,MAX(0,MIN(Z520,ROUND($AZ520-SUMPRODUCT($V520:$AE520*($V520:$AE520&gt;0)*(($V520:$AE520&lt;Z520)+($V520:$AE520=Z520)*($V$3:$AE$3&gt;Z$3)+($V520:$AE520=Z520)*($V$3:$AE$3=Z$3)*($V$2:$AE$2&lt;Z$2))),2))))</f>
      </c>
      <c r="AK520" s="33">
        <f>IF(AA520&lt;=0,0,MAX(0,MIN(AA520,ROUND($AZ520-SUMPRODUCT($V520:$AE520*($V520:$AE520&gt;0)*(($V520:$AE520&lt;AA520)+($V520:$AE520=AA520)*($V$3:$AE$3&gt;AA$3)+($V520:$AE520=AA520)*($V$3:$AE$3=AA$3)*($V$2:$AE$2&lt;AA$2))),2))))</f>
      </c>
      <c r="AL520" s="33">
        <f>IF(AB520&lt;=0,0,MAX(0,MIN(AB520,ROUND($AZ520-SUMPRODUCT($V520:$AE520*($V520:$AE520&gt;0)*(($V520:$AE520&lt;AB520)+($V520:$AE520=AB520)*($V$3:$AE$3&gt;AB$3)+($V520:$AE520=AB520)*($V$3:$AE$3=AB$3)*($V$2:$AE$2&lt;AB$2))),2))))</f>
      </c>
      <c r="AM520" s="33">
        <f>IF(AC520&lt;=0,0,MAX(0,MIN(AC520,ROUND($AZ520-SUMPRODUCT($V520:$AE520*($V520:$AE520&gt;0)*(($V520:$AE520&lt;AC520)+($V520:$AE520=AC520)*($V$3:$AE$3&gt;AC$3)+($V520:$AE520=AC520)*($V$3:$AE$3=AC$3)*($V$2:$AE$2&lt;AC$2))),2))))</f>
      </c>
      <c r="AN520" s="33">
        <f>IF(AD520&lt;=0,0,MAX(0,MIN(AD520,ROUND($AZ520-SUMPRODUCT($V520:$AE520*($V520:$AE520&gt;0)*(($V520:$AE520&lt;AD520)+($V520:$AE520=AD520)*($V$3:$AE$3&gt;AD$3)+($V520:$AE520=AD520)*($V$3:$AE$3=AD$3)*($V$2:$AE$2&lt;AD$2))),2))))</f>
      </c>
      <c r="AO520" s="33">
        <f>IF(AE520&lt;=0,0,MAX(0,MIN(AE520,ROUND($AZ520-SUMPRODUCT($V520:$AE520*($V520:$AE520&gt;0)*(($V520:$AE520&lt;AE520)+($V520:$AE520=AE520)*($V$3:$AE$3&gt;AE$3)+($V520:$AE520=AE520)*($V$3:$AE$3=AE$3)*($V$2:$AE$2&lt;AE$2))),2))))</f>
      </c>
      <c r="AP520" s="33">
        <f>ROUND(V520-AF520,2)</f>
      </c>
      <c r="AQ520" s="33">
        <f>ROUND(W520-AG520,2)</f>
      </c>
      <c r="AR520" s="33">
        <f>ROUND(X520-AH520,2)</f>
      </c>
      <c r="AS520" s="33">
        <f>ROUND(Y520-AI520,2)</f>
      </c>
      <c r="AT520" s="33">
        <f>ROUND(Z520-AJ520,2)</f>
      </c>
      <c r="AU520" s="33">
        <f>ROUND(AA520-AK520,2)</f>
      </c>
      <c r="AV520" s="33">
        <f>ROUND(AB520-AL520,2)</f>
      </c>
      <c r="AW520" s="33">
        <f>ROUND(AC520-AM520,2)</f>
      </c>
      <c r="AX520" s="33">
        <f>ROUND(AD520-AN520,2)</f>
      </c>
      <c r="AY520" s="33">
        <f>ROUND(AE520-AO520,2)</f>
      </c>
      <c r="AZ520" s="33">
        <f>ROUND(MAX(0,'Your debts'!$D$22-SUM($L520:$U520)),2)</f>
      </c>
      <c r="BA520" s="33">
        <f>ROUND(SUM($B520:$K520)-SUM($AP519:$AY519),2)</f>
      </c>
      <c r="BB520" s="33">
        <f>SUM($AP520:$AY520)</f>
      </c>
      <c r="BC520" s="33">
        <f>ROUND(SUM($L520:$U520)+SUM($AF520:$AO520),2)</f>
      </c>
    </row>
    <row r="521" spans="1:55" x14ac:dyDescent="0.25">
      <c r="A521">
        <v>514</v>
      </c>
      <c r="B521" s="33">
        <f>IF(AP520&lt;=0,0,ROUND(AP520+ROUND(AP520*V$3/12,2),2))</f>
      </c>
      <c r="C521" s="33">
        <f>IF(AQ520&lt;=0,0,ROUND(AQ520+ROUND(AQ520*W$3/12,2),2))</f>
      </c>
      <c r="D521" s="33">
        <f>IF(AR520&lt;=0,0,ROUND(AR520+ROUND(AR520*X$3/12,2),2))</f>
      </c>
      <c r="E521" s="33">
        <f>IF(AS520&lt;=0,0,ROUND(AS520+ROUND(AS520*Y$3/12,2),2))</f>
      </c>
      <c r="F521" s="33">
        <f>IF(AT520&lt;=0,0,ROUND(AT520+ROUND(AT520*Z$3/12,2),2))</f>
      </c>
      <c r="G521" s="33">
        <f>IF(AU520&lt;=0,0,ROUND(AU520+ROUND(AU520*AA$3/12,2),2))</f>
      </c>
      <c r="H521" s="33">
        <f>IF(AV520&lt;=0,0,ROUND(AV520+ROUND(AV520*AB$3/12,2),2))</f>
      </c>
      <c r="I521" s="33">
        <f>IF(AW520&lt;=0,0,ROUND(AW520+ROUND(AW520*AC$3/12,2),2))</f>
      </c>
      <c r="J521" s="33">
        <f>IF(AX520&lt;=0,0,ROUND(AX520+ROUND(AX520*AD$3/12,2),2))</f>
      </c>
      <c r="K521" s="33">
        <f>IF(AY520&lt;=0,0,ROUND(AY520+ROUND(AY520*AE$3/12,2),2))</f>
      </c>
      <c r="L521" s="33">
        <f>ROUND(MIN(MAX(0,N('Your debts'!$E$6)),B521),2)</f>
      </c>
      <c r="M521" s="33">
        <f>ROUND(MIN(MAX(0,N('Your debts'!$E$7)),C521),2)</f>
      </c>
      <c r="N521" s="33">
        <f>ROUND(MIN(MAX(0,N('Your debts'!$E$8)),D521),2)</f>
      </c>
      <c r="O521" s="33">
        <f>ROUND(MIN(MAX(0,N('Your debts'!$E$9)),E521),2)</f>
      </c>
      <c r="P521" s="33">
        <f>ROUND(MIN(MAX(0,N('Your debts'!$E$10)),F521),2)</f>
      </c>
      <c r="Q521" s="33">
        <f>ROUND(MIN(MAX(0,N('Your debts'!$E$11)),G521),2)</f>
      </c>
      <c r="R521" s="33">
        <f>ROUND(MIN(MAX(0,N('Your debts'!$E$12)),H521),2)</f>
      </c>
      <c r="S521" s="33">
        <f>ROUND(MIN(MAX(0,N('Your debts'!$E$13)),I521),2)</f>
      </c>
      <c r="T521" s="33">
        <f>ROUND(MIN(MAX(0,N('Your debts'!$E$14)),J521),2)</f>
      </c>
      <c r="U521" s="33">
        <f>ROUND(MIN(MAX(0,N('Your debts'!$E$15)),K521),2)</f>
      </c>
      <c r="V521" s="33">
        <f>ROUND(B521-L521,2)</f>
      </c>
      <c r="W521" s="33">
        <f>ROUND(C521-M521,2)</f>
      </c>
      <c r="X521" s="33">
        <f>ROUND(D521-N521,2)</f>
      </c>
      <c r="Y521" s="33">
        <f>ROUND(E521-O521,2)</f>
      </c>
      <c r="Z521" s="33">
        <f>ROUND(F521-P521,2)</f>
      </c>
      <c r="AA521" s="33">
        <f>ROUND(G521-Q521,2)</f>
      </c>
      <c r="AB521" s="33">
        <f>ROUND(H521-R521,2)</f>
      </c>
      <c r="AC521" s="33">
        <f>ROUND(I521-S521,2)</f>
      </c>
      <c r="AD521" s="33">
        <f>ROUND(J521-T521,2)</f>
      </c>
      <c r="AE521" s="33">
        <f>ROUND(K521-U521,2)</f>
      </c>
      <c r="AF521" s="33">
        <f>IF(V521&lt;=0,0,MAX(0,MIN(V521,ROUND($AZ521-SUMPRODUCT($V521:$AE521*($V521:$AE521&gt;0)*(($V521:$AE521&lt;V521)+($V521:$AE521=V521)*($V$3:$AE$3&gt;V$3)+($V521:$AE521=V521)*($V$3:$AE$3=V$3)*($V$2:$AE$2&lt;V$2))),2))))</f>
      </c>
      <c r="AG521" s="33">
        <f>IF(W521&lt;=0,0,MAX(0,MIN(W521,ROUND($AZ521-SUMPRODUCT($V521:$AE521*($V521:$AE521&gt;0)*(($V521:$AE521&lt;W521)+($V521:$AE521=W521)*($V$3:$AE$3&gt;W$3)+($V521:$AE521=W521)*($V$3:$AE$3=W$3)*($V$2:$AE$2&lt;W$2))),2))))</f>
      </c>
      <c r="AH521" s="33">
        <f>IF(X521&lt;=0,0,MAX(0,MIN(X521,ROUND($AZ521-SUMPRODUCT($V521:$AE521*($V521:$AE521&gt;0)*(($V521:$AE521&lt;X521)+($V521:$AE521=X521)*($V$3:$AE$3&gt;X$3)+($V521:$AE521=X521)*($V$3:$AE$3=X$3)*($V$2:$AE$2&lt;X$2))),2))))</f>
      </c>
      <c r="AI521" s="33">
        <f>IF(Y521&lt;=0,0,MAX(0,MIN(Y521,ROUND($AZ521-SUMPRODUCT($V521:$AE521*($V521:$AE521&gt;0)*(($V521:$AE521&lt;Y521)+($V521:$AE521=Y521)*($V$3:$AE$3&gt;Y$3)+($V521:$AE521=Y521)*($V$3:$AE$3=Y$3)*($V$2:$AE$2&lt;Y$2))),2))))</f>
      </c>
      <c r="AJ521" s="33">
        <f>IF(Z521&lt;=0,0,MAX(0,MIN(Z521,ROUND($AZ521-SUMPRODUCT($V521:$AE521*($V521:$AE521&gt;0)*(($V521:$AE521&lt;Z521)+($V521:$AE521=Z521)*($V$3:$AE$3&gt;Z$3)+($V521:$AE521=Z521)*($V$3:$AE$3=Z$3)*($V$2:$AE$2&lt;Z$2))),2))))</f>
      </c>
      <c r="AK521" s="33">
        <f>IF(AA521&lt;=0,0,MAX(0,MIN(AA521,ROUND($AZ521-SUMPRODUCT($V521:$AE521*($V521:$AE521&gt;0)*(($V521:$AE521&lt;AA521)+($V521:$AE521=AA521)*($V$3:$AE$3&gt;AA$3)+($V521:$AE521=AA521)*($V$3:$AE$3=AA$3)*($V$2:$AE$2&lt;AA$2))),2))))</f>
      </c>
      <c r="AL521" s="33">
        <f>IF(AB521&lt;=0,0,MAX(0,MIN(AB521,ROUND($AZ521-SUMPRODUCT($V521:$AE521*($V521:$AE521&gt;0)*(($V521:$AE521&lt;AB521)+($V521:$AE521=AB521)*($V$3:$AE$3&gt;AB$3)+($V521:$AE521=AB521)*($V$3:$AE$3=AB$3)*($V$2:$AE$2&lt;AB$2))),2))))</f>
      </c>
      <c r="AM521" s="33">
        <f>IF(AC521&lt;=0,0,MAX(0,MIN(AC521,ROUND($AZ521-SUMPRODUCT($V521:$AE521*($V521:$AE521&gt;0)*(($V521:$AE521&lt;AC521)+($V521:$AE521=AC521)*($V$3:$AE$3&gt;AC$3)+($V521:$AE521=AC521)*($V$3:$AE$3=AC$3)*($V$2:$AE$2&lt;AC$2))),2))))</f>
      </c>
      <c r="AN521" s="33">
        <f>IF(AD521&lt;=0,0,MAX(0,MIN(AD521,ROUND($AZ521-SUMPRODUCT($V521:$AE521*($V521:$AE521&gt;0)*(($V521:$AE521&lt;AD521)+($V521:$AE521=AD521)*($V$3:$AE$3&gt;AD$3)+($V521:$AE521=AD521)*($V$3:$AE$3=AD$3)*($V$2:$AE$2&lt;AD$2))),2))))</f>
      </c>
      <c r="AO521" s="33">
        <f>IF(AE521&lt;=0,0,MAX(0,MIN(AE521,ROUND($AZ521-SUMPRODUCT($V521:$AE521*($V521:$AE521&gt;0)*(($V521:$AE521&lt;AE521)+($V521:$AE521=AE521)*($V$3:$AE$3&gt;AE$3)+($V521:$AE521=AE521)*($V$3:$AE$3=AE$3)*($V$2:$AE$2&lt;AE$2))),2))))</f>
      </c>
      <c r="AP521" s="33">
        <f>ROUND(V521-AF521,2)</f>
      </c>
      <c r="AQ521" s="33">
        <f>ROUND(W521-AG521,2)</f>
      </c>
      <c r="AR521" s="33">
        <f>ROUND(X521-AH521,2)</f>
      </c>
      <c r="AS521" s="33">
        <f>ROUND(Y521-AI521,2)</f>
      </c>
      <c r="AT521" s="33">
        <f>ROUND(Z521-AJ521,2)</f>
      </c>
      <c r="AU521" s="33">
        <f>ROUND(AA521-AK521,2)</f>
      </c>
      <c r="AV521" s="33">
        <f>ROUND(AB521-AL521,2)</f>
      </c>
      <c r="AW521" s="33">
        <f>ROUND(AC521-AM521,2)</f>
      </c>
      <c r="AX521" s="33">
        <f>ROUND(AD521-AN521,2)</f>
      </c>
      <c r="AY521" s="33">
        <f>ROUND(AE521-AO521,2)</f>
      </c>
      <c r="AZ521" s="33">
        <f>ROUND(MAX(0,'Your debts'!$D$22-SUM($L521:$U521)),2)</f>
      </c>
      <c r="BA521" s="33">
        <f>ROUND(SUM($B521:$K521)-SUM($AP520:$AY520),2)</f>
      </c>
      <c r="BB521" s="33">
        <f>SUM($AP521:$AY521)</f>
      </c>
      <c r="BC521" s="33">
        <f>ROUND(SUM($L521:$U521)+SUM($AF521:$AO521),2)</f>
      </c>
    </row>
    <row r="522" spans="1:55" x14ac:dyDescent="0.25">
      <c r="A522">
        <v>515</v>
      </c>
      <c r="B522" s="33">
        <f>IF(AP521&lt;=0,0,ROUND(AP521+ROUND(AP521*V$3/12,2),2))</f>
      </c>
      <c r="C522" s="33">
        <f>IF(AQ521&lt;=0,0,ROUND(AQ521+ROUND(AQ521*W$3/12,2),2))</f>
      </c>
      <c r="D522" s="33">
        <f>IF(AR521&lt;=0,0,ROUND(AR521+ROUND(AR521*X$3/12,2),2))</f>
      </c>
      <c r="E522" s="33">
        <f>IF(AS521&lt;=0,0,ROUND(AS521+ROUND(AS521*Y$3/12,2),2))</f>
      </c>
      <c r="F522" s="33">
        <f>IF(AT521&lt;=0,0,ROUND(AT521+ROUND(AT521*Z$3/12,2),2))</f>
      </c>
      <c r="G522" s="33">
        <f>IF(AU521&lt;=0,0,ROUND(AU521+ROUND(AU521*AA$3/12,2),2))</f>
      </c>
      <c r="H522" s="33">
        <f>IF(AV521&lt;=0,0,ROUND(AV521+ROUND(AV521*AB$3/12,2),2))</f>
      </c>
      <c r="I522" s="33">
        <f>IF(AW521&lt;=0,0,ROUND(AW521+ROUND(AW521*AC$3/12,2),2))</f>
      </c>
      <c r="J522" s="33">
        <f>IF(AX521&lt;=0,0,ROUND(AX521+ROUND(AX521*AD$3/12,2),2))</f>
      </c>
      <c r="K522" s="33">
        <f>IF(AY521&lt;=0,0,ROUND(AY521+ROUND(AY521*AE$3/12,2),2))</f>
      </c>
      <c r="L522" s="33">
        <f>ROUND(MIN(MAX(0,N('Your debts'!$E$6)),B522),2)</f>
      </c>
      <c r="M522" s="33">
        <f>ROUND(MIN(MAX(0,N('Your debts'!$E$7)),C522),2)</f>
      </c>
      <c r="N522" s="33">
        <f>ROUND(MIN(MAX(0,N('Your debts'!$E$8)),D522),2)</f>
      </c>
      <c r="O522" s="33">
        <f>ROUND(MIN(MAX(0,N('Your debts'!$E$9)),E522),2)</f>
      </c>
      <c r="P522" s="33">
        <f>ROUND(MIN(MAX(0,N('Your debts'!$E$10)),F522),2)</f>
      </c>
      <c r="Q522" s="33">
        <f>ROUND(MIN(MAX(0,N('Your debts'!$E$11)),G522),2)</f>
      </c>
      <c r="R522" s="33">
        <f>ROUND(MIN(MAX(0,N('Your debts'!$E$12)),H522),2)</f>
      </c>
      <c r="S522" s="33">
        <f>ROUND(MIN(MAX(0,N('Your debts'!$E$13)),I522),2)</f>
      </c>
      <c r="T522" s="33">
        <f>ROUND(MIN(MAX(0,N('Your debts'!$E$14)),J522),2)</f>
      </c>
      <c r="U522" s="33">
        <f>ROUND(MIN(MAX(0,N('Your debts'!$E$15)),K522),2)</f>
      </c>
      <c r="V522" s="33">
        <f>ROUND(B522-L522,2)</f>
      </c>
      <c r="W522" s="33">
        <f>ROUND(C522-M522,2)</f>
      </c>
      <c r="X522" s="33">
        <f>ROUND(D522-N522,2)</f>
      </c>
      <c r="Y522" s="33">
        <f>ROUND(E522-O522,2)</f>
      </c>
      <c r="Z522" s="33">
        <f>ROUND(F522-P522,2)</f>
      </c>
      <c r="AA522" s="33">
        <f>ROUND(G522-Q522,2)</f>
      </c>
      <c r="AB522" s="33">
        <f>ROUND(H522-R522,2)</f>
      </c>
      <c r="AC522" s="33">
        <f>ROUND(I522-S522,2)</f>
      </c>
      <c r="AD522" s="33">
        <f>ROUND(J522-T522,2)</f>
      </c>
      <c r="AE522" s="33">
        <f>ROUND(K522-U522,2)</f>
      </c>
      <c r="AF522" s="33">
        <f>IF(V522&lt;=0,0,MAX(0,MIN(V522,ROUND($AZ522-SUMPRODUCT($V522:$AE522*($V522:$AE522&gt;0)*(($V522:$AE522&lt;V522)+($V522:$AE522=V522)*($V$3:$AE$3&gt;V$3)+($V522:$AE522=V522)*($V$3:$AE$3=V$3)*($V$2:$AE$2&lt;V$2))),2))))</f>
      </c>
      <c r="AG522" s="33">
        <f>IF(W522&lt;=0,0,MAX(0,MIN(W522,ROUND($AZ522-SUMPRODUCT($V522:$AE522*($V522:$AE522&gt;0)*(($V522:$AE522&lt;W522)+($V522:$AE522=W522)*($V$3:$AE$3&gt;W$3)+($V522:$AE522=W522)*($V$3:$AE$3=W$3)*($V$2:$AE$2&lt;W$2))),2))))</f>
      </c>
      <c r="AH522" s="33">
        <f>IF(X522&lt;=0,0,MAX(0,MIN(X522,ROUND($AZ522-SUMPRODUCT($V522:$AE522*($V522:$AE522&gt;0)*(($V522:$AE522&lt;X522)+($V522:$AE522=X522)*($V$3:$AE$3&gt;X$3)+($V522:$AE522=X522)*($V$3:$AE$3=X$3)*($V$2:$AE$2&lt;X$2))),2))))</f>
      </c>
      <c r="AI522" s="33">
        <f>IF(Y522&lt;=0,0,MAX(0,MIN(Y522,ROUND($AZ522-SUMPRODUCT($V522:$AE522*($V522:$AE522&gt;0)*(($V522:$AE522&lt;Y522)+($V522:$AE522=Y522)*($V$3:$AE$3&gt;Y$3)+($V522:$AE522=Y522)*($V$3:$AE$3=Y$3)*($V$2:$AE$2&lt;Y$2))),2))))</f>
      </c>
      <c r="AJ522" s="33">
        <f>IF(Z522&lt;=0,0,MAX(0,MIN(Z522,ROUND($AZ522-SUMPRODUCT($V522:$AE522*($V522:$AE522&gt;0)*(($V522:$AE522&lt;Z522)+($V522:$AE522=Z522)*($V$3:$AE$3&gt;Z$3)+($V522:$AE522=Z522)*($V$3:$AE$3=Z$3)*($V$2:$AE$2&lt;Z$2))),2))))</f>
      </c>
      <c r="AK522" s="33">
        <f>IF(AA522&lt;=0,0,MAX(0,MIN(AA522,ROUND($AZ522-SUMPRODUCT($V522:$AE522*($V522:$AE522&gt;0)*(($V522:$AE522&lt;AA522)+($V522:$AE522=AA522)*($V$3:$AE$3&gt;AA$3)+($V522:$AE522=AA522)*($V$3:$AE$3=AA$3)*($V$2:$AE$2&lt;AA$2))),2))))</f>
      </c>
      <c r="AL522" s="33">
        <f>IF(AB522&lt;=0,0,MAX(0,MIN(AB522,ROUND($AZ522-SUMPRODUCT($V522:$AE522*($V522:$AE522&gt;0)*(($V522:$AE522&lt;AB522)+($V522:$AE522=AB522)*($V$3:$AE$3&gt;AB$3)+($V522:$AE522=AB522)*($V$3:$AE$3=AB$3)*($V$2:$AE$2&lt;AB$2))),2))))</f>
      </c>
      <c r="AM522" s="33">
        <f>IF(AC522&lt;=0,0,MAX(0,MIN(AC522,ROUND($AZ522-SUMPRODUCT($V522:$AE522*($V522:$AE522&gt;0)*(($V522:$AE522&lt;AC522)+($V522:$AE522=AC522)*($V$3:$AE$3&gt;AC$3)+($V522:$AE522=AC522)*($V$3:$AE$3=AC$3)*($V$2:$AE$2&lt;AC$2))),2))))</f>
      </c>
      <c r="AN522" s="33">
        <f>IF(AD522&lt;=0,0,MAX(0,MIN(AD522,ROUND($AZ522-SUMPRODUCT($V522:$AE522*($V522:$AE522&gt;0)*(($V522:$AE522&lt;AD522)+($V522:$AE522=AD522)*($V$3:$AE$3&gt;AD$3)+($V522:$AE522=AD522)*($V$3:$AE$3=AD$3)*($V$2:$AE$2&lt;AD$2))),2))))</f>
      </c>
      <c r="AO522" s="33">
        <f>IF(AE522&lt;=0,0,MAX(0,MIN(AE522,ROUND($AZ522-SUMPRODUCT($V522:$AE522*($V522:$AE522&gt;0)*(($V522:$AE522&lt;AE522)+($V522:$AE522=AE522)*($V$3:$AE$3&gt;AE$3)+($V522:$AE522=AE522)*($V$3:$AE$3=AE$3)*($V$2:$AE$2&lt;AE$2))),2))))</f>
      </c>
      <c r="AP522" s="33">
        <f>ROUND(V522-AF522,2)</f>
      </c>
      <c r="AQ522" s="33">
        <f>ROUND(W522-AG522,2)</f>
      </c>
      <c r="AR522" s="33">
        <f>ROUND(X522-AH522,2)</f>
      </c>
      <c r="AS522" s="33">
        <f>ROUND(Y522-AI522,2)</f>
      </c>
      <c r="AT522" s="33">
        <f>ROUND(Z522-AJ522,2)</f>
      </c>
      <c r="AU522" s="33">
        <f>ROUND(AA522-AK522,2)</f>
      </c>
      <c r="AV522" s="33">
        <f>ROUND(AB522-AL522,2)</f>
      </c>
      <c r="AW522" s="33">
        <f>ROUND(AC522-AM522,2)</f>
      </c>
      <c r="AX522" s="33">
        <f>ROUND(AD522-AN522,2)</f>
      </c>
      <c r="AY522" s="33">
        <f>ROUND(AE522-AO522,2)</f>
      </c>
      <c r="AZ522" s="33">
        <f>ROUND(MAX(0,'Your debts'!$D$22-SUM($L522:$U522)),2)</f>
      </c>
      <c r="BA522" s="33">
        <f>ROUND(SUM($B522:$K522)-SUM($AP521:$AY521),2)</f>
      </c>
      <c r="BB522" s="33">
        <f>SUM($AP522:$AY522)</f>
      </c>
      <c r="BC522" s="33">
        <f>ROUND(SUM($L522:$U522)+SUM($AF522:$AO522),2)</f>
      </c>
    </row>
    <row r="523" spans="1:55" x14ac:dyDescent="0.25">
      <c r="A523">
        <v>516</v>
      </c>
      <c r="B523" s="33">
        <f>IF(AP522&lt;=0,0,ROUND(AP522+ROUND(AP522*V$3/12,2),2))</f>
      </c>
      <c r="C523" s="33">
        <f>IF(AQ522&lt;=0,0,ROUND(AQ522+ROUND(AQ522*W$3/12,2),2))</f>
      </c>
      <c r="D523" s="33">
        <f>IF(AR522&lt;=0,0,ROUND(AR522+ROUND(AR522*X$3/12,2),2))</f>
      </c>
      <c r="E523" s="33">
        <f>IF(AS522&lt;=0,0,ROUND(AS522+ROUND(AS522*Y$3/12,2),2))</f>
      </c>
      <c r="F523" s="33">
        <f>IF(AT522&lt;=0,0,ROUND(AT522+ROUND(AT522*Z$3/12,2),2))</f>
      </c>
      <c r="G523" s="33">
        <f>IF(AU522&lt;=0,0,ROUND(AU522+ROUND(AU522*AA$3/12,2),2))</f>
      </c>
      <c r="H523" s="33">
        <f>IF(AV522&lt;=0,0,ROUND(AV522+ROUND(AV522*AB$3/12,2),2))</f>
      </c>
      <c r="I523" s="33">
        <f>IF(AW522&lt;=0,0,ROUND(AW522+ROUND(AW522*AC$3/12,2),2))</f>
      </c>
      <c r="J523" s="33">
        <f>IF(AX522&lt;=0,0,ROUND(AX522+ROUND(AX522*AD$3/12,2),2))</f>
      </c>
      <c r="K523" s="33">
        <f>IF(AY522&lt;=0,0,ROUND(AY522+ROUND(AY522*AE$3/12,2),2))</f>
      </c>
      <c r="L523" s="33">
        <f>ROUND(MIN(MAX(0,N('Your debts'!$E$6)),B523),2)</f>
      </c>
      <c r="M523" s="33">
        <f>ROUND(MIN(MAX(0,N('Your debts'!$E$7)),C523),2)</f>
      </c>
      <c r="N523" s="33">
        <f>ROUND(MIN(MAX(0,N('Your debts'!$E$8)),D523),2)</f>
      </c>
      <c r="O523" s="33">
        <f>ROUND(MIN(MAX(0,N('Your debts'!$E$9)),E523),2)</f>
      </c>
      <c r="P523" s="33">
        <f>ROUND(MIN(MAX(0,N('Your debts'!$E$10)),F523),2)</f>
      </c>
      <c r="Q523" s="33">
        <f>ROUND(MIN(MAX(0,N('Your debts'!$E$11)),G523),2)</f>
      </c>
      <c r="R523" s="33">
        <f>ROUND(MIN(MAX(0,N('Your debts'!$E$12)),H523),2)</f>
      </c>
      <c r="S523" s="33">
        <f>ROUND(MIN(MAX(0,N('Your debts'!$E$13)),I523),2)</f>
      </c>
      <c r="T523" s="33">
        <f>ROUND(MIN(MAX(0,N('Your debts'!$E$14)),J523),2)</f>
      </c>
      <c r="U523" s="33">
        <f>ROUND(MIN(MAX(0,N('Your debts'!$E$15)),K523),2)</f>
      </c>
      <c r="V523" s="33">
        <f>ROUND(B523-L523,2)</f>
      </c>
      <c r="W523" s="33">
        <f>ROUND(C523-M523,2)</f>
      </c>
      <c r="X523" s="33">
        <f>ROUND(D523-N523,2)</f>
      </c>
      <c r="Y523" s="33">
        <f>ROUND(E523-O523,2)</f>
      </c>
      <c r="Z523" s="33">
        <f>ROUND(F523-P523,2)</f>
      </c>
      <c r="AA523" s="33">
        <f>ROUND(G523-Q523,2)</f>
      </c>
      <c r="AB523" s="33">
        <f>ROUND(H523-R523,2)</f>
      </c>
      <c r="AC523" s="33">
        <f>ROUND(I523-S523,2)</f>
      </c>
      <c r="AD523" s="33">
        <f>ROUND(J523-T523,2)</f>
      </c>
      <c r="AE523" s="33">
        <f>ROUND(K523-U523,2)</f>
      </c>
      <c r="AF523" s="33">
        <f>IF(V523&lt;=0,0,MAX(0,MIN(V523,ROUND($AZ523-SUMPRODUCT($V523:$AE523*($V523:$AE523&gt;0)*(($V523:$AE523&lt;V523)+($V523:$AE523=V523)*($V$3:$AE$3&gt;V$3)+($V523:$AE523=V523)*($V$3:$AE$3=V$3)*($V$2:$AE$2&lt;V$2))),2))))</f>
      </c>
      <c r="AG523" s="33">
        <f>IF(W523&lt;=0,0,MAX(0,MIN(W523,ROUND($AZ523-SUMPRODUCT($V523:$AE523*($V523:$AE523&gt;0)*(($V523:$AE523&lt;W523)+($V523:$AE523=W523)*($V$3:$AE$3&gt;W$3)+($V523:$AE523=W523)*($V$3:$AE$3=W$3)*($V$2:$AE$2&lt;W$2))),2))))</f>
      </c>
      <c r="AH523" s="33">
        <f>IF(X523&lt;=0,0,MAX(0,MIN(X523,ROUND($AZ523-SUMPRODUCT($V523:$AE523*($V523:$AE523&gt;0)*(($V523:$AE523&lt;X523)+($V523:$AE523=X523)*($V$3:$AE$3&gt;X$3)+($V523:$AE523=X523)*($V$3:$AE$3=X$3)*($V$2:$AE$2&lt;X$2))),2))))</f>
      </c>
      <c r="AI523" s="33">
        <f>IF(Y523&lt;=0,0,MAX(0,MIN(Y523,ROUND($AZ523-SUMPRODUCT($V523:$AE523*($V523:$AE523&gt;0)*(($V523:$AE523&lt;Y523)+($V523:$AE523=Y523)*($V$3:$AE$3&gt;Y$3)+($V523:$AE523=Y523)*($V$3:$AE$3=Y$3)*($V$2:$AE$2&lt;Y$2))),2))))</f>
      </c>
      <c r="AJ523" s="33">
        <f>IF(Z523&lt;=0,0,MAX(0,MIN(Z523,ROUND($AZ523-SUMPRODUCT($V523:$AE523*($V523:$AE523&gt;0)*(($V523:$AE523&lt;Z523)+($V523:$AE523=Z523)*($V$3:$AE$3&gt;Z$3)+($V523:$AE523=Z523)*($V$3:$AE$3=Z$3)*($V$2:$AE$2&lt;Z$2))),2))))</f>
      </c>
      <c r="AK523" s="33">
        <f>IF(AA523&lt;=0,0,MAX(0,MIN(AA523,ROUND($AZ523-SUMPRODUCT($V523:$AE523*($V523:$AE523&gt;0)*(($V523:$AE523&lt;AA523)+($V523:$AE523=AA523)*($V$3:$AE$3&gt;AA$3)+($V523:$AE523=AA523)*($V$3:$AE$3=AA$3)*($V$2:$AE$2&lt;AA$2))),2))))</f>
      </c>
      <c r="AL523" s="33">
        <f>IF(AB523&lt;=0,0,MAX(0,MIN(AB523,ROUND($AZ523-SUMPRODUCT($V523:$AE523*($V523:$AE523&gt;0)*(($V523:$AE523&lt;AB523)+($V523:$AE523=AB523)*($V$3:$AE$3&gt;AB$3)+($V523:$AE523=AB523)*($V$3:$AE$3=AB$3)*($V$2:$AE$2&lt;AB$2))),2))))</f>
      </c>
      <c r="AM523" s="33">
        <f>IF(AC523&lt;=0,0,MAX(0,MIN(AC523,ROUND($AZ523-SUMPRODUCT($V523:$AE523*($V523:$AE523&gt;0)*(($V523:$AE523&lt;AC523)+($V523:$AE523=AC523)*($V$3:$AE$3&gt;AC$3)+($V523:$AE523=AC523)*($V$3:$AE$3=AC$3)*($V$2:$AE$2&lt;AC$2))),2))))</f>
      </c>
      <c r="AN523" s="33">
        <f>IF(AD523&lt;=0,0,MAX(0,MIN(AD523,ROUND($AZ523-SUMPRODUCT($V523:$AE523*($V523:$AE523&gt;0)*(($V523:$AE523&lt;AD523)+($V523:$AE523=AD523)*($V$3:$AE$3&gt;AD$3)+($V523:$AE523=AD523)*($V$3:$AE$3=AD$3)*($V$2:$AE$2&lt;AD$2))),2))))</f>
      </c>
      <c r="AO523" s="33">
        <f>IF(AE523&lt;=0,0,MAX(0,MIN(AE523,ROUND($AZ523-SUMPRODUCT($V523:$AE523*($V523:$AE523&gt;0)*(($V523:$AE523&lt;AE523)+($V523:$AE523=AE523)*($V$3:$AE$3&gt;AE$3)+($V523:$AE523=AE523)*($V$3:$AE$3=AE$3)*($V$2:$AE$2&lt;AE$2))),2))))</f>
      </c>
      <c r="AP523" s="33">
        <f>ROUND(V523-AF523,2)</f>
      </c>
      <c r="AQ523" s="33">
        <f>ROUND(W523-AG523,2)</f>
      </c>
      <c r="AR523" s="33">
        <f>ROUND(X523-AH523,2)</f>
      </c>
      <c r="AS523" s="33">
        <f>ROUND(Y523-AI523,2)</f>
      </c>
      <c r="AT523" s="33">
        <f>ROUND(Z523-AJ523,2)</f>
      </c>
      <c r="AU523" s="33">
        <f>ROUND(AA523-AK523,2)</f>
      </c>
      <c r="AV523" s="33">
        <f>ROUND(AB523-AL523,2)</f>
      </c>
      <c r="AW523" s="33">
        <f>ROUND(AC523-AM523,2)</f>
      </c>
      <c r="AX523" s="33">
        <f>ROUND(AD523-AN523,2)</f>
      </c>
      <c r="AY523" s="33">
        <f>ROUND(AE523-AO523,2)</f>
      </c>
      <c r="AZ523" s="33">
        <f>ROUND(MAX(0,'Your debts'!$D$22-SUM($L523:$U523)),2)</f>
      </c>
      <c r="BA523" s="33">
        <f>ROUND(SUM($B523:$K523)-SUM($AP522:$AY522),2)</f>
      </c>
      <c r="BB523" s="33">
        <f>SUM($AP523:$AY523)</f>
      </c>
      <c r="BC523" s="33">
        <f>ROUND(SUM($L523:$U523)+SUM($AF523:$AO523),2)</f>
      </c>
    </row>
    <row r="524" spans="1:55" x14ac:dyDescent="0.25">
      <c r="A524">
        <v>517</v>
      </c>
      <c r="B524" s="33">
        <f>IF(AP523&lt;=0,0,ROUND(AP523+ROUND(AP523*V$3/12,2),2))</f>
      </c>
      <c r="C524" s="33">
        <f>IF(AQ523&lt;=0,0,ROUND(AQ523+ROUND(AQ523*W$3/12,2),2))</f>
      </c>
      <c r="D524" s="33">
        <f>IF(AR523&lt;=0,0,ROUND(AR523+ROUND(AR523*X$3/12,2),2))</f>
      </c>
      <c r="E524" s="33">
        <f>IF(AS523&lt;=0,0,ROUND(AS523+ROUND(AS523*Y$3/12,2),2))</f>
      </c>
      <c r="F524" s="33">
        <f>IF(AT523&lt;=0,0,ROUND(AT523+ROUND(AT523*Z$3/12,2),2))</f>
      </c>
      <c r="G524" s="33">
        <f>IF(AU523&lt;=0,0,ROUND(AU523+ROUND(AU523*AA$3/12,2),2))</f>
      </c>
      <c r="H524" s="33">
        <f>IF(AV523&lt;=0,0,ROUND(AV523+ROUND(AV523*AB$3/12,2),2))</f>
      </c>
      <c r="I524" s="33">
        <f>IF(AW523&lt;=0,0,ROUND(AW523+ROUND(AW523*AC$3/12,2),2))</f>
      </c>
      <c r="J524" s="33">
        <f>IF(AX523&lt;=0,0,ROUND(AX523+ROUND(AX523*AD$3/12,2),2))</f>
      </c>
      <c r="K524" s="33">
        <f>IF(AY523&lt;=0,0,ROUND(AY523+ROUND(AY523*AE$3/12,2),2))</f>
      </c>
      <c r="L524" s="33">
        <f>ROUND(MIN(MAX(0,N('Your debts'!$E$6)),B524),2)</f>
      </c>
      <c r="M524" s="33">
        <f>ROUND(MIN(MAX(0,N('Your debts'!$E$7)),C524),2)</f>
      </c>
      <c r="N524" s="33">
        <f>ROUND(MIN(MAX(0,N('Your debts'!$E$8)),D524),2)</f>
      </c>
      <c r="O524" s="33">
        <f>ROUND(MIN(MAX(0,N('Your debts'!$E$9)),E524),2)</f>
      </c>
      <c r="P524" s="33">
        <f>ROUND(MIN(MAX(0,N('Your debts'!$E$10)),F524),2)</f>
      </c>
      <c r="Q524" s="33">
        <f>ROUND(MIN(MAX(0,N('Your debts'!$E$11)),G524),2)</f>
      </c>
      <c r="R524" s="33">
        <f>ROUND(MIN(MAX(0,N('Your debts'!$E$12)),H524),2)</f>
      </c>
      <c r="S524" s="33">
        <f>ROUND(MIN(MAX(0,N('Your debts'!$E$13)),I524),2)</f>
      </c>
      <c r="T524" s="33">
        <f>ROUND(MIN(MAX(0,N('Your debts'!$E$14)),J524),2)</f>
      </c>
      <c r="U524" s="33">
        <f>ROUND(MIN(MAX(0,N('Your debts'!$E$15)),K524),2)</f>
      </c>
      <c r="V524" s="33">
        <f>ROUND(B524-L524,2)</f>
      </c>
      <c r="W524" s="33">
        <f>ROUND(C524-M524,2)</f>
      </c>
      <c r="X524" s="33">
        <f>ROUND(D524-N524,2)</f>
      </c>
      <c r="Y524" s="33">
        <f>ROUND(E524-O524,2)</f>
      </c>
      <c r="Z524" s="33">
        <f>ROUND(F524-P524,2)</f>
      </c>
      <c r="AA524" s="33">
        <f>ROUND(G524-Q524,2)</f>
      </c>
      <c r="AB524" s="33">
        <f>ROUND(H524-R524,2)</f>
      </c>
      <c r="AC524" s="33">
        <f>ROUND(I524-S524,2)</f>
      </c>
      <c r="AD524" s="33">
        <f>ROUND(J524-T524,2)</f>
      </c>
      <c r="AE524" s="33">
        <f>ROUND(K524-U524,2)</f>
      </c>
      <c r="AF524" s="33">
        <f>IF(V524&lt;=0,0,MAX(0,MIN(V524,ROUND($AZ524-SUMPRODUCT($V524:$AE524*($V524:$AE524&gt;0)*(($V524:$AE524&lt;V524)+($V524:$AE524=V524)*($V$3:$AE$3&gt;V$3)+($V524:$AE524=V524)*($V$3:$AE$3=V$3)*($V$2:$AE$2&lt;V$2))),2))))</f>
      </c>
      <c r="AG524" s="33">
        <f>IF(W524&lt;=0,0,MAX(0,MIN(W524,ROUND($AZ524-SUMPRODUCT($V524:$AE524*($V524:$AE524&gt;0)*(($V524:$AE524&lt;W524)+($V524:$AE524=W524)*($V$3:$AE$3&gt;W$3)+($V524:$AE524=W524)*($V$3:$AE$3=W$3)*($V$2:$AE$2&lt;W$2))),2))))</f>
      </c>
      <c r="AH524" s="33">
        <f>IF(X524&lt;=0,0,MAX(0,MIN(X524,ROUND($AZ524-SUMPRODUCT($V524:$AE524*($V524:$AE524&gt;0)*(($V524:$AE524&lt;X524)+($V524:$AE524=X524)*($V$3:$AE$3&gt;X$3)+($V524:$AE524=X524)*($V$3:$AE$3=X$3)*($V$2:$AE$2&lt;X$2))),2))))</f>
      </c>
      <c r="AI524" s="33">
        <f>IF(Y524&lt;=0,0,MAX(0,MIN(Y524,ROUND($AZ524-SUMPRODUCT($V524:$AE524*($V524:$AE524&gt;0)*(($V524:$AE524&lt;Y524)+($V524:$AE524=Y524)*($V$3:$AE$3&gt;Y$3)+($V524:$AE524=Y524)*($V$3:$AE$3=Y$3)*($V$2:$AE$2&lt;Y$2))),2))))</f>
      </c>
      <c r="AJ524" s="33">
        <f>IF(Z524&lt;=0,0,MAX(0,MIN(Z524,ROUND($AZ524-SUMPRODUCT($V524:$AE524*($V524:$AE524&gt;0)*(($V524:$AE524&lt;Z524)+($V524:$AE524=Z524)*($V$3:$AE$3&gt;Z$3)+($V524:$AE524=Z524)*($V$3:$AE$3=Z$3)*($V$2:$AE$2&lt;Z$2))),2))))</f>
      </c>
      <c r="AK524" s="33">
        <f>IF(AA524&lt;=0,0,MAX(0,MIN(AA524,ROUND($AZ524-SUMPRODUCT($V524:$AE524*($V524:$AE524&gt;0)*(($V524:$AE524&lt;AA524)+($V524:$AE524=AA524)*($V$3:$AE$3&gt;AA$3)+($V524:$AE524=AA524)*($V$3:$AE$3=AA$3)*($V$2:$AE$2&lt;AA$2))),2))))</f>
      </c>
      <c r="AL524" s="33">
        <f>IF(AB524&lt;=0,0,MAX(0,MIN(AB524,ROUND($AZ524-SUMPRODUCT($V524:$AE524*($V524:$AE524&gt;0)*(($V524:$AE524&lt;AB524)+($V524:$AE524=AB524)*($V$3:$AE$3&gt;AB$3)+($V524:$AE524=AB524)*($V$3:$AE$3=AB$3)*($V$2:$AE$2&lt;AB$2))),2))))</f>
      </c>
      <c r="AM524" s="33">
        <f>IF(AC524&lt;=0,0,MAX(0,MIN(AC524,ROUND($AZ524-SUMPRODUCT($V524:$AE524*($V524:$AE524&gt;0)*(($V524:$AE524&lt;AC524)+($V524:$AE524=AC524)*($V$3:$AE$3&gt;AC$3)+($V524:$AE524=AC524)*($V$3:$AE$3=AC$3)*($V$2:$AE$2&lt;AC$2))),2))))</f>
      </c>
      <c r="AN524" s="33">
        <f>IF(AD524&lt;=0,0,MAX(0,MIN(AD524,ROUND($AZ524-SUMPRODUCT($V524:$AE524*($V524:$AE524&gt;0)*(($V524:$AE524&lt;AD524)+($V524:$AE524=AD524)*($V$3:$AE$3&gt;AD$3)+($V524:$AE524=AD524)*($V$3:$AE$3=AD$3)*($V$2:$AE$2&lt;AD$2))),2))))</f>
      </c>
      <c r="AO524" s="33">
        <f>IF(AE524&lt;=0,0,MAX(0,MIN(AE524,ROUND($AZ524-SUMPRODUCT($V524:$AE524*($V524:$AE524&gt;0)*(($V524:$AE524&lt;AE524)+($V524:$AE524=AE524)*($V$3:$AE$3&gt;AE$3)+($V524:$AE524=AE524)*($V$3:$AE$3=AE$3)*($V$2:$AE$2&lt;AE$2))),2))))</f>
      </c>
      <c r="AP524" s="33">
        <f>ROUND(V524-AF524,2)</f>
      </c>
      <c r="AQ524" s="33">
        <f>ROUND(W524-AG524,2)</f>
      </c>
      <c r="AR524" s="33">
        <f>ROUND(X524-AH524,2)</f>
      </c>
      <c r="AS524" s="33">
        <f>ROUND(Y524-AI524,2)</f>
      </c>
      <c r="AT524" s="33">
        <f>ROUND(Z524-AJ524,2)</f>
      </c>
      <c r="AU524" s="33">
        <f>ROUND(AA524-AK524,2)</f>
      </c>
      <c r="AV524" s="33">
        <f>ROUND(AB524-AL524,2)</f>
      </c>
      <c r="AW524" s="33">
        <f>ROUND(AC524-AM524,2)</f>
      </c>
      <c r="AX524" s="33">
        <f>ROUND(AD524-AN524,2)</f>
      </c>
      <c r="AY524" s="33">
        <f>ROUND(AE524-AO524,2)</f>
      </c>
      <c r="AZ524" s="33">
        <f>ROUND(MAX(0,'Your debts'!$D$22-SUM($L524:$U524)),2)</f>
      </c>
      <c r="BA524" s="33">
        <f>ROUND(SUM($B524:$K524)-SUM($AP523:$AY523),2)</f>
      </c>
      <c r="BB524" s="33">
        <f>SUM($AP524:$AY524)</f>
      </c>
      <c r="BC524" s="33">
        <f>ROUND(SUM($L524:$U524)+SUM($AF524:$AO524),2)</f>
      </c>
    </row>
    <row r="525" spans="1:55" x14ac:dyDescent="0.25">
      <c r="A525">
        <v>518</v>
      </c>
      <c r="B525" s="33">
        <f>IF(AP524&lt;=0,0,ROUND(AP524+ROUND(AP524*V$3/12,2),2))</f>
      </c>
      <c r="C525" s="33">
        <f>IF(AQ524&lt;=0,0,ROUND(AQ524+ROUND(AQ524*W$3/12,2),2))</f>
      </c>
      <c r="D525" s="33">
        <f>IF(AR524&lt;=0,0,ROUND(AR524+ROUND(AR524*X$3/12,2),2))</f>
      </c>
      <c r="E525" s="33">
        <f>IF(AS524&lt;=0,0,ROUND(AS524+ROUND(AS524*Y$3/12,2),2))</f>
      </c>
      <c r="F525" s="33">
        <f>IF(AT524&lt;=0,0,ROUND(AT524+ROUND(AT524*Z$3/12,2),2))</f>
      </c>
      <c r="G525" s="33">
        <f>IF(AU524&lt;=0,0,ROUND(AU524+ROUND(AU524*AA$3/12,2),2))</f>
      </c>
      <c r="H525" s="33">
        <f>IF(AV524&lt;=0,0,ROUND(AV524+ROUND(AV524*AB$3/12,2),2))</f>
      </c>
      <c r="I525" s="33">
        <f>IF(AW524&lt;=0,0,ROUND(AW524+ROUND(AW524*AC$3/12,2),2))</f>
      </c>
      <c r="J525" s="33">
        <f>IF(AX524&lt;=0,0,ROUND(AX524+ROUND(AX524*AD$3/12,2),2))</f>
      </c>
      <c r="K525" s="33">
        <f>IF(AY524&lt;=0,0,ROUND(AY524+ROUND(AY524*AE$3/12,2),2))</f>
      </c>
      <c r="L525" s="33">
        <f>ROUND(MIN(MAX(0,N('Your debts'!$E$6)),B525),2)</f>
      </c>
      <c r="M525" s="33">
        <f>ROUND(MIN(MAX(0,N('Your debts'!$E$7)),C525),2)</f>
      </c>
      <c r="N525" s="33">
        <f>ROUND(MIN(MAX(0,N('Your debts'!$E$8)),D525),2)</f>
      </c>
      <c r="O525" s="33">
        <f>ROUND(MIN(MAX(0,N('Your debts'!$E$9)),E525),2)</f>
      </c>
      <c r="P525" s="33">
        <f>ROUND(MIN(MAX(0,N('Your debts'!$E$10)),F525),2)</f>
      </c>
      <c r="Q525" s="33">
        <f>ROUND(MIN(MAX(0,N('Your debts'!$E$11)),G525),2)</f>
      </c>
      <c r="R525" s="33">
        <f>ROUND(MIN(MAX(0,N('Your debts'!$E$12)),H525),2)</f>
      </c>
      <c r="S525" s="33">
        <f>ROUND(MIN(MAX(0,N('Your debts'!$E$13)),I525),2)</f>
      </c>
      <c r="T525" s="33">
        <f>ROUND(MIN(MAX(0,N('Your debts'!$E$14)),J525),2)</f>
      </c>
      <c r="U525" s="33">
        <f>ROUND(MIN(MAX(0,N('Your debts'!$E$15)),K525),2)</f>
      </c>
      <c r="V525" s="33">
        <f>ROUND(B525-L525,2)</f>
      </c>
      <c r="W525" s="33">
        <f>ROUND(C525-M525,2)</f>
      </c>
      <c r="X525" s="33">
        <f>ROUND(D525-N525,2)</f>
      </c>
      <c r="Y525" s="33">
        <f>ROUND(E525-O525,2)</f>
      </c>
      <c r="Z525" s="33">
        <f>ROUND(F525-P525,2)</f>
      </c>
      <c r="AA525" s="33">
        <f>ROUND(G525-Q525,2)</f>
      </c>
      <c r="AB525" s="33">
        <f>ROUND(H525-R525,2)</f>
      </c>
      <c r="AC525" s="33">
        <f>ROUND(I525-S525,2)</f>
      </c>
      <c r="AD525" s="33">
        <f>ROUND(J525-T525,2)</f>
      </c>
      <c r="AE525" s="33">
        <f>ROUND(K525-U525,2)</f>
      </c>
      <c r="AF525" s="33">
        <f>IF(V525&lt;=0,0,MAX(0,MIN(V525,ROUND($AZ525-SUMPRODUCT($V525:$AE525*($V525:$AE525&gt;0)*(($V525:$AE525&lt;V525)+($V525:$AE525=V525)*($V$3:$AE$3&gt;V$3)+($V525:$AE525=V525)*($V$3:$AE$3=V$3)*($V$2:$AE$2&lt;V$2))),2))))</f>
      </c>
      <c r="AG525" s="33">
        <f>IF(W525&lt;=0,0,MAX(0,MIN(W525,ROUND($AZ525-SUMPRODUCT($V525:$AE525*($V525:$AE525&gt;0)*(($V525:$AE525&lt;W525)+($V525:$AE525=W525)*($V$3:$AE$3&gt;W$3)+($V525:$AE525=W525)*($V$3:$AE$3=W$3)*($V$2:$AE$2&lt;W$2))),2))))</f>
      </c>
      <c r="AH525" s="33">
        <f>IF(X525&lt;=0,0,MAX(0,MIN(X525,ROUND($AZ525-SUMPRODUCT($V525:$AE525*($V525:$AE525&gt;0)*(($V525:$AE525&lt;X525)+($V525:$AE525=X525)*($V$3:$AE$3&gt;X$3)+($V525:$AE525=X525)*($V$3:$AE$3=X$3)*($V$2:$AE$2&lt;X$2))),2))))</f>
      </c>
      <c r="AI525" s="33">
        <f>IF(Y525&lt;=0,0,MAX(0,MIN(Y525,ROUND($AZ525-SUMPRODUCT($V525:$AE525*($V525:$AE525&gt;0)*(($V525:$AE525&lt;Y525)+($V525:$AE525=Y525)*($V$3:$AE$3&gt;Y$3)+($V525:$AE525=Y525)*($V$3:$AE$3=Y$3)*($V$2:$AE$2&lt;Y$2))),2))))</f>
      </c>
      <c r="AJ525" s="33">
        <f>IF(Z525&lt;=0,0,MAX(0,MIN(Z525,ROUND($AZ525-SUMPRODUCT($V525:$AE525*($V525:$AE525&gt;0)*(($V525:$AE525&lt;Z525)+($V525:$AE525=Z525)*($V$3:$AE$3&gt;Z$3)+($V525:$AE525=Z525)*($V$3:$AE$3=Z$3)*($V$2:$AE$2&lt;Z$2))),2))))</f>
      </c>
      <c r="AK525" s="33">
        <f>IF(AA525&lt;=0,0,MAX(0,MIN(AA525,ROUND($AZ525-SUMPRODUCT($V525:$AE525*($V525:$AE525&gt;0)*(($V525:$AE525&lt;AA525)+($V525:$AE525=AA525)*($V$3:$AE$3&gt;AA$3)+($V525:$AE525=AA525)*($V$3:$AE$3=AA$3)*($V$2:$AE$2&lt;AA$2))),2))))</f>
      </c>
      <c r="AL525" s="33">
        <f>IF(AB525&lt;=0,0,MAX(0,MIN(AB525,ROUND($AZ525-SUMPRODUCT($V525:$AE525*($V525:$AE525&gt;0)*(($V525:$AE525&lt;AB525)+($V525:$AE525=AB525)*($V$3:$AE$3&gt;AB$3)+($V525:$AE525=AB525)*($V$3:$AE$3=AB$3)*($V$2:$AE$2&lt;AB$2))),2))))</f>
      </c>
      <c r="AM525" s="33">
        <f>IF(AC525&lt;=0,0,MAX(0,MIN(AC525,ROUND($AZ525-SUMPRODUCT($V525:$AE525*($V525:$AE525&gt;0)*(($V525:$AE525&lt;AC525)+($V525:$AE525=AC525)*($V$3:$AE$3&gt;AC$3)+($V525:$AE525=AC525)*($V$3:$AE$3=AC$3)*($V$2:$AE$2&lt;AC$2))),2))))</f>
      </c>
      <c r="AN525" s="33">
        <f>IF(AD525&lt;=0,0,MAX(0,MIN(AD525,ROUND($AZ525-SUMPRODUCT($V525:$AE525*($V525:$AE525&gt;0)*(($V525:$AE525&lt;AD525)+($V525:$AE525=AD525)*($V$3:$AE$3&gt;AD$3)+($V525:$AE525=AD525)*($V$3:$AE$3=AD$3)*($V$2:$AE$2&lt;AD$2))),2))))</f>
      </c>
      <c r="AO525" s="33">
        <f>IF(AE525&lt;=0,0,MAX(0,MIN(AE525,ROUND($AZ525-SUMPRODUCT($V525:$AE525*($V525:$AE525&gt;0)*(($V525:$AE525&lt;AE525)+($V525:$AE525=AE525)*($V$3:$AE$3&gt;AE$3)+($V525:$AE525=AE525)*($V$3:$AE$3=AE$3)*($V$2:$AE$2&lt;AE$2))),2))))</f>
      </c>
      <c r="AP525" s="33">
        <f>ROUND(V525-AF525,2)</f>
      </c>
      <c r="AQ525" s="33">
        <f>ROUND(W525-AG525,2)</f>
      </c>
      <c r="AR525" s="33">
        <f>ROUND(X525-AH525,2)</f>
      </c>
      <c r="AS525" s="33">
        <f>ROUND(Y525-AI525,2)</f>
      </c>
      <c r="AT525" s="33">
        <f>ROUND(Z525-AJ525,2)</f>
      </c>
      <c r="AU525" s="33">
        <f>ROUND(AA525-AK525,2)</f>
      </c>
      <c r="AV525" s="33">
        <f>ROUND(AB525-AL525,2)</f>
      </c>
      <c r="AW525" s="33">
        <f>ROUND(AC525-AM525,2)</f>
      </c>
      <c r="AX525" s="33">
        <f>ROUND(AD525-AN525,2)</f>
      </c>
      <c r="AY525" s="33">
        <f>ROUND(AE525-AO525,2)</f>
      </c>
      <c r="AZ525" s="33">
        <f>ROUND(MAX(0,'Your debts'!$D$22-SUM($L525:$U525)),2)</f>
      </c>
      <c r="BA525" s="33">
        <f>ROUND(SUM($B525:$K525)-SUM($AP524:$AY524),2)</f>
      </c>
      <c r="BB525" s="33">
        <f>SUM($AP525:$AY525)</f>
      </c>
      <c r="BC525" s="33">
        <f>ROUND(SUM($L525:$U525)+SUM($AF525:$AO525),2)</f>
      </c>
    </row>
    <row r="526" spans="1:55" x14ac:dyDescent="0.25">
      <c r="A526">
        <v>519</v>
      </c>
      <c r="B526" s="33">
        <f>IF(AP525&lt;=0,0,ROUND(AP525+ROUND(AP525*V$3/12,2),2))</f>
      </c>
      <c r="C526" s="33">
        <f>IF(AQ525&lt;=0,0,ROUND(AQ525+ROUND(AQ525*W$3/12,2),2))</f>
      </c>
      <c r="D526" s="33">
        <f>IF(AR525&lt;=0,0,ROUND(AR525+ROUND(AR525*X$3/12,2),2))</f>
      </c>
      <c r="E526" s="33">
        <f>IF(AS525&lt;=0,0,ROUND(AS525+ROUND(AS525*Y$3/12,2),2))</f>
      </c>
      <c r="F526" s="33">
        <f>IF(AT525&lt;=0,0,ROUND(AT525+ROUND(AT525*Z$3/12,2),2))</f>
      </c>
      <c r="G526" s="33">
        <f>IF(AU525&lt;=0,0,ROUND(AU525+ROUND(AU525*AA$3/12,2),2))</f>
      </c>
      <c r="H526" s="33">
        <f>IF(AV525&lt;=0,0,ROUND(AV525+ROUND(AV525*AB$3/12,2),2))</f>
      </c>
      <c r="I526" s="33">
        <f>IF(AW525&lt;=0,0,ROUND(AW525+ROUND(AW525*AC$3/12,2),2))</f>
      </c>
      <c r="J526" s="33">
        <f>IF(AX525&lt;=0,0,ROUND(AX525+ROUND(AX525*AD$3/12,2),2))</f>
      </c>
      <c r="K526" s="33">
        <f>IF(AY525&lt;=0,0,ROUND(AY525+ROUND(AY525*AE$3/12,2),2))</f>
      </c>
      <c r="L526" s="33">
        <f>ROUND(MIN(MAX(0,N('Your debts'!$E$6)),B526),2)</f>
      </c>
      <c r="M526" s="33">
        <f>ROUND(MIN(MAX(0,N('Your debts'!$E$7)),C526),2)</f>
      </c>
      <c r="N526" s="33">
        <f>ROUND(MIN(MAX(0,N('Your debts'!$E$8)),D526),2)</f>
      </c>
      <c r="O526" s="33">
        <f>ROUND(MIN(MAX(0,N('Your debts'!$E$9)),E526),2)</f>
      </c>
      <c r="P526" s="33">
        <f>ROUND(MIN(MAX(0,N('Your debts'!$E$10)),F526),2)</f>
      </c>
      <c r="Q526" s="33">
        <f>ROUND(MIN(MAX(0,N('Your debts'!$E$11)),G526),2)</f>
      </c>
      <c r="R526" s="33">
        <f>ROUND(MIN(MAX(0,N('Your debts'!$E$12)),H526),2)</f>
      </c>
      <c r="S526" s="33">
        <f>ROUND(MIN(MAX(0,N('Your debts'!$E$13)),I526),2)</f>
      </c>
      <c r="T526" s="33">
        <f>ROUND(MIN(MAX(0,N('Your debts'!$E$14)),J526),2)</f>
      </c>
      <c r="U526" s="33">
        <f>ROUND(MIN(MAX(0,N('Your debts'!$E$15)),K526),2)</f>
      </c>
      <c r="V526" s="33">
        <f>ROUND(B526-L526,2)</f>
      </c>
      <c r="W526" s="33">
        <f>ROUND(C526-M526,2)</f>
      </c>
      <c r="X526" s="33">
        <f>ROUND(D526-N526,2)</f>
      </c>
      <c r="Y526" s="33">
        <f>ROUND(E526-O526,2)</f>
      </c>
      <c r="Z526" s="33">
        <f>ROUND(F526-P526,2)</f>
      </c>
      <c r="AA526" s="33">
        <f>ROUND(G526-Q526,2)</f>
      </c>
      <c r="AB526" s="33">
        <f>ROUND(H526-R526,2)</f>
      </c>
      <c r="AC526" s="33">
        <f>ROUND(I526-S526,2)</f>
      </c>
      <c r="AD526" s="33">
        <f>ROUND(J526-T526,2)</f>
      </c>
      <c r="AE526" s="33">
        <f>ROUND(K526-U526,2)</f>
      </c>
      <c r="AF526" s="33">
        <f>IF(V526&lt;=0,0,MAX(0,MIN(V526,ROUND($AZ526-SUMPRODUCT($V526:$AE526*($V526:$AE526&gt;0)*(($V526:$AE526&lt;V526)+($V526:$AE526=V526)*($V$3:$AE$3&gt;V$3)+($V526:$AE526=V526)*($V$3:$AE$3=V$3)*($V$2:$AE$2&lt;V$2))),2))))</f>
      </c>
      <c r="AG526" s="33">
        <f>IF(W526&lt;=0,0,MAX(0,MIN(W526,ROUND($AZ526-SUMPRODUCT($V526:$AE526*($V526:$AE526&gt;0)*(($V526:$AE526&lt;W526)+($V526:$AE526=W526)*($V$3:$AE$3&gt;W$3)+($V526:$AE526=W526)*($V$3:$AE$3=W$3)*($V$2:$AE$2&lt;W$2))),2))))</f>
      </c>
      <c r="AH526" s="33">
        <f>IF(X526&lt;=0,0,MAX(0,MIN(X526,ROUND($AZ526-SUMPRODUCT($V526:$AE526*($V526:$AE526&gt;0)*(($V526:$AE526&lt;X526)+($V526:$AE526=X526)*($V$3:$AE$3&gt;X$3)+($V526:$AE526=X526)*($V$3:$AE$3=X$3)*($V$2:$AE$2&lt;X$2))),2))))</f>
      </c>
      <c r="AI526" s="33">
        <f>IF(Y526&lt;=0,0,MAX(0,MIN(Y526,ROUND($AZ526-SUMPRODUCT($V526:$AE526*($V526:$AE526&gt;0)*(($V526:$AE526&lt;Y526)+($V526:$AE526=Y526)*($V$3:$AE$3&gt;Y$3)+($V526:$AE526=Y526)*($V$3:$AE$3=Y$3)*($V$2:$AE$2&lt;Y$2))),2))))</f>
      </c>
      <c r="AJ526" s="33">
        <f>IF(Z526&lt;=0,0,MAX(0,MIN(Z526,ROUND($AZ526-SUMPRODUCT($V526:$AE526*($V526:$AE526&gt;0)*(($V526:$AE526&lt;Z526)+($V526:$AE526=Z526)*($V$3:$AE$3&gt;Z$3)+($V526:$AE526=Z526)*($V$3:$AE$3=Z$3)*($V$2:$AE$2&lt;Z$2))),2))))</f>
      </c>
      <c r="AK526" s="33">
        <f>IF(AA526&lt;=0,0,MAX(0,MIN(AA526,ROUND($AZ526-SUMPRODUCT($V526:$AE526*($V526:$AE526&gt;0)*(($V526:$AE526&lt;AA526)+($V526:$AE526=AA526)*($V$3:$AE$3&gt;AA$3)+($V526:$AE526=AA526)*($V$3:$AE$3=AA$3)*($V$2:$AE$2&lt;AA$2))),2))))</f>
      </c>
      <c r="AL526" s="33">
        <f>IF(AB526&lt;=0,0,MAX(0,MIN(AB526,ROUND($AZ526-SUMPRODUCT($V526:$AE526*($V526:$AE526&gt;0)*(($V526:$AE526&lt;AB526)+($V526:$AE526=AB526)*($V$3:$AE$3&gt;AB$3)+($V526:$AE526=AB526)*($V$3:$AE$3=AB$3)*($V$2:$AE$2&lt;AB$2))),2))))</f>
      </c>
      <c r="AM526" s="33">
        <f>IF(AC526&lt;=0,0,MAX(0,MIN(AC526,ROUND($AZ526-SUMPRODUCT($V526:$AE526*($V526:$AE526&gt;0)*(($V526:$AE526&lt;AC526)+($V526:$AE526=AC526)*($V$3:$AE$3&gt;AC$3)+($V526:$AE526=AC526)*($V$3:$AE$3=AC$3)*($V$2:$AE$2&lt;AC$2))),2))))</f>
      </c>
      <c r="AN526" s="33">
        <f>IF(AD526&lt;=0,0,MAX(0,MIN(AD526,ROUND($AZ526-SUMPRODUCT($V526:$AE526*($V526:$AE526&gt;0)*(($V526:$AE526&lt;AD526)+($V526:$AE526=AD526)*($V$3:$AE$3&gt;AD$3)+($V526:$AE526=AD526)*($V$3:$AE$3=AD$3)*($V$2:$AE$2&lt;AD$2))),2))))</f>
      </c>
      <c r="AO526" s="33">
        <f>IF(AE526&lt;=0,0,MAX(0,MIN(AE526,ROUND($AZ526-SUMPRODUCT($V526:$AE526*($V526:$AE526&gt;0)*(($V526:$AE526&lt;AE526)+($V526:$AE526=AE526)*($V$3:$AE$3&gt;AE$3)+($V526:$AE526=AE526)*($V$3:$AE$3=AE$3)*($V$2:$AE$2&lt;AE$2))),2))))</f>
      </c>
      <c r="AP526" s="33">
        <f>ROUND(V526-AF526,2)</f>
      </c>
      <c r="AQ526" s="33">
        <f>ROUND(W526-AG526,2)</f>
      </c>
      <c r="AR526" s="33">
        <f>ROUND(X526-AH526,2)</f>
      </c>
      <c r="AS526" s="33">
        <f>ROUND(Y526-AI526,2)</f>
      </c>
      <c r="AT526" s="33">
        <f>ROUND(Z526-AJ526,2)</f>
      </c>
      <c r="AU526" s="33">
        <f>ROUND(AA526-AK526,2)</f>
      </c>
      <c r="AV526" s="33">
        <f>ROUND(AB526-AL526,2)</f>
      </c>
      <c r="AW526" s="33">
        <f>ROUND(AC526-AM526,2)</f>
      </c>
      <c r="AX526" s="33">
        <f>ROUND(AD526-AN526,2)</f>
      </c>
      <c r="AY526" s="33">
        <f>ROUND(AE526-AO526,2)</f>
      </c>
      <c r="AZ526" s="33">
        <f>ROUND(MAX(0,'Your debts'!$D$22-SUM($L526:$U526)),2)</f>
      </c>
      <c r="BA526" s="33">
        <f>ROUND(SUM($B526:$K526)-SUM($AP525:$AY525),2)</f>
      </c>
      <c r="BB526" s="33">
        <f>SUM($AP526:$AY526)</f>
      </c>
      <c r="BC526" s="33">
        <f>ROUND(SUM($L526:$U526)+SUM($AF526:$AO526),2)</f>
      </c>
    </row>
    <row r="527" spans="1:55" x14ac:dyDescent="0.25">
      <c r="A527">
        <v>520</v>
      </c>
      <c r="B527" s="33">
        <f>IF(AP526&lt;=0,0,ROUND(AP526+ROUND(AP526*V$3/12,2),2))</f>
      </c>
      <c r="C527" s="33">
        <f>IF(AQ526&lt;=0,0,ROUND(AQ526+ROUND(AQ526*W$3/12,2),2))</f>
      </c>
      <c r="D527" s="33">
        <f>IF(AR526&lt;=0,0,ROUND(AR526+ROUND(AR526*X$3/12,2),2))</f>
      </c>
      <c r="E527" s="33">
        <f>IF(AS526&lt;=0,0,ROUND(AS526+ROUND(AS526*Y$3/12,2),2))</f>
      </c>
      <c r="F527" s="33">
        <f>IF(AT526&lt;=0,0,ROUND(AT526+ROUND(AT526*Z$3/12,2),2))</f>
      </c>
      <c r="G527" s="33">
        <f>IF(AU526&lt;=0,0,ROUND(AU526+ROUND(AU526*AA$3/12,2),2))</f>
      </c>
      <c r="H527" s="33">
        <f>IF(AV526&lt;=0,0,ROUND(AV526+ROUND(AV526*AB$3/12,2),2))</f>
      </c>
      <c r="I527" s="33">
        <f>IF(AW526&lt;=0,0,ROUND(AW526+ROUND(AW526*AC$3/12,2),2))</f>
      </c>
      <c r="J527" s="33">
        <f>IF(AX526&lt;=0,0,ROUND(AX526+ROUND(AX526*AD$3/12,2),2))</f>
      </c>
      <c r="K527" s="33">
        <f>IF(AY526&lt;=0,0,ROUND(AY526+ROUND(AY526*AE$3/12,2),2))</f>
      </c>
      <c r="L527" s="33">
        <f>ROUND(MIN(MAX(0,N('Your debts'!$E$6)),B527),2)</f>
      </c>
      <c r="M527" s="33">
        <f>ROUND(MIN(MAX(0,N('Your debts'!$E$7)),C527),2)</f>
      </c>
      <c r="N527" s="33">
        <f>ROUND(MIN(MAX(0,N('Your debts'!$E$8)),D527),2)</f>
      </c>
      <c r="O527" s="33">
        <f>ROUND(MIN(MAX(0,N('Your debts'!$E$9)),E527),2)</f>
      </c>
      <c r="P527" s="33">
        <f>ROUND(MIN(MAX(0,N('Your debts'!$E$10)),F527),2)</f>
      </c>
      <c r="Q527" s="33">
        <f>ROUND(MIN(MAX(0,N('Your debts'!$E$11)),G527),2)</f>
      </c>
      <c r="R527" s="33">
        <f>ROUND(MIN(MAX(0,N('Your debts'!$E$12)),H527),2)</f>
      </c>
      <c r="S527" s="33">
        <f>ROUND(MIN(MAX(0,N('Your debts'!$E$13)),I527),2)</f>
      </c>
      <c r="T527" s="33">
        <f>ROUND(MIN(MAX(0,N('Your debts'!$E$14)),J527),2)</f>
      </c>
      <c r="U527" s="33">
        <f>ROUND(MIN(MAX(0,N('Your debts'!$E$15)),K527),2)</f>
      </c>
      <c r="V527" s="33">
        <f>ROUND(B527-L527,2)</f>
      </c>
      <c r="W527" s="33">
        <f>ROUND(C527-M527,2)</f>
      </c>
      <c r="X527" s="33">
        <f>ROUND(D527-N527,2)</f>
      </c>
      <c r="Y527" s="33">
        <f>ROUND(E527-O527,2)</f>
      </c>
      <c r="Z527" s="33">
        <f>ROUND(F527-P527,2)</f>
      </c>
      <c r="AA527" s="33">
        <f>ROUND(G527-Q527,2)</f>
      </c>
      <c r="AB527" s="33">
        <f>ROUND(H527-R527,2)</f>
      </c>
      <c r="AC527" s="33">
        <f>ROUND(I527-S527,2)</f>
      </c>
      <c r="AD527" s="33">
        <f>ROUND(J527-T527,2)</f>
      </c>
      <c r="AE527" s="33">
        <f>ROUND(K527-U527,2)</f>
      </c>
      <c r="AF527" s="33">
        <f>IF(V527&lt;=0,0,MAX(0,MIN(V527,ROUND($AZ527-SUMPRODUCT($V527:$AE527*($V527:$AE527&gt;0)*(($V527:$AE527&lt;V527)+($V527:$AE527=V527)*($V$3:$AE$3&gt;V$3)+($V527:$AE527=V527)*($V$3:$AE$3=V$3)*($V$2:$AE$2&lt;V$2))),2))))</f>
      </c>
      <c r="AG527" s="33">
        <f>IF(W527&lt;=0,0,MAX(0,MIN(W527,ROUND($AZ527-SUMPRODUCT($V527:$AE527*($V527:$AE527&gt;0)*(($V527:$AE527&lt;W527)+($V527:$AE527=W527)*($V$3:$AE$3&gt;W$3)+($V527:$AE527=W527)*($V$3:$AE$3=W$3)*($V$2:$AE$2&lt;W$2))),2))))</f>
      </c>
      <c r="AH527" s="33">
        <f>IF(X527&lt;=0,0,MAX(0,MIN(X527,ROUND($AZ527-SUMPRODUCT($V527:$AE527*($V527:$AE527&gt;0)*(($V527:$AE527&lt;X527)+($V527:$AE527=X527)*($V$3:$AE$3&gt;X$3)+($V527:$AE527=X527)*($V$3:$AE$3=X$3)*($V$2:$AE$2&lt;X$2))),2))))</f>
      </c>
      <c r="AI527" s="33">
        <f>IF(Y527&lt;=0,0,MAX(0,MIN(Y527,ROUND($AZ527-SUMPRODUCT($V527:$AE527*($V527:$AE527&gt;0)*(($V527:$AE527&lt;Y527)+($V527:$AE527=Y527)*($V$3:$AE$3&gt;Y$3)+($V527:$AE527=Y527)*($V$3:$AE$3=Y$3)*($V$2:$AE$2&lt;Y$2))),2))))</f>
      </c>
      <c r="AJ527" s="33">
        <f>IF(Z527&lt;=0,0,MAX(0,MIN(Z527,ROUND($AZ527-SUMPRODUCT($V527:$AE527*($V527:$AE527&gt;0)*(($V527:$AE527&lt;Z527)+($V527:$AE527=Z527)*($V$3:$AE$3&gt;Z$3)+($V527:$AE527=Z527)*($V$3:$AE$3=Z$3)*($V$2:$AE$2&lt;Z$2))),2))))</f>
      </c>
      <c r="AK527" s="33">
        <f>IF(AA527&lt;=0,0,MAX(0,MIN(AA527,ROUND($AZ527-SUMPRODUCT($V527:$AE527*($V527:$AE527&gt;0)*(($V527:$AE527&lt;AA527)+($V527:$AE527=AA527)*($V$3:$AE$3&gt;AA$3)+($V527:$AE527=AA527)*($V$3:$AE$3=AA$3)*($V$2:$AE$2&lt;AA$2))),2))))</f>
      </c>
      <c r="AL527" s="33">
        <f>IF(AB527&lt;=0,0,MAX(0,MIN(AB527,ROUND($AZ527-SUMPRODUCT($V527:$AE527*($V527:$AE527&gt;0)*(($V527:$AE527&lt;AB527)+($V527:$AE527=AB527)*($V$3:$AE$3&gt;AB$3)+($V527:$AE527=AB527)*($V$3:$AE$3=AB$3)*($V$2:$AE$2&lt;AB$2))),2))))</f>
      </c>
      <c r="AM527" s="33">
        <f>IF(AC527&lt;=0,0,MAX(0,MIN(AC527,ROUND($AZ527-SUMPRODUCT($V527:$AE527*($V527:$AE527&gt;0)*(($V527:$AE527&lt;AC527)+($V527:$AE527=AC527)*($V$3:$AE$3&gt;AC$3)+($V527:$AE527=AC527)*($V$3:$AE$3=AC$3)*($V$2:$AE$2&lt;AC$2))),2))))</f>
      </c>
      <c r="AN527" s="33">
        <f>IF(AD527&lt;=0,0,MAX(0,MIN(AD527,ROUND($AZ527-SUMPRODUCT($V527:$AE527*($V527:$AE527&gt;0)*(($V527:$AE527&lt;AD527)+($V527:$AE527=AD527)*($V$3:$AE$3&gt;AD$3)+($V527:$AE527=AD527)*($V$3:$AE$3=AD$3)*($V$2:$AE$2&lt;AD$2))),2))))</f>
      </c>
      <c r="AO527" s="33">
        <f>IF(AE527&lt;=0,0,MAX(0,MIN(AE527,ROUND($AZ527-SUMPRODUCT($V527:$AE527*($V527:$AE527&gt;0)*(($V527:$AE527&lt;AE527)+($V527:$AE527=AE527)*($V$3:$AE$3&gt;AE$3)+($V527:$AE527=AE527)*($V$3:$AE$3=AE$3)*($V$2:$AE$2&lt;AE$2))),2))))</f>
      </c>
      <c r="AP527" s="33">
        <f>ROUND(V527-AF527,2)</f>
      </c>
      <c r="AQ527" s="33">
        <f>ROUND(W527-AG527,2)</f>
      </c>
      <c r="AR527" s="33">
        <f>ROUND(X527-AH527,2)</f>
      </c>
      <c r="AS527" s="33">
        <f>ROUND(Y527-AI527,2)</f>
      </c>
      <c r="AT527" s="33">
        <f>ROUND(Z527-AJ527,2)</f>
      </c>
      <c r="AU527" s="33">
        <f>ROUND(AA527-AK527,2)</f>
      </c>
      <c r="AV527" s="33">
        <f>ROUND(AB527-AL527,2)</f>
      </c>
      <c r="AW527" s="33">
        <f>ROUND(AC527-AM527,2)</f>
      </c>
      <c r="AX527" s="33">
        <f>ROUND(AD527-AN527,2)</f>
      </c>
      <c r="AY527" s="33">
        <f>ROUND(AE527-AO527,2)</f>
      </c>
      <c r="AZ527" s="33">
        <f>ROUND(MAX(0,'Your debts'!$D$22-SUM($L527:$U527)),2)</f>
      </c>
      <c r="BA527" s="33">
        <f>ROUND(SUM($B527:$K527)-SUM($AP526:$AY526),2)</f>
      </c>
      <c r="BB527" s="33">
        <f>SUM($AP527:$AY527)</f>
      </c>
      <c r="BC527" s="33">
        <f>ROUND(SUM($L527:$U527)+SUM($AF527:$AO527),2)</f>
      </c>
    </row>
    <row r="528" spans="1:55" x14ac:dyDescent="0.25">
      <c r="A528">
        <v>521</v>
      </c>
      <c r="B528" s="33">
        <f>IF(AP527&lt;=0,0,ROUND(AP527+ROUND(AP527*V$3/12,2),2))</f>
      </c>
      <c r="C528" s="33">
        <f>IF(AQ527&lt;=0,0,ROUND(AQ527+ROUND(AQ527*W$3/12,2),2))</f>
      </c>
      <c r="D528" s="33">
        <f>IF(AR527&lt;=0,0,ROUND(AR527+ROUND(AR527*X$3/12,2),2))</f>
      </c>
      <c r="E528" s="33">
        <f>IF(AS527&lt;=0,0,ROUND(AS527+ROUND(AS527*Y$3/12,2),2))</f>
      </c>
      <c r="F528" s="33">
        <f>IF(AT527&lt;=0,0,ROUND(AT527+ROUND(AT527*Z$3/12,2),2))</f>
      </c>
      <c r="G528" s="33">
        <f>IF(AU527&lt;=0,0,ROUND(AU527+ROUND(AU527*AA$3/12,2),2))</f>
      </c>
      <c r="H528" s="33">
        <f>IF(AV527&lt;=0,0,ROUND(AV527+ROUND(AV527*AB$3/12,2),2))</f>
      </c>
      <c r="I528" s="33">
        <f>IF(AW527&lt;=0,0,ROUND(AW527+ROUND(AW527*AC$3/12,2),2))</f>
      </c>
      <c r="J528" s="33">
        <f>IF(AX527&lt;=0,0,ROUND(AX527+ROUND(AX527*AD$3/12,2),2))</f>
      </c>
      <c r="K528" s="33">
        <f>IF(AY527&lt;=0,0,ROUND(AY527+ROUND(AY527*AE$3/12,2),2))</f>
      </c>
      <c r="L528" s="33">
        <f>ROUND(MIN(MAX(0,N('Your debts'!$E$6)),B528),2)</f>
      </c>
      <c r="M528" s="33">
        <f>ROUND(MIN(MAX(0,N('Your debts'!$E$7)),C528),2)</f>
      </c>
      <c r="N528" s="33">
        <f>ROUND(MIN(MAX(0,N('Your debts'!$E$8)),D528),2)</f>
      </c>
      <c r="O528" s="33">
        <f>ROUND(MIN(MAX(0,N('Your debts'!$E$9)),E528),2)</f>
      </c>
      <c r="P528" s="33">
        <f>ROUND(MIN(MAX(0,N('Your debts'!$E$10)),F528),2)</f>
      </c>
      <c r="Q528" s="33">
        <f>ROUND(MIN(MAX(0,N('Your debts'!$E$11)),G528),2)</f>
      </c>
      <c r="R528" s="33">
        <f>ROUND(MIN(MAX(0,N('Your debts'!$E$12)),H528),2)</f>
      </c>
      <c r="S528" s="33">
        <f>ROUND(MIN(MAX(0,N('Your debts'!$E$13)),I528),2)</f>
      </c>
      <c r="T528" s="33">
        <f>ROUND(MIN(MAX(0,N('Your debts'!$E$14)),J528),2)</f>
      </c>
      <c r="U528" s="33">
        <f>ROUND(MIN(MAX(0,N('Your debts'!$E$15)),K528),2)</f>
      </c>
      <c r="V528" s="33">
        <f>ROUND(B528-L528,2)</f>
      </c>
      <c r="W528" s="33">
        <f>ROUND(C528-M528,2)</f>
      </c>
      <c r="X528" s="33">
        <f>ROUND(D528-N528,2)</f>
      </c>
      <c r="Y528" s="33">
        <f>ROUND(E528-O528,2)</f>
      </c>
      <c r="Z528" s="33">
        <f>ROUND(F528-P528,2)</f>
      </c>
      <c r="AA528" s="33">
        <f>ROUND(G528-Q528,2)</f>
      </c>
      <c r="AB528" s="33">
        <f>ROUND(H528-R528,2)</f>
      </c>
      <c r="AC528" s="33">
        <f>ROUND(I528-S528,2)</f>
      </c>
      <c r="AD528" s="33">
        <f>ROUND(J528-T528,2)</f>
      </c>
      <c r="AE528" s="33">
        <f>ROUND(K528-U528,2)</f>
      </c>
      <c r="AF528" s="33">
        <f>IF(V528&lt;=0,0,MAX(0,MIN(V528,ROUND($AZ528-SUMPRODUCT($V528:$AE528*($V528:$AE528&gt;0)*(($V528:$AE528&lt;V528)+($V528:$AE528=V528)*($V$3:$AE$3&gt;V$3)+($V528:$AE528=V528)*($V$3:$AE$3=V$3)*($V$2:$AE$2&lt;V$2))),2))))</f>
      </c>
      <c r="AG528" s="33">
        <f>IF(W528&lt;=0,0,MAX(0,MIN(W528,ROUND($AZ528-SUMPRODUCT($V528:$AE528*($V528:$AE528&gt;0)*(($V528:$AE528&lt;W528)+($V528:$AE528=W528)*($V$3:$AE$3&gt;W$3)+($V528:$AE528=W528)*($V$3:$AE$3=W$3)*($V$2:$AE$2&lt;W$2))),2))))</f>
      </c>
      <c r="AH528" s="33">
        <f>IF(X528&lt;=0,0,MAX(0,MIN(X528,ROUND($AZ528-SUMPRODUCT($V528:$AE528*($V528:$AE528&gt;0)*(($V528:$AE528&lt;X528)+($V528:$AE528=X528)*($V$3:$AE$3&gt;X$3)+($V528:$AE528=X528)*($V$3:$AE$3=X$3)*($V$2:$AE$2&lt;X$2))),2))))</f>
      </c>
      <c r="AI528" s="33">
        <f>IF(Y528&lt;=0,0,MAX(0,MIN(Y528,ROUND($AZ528-SUMPRODUCT($V528:$AE528*($V528:$AE528&gt;0)*(($V528:$AE528&lt;Y528)+($V528:$AE528=Y528)*($V$3:$AE$3&gt;Y$3)+($V528:$AE528=Y528)*($V$3:$AE$3=Y$3)*($V$2:$AE$2&lt;Y$2))),2))))</f>
      </c>
      <c r="AJ528" s="33">
        <f>IF(Z528&lt;=0,0,MAX(0,MIN(Z528,ROUND($AZ528-SUMPRODUCT($V528:$AE528*($V528:$AE528&gt;0)*(($V528:$AE528&lt;Z528)+($V528:$AE528=Z528)*($V$3:$AE$3&gt;Z$3)+($V528:$AE528=Z528)*($V$3:$AE$3=Z$3)*($V$2:$AE$2&lt;Z$2))),2))))</f>
      </c>
      <c r="AK528" s="33">
        <f>IF(AA528&lt;=0,0,MAX(0,MIN(AA528,ROUND($AZ528-SUMPRODUCT($V528:$AE528*($V528:$AE528&gt;0)*(($V528:$AE528&lt;AA528)+($V528:$AE528=AA528)*($V$3:$AE$3&gt;AA$3)+($V528:$AE528=AA528)*($V$3:$AE$3=AA$3)*($V$2:$AE$2&lt;AA$2))),2))))</f>
      </c>
      <c r="AL528" s="33">
        <f>IF(AB528&lt;=0,0,MAX(0,MIN(AB528,ROUND($AZ528-SUMPRODUCT($V528:$AE528*($V528:$AE528&gt;0)*(($V528:$AE528&lt;AB528)+($V528:$AE528=AB528)*($V$3:$AE$3&gt;AB$3)+($V528:$AE528=AB528)*($V$3:$AE$3=AB$3)*($V$2:$AE$2&lt;AB$2))),2))))</f>
      </c>
      <c r="AM528" s="33">
        <f>IF(AC528&lt;=0,0,MAX(0,MIN(AC528,ROUND($AZ528-SUMPRODUCT($V528:$AE528*($V528:$AE528&gt;0)*(($V528:$AE528&lt;AC528)+($V528:$AE528=AC528)*($V$3:$AE$3&gt;AC$3)+($V528:$AE528=AC528)*($V$3:$AE$3=AC$3)*($V$2:$AE$2&lt;AC$2))),2))))</f>
      </c>
      <c r="AN528" s="33">
        <f>IF(AD528&lt;=0,0,MAX(0,MIN(AD528,ROUND($AZ528-SUMPRODUCT($V528:$AE528*($V528:$AE528&gt;0)*(($V528:$AE528&lt;AD528)+($V528:$AE528=AD528)*($V$3:$AE$3&gt;AD$3)+($V528:$AE528=AD528)*($V$3:$AE$3=AD$3)*($V$2:$AE$2&lt;AD$2))),2))))</f>
      </c>
      <c r="AO528" s="33">
        <f>IF(AE528&lt;=0,0,MAX(0,MIN(AE528,ROUND($AZ528-SUMPRODUCT($V528:$AE528*($V528:$AE528&gt;0)*(($V528:$AE528&lt;AE528)+($V528:$AE528=AE528)*($V$3:$AE$3&gt;AE$3)+($V528:$AE528=AE528)*($V$3:$AE$3=AE$3)*($V$2:$AE$2&lt;AE$2))),2))))</f>
      </c>
      <c r="AP528" s="33">
        <f>ROUND(V528-AF528,2)</f>
      </c>
      <c r="AQ528" s="33">
        <f>ROUND(W528-AG528,2)</f>
      </c>
      <c r="AR528" s="33">
        <f>ROUND(X528-AH528,2)</f>
      </c>
      <c r="AS528" s="33">
        <f>ROUND(Y528-AI528,2)</f>
      </c>
      <c r="AT528" s="33">
        <f>ROUND(Z528-AJ528,2)</f>
      </c>
      <c r="AU528" s="33">
        <f>ROUND(AA528-AK528,2)</f>
      </c>
      <c r="AV528" s="33">
        <f>ROUND(AB528-AL528,2)</f>
      </c>
      <c r="AW528" s="33">
        <f>ROUND(AC528-AM528,2)</f>
      </c>
      <c r="AX528" s="33">
        <f>ROUND(AD528-AN528,2)</f>
      </c>
      <c r="AY528" s="33">
        <f>ROUND(AE528-AO528,2)</f>
      </c>
      <c r="AZ528" s="33">
        <f>ROUND(MAX(0,'Your debts'!$D$22-SUM($L528:$U528)),2)</f>
      </c>
      <c r="BA528" s="33">
        <f>ROUND(SUM($B528:$K528)-SUM($AP527:$AY527),2)</f>
      </c>
      <c r="BB528" s="33">
        <f>SUM($AP528:$AY528)</f>
      </c>
      <c r="BC528" s="33">
        <f>ROUND(SUM($L528:$U528)+SUM($AF528:$AO528),2)</f>
      </c>
    </row>
    <row r="529" spans="1:55" x14ac:dyDescent="0.25">
      <c r="A529">
        <v>522</v>
      </c>
      <c r="B529" s="33">
        <f>IF(AP528&lt;=0,0,ROUND(AP528+ROUND(AP528*V$3/12,2),2))</f>
      </c>
      <c r="C529" s="33">
        <f>IF(AQ528&lt;=0,0,ROUND(AQ528+ROUND(AQ528*W$3/12,2),2))</f>
      </c>
      <c r="D529" s="33">
        <f>IF(AR528&lt;=0,0,ROUND(AR528+ROUND(AR528*X$3/12,2),2))</f>
      </c>
      <c r="E529" s="33">
        <f>IF(AS528&lt;=0,0,ROUND(AS528+ROUND(AS528*Y$3/12,2),2))</f>
      </c>
      <c r="F529" s="33">
        <f>IF(AT528&lt;=0,0,ROUND(AT528+ROUND(AT528*Z$3/12,2),2))</f>
      </c>
      <c r="G529" s="33">
        <f>IF(AU528&lt;=0,0,ROUND(AU528+ROUND(AU528*AA$3/12,2),2))</f>
      </c>
      <c r="H529" s="33">
        <f>IF(AV528&lt;=0,0,ROUND(AV528+ROUND(AV528*AB$3/12,2),2))</f>
      </c>
      <c r="I529" s="33">
        <f>IF(AW528&lt;=0,0,ROUND(AW528+ROUND(AW528*AC$3/12,2),2))</f>
      </c>
      <c r="J529" s="33">
        <f>IF(AX528&lt;=0,0,ROUND(AX528+ROUND(AX528*AD$3/12,2),2))</f>
      </c>
      <c r="K529" s="33">
        <f>IF(AY528&lt;=0,0,ROUND(AY528+ROUND(AY528*AE$3/12,2),2))</f>
      </c>
      <c r="L529" s="33">
        <f>ROUND(MIN(MAX(0,N('Your debts'!$E$6)),B529),2)</f>
      </c>
      <c r="M529" s="33">
        <f>ROUND(MIN(MAX(0,N('Your debts'!$E$7)),C529),2)</f>
      </c>
      <c r="N529" s="33">
        <f>ROUND(MIN(MAX(0,N('Your debts'!$E$8)),D529),2)</f>
      </c>
      <c r="O529" s="33">
        <f>ROUND(MIN(MAX(0,N('Your debts'!$E$9)),E529),2)</f>
      </c>
      <c r="P529" s="33">
        <f>ROUND(MIN(MAX(0,N('Your debts'!$E$10)),F529),2)</f>
      </c>
      <c r="Q529" s="33">
        <f>ROUND(MIN(MAX(0,N('Your debts'!$E$11)),G529),2)</f>
      </c>
      <c r="R529" s="33">
        <f>ROUND(MIN(MAX(0,N('Your debts'!$E$12)),H529),2)</f>
      </c>
      <c r="S529" s="33">
        <f>ROUND(MIN(MAX(0,N('Your debts'!$E$13)),I529),2)</f>
      </c>
      <c r="T529" s="33">
        <f>ROUND(MIN(MAX(0,N('Your debts'!$E$14)),J529),2)</f>
      </c>
      <c r="U529" s="33">
        <f>ROUND(MIN(MAX(0,N('Your debts'!$E$15)),K529),2)</f>
      </c>
      <c r="V529" s="33">
        <f>ROUND(B529-L529,2)</f>
      </c>
      <c r="W529" s="33">
        <f>ROUND(C529-M529,2)</f>
      </c>
      <c r="X529" s="33">
        <f>ROUND(D529-N529,2)</f>
      </c>
      <c r="Y529" s="33">
        <f>ROUND(E529-O529,2)</f>
      </c>
      <c r="Z529" s="33">
        <f>ROUND(F529-P529,2)</f>
      </c>
      <c r="AA529" s="33">
        <f>ROUND(G529-Q529,2)</f>
      </c>
      <c r="AB529" s="33">
        <f>ROUND(H529-R529,2)</f>
      </c>
      <c r="AC529" s="33">
        <f>ROUND(I529-S529,2)</f>
      </c>
      <c r="AD529" s="33">
        <f>ROUND(J529-T529,2)</f>
      </c>
      <c r="AE529" s="33">
        <f>ROUND(K529-U529,2)</f>
      </c>
      <c r="AF529" s="33">
        <f>IF(V529&lt;=0,0,MAX(0,MIN(V529,ROUND($AZ529-SUMPRODUCT($V529:$AE529*($V529:$AE529&gt;0)*(($V529:$AE529&lt;V529)+($V529:$AE529=V529)*($V$3:$AE$3&gt;V$3)+($V529:$AE529=V529)*($V$3:$AE$3=V$3)*($V$2:$AE$2&lt;V$2))),2))))</f>
      </c>
      <c r="AG529" s="33">
        <f>IF(W529&lt;=0,0,MAX(0,MIN(W529,ROUND($AZ529-SUMPRODUCT($V529:$AE529*($V529:$AE529&gt;0)*(($V529:$AE529&lt;W529)+($V529:$AE529=W529)*($V$3:$AE$3&gt;W$3)+($V529:$AE529=W529)*($V$3:$AE$3=W$3)*($V$2:$AE$2&lt;W$2))),2))))</f>
      </c>
      <c r="AH529" s="33">
        <f>IF(X529&lt;=0,0,MAX(0,MIN(X529,ROUND($AZ529-SUMPRODUCT($V529:$AE529*($V529:$AE529&gt;0)*(($V529:$AE529&lt;X529)+($V529:$AE529=X529)*($V$3:$AE$3&gt;X$3)+($V529:$AE529=X529)*($V$3:$AE$3=X$3)*($V$2:$AE$2&lt;X$2))),2))))</f>
      </c>
      <c r="AI529" s="33">
        <f>IF(Y529&lt;=0,0,MAX(0,MIN(Y529,ROUND($AZ529-SUMPRODUCT($V529:$AE529*($V529:$AE529&gt;0)*(($V529:$AE529&lt;Y529)+($V529:$AE529=Y529)*($V$3:$AE$3&gt;Y$3)+($V529:$AE529=Y529)*($V$3:$AE$3=Y$3)*($V$2:$AE$2&lt;Y$2))),2))))</f>
      </c>
      <c r="AJ529" s="33">
        <f>IF(Z529&lt;=0,0,MAX(0,MIN(Z529,ROUND($AZ529-SUMPRODUCT($V529:$AE529*($V529:$AE529&gt;0)*(($V529:$AE529&lt;Z529)+($V529:$AE529=Z529)*($V$3:$AE$3&gt;Z$3)+($V529:$AE529=Z529)*($V$3:$AE$3=Z$3)*($V$2:$AE$2&lt;Z$2))),2))))</f>
      </c>
      <c r="AK529" s="33">
        <f>IF(AA529&lt;=0,0,MAX(0,MIN(AA529,ROUND($AZ529-SUMPRODUCT($V529:$AE529*($V529:$AE529&gt;0)*(($V529:$AE529&lt;AA529)+($V529:$AE529=AA529)*($V$3:$AE$3&gt;AA$3)+($V529:$AE529=AA529)*($V$3:$AE$3=AA$3)*($V$2:$AE$2&lt;AA$2))),2))))</f>
      </c>
      <c r="AL529" s="33">
        <f>IF(AB529&lt;=0,0,MAX(0,MIN(AB529,ROUND($AZ529-SUMPRODUCT($V529:$AE529*($V529:$AE529&gt;0)*(($V529:$AE529&lt;AB529)+($V529:$AE529=AB529)*($V$3:$AE$3&gt;AB$3)+($V529:$AE529=AB529)*($V$3:$AE$3=AB$3)*($V$2:$AE$2&lt;AB$2))),2))))</f>
      </c>
      <c r="AM529" s="33">
        <f>IF(AC529&lt;=0,0,MAX(0,MIN(AC529,ROUND($AZ529-SUMPRODUCT($V529:$AE529*($V529:$AE529&gt;0)*(($V529:$AE529&lt;AC529)+($V529:$AE529=AC529)*($V$3:$AE$3&gt;AC$3)+($V529:$AE529=AC529)*($V$3:$AE$3=AC$3)*($V$2:$AE$2&lt;AC$2))),2))))</f>
      </c>
      <c r="AN529" s="33">
        <f>IF(AD529&lt;=0,0,MAX(0,MIN(AD529,ROUND($AZ529-SUMPRODUCT($V529:$AE529*($V529:$AE529&gt;0)*(($V529:$AE529&lt;AD529)+($V529:$AE529=AD529)*($V$3:$AE$3&gt;AD$3)+($V529:$AE529=AD529)*($V$3:$AE$3=AD$3)*($V$2:$AE$2&lt;AD$2))),2))))</f>
      </c>
      <c r="AO529" s="33">
        <f>IF(AE529&lt;=0,0,MAX(0,MIN(AE529,ROUND($AZ529-SUMPRODUCT($V529:$AE529*($V529:$AE529&gt;0)*(($V529:$AE529&lt;AE529)+($V529:$AE529=AE529)*($V$3:$AE$3&gt;AE$3)+($V529:$AE529=AE529)*($V$3:$AE$3=AE$3)*($V$2:$AE$2&lt;AE$2))),2))))</f>
      </c>
      <c r="AP529" s="33">
        <f>ROUND(V529-AF529,2)</f>
      </c>
      <c r="AQ529" s="33">
        <f>ROUND(W529-AG529,2)</f>
      </c>
      <c r="AR529" s="33">
        <f>ROUND(X529-AH529,2)</f>
      </c>
      <c r="AS529" s="33">
        <f>ROUND(Y529-AI529,2)</f>
      </c>
      <c r="AT529" s="33">
        <f>ROUND(Z529-AJ529,2)</f>
      </c>
      <c r="AU529" s="33">
        <f>ROUND(AA529-AK529,2)</f>
      </c>
      <c r="AV529" s="33">
        <f>ROUND(AB529-AL529,2)</f>
      </c>
      <c r="AW529" s="33">
        <f>ROUND(AC529-AM529,2)</f>
      </c>
      <c r="AX529" s="33">
        <f>ROUND(AD529-AN529,2)</f>
      </c>
      <c r="AY529" s="33">
        <f>ROUND(AE529-AO529,2)</f>
      </c>
      <c r="AZ529" s="33">
        <f>ROUND(MAX(0,'Your debts'!$D$22-SUM($L529:$U529)),2)</f>
      </c>
      <c r="BA529" s="33">
        <f>ROUND(SUM($B529:$K529)-SUM($AP528:$AY528),2)</f>
      </c>
      <c r="BB529" s="33">
        <f>SUM($AP529:$AY529)</f>
      </c>
      <c r="BC529" s="33">
        <f>ROUND(SUM($L529:$U529)+SUM($AF529:$AO529),2)</f>
      </c>
    </row>
    <row r="530" spans="1:55" x14ac:dyDescent="0.25">
      <c r="A530">
        <v>523</v>
      </c>
      <c r="B530" s="33">
        <f>IF(AP529&lt;=0,0,ROUND(AP529+ROUND(AP529*V$3/12,2),2))</f>
      </c>
      <c r="C530" s="33">
        <f>IF(AQ529&lt;=0,0,ROUND(AQ529+ROUND(AQ529*W$3/12,2),2))</f>
      </c>
      <c r="D530" s="33">
        <f>IF(AR529&lt;=0,0,ROUND(AR529+ROUND(AR529*X$3/12,2),2))</f>
      </c>
      <c r="E530" s="33">
        <f>IF(AS529&lt;=0,0,ROUND(AS529+ROUND(AS529*Y$3/12,2),2))</f>
      </c>
      <c r="F530" s="33">
        <f>IF(AT529&lt;=0,0,ROUND(AT529+ROUND(AT529*Z$3/12,2),2))</f>
      </c>
      <c r="G530" s="33">
        <f>IF(AU529&lt;=0,0,ROUND(AU529+ROUND(AU529*AA$3/12,2),2))</f>
      </c>
      <c r="H530" s="33">
        <f>IF(AV529&lt;=0,0,ROUND(AV529+ROUND(AV529*AB$3/12,2),2))</f>
      </c>
      <c r="I530" s="33">
        <f>IF(AW529&lt;=0,0,ROUND(AW529+ROUND(AW529*AC$3/12,2),2))</f>
      </c>
      <c r="J530" s="33">
        <f>IF(AX529&lt;=0,0,ROUND(AX529+ROUND(AX529*AD$3/12,2),2))</f>
      </c>
      <c r="K530" s="33">
        <f>IF(AY529&lt;=0,0,ROUND(AY529+ROUND(AY529*AE$3/12,2),2))</f>
      </c>
      <c r="L530" s="33">
        <f>ROUND(MIN(MAX(0,N('Your debts'!$E$6)),B530),2)</f>
      </c>
      <c r="M530" s="33">
        <f>ROUND(MIN(MAX(0,N('Your debts'!$E$7)),C530),2)</f>
      </c>
      <c r="N530" s="33">
        <f>ROUND(MIN(MAX(0,N('Your debts'!$E$8)),D530),2)</f>
      </c>
      <c r="O530" s="33">
        <f>ROUND(MIN(MAX(0,N('Your debts'!$E$9)),E530),2)</f>
      </c>
      <c r="P530" s="33">
        <f>ROUND(MIN(MAX(0,N('Your debts'!$E$10)),F530),2)</f>
      </c>
      <c r="Q530" s="33">
        <f>ROUND(MIN(MAX(0,N('Your debts'!$E$11)),G530),2)</f>
      </c>
      <c r="R530" s="33">
        <f>ROUND(MIN(MAX(0,N('Your debts'!$E$12)),H530),2)</f>
      </c>
      <c r="S530" s="33">
        <f>ROUND(MIN(MAX(0,N('Your debts'!$E$13)),I530),2)</f>
      </c>
      <c r="T530" s="33">
        <f>ROUND(MIN(MAX(0,N('Your debts'!$E$14)),J530),2)</f>
      </c>
      <c r="U530" s="33">
        <f>ROUND(MIN(MAX(0,N('Your debts'!$E$15)),K530),2)</f>
      </c>
      <c r="V530" s="33">
        <f>ROUND(B530-L530,2)</f>
      </c>
      <c r="W530" s="33">
        <f>ROUND(C530-M530,2)</f>
      </c>
      <c r="X530" s="33">
        <f>ROUND(D530-N530,2)</f>
      </c>
      <c r="Y530" s="33">
        <f>ROUND(E530-O530,2)</f>
      </c>
      <c r="Z530" s="33">
        <f>ROUND(F530-P530,2)</f>
      </c>
      <c r="AA530" s="33">
        <f>ROUND(G530-Q530,2)</f>
      </c>
      <c r="AB530" s="33">
        <f>ROUND(H530-R530,2)</f>
      </c>
      <c r="AC530" s="33">
        <f>ROUND(I530-S530,2)</f>
      </c>
      <c r="AD530" s="33">
        <f>ROUND(J530-T530,2)</f>
      </c>
      <c r="AE530" s="33">
        <f>ROUND(K530-U530,2)</f>
      </c>
      <c r="AF530" s="33">
        <f>IF(V530&lt;=0,0,MAX(0,MIN(V530,ROUND($AZ530-SUMPRODUCT($V530:$AE530*($V530:$AE530&gt;0)*(($V530:$AE530&lt;V530)+($V530:$AE530=V530)*($V$3:$AE$3&gt;V$3)+($V530:$AE530=V530)*($V$3:$AE$3=V$3)*($V$2:$AE$2&lt;V$2))),2))))</f>
      </c>
      <c r="AG530" s="33">
        <f>IF(W530&lt;=0,0,MAX(0,MIN(W530,ROUND($AZ530-SUMPRODUCT($V530:$AE530*($V530:$AE530&gt;0)*(($V530:$AE530&lt;W530)+($V530:$AE530=W530)*($V$3:$AE$3&gt;W$3)+($V530:$AE530=W530)*($V$3:$AE$3=W$3)*($V$2:$AE$2&lt;W$2))),2))))</f>
      </c>
      <c r="AH530" s="33">
        <f>IF(X530&lt;=0,0,MAX(0,MIN(X530,ROUND($AZ530-SUMPRODUCT($V530:$AE530*($V530:$AE530&gt;0)*(($V530:$AE530&lt;X530)+($V530:$AE530=X530)*($V$3:$AE$3&gt;X$3)+($V530:$AE530=X530)*($V$3:$AE$3=X$3)*($V$2:$AE$2&lt;X$2))),2))))</f>
      </c>
      <c r="AI530" s="33">
        <f>IF(Y530&lt;=0,0,MAX(0,MIN(Y530,ROUND($AZ530-SUMPRODUCT($V530:$AE530*($V530:$AE530&gt;0)*(($V530:$AE530&lt;Y530)+($V530:$AE530=Y530)*($V$3:$AE$3&gt;Y$3)+($V530:$AE530=Y530)*($V$3:$AE$3=Y$3)*($V$2:$AE$2&lt;Y$2))),2))))</f>
      </c>
      <c r="AJ530" s="33">
        <f>IF(Z530&lt;=0,0,MAX(0,MIN(Z530,ROUND($AZ530-SUMPRODUCT($V530:$AE530*($V530:$AE530&gt;0)*(($V530:$AE530&lt;Z530)+($V530:$AE530=Z530)*($V$3:$AE$3&gt;Z$3)+($V530:$AE530=Z530)*($V$3:$AE$3=Z$3)*($V$2:$AE$2&lt;Z$2))),2))))</f>
      </c>
      <c r="AK530" s="33">
        <f>IF(AA530&lt;=0,0,MAX(0,MIN(AA530,ROUND($AZ530-SUMPRODUCT($V530:$AE530*($V530:$AE530&gt;0)*(($V530:$AE530&lt;AA530)+($V530:$AE530=AA530)*($V$3:$AE$3&gt;AA$3)+($V530:$AE530=AA530)*($V$3:$AE$3=AA$3)*($V$2:$AE$2&lt;AA$2))),2))))</f>
      </c>
      <c r="AL530" s="33">
        <f>IF(AB530&lt;=0,0,MAX(0,MIN(AB530,ROUND($AZ530-SUMPRODUCT($V530:$AE530*($V530:$AE530&gt;0)*(($V530:$AE530&lt;AB530)+($V530:$AE530=AB530)*($V$3:$AE$3&gt;AB$3)+($V530:$AE530=AB530)*($V$3:$AE$3=AB$3)*($V$2:$AE$2&lt;AB$2))),2))))</f>
      </c>
      <c r="AM530" s="33">
        <f>IF(AC530&lt;=0,0,MAX(0,MIN(AC530,ROUND($AZ530-SUMPRODUCT($V530:$AE530*($V530:$AE530&gt;0)*(($V530:$AE530&lt;AC530)+($V530:$AE530=AC530)*($V$3:$AE$3&gt;AC$3)+($V530:$AE530=AC530)*($V$3:$AE$3=AC$3)*($V$2:$AE$2&lt;AC$2))),2))))</f>
      </c>
      <c r="AN530" s="33">
        <f>IF(AD530&lt;=0,0,MAX(0,MIN(AD530,ROUND($AZ530-SUMPRODUCT($V530:$AE530*($V530:$AE530&gt;0)*(($V530:$AE530&lt;AD530)+($V530:$AE530=AD530)*($V$3:$AE$3&gt;AD$3)+($V530:$AE530=AD530)*($V$3:$AE$3=AD$3)*($V$2:$AE$2&lt;AD$2))),2))))</f>
      </c>
      <c r="AO530" s="33">
        <f>IF(AE530&lt;=0,0,MAX(0,MIN(AE530,ROUND($AZ530-SUMPRODUCT($V530:$AE530*($V530:$AE530&gt;0)*(($V530:$AE530&lt;AE530)+($V530:$AE530=AE530)*($V$3:$AE$3&gt;AE$3)+($V530:$AE530=AE530)*($V$3:$AE$3=AE$3)*($V$2:$AE$2&lt;AE$2))),2))))</f>
      </c>
      <c r="AP530" s="33">
        <f>ROUND(V530-AF530,2)</f>
      </c>
      <c r="AQ530" s="33">
        <f>ROUND(W530-AG530,2)</f>
      </c>
      <c r="AR530" s="33">
        <f>ROUND(X530-AH530,2)</f>
      </c>
      <c r="AS530" s="33">
        <f>ROUND(Y530-AI530,2)</f>
      </c>
      <c r="AT530" s="33">
        <f>ROUND(Z530-AJ530,2)</f>
      </c>
      <c r="AU530" s="33">
        <f>ROUND(AA530-AK530,2)</f>
      </c>
      <c r="AV530" s="33">
        <f>ROUND(AB530-AL530,2)</f>
      </c>
      <c r="AW530" s="33">
        <f>ROUND(AC530-AM530,2)</f>
      </c>
      <c r="AX530" s="33">
        <f>ROUND(AD530-AN530,2)</f>
      </c>
      <c r="AY530" s="33">
        <f>ROUND(AE530-AO530,2)</f>
      </c>
      <c r="AZ530" s="33">
        <f>ROUND(MAX(0,'Your debts'!$D$22-SUM($L530:$U530)),2)</f>
      </c>
      <c r="BA530" s="33">
        <f>ROUND(SUM($B530:$K530)-SUM($AP529:$AY529),2)</f>
      </c>
      <c r="BB530" s="33">
        <f>SUM($AP530:$AY530)</f>
      </c>
      <c r="BC530" s="33">
        <f>ROUND(SUM($L530:$U530)+SUM($AF530:$AO530),2)</f>
      </c>
    </row>
    <row r="531" spans="1:55" x14ac:dyDescent="0.25">
      <c r="A531">
        <v>524</v>
      </c>
      <c r="B531" s="33">
        <f>IF(AP530&lt;=0,0,ROUND(AP530+ROUND(AP530*V$3/12,2),2))</f>
      </c>
      <c r="C531" s="33">
        <f>IF(AQ530&lt;=0,0,ROUND(AQ530+ROUND(AQ530*W$3/12,2),2))</f>
      </c>
      <c r="D531" s="33">
        <f>IF(AR530&lt;=0,0,ROUND(AR530+ROUND(AR530*X$3/12,2),2))</f>
      </c>
      <c r="E531" s="33">
        <f>IF(AS530&lt;=0,0,ROUND(AS530+ROUND(AS530*Y$3/12,2),2))</f>
      </c>
      <c r="F531" s="33">
        <f>IF(AT530&lt;=0,0,ROUND(AT530+ROUND(AT530*Z$3/12,2),2))</f>
      </c>
      <c r="G531" s="33">
        <f>IF(AU530&lt;=0,0,ROUND(AU530+ROUND(AU530*AA$3/12,2),2))</f>
      </c>
      <c r="H531" s="33">
        <f>IF(AV530&lt;=0,0,ROUND(AV530+ROUND(AV530*AB$3/12,2),2))</f>
      </c>
      <c r="I531" s="33">
        <f>IF(AW530&lt;=0,0,ROUND(AW530+ROUND(AW530*AC$3/12,2),2))</f>
      </c>
      <c r="J531" s="33">
        <f>IF(AX530&lt;=0,0,ROUND(AX530+ROUND(AX530*AD$3/12,2),2))</f>
      </c>
      <c r="K531" s="33">
        <f>IF(AY530&lt;=0,0,ROUND(AY530+ROUND(AY530*AE$3/12,2),2))</f>
      </c>
      <c r="L531" s="33">
        <f>ROUND(MIN(MAX(0,N('Your debts'!$E$6)),B531),2)</f>
      </c>
      <c r="M531" s="33">
        <f>ROUND(MIN(MAX(0,N('Your debts'!$E$7)),C531),2)</f>
      </c>
      <c r="N531" s="33">
        <f>ROUND(MIN(MAX(0,N('Your debts'!$E$8)),D531),2)</f>
      </c>
      <c r="O531" s="33">
        <f>ROUND(MIN(MAX(0,N('Your debts'!$E$9)),E531),2)</f>
      </c>
      <c r="P531" s="33">
        <f>ROUND(MIN(MAX(0,N('Your debts'!$E$10)),F531),2)</f>
      </c>
      <c r="Q531" s="33">
        <f>ROUND(MIN(MAX(0,N('Your debts'!$E$11)),G531),2)</f>
      </c>
      <c r="R531" s="33">
        <f>ROUND(MIN(MAX(0,N('Your debts'!$E$12)),H531),2)</f>
      </c>
      <c r="S531" s="33">
        <f>ROUND(MIN(MAX(0,N('Your debts'!$E$13)),I531),2)</f>
      </c>
      <c r="T531" s="33">
        <f>ROUND(MIN(MAX(0,N('Your debts'!$E$14)),J531),2)</f>
      </c>
      <c r="U531" s="33">
        <f>ROUND(MIN(MAX(0,N('Your debts'!$E$15)),K531),2)</f>
      </c>
      <c r="V531" s="33">
        <f>ROUND(B531-L531,2)</f>
      </c>
      <c r="W531" s="33">
        <f>ROUND(C531-M531,2)</f>
      </c>
      <c r="X531" s="33">
        <f>ROUND(D531-N531,2)</f>
      </c>
      <c r="Y531" s="33">
        <f>ROUND(E531-O531,2)</f>
      </c>
      <c r="Z531" s="33">
        <f>ROUND(F531-P531,2)</f>
      </c>
      <c r="AA531" s="33">
        <f>ROUND(G531-Q531,2)</f>
      </c>
      <c r="AB531" s="33">
        <f>ROUND(H531-R531,2)</f>
      </c>
      <c r="AC531" s="33">
        <f>ROUND(I531-S531,2)</f>
      </c>
      <c r="AD531" s="33">
        <f>ROUND(J531-T531,2)</f>
      </c>
      <c r="AE531" s="33">
        <f>ROUND(K531-U531,2)</f>
      </c>
      <c r="AF531" s="33">
        <f>IF(V531&lt;=0,0,MAX(0,MIN(V531,ROUND($AZ531-SUMPRODUCT($V531:$AE531*($V531:$AE531&gt;0)*(($V531:$AE531&lt;V531)+($V531:$AE531=V531)*($V$3:$AE$3&gt;V$3)+($V531:$AE531=V531)*($V$3:$AE$3=V$3)*($V$2:$AE$2&lt;V$2))),2))))</f>
      </c>
      <c r="AG531" s="33">
        <f>IF(W531&lt;=0,0,MAX(0,MIN(W531,ROUND($AZ531-SUMPRODUCT($V531:$AE531*($V531:$AE531&gt;0)*(($V531:$AE531&lt;W531)+($V531:$AE531=W531)*($V$3:$AE$3&gt;W$3)+($V531:$AE531=W531)*($V$3:$AE$3=W$3)*($V$2:$AE$2&lt;W$2))),2))))</f>
      </c>
      <c r="AH531" s="33">
        <f>IF(X531&lt;=0,0,MAX(0,MIN(X531,ROUND($AZ531-SUMPRODUCT($V531:$AE531*($V531:$AE531&gt;0)*(($V531:$AE531&lt;X531)+($V531:$AE531=X531)*($V$3:$AE$3&gt;X$3)+($V531:$AE531=X531)*($V$3:$AE$3=X$3)*($V$2:$AE$2&lt;X$2))),2))))</f>
      </c>
      <c r="AI531" s="33">
        <f>IF(Y531&lt;=0,0,MAX(0,MIN(Y531,ROUND($AZ531-SUMPRODUCT($V531:$AE531*($V531:$AE531&gt;0)*(($V531:$AE531&lt;Y531)+($V531:$AE531=Y531)*($V$3:$AE$3&gt;Y$3)+($V531:$AE531=Y531)*($V$3:$AE$3=Y$3)*($V$2:$AE$2&lt;Y$2))),2))))</f>
      </c>
      <c r="AJ531" s="33">
        <f>IF(Z531&lt;=0,0,MAX(0,MIN(Z531,ROUND($AZ531-SUMPRODUCT($V531:$AE531*($V531:$AE531&gt;0)*(($V531:$AE531&lt;Z531)+($V531:$AE531=Z531)*($V$3:$AE$3&gt;Z$3)+($V531:$AE531=Z531)*($V$3:$AE$3=Z$3)*($V$2:$AE$2&lt;Z$2))),2))))</f>
      </c>
      <c r="AK531" s="33">
        <f>IF(AA531&lt;=0,0,MAX(0,MIN(AA531,ROUND($AZ531-SUMPRODUCT($V531:$AE531*($V531:$AE531&gt;0)*(($V531:$AE531&lt;AA531)+($V531:$AE531=AA531)*($V$3:$AE$3&gt;AA$3)+($V531:$AE531=AA531)*($V$3:$AE$3=AA$3)*($V$2:$AE$2&lt;AA$2))),2))))</f>
      </c>
      <c r="AL531" s="33">
        <f>IF(AB531&lt;=0,0,MAX(0,MIN(AB531,ROUND($AZ531-SUMPRODUCT($V531:$AE531*($V531:$AE531&gt;0)*(($V531:$AE531&lt;AB531)+($V531:$AE531=AB531)*($V$3:$AE$3&gt;AB$3)+($V531:$AE531=AB531)*($V$3:$AE$3=AB$3)*($V$2:$AE$2&lt;AB$2))),2))))</f>
      </c>
      <c r="AM531" s="33">
        <f>IF(AC531&lt;=0,0,MAX(0,MIN(AC531,ROUND($AZ531-SUMPRODUCT($V531:$AE531*($V531:$AE531&gt;0)*(($V531:$AE531&lt;AC531)+($V531:$AE531=AC531)*($V$3:$AE$3&gt;AC$3)+($V531:$AE531=AC531)*($V$3:$AE$3=AC$3)*($V$2:$AE$2&lt;AC$2))),2))))</f>
      </c>
      <c r="AN531" s="33">
        <f>IF(AD531&lt;=0,0,MAX(0,MIN(AD531,ROUND($AZ531-SUMPRODUCT($V531:$AE531*($V531:$AE531&gt;0)*(($V531:$AE531&lt;AD531)+($V531:$AE531=AD531)*($V$3:$AE$3&gt;AD$3)+($V531:$AE531=AD531)*($V$3:$AE$3=AD$3)*($V$2:$AE$2&lt;AD$2))),2))))</f>
      </c>
      <c r="AO531" s="33">
        <f>IF(AE531&lt;=0,0,MAX(0,MIN(AE531,ROUND($AZ531-SUMPRODUCT($V531:$AE531*($V531:$AE531&gt;0)*(($V531:$AE531&lt;AE531)+($V531:$AE531=AE531)*($V$3:$AE$3&gt;AE$3)+($V531:$AE531=AE531)*($V$3:$AE$3=AE$3)*($V$2:$AE$2&lt;AE$2))),2))))</f>
      </c>
      <c r="AP531" s="33">
        <f>ROUND(V531-AF531,2)</f>
      </c>
      <c r="AQ531" s="33">
        <f>ROUND(W531-AG531,2)</f>
      </c>
      <c r="AR531" s="33">
        <f>ROUND(X531-AH531,2)</f>
      </c>
      <c r="AS531" s="33">
        <f>ROUND(Y531-AI531,2)</f>
      </c>
      <c r="AT531" s="33">
        <f>ROUND(Z531-AJ531,2)</f>
      </c>
      <c r="AU531" s="33">
        <f>ROUND(AA531-AK531,2)</f>
      </c>
      <c r="AV531" s="33">
        <f>ROUND(AB531-AL531,2)</f>
      </c>
      <c r="AW531" s="33">
        <f>ROUND(AC531-AM531,2)</f>
      </c>
      <c r="AX531" s="33">
        <f>ROUND(AD531-AN531,2)</f>
      </c>
      <c r="AY531" s="33">
        <f>ROUND(AE531-AO531,2)</f>
      </c>
      <c r="AZ531" s="33">
        <f>ROUND(MAX(0,'Your debts'!$D$22-SUM($L531:$U531)),2)</f>
      </c>
      <c r="BA531" s="33">
        <f>ROUND(SUM($B531:$K531)-SUM($AP530:$AY530),2)</f>
      </c>
      <c r="BB531" s="33">
        <f>SUM($AP531:$AY531)</f>
      </c>
      <c r="BC531" s="33">
        <f>ROUND(SUM($L531:$U531)+SUM($AF531:$AO531),2)</f>
      </c>
    </row>
    <row r="532" spans="1:55" x14ac:dyDescent="0.25">
      <c r="A532">
        <v>525</v>
      </c>
      <c r="B532" s="33">
        <f>IF(AP531&lt;=0,0,ROUND(AP531+ROUND(AP531*V$3/12,2),2))</f>
      </c>
      <c r="C532" s="33">
        <f>IF(AQ531&lt;=0,0,ROUND(AQ531+ROUND(AQ531*W$3/12,2),2))</f>
      </c>
      <c r="D532" s="33">
        <f>IF(AR531&lt;=0,0,ROUND(AR531+ROUND(AR531*X$3/12,2),2))</f>
      </c>
      <c r="E532" s="33">
        <f>IF(AS531&lt;=0,0,ROUND(AS531+ROUND(AS531*Y$3/12,2),2))</f>
      </c>
      <c r="F532" s="33">
        <f>IF(AT531&lt;=0,0,ROUND(AT531+ROUND(AT531*Z$3/12,2),2))</f>
      </c>
      <c r="G532" s="33">
        <f>IF(AU531&lt;=0,0,ROUND(AU531+ROUND(AU531*AA$3/12,2),2))</f>
      </c>
      <c r="H532" s="33">
        <f>IF(AV531&lt;=0,0,ROUND(AV531+ROUND(AV531*AB$3/12,2),2))</f>
      </c>
      <c r="I532" s="33">
        <f>IF(AW531&lt;=0,0,ROUND(AW531+ROUND(AW531*AC$3/12,2),2))</f>
      </c>
      <c r="J532" s="33">
        <f>IF(AX531&lt;=0,0,ROUND(AX531+ROUND(AX531*AD$3/12,2),2))</f>
      </c>
      <c r="K532" s="33">
        <f>IF(AY531&lt;=0,0,ROUND(AY531+ROUND(AY531*AE$3/12,2),2))</f>
      </c>
      <c r="L532" s="33">
        <f>ROUND(MIN(MAX(0,N('Your debts'!$E$6)),B532),2)</f>
      </c>
      <c r="M532" s="33">
        <f>ROUND(MIN(MAX(0,N('Your debts'!$E$7)),C532),2)</f>
      </c>
      <c r="N532" s="33">
        <f>ROUND(MIN(MAX(0,N('Your debts'!$E$8)),D532),2)</f>
      </c>
      <c r="O532" s="33">
        <f>ROUND(MIN(MAX(0,N('Your debts'!$E$9)),E532),2)</f>
      </c>
      <c r="P532" s="33">
        <f>ROUND(MIN(MAX(0,N('Your debts'!$E$10)),F532),2)</f>
      </c>
      <c r="Q532" s="33">
        <f>ROUND(MIN(MAX(0,N('Your debts'!$E$11)),G532),2)</f>
      </c>
      <c r="R532" s="33">
        <f>ROUND(MIN(MAX(0,N('Your debts'!$E$12)),H532),2)</f>
      </c>
      <c r="S532" s="33">
        <f>ROUND(MIN(MAX(0,N('Your debts'!$E$13)),I532),2)</f>
      </c>
      <c r="T532" s="33">
        <f>ROUND(MIN(MAX(0,N('Your debts'!$E$14)),J532),2)</f>
      </c>
      <c r="U532" s="33">
        <f>ROUND(MIN(MAX(0,N('Your debts'!$E$15)),K532),2)</f>
      </c>
      <c r="V532" s="33">
        <f>ROUND(B532-L532,2)</f>
      </c>
      <c r="W532" s="33">
        <f>ROUND(C532-M532,2)</f>
      </c>
      <c r="X532" s="33">
        <f>ROUND(D532-N532,2)</f>
      </c>
      <c r="Y532" s="33">
        <f>ROUND(E532-O532,2)</f>
      </c>
      <c r="Z532" s="33">
        <f>ROUND(F532-P532,2)</f>
      </c>
      <c r="AA532" s="33">
        <f>ROUND(G532-Q532,2)</f>
      </c>
      <c r="AB532" s="33">
        <f>ROUND(H532-R532,2)</f>
      </c>
      <c r="AC532" s="33">
        <f>ROUND(I532-S532,2)</f>
      </c>
      <c r="AD532" s="33">
        <f>ROUND(J532-T532,2)</f>
      </c>
      <c r="AE532" s="33">
        <f>ROUND(K532-U532,2)</f>
      </c>
      <c r="AF532" s="33">
        <f>IF(V532&lt;=0,0,MAX(0,MIN(V532,ROUND($AZ532-SUMPRODUCT($V532:$AE532*($V532:$AE532&gt;0)*(($V532:$AE532&lt;V532)+($V532:$AE532=V532)*($V$3:$AE$3&gt;V$3)+($V532:$AE532=V532)*($V$3:$AE$3=V$3)*($V$2:$AE$2&lt;V$2))),2))))</f>
      </c>
      <c r="AG532" s="33">
        <f>IF(W532&lt;=0,0,MAX(0,MIN(W532,ROUND($AZ532-SUMPRODUCT($V532:$AE532*($V532:$AE532&gt;0)*(($V532:$AE532&lt;W532)+($V532:$AE532=W532)*($V$3:$AE$3&gt;W$3)+($V532:$AE532=W532)*($V$3:$AE$3=W$3)*($V$2:$AE$2&lt;W$2))),2))))</f>
      </c>
      <c r="AH532" s="33">
        <f>IF(X532&lt;=0,0,MAX(0,MIN(X532,ROUND($AZ532-SUMPRODUCT($V532:$AE532*($V532:$AE532&gt;0)*(($V532:$AE532&lt;X532)+($V532:$AE532=X532)*($V$3:$AE$3&gt;X$3)+($V532:$AE532=X532)*($V$3:$AE$3=X$3)*($V$2:$AE$2&lt;X$2))),2))))</f>
      </c>
      <c r="AI532" s="33">
        <f>IF(Y532&lt;=0,0,MAX(0,MIN(Y532,ROUND($AZ532-SUMPRODUCT($V532:$AE532*($V532:$AE532&gt;0)*(($V532:$AE532&lt;Y532)+($V532:$AE532=Y532)*($V$3:$AE$3&gt;Y$3)+($V532:$AE532=Y532)*($V$3:$AE$3=Y$3)*($V$2:$AE$2&lt;Y$2))),2))))</f>
      </c>
      <c r="AJ532" s="33">
        <f>IF(Z532&lt;=0,0,MAX(0,MIN(Z532,ROUND($AZ532-SUMPRODUCT($V532:$AE532*($V532:$AE532&gt;0)*(($V532:$AE532&lt;Z532)+($V532:$AE532=Z532)*($V$3:$AE$3&gt;Z$3)+($V532:$AE532=Z532)*($V$3:$AE$3=Z$3)*($V$2:$AE$2&lt;Z$2))),2))))</f>
      </c>
      <c r="AK532" s="33">
        <f>IF(AA532&lt;=0,0,MAX(0,MIN(AA532,ROUND($AZ532-SUMPRODUCT($V532:$AE532*($V532:$AE532&gt;0)*(($V532:$AE532&lt;AA532)+($V532:$AE532=AA532)*($V$3:$AE$3&gt;AA$3)+($V532:$AE532=AA532)*($V$3:$AE$3=AA$3)*($V$2:$AE$2&lt;AA$2))),2))))</f>
      </c>
      <c r="AL532" s="33">
        <f>IF(AB532&lt;=0,0,MAX(0,MIN(AB532,ROUND($AZ532-SUMPRODUCT($V532:$AE532*($V532:$AE532&gt;0)*(($V532:$AE532&lt;AB532)+($V532:$AE532=AB532)*($V$3:$AE$3&gt;AB$3)+($V532:$AE532=AB532)*($V$3:$AE$3=AB$3)*($V$2:$AE$2&lt;AB$2))),2))))</f>
      </c>
      <c r="AM532" s="33">
        <f>IF(AC532&lt;=0,0,MAX(0,MIN(AC532,ROUND($AZ532-SUMPRODUCT($V532:$AE532*($V532:$AE532&gt;0)*(($V532:$AE532&lt;AC532)+($V532:$AE532=AC532)*($V$3:$AE$3&gt;AC$3)+($V532:$AE532=AC532)*($V$3:$AE$3=AC$3)*($V$2:$AE$2&lt;AC$2))),2))))</f>
      </c>
      <c r="AN532" s="33">
        <f>IF(AD532&lt;=0,0,MAX(0,MIN(AD532,ROUND($AZ532-SUMPRODUCT($V532:$AE532*($V532:$AE532&gt;0)*(($V532:$AE532&lt;AD532)+($V532:$AE532=AD532)*($V$3:$AE$3&gt;AD$3)+($V532:$AE532=AD532)*($V$3:$AE$3=AD$3)*($V$2:$AE$2&lt;AD$2))),2))))</f>
      </c>
      <c r="AO532" s="33">
        <f>IF(AE532&lt;=0,0,MAX(0,MIN(AE532,ROUND($AZ532-SUMPRODUCT($V532:$AE532*($V532:$AE532&gt;0)*(($V532:$AE532&lt;AE532)+($V532:$AE532=AE532)*($V$3:$AE$3&gt;AE$3)+($V532:$AE532=AE532)*($V$3:$AE$3=AE$3)*($V$2:$AE$2&lt;AE$2))),2))))</f>
      </c>
      <c r="AP532" s="33">
        <f>ROUND(V532-AF532,2)</f>
      </c>
      <c r="AQ532" s="33">
        <f>ROUND(W532-AG532,2)</f>
      </c>
      <c r="AR532" s="33">
        <f>ROUND(X532-AH532,2)</f>
      </c>
      <c r="AS532" s="33">
        <f>ROUND(Y532-AI532,2)</f>
      </c>
      <c r="AT532" s="33">
        <f>ROUND(Z532-AJ532,2)</f>
      </c>
      <c r="AU532" s="33">
        <f>ROUND(AA532-AK532,2)</f>
      </c>
      <c r="AV532" s="33">
        <f>ROUND(AB532-AL532,2)</f>
      </c>
      <c r="AW532" s="33">
        <f>ROUND(AC532-AM532,2)</f>
      </c>
      <c r="AX532" s="33">
        <f>ROUND(AD532-AN532,2)</f>
      </c>
      <c r="AY532" s="33">
        <f>ROUND(AE532-AO532,2)</f>
      </c>
      <c r="AZ532" s="33">
        <f>ROUND(MAX(0,'Your debts'!$D$22-SUM($L532:$U532)),2)</f>
      </c>
      <c r="BA532" s="33">
        <f>ROUND(SUM($B532:$K532)-SUM($AP531:$AY531),2)</f>
      </c>
      <c r="BB532" s="33">
        <f>SUM($AP532:$AY532)</f>
      </c>
      <c r="BC532" s="33">
        <f>ROUND(SUM($L532:$U532)+SUM($AF532:$AO532),2)</f>
      </c>
    </row>
    <row r="533" spans="1:55" x14ac:dyDescent="0.25">
      <c r="A533">
        <v>526</v>
      </c>
      <c r="B533" s="33">
        <f>IF(AP532&lt;=0,0,ROUND(AP532+ROUND(AP532*V$3/12,2),2))</f>
      </c>
      <c r="C533" s="33">
        <f>IF(AQ532&lt;=0,0,ROUND(AQ532+ROUND(AQ532*W$3/12,2),2))</f>
      </c>
      <c r="D533" s="33">
        <f>IF(AR532&lt;=0,0,ROUND(AR532+ROUND(AR532*X$3/12,2),2))</f>
      </c>
      <c r="E533" s="33">
        <f>IF(AS532&lt;=0,0,ROUND(AS532+ROUND(AS532*Y$3/12,2),2))</f>
      </c>
      <c r="F533" s="33">
        <f>IF(AT532&lt;=0,0,ROUND(AT532+ROUND(AT532*Z$3/12,2),2))</f>
      </c>
      <c r="G533" s="33">
        <f>IF(AU532&lt;=0,0,ROUND(AU532+ROUND(AU532*AA$3/12,2),2))</f>
      </c>
      <c r="H533" s="33">
        <f>IF(AV532&lt;=0,0,ROUND(AV532+ROUND(AV532*AB$3/12,2),2))</f>
      </c>
      <c r="I533" s="33">
        <f>IF(AW532&lt;=0,0,ROUND(AW532+ROUND(AW532*AC$3/12,2),2))</f>
      </c>
      <c r="J533" s="33">
        <f>IF(AX532&lt;=0,0,ROUND(AX532+ROUND(AX532*AD$3/12,2),2))</f>
      </c>
      <c r="K533" s="33">
        <f>IF(AY532&lt;=0,0,ROUND(AY532+ROUND(AY532*AE$3/12,2),2))</f>
      </c>
      <c r="L533" s="33">
        <f>ROUND(MIN(MAX(0,N('Your debts'!$E$6)),B533),2)</f>
      </c>
      <c r="M533" s="33">
        <f>ROUND(MIN(MAX(0,N('Your debts'!$E$7)),C533),2)</f>
      </c>
      <c r="N533" s="33">
        <f>ROUND(MIN(MAX(0,N('Your debts'!$E$8)),D533),2)</f>
      </c>
      <c r="O533" s="33">
        <f>ROUND(MIN(MAX(0,N('Your debts'!$E$9)),E533),2)</f>
      </c>
      <c r="P533" s="33">
        <f>ROUND(MIN(MAX(0,N('Your debts'!$E$10)),F533),2)</f>
      </c>
      <c r="Q533" s="33">
        <f>ROUND(MIN(MAX(0,N('Your debts'!$E$11)),G533),2)</f>
      </c>
      <c r="R533" s="33">
        <f>ROUND(MIN(MAX(0,N('Your debts'!$E$12)),H533),2)</f>
      </c>
      <c r="S533" s="33">
        <f>ROUND(MIN(MAX(0,N('Your debts'!$E$13)),I533),2)</f>
      </c>
      <c r="T533" s="33">
        <f>ROUND(MIN(MAX(0,N('Your debts'!$E$14)),J533),2)</f>
      </c>
      <c r="U533" s="33">
        <f>ROUND(MIN(MAX(0,N('Your debts'!$E$15)),K533),2)</f>
      </c>
      <c r="V533" s="33">
        <f>ROUND(B533-L533,2)</f>
      </c>
      <c r="W533" s="33">
        <f>ROUND(C533-M533,2)</f>
      </c>
      <c r="X533" s="33">
        <f>ROUND(D533-N533,2)</f>
      </c>
      <c r="Y533" s="33">
        <f>ROUND(E533-O533,2)</f>
      </c>
      <c r="Z533" s="33">
        <f>ROUND(F533-P533,2)</f>
      </c>
      <c r="AA533" s="33">
        <f>ROUND(G533-Q533,2)</f>
      </c>
      <c r="AB533" s="33">
        <f>ROUND(H533-R533,2)</f>
      </c>
      <c r="AC533" s="33">
        <f>ROUND(I533-S533,2)</f>
      </c>
      <c r="AD533" s="33">
        <f>ROUND(J533-T533,2)</f>
      </c>
      <c r="AE533" s="33">
        <f>ROUND(K533-U533,2)</f>
      </c>
      <c r="AF533" s="33">
        <f>IF(V533&lt;=0,0,MAX(0,MIN(V533,ROUND($AZ533-SUMPRODUCT($V533:$AE533*($V533:$AE533&gt;0)*(($V533:$AE533&lt;V533)+($V533:$AE533=V533)*($V$3:$AE$3&gt;V$3)+($V533:$AE533=V533)*($V$3:$AE$3=V$3)*($V$2:$AE$2&lt;V$2))),2))))</f>
      </c>
      <c r="AG533" s="33">
        <f>IF(W533&lt;=0,0,MAX(0,MIN(W533,ROUND($AZ533-SUMPRODUCT($V533:$AE533*($V533:$AE533&gt;0)*(($V533:$AE533&lt;W533)+($V533:$AE533=W533)*($V$3:$AE$3&gt;W$3)+($V533:$AE533=W533)*($V$3:$AE$3=W$3)*($V$2:$AE$2&lt;W$2))),2))))</f>
      </c>
      <c r="AH533" s="33">
        <f>IF(X533&lt;=0,0,MAX(0,MIN(X533,ROUND($AZ533-SUMPRODUCT($V533:$AE533*($V533:$AE533&gt;0)*(($V533:$AE533&lt;X533)+($V533:$AE533=X533)*($V$3:$AE$3&gt;X$3)+($V533:$AE533=X533)*($V$3:$AE$3=X$3)*($V$2:$AE$2&lt;X$2))),2))))</f>
      </c>
      <c r="AI533" s="33">
        <f>IF(Y533&lt;=0,0,MAX(0,MIN(Y533,ROUND($AZ533-SUMPRODUCT($V533:$AE533*($V533:$AE533&gt;0)*(($V533:$AE533&lt;Y533)+($V533:$AE533=Y533)*($V$3:$AE$3&gt;Y$3)+($V533:$AE533=Y533)*($V$3:$AE$3=Y$3)*($V$2:$AE$2&lt;Y$2))),2))))</f>
      </c>
      <c r="AJ533" s="33">
        <f>IF(Z533&lt;=0,0,MAX(0,MIN(Z533,ROUND($AZ533-SUMPRODUCT($V533:$AE533*($V533:$AE533&gt;0)*(($V533:$AE533&lt;Z533)+($V533:$AE533=Z533)*($V$3:$AE$3&gt;Z$3)+($V533:$AE533=Z533)*($V$3:$AE$3=Z$3)*($V$2:$AE$2&lt;Z$2))),2))))</f>
      </c>
      <c r="AK533" s="33">
        <f>IF(AA533&lt;=0,0,MAX(0,MIN(AA533,ROUND($AZ533-SUMPRODUCT($V533:$AE533*($V533:$AE533&gt;0)*(($V533:$AE533&lt;AA533)+($V533:$AE533=AA533)*($V$3:$AE$3&gt;AA$3)+($V533:$AE533=AA533)*($V$3:$AE$3=AA$3)*($V$2:$AE$2&lt;AA$2))),2))))</f>
      </c>
      <c r="AL533" s="33">
        <f>IF(AB533&lt;=0,0,MAX(0,MIN(AB533,ROUND($AZ533-SUMPRODUCT($V533:$AE533*($V533:$AE533&gt;0)*(($V533:$AE533&lt;AB533)+($V533:$AE533=AB533)*($V$3:$AE$3&gt;AB$3)+($V533:$AE533=AB533)*($V$3:$AE$3=AB$3)*($V$2:$AE$2&lt;AB$2))),2))))</f>
      </c>
      <c r="AM533" s="33">
        <f>IF(AC533&lt;=0,0,MAX(0,MIN(AC533,ROUND($AZ533-SUMPRODUCT($V533:$AE533*($V533:$AE533&gt;0)*(($V533:$AE533&lt;AC533)+($V533:$AE533=AC533)*($V$3:$AE$3&gt;AC$3)+($V533:$AE533=AC533)*($V$3:$AE$3=AC$3)*($V$2:$AE$2&lt;AC$2))),2))))</f>
      </c>
      <c r="AN533" s="33">
        <f>IF(AD533&lt;=0,0,MAX(0,MIN(AD533,ROUND($AZ533-SUMPRODUCT($V533:$AE533*($V533:$AE533&gt;0)*(($V533:$AE533&lt;AD533)+($V533:$AE533=AD533)*($V$3:$AE$3&gt;AD$3)+($V533:$AE533=AD533)*($V$3:$AE$3=AD$3)*($V$2:$AE$2&lt;AD$2))),2))))</f>
      </c>
      <c r="AO533" s="33">
        <f>IF(AE533&lt;=0,0,MAX(0,MIN(AE533,ROUND($AZ533-SUMPRODUCT($V533:$AE533*($V533:$AE533&gt;0)*(($V533:$AE533&lt;AE533)+($V533:$AE533=AE533)*($V$3:$AE$3&gt;AE$3)+($V533:$AE533=AE533)*($V$3:$AE$3=AE$3)*($V$2:$AE$2&lt;AE$2))),2))))</f>
      </c>
      <c r="AP533" s="33">
        <f>ROUND(V533-AF533,2)</f>
      </c>
      <c r="AQ533" s="33">
        <f>ROUND(W533-AG533,2)</f>
      </c>
      <c r="AR533" s="33">
        <f>ROUND(X533-AH533,2)</f>
      </c>
      <c r="AS533" s="33">
        <f>ROUND(Y533-AI533,2)</f>
      </c>
      <c r="AT533" s="33">
        <f>ROUND(Z533-AJ533,2)</f>
      </c>
      <c r="AU533" s="33">
        <f>ROUND(AA533-AK533,2)</f>
      </c>
      <c r="AV533" s="33">
        <f>ROUND(AB533-AL533,2)</f>
      </c>
      <c r="AW533" s="33">
        <f>ROUND(AC533-AM533,2)</f>
      </c>
      <c r="AX533" s="33">
        <f>ROUND(AD533-AN533,2)</f>
      </c>
      <c r="AY533" s="33">
        <f>ROUND(AE533-AO533,2)</f>
      </c>
      <c r="AZ533" s="33">
        <f>ROUND(MAX(0,'Your debts'!$D$22-SUM($L533:$U533)),2)</f>
      </c>
      <c r="BA533" s="33">
        <f>ROUND(SUM($B533:$K533)-SUM($AP532:$AY532),2)</f>
      </c>
      <c r="BB533" s="33">
        <f>SUM($AP533:$AY533)</f>
      </c>
      <c r="BC533" s="33">
        <f>ROUND(SUM($L533:$U533)+SUM($AF533:$AO533),2)</f>
      </c>
    </row>
    <row r="534" spans="1:55" x14ac:dyDescent="0.25">
      <c r="A534">
        <v>527</v>
      </c>
      <c r="B534" s="33">
        <f>IF(AP533&lt;=0,0,ROUND(AP533+ROUND(AP533*V$3/12,2),2))</f>
      </c>
      <c r="C534" s="33">
        <f>IF(AQ533&lt;=0,0,ROUND(AQ533+ROUND(AQ533*W$3/12,2),2))</f>
      </c>
      <c r="D534" s="33">
        <f>IF(AR533&lt;=0,0,ROUND(AR533+ROUND(AR533*X$3/12,2),2))</f>
      </c>
      <c r="E534" s="33">
        <f>IF(AS533&lt;=0,0,ROUND(AS533+ROUND(AS533*Y$3/12,2),2))</f>
      </c>
      <c r="F534" s="33">
        <f>IF(AT533&lt;=0,0,ROUND(AT533+ROUND(AT533*Z$3/12,2),2))</f>
      </c>
      <c r="G534" s="33">
        <f>IF(AU533&lt;=0,0,ROUND(AU533+ROUND(AU533*AA$3/12,2),2))</f>
      </c>
      <c r="H534" s="33">
        <f>IF(AV533&lt;=0,0,ROUND(AV533+ROUND(AV533*AB$3/12,2),2))</f>
      </c>
      <c r="I534" s="33">
        <f>IF(AW533&lt;=0,0,ROUND(AW533+ROUND(AW533*AC$3/12,2),2))</f>
      </c>
      <c r="J534" s="33">
        <f>IF(AX533&lt;=0,0,ROUND(AX533+ROUND(AX533*AD$3/12,2),2))</f>
      </c>
      <c r="K534" s="33">
        <f>IF(AY533&lt;=0,0,ROUND(AY533+ROUND(AY533*AE$3/12,2),2))</f>
      </c>
      <c r="L534" s="33">
        <f>ROUND(MIN(MAX(0,N('Your debts'!$E$6)),B534),2)</f>
      </c>
      <c r="M534" s="33">
        <f>ROUND(MIN(MAX(0,N('Your debts'!$E$7)),C534),2)</f>
      </c>
      <c r="N534" s="33">
        <f>ROUND(MIN(MAX(0,N('Your debts'!$E$8)),D534),2)</f>
      </c>
      <c r="O534" s="33">
        <f>ROUND(MIN(MAX(0,N('Your debts'!$E$9)),E534),2)</f>
      </c>
      <c r="P534" s="33">
        <f>ROUND(MIN(MAX(0,N('Your debts'!$E$10)),F534),2)</f>
      </c>
      <c r="Q534" s="33">
        <f>ROUND(MIN(MAX(0,N('Your debts'!$E$11)),G534),2)</f>
      </c>
      <c r="R534" s="33">
        <f>ROUND(MIN(MAX(0,N('Your debts'!$E$12)),H534),2)</f>
      </c>
      <c r="S534" s="33">
        <f>ROUND(MIN(MAX(0,N('Your debts'!$E$13)),I534),2)</f>
      </c>
      <c r="T534" s="33">
        <f>ROUND(MIN(MAX(0,N('Your debts'!$E$14)),J534),2)</f>
      </c>
      <c r="U534" s="33">
        <f>ROUND(MIN(MAX(0,N('Your debts'!$E$15)),K534),2)</f>
      </c>
      <c r="V534" s="33">
        <f>ROUND(B534-L534,2)</f>
      </c>
      <c r="W534" s="33">
        <f>ROUND(C534-M534,2)</f>
      </c>
      <c r="X534" s="33">
        <f>ROUND(D534-N534,2)</f>
      </c>
      <c r="Y534" s="33">
        <f>ROUND(E534-O534,2)</f>
      </c>
      <c r="Z534" s="33">
        <f>ROUND(F534-P534,2)</f>
      </c>
      <c r="AA534" s="33">
        <f>ROUND(G534-Q534,2)</f>
      </c>
      <c r="AB534" s="33">
        <f>ROUND(H534-R534,2)</f>
      </c>
      <c r="AC534" s="33">
        <f>ROUND(I534-S534,2)</f>
      </c>
      <c r="AD534" s="33">
        <f>ROUND(J534-T534,2)</f>
      </c>
      <c r="AE534" s="33">
        <f>ROUND(K534-U534,2)</f>
      </c>
      <c r="AF534" s="33">
        <f>IF(V534&lt;=0,0,MAX(0,MIN(V534,ROUND($AZ534-SUMPRODUCT($V534:$AE534*($V534:$AE534&gt;0)*(($V534:$AE534&lt;V534)+($V534:$AE534=V534)*($V$3:$AE$3&gt;V$3)+($V534:$AE534=V534)*($V$3:$AE$3=V$3)*($V$2:$AE$2&lt;V$2))),2))))</f>
      </c>
      <c r="AG534" s="33">
        <f>IF(W534&lt;=0,0,MAX(0,MIN(W534,ROUND($AZ534-SUMPRODUCT($V534:$AE534*($V534:$AE534&gt;0)*(($V534:$AE534&lt;W534)+($V534:$AE534=W534)*($V$3:$AE$3&gt;W$3)+($V534:$AE534=W534)*($V$3:$AE$3=W$3)*($V$2:$AE$2&lt;W$2))),2))))</f>
      </c>
      <c r="AH534" s="33">
        <f>IF(X534&lt;=0,0,MAX(0,MIN(X534,ROUND($AZ534-SUMPRODUCT($V534:$AE534*($V534:$AE534&gt;0)*(($V534:$AE534&lt;X534)+($V534:$AE534=X534)*($V$3:$AE$3&gt;X$3)+($V534:$AE534=X534)*($V$3:$AE$3=X$3)*($V$2:$AE$2&lt;X$2))),2))))</f>
      </c>
      <c r="AI534" s="33">
        <f>IF(Y534&lt;=0,0,MAX(0,MIN(Y534,ROUND($AZ534-SUMPRODUCT($V534:$AE534*($V534:$AE534&gt;0)*(($V534:$AE534&lt;Y534)+($V534:$AE534=Y534)*($V$3:$AE$3&gt;Y$3)+($V534:$AE534=Y534)*($V$3:$AE$3=Y$3)*($V$2:$AE$2&lt;Y$2))),2))))</f>
      </c>
      <c r="AJ534" s="33">
        <f>IF(Z534&lt;=0,0,MAX(0,MIN(Z534,ROUND($AZ534-SUMPRODUCT($V534:$AE534*($V534:$AE534&gt;0)*(($V534:$AE534&lt;Z534)+($V534:$AE534=Z534)*($V$3:$AE$3&gt;Z$3)+($V534:$AE534=Z534)*($V$3:$AE$3=Z$3)*($V$2:$AE$2&lt;Z$2))),2))))</f>
      </c>
      <c r="AK534" s="33">
        <f>IF(AA534&lt;=0,0,MAX(0,MIN(AA534,ROUND($AZ534-SUMPRODUCT($V534:$AE534*($V534:$AE534&gt;0)*(($V534:$AE534&lt;AA534)+($V534:$AE534=AA534)*($V$3:$AE$3&gt;AA$3)+($V534:$AE534=AA534)*($V$3:$AE$3=AA$3)*($V$2:$AE$2&lt;AA$2))),2))))</f>
      </c>
      <c r="AL534" s="33">
        <f>IF(AB534&lt;=0,0,MAX(0,MIN(AB534,ROUND($AZ534-SUMPRODUCT($V534:$AE534*($V534:$AE534&gt;0)*(($V534:$AE534&lt;AB534)+($V534:$AE534=AB534)*($V$3:$AE$3&gt;AB$3)+($V534:$AE534=AB534)*($V$3:$AE$3=AB$3)*($V$2:$AE$2&lt;AB$2))),2))))</f>
      </c>
      <c r="AM534" s="33">
        <f>IF(AC534&lt;=0,0,MAX(0,MIN(AC534,ROUND($AZ534-SUMPRODUCT($V534:$AE534*($V534:$AE534&gt;0)*(($V534:$AE534&lt;AC534)+($V534:$AE534=AC534)*($V$3:$AE$3&gt;AC$3)+($V534:$AE534=AC534)*($V$3:$AE$3=AC$3)*($V$2:$AE$2&lt;AC$2))),2))))</f>
      </c>
      <c r="AN534" s="33">
        <f>IF(AD534&lt;=0,0,MAX(0,MIN(AD534,ROUND($AZ534-SUMPRODUCT($V534:$AE534*($V534:$AE534&gt;0)*(($V534:$AE534&lt;AD534)+($V534:$AE534=AD534)*($V$3:$AE$3&gt;AD$3)+($V534:$AE534=AD534)*($V$3:$AE$3=AD$3)*($V$2:$AE$2&lt;AD$2))),2))))</f>
      </c>
      <c r="AO534" s="33">
        <f>IF(AE534&lt;=0,0,MAX(0,MIN(AE534,ROUND($AZ534-SUMPRODUCT($V534:$AE534*($V534:$AE534&gt;0)*(($V534:$AE534&lt;AE534)+($V534:$AE534=AE534)*($V$3:$AE$3&gt;AE$3)+($V534:$AE534=AE534)*($V$3:$AE$3=AE$3)*($V$2:$AE$2&lt;AE$2))),2))))</f>
      </c>
      <c r="AP534" s="33">
        <f>ROUND(V534-AF534,2)</f>
      </c>
      <c r="AQ534" s="33">
        <f>ROUND(W534-AG534,2)</f>
      </c>
      <c r="AR534" s="33">
        <f>ROUND(X534-AH534,2)</f>
      </c>
      <c r="AS534" s="33">
        <f>ROUND(Y534-AI534,2)</f>
      </c>
      <c r="AT534" s="33">
        <f>ROUND(Z534-AJ534,2)</f>
      </c>
      <c r="AU534" s="33">
        <f>ROUND(AA534-AK534,2)</f>
      </c>
      <c r="AV534" s="33">
        <f>ROUND(AB534-AL534,2)</f>
      </c>
      <c r="AW534" s="33">
        <f>ROUND(AC534-AM534,2)</f>
      </c>
      <c r="AX534" s="33">
        <f>ROUND(AD534-AN534,2)</f>
      </c>
      <c r="AY534" s="33">
        <f>ROUND(AE534-AO534,2)</f>
      </c>
      <c r="AZ534" s="33">
        <f>ROUND(MAX(0,'Your debts'!$D$22-SUM($L534:$U534)),2)</f>
      </c>
      <c r="BA534" s="33">
        <f>ROUND(SUM($B534:$K534)-SUM($AP533:$AY533),2)</f>
      </c>
      <c r="BB534" s="33">
        <f>SUM($AP534:$AY534)</f>
      </c>
      <c r="BC534" s="33">
        <f>ROUND(SUM($L534:$U534)+SUM($AF534:$AO534),2)</f>
      </c>
    </row>
    <row r="535" spans="1:55" x14ac:dyDescent="0.25">
      <c r="A535">
        <v>528</v>
      </c>
      <c r="B535" s="33">
        <f>IF(AP534&lt;=0,0,ROUND(AP534+ROUND(AP534*V$3/12,2),2))</f>
      </c>
      <c r="C535" s="33">
        <f>IF(AQ534&lt;=0,0,ROUND(AQ534+ROUND(AQ534*W$3/12,2),2))</f>
      </c>
      <c r="D535" s="33">
        <f>IF(AR534&lt;=0,0,ROUND(AR534+ROUND(AR534*X$3/12,2),2))</f>
      </c>
      <c r="E535" s="33">
        <f>IF(AS534&lt;=0,0,ROUND(AS534+ROUND(AS534*Y$3/12,2),2))</f>
      </c>
      <c r="F535" s="33">
        <f>IF(AT534&lt;=0,0,ROUND(AT534+ROUND(AT534*Z$3/12,2),2))</f>
      </c>
      <c r="G535" s="33">
        <f>IF(AU534&lt;=0,0,ROUND(AU534+ROUND(AU534*AA$3/12,2),2))</f>
      </c>
      <c r="H535" s="33">
        <f>IF(AV534&lt;=0,0,ROUND(AV534+ROUND(AV534*AB$3/12,2),2))</f>
      </c>
      <c r="I535" s="33">
        <f>IF(AW534&lt;=0,0,ROUND(AW534+ROUND(AW534*AC$3/12,2),2))</f>
      </c>
      <c r="J535" s="33">
        <f>IF(AX534&lt;=0,0,ROUND(AX534+ROUND(AX534*AD$3/12,2),2))</f>
      </c>
      <c r="K535" s="33">
        <f>IF(AY534&lt;=0,0,ROUND(AY534+ROUND(AY534*AE$3/12,2),2))</f>
      </c>
      <c r="L535" s="33">
        <f>ROUND(MIN(MAX(0,N('Your debts'!$E$6)),B535),2)</f>
      </c>
      <c r="M535" s="33">
        <f>ROUND(MIN(MAX(0,N('Your debts'!$E$7)),C535),2)</f>
      </c>
      <c r="N535" s="33">
        <f>ROUND(MIN(MAX(0,N('Your debts'!$E$8)),D535),2)</f>
      </c>
      <c r="O535" s="33">
        <f>ROUND(MIN(MAX(0,N('Your debts'!$E$9)),E535),2)</f>
      </c>
      <c r="P535" s="33">
        <f>ROUND(MIN(MAX(0,N('Your debts'!$E$10)),F535),2)</f>
      </c>
      <c r="Q535" s="33">
        <f>ROUND(MIN(MAX(0,N('Your debts'!$E$11)),G535),2)</f>
      </c>
      <c r="R535" s="33">
        <f>ROUND(MIN(MAX(0,N('Your debts'!$E$12)),H535),2)</f>
      </c>
      <c r="S535" s="33">
        <f>ROUND(MIN(MAX(0,N('Your debts'!$E$13)),I535),2)</f>
      </c>
      <c r="T535" s="33">
        <f>ROUND(MIN(MAX(0,N('Your debts'!$E$14)),J535),2)</f>
      </c>
      <c r="U535" s="33">
        <f>ROUND(MIN(MAX(0,N('Your debts'!$E$15)),K535),2)</f>
      </c>
      <c r="V535" s="33">
        <f>ROUND(B535-L535,2)</f>
      </c>
      <c r="W535" s="33">
        <f>ROUND(C535-M535,2)</f>
      </c>
      <c r="X535" s="33">
        <f>ROUND(D535-N535,2)</f>
      </c>
      <c r="Y535" s="33">
        <f>ROUND(E535-O535,2)</f>
      </c>
      <c r="Z535" s="33">
        <f>ROUND(F535-P535,2)</f>
      </c>
      <c r="AA535" s="33">
        <f>ROUND(G535-Q535,2)</f>
      </c>
      <c r="AB535" s="33">
        <f>ROUND(H535-R535,2)</f>
      </c>
      <c r="AC535" s="33">
        <f>ROUND(I535-S535,2)</f>
      </c>
      <c r="AD535" s="33">
        <f>ROUND(J535-T535,2)</f>
      </c>
      <c r="AE535" s="33">
        <f>ROUND(K535-U535,2)</f>
      </c>
      <c r="AF535" s="33">
        <f>IF(V535&lt;=0,0,MAX(0,MIN(V535,ROUND($AZ535-SUMPRODUCT($V535:$AE535*($V535:$AE535&gt;0)*(($V535:$AE535&lt;V535)+($V535:$AE535=V535)*($V$3:$AE$3&gt;V$3)+($V535:$AE535=V535)*($V$3:$AE$3=V$3)*($V$2:$AE$2&lt;V$2))),2))))</f>
      </c>
      <c r="AG535" s="33">
        <f>IF(W535&lt;=0,0,MAX(0,MIN(W535,ROUND($AZ535-SUMPRODUCT($V535:$AE535*($V535:$AE535&gt;0)*(($V535:$AE535&lt;W535)+($V535:$AE535=W535)*($V$3:$AE$3&gt;W$3)+($V535:$AE535=W535)*($V$3:$AE$3=W$3)*($V$2:$AE$2&lt;W$2))),2))))</f>
      </c>
      <c r="AH535" s="33">
        <f>IF(X535&lt;=0,0,MAX(0,MIN(X535,ROUND($AZ535-SUMPRODUCT($V535:$AE535*($V535:$AE535&gt;0)*(($V535:$AE535&lt;X535)+($V535:$AE535=X535)*($V$3:$AE$3&gt;X$3)+($V535:$AE535=X535)*($V$3:$AE$3=X$3)*($V$2:$AE$2&lt;X$2))),2))))</f>
      </c>
      <c r="AI535" s="33">
        <f>IF(Y535&lt;=0,0,MAX(0,MIN(Y535,ROUND($AZ535-SUMPRODUCT($V535:$AE535*($V535:$AE535&gt;0)*(($V535:$AE535&lt;Y535)+($V535:$AE535=Y535)*($V$3:$AE$3&gt;Y$3)+($V535:$AE535=Y535)*($V$3:$AE$3=Y$3)*($V$2:$AE$2&lt;Y$2))),2))))</f>
      </c>
      <c r="AJ535" s="33">
        <f>IF(Z535&lt;=0,0,MAX(0,MIN(Z535,ROUND($AZ535-SUMPRODUCT($V535:$AE535*($V535:$AE535&gt;0)*(($V535:$AE535&lt;Z535)+($V535:$AE535=Z535)*($V$3:$AE$3&gt;Z$3)+($V535:$AE535=Z535)*($V$3:$AE$3=Z$3)*($V$2:$AE$2&lt;Z$2))),2))))</f>
      </c>
      <c r="AK535" s="33">
        <f>IF(AA535&lt;=0,0,MAX(0,MIN(AA535,ROUND($AZ535-SUMPRODUCT($V535:$AE535*($V535:$AE535&gt;0)*(($V535:$AE535&lt;AA535)+($V535:$AE535=AA535)*($V$3:$AE$3&gt;AA$3)+($V535:$AE535=AA535)*($V$3:$AE$3=AA$3)*($V$2:$AE$2&lt;AA$2))),2))))</f>
      </c>
      <c r="AL535" s="33">
        <f>IF(AB535&lt;=0,0,MAX(0,MIN(AB535,ROUND($AZ535-SUMPRODUCT($V535:$AE535*($V535:$AE535&gt;0)*(($V535:$AE535&lt;AB535)+($V535:$AE535=AB535)*($V$3:$AE$3&gt;AB$3)+($V535:$AE535=AB535)*($V$3:$AE$3=AB$3)*($V$2:$AE$2&lt;AB$2))),2))))</f>
      </c>
      <c r="AM535" s="33">
        <f>IF(AC535&lt;=0,0,MAX(0,MIN(AC535,ROUND($AZ535-SUMPRODUCT($V535:$AE535*($V535:$AE535&gt;0)*(($V535:$AE535&lt;AC535)+($V535:$AE535=AC535)*($V$3:$AE$3&gt;AC$3)+($V535:$AE535=AC535)*($V$3:$AE$3=AC$3)*($V$2:$AE$2&lt;AC$2))),2))))</f>
      </c>
      <c r="AN535" s="33">
        <f>IF(AD535&lt;=0,0,MAX(0,MIN(AD535,ROUND($AZ535-SUMPRODUCT($V535:$AE535*($V535:$AE535&gt;0)*(($V535:$AE535&lt;AD535)+($V535:$AE535=AD535)*($V$3:$AE$3&gt;AD$3)+($V535:$AE535=AD535)*($V$3:$AE$3=AD$3)*($V$2:$AE$2&lt;AD$2))),2))))</f>
      </c>
      <c r="AO535" s="33">
        <f>IF(AE535&lt;=0,0,MAX(0,MIN(AE535,ROUND($AZ535-SUMPRODUCT($V535:$AE535*($V535:$AE535&gt;0)*(($V535:$AE535&lt;AE535)+($V535:$AE535=AE535)*($V$3:$AE$3&gt;AE$3)+($V535:$AE535=AE535)*($V$3:$AE$3=AE$3)*($V$2:$AE$2&lt;AE$2))),2))))</f>
      </c>
      <c r="AP535" s="33">
        <f>ROUND(V535-AF535,2)</f>
      </c>
      <c r="AQ535" s="33">
        <f>ROUND(W535-AG535,2)</f>
      </c>
      <c r="AR535" s="33">
        <f>ROUND(X535-AH535,2)</f>
      </c>
      <c r="AS535" s="33">
        <f>ROUND(Y535-AI535,2)</f>
      </c>
      <c r="AT535" s="33">
        <f>ROUND(Z535-AJ535,2)</f>
      </c>
      <c r="AU535" s="33">
        <f>ROUND(AA535-AK535,2)</f>
      </c>
      <c r="AV535" s="33">
        <f>ROUND(AB535-AL535,2)</f>
      </c>
      <c r="AW535" s="33">
        <f>ROUND(AC535-AM535,2)</f>
      </c>
      <c r="AX535" s="33">
        <f>ROUND(AD535-AN535,2)</f>
      </c>
      <c r="AY535" s="33">
        <f>ROUND(AE535-AO535,2)</f>
      </c>
      <c r="AZ535" s="33">
        <f>ROUND(MAX(0,'Your debts'!$D$22-SUM($L535:$U535)),2)</f>
      </c>
      <c r="BA535" s="33">
        <f>ROUND(SUM($B535:$K535)-SUM($AP534:$AY534),2)</f>
      </c>
      <c r="BB535" s="33">
        <f>SUM($AP535:$AY535)</f>
      </c>
      <c r="BC535" s="33">
        <f>ROUND(SUM($L535:$U535)+SUM($AF535:$AO535),2)</f>
      </c>
    </row>
    <row r="536" spans="1:55" x14ac:dyDescent="0.25">
      <c r="A536">
        <v>529</v>
      </c>
      <c r="B536" s="33">
        <f>IF(AP535&lt;=0,0,ROUND(AP535+ROUND(AP535*V$3/12,2),2))</f>
      </c>
      <c r="C536" s="33">
        <f>IF(AQ535&lt;=0,0,ROUND(AQ535+ROUND(AQ535*W$3/12,2),2))</f>
      </c>
      <c r="D536" s="33">
        <f>IF(AR535&lt;=0,0,ROUND(AR535+ROUND(AR535*X$3/12,2),2))</f>
      </c>
      <c r="E536" s="33">
        <f>IF(AS535&lt;=0,0,ROUND(AS535+ROUND(AS535*Y$3/12,2),2))</f>
      </c>
      <c r="F536" s="33">
        <f>IF(AT535&lt;=0,0,ROUND(AT535+ROUND(AT535*Z$3/12,2),2))</f>
      </c>
      <c r="G536" s="33">
        <f>IF(AU535&lt;=0,0,ROUND(AU535+ROUND(AU535*AA$3/12,2),2))</f>
      </c>
      <c r="H536" s="33">
        <f>IF(AV535&lt;=0,0,ROUND(AV535+ROUND(AV535*AB$3/12,2),2))</f>
      </c>
      <c r="I536" s="33">
        <f>IF(AW535&lt;=0,0,ROUND(AW535+ROUND(AW535*AC$3/12,2),2))</f>
      </c>
      <c r="J536" s="33">
        <f>IF(AX535&lt;=0,0,ROUND(AX535+ROUND(AX535*AD$3/12,2),2))</f>
      </c>
      <c r="K536" s="33">
        <f>IF(AY535&lt;=0,0,ROUND(AY535+ROUND(AY535*AE$3/12,2),2))</f>
      </c>
      <c r="L536" s="33">
        <f>ROUND(MIN(MAX(0,N('Your debts'!$E$6)),B536),2)</f>
      </c>
      <c r="M536" s="33">
        <f>ROUND(MIN(MAX(0,N('Your debts'!$E$7)),C536),2)</f>
      </c>
      <c r="N536" s="33">
        <f>ROUND(MIN(MAX(0,N('Your debts'!$E$8)),D536),2)</f>
      </c>
      <c r="O536" s="33">
        <f>ROUND(MIN(MAX(0,N('Your debts'!$E$9)),E536),2)</f>
      </c>
      <c r="P536" s="33">
        <f>ROUND(MIN(MAX(0,N('Your debts'!$E$10)),F536),2)</f>
      </c>
      <c r="Q536" s="33">
        <f>ROUND(MIN(MAX(0,N('Your debts'!$E$11)),G536),2)</f>
      </c>
      <c r="R536" s="33">
        <f>ROUND(MIN(MAX(0,N('Your debts'!$E$12)),H536),2)</f>
      </c>
      <c r="S536" s="33">
        <f>ROUND(MIN(MAX(0,N('Your debts'!$E$13)),I536),2)</f>
      </c>
      <c r="T536" s="33">
        <f>ROUND(MIN(MAX(0,N('Your debts'!$E$14)),J536),2)</f>
      </c>
      <c r="U536" s="33">
        <f>ROUND(MIN(MAX(0,N('Your debts'!$E$15)),K536),2)</f>
      </c>
      <c r="V536" s="33">
        <f>ROUND(B536-L536,2)</f>
      </c>
      <c r="W536" s="33">
        <f>ROUND(C536-M536,2)</f>
      </c>
      <c r="X536" s="33">
        <f>ROUND(D536-N536,2)</f>
      </c>
      <c r="Y536" s="33">
        <f>ROUND(E536-O536,2)</f>
      </c>
      <c r="Z536" s="33">
        <f>ROUND(F536-P536,2)</f>
      </c>
      <c r="AA536" s="33">
        <f>ROUND(G536-Q536,2)</f>
      </c>
      <c r="AB536" s="33">
        <f>ROUND(H536-R536,2)</f>
      </c>
      <c r="AC536" s="33">
        <f>ROUND(I536-S536,2)</f>
      </c>
      <c r="AD536" s="33">
        <f>ROUND(J536-T536,2)</f>
      </c>
      <c r="AE536" s="33">
        <f>ROUND(K536-U536,2)</f>
      </c>
      <c r="AF536" s="33">
        <f>IF(V536&lt;=0,0,MAX(0,MIN(V536,ROUND($AZ536-SUMPRODUCT($V536:$AE536*($V536:$AE536&gt;0)*(($V536:$AE536&lt;V536)+($V536:$AE536=V536)*($V$3:$AE$3&gt;V$3)+($V536:$AE536=V536)*($V$3:$AE$3=V$3)*($V$2:$AE$2&lt;V$2))),2))))</f>
      </c>
      <c r="AG536" s="33">
        <f>IF(W536&lt;=0,0,MAX(0,MIN(W536,ROUND($AZ536-SUMPRODUCT($V536:$AE536*($V536:$AE536&gt;0)*(($V536:$AE536&lt;W536)+($V536:$AE536=W536)*($V$3:$AE$3&gt;W$3)+($V536:$AE536=W536)*($V$3:$AE$3=W$3)*($V$2:$AE$2&lt;W$2))),2))))</f>
      </c>
      <c r="AH536" s="33">
        <f>IF(X536&lt;=0,0,MAX(0,MIN(X536,ROUND($AZ536-SUMPRODUCT($V536:$AE536*($V536:$AE536&gt;0)*(($V536:$AE536&lt;X536)+($V536:$AE536=X536)*($V$3:$AE$3&gt;X$3)+($V536:$AE536=X536)*($V$3:$AE$3=X$3)*($V$2:$AE$2&lt;X$2))),2))))</f>
      </c>
      <c r="AI536" s="33">
        <f>IF(Y536&lt;=0,0,MAX(0,MIN(Y536,ROUND($AZ536-SUMPRODUCT($V536:$AE536*($V536:$AE536&gt;0)*(($V536:$AE536&lt;Y536)+($V536:$AE536=Y536)*($V$3:$AE$3&gt;Y$3)+($V536:$AE536=Y536)*($V$3:$AE$3=Y$3)*($V$2:$AE$2&lt;Y$2))),2))))</f>
      </c>
      <c r="AJ536" s="33">
        <f>IF(Z536&lt;=0,0,MAX(0,MIN(Z536,ROUND($AZ536-SUMPRODUCT($V536:$AE536*($V536:$AE536&gt;0)*(($V536:$AE536&lt;Z536)+($V536:$AE536=Z536)*($V$3:$AE$3&gt;Z$3)+($V536:$AE536=Z536)*($V$3:$AE$3=Z$3)*($V$2:$AE$2&lt;Z$2))),2))))</f>
      </c>
      <c r="AK536" s="33">
        <f>IF(AA536&lt;=0,0,MAX(0,MIN(AA536,ROUND($AZ536-SUMPRODUCT($V536:$AE536*($V536:$AE536&gt;0)*(($V536:$AE536&lt;AA536)+($V536:$AE536=AA536)*($V$3:$AE$3&gt;AA$3)+($V536:$AE536=AA536)*($V$3:$AE$3=AA$3)*($V$2:$AE$2&lt;AA$2))),2))))</f>
      </c>
      <c r="AL536" s="33">
        <f>IF(AB536&lt;=0,0,MAX(0,MIN(AB536,ROUND($AZ536-SUMPRODUCT($V536:$AE536*($V536:$AE536&gt;0)*(($V536:$AE536&lt;AB536)+($V536:$AE536=AB536)*($V$3:$AE$3&gt;AB$3)+($V536:$AE536=AB536)*($V$3:$AE$3=AB$3)*($V$2:$AE$2&lt;AB$2))),2))))</f>
      </c>
      <c r="AM536" s="33">
        <f>IF(AC536&lt;=0,0,MAX(0,MIN(AC536,ROUND($AZ536-SUMPRODUCT($V536:$AE536*($V536:$AE536&gt;0)*(($V536:$AE536&lt;AC536)+($V536:$AE536=AC536)*($V$3:$AE$3&gt;AC$3)+($V536:$AE536=AC536)*($V$3:$AE$3=AC$3)*($V$2:$AE$2&lt;AC$2))),2))))</f>
      </c>
      <c r="AN536" s="33">
        <f>IF(AD536&lt;=0,0,MAX(0,MIN(AD536,ROUND($AZ536-SUMPRODUCT($V536:$AE536*($V536:$AE536&gt;0)*(($V536:$AE536&lt;AD536)+($V536:$AE536=AD536)*($V$3:$AE$3&gt;AD$3)+($V536:$AE536=AD536)*($V$3:$AE$3=AD$3)*($V$2:$AE$2&lt;AD$2))),2))))</f>
      </c>
      <c r="AO536" s="33">
        <f>IF(AE536&lt;=0,0,MAX(0,MIN(AE536,ROUND($AZ536-SUMPRODUCT($V536:$AE536*($V536:$AE536&gt;0)*(($V536:$AE536&lt;AE536)+($V536:$AE536=AE536)*($V$3:$AE$3&gt;AE$3)+($V536:$AE536=AE536)*($V$3:$AE$3=AE$3)*($V$2:$AE$2&lt;AE$2))),2))))</f>
      </c>
      <c r="AP536" s="33">
        <f>ROUND(V536-AF536,2)</f>
      </c>
      <c r="AQ536" s="33">
        <f>ROUND(W536-AG536,2)</f>
      </c>
      <c r="AR536" s="33">
        <f>ROUND(X536-AH536,2)</f>
      </c>
      <c r="AS536" s="33">
        <f>ROUND(Y536-AI536,2)</f>
      </c>
      <c r="AT536" s="33">
        <f>ROUND(Z536-AJ536,2)</f>
      </c>
      <c r="AU536" s="33">
        <f>ROUND(AA536-AK536,2)</f>
      </c>
      <c r="AV536" s="33">
        <f>ROUND(AB536-AL536,2)</f>
      </c>
      <c r="AW536" s="33">
        <f>ROUND(AC536-AM536,2)</f>
      </c>
      <c r="AX536" s="33">
        <f>ROUND(AD536-AN536,2)</f>
      </c>
      <c r="AY536" s="33">
        <f>ROUND(AE536-AO536,2)</f>
      </c>
      <c r="AZ536" s="33">
        <f>ROUND(MAX(0,'Your debts'!$D$22-SUM($L536:$U536)),2)</f>
      </c>
      <c r="BA536" s="33">
        <f>ROUND(SUM($B536:$K536)-SUM($AP535:$AY535),2)</f>
      </c>
      <c r="BB536" s="33">
        <f>SUM($AP536:$AY536)</f>
      </c>
      <c r="BC536" s="33">
        <f>ROUND(SUM($L536:$U536)+SUM($AF536:$AO536),2)</f>
      </c>
    </row>
    <row r="537" spans="1:55" x14ac:dyDescent="0.25">
      <c r="A537">
        <v>530</v>
      </c>
      <c r="B537" s="33">
        <f>IF(AP536&lt;=0,0,ROUND(AP536+ROUND(AP536*V$3/12,2),2))</f>
      </c>
      <c r="C537" s="33">
        <f>IF(AQ536&lt;=0,0,ROUND(AQ536+ROUND(AQ536*W$3/12,2),2))</f>
      </c>
      <c r="D537" s="33">
        <f>IF(AR536&lt;=0,0,ROUND(AR536+ROUND(AR536*X$3/12,2),2))</f>
      </c>
      <c r="E537" s="33">
        <f>IF(AS536&lt;=0,0,ROUND(AS536+ROUND(AS536*Y$3/12,2),2))</f>
      </c>
      <c r="F537" s="33">
        <f>IF(AT536&lt;=0,0,ROUND(AT536+ROUND(AT536*Z$3/12,2),2))</f>
      </c>
      <c r="G537" s="33">
        <f>IF(AU536&lt;=0,0,ROUND(AU536+ROUND(AU536*AA$3/12,2),2))</f>
      </c>
      <c r="H537" s="33">
        <f>IF(AV536&lt;=0,0,ROUND(AV536+ROUND(AV536*AB$3/12,2),2))</f>
      </c>
      <c r="I537" s="33">
        <f>IF(AW536&lt;=0,0,ROUND(AW536+ROUND(AW536*AC$3/12,2),2))</f>
      </c>
      <c r="J537" s="33">
        <f>IF(AX536&lt;=0,0,ROUND(AX536+ROUND(AX536*AD$3/12,2),2))</f>
      </c>
      <c r="K537" s="33">
        <f>IF(AY536&lt;=0,0,ROUND(AY536+ROUND(AY536*AE$3/12,2),2))</f>
      </c>
      <c r="L537" s="33">
        <f>ROUND(MIN(MAX(0,N('Your debts'!$E$6)),B537),2)</f>
      </c>
      <c r="M537" s="33">
        <f>ROUND(MIN(MAX(0,N('Your debts'!$E$7)),C537),2)</f>
      </c>
      <c r="N537" s="33">
        <f>ROUND(MIN(MAX(0,N('Your debts'!$E$8)),D537),2)</f>
      </c>
      <c r="O537" s="33">
        <f>ROUND(MIN(MAX(0,N('Your debts'!$E$9)),E537),2)</f>
      </c>
      <c r="P537" s="33">
        <f>ROUND(MIN(MAX(0,N('Your debts'!$E$10)),F537),2)</f>
      </c>
      <c r="Q537" s="33">
        <f>ROUND(MIN(MAX(0,N('Your debts'!$E$11)),G537),2)</f>
      </c>
      <c r="R537" s="33">
        <f>ROUND(MIN(MAX(0,N('Your debts'!$E$12)),H537),2)</f>
      </c>
      <c r="S537" s="33">
        <f>ROUND(MIN(MAX(0,N('Your debts'!$E$13)),I537),2)</f>
      </c>
      <c r="T537" s="33">
        <f>ROUND(MIN(MAX(0,N('Your debts'!$E$14)),J537),2)</f>
      </c>
      <c r="U537" s="33">
        <f>ROUND(MIN(MAX(0,N('Your debts'!$E$15)),K537),2)</f>
      </c>
      <c r="V537" s="33">
        <f>ROUND(B537-L537,2)</f>
      </c>
      <c r="W537" s="33">
        <f>ROUND(C537-M537,2)</f>
      </c>
      <c r="X537" s="33">
        <f>ROUND(D537-N537,2)</f>
      </c>
      <c r="Y537" s="33">
        <f>ROUND(E537-O537,2)</f>
      </c>
      <c r="Z537" s="33">
        <f>ROUND(F537-P537,2)</f>
      </c>
      <c r="AA537" s="33">
        <f>ROUND(G537-Q537,2)</f>
      </c>
      <c r="AB537" s="33">
        <f>ROUND(H537-R537,2)</f>
      </c>
      <c r="AC537" s="33">
        <f>ROUND(I537-S537,2)</f>
      </c>
      <c r="AD537" s="33">
        <f>ROUND(J537-T537,2)</f>
      </c>
      <c r="AE537" s="33">
        <f>ROUND(K537-U537,2)</f>
      </c>
      <c r="AF537" s="33">
        <f>IF(V537&lt;=0,0,MAX(0,MIN(V537,ROUND($AZ537-SUMPRODUCT($V537:$AE537*($V537:$AE537&gt;0)*(($V537:$AE537&lt;V537)+($V537:$AE537=V537)*($V$3:$AE$3&gt;V$3)+($V537:$AE537=V537)*($V$3:$AE$3=V$3)*($V$2:$AE$2&lt;V$2))),2))))</f>
      </c>
      <c r="AG537" s="33">
        <f>IF(W537&lt;=0,0,MAX(0,MIN(W537,ROUND($AZ537-SUMPRODUCT($V537:$AE537*($V537:$AE537&gt;0)*(($V537:$AE537&lt;W537)+($V537:$AE537=W537)*($V$3:$AE$3&gt;W$3)+($V537:$AE537=W537)*($V$3:$AE$3=W$3)*($V$2:$AE$2&lt;W$2))),2))))</f>
      </c>
      <c r="AH537" s="33">
        <f>IF(X537&lt;=0,0,MAX(0,MIN(X537,ROUND($AZ537-SUMPRODUCT($V537:$AE537*($V537:$AE537&gt;0)*(($V537:$AE537&lt;X537)+($V537:$AE537=X537)*($V$3:$AE$3&gt;X$3)+($V537:$AE537=X537)*($V$3:$AE$3=X$3)*($V$2:$AE$2&lt;X$2))),2))))</f>
      </c>
      <c r="AI537" s="33">
        <f>IF(Y537&lt;=0,0,MAX(0,MIN(Y537,ROUND($AZ537-SUMPRODUCT($V537:$AE537*($V537:$AE537&gt;0)*(($V537:$AE537&lt;Y537)+($V537:$AE537=Y537)*($V$3:$AE$3&gt;Y$3)+($V537:$AE537=Y537)*($V$3:$AE$3=Y$3)*($V$2:$AE$2&lt;Y$2))),2))))</f>
      </c>
      <c r="AJ537" s="33">
        <f>IF(Z537&lt;=0,0,MAX(0,MIN(Z537,ROUND($AZ537-SUMPRODUCT($V537:$AE537*($V537:$AE537&gt;0)*(($V537:$AE537&lt;Z537)+($V537:$AE537=Z537)*($V$3:$AE$3&gt;Z$3)+($V537:$AE537=Z537)*($V$3:$AE$3=Z$3)*($V$2:$AE$2&lt;Z$2))),2))))</f>
      </c>
      <c r="AK537" s="33">
        <f>IF(AA537&lt;=0,0,MAX(0,MIN(AA537,ROUND($AZ537-SUMPRODUCT($V537:$AE537*($V537:$AE537&gt;0)*(($V537:$AE537&lt;AA537)+($V537:$AE537=AA537)*($V$3:$AE$3&gt;AA$3)+($V537:$AE537=AA537)*($V$3:$AE$3=AA$3)*($V$2:$AE$2&lt;AA$2))),2))))</f>
      </c>
      <c r="AL537" s="33">
        <f>IF(AB537&lt;=0,0,MAX(0,MIN(AB537,ROUND($AZ537-SUMPRODUCT($V537:$AE537*($V537:$AE537&gt;0)*(($V537:$AE537&lt;AB537)+($V537:$AE537=AB537)*($V$3:$AE$3&gt;AB$3)+($V537:$AE537=AB537)*($V$3:$AE$3=AB$3)*($V$2:$AE$2&lt;AB$2))),2))))</f>
      </c>
      <c r="AM537" s="33">
        <f>IF(AC537&lt;=0,0,MAX(0,MIN(AC537,ROUND($AZ537-SUMPRODUCT($V537:$AE537*($V537:$AE537&gt;0)*(($V537:$AE537&lt;AC537)+($V537:$AE537=AC537)*($V$3:$AE$3&gt;AC$3)+($V537:$AE537=AC537)*($V$3:$AE$3=AC$3)*($V$2:$AE$2&lt;AC$2))),2))))</f>
      </c>
      <c r="AN537" s="33">
        <f>IF(AD537&lt;=0,0,MAX(0,MIN(AD537,ROUND($AZ537-SUMPRODUCT($V537:$AE537*($V537:$AE537&gt;0)*(($V537:$AE537&lt;AD537)+($V537:$AE537=AD537)*($V$3:$AE$3&gt;AD$3)+($V537:$AE537=AD537)*($V$3:$AE$3=AD$3)*($V$2:$AE$2&lt;AD$2))),2))))</f>
      </c>
      <c r="AO537" s="33">
        <f>IF(AE537&lt;=0,0,MAX(0,MIN(AE537,ROUND($AZ537-SUMPRODUCT($V537:$AE537*($V537:$AE537&gt;0)*(($V537:$AE537&lt;AE537)+($V537:$AE537=AE537)*($V$3:$AE$3&gt;AE$3)+($V537:$AE537=AE537)*($V$3:$AE$3=AE$3)*($V$2:$AE$2&lt;AE$2))),2))))</f>
      </c>
      <c r="AP537" s="33">
        <f>ROUND(V537-AF537,2)</f>
      </c>
      <c r="AQ537" s="33">
        <f>ROUND(W537-AG537,2)</f>
      </c>
      <c r="AR537" s="33">
        <f>ROUND(X537-AH537,2)</f>
      </c>
      <c r="AS537" s="33">
        <f>ROUND(Y537-AI537,2)</f>
      </c>
      <c r="AT537" s="33">
        <f>ROUND(Z537-AJ537,2)</f>
      </c>
      <c r="AU537" s="33">
        <f>ROUND(AA537-AK537,2)</f>
      </c>
      <c r="AV537" s="33">
        <f>ROUND(AB537-AL537,2)</f>
      </c>
      <c r="AW537" s="33">
        <f>ROUND(AC537-AM537,2)</f>
      </c>
      <c r="AX537" s="33">
        <f>ROUND(AD537-AN537,2)</f>
      </c>
      <c r="AY537" s="33">
        <f>ROUND(AE537-AO537,2)</f>
      </c>
      <c r="AZ537" s="33">
        <f>ROUND(MAX(0,'Your debts'!$D$22-SUM($L537:$U537)),2)</f>
      </c>
      <c r="BA537" s="33">
        <f>ROUND(SUM($B537:$K537)-SUM($AP536:$AY536),2)</f>
      </c>
      <c r="BB537" s="33">
        <f>SUM($AP537:$AY537)</f>
      </c>
      <c r="BC537" s="33">
        <f>ROUND(SUM($L537:$U537)+SUM($AF537:$AO537),2)</f>
      </c>
    </row>
    <row r="538" spans="1:55" x14ac:dyDescent="0.25">
      <c r="A538">
        <v>531</v>
      </c>
      <c r="B538" s="33">
        <f>IF(AP537&lt;=0,0,ROUND(AP537+ROUND(AP537*V$3/12,2),2))</f>
      </c>
      <c r="C538" s="33">
        <f>IF(AQ537&lt;=0,0,ROUND(AQ537+ROUND(AQ537*W$3/12,2),2))</f>
      </c>
      <c r="D538" s="33">
        <f>IF(AR537&lt;=0,0,ROUND(AR537+ROUND(AR537*X$3/12,2),2))</f>
      </c>
      <c r="E538" s="33">
        <f>IF(AS537&lt;=0,0,ROUND(AS537+ROUND(AS537*Y$3/12,2),2))</f>
      </c>
      <c r="F538" s="33">
        <f>IF(AT537&lt;=0,0,ROUND(AT537+ROUND(AT537*Z$3/12,2),2))</f>
      </c>
      <c r="G538" s="33">
        <f>IF(AU537&lt;=0,0,ROUND(AU537+ROUND(AU537*AA$3/12,2),2))</f>
      </c>
      <c r="H538" s="33">
        <f>IF(AV537&lt;=0,0,ROUND(AV537+ROUND(AV537*AB$3/12,2),2))</f>
      </c>
      <c r="I538" s="33">
        <f>IF(AW537&lt;=0,0,ROUND(AW537+ROUND(AW537*AC$3/12,2),2))</f>
      </c>
      <c r="J538" s="33">
        <f>IF(AX537&lt;=0,0,ROUND(AX537+ROUND(AX537*AD$3/12,2),2))</f>
      </c>
      <c r="K538" s="33">
        <f>IF(AY537&lt;=0,0,ROUND(AY537+ROUND(AY537*AE$3/12,2),2))</f>
      </c>
      <c r="L538" s="33">
        <f>ROUND(MIN(MAX(0,N('Your debts'!$E$6)),B538),2)</f>
      </c>
      <c r="M538" s="33">
        <f>ROUND(MIN(MAX(0,N('Your debts'!$E$7)),C538),2)</f>
      </c>
      <c r="N538" s="33">
        <f>ROUND(MIN(MAX(0,N('Your debts'!$E$8)),D538),2)</f>
      </c>
      <c r="O538" s="33">
        <f>ROUND(MIN(MAX(0,N('Your debts'!$E$9)),E538),2)</f>
      </c>
      <c r="P538" s="33">
        <f>ROUND(MIN(MAX(0,N('Your debts'!$E$10)),F538),2)</f>
      </c>
      <c r="Q538" s="33">
        <f>ROUND(MIN(MAX(0,N('Your debts'!$E$11)),G538),2)</f>
      </c>
      <c r="R538" s="33">
        <f>ROUND(MIN(MAX(0,N('Your debts'!$E$12)),H538),2)</f>
      </c>
      <c r="S538" s="33">
        <f>ROUND(MIN(MAX(0,N('Your debts'!$E$13)),I538),2)</f>
      </c>
      <c r="T538" s="33">
        <f>ROUND(MIN(MAX(0,N('Your debts'!$E$14)),J538),2)</f>
      </c>
      <c r="U538" s="33">
        <f>ROUND(MIN(MAX(0,N('Your debts'!$E$15)),K538),2)</f>
      </c>
      <c r="V538" s="33">
        <f>ROUND(B538-L538,2)</f>
      </c>
      <c r="W538" s="33">
        <f>ROUND(C538-M538,2)</f>
      </c>
      <c r="X538" s="33">
        <f>ROUND(D538-N538,2)</f>
      </c>
      <c r="Y538" s="33">
        <f>ROUND(E538-O538,2)</f>
      </c>
      <c r="Z538" s="33">
        <f>ROUND(F538-P538,2)</f>
      </c>
      <c r="AA538" s="33">
        <f>ROUND(G538-Q538,2)</f>
      </c>
      <c r="AB538" s="33">
        <f>ROUND(H538-R538,2)</f>
      </c>
      <c r="AC538" s="33">
        <f>ROUND(I538-S538,2)</f>
      </c>
      <c r="AD538" s="33">
        <f>ROUND(J538-T538,2)</f>
      </c>
      <c r="AE538" s="33">
        <f>ROUND(K538-U538,2)</f>
      </c>
      <c r="AF538" s="33">
        <f>IF(V538&lt;=0,0,MAX(0,MIN(V538,ROUND($AZ538-SUMPRODUCT($V538:$AE538*($V538:$AE538&gt;0)*(($V538:$AE538&lt;V538)+($V538:$AE538=V538)*($V$3:$AE$3&gt;V$3)+($V538:$AE538=V538)*($V$3:$AE$3=V$3)*($V$2:$AE$2&lt;V$2))),2))))</f>
      </c>
      <c r="AG538" s="33">
        <f>IF(W538&lt;=0,0,MAX(0,MIN(W538,ROUND($AZ538-SUMPRODUCT($V538:$AE538*($V538:$AE538&gt;0)*(($V538:$AE538&lt;W538)+($V538:$AE538=W538)*($V$3:$AE$3&gt;W$3)+($V538:$AE538=W538)*($V$3:$AE$3=W$3)*($V$2:$AE$2&lt;W$2))),2))))</f>
      </c>
      <c r="AH538" s="33">
        <f>IF(X538&lt;=0,0,MAX(0,MIN(X538,ROUND($AZ538-SUMPRODUCT($V538:$AE538*($V538:$AE538&gt;0)*(($V538:$AE538&lt;X538)+($V538:$AE538=X538)*($V$3:$AE$3&gt;X$3)+($V538:$AE538=X538)*($V$3:$AE$3=X$3)*($V$2:$AE$2&lt;X$2))),2))))</f>
      </c>
      <c r="AI538" s="33">
        <f>IF(Y538&lt;=0,0,MAX(0,MIN(Y538,ROUND($AZ538-SUMPRODUCT($V538:$AE538*($V538:$AE538&gt;0)*(($V538:$AE538&lt;Y538)+($V538:$AE538=Y538)*($V$3:$AE$3&gt;Y$3)+($V538:$AE538=Y538)*($V$3:$AE$3=Y$3)*($V$2:$AE$2&lt;Y$2))),2))))</f>
      </c>
      <c r="AJ538" s="33">
        <f>IF(Z538&lt;=0,0,MAX(0,MIN(Z538,ROUND($AZ538-SUMPRODUCT($V538:$AE538*($V538:$AE538&gt;0)*(($V538:$AE538&lt;Z538)+($V538:$AE538=Z538)*($V$3:$AE$3&gt;Z$3)+($V538:$AE538=Z538)*($V$3:$AE$3=Z$3)*($V$2:$AE$2&lt;Z$2))),2))))</f>
      </c>
      <c r="AK538" s="33">
        <f>IF(AA538&lt;=0,0,MAX(0,MIN(AA538,ROUND($AZ538-SUMPRODUCT($V538:$AE538*($V538:$AE538&gt;0)*(($V538:$AE538&lt;AA538)+($V538:$AE538=AA538)*($V$3:$AE$3&gt;AA$3)+($V538:$AE538=AA538)*($V$3:$AE$3=AA$3)*($V$2:$AE$2&lt;AA$2))),2))))</f>
      </c>
      <c r="AL538" s="33">
        <f>IF(AB538&lt;=0,0,MAX(0,MIN(AB538,ROUND($AZ538-SUMPRODUCT($V538:$AE538*($V538:$AE538&gt;0)*(($V538:$AE538&lt;AB538)+($V538:$AE538=AB538)*($V$3:$AE$3&gt;AB$3)+($V538:$AE538=AB538)*($V$3:$AE$3=AB$3)*($V$2:$AE$2&lt;AB$2))),2))))</f>
      </c>
      <c r="AM538" s="33">
        <f>IF(AC538&lt;=0,0,MAX(0,MIN(AC538,ROUND($AZ538-SUMPRODUCT($V538:$AE538*($V538:$AE538&gt;0)*(($V538:$AE538&lt;AC538)+($V538:$AE538=AC538)*($V$3:$AE$3&gt;AC$3)+($V538:$AE538=AC538)*($V$3:$AE$3=AC$3)*($V$2:$AE$2&lt;AC$2))),2))))</f>
      </c>
      <c r="AN538" s="33">
        <f>IF(AD538&lt;=0,0,MAX(0,MIN(AD538,ROUND($AZ538-SUMPRODUCT($V538:$AE538*($V538:$AE538&gt;0)*(($V538:$AE538&lt;AD538)+($V538:$AE538=AD538)*($V$3:$AE$3&gt;AD$3)+($V538:$AE538=AD538)*($V$3:$AE$3=AD$3)*($V$2:$AE$2&lt;AD$2))),2))))</f>
      </c>
      <c r="AO538" s="33">
        <f>IF(AE538&lt;=0,0,MAX(0,MIN(AE538,ROUND($AZ538-SUMPRODUCT($V538:$AE538*($V538:$AE538&gt;0)*(($V538:$AE538&lt;AE538)+($V538:$AE538=AE538)*($V$3:$AE$3&gt;AE$3)+($V538:$AE538=AE538)*($V$3:$AE$3=AE$3)*($V$2:$AE$2&lt;AE$2))),2))))</f>
      </c>
      <c r="AP538" s="33">
        <f>ROUND(V538-AF538,2)</f>
      </c>
      <c r="AQ538" s="33">
        <f>ROUND(W538-AG538,2)</f>
      </c>
      <c r="AR538" s="33">
        <f>ROUND(X538-AH538,2)</f>
      </c>
      <c r="AS538" s="33">
        <f>ROUND(Y538-AI538,2)</f>
      </c>
      <c r="AT538" s="33">
        <f>ROUND(Z538-AJ538,2)</f>
      </c>
      <c r="AU538" s="33">
        <f>ROUND(AA538-AK538,2)</f>
      </c>
      <c r="AV538" s="33">
        <f>ROUND(AB538-AL538,2)</f>
      </c>
      <c r="AW538" s="33">
        <f>ROUND(AC538-AM538,2)</f>
      </c>
      <c r="AX538" s="33">
        <f>ROUND(AD538-AN538,2)</f>
      </c>
      <c r="AY538" s="33">
        <f>ROUND(AE538-AO538,2)</f>
      </c>
      <c r="AZ538" s="33">
        <f>ROUND(MAX(0,'Your debts'!$D$22-SUM($L538:$U538)),2)</f>
      </c>
      <c r="BA538" s="33">
        <f>ROUND(SUM($B538:$K538)-SUM($AP537:$AY537),2)</f>
      </c>
      <c r="BB538" s="33">
        <f>SUM($AP538:$AY538)</f>
      </c>
      <c r="BC538" s="33">
        <f>ROUND(SUM($L538:$U538)+SUM($AF538:$AO538),2)</f>
      </c>
    </row>
    <row r="539" spans="1:55" x14ac:dyDescent="0.25">
      <c r="A539">
        <v>532</v>
      </c>
      <c r="B539" s="33">
        <f>IF(AP538&lt;=0,0,ROUND(AP538+ROUND(AP538*V$3/12,2),2))</f>
      </c>
      <c r="C539" s="33">
        <f>IF(AQ538&lt;=0,0,ROUND(AQ538+ROUND(AQ538*W$3/12,2),2))</f>
      </c>
      <c r="D539" s="33">
        <f>IF(AR538&lt;=0,0,ROUND(AR538+ROUND(AR538*X$3/12,2),2))</f>
      </c>
      <c r="E539" s="33">
        <f>IF(AS538&lt;=0,0,ROUND(AS538+ROUND(AS538*Y$3/12,2),2))</f>
      </c>
      <c r="F539" s="33">
        <f>IF(AT538&lt;=0,0,ROUND(AT538+ROUND(AT538*Z$3/12,2),2))</f>
      </c>
      <c r="G539" s="33">
        <f>IF(AU538&lt;=0,0,ROUND(AU538+ROUND(AU538*AA$3/12,2),2))</f>
      </c>
      <c r="H539" s="33">
        <f>IF(AV538&lt;=0,0,ROUND(AV538+ROUND(AV538*AB$3/12,2),2))</f>
      </c>
      <c r="I539" s="33">
        <f>IF(AW538&lt;=0,0,ROUND(AW538+ROUND(AW538*AC$3/12,2),2))</f>
      </c>
      <c r="J539" s="33">
        <f>IF(AX538&lt;=0,0,ROUND(AX538+ROUND(AX538*AD$3/12,2),2))</f>
      </c>
      <c r="K539" s="33">
        <f>IF(AY538&lt;=0,0,ROUND(AY538+ROUND(AY538*AE$3/12,2),2))</f>
      </c>
      <c r="L539" s="33">
        <f>ROUND(MIN(MAX(0,N('Your debts'!$E$6)),B539),2)</f>
      </c>
      <c r="M539" s="33">
        <f>ROUND(MIN(MAX(0,N('Your debts'!$E$7)),C539),2)</f>
      </c>
      <c r="N539" s="33">
        <f>ROUND(MIN(MAX(0,N('Your debts'!$E$8)),D539),2)</f>
      </c>
      <c r="O539" s="33">
        <f>ROUND(MIN(MAX(0,N('Your debts'!$E$9)),E539),2)</f>
      </c>
      <c r="P539" s="33">
        <f>ROUND(MIN(MAX(0,N('Your debts'!$E$10)),F539),2)</f>
      </c>
      <c r="Q539" s="33">
        <f>ROUND(MIN(MAX(0,N('Your debts'!$E$11)),G539),2)</f>
      </c>
      <c r="R539" s="33">
        <f>ROUND(MIN(MAX(0,N('Your debts'!$E$12)),H539),2)</f>
      </c>
      <c r="S539" s="33">
        <f>ROUND(MIN(MAX(0,N('Your debts'!$E$13)),I539),2)</f>
      </c>
      <c r="T539" s="33">
        <f>ROUND(MIN(MAX(0,N('Your debts'!$E$14)),J539),2)</f>
      </c>
      <c r="U539" s="33">
        <f>ROUND(MIN(MAX(0,N('Your debts'!$E$15)),K539),2)</f>
      </c>
      <c r="V539" s="33">
        <f>ROUND(B539-L539,2)</f>
      </c>
      <c r="W539" s="33">
        <f>ROUND(C539-M539,2)</f>
      </c>
      <c r="X539" s="33">
        <f>ROUND(D539-N539,2)</f>
      </c>
      <c r="Y539" s="33">
        <f>ROUND(E539-O539,2)</f>
      </c>
      <c r="Z539" s="33">
        <f>ROUND(F539-P539,2)</f>
      </c>
      <c r="AA539" s="33">
        <f>ROUND(G539-Q539,2)</f>
      </c>
      <c r="AB539" s="33">
        <f>ROUND(H539-R539,2)</f>
      </c>
      <c r="AC539" s="33">
        <f>ROUND(I539-S539,2)</f>
      </c>
      <c r="AD539" s="33">
        <f>ROUND(J539-T539,2)</f>
      </c>
      <c r="AE539" s="33">
        <f>ROUND(K539-U539,2)</f>
      </c>
      <c r="AF539" s="33">
        <f>IF(V539&lt;=0,0,MAX(0,MIN(V539,ROUND($AZ539-SUMPRODUCT($V539:$AE539*($V539:$AE539&gt;0)*(($V539:$AE539&lt;V539)+($V539:$AE539=V539)*($V$3:$AE$3&gt;V$3)+($V539:$AE539=V539)*($V$3:$AE$3=V$3)*($V$2:$AE$2&lt;V$2))),2))))</f>
      </c>
      <c r="AG539" s="33">
        <f>IF(W539&lt;=0,0,MAX(0,MIN(W539,ROUND($AZ539-SUMPRODUCT($V539:$AE539*($V539:$AE539&gt;0)*(($V539:$AE539&lt;W539)+($V539:$AE539=W539)*($V$3:$AE$3&gt;W$3)+($V539:$AE539=W539)*($V$3:$AE$3=W$3)*($V$2:$AE$2&lt;W$2))),2))))</f>
      </c>
      <c r="AH539" s="33">
        <f>IF(X539&lt;=0,0,MAX(0,MIN(X539,ROUND($AZ539-SUMPRODUCT($V539:$AE539*($V539:$AE539&gt;0)*(($V539:$AE539&lt;X539)+($V539:$AE539=X539)*($V$3:$AE$3&gt;X$3)+($V539:$AE539=X539)*($V$3:$AE$3=X$3)*($V$2:$AE$2&lt;X$2))),2))))</f>
      </c>
      <c r="AI539" s="33">
        <f>IF(Y539&lt;=0,0,MAX(0,MIN(Y539,ROUND($AZ539-SUMPRODUCT($V539:$AE539*($V539:$AE539&gt;0)*(($V539:$AE539&lt;Y539)+($V539:$AE539=Y539)*($V$3:$AE$3&gt;Y$3)+($V539:$AE539=Y539)*($V$3:$AE$3=Y$3)*($V$2:$AE$2&lt;Y$2))),2))))</f>
      </c>
      <c r="AJ539" s="33">
        <f>IF(Z539&lt;=0,0,MAX(0,MIN(Z539,ROUND($AZ539-SUMPRODUCT($V539:$AE539*($V539:$AE539&gt;0)*(($V539:$AE539&lt;Z539)+($V539:$AE539=Z539)*($V$3:$AE$3&gt;Z$3)+($V539:$AE539=Z539)*($V$3:$AE$3=Z$3)*($V$2:$AE$2&lt;Z$2))),2))))</f>
      </c>
      <c r="AK539" s="33">
        <f>IF(AA539&lt;=0,0,MAX(0,MIN(AA539,ROUND($AZ539-SUMPRODUCT($V539:$AE539*($V539:$AE539&gt;0)*(($V539:$AE539&lt;AA539)+($V539:$AE539=AA539)*($V$3:$AE$3&gt;AA$3)+($V539:$AE539=AA539)*($V$3:$AE$3=AA$3)*($V$2:$AE$2&lt;AA$2))),2))))</f>
      </c>
      <c r="AL539" s="33">
        <f>IF(AB539&lt;=0,0,MAX(0,MIN(AB539,ROUND($AZ539-SUMPRODUCT($V539:$AE539*($V539:$AE539&gt;0)*(($V539:$AE539&lt;AB539)+($V539:$AE539=AB539)*($V$3:$AE$3&gt;AB$3)+($V539:$AE539=AB539)*($V$3:$AE$3=AB$3)*($V$2:$AE$2&lt;AB$2))),2))))</f>
      </c>
      <c r="AM539" s="33">
        <f>IF(AC539&lt;=0,0,MAX(0,MIN(AC539,ROUND($AZ539-SUMPRODUCT($V539:$AE539*($V539:$AE539&gt;0)*(($V539:$AE539&lt;AC539)+($V539:$AE539=AC539)*($V$3:$AE$3&gt;AC$3)+($V539:$AE539=AC539)*($V$3:$AE$3=AC$3)*($V$2:$AE$2&lt;AC$2))),2))))</f>
      </c>
      <c r="AN539" s="33">
        <f>IF(AD539&lt;=0,0,MAX(0,MIN(AD539,ROUND($AZ539-SUMPRODUCT($V539:$AE539*($V539:$AE539&gt;0)*(($V539:$AE539&lt;AD539)+($V539:$AE539=AD539)*($V$3:$AE$3&gt;AD$3)+($V539:$AE539=AD539)*($V$3:$AE$3=AD$3)*($V$2:$AE$2&lt;AD$2))),2))))</f>
      </c>
      <c r="AO539" s="33">
        <f>IF(AE539&lt;=0,0,MAX(0,MIN(AE539,ROUND($AZ539-SUMPRODUCT($V539:$AE539*($V539:$AE539&gt;0)*(($V539:$AE539&lt;AE539)+($V539:$AE539=AE539)*($V$3:$AE$3&gt;AE$3)+($V539:$AE539=AE539)*($V$3:$AE$3=AE$3)*($V$2:$AE$2&lt;AE$2))),2))))</f>
      </c>
      <c r="AP539" s="33">
        <f>ROUND(V539-AF539,2)</f>
      </c>
      <c r="AQ539" s="33">
        <f>ROUND(W539-AG539,2)</f>
      </c>
      <c r="AR539" s="33">
        <f>ROUND(X539-AH539,2)</f>
      </c>
      <c r="AS539" s="33">
        <f>ROUND(Y539-AI539,2)</f>
      </c>
      <c r="AT539" s="33">
        <f>ROUND(Z539-AJ539,2)</f>
      </c>
      <c r="AU539" s="33">
        <f>ROUND(AA539-AK539,2)</f>
      </c>
      <c r="AV539" s="33">
        <f>ROUND(AB539-AL539,2)</f>
      </c>
      <c r="AW539" s="33">
        <f>ROUND(AC539-AM539,2)</f>
      </c>
      <c r="AX539" s="33">
        <f>ROUND(AD539-AN539,2)</f>
      </c>
      <c r="AY539" s="33">
        <f>ROUND(AE539-AO539,2)</f>
      </c>
      <c r="AZ539" s="33">
        <f>ROUND(MAX(0,'Your debts'!$D$22-SUM($L539:$U539)),2)</f>
      </c>
      <c r="BA539" s="33">
        <f>ROUND(SUM($B539:$K539)-SUM($AP538:$AY538),2)</f>
      </c>
      <c r="BB539" s="33">
        <f>SUM($AP539:$AY539)</f>
      </c>
      <c r="BC539" s="33">
        <f>ROUND(SUM($L539:$U539)+SUM($AF539:$AO539),2)</f>
      </c>
    </row>
    <row r="540" spans="1:55" x14ac:dyDescent="0.25">
      <c r="A540">
        <v>533</v>
      </c>
      <c r="B540" s="33">
        <f>IF(AP539&lt;=0,0,ROUND(AP539+ROUND(AP539*V$3/12,2),2))</f>
      </c>
      <c r="C540" s="33">
        <f>IF(AQ539&lt;=0,0,ROUND(AQ539+ROUND(AQ539*W$3/12,2),2))</f>
      </c>
      <c r="D540" s="33">
        <f>IF(AR539&lt;=0,0,ROUND(AR539+ROUND(AR539*X$3/12,2),2))</f>
      </c>
      <c r="E540" s="33">
        <f>IF(AS539&lt;=0,0,ROUND(AS539+ROUND(AS539*Y$3/12,2),2))</f>
      </c>
      <c r="F540" s="33">
        <f>IF(AT539&lt;=0,0,ROUND(AT539+ROUND(AT539*Z$3/12,2),2))</f>
      </c>
      <c r="G540" s="33">
        <f>IF(AU539&lt;=0,0,ROUND(AU539+ROUND(AU539*AA$3/12,2),2))</f>
      </c>
      <c r="H540" s="33">
        <f>IF(AV539&lt;=0,0,ROUND(AV539+ROUND(AV539*AB$3/12,2),2))</f>
      </c>
      <c r="I540" s="33">
        <f>IF(AW539&lt;=0,0,ROUND(AW539+ROUND(AW539*AC$3/12,2),2))</f>
      </c>
      <c r="J540" s="33">
        <f>IF(AX539&lt;=0,0,ROUND(AX539+ROUND(AX539*AD$3/12,2),2))</f>
      </c>
      <c r="K540" s="33">
        <f>IF(AY539&lt;=0,0,ROUND(AY539+ROUND(AY539*AE$3/12,2),2))</f>
      </c>
      <c r="L540" s="33">
        <f>ROUND(MIN(MAX(0,N('Your debts'!$E$6)),B540),2)</f>
      </c>
      <c r="M540" s="33">
        <f>ROUND(MIN(MAX(0,N('Your debts'!$E$7)),C540),2)</f>
      </c>
      <c r="N540" s="33">
        <f>ROUND(MIN(MAX(0,N('Your debts'!$E$8)),D540),2)</f>
      </c>
      <c r="O540" s="33">
        <f>ROUND(MIN(MAX(0,N('Your debts'!$E$9)),E540),2)</f>
      </c>
      <c r="P540" s="33">
        <f>ROUND(MIN(MAX(0,N('Your debts'!$E$10)),F540),2)</f>
      </c>
      <c r="Q540" s="33">
        <f>ROUND(MIN(MAX(0,N('Your debts'!$E$11)),G540),2)</f>
      </c>
      <c r="R540" s="33">
        <f>ROUND(MIN(MAX(0,N('Your debts'!$E$12)),H540),2)</f>
      </c>
      <c r="S540" s="33">
        <f>ROUND(MIN(MAX(0,N('Your debts'!$E$13)),I540),2)</f>
      </c>
      <c r="T540" s="33">
        <f>ROUND(MIN(MAX(0,N('Your debts'!$E$14)),J540),2)</f>
      </c>
      <c r="U540" s="33">
        <f>ROUND(MIN(MAX(0,N('Your debts'!$E$15)),K540),2)</f>
      </c>
      <c r="V540" s="33">
        <f>ROUND(B540-L540,2)</f>
      </c>
      <c r="W540" s="33">
        <f>ROUND(C540-M540,2)</f>
      </c>
      <c r="X540" s="33">
        <f>ROUND(D540-N540,2)</f>
      </c>
      <c r="Y540" s="33">
        <f>ROUND(E540-O540,2)</f>
      </c>
      <c r="Z540" s="33">
        <f>ROUND(F540-P540,2)</f>
      </c>
      <c r="AA540" s="33">
        <f>ROUND(G540-Q540,2)</f>
      </c>
      <c r="AB540" s="33">
        <f>ROUND(H540-R540,2)</f>
      </c>
      <c r="AC540" s="33">
        <f>ROUND(I540-S540,2)</f>
      </c>
      <c r="AD540" s="33">
        <f>ROUND(J540-T540,2)</f>
      </c>
      <c r="AE540" s="33">
        <f>ROUND(K540-U540,2)</f>
      </c>
      <c r="AF540" s="33">
        <f>IF(V540&lt;=0,0,MAX(0,MIN(V540,ROUND($AZ540-SUMPRODUCT($V540:$AE540*($V540:$AE540&gt;0)*(($V540:$AE540&lt;V540)+($V540:$AE540=V540)*($V$3:$AE$3&gt;V$3)+($V540:$AE540=V540)*($V$3:$AE$3=V$3)*($V$2:$AE$2&lt;V$2))),2))))</f>
      </c>
      <c r="AG540" s="33">
        <f>IF(W540&lt;=0,0,MAX(0,MIN(W540,ROUND($AZ540-SUMPRODUCT($V540:$AE540*($V540:$AE540&gt;0)*(($V540:$AE540&lt;W540)+($V540:$AE540=W540)*($V$3:$AE$3&gt;W$3)+($V540:$AE540=W540)*($V$3:$AE$3=W$3)*($V$2:$AE$2&lt;W$2))),2))))</f>
      </c>
      <c r="AH540" s="33">
        <f>IF(X540&lt;=0,0,MAX(0,MIN(X540,ROUND($AZ540-SUMPRODUCT($V540:$AE540*($V540:$AE540&gt;0)*(($V540:$AE540&lt;X540)+($V540:$AE540=X540)*($V$3:$AE$3&gt;X$3)+($V540:$AE540=X540)*($V$3:$AE$3=X$3)*($V$2:$AE$2&lt;X$2))),2))))</f>
      </c>
      <c r="AI540" s="33">
        <f>IF(Y540&lt;=0,0,MAX(0,MIN(Y540,ROUND($AZ540-SUMPRODUCT($V540:$AE540*($V540:$AE540&gt;0)*(($V540:$AE540&lt;Y540)+($V540:$AE540=Y540)*($V$3:$AE$3&gt;Y$3)+($V540:$AE540=Y540)*($V$3:$AE$3=Y$3)*($V$2:$AE$2&lt;Y$2))),2))))</f>
      </c>
      <c r="AJ540" s="33">
        <f>IF(Z540&lt;=0,0,MAX(0,MIN(Z540,ROUND($AZ540-SUMPRODUCT($V540:$AE540*($V540:$AE540&gt;0)*(($V540:$AE540&lt;Z540)+($V540:$AE540=Z540)*($V$3:$AE$3&gt;Z$3)+($V540:$AE540=Z540)*($V$3:$AE$3=Z$3)*($V$2:$AE$2&lt;Z$2))),2))))</f>
      </c>
      <c r="AK540" s="33">
        <f>IF(AA540&lt;=0,0,MAX(0,MIN(AA540,ROUND($AZ540-SUMPRODUCT($V540:$AE540*($V540:$AE540&gt;0)*(($V540:$AE540&lt;AA540)+($V540:$AE540=AA540)*($V$3:$AE$3&gt;AA$3)+($V540:$AE540=AA540)*($V$3:$AE$3=AA$3)*($V$2:$AE$2&lt;AA$2))),2))))</f>
      </c>
      <c r="AL540" s="33">
        <f>IF(AB540&lt;=0,0,MAX(0,MIN(AB540,ROUND($AZ540-SUMPRODUCT($V540:$AE540*($V540:$AE540&gt;0)*(($V540:$AE540&lt;AB540)+($V540:$AE540=AB540)*($V$3:$AE$3&gt;AB$3)+($V540:$AE540=AB540)*($V$3:$AE$3=AB$3)*($V$2:$AE$2&lt;AB$2))),2))))</f>
      </c>
      <c r="AM540" s="33">
        <f>IF(AC540&lt;=0,0,MAX(0,MIN(AC540,ROUND($AZ540-SUMPRODUCT($V540:$AE540*($V540:$AE540&gt;0)*(($V540:$AE540&lt;AC540)+($V540:$AE540=AC540)*($V$3:$AE$3&gt;AC$3)+($V540:$AE540=AC540)*($V$3:$AE$3=AC$3)*($V$2:$AE$2&lt;AC$2))),2))))</f>
      </c>
      <c r="AN540" s="33">
        <f>IF(AD540&lt;=0,0,MAX(0,MIN(AD540,ROUND($AZ540-SUMPRODUCT($V540:$AE540*($V540:$AE540&gt;0)*(($V540:$AE540&lt;AD540)+($V540:$AE540=AD540)*($V$3:$AE$3&gt;AD$3)+($V540:$AE540=AD540)*($V$3:$AE$3=AD$3)*($V$2:$AE$2&lt;AD$2))),2))))</f>
      </c>
      <c r="AO540" s="33">
        <f>IF(AE540&lt;=0,0,MAX(0,MIN(AE540,ROUND($AZ540-SUMPRODUCT($V540:$AE540*($V540:$AE540&gt;0)*(($V540:$AE540&lt;AE540)+($V540:$AE540=AE540)*($V$3:$AE$3&gt;AE$3)+($V540:$AE540=AE540)*($V$3:$AE$3=AE$3)*($V$2:$AE$2&lt;AE$2))),2))))</f>
      </c>
      <c r="AP540" s="33">
        <f>ROUND(V540-AF540,2)</f>
      </c>
      <c r="AQ540" s="33">
        <f>ROUND(W540-AG540,2)</f>
      </c>
      <c r="AR540" s="33">
        <f>ROUND(X540-AH540,2)</f>
      </c>
      <c r="AS540" s="33">
        <f>ROUND(Y540-AI540,2)</f>
      </c>
      <c r="AT540" s="33">
        <f>ROUND(Z540-AJ540,2)</f>
      </c>
      <c r="AU540" s="33">
        <f>ROUND(AA540-AK540,2)</f>
      </c>
      <c r="AV540" s="33">
        <f>ROUND(AB540-AL540,2)</f>
      </c>
      <c r="AW540" s="33">
        <f>ROUND(AC540-AM540,2)</f>
      </c>
      <c r="AX540" s="33">
        <f>ROUND(AD540-AN540,2)</f>
      </c>
      <c r="AY540" s="33">
        <f>ROUND(AE540-AO540,2)</f>
      </c>
      <c r="AZ540" s="33">
        <f>ROUND(MAX(0,'Your debts'!$D$22-SUM($L540:$U540)),2)</f>
      </c>
      <c r="BA540" s="33">
        <f>ROUND(SUM($B540:$K540)-SUM($AP539:$AY539),2)</f>
      </c>
      <c r="BB540" s="33">
        <f>SUM($AP540:$AY540)</f>
      </c>
      <c r="BC540" s="33">
        <f>ROUND(SUM($L540:$U540)+SUM($AF540:$AO540),2)</f>
      </c>
    </row>
    <row r="541" spans="1:55" x14ac:dyDescent="0.25">
      <c r="A541">
        <v>534</v>
      </c>
      <c r="B541" s="33">
        <f>IF(AP540&lt;=0,0,ROUND(AP540+ROUND(AP540*V$3/12,2),2))</f>
      </c>
      <c r="C541" s="33">
        <f>IF(AQ540&lt;=0,0,ROUND(AQ540+ROUND(AQ540*W$3/12,2),2))</f>
      </c>
      <c r="D541" s="33">
        <f>IF(AR540&lt;=0,0,ROUND(AR540+ROUND(AR540*X$3/12,2),2))</f>
      </c>
      <c r="E541" s="33">
        <f>IF(AS540&lt;=0,0,ROUND(AS540+ROUND(AS540*Y$3/12,2),2))</f>
      </c>
      <c r="F541" s="33">
        <f>IF(AT540&lt;=0,0,ROUND(AT540+ROUND(AT540*Z$3/12,2),2))</f>
      </c>
      <c r="G541" s="33">
        <f>IF(AU540&lt;=0,0,ROUND(AU540+ROUND(AU540*AA$3/12,2),2))</f>
      </c>
      <c r="H541" s="33">
        <f>IF(AV540&lt;=0,0,ROUND(AV540+ROUND(AV540*AB$3/12,2),2))</f>
      </c>
      <c r="I541" s="33">
        <f>IF(AW540&lt;=0,0,ROUND(AW540+ROUND(AW540*AC$3/12,2),2))</f>
      </c>
      <c r="J541" s="33">
        <f>IF(AX540&lt;=0,0,ROUND(AX540+ROUND(AX540*AD$3/12,2),2))</f>
      </c>
      <c r="K541" s="33">
        <f>IF(AY540&lt;=0,0,ROUND(AY540+ROUND(AY540*AE$3/12,2),2))</f>
      </c>
      <c r="L541" s="33">
        <f>ROUND(MIN(MAX(0,N('Your debts'!$E$6)),B541),2)</f>
      </c>
      <c r="M541" s="33">
        <f>ROUND(MIN(MAX(0,N('Your debts'!$E$7)),C541),2)</f>
      </c>
      <c r="N541" s="33">
        <f>ROUND(MIN(MAX(0,N('Your debts'!$E$8)),D541),2)</f>
      </c>
      <c r="O541" s="33">
        <f>ROUND(MIN(MAX(0,N('Your debts'!$E$9)),E541),2)</f>
      </c>
      <c r="P541" s="33">
        <f>ROUND(MIN(MAX(0,N('Your debts'!$E$10)),F541),2)</f>
      </c>
      <c r="Q541" s="33">
        <f>ROUND(MIN(MAX(0,N('Your debts'!$E$11)),G541),2)</f>
      </c>
      <c r="R541" s="33">
        <f>ROUND(MIN(MAX(0,N('Your debts'!$E$12)),H541),2)</f>
      </c>
      <c r="S541" s="33">
        <f>ROUND(MIN(MAX(0,N('Your debts'!$E$13)),I541),2)</f>
      </c>
      <c r="T541" s="33">
        <f>ROUND(MIN(MAX(0,N('Your debts'!$E$14)),J541),2)</f>
      </c>
      <c r="U541" s="33">
        <f>ROUND(MIN(MAX(0,N('Your debts'!$E$15)),K541),2)</f>
      </c>
      <c r="V541" s="33">
        <f>ROUND(B541-L541,2)</f>
      </c>
      <c r="W541" s="33">
        <f>ROUND(C541-M541,2)</f>
      </c>
      <c r="X541" s="33">
        <f>ROUND(D541-N541,2)</f>
      </c>
      <c r="Y541" s="33">
        <f>ROUND(E541-O541,2)</f>
      </c>
      <c r="Z541" s="33">
        <f>ROUND(F541-P541,2)</f>
      </c>
      <c r="AA541" s="33">
        <f>ROUND(G541-Q541,2)</f>
      </c>
      <c r="AB541" s="33">
        <f>ROUND(H541-R541,2)</f>
      </c>
      <c r="AC541" s="33">
        <f>ROUND(I541-S541,2)</f>
      </c>
      <c r="AD541" s="33">
        <f>ROUND(J541-T541,2)</f>
      </c>
      <c r="AE541" s="33">
        <f>ROUND(K541-U541,2)</f>
      </c>
      <c r="AF541" s="33">
        <f>IF(V541&lt;=0,0,MAX(0,MIN(V541,ROUND($AZ541-SUMPRODUCT($V541:$AE541*($V541:$AE541&gt;0)*(($V541:$AE541&lt;V541)+($V541:$AE541=V541)*($V$3:$AE$3&gt;V$3)+($V541:$AE541=V541)*($V$3:$AE$3=V$3)*($V$2:$AE$2&lt;V$2))),2))))</f>
      </c>
      <c r="AG541" s="33">
        <f>IF(W541&lt;=0,0,MAX(0,MIN(W541,ROUND($AZ541-SUMPRODUCT($V541:$AE541*($V541:$AE541&gt;0)*(($V541:$AE541&lt;W541)+($V541:$AE541=W541)*($V$3:$AE$3&gt;W$3)+($V541:$AE541=W541)*($V$3:$AE$3=W$3)*($V$2:$AE$2&lt;W$2))),2))))</f>
      </c>
      <c r="AH541" s="33">
        <f>IF(X541&lt;=0,0,MAX(0,MIN(X541,ROUND($AZ541-SUMPRODUCT($V541:$AE541*($V541:$AE541&gt;0)*(($V541:$AE541&lt;X541)+($V541:$AE541=X541)*($V$3:$AE$3&gt;X$3)+($V541:$AE541=X541)*($V$3:$AE$3=X$3)*($V$2:$AE$2&lt;X$2))),2))))</f>
      </c>
      <c r="AI541" s="33">
        <f>IF(Y541&lt;=0,0,MAX(0,MIN(Y541,ROUND($AZ541-SUMPRODUCT($V541:$AE541*($V541:$AE541&gt;0)*(($V541:$AE541&lt;Y541)+($V541:$AE541=Y541)*($V$3:$AE$3&gt;Y$3)+($V541:$AE541=Y541)*($V$3:$AE$3=Y$3)*($V$2:$AE$2&lt;Y$2))),2))))</f>
      </c>
      <c r="AJ541" s="33">
        <f>IF(Z541&lt;=0,0,MAX(0,MIN(Z541,ROUND($AZ541-SUMPRODUCT($V541:$AE541*($V541:$AE541&gt;0)*(($V541:$AE541&lt;Z541)+($V541:$AE541=Z541)*($V$3:$AE$3&gt;Z$3)+($V541:$AE541=Z541)*($V$3:$AE$3=Z$3)*($V$2:$AE$2&lt;Z$2))),2))))</f>
      </c>
      <c r="AK541" s="33">
        <f>IF(AA541&lt;=0,0,MAX(0,MIN(AA541,ROUND($AZ541-SUMPRODUCT($V541:$AE541*($V541:$AE541&gt;0)*(($V541:$AE541&lt;AA541)+($V541:$AE541=AA541)*($V$3:$AE$3&gt;AA$3)+($V541:$AE541=AA541)*($V$3:$AE$3=AA$3)*($V$2:$AE$2&lt;AA$2))),2))))</f>
      </c>
      <c r="AL541" s="33">
        <f>IF(AB541&lt;=0,0,MAX(0,MIN(AB541,ROUND($AZ541-SUMPRODUCT($V541:$AE541*($V541:$AE541&gt;0)*(($V541:$AE541&lt;AB541)+($V541:$AE541=AB541)*($V$3:$AE$3&gt;AB$3)+($V541:$AE541=AB541)*($V$3:$AE$3=AB$3)*($V$2:$AE$2&lt;AB$2))),2))))</f>
      </c>
      <c r="AM541" s="33">
        <f>IF(AC541&lt;=0,0,MAX(0,MIN(AC541,ROUND($AZ541-SUMPRODUCT($V541:$AE541*($V541:$AE541&gt;0)*(($V541:$AE541&lt;AC541)+($V541:$AE541=AC541)*($V$3:$AE$3&gt;AC$3)+($V541:$AE541=AC541)*($V$3:$AE$3=AC$3)*($V$2:$AE$2&lt;AC$2))),2))))</f>
      </c>
      <c r="AN541" s="33">
        <f>IF(AD541&lt;=0,0,MAX(0,MIN(AD541,ROUND($AZ541-SUMPRODUCT($V541:$AE541*($V541:$AE541&gt;0)*(($V541:$AE541&lt;AD541)+($V541:$AE541=AD541)*($V$3:$AE$3&gt;AD$3)+($V541:$AE541=AD541)*($V$3:$AE$3=AD$3)*($V$2:$AE$2&lt;AD$2))),2))))</f>
      </c>
      <c r="AO541" s="33">
        <f>IF(AE541&lt;=0,0,MAX(0,MIN(AE541,ROUND($AZ541-SUMPRODUCT($V541:$AE541*($V541:$AE541&gt;0)*(($V541:$AE541&lt;AE541)+($V541:$AE541=AE541)*($V$3:$AE$3&gt;AE$3)+($V541:$AE541=AE541)*($V$3:$AE$3=AE$3)*($V$2:$AE$2&lt;AE$2))),2))))</f>
      </c>
      <c r="AP541" s="33">
        <f>ROUND(V541-AF541,2)</f>
      </c>
      <c r="AQ541" s="33">
        <f>ROUND(W541-AG541,2)</f>
      </c>
      <c r="AR541" s="33">
        <f>ROUND(X541-AH541,2)</f>
      </c>
      <c r="AS541" s="33">
        <f>ROUND(Y541-AI541,2)</f>
      </c>
      <c r="AT541" s="33">
        <f>ROUND(Z541-AJ541,2)</f>
      </c>
      <c r="AU541" s="33">
        <f>ROUND(AA541-AK541,2)</f>
      </c>
      <c r="AV541" s="33">
        <f>ROUND(AB541-AL541,2)</f>
      </c>
      <c r="AW541" s="33">
        <f>ROUND(AC541-AM541,2)</f>
      </c>
      <c r="AX541" s="33">
        <f>ROUND(AD541-AN541,2)</f>
      </c>
      <c r="AY541" s="33">
        <f>ROUND(AE541-AO541,2)</f>
      </c>
      <c r="AZ541" s="33">
        <f>ROUND(MAX(0,'Your debts'!$D$22-SUM($L541:$U541)),2)</f>
      </c>
      <c r="BA541" s="33">
        <f>ROUND(SUM($B541:$K541)-SUM($AP540:$AY540),2)</f>
      </c>
      <c r="BB541" s="33">
        <f>SUM($AP541:$AY541)</f>
      </c>
      <c r="BC541" s="33">
        <f>ROUND(SUM($L541:$U541)+SUM($AF541:$AO541),2)</f>
      </c>
    </row>
    <row r="542" spans="1:55" x14ac:dyDescent="0.25">
      <c r="A542">
        <v>535</v>
      </c>
      <c r="B542" s="33">
        <f>IF(AP541&lt;=0,0,ROUND(AP541+ROUND(AP541*V$3/12,2),2))</f>
      </c>
      <c r="C542" s="33">
        <f>IF(AQ541&lt;=0,0,ROUND(AQ541+ROUND(AQ541*W$3/12,2),2))</f>
      </c>
      <c r="D542" s="33">
        <f>IF(AR541&lt;=0,0,ROUND(AR541+ROUND(AR541*X$3/12,2),2))</f>
      </c>
      <c r="E542" s="33">
        <f>IF(AS541&lt;=0,0,ROUND(AS541+ROUND(AS541*Y$3/12,2),2))</f>
      </c>
      <c r="F542" s="33">
        <f>IF(AT541&lt;=0,0,ROUND(AT541+ROUND(AT541*Z$3/12,2),2))</f>
      </c>
      <c r="G542" s="33">
        <f>IF(AU541&lt;=0,0,ROUND(AU541+ROUND(AU541*AA$3/12,2),2))</f>
      </c>
      <c r="H542" s="33">
        <f>IF(AV541&lt;=0,0,ROUND(AV541+ROUND(AV541*AB$3/12,2),2))</f>
      </c>
      <c r="I542" s="33">
        <f>IF(AW541&lt;=0,0,ROUND(AW541+ROUND(AW541*AC$3/12,2),2))</f>
      </c>
      <c r="J542" s="33">
        <f>IF(AX541&lt;=0,0,ROUND(AX541+ROUND(AX541*AD$3/12,2),2))</f>
      </c>
      <c r="K542" s="33">
        <f>IF(AY541&lt;=0,0,ROUND(AY541+ROUND(AY541*AE$3/12,2),2))</f>
      </c>
      <c r="L542" s="33">
        <f>ROUND(MIN(MAX(0,N('Your debts'!$E$6)),B542),2)</f>
      </c>
      <c r="M542" s="33">
        <f>ROUND(MIN(MAX(0,N('Your debts'!$E$7)),C542),2)</f>
      </c>
      <c r="N542" s="33">
        <f>ROUND(MIN(MAX(0,N('Your debts'!$E$8)),D542),2)</f>
      </c>
      <c r="O542" s="33">
        <f>ROUND(MIN(MAX(0,N('Your debts'!$E$9)),E542),2)</f>
      </c>
      <c r="P542" s="33">
        <f>ROUND(MIN(MAX(0,N('Your debts'!$E$10)),F542),2)</f>
      </c>
      <c r="Q542" s="33">
        <f>ROUND(MIN(MAX(0,N('Your debts'!$E$11)),G542),2)</f>
      </c>
      <c r="R542" s="33">
        <f>ROUND(MIN(MAX(0,N('Your debts'!$E$12)),H542),2)</f>
      </c>
      <c r="S542" s="33">
        <f>ROUND(MIN(MAX(0,N('Your debts'!$E$13)),I542),2)</f>
      </c>
      <c r="T542" s="33">
        <f>ROUND(MIN(MAX(0,N('Your debts'!$E$14)),J542),2)</f>
      </c>
      <c r="U542" s="33">
        <f>ROUND(MIN(MAX(0,N('Your debts'!$E$15)),K542),2)</f>
      </c>
      <c r="V542" s="33">
        <f>ROUND(B542-L542,2)</f>
      </c>
      <c r="W542" s="33">
        <f>ROUND(C542-M542,2)</f>
      </c>
      <c r="X542" s="33">
        <f>ROUND(D542-N542,2)</f>
      </c>
      <c r="Y542" s="33">
        <f>ROUND(E542-O542,2)</f>
      </c>
      <c r="Z542" s="33">
        <f>ROUND(F542-P542,2)</f>
      </c>
      <c r="AA542" s="33">
        <f>ROUND(G542-Q542,2)</f>
      </c>
      <c r="AB542" s="33">
        <f>ROUND(H542-R542,2)</f>
      </c>
      <c r="AC542" s="33">
        <f>ROUND(I542-S542,2)</f>
      </c>
      <c r="AD542" s="33">
        <f>ROUND(J542-T542,2)</f>
      </c>
      <c r="AE542" s="33">
        <f>ROUND(K542-U542,2)</f>
      </c>
      <c r="AF542" s="33">
        <f>IF(V542&lt;=0,0,MAX(0,MIN(V542,ROUND($AZ542-SUMPRODUCT($V542:$AE542*($V542:$AE542&gt;0)*(($V542:$AE542&lt;V542)+($V542:$AE542=V542)*($V$3:$AE$3&gt;V$3)+($V542:$AE542=V542)*($V$3:$AE$3=V$3)*($V$2:$AE$2&lt;V$2))),2))))</f>
      </c>
      <c r="AG542" s="33">
        <f>IF(W542&lt;=0,0,MAX(0,MIN(W542,ROUND($AZ542-SUMPRODUCT($V542:$AE542*($V542:$AE542&gt;0)*(($V542:$AE542&lt;W542)+($V542:$AE542=W542)*($V$3:$AE$3&gt;W$3)+($V542:$AE542=W542)*($V$3:$AE$3=W$3)*($V$2:$AE$2&lt;W$2))),2))))</f>
      </c>
      <c r="AH542" s="33">
        <f>IF(X542&lt;=0,0,MAX(0,MIN(X542,ROUND($AZ542-SUMPRODUCT($V542:$AE542*($V542:$AE542&gt;0)*(($V542:$AE542&lt;X542)+($V542:$AE542=X542)*($V$3:$AE$3&gt;X$3)+($V542:$AE542=X542)*($V$3:$AE$3=X$3)*($V$2:$AE$2&lt;X$2))),2))))</f>
      </c>
      <c r="AI542" s="33">
        <f>IF(Y542&lt;=0,0,MAX(0,MIN(Y542,ROUND($AZ542-SUMPRODUCT($V542:$AE542*($V542:$AE542&gt;0)*(($V542:$AE542&lt;Y542)+($V542:$AE542=Y542)*($V$3:$AE$3&gt;Y$3)+($V542:$AE542=Y542)*($V$3:$AE$3=Y$3)*($V$2:$AE$2&lt;Y$2))),2))))</f>
      </c>
      <c r="AJ542" s="33">
        <f>IF(Z542&lt;=0,0,MAX(0,MIN(Z542,ROUND($AZ542-SUMPRODUCT($V542:$AE542*($V542:$AE542&gt;0)*(($V542:$AE542&lt;Z542)+($V542:$AE542=Z542)*($V$3:$AE$3&gt;Z$3)+($V542:$AE542=Z542)*($V$3:$AE$3=Z$3)*($V$2:$AE$2&lt;Z$2))),2))))</f>
      </c>
      <c r="AK542" s="33">
        <f>IF(AA542&lt;=0,0,MAX(0,MIN(AA542,ROUND($AZ542-SUMPRODUCT($V542:$AE542*($V542:$AE542&gt;0)*(($V542:$AE542&lt;AA542)+($V542:$AE542=AA542)*($V$3:$AE$3&gt;AA$3)+($V542:$AE542=AA542)*($V$3:$AE$3=AA$3)*($V$2:$AE$2&lt;AA$2))),2))))</f>
      </c>
      <c r="AL542" s="33">
        <f>IF(AB542&lt;=0,0,MAX(0,MIN(AB542,ROUND($AZ542-SUMPRODUCT($V542:$AE542*($V542:$AE542&gt;0)*(($V542:$AE542&lt;AB542)+($V542:$AE542=AB542)*($V$3:$AE$3&gt;AB$3)+($V542:$AE542=AB542)*($V$3:$AE$3=AB$3)*($V$2:$AE$2&lt;AB$2))),2))))</f>
      </c>
      <c r="AM542" s="33">
        <f>IF(AC542&lt;=0,0,MAX(0,MIN(AC542,ROUND($AZ542-SUMPRODUCT($V542:$AE542*($V542:$AE542&gt;0)*(($V542:$AE542&lt;AC542)+($V542:$AE542=AC542)*($V$3:$AE$3&gt;AC$3)+($V542:$AE542=AC542)*($V$3:$AE$3=AC$3)*($V$2:$AE$2&lt;AC$2))),2))))</f>
      </c>
      <c r="AN542" s="33">
        <f>IF(AD542&lt;=0,0,MAX(0,MIN(AD542,ROUND($AZ542-SUMPRODUCT($V542:$AE542*($V542:$AE542&gt;0)*(($V542:$AE542&lt;AD542)+($V542:$AE542=AD542)*($V$3:$AE$3&gt;AD$3)+($V542:$AE542=AD542)*($V$3:$AE$3=AD$3)*($V$2:$AE$2&lt;AD$2))),2))))</f>
      </c>
      <c r="AO542" s="33">
        <f>IF(AE542&lt;=0,0,MAX(0,MIN(AE542,ROUND($AZ542-SUMPRODUCT($V542:$AE542*($V542:$AE542&gt;0)*(($V542:$AE542&lt;AE542)+($V542:$AE542=AE542)*($V$3:$AE$3&gt;AE$3)+($V542:$AE542=AE542)*($V$3:$AE$3=AE$3)*($V$2:$AE$2&lt;AE$2))),2))))</f>
      </c>
      <c r="AP542" s="33">
        <f>ROUND(V542-AF542,2)</f>
      </c>
      <c r="AQ542" s="33">
        <f>ROUND(W542-AG542,2)</f>
      </c>
      <c r="AR542" s="33">
        <f>ROUND(X542-AH542,2)</f>
      </c>
      <c r="AS542" s="33">
        <f>ROUND(Y542-AI542,2)</f>
      </c>
      <c r="AT542" s="33">
        <f>ROUND(Z542-AJ542,2)</f>
      </c>
      <c r="AU542" s="33">
        <f>ROUND(AA542-AK542,2)</f>
      </c>
      <c r="AV542" s="33">
        <f>ROUND(AB542-AL542,2)</f>
      </c>
      <c r="AW542" s="33">
        <f>ROUND(AC542-AM542,2)</f>
      </c>
      <c r="AX542" s="33">
        <f>ROUND(AD542-AN542,2)</f>
      </c>
      <c r="AY542" s="33">
        <f>ROUND(AE542-AO542,2)</f>
      </c>
      <c r="AZ542" s="33">
        <f>ROUND(MAX(0,'Your debts'!$D$22-SUM($L542:$U542)),2)</f>
      </c>
      <c r="BA542" s="33">
        <f>ROUND(SUM($B542:$K542)-SUM($AP541:$AY541),2)</f>
      </c>
      <c r="BB542" s="33">
        <f>SUM($AP542:$AY542)</f>
      </c>
      <c r="BC542" s="33">
        <f>ROUND(SUM($L542:$U542)+SUM($AF542:$AO542),2)</f>
      </c>
    </row>
    <row r="543" spans="1:55" x14ac:dyDescent="0.25">
      <c r="A543">
        <v>536</v>
      </c>
      <c r="B543" s="33">
        <f>IF(AP542&lt;=0,0,ROUND(AP542+ROUND(AP542*V$3/12,2),2))</f>
      </c>
      <c r="C543" s="33">
        <f>IF(AQ542&lt;=0,0,ROUND(AQ542+ROUND(AQ542*W$3/12,2),2))</f>
      </c>
      <c r="D543" s="33">
        <f>IF(AR542&lt;=0,0,ROUND(AR542+ROUND(AR542*X$3/12,2),2))</f>
      </c>
      <c r="E543" s="33">
        <f>IF(AS542&lt;=0,0,ROUND(AS542+ROUND(AS542*Y$3/12,2),2))</f>
      </c>
      <c r="F543" s="33">
        <f>IF(AT542&lt;=0,0,ROUND(AT542+ROUND(AT542*Z$3/12,2),2))</f>
      </c>
      <c r="G543" s="33">
        <f>IF(AU542&lt;=0,0,ROUND(AU542+ROUND(AU542*AA$3/12,2),2))</f>
      </c>
      <c r="H543" s="33">
        <f>IF(AV542&lt;=0,0,ROUND(AV542+ROUND(AV542*AB$3/12,2),2))</f>
      </c>
      <c r="I543" s="33">
        <f>IF(AW542&lt;=0,0,ROUND(AW542+ROUND(AW542*AC$3/12,2),2))</f>
      </c>
      <c r="J543" s="33">
        <f>IF(AX542&lt;=0,0,ROUND(AX542+ROUND(AX542*AD$3/12,2),2))</f>
      </c>
      <c r="K543" s="33">
        <f>IF(AY542&lt;=0,0,ROUND(AY542+ROUND(AY542*AE$3/12,2),2))</f>
      </c>
      <c r="L543" s="33">
        <f>ROUND(MIN(MAX(0,N('Your debts'!$E$6)),B543),2)</f>
      </c>
      <c r="M543" s="33">
        <f>ROUND(MIN(MAX(0,N('Your debts'!$E$7)),C543),2)</f>
      </c>
      <c r="N543" s="33">
        <f>ROUND(MIN(MAX(0,N('Your debts'!$E$8)),D543),2)</f>
      </c>
      <c r="O543" s="33">
        <f>ROUND(MIN(MAX(0,N('Your debts'!$E$9)),E543),2)</f>
      </c>
      <c r="P543" s="33">
        <f>ROUND(MIN(MAX(0,N('Your debts'!$E$10)),F543),2)</f>
      </c>
      <c r="Q543" s="33">
        <f>ROUND(MIN(MAX(0,N('Your debts'!$E$11)),G543),2)</f>
      </c>
      <c r="R543" s="33">
        <f>ROUND(MIN(MAX(0,N('Your debts'!$E$12)),H543),2)</f>
      </c>
      <c r="S543" s="33">
        <f>ROUND(MIN(MAX(0,N('Your debts'!$E$13)),I543),2)</f>
      </c>
      <c r="T543" s="33">
        <f>ROUND(MIN(MAX(0,N('Your debts'!$E$14)),J543),2)</f>
      </c>
      <c r="U543" s="33">
        <f>ROUND(MIN(MAX(0,N('Your debts'!$E$15)),K543),2)</f>
      </c>
      <c r="V543" s="33">
        <f>ROUND(B543-L543,2)</f>
      </c>
      <c r="W543" s="33">
        <f>ROUND(C543-M543,2)</f>
      </c>
      <c r="X543" s="33">
        <f>ROUND(D543-N543,2)</f>
      </c>
      <c r="Y543" s="33">
        <f>ROUND(E543-O543,2)</f>
      </c>
      <c r="Z543" s="33">
        <f>ROUND(F543-P543,2)</f>
      </c>
      <c r="AA543" s="33">
        <f>ROUND(G543-Q543,2)</f>
      </c>
      <c r="AB543" s="33">
        <f>ROUND(H543-R543,2)</f>
      </c>
      <c r="AC543" s="33">
        <f>ROUND(I543-S543,2)</f>
      </c>
      <c r="AD543" s="33">
        <f>ROUND(J543-T543,2)</f>
      </c>
      <c r="AE543" s="33">
        <f>ROUND(K543-U543,2)</f>
      </c>
      <c r="AF543" s="33">
        <f>IF(V543&lt;=0,0,MAX(0,MIN(V543,ROUND($AZ543-SUMPRODUCT($V543:$AE543*($V543:$AE543&gt;0)*(($V543:$AE543&lt;V543)+($V543:$AE543=V543)*($V$3:$AE$3&gt;V$3)+($V543:$AE543=V543)*($V$3:$AE$3=V$3)*($V$2:$AE$2&lt;V$2))),2))))</f>
      </c>
      <c r="AG543" s="33">
        <f>IF(W543&lt;=0,0,MAX(0,MIN(W543,ROUND($AZ543-SUMPRODUCT($V543:$AE543*($V543:$AE543&gt;0)*(($V543:$AE543&lt;W543)+($V543:$AE543=W543)*($V$3:$AE$3&gt;W$3)+($V543:$AE543=W543)*($V$3:$AE$3=W$3)*($V$2:$AE$2&lt;W$2))),2))))</f>
      </c>
      <c r="AH543" s="33">
        <f>IF(X543&lt;=0,0,MAX(0,MIN(X543,ROUND($AZ543-SUMPRODUCT($V543:$AE543*($V543:$AE543&gt;0)*(($V543:$AE543&lt;X543)+($V543:$AE543=X543)*($V$3:$AE$3&gt;X$3)+($V543:$AE543=X543)*($V$3:$AE$3=X$3)*($V$2:$AE$2&lt;X$2))),2))))</f>
      </c>
      <c r="AI543" s="33">
        <f>IF(Y543&lt;=0,0,MAX(0,MIN(Y543,ROUND($AZ543-SUMPRODUCT($V543:$AE543*($V543:$AE543&gt;0)*(($V543:$AE543&lt;Y543)+($V543:$AE543=Y543)*($V$3:$AE$3&gt;Y$3)+($V543:$AE543=Y543)*($V$3:$AE$3=Y$3)*($V$2:$AE$2&lt;Y$2))),2))))</f>
      </c>
      <c r="AJ543" s="33">
        <f>IF(Z543&lt;=0,0,MAX(0,MIN(Z543,ROUND($AZ543-SUMPRODUCT($V543:$AE543*($V543:$AE543&gt;0)*(($V543:$AE543&lt;Z543)+($V543:$AE543=Z543)*($V$3:$AE$3&gt;Z$3)+($V543:$AE543=Z543)*($V$3:$AE$3=Z$3)*($V$2:$AE$2&lt;Z$2))),2))))</f>
      </c>
      <c r="AK543" s="33">
        <f>IF(AA543&lt;=0,0,MAX(0,MIN(AA543,ROUND($AZ543-SUMPRODUCT($V543:$AE543*($V543:$AE543&gt;0)*(($V543:$AE543&lt;AA543)+($V543:$AE543=AA543)*($V$3:$AE$3&gt;AA$3)+($V543:$AE543=AA543)*($V$3:$AE$3=AA$3)*($V$2:$AE$2&lt;AA$2))),2))))</f>
      </c>
      <c r="AL543" s="33">
        <f>IF(AB543&lt;=0,0,MAX(0,MIN(AB543,ROUND($AZ543-SUMPRODUCT($V543:$AE543*($V543:$AE543&gt;0)*(($V543:$AE543&lt;AB543)+($V543:$AE543=AB543)*($V$3:$AE$3&gt;AB$3)+($V543:$AE543=AB543)*($V$3:$AE$3=AB$3)*($V$2:$AE$2&lt;AB$2))),2))))</f>
      </c>
      <c r="AM543" s="33">
        <f>IF(AC543&lt;=0,0,MAX(0,MIN(AC543,ROUND($AZ543-SUMPRODUCT($V543:$AE543*($V543:$AE543&gt;0)*(($V543:$AE543&lt;AC543)+($V543:$AE543=AC543)*($V$3:$AE$3&gt;AC$3)+($V543:$AE543=AC543)*($V$3:$AE$3=AC$3)*($V$2:$AE$2&lt;AC$2))),2))))</f>
      </c>
      <c r="AN543" s="33">
        <f>IF(AD543&lt;=0,0,MAX(0,MIN(AD543,ROUND($AZ543-SUMPRODUCT($V543:$AE543*($V543:$AE543&gt;0)*(($V543:$AE543&lt;AD543)+($V543:$AE543=AD543)*($V$3:$AE$3&gt;AD$3)+($V543:$AE543=AD543)*($V$3:$AE$3=AD$3)*($V$2:$AE$2&lt;AD$2))),2))))</f>
      </c>
      <c r="AO543" s="33">
        <f>IF(AE543&lt;=0,0,MAX(0,MIN(AE543,ROUND($AZ543-SUMPRODUCT($V543:$AE543*($V543:$AE543&gt;0)*(($V543:$AE543&lt;AE543)+($V543:$AE543=AE543)*($V$3:$AE$3&gt;AE$3)+($V543:$AE543=AE543)*($V$3:$AE$3=AE$3)*($V$2:$AE$2&lt;AE$2))),2))))</f>
      </c>
      <c r="AP543" s="33">
        <f>ROUND(V543-AF543,2)</f>
      </c>
      <c r="AQ543" s="33">
        <f>ROUND(W543-AG543,2)</f>
      </c>
      <c r="AR543" s="33">
        <f>ROUND(X543-AH543,2)</f>
      </c>
      <c r="AS543" s="33">
        <f>ROUND(Y543-AI543,2)</f>
      </c>
      <c r="AT543" s="33">
        <f>ROUND(Z543-AJ543,2)</f>
      </c>
      <c r="AU543" s="33">
        <f>ROUND(AA543-AK543,2)</f>
      </c>
      <c r="AV543" s="33">
        <f>ROUND(AB543-AL543,2)</f>
      </c>
      <c r="AW543" s="33">
        <f>ROUND(AC543-AM543,2)</f>
      </c>
      <c r="AX543" s="33">
        <f>ROUND(AD543-AN543,2)</f>
      </c>
      <c r="AY543" s="33">
        <f>ROUND(AE543-AO543,2)</f>
      </c>
      <c r="AZ543" s="33">
        <f>ROUND(MAX(0,'Your debts'!$D$22-SUM($L543:$U543)),2)</f>
      </c>
      <c r="BA543" s="33">
        <f>ROUND(SUM($B543:$K543)-SUM($AP542:$AY542),2)</f>
      </c>
      <c r="BB543" s="33">
        <f>SUM($AP543:$AY543)</f>
      </c>
      <c r="BC543" s="33">
        <f>ROUND(SUM($L543:$U543)+SUM($AF543:$AO543),2)</f>
      </c>
    </row>
    <row r="544" spans="1:55" x14ac:dyDescent="0.25">
      <c r="A544">
        <v>537</v>
      </c>
      <c r="B544" s="33">
        <f>IF(AP543&lt;=0,0,ROUND(AP543+ROUND(AP543*V$3/12,2),2))</f>
      </c>
      <c r="C544" s="33">
        <f>IF(AQ543&lt;=0,0,ROUND(AQ543+ROUND(AQ543*W$3/12,2),2))</f>
      </c>
      <c r="D544" s="33">
        <f>IF(AR543&lt;=0,0,ROUND(AR543+ROUND(AR543*X$3/12,2),2))</f>
      </c>
      <c r="E544" s="33">
        <f>IF(AS543&lt;=0,0,ROUND(AS543+ROUND(AS543*Y$3/12,2),2))</f>
      </c>
      <c r="F544" s="33">
        <f>IF(AT543&lt;=0,0,ROUND(AT543+ROUND(AT543*Z$3/12,2),2))</f>
      </c>
      <c r="G544" s="33">
        <f>IF(AU543&lt;=0,0,ROUND(AU543+ROUND(AU543*AA$3/12,2),2))</f>
      </c>
      <c r="H544" s="33">
        <f>IF(AV543&lt;=0,0,ROUND(AV543+ROUND(AV543*AB$3/12,2),2))</f>
      </c>
      <c r="I544" s="33">
        <f>IF(AW543&lt;=0,0,ROUND(AW543+ROUND(AW543*AC$3/12,2),2))</f>
      </c>
      <c r="J544" s="33">
        <f>IF(AX543&lt;=0,0,ROUND(AX543+ROUND(AX543*AD$3/12,2),2))</f>
      </c>
      <c r="K544" s="33">
        <f>IF(AY543&lt;=0,0,ROUND(AY543+ROUND(AY543*AE$3/12,2),2))</f>
      </c>
      <c r="L544" s="33">
        <f>ROUND(MIN(MAX(0,N('Your debts'!$E$6)),B544),2)</f>
      </c>
      <c r="M544" s="33">
        <f>ROUND(MIN(MAX(0,N('Your debts'!$E$7)),C544),2)</f>
      </c>
      <c r="N544" s="33">
        <f>ROUND(MIN(MAX(0,N('Your debts'!$E$8)),D544),2)</f>
      </c>
      <c r="O544" s="33">
        <f>ROUND(MIN(MAX(0,N('Your debts'!$E$9)),E544),2)</f>
      </c>
      <c r="P544" s="33">
        <f>ROUND(MIN(MAX(0,N('Your debts'!$E$10)),F544),2)</f>
      </c>
      <c r="Q544" s="33">
        <f>ROUND(MIN(MAX(0,N('Your debts'!$E$11)),G544),2)</f>
      </c>
      <c r="R544" s="33">
        <f>ROUND(MIN(MAX(0,N('Your debts'!$E$12)),H544),2)</f>
      </c>
      <c r="S544" s="33">
        <f>ROUND(MIN(MAX(0,N('Your debts'!$E$13)),I544),2)</f>
      </c>
      <c r="T544" s="33">
        <f>ROUND(MIN(MAX(0,N('Your debts'!$E$14)),J544),2)</f>
      </c>
      <c r="U544" s="33">
        <f>ROUND(MIN(MAX(0,N('Your debts'!$E$15)),K544),2)</f>
      </c>
      <c r="V544" s="33">
        <f>ROUND(B544-L544,2)</f>
      </c>
      <c r="W544" s="33">
        <f>ROUND(C544-M544,2)</f>
      </c>
      <c r="X544" s="33">
        <f>ROUND(D544-N544,2)</f>
      </c>
      <c r="Y544" s="33">
        <f>ROUND(E544-O544,2)</f>
      </c>
      <c r="Z544" s="33">
        <f>ROUND(F544-P544,2)</f>
      </c>
      <c r="AA544" s="33">
        <f>ROUND(G544-Q544,2)</f>
      </c>
      <c r="AB544" s="33">
        <f>ROUND(H544-R544,2)</f>
      </c>
      <c r="AC544" s="33">
        <f>ROUND(I544-S544,2)</f>
      </c>
      <c r="AD544" s="33">
        <f>ROUND(J544-T544,2)</f>
      </c>
      <c r="AE544" s="33">
        <f>ROUND(K544-U544,2)</f>
      </c>
      <c r="AF544" s="33">
        <f>IF(V544&lt;=0,0,MAX(0,MIN(V544,ROUND($AZ544-SUMPRODUCT($V544:$AE544*($V544:$AE544&gt;0)*(($V544:$AE544&lt;V544)+($V544:$AE544=V544)*($V$3:$AE$3&gt;V$3)+($V544:$AE544=V544)*($V$3:$AE$3=V$3)*($V$2:$AE$2&lt;V$2))),2))))</f>
      </c>
      <c r="AG544" s="33">
        <f>IF(W544&lt;=0,0,MAX(0,MIN(W544,ROUND($AZ544-SUMPRODUCT($V544:$AE544*($V544:$AE544&gt;0)*(($V544:$AE544&lt;W544)+($V544:$AE544=W544)*($V$3:$AE$3&gt;W$3)+($V544:$AE544=W544)*($V$3:$AE$3=W$3)*($V$2:$AE$2&lt;W$2))),2))))</f>
      </c>
      <c r="AH544" s="33">
        <f>IF(X544&lt;=0,0,MAX(0,MIN(X544,ROUND($AZ544-SUMPRODUCT($V544:$AE544*($V544:$AE544&gt;0)*(($V544:$AE544&lt;X544)+($V544:$AE544=X544)*($V$3:$AE$3&gt;X$3)+($V544:$AE544=X544)*($V$3:$AE$3=X$3)*($V$2:$AE$2&lt;X$2))),2))))</f>
      </c>
      <c r="AI544" s="33">
        <f>IF(Y544&lt;=0,0,MAX(0,MIN(Y544,ROUND($AZ544-SUMPRODUCT($V544:$AE544*($V544:$AE544&gt;0)*(($V544:$AE544&lt;Y544)+($V544:$AE544=Y544)*($V$3:$AE$3&gt;Y$3)+($V544:$AE544=Y544)*($V$3:$AE$3=Y$3)*($V$2:$AE$2&lt;Y$2))),2))))</f>
      </c>
      <c r="AJ544" s="33">
        <f>IF(Z544&lt;=0,0,MAX(0,MIN(Z544,ROUND($AZ544-SUMPRODUCT($V544:$AE544*($V544:$AE544&gt;0)*(($V544:$AE544&lt;Z544)+($V544:$AE544=Z544)*($V$3:$AE$3&gt;Z$3)+($V544:$AE544=Z544)*($V$3:$AE$3=Z$3)*($V$2:$AE$2&lt;Z$2))),2))))</f>
      </c>
      <c r="AK544" s="33">
        <f>IF(AA544&lt;=0,0,MAX(0,MIN(AA544,ROUND($AZ544-SUMPRODUCT($V544:$AE544*($V544:$AE544&gt;0)*(($V544:$AE544&lt;AA544)+($V544:$AE544=AA544)*($V$3:$AE$3&gt;AA$3)+($V544:$AE544=AA544)*($V$3:$AE$3=AA$3)*($V$2:$AE$2&lt;AA$2))),2))))</f>
      </c>
      <c r="AL544" s="33">
        <f>IF(AB544&lt;=0,0,MAX(0,MIN(AB544,ROUND($AZ544-SUMPRODUCT($V544:$AE544*($V544:$AE544&gt;0)*(($V544:$AE544&lt;AB544)+($V544:$AE544=AB544)*($V$3:$AE$3&gt;AB$3)+($V544:$AE544=AB544)*($V$3:$AE$3=AB$3)*($V$2:$AE$2&lt;AB$2))),2))))</f>
      </c>
      <c r="AM544" s="33">
        <f>IF(AC544&lt;=0,0,MAX(0,MIN(AC544,ROUND($AZ544-SUMPRODUCT($V544:$AE544*($V544:$AE544&gt;0)*(($V544:$AE544&lt;AC544)+($V544:$AE544=AC544)*($V$3:$AE$3&gt;AC$3)+($V544:$AE544=AC544)*($V$3:$AE$3=AC$3)*($V$2:$AE$2&lt;AC$2))),2))))</f>
      </c>
      <c r="AN544" s="33">
        <f>IF(AD544&lt;=0,0,MAX(0,MIN(AD544,ROUND($AZ544-SUMPRODUCT($V544:$AE544*($V544:$AE544&gt;0)*(($V544:$AE544&lt;AD544)+($V544:$AE544=AD544)*($V$3:$AE$3&gt;AD$3)+($V544:$AE544=AD544)*($V$3:$AE$3=AD$3)*($V$2:$AE$2&lt;AD$2))),2))))</f>
      </c>
      <c r="AO544" s="33">
        <f>IF(AE544&lt;=0,0,MAX(0,MIN(AE544,ROUND($AZ544-SUMPRODUCT($V544:$AE544*($V544:$AE544&gt;0)*(($V544:$AE544&lt;AE544)+($V544:$AE544=AE544)*($V$3:$AE$3&gt;AE$3)+($V544:$AE544=AE544)*($V$3:$AE$3=AE$3)*($V$2:$AE$2&lt;AE$2))),2))))</f>
      </c>
      <c r="AP544" s="33">
        <f>ROUND(V544-AF544,2)</f>
      </c>
      <c r="AQ544" s="33">
        <f>ROUND(W544-AG544,2)</f>
      </c>
      <c r="AR544" s="33">
        <f>ROUND(X544-AH544,2)</f>
      </c>
      <c r="AS544" s="33">
        <f>ROUND(Y544-AI544,2)</f>
      </c>
      <c r="AT544" s="33">
        <f>ROUND(Z544-AJ544,2)</f>
      </c>
      <c r="AU544" s="33">
        <f>ROUND(AA544-AK544,2)</f>
      </c>
      <c r="AV544" s="33">
        <f>ROUND(AB544-AL544,2)</f>
      </c>
      <c r="AW544" s="33">
        <f>ROUND(AC544-AM544,2)</f>
      </c>
      <c r="AX544" s="33">
        <f>ROUND(AD544-AN544,2)</f>
      </c>
      <c r="AY544" s="33">
        <f>ROUND(AE544-AO544,2)</f>
      </c>
      <c r="AZ544" s="33">
        <f>ROUND(MAX(0,'Your debts'!$D$22-SUM($L544:$U544)),2)</f>
      </c>
      <c r="BA544" s="33">
        <f>ROUND(SUM($B544:$K544)-SUM($AP543:$AY543),2)</f>
      </c>
      <c r="BB544" s="33">
        <f>SUM($AP544:$AY544)</f>
      </c>
      <c r="BC544" s="33">
        <f>ROUND(SUM($L544:$U544)+SUM($AF544:$AO544),2)</f>
      </c>
    </row>
    <row r="545" spans="1:55" x14ac:dyDescent="0.25">
      <c r="A545">
        <v>538</v>
      </c>
      <c r="B545" s="33">
        <f>IF(AP544&lt;=0,0,ROUND(AP544+ROUND(AP544*V$3/12,2),2))</f>
      </c>
      <c r="C545" s="33">
        <f>IF(AQ544&lt;=0,0,ROUND(AQ544+ROUND(AQ544*W$3/12,2),2))</f>
      </c>
      <c r="D545" s="33">
        <f>IF(AR544&lt;=0,0,ROUND(AR544+ROUND(AR544*X$3/12,2),2))</f>
      </c>
      <c r="E545" s="33">
        <f>IF(AS544&lt;=0,0,ROUND(AS544+ROUND(AS544*Y$3/12,2),2))</f>
      </c>
      <c r="F545" s="33">
        <f>IF(AT544&lt;=0,0,ROUND(AT544+ROUND(AT544*Z$3/12,2),2))</f>
      </c>
      <c r="G545" s="33">
        <f>IF(AU544&lt;=0,0,ROUND(AU544+ROUND(AU544*AA$3/12,2),2))</f>
      </c>
      <c r="H545" s="33">
        <f>IF(AV544&lt;=0,0,ROUND(AV544+ROUND(AV544*AB$3/12,2),2))</f>
      </c>
      <c r="I545" s="33">
        <f>IF(AW544&lt;=0,0,ROUND(AW544+ROUND(AW544*AC$3/12,2),2))</f>
      </c>
      <c r="J545" s="33">
        <f>IF(AX544&lt;=0,0,ROUND(AX544+ROUND(AX544*AD$3/12,2),2))</f>
      </c>
      <c r="K545" s="33">
        <f>IF(AY544&lt;=0,0,ROUND(AY544+ROUND(AY544*AE$3/12,2),2))</f>
      </c>
      <c r="L545" s="33">
        <f>ROUND(MIN(MAX(0,N('Your debts'!$E$6)),B545),2)</f>
      </c>
      <c r="M545" s="33">
        <f>ROUND(MIN(MAX(0,N('Your debts'!$E$7)),C545),2)</f>
      </c>
      <c r="N545" s="33">
        <f>ROUND(MIN(MAX(0,N('Your debts'!$E$8)),D545),2)</f>
      </c>
      <c r="O545" s="33">
        <f>ROUND(MIN(MAX(0,N('Your debts'!$E$9)),E545),2)</f>
      </c>
      <c r="P545" s="33">
        <f>ROUND(MIN(MAX(0,N('Your debts'!$E$10)),F545),2)</f>
      </c>
      <c r="Q545" s="33">
        <f>ROUND(MIN(MAX(0,N('Your debts'!$E$11)),G545),2)</f>
      </c>
      <c r="R545" s="33">
        <f>ROUND(MIN(MAX(0,N('Your debts'!$E$12)),H545),2)</f>
      </c>
      <c r="S545" s="33">
        <f>ROUND(MIN(MAX(0,N('Your debts'!$E$13)),I545),2)</f>
      </c>
      <c r="T545" s="33">
        <f>ROUND(MIN(MAX(0,N('Your debts'!$E$14)),J545),2)</f>
      </c>
      <c r="U545" s="33">
        <f>ROUND(MIN(MAX(0,N('Your debts'!$E$15)),K545),2)</f>
      </c>
      <c r="V545" s="33">
        <f>ROUND(B545-L545,2)</f>
      </c>
      <c r="W545" s="33">
        <f>ROUND(C545-M545,2)</f>
      </c>
      <c r="X545" s="33">
        <f>ROUND(D545-N545,2)</f>
      </c>
      <c r="Y545" s="33">
        <f>ROUND(E545-O545,2)</f>
      </c>
      <c r="Z545" s="33">
        <f>ROUND(F545-P545,2)</f>
      </c>
      <c r="AA545" s="33">
        <f>ROUND(G545-Q545,2)</f>
      </c>
      <c r="AB545" s="33">
        <f>ROUND(H545-R545,2)</f>
      </c>
      <c r="AC545" s="33">
        <f>ROUND(I545-S545,2)</f>
      </c>
      <c r="AD545" s="33">
        <f>ROUND(J545-T545,2)</f>
      </c>
      <c r="AE545" s="33">
        <f>ROUND(K545-U545,2)</f>
      </c>
      <c r="AF545" s="33">
        <f>IF(V545&lt;=0,0,MAX(0,MIN(V545,ROUND($AZ545-SUMPRODUCT($V545:$AE545*($V545:$AE545&gt;0)*(($V545:$AE545&lt;V545)+($V545:$AE545=V545)*($V$3:$AE$3&gt;V$3)+($V545:$AE545=V545)*($V$3:$AE$3=V$3)*($V$2:$AE$2&lt;V$2))),2))))</f>
      </c>
      <c r="AG545" s="33">
        <f>IF(W545&lt;=0,0,MAX(0,MIN(W545,ROUND($AZ545-SUMPRODUCT($V545:$AE545*($V545:$AE545&gt;0)*(($V545:$AE545&lt;W545)+($V545:$AE545=W545)*($V$3:$AE$3&gt;W$3)+($V545:$AE545=W545)*($V$3:$AE$3=W$3)*($V$2:$AE$2&lt;W$2))),2))))</f>
      </c>
      <c r="AH545" s="33">
        <f>IF(X545&lt;=0,0,MAX(0,MIN(X545,ROUND($AZ545-SUMPRODUCT($V545:$AE545*($V545:$AE545&gt;0)*(($V545:$AE545&lt;X545)+($V545:$AE545=X545)*($V$3:$AE$3&gt;X$3)+($V545:$AE545=X545)*($V$3:$AE$3=X$3)*($V$2:$AE$2&lt;X$2))),2))))</f>
      </c>
      <c r="AI545" s="33">
        <f>IF(Y545&lt;=0,0,MAX(0,MIN(Y545,ROUND($AZ545-SUMPRODUCT($V545:$AE545*($V545:$AE545&gt;0)*(($V545:$AE545&lt;Y545)+($V545:$AE545=Y545)*($V$3:$AE$3&gt;Y$3)+($V545:$AE545=Y545)*($V$3:$AE$3=Y$3)*($V$2:$AE$2&lt;Y$2))),2))))</f>
      </c>
      <c r="AJ545" s="33">
        <f>IF(Z545&lt;=0,0,MAX(0,MIN(Z545,ROUND($AZ545-SUMPRODUCT($V545:$AE545*($V545:$AE545&gt;0)*(($V545:$AE545&lt;Z545)+($V545:$AE545=Z545)*($V$3:$AE$3&gt;Z$3)+($V545:$AE545=Z545)*($V$3:$AE$3=Z$3)*($V$2:$AE$2&lt;Z$2))),2))))</f>
      </c>
      <c r="AK545" s="33">
        <f>IF(AA545&lt;=0,0,MAX(0,MIN(AA545,ROUND($AZ545-SUMPRODUCT($V545:$AE545*($V545:$AE545&gt;0)*(($V545:$AE545&lt;AA545)+($V545:$AE545=AA545)*($V$3:$AE$3&gt;AA$3)+($V545:$AE545=AA545)*($V$3:$AE$3=AA$3)*($V$2:$AE$2&lt;AA$2))),2))))</f>
      </c>
      <c r="AL545" s="33">
        <f>IF(AB545&lt;=0,0,MAX(0,MIN(AB545,ROUND($AZ545-SUMPRODUCT($V545:$AE545*($V545:$AE545&gt;0)*(($V545:$AE545&lt;AB545)+($V545:$AE545=AB545)*($V$3:$AE$3&gt;AB$3)+($V545:$AE545=AB545)*($V$3:$AE$3=AB$3)*($V$2:$AE$2&lt;AB$2))),2))))</f>
      </c>
      <c r="AM545" s="33">
        <f>IF(AC545&lt;=0,0,MAX(0,MIN(AC545,ROUND($AZ545-SUMPRODUCT($V545:$AE545*($V545:$AE545&gt;0)*(($V545:$AE545&lt;AC545)+($V545:$AE545=AC545)*($V$3:$AE$3&gt;AC$3)+($V545:$AE545=AC545)*($V$3:$AE$3=AC$3)*($V$2:$AE$2&lt;AC$2))),2))))</f>
      </c>
      <c r="AN545" s="33">
        <f>IF(AD545&lt;=0,0,MAX(0,MIN(AD545,ROUND($AZ545-SUMPRODUCT($V545:$AE545*($V545:$AE545&gt;0)*(($V545:$AE545&lt;AD545)+($V545:$AE545=AD545)*($V$3:$AE$3&gt;AD$3)+($V545:$AE545=AD545)*($V$3:$AE$3=AD$3)*($V$2:$AE$2&lt;AD$2))),2))))</f>
      </c>
      <c r="AO545" s="33">
        <f>IF(AE545&lt;=0,0,MAX(0,MIN(AE545,ROUND($AZ545-SUMPRODUCT($V545:$AE545*($V545:$AE545&gt;0)*(($V545:$AE545&lt;AE545)+($V545:$AE545=AE545)*($V$3:$AE$3&gt;AE$3)+($V545:$AE545=AE545)*($V$3:$AE$3=AE$3)*($V$2:$AE$2&lt;AE$2))),2))))</f>
      </c>
      <c r="AP545" s="33">
        <f>ROUND(V545-AF545,2)</f>
      </c>
      <c r="AQ545" s="33">
        <f>ROUND(W545-AG545,2)</f>
      </c>
      <c r="AR545" s="33">
        <f>ROUND(X545-AH545,2)</f>
      </c>
      <c r="AS545" s="33">
        <f>ROUND(Y545-AI545,2)</f>
      </c>
      <c r="AT545" s="33">
        <f>ROUND(Z545-AJ545,2)</f>
      </c>
      <c r="AU545" s="33">
        <f>ROUND(AA545-AK545,2)</f>
      </c>
      <c r="AV545" s="33">
        <f>ROUND(AB545-AL545,2)</f>
      </c>
      <c r="AW545" s="33">
        <f>ROUND(AC545-AM545,2)</f>
      </c>
      <c r="AX545" s="33">
        <f>ROUND(AD545-AN545,2)</f>
      </c>
      <c r="AY545" s="33">
        <f>ROUND(AE545-AO545,2)</f>
      </c>
      <c r="AZ545" s="33">
        <f>ROUND(MAX(0,'Your debts'!$D$22-SUM($L545:$U545)),2)</f>
      </c>
      <c r="BA545" s="33">
        <f>ROUND(SUM($B545:$K545)-SUM($AP544:$AY544),2)</f>
      </c>
      <c r="BB545" s="33">
        <f>SUM($AP545:$AY545)</f>
      </c>
      <c r="BC545" s="33">
        <f>ROUND(SUM($L545:$U545)+SUM($AF545:$AO545),2)</f>
      </c>
    </row>
    <row r="546" spans="1:55" x14ac:dyDescent="0.25">
      <c r="A546">
        <v>539</v>
      </c>
      <c r="B546" s="33">
        <f>IF(AP545&lt;=0,0,ROUND(AP545+ROUND(AP545*V$3/12,2),2))</f>
      </c>
      <c r="C546" s="33">
        <f>IF(AQ545&lt;=0,0,ROUND(AQ545+ROUND(AQ545*W$3/12,2),2))</f>
      </c>
      <c r="D546" s="33">
        <f>IF(AR545&lt;=0,0,ROUND(AR545+ROUND(AR545*X$3/12,2),2))</f>
      </c>
      <c r="E546" s="33">
        <f>IF(AS545&lt;=0,0,ROUND(AS545+ROUND(AS545*Y$3/12,2),2))</f>
      </c>
      <c r="F546" s="33">
        <f>IF(AT545&lt;=0,0,ROUND(AT545+ROUND(AT545*Z$3/12,2),2))</f>
      </c>
      <c r="G546" s="33">
        <f>IF(AU545&lt;=0,0,ROUND(AU545+ROUND(AU545*AA$3/12,2),2))</f>
      </c>
      <c r="H546" s="33">
        <f>IF(AV545&lt;=0,0,ROUND(AV545+ROUND(AV545*AB$3/12,2),2))</f>
      </c>
      <c r="I546" s="33">
        <f>IF(AW545&lt;=0,0,ROUND(AW545+ROUND(AW545*AC$3/12,2),2))</f>
      </c>
      <c r="J546" s="33">
        <f>IF(AX545&lt;=0,0,ROUND(AX545+ROUND(AX545*AD$3/12,2),2))</f>
      </c>
      <c r="K546" s="33">
        <f>IF(AY545&lt;=0,0,ROUND(AY545+ROUND(AY545*AE$3/12,2),2))</f>
      </c>
      <c r="L546" s="33">
        <f>ROUND(MIN(MAX(0,N('Your debts'!$E$6)),B546),2)</f>
      </c>
      <c r="M546" s="33">
        <f>ROUND(MIN(MAX(0,N('Your debts'!$E$7)),C546),2)</f>
      </c>
      <c r="N546" s="33">
        <f>ROUND(MIN(MAX(0,N('Your debts'!$E$8)),D546),2)</f>
      </c>
      <c r="O546" s="33">
        <f>ROUND(MIN(MAX(0,N('Your debts'!$E$9)),E546),2)</f>
      </c>
      <c r="P546" s="33">
        <f>ROUND(MIN(MAX(0,N('Your debts'!$E$10)),F546),2)</f>
      </c>
      <c r="Q546" s="33">
        <f>ROUND(MIN(MAX(0,N('Your debts'!$E$11)),G546),2)</f>
      </c>
      <c r="R546" s="33">
        <f>ROUND(MIN(MAX(0,N('Your debts'!$E$12)),H546),2)</f>
      </c>
      <c r="S546" s="33">
        <f>ROUND(MIN(MAX(0,N('Your debts'!$E$13)),I546),2)</f>
      </c>
      <c r="T546" s="33">
        <f>ROUND(MIN(MAX(0,N('Your debts'!$E$14)),J546),2)</f>
      </c>
      <c r="U546" s="33">
        <f>ROUND(MIN(MAX(0,N('Your debts'!$E$15)),K546),2)</f>
      </c>
      <c r="V546" s="33">
        <f>ROUND(B546-L546,2)</f>
      </c>
      <c r="W546" s="33">
        <f>ROUND(C546-M546,2)</f>
      </c>
      <c r="X546" s="33">
        <f>ROUND(D546-N546,2)</f>
      </c>
      <c r="Y546" s="33">
        <f>ROUND(E546-O546,2)</f>
      </c>
      <c r="Z546" s="33">
        <f>ROUND(F546-P546,2)</f>
      </c>
      <c r="AA546" s="33">
        <f>ROUND(G546-Q546,2)</f>
      </c>
      <c r="AB546" s="33">
        <f>ROUND(H546-R546,2)</f>
      </c>
      <c r="AC546" s="33">
        <f>ROUND(I546-S546,2)</f>
      </c>
      <c r="AD546" s="33">
        <f>ROUND(J546-T546,2)</f>
      </c>
      <c r="AE546" s="33">
        <f>ROUND(K546-U546,2)</f>
      </c>
      <c r="AF546" s="33">
        <f>IF(V546&lt;=0,0,MAX(0,MIN(V546,ROUND($AZ546-SUMPRODUCT($V546:$AE546*($V546:$AE546&gt;0)*(($V546:$AE546&lt;V546)+($V546:$AE546=V546)*($V$3:$AE$3&gt;V$3)+($V546:$AE546=V546)*($V$3:$AE$3=V$3)*($V$2:$AE$2&lt;V$2))),2))))</f>
      </c>
      <c r="AG546" s="33">
        <f>IF(W546&lt;=0,0,MAX(0,MIN(W546,ROUND($AZ546-SUMPRODUCT($V546:$AE546*($V546:$AE546&gt;0)*(($V546:$AE546&lt;W546)+($V546:$AE546=W546)*($V$3:$AE$3&gt;W$3)+($V546:$AE546=W546)*($V$3:$AE$3=W$3)*($V$2:$AE$2&lt;W$2))),2))))</f>
      </c>
      <c r="AH546" s="33">
        <f>IF(X546&lt;=0,0,MAX(0,MIN(X546,ROUND($AZ546-SUMPRODUCT($V546:$AE546*($V546:$AE546&gt;0)*(($V546:$AE546&lt;X546)+($V546:$AE546=X546)*($V$3:$AE$3&gt;X$3)+($V546:$AE546=X546)*($V$3:$AE$3=X$3)*($V$2:$AE$2&lt;X$2))),2))))</f>
      </c>
      <c r="AI546" s="33">
        <f>IF(Y546&lt;=0,0,MAX(0,MIN(Y546,ROUND($AZ546-SUMPRODUCT($V546:$AE546*($V546:$AE546&gt;0)*(($V546:$AE546&lt;Y546)+($V546:$AE546=Y546)*($V$3:$AE$3&gt;Y$3)+($V546:$AE546=Y546)*($V$3:$AE$3=Y$3)*($V$2:$AE$2&lt;Y$2))),2))))</f>
      </c>
      <c r="AJ546" s="33">
        <f>IF(Z546&lt;=0,0,MAX(0,MIN(Z546,ROUND($AZ546-SUMPRODUCT($V546:$AE546*($V546:$AE546&gt;0)*(($V546:$AE546&lt;Z546)+($V546:$AE546=Z546)*($V$3:$AE$3&gt;Z$3)+($V546:$AE546=Z546)*($V$3:$AE$3=Z$3)*($V$2:$AE$2&lt;Z$2))),2))))</f>
      </c>
      <c r="AK546" s="33">
        <f>IF(AA546&lt;=0,0,MAX(0,MIN(AA546,ROUND($AZ546-SUMPRODUCT($V546:$AE546*($V546:$AE546&gt;0)*(($V546:$AE546&lt;AA546)+($V546:$AE546=AA546)*($V$3:$AE$3&gt;AA$3)+($V546:$AE546=AA546)*($V$3:$AE$3=AA$3)*($V$2:$AE$2&lt;AA$2))),2))))</f>
      </c>
      <c r="AL546" s="33">
        <f>IF(AB546&lt;=0,0,MAX(0,MIN(AB546,ROUND($AZ546-SUMPRODUCT($V546:$AE546*($V546:$AE546&gt;0)*(($V546:$AE546&lt;AB546)+($V546:$AE546=AB546)*($V$3:$AE$3&gt;AB$3)+($V546:$AE546=AB546)*($V$3:$AE$3=AB$3)*($V$2:$AE$2&lt;AB$2))),2))))</f>
      </c>
      <c r="AM546" s="33">
        <f>IF(AC546&lt;=0,0,MAX(0,MIN(AC546,ROUND($AZ546-SUMPRODUCT($V546:$AE546*($V546:$AE546&gt;0)*(($V546:$AE546&lt;AC546)+($V546:$AE546=AC546)*($V$3:$AE$3&gt;AC$3)+($V546:$AE546=AC546)*($V$3:$AE$3=AC$3)*($V$2:$AE$2&lt;AC$2))),2))))</f>
      </c>
      <c r="AN546" s="33">
        <f>IF(AD546&lt;=0,0,MAX(0,MIN(AD546,ROUND($AZ546-SUMPRODUCT($V546:$AE546*($V546:$AE546&gt;0)*(($V546:$AE546&lt;AD546)+($V546:$AE546=AD546)*($V$3:$AE$3&gt;AD$3)+($V546:$AE546=AD546)*($V$3:$AE$3=AD$3)*($V$2:$AE$2&lt;AD$2))),2))))</f>
      </c>
      <c r="AO546" s="33">
        <f>IF(AE546&lt;=0,0,MAX(0,MIN(AE546,ROUND($AZ546-SUMPRODUCT($V546:$AE546*($V546:$AE546&gt;0)*(($V546:$AE546&lt;AE546)+($V546:$AE546=AE546)*($V$3:$AE$3&gt;AE$3)+($V546:$AE546=AE546)*($V$3:$AE$3=AE$3)*($V$2:$AE$2&lt;AE$2))),2))))</f>
      </c>
      <c r="AP546" s="33">
        <f>ROUND(V546-AF546,2)</f>
      </c>
      <c r="AQ546" s="33">
        <f>ROUND(W546-AG546,2)</f>
      </c>
      <c r="AR546" s="33">
        <f>ROUND(X546-AH546,2)</f>
      </c>
      <c r="AS546" s="33">
        <f>ROUND(Y546-AI546,2)</f>
      </c>
      <c r="AT546" s="33">
        <f>ROUND(Z546-AJ546,2)</f>
      </c>
      <c r="AU546" s="33">
        <f>ROUND(AA546-AK546,2)</f>
      </c>
      <c r="AV546" s="33">
        <f>ROUND(AB546-AL546,2)</f>
      </c>
      <c r="AW546" s="33">
        <f>ROUND(AC546-AM546,2)</f>
      </c>
      <c r="AX546" s="33">
        <f>ROUND(AD546-AN546,2)</f>
      </c>
      <c r="AY546" s="33">
        <f>ROUND(AE546-AO546,2)</f>
      </c>
      <c r="AZ546" s="33">
        <f>ROUND(MAX(0,'Your debts'!$D$22-SUM($L546:$U546)),2)</f>
      </c>
      <c r="BA546" s="33">
        <f>ROUND(SUM($B546:$K546)-SUM($AP545:$AY545),2)</f>
      </c>
      <c r="BB546" s="33">
        <f>SUM($AP546:$AY546)</f>
      </c>
      <c r="BC546" s="33">
        <f>ROUND(SUM($L546:$U546)+SUM($AF546:$AO546),2)</f>
      </c>
    </row>
    <row r="547" spans="1:55" x14ac:dyDescent="0.25">
      <c r="A547">
        <v>540</v>
      </c>
      <c r="B547" s="33">
        <f>IF(AP546&lt;=0,0,ROUND(AP546+ROUND(AP546*V$3/12,2),2))</f>
      </c>
      <c r="C547" s="33">
        <f>IF(AQ546&lt;=0,0,ROUND(AQ546+ROUND(AQ546*W$3/12,2),2))</f>
      </c>
      <c r="D547" s="33">
        <f>IF(AR546&lt;=0,0,ROUND(AR546+ROUND(AR546*X$3/12,2),2))</f>
      </c>
      <c r="E547" s="33">
        <f>IF(AS546&lt;=0,0,ROUND(AS546+ROUND(AS546*Y$3/12,2),2))</f>
      </c>
      <c r="F547" s="33">
        <f>IF(AT546&lt;=0,0,ROUND(AT546+ROUND(AT546*Z$3/12,2),2))</f>
      </c>
      <c r="G547" s="33">
        <f>IF(AU546&lt;=0,0,ROUND(AU546+ROUND(AU546*AA$3/12,2),2))</f>
      </c>
      <c r="H547" s="33">
        <f>IF(AV546&lt;=0,0,ROUND(AV546+ROUND(AV546*AB$3/12,2),2))</f>
      </c>
      <c r="I547" s="33">
        <f>IF(AW546&lt;=0,0,ROUND(AW546+ROUND(AW546*AC$3/12,2),2))</f>
      </c>
      <c r="J547" s="33">
        <f>IF(AX546&lt;=0,0,ROUND(AX546+ROUND(AX546*AD$3/12,2),2))</f>
      </c>
      <c r="K547" s="33">
        <f>IF(AY546&lt;=0,0,ROUND(AY546+ROUND(AY546*AE$3/12,2),2))</f>
      </c>
      <c r="L547" s="33">
        <f>ROUND(MIN(MAX(0,N('Your debts'!$E$6)),B547),2)</f>
      </c>
      <c r="M547" s="33">
        <f>ROUND(MIN(MAX(0,N('Your debts'!$E$7)),C547),2)</f>
      </c>
      <c r="N547" s="33">
        <f>ROUND(MIN(MAX(0,N('Your debts'!$E$8)),D547),2)</f>
      </c>
      <c r="O547" s="33">
        <f>ROUND(MIN(MAX(0,N('Your debts'!$E$9)),E547),2)</f>
      </c>
      <c r="P547" s="33">
        <f>ROUND(MIN(MAX(0,N('Your debts'!$E$10)),F547),2)</f>
      </c>
      <c r="Q547" s="33">
        <f>ROUND(MIN(MAX(0,N('Your debts'!$E$11)),G547),2)</f>
      </c>
      <c r="R547" s="33">
        <f>ROUND(MIN(MAX(0,N('Your debts'!$E$12)),H547),2)</f>
      </c>
      <c r="S547" s="33">
        <f>ROUND(MIN(MAX(0,N('Your debts'!$E$13)),I547),2)</f>
      </c>
      <c r="T547" s="33">
        <f>ROUND(MIN(MAX(0,N('Your debts'!$E$14)),J547),2)</f>
      </c>
      <c r="U547" s="33">
        <f>ROUND(MIN(MAX(0,N('Your debts'!$E$15)),K547),2)</f>
      </c>
      <c r="V547" s="33">
        <f>ROUND(B547-L547,2)</f>
      </c>
      <c r="W547" s="33">
        <f>ROUND(C547-M547,2)</f>
      </c>
      <c r="X547" s="33">
        <f>ROUND(D547-N547,2)</f>
      </c>
      <c r="Y547" s="33">
        <f>ROUND(E547-O547,2)</f>
      </c>
      <c r="Z547" s="33">
        <f>ROUND(F547-P547,2)</f>
      </c>
      <c r="AA547" s="33">
        <f>ROUND(G547-Q547,2)</f>
      </c>
      <c r="AB547" s="33">
        <f>ROUND(H547-R547,2)</f>
      </c>
      <c r="AC547" s="33">
        <f>ROUND(I547-S547,2)</f>
      </c>
      <c r="AD547" s="33">
        <f>ROUND(J547-T547,2)</f>
      </c>
      <c r="AE547" s="33">
        <f>ROUND(K547-U547,2)</f>
      </c>
      <c r="AF547" s="33">
        <f>IF(V547&lt;=0,0,MAX(0,MIN(V547,ROUND($AZ547-SUMPRODUCT($V547:$AE547*($V547:$AE547&gt;0)*(($V547:$AE547&lt;V547)+($V547:$AE547=V547)*($V$3:$AE$3&gt;V$3)+($V547:$AE547=V547)*($V$3:$AE$3=V$3)*($V$2:$AE$2&lt;V$2))),2))))</f>
      </c>
      <c r="AG547" s="33">
        <f>IF(W547&lt;=0,0,MAX(0,MIN(W547,ROUND($AZ547-SUMPRODUCT($V547:$AE547*($V547:$AE547&gt;0)*(($V547:$AE547&lt;W547)+($V547:$AE547=W547)*($V$3:$AE$3&gt;W$3)+($V547:$AE547=W547)*($V$3:$AE$3=W$3)*($V$2:$AE$2&lt;W$2))),2))))</f>
      </c>
      <c r="AH547" s="33">
        <f>IF(X547&lt;=0,0,MAX(0,MIN(X547,ROUND($AZ547-SUMPRODUCT($V547:$AE547*($V547:$AE547&gt;0)*(($V547:$AE547&lt;X547)+($V547:$AE547=X547)*($V$3:$AE$3&gt;X$3)+($V547:$AE547=X547)*($V$3:$AE$3=X$3)*($V$2:$AE$2&lt;X$2))),2))))</f>
      </c>
      <c r="AI547" s="33">
        <f>IF(Y547&lt;=0,0,MAX(0,MIN(Y547,ROUND($AZ547-SUMPRODUCT($V547:$AE547*($V547:$AE547&gt;0)*(($V547:$AE547&lt;Y547)+($V547:$AE547=Y547)*($V$3:$AE$3&gt;Y$3)+($V547:$AE547=Y547)*($V$3:$AE$3=Y$3)*($V$2:$AE$2&lt;Y$2))),2))))</f>
      </c>
      <c r="AJ547" s="33">
        <f>IF(Z547&lt;=0,0,MAX(0,MIN(Z547,ROUND($AZ547-SUMPRODUCT($V547:$AE547*($V547:$AE547&gt;0)*(($V547:$AE547&lt;Z547)+($V547:$AE547=Z547)*($V$3:$AE$3&gt;Z$3)+($V547:$AE547=Z547)*($V$3:$AE$3=Z$3)*($V$2:$AE$2&lt;Z$2))),2))))</f>
      </c>
      <c r="AK547" s="33">
        <f>IF(AA547&lt;=0,0,MAX(0,MIN(AA547,ROUND($AZ547-SUMPRODUCT($V547:$AE547*($V547:$AE547&gt;0)*(($V547:$AE547&lt;AA547)+($V547:$AE547=AA547)*($V$3:$AE$3&gt;AA$3)+($V547:$AE547=AA547)*($V$3:$AE$3=AA$3)*($V$2:$AE$2&lt;AA$2))),2))))</f>
      </c>
      <c r="AL547" s="33">
        <f>IF(AB547&lt;=0,0,MAX(0,MIN(AB547,ROUND($AZ547-SUMPRODUCT($V547:$AE547*($V547:$AE547&gt;0)*(($V547:$AE547&lt;AB547)+($V547:$AE547=AB547)*($V$3:$AE$3&gt;AB$3)+($V547:$AE547=AB547)*($V$3:$AE$3=AB$3)*($V$2:$AE$2&lt;AB$2))),2))))</f>
      </c>
      <c r="AM547" s="33">
        <f>IF(AC547&lt;=0,0,MAX(0,MIN(AC547,ROUND($AZ547-SUMPRODUCT($V547:$AE547*($V547:$AE547&gt;0)*(($V547:$AE547&lt;AC547)+($V547:$AE547=AC547)*($V$3:$AE$3&gt;AC$3)+($V547:$AE547=AC547)*($V$3:$AE$3=AC$3)*($V$2:$AE$2&lt;AC$2))),2))))</f>
      </c>
      <c r="AN547" s="33">
        <f>IF(AD547&lt;=0,0,MAX(0,MIN(AD547,ROUND($AZ547-SUMPRODUCT($V547:$AE547*($V547:$AE547&gt;0)*(($V547:$AE547&lt;AD547)+($V547:$AE547=AD547)*($V$3:$AE$3&gt;AD$3)+($V547:$AE547=AD547)*($V$3:$AE$3=AD$3)*($V$2:$AE$2&lt;AD$2))),2))))</f>
      </c>
      <c r="AO547" s="33">
        <f>IF(AE547&lt;=0,0,MAX(0,MIN(AE547,ROUND($AZ547-SUMPRODUCT($V547:$AE547*($V547:$AE547&gt;0)*(($V547:$AE547&lt;AE547)+($V547:$AE547=AE547)*($V$3:$AE$3&gt;AE$3)+($V547:$AE547=AE547)*($V$3:$AE$3=AE$3)*($V$2:$AE$2&lt;AE$2))),2))))</f>
      </c>
      <c r="AP547" s="33">
        <f>ROUND(V547-AF547,2)</f>
      </c>
      <c r="AQ547" s="33">
        <f>ROUND(W547-AG547,2)</f>
      </c>
      <c r="AR547" s="33">
        <f>ROUND(X547-AH547,2)</f>
      </c>
      <c r="AS547" s="33">
        <f>ROUND(Y547-AI547,2)</f>
      </c>
      <c r="AT547" s="33">
        <f>ROUND(Z547-AJ547,2)</f>
      </c>
      <c r="AU547" s="33">
        <f>ROUND(AA547-AK547,2)</f>
      </c>
      <c r="AV547" s="33">
        <f>ROUND(AB547-AL547,2)</f>
      </c>
      <c r="AW547" s="33">
        <f>ROUND(AC547-AM547,2)</f>
      </c>
      <c r="AX547" s="33">
        <f>ROUND(AD547-AN547,2)</f>
      </c>
      <c r="AY547" s="33">
        <f>ROUND(AE547-AO547,2)</f>
      </c>
      <c r="AZ547" s="33">
        <f>ROUND(MAX(0,'Your debts'!$D$22-SUM($L547:$U547)),2)</f>
      </c>
      <c r="BA547" s="33">
        <f>ROUND(SUM($B547:$K547)-SUM($AP546:$AY546),2)</f>
      </c>
      <c r="BB547" s="33">
        <f>SUM($AP547:$AY547)</f>
      </c>
      <c r="BC547" s="33">
        <f>ROUND(SUM($L547:$U547)+SUM($AF547:$AO547),2)</f>
      </c>
    </row>
    <row r="548" spans="1:55" x14ac:dyDescent="0.25">
      <c r="A548">
        <v>541</v>
      </c>
      <c r="B548" s="33">
        <f>IF(AP547&lt;=0,0,ROUND(AP547+ROUND(AP547*V$3/12,2),2))</f>
      </c>
      <c r="C548" s="33">
        <f>IF(AQ547&lt;=0,0,ROUND(AQ547+ROUND(AQ547*W$3/12,2),2))</f>
      </c>
      <c r="D548" s="33">
        <f>IF(AR547&lt;=0,0,ROUND(AR547+ROUND(AR547*X$3/12,2),2))</f>
      </c>
      <c r="E548" s="33">
        <f>IF(AS547&lt;=0,0,ROUND(AS547+ROUND(AS547*Y$3/12,2),2))</f>
      </c>
      <c r="F548" s="33">
        <f>IF(AT547&lt;=0,0,ROUND(AT547+ROUND(AT547*Z$3/12,2),2))</f>
      </c>
      <c r="G548" s="33">
        <f>IF(AU547&lt;=0,0,ROUND(AU547+ROUND(AU547*AA$3/12,2),2))</f>
      </c>
      <c r="H548" s="33">
        <f>IF(AV547&lt;=0,0,ROUND(AV547+ROUND(AV547*AB$3/12,2),2))</f>
      </c>
      <c r="I548" s="33">
        <f>IF(AW547&lt;=0,0,ROUND(AW547+ROUND(AW547*AC$3/12,2),2))</f>
      </c>
      <c r="J548" s="33">
        <f>IF(AX547&lt;=0,0,ROUND(AX547+ROUND(AX547*AD$3/12,2),2))</f>
      </c>
      <c r="K548" s="33">
        <f>IF(AY547&lt;=0,0,ROUND(AY547+ROUND(AY547*AE$3/12,2),2))</f>
      </c>
      <c r="L548" s="33">
        <f>ROUND(MIN(MAX(0,N('Your debts'!$E$6)),B548),2)</f>
      </c>
      <c r="M548" s="33">
        <f>ROUND(MIN(MAX(0,N('Your debts'!$E$7)),C548),2)</f>
      </c>
      <c r="N548" s="33">
        <f>ROUND(MIN(MAX(0,N('Your debts'!$E$8)),D548),2)</f>
      </c>
      <c r="O548" s="33">
        <f>ROUND(MIN(MAX(0,N('Your debts'!$E$9)),E548),2)</f>
      </c>
      <c r="P548" s="33">
        <f>ROUND(MIN(MAX(0,N('Your debts'!$E$10)),F548),2)</f>
      </c>
      <c r="Q548" s="33">
        <f>ROUND(MIN(MAX(0,N('Your debts'!$E$11)),G548),2)</f>
      </c>
      <c r="R548" s="33">
        <f>ROUND(MIN(MAX(0,N('Your debts'!$E$12)),H548),2)</f>
      </c>
      <c r="S548" s="33">
        <f>ROUND(MIN(MAX(0,N('Your debts'!$E$13)),I548),2)</f>
      </c>
      <c r="T548" s="33">
        <f>ROUND(MIN(MAX(0,N('Your debts'!$E$14)),J548),2)</f>
      </c>
      <c r="U548" s="33">
        <f>ROUND(MIN(MAX(0,N('Your debts'!$E$15)),K548),2)</f>
      </c>
      <c r="V548" s="33">
        <f>ROUND(B548-L548,2)</f>
      </c>
      <c r="W548" s="33">
        <f>ROUND(C548-M548,2)</f>
      </c>
      <c r="X548" s="33">
        <f>ROUND(D548-N548,2)</f>
      </c>
      <c r="Y548" s="33">
        <f>ROUND(E548-O548,2)</f>
      </c>
      <c r="Z548" s="33">
        <f>ROUND(F548-P548,2)</f>
      </c>
      <c r="AA548" s="33">
        <f>ROUND(G548-Q548,2)</f>
      </c>
      <c r="AB548" s="33">
        <f>ROUND(H548-R548,2)</f>
      </c>
      <c r="AC548" s="33">
        <f>ROUND(I548-S548,2)</f>
      </c>
      <c r="AD548" s="33">
        <f>ROUND(J548-T548,2)</f>
      </c>
      <c r="AE548" s="33">
        <f>ROUND(K548-U548,2)</f>
      </c>
      <c r="AF548" s="33">
        <f>IF(V548&lt;=0,0,MAX(0,MIN(V548,ROUND($AZ548-SUMPRODUCT($V548:$AE548*($V548:$AE548&gt;0)*(($V548:$AE548&lt;V548)+($V548:$AE548=V548)*($V$3:$AE$3&gt;V$3)+($V548:$AE548=V548)*($V$3:$AE$3=V$3)*($V$2:$AE$2&lt;V$2))),2))))</f>
      </c>
      <c r="AG548" s="33">
        <f>IF(W548&lt;=0,0,MAX(0,MIN(W548,ROUND($AZ548-SUMPRODUCT($V548:$AE548*($V548:$AE548&gt;0)*(($V548:$AE548&lt;W548)+($V548:$AE548=W548)*($V$3:$AE$3&gt;W$3)+($V548:$AE548=W548)*($V$3:$AE$3=W$3)*($V$2:$AE$2&lt;W$2))),2))))</f>
      </c>
      <c r="AH548" s="33">
        <f>IF(X548&lt;=0,0,MAX(0,MIN(X548,ROUND($AZ548-SUMPRODUCT($V548:$AE548*($V548:$AE548&gt;0)*(($V548:$AE548&lt;X548)+($V548:$AE548=X548)*($V$3:$AE$3&gt;X$3)+($V548:$AE548=X548)*($V$3:$AE$3=X$3)*($V$2:$AE$2&lt;X$2))),2))))</f>
      </c>
      <c r="AI548" s="33">
        <f>IF(Y548&lt;=0,0,MAX(0,MIN(Y548,ROUND($AZ548-SUMPRODUCT($V548:$AE548*($V548:$AE548&gt;0)*(($V548:$AE548&lt;Y548)+($V548:$AE548=Y548)*($V$3:$AE$3&gt;Y$3)+($V548:$AE548=Y548)*($V$3:$AE$3=Y$3)*($V$2:$AE$2&lt;Y$2))),2))))</f>
      </c>
      <c r="AJ548" s="33">
        <f>IF(Z548&lt;=0,0,MAX(0,MIN(Z548,ROUND($AZ548-SUMPRODUCT($V548:$AE548*($V548:$AE548&gt;0)*(($V548:$AE548&lt;Z548)+($V548:$AE548=Z548)*($V$3:$AE$3&gt;Z$3)+($V548:$AE548=Z548)*($V$3:$AE$3=Z$3)*($V$2:$AE$2&lt;Z$2))),2))))</f>
      </c>
      <c r="AK548" s="33">
        <f>IF(AA548&lt;=0,0,MAX(0,MIN(AA548,ROUND($AZ548-SUMPRODUCT($V548:$AE548*($V548:$AE548&gt;0)*(($V548:$AE548&lt;AA548)+($V548:$AE548=AA548)*($V$3:$AE$3&gt;AA$3)+($V548:$AE548=AA548)*($V$3:$AE$3=AA$3)*($V$2:$AE$2&lt;AA$2))),2))))</f>
      </c>
      <c r="AL548" s="33">
        <f>IF(AB548&lt;=0,0,MAX(0,MIN(AB548,ROUND($AZ548-SUMPRODUCT($V548:$AE548*($V548:$AE548&gt;0)*(($V548:$AE548&lt;AB548)+($V548:$AE548=AB548)*($V$3:$AE$3&gt;AB$3)+($V548:$AE548=AB548)*($V$3:$AE$3=AB$3)*($V$2:$AE$2&lt;AB$2))),2))))</f>
      </c>
      <c r="AM548" s="33">
        <f>IF(AC548&lt;=0,0,MAX(0,MIN(AC548,ROUND($AZ548-SUMPRODUCT($V548:$AE548*($V548:$AE548&gt;0)*(($V548:$AE548&lt;AC548)+($V548:$AE548=AC548)*($V$3:$AE$3&gt;AC$3)+($V548:$AE548=AC548)*($V$3:$AE$3=AC$3)*($V$2:$AE$2&lt;AC$2))),2))))</f>
      </c>
      <c r="AN548" s="33">
        <f>IF(AD548&lt;=0,0,MAX(0,MIN(AD548,ROUND($AZ548-SUMPRODUCT($V548:$AE548*($V548:$AE548&gt;0)*(($V548:$AE548&lt;AD548)+($V548:$AE548=AD548)*($V$3:$AE$3&gt;AD$3)+($V548:$AE548=AD548)*($V$3:$AE$3=AD$3)*($V$2:$AE$2&lt;AD$2))),2))))</f>
      </c>
      <c r="AO548" s="33">
        <f>IF(AE548&lt;=0,0,MAX(0,MIN(AE548,ROUND($AZ548-SUMPRODUCT($V548:$AE548*($V548:$AE548&gt;0)*(($V548:$AE548&lt;AE548)+($V548:$AE548=AE548)*($V$3:$AE$3&gt;AE$3)+($V548:$AE548=AE548)*($V$3:$AE$3=AE$3)*($V$2:$AE$2&lt;AE$2))),2))))</f>
      </c>
      <c r="AP548" s="33">
        <f>ROUND(V548-AF548,2)</f>
      </c>
      <c r="AQ548" s="33">
        <f>ROUND(W548-AG548,2)</f>
      </c>
      <c r="AR548" s="33">
        <f>ROUND(X548-AH548,2)</f>
      </c>
      <c r="AS548" s="33">
        <f>ROUND(Y548-AI548,2)</f>
      </c>
      <c r="AT548" s="33">
        <f>ROUND(Z548-AJ548,2)</f>
      </c>
      <c r="AU548" s="33">
        <f>ROUND(AA548-AK548,2)</f>
      </c>
      <c r="AV548" s="33">
        <f>ROUND(AB548-AL548,2)</f>
      </c>
      <c r="AW548" s="33">
        <f>ROUND(AC548-AM548,2)</f>
      </c>
      <c r="AX548" s="33">
        <f>ROUND(AD548-AN548,2)</f>
      </c>
      <c r="AY548" s="33">
        <f>ROUND(AE548-AO548,2)</f>
      </c>
      <c r="AZ548" s="33">
        <f>ROUND(MAX(0,'Your debts'!$D$22-SUM($L548:$U548)),2)</f>
      </c>
      <c r="BA548" s="33">
        <f>ROUND(SUM($B548:$K548)-SUM($AP547:$AY547),2)</f>
      </c>
      <c r="BB548" s="33">
        <f>SUM($AP548:$AY548)</f>
      </c>
      <c r="BC548" s="33">
        <f>ROUND(SUM($L548:$U548)+SUM($AF548:$AO548),2)</f>
      </c>
    </row>
    <row r="549" spans="1:55" x14ac:dyDescent="0.25">
      <c r="A549">
        <v>542</v>
      </c>
      <c r="B549" s="33">
        <f>IF(AP548&lt;=0,0,ROUND(AP548+ROUND(AP548*V$3/12,2),2))</f>
      </c>
      <c r="C549" s="33">
        <f>IF(AQ548&lt;=0,0,ROUND(AQ548+ROUND(AQ548*W$3/12,2),2))</f>
      </c>
      <c r="D549" s="33">
        <f>IF(AR548&lt;=0,0,ROUND(AR548+ROUND(AR548*X$3/12,2),2))</f>
      </c>
      <c r="E549" s="33">
        <f>IF(AS548&lt;=0,0,ROUND(AS548+ROUND(AS548*Y$3/12,2),2))</f>
      </c>
      <c r="F549" s="33">
        <f>IF(AT548&lt;=0,0,ROUND(AT548+ROUND(AT548*Z$3/12,2),2))</f>
      </c>
      <c r="G549" s="33">
        <f>IF(AU548&lt;=0,0,ROUND(AU548+ROUND(AU548*AA$3/12,2),2))</f>
      </c>
      <c r="H549" s="33">
        <f>IF(AV548&lt;=0,0,ROUND(AV548+ROUND(AV548*AB$3/12,2),2))</f>
      </c>
      <c r="I549" s="33">
        <f>IF(AW548&lt;=0,0,ROUND(AW548+ROUND(AW548*AC$3/12,2),2))</f>
      </c>
      <c r="J549" s="33">
        <f>IF(AX548&lt;=0,0,ROUND(AX548+ROUND(AX548*AD$3/12,2),2))</f>
      </c>
      <c r="K549" s="33">
        <f>IF(AY548&lt;=0,0,ROUND(AY548+ROUND(AY548*AE$3/12,2),2))</f>
      </c>
      <c r="L549" s="33">
        <f>ROUND(MIN(MAX(0,N('Your debts'!$E$6)),B549),2)</f>
      </c>
      <c r="M549" s="33">
        <f>ROUND(MIN(MAX(0,N('Your debts'!$E$7)),C549),2)</f>
      </c>
      <c r="N549" s="33">
        <f>ROUND(MIN(MAX(0,N('Your debts'!$E$8)),D549),2)</f>
      </c>
      <c r="O549" s="33">
        <f>ROUND(MIN(MAX(0,N('Your debts'!$E$9)),E549),2)</f>
      </c>
      <c r="P549" s="33">
        <f>ROUND(MIN(MAX(0,N('Your debts'!$E$10)),F549),2)</f>
      </c>
      <c r="Q549" s="33">
        <f>ROUND(MIN(MAX(0,N('Your debts'!$E$11)),G549),2)</f>
      </c>
      <c r="R549" s="33">
        <f>ROUND(MIN(MAX(0,N('Your debts'!$E$12)),H549),2)</f>
      </c>
      <c r="S549" s="33">
        <f>ROUND(MIN(MAX(0,N('Your debts'!$E$13)),I549),2)</f>
      </c>
      <c r="T549" s="33">
        <f>ROUND(MIN(MAX(0,N('Your debts'!$E$14)),J549),2)</f>
      </c>
      <c r="U549" s="33">
        <f>ROUND(MIN(MAX(0,N('Your debts'!$E$15)),K549),2)</f>
      </c>
      <c r="V549" s="33">
        <f>ROUND(B549-L549,2)</f>
      </c>
      <c r="W549" s="33">
        <f>ROUND(C549-M549,2)</f>
      </c>
      <c r="X549" s="33">
        <f>ROUND(D549-N549,2)</f>
      </c>
      <c r="Y549" s="33">
        <f>ROUND(E549-O549,2)</f>
      </c>
      <c r="Z549" s="33">
        <f>ROUND(F549-P549,2)</f>
      </c>
      <c r="AA549" s="33">
        <f>ROUND(G549-Q549,2)</f>
      </c>
      <c r="AB549" s="33">
        <f>ROUND(H549-R549,2)</f>
      </c>
      <c r="AC549" s="33">
        <f>ROUND(I549-S549,2)</f>
      </c>
      <c r="AD549" s="33">
        <f>ROUND(J549-T549,2)</f>
      </c>
      <c r="AE549" s="33">
        <f>ROUND(K549-U549,2)</f>
      </c>
      <c r="AF549" s="33">
        <f>IF(V549&lt;=0,0,MAX(0,MIN(V549,ROUND($AZ549-SUMPRODUCT($V549:$AE549*($V549:$AE549&gt;0)*(($V549:$AE549&lt;V549)+($V549:$AE549=V549)*($V$3:$AE$3&gt;V$3)+($V549:$AE549=V549)*($V$3:$AE$3=V$3)*($V$2:$AE$2&lt;V$2))),2))))</f>
      </c>
      <c r="AG549" s="33">
        <f>IF(W549&lt;=0,0,MAX(0,MIN(W549,ROUND($AZ549-SUMPRODUCT($V549:$AE549*($V549:$AE549&gt;0)*(($V549:$AE549&lt;W549)+($V549:$AE549=W549)*($V$3:$AE$3&gt;W$3)+($V549:$AE549=W549)*($V$3:$AE$3=W$3)*($V$2:$AE$2&lt;W$2))),2))))</f>
      </c>
      <c r="AH549" s="33">
        <f>IF(X549&lt;=0,0,MAX(0,MIN(X549,ROUND($AZ549-SUMPRODUCT($V549:$AE549*($V549:$AE549&gt;0)*(($V549:$AE549&lt;X549)+($V549:$AE549=X549)*($V$3:$AE$3&gt;X$3)+($V549:$AE549=X549)*($V$3:$AE$3=X$3)*($V$2:$AE$2&lt;X$2))),2))))</f>
      </c>
      <c r="AI549" s="33">
        <f>IF(Y549&lt;=0,0,MAX(0,MIN(Y549,ROUND($AZ549-SUMPRODUCT($V549:$AE549*($V549:$AE549&gt;0)*(($V549:$AE549&lt;Y549)+($V549:$AE549=Y549)*($V$3:$AE$3&gt;Y$3)+($V549:$AE549=Y549)*($V$3:$AE$3=Y$3)*($V$2:$AE$2&lt;Y$2))),2))))</f>
      </c>
      <c r="AJ549" s="33">
        <f>IF(Z549&lt;=0,0,MAX(0,MIN(Z549,ROUND($AZ549-SUMPRODUCT($V549:$AE549*($V549:$AE549&gt;0)*(($V549:$AE549&lt;Z549)+($V549:$AE549=Z549)*($V$3:$AE$3&gt;Z$3)+($V549:$AE549=Z549)*($V$3:$AE$3=Z$3)*($V$2:$AE$2&lt;Z$2))),2))))</f>
      </c>
      <c r="AK549" s="33">
        <f>IF(AA549&lt;=0,0,MAX(0,MIN(AA549,ROUND($AZ549-SUMPRODUCT($V549:$AE549*($V549:$AE549&gt;0)*(($V549:$AE549&lt;AA549)+($V549:$AE549=AA549)*($V$3:$AE$3&gt;AA$3)+($V549:$AE549=AA549)*($V$3:$AE$3=AA$3)*($V$2:$AE$2&lt;AA$2))),2))))</f>
      </c>
      <c r="AL549" s="33">
        <f>IF(AB549&lt;=0,0,MAX(0,MIN(AB549,ROUND($AZ549-SUMPRODUCT($V549:$AE549*($V549:$AE549&gt;0)*(($V549:$AE549&lt;AB549)+($V549:$AE549=AB549)*($V$3:$AE$3&gt;AB$3)+($V549:$AE549=AB549)*($V$3:$AE$3=AB$3)*($V$2:$AE$2&lt;AB$2))),2))))</f>
      </c>
      <c r="AM549" s="33">
        <f>IF(AC549&lt;=0,0,MAX(0,MIN(AC549,ROUND($AZ549-SUMPRODUCT($V549:$AE549*($V549:$AE549&gt;0)*(($V549:$AE549&lt;AC549)+($V549:$AE549=AC549)*($V$3:$AE$3&gt;AC$3)+($V549:$AE549=AC549)*($V$3:$AE$3=AC$3)*($V$2:$AE$2&lt;AC$2))),2))))</f>
      </c>
      <c r="AN549" s="33">
        <f>IF(AD549&lt;=0,0,MAX(0,MIN(AD549,ROUND($AZ549-SUMPRODUCT($V549:$AE549*($V549:$AE549&gt;0)*(($V549:$AE549&lt;AD549)+($V549:$AE549=AD549)*($V$3:$AE$3&gt;AD$3)+($V549:$AE549=AD549)*($V$3:$AE$3=AD$3)*($V$2:$AE$2&lt;AD$2))),2))))</f>
      </c>
      <c r="AO549" s="33">
        <f>IF(AE549&lt;=0,0,MAX(0,MIN(AE549,ROUND($AZ549-SUMPRODUCT($V549:$AE549*($V549:$AE549&gt;0)*(($V549:$AE549&lt;AE549)+($V549:$AE549=AE549)*($V$3:$AE$3&gt;AE$3)+($V549:$AE549=AE549)*($V$3:$AE$3=AE$3)*($V$2:$AE$2&lt;AE$2))),2))))</f>
      </c>
      <c r="AP549" s="33">
        <f>ROUND(V549-AF549,2)</f>
      </c>
      <c r="AQ549" s="33">
        <f>ROUND(W549-AG549,2)</f>
      </c>
      <c r="AR549" s="33">
        <f>ROUND(X549-AH549,2)</f>
      </c>
      <c r="AS549" s="33">
        <f>ROUND(Y549-AI549,2)</f>
      </c>
      <c r="AT549" s="33">
        <f>ROUND(Z549-AJ549,2)</f>
      </c>
      <c r="AU549" s="33">
        <f>ROUND(AA549-AK549,2)</f>
      </c>
      <c r="AV549" s="33">
        <f>ROUND(AB549-AL549,2)</f>
      </c>
      <c r="AW549" s="33">
        <f>ROUND(AC549-AM549,2)</f>
      </c>
      <c r="AX549" s="33">
        <f>ROUND(AD549-AN549,2)</f>
      </c>
      <c r="AY549" s="33">
        <f>ROUND(AE549-AO549,2)</f>
      </c>
      <c r="AZ549" s="33">
        <f>ROUND(MAX(0,'Your debts'!$D$22-SUM($L549:$U549)),2)</f>
      </c>
      <c r="BA549" s="33">
        <f>ROUND(SUM($B549:$K549)-SUM($AP548:$AY548),2)</f>
      </c>
      <c r="BB549" s="33">
        <f>SUM($AP549:$AY549)</f>
      </c>
      <c r="BC549" s="33">
        <f>ROUND(SUM($L549:$U549)+SUM($AF549:$AO549),2)</f>
      </c>
    </row>
    <row r="550" spans="1:55" x14ac:dyDescent="0.25">
      <c r="A550">
        <v>543</v>
      </c>
      <c r="B550" s="33">
        <f>IF(AP549&lt;=0,0,ROUND(AP549+ROUND(AP549*V$3/12,2),2))</f>
      </c>
      <c r="C550" s="33">
        <f>IF(AQ549&lt;=0,0,ROUND(AQ549+ROUND(AQ549*W$3/12,2),2))</f>
      </c>
      <c r="D550" s="33">
        <f>IF(AR549&lt;=0,0,ROUND(AR549+ROUND(AR549*X$3/12,2),2))</f>
      </c>
      <c r="E550" s="33">
        <f>IF(AS549&lt;=0,0,ROUND(AS549+ROUND(AS549*Y$3/12,2),2))</f>
      </c>
      <c r="F550" s="33">
        <f>IF(AT549&lt;=0,0,ROUND(AT549+ROUND(AT549*Z$3/12,2),2))</f>
      </c>
      <c r="G550" s="33">
        <f>IF(AU549&lt;=0,0,ROUND(AU549+ROUND(AU549*AA$3/12,2),2))</f>
      </c>
      <c r="H550" s="33">
        <f>IF(AV549&lt;=0,0,ROUND(AV549+ROUND(AV549*AB$3/12,2),2))</f>
      </c>
      <c r="I550" s="33">
        <f>IF(AW549&lt;=0,0,ROUND(AW549+ROUND(AW549*AC$3/12,2),2))</f>
      </c>
      <c r="J550" s="33">
        <f>IF(AX549&lt;=0,0,ROUND(AX549+ROUND(AX549*AD$3/12,2),2))</f>
      </c>
      <c r="K550" s="33">
        <f>IF(AY549&lt;=0,0,ROUND(AY549+ROUND(AY549*AE$3/12,2),2))</f>
      </c>
      <c r="L550" s="33">
        <f>ROUND(MIN(MAX(0,N('Your debts'!$E$6)),B550),2)</f>
      </c>
      <c r="M550" s="33">
        <f>ROUND(MIN(MAX(0,N('Your debts'!$E$7)),C550),2)</f>
      </c>
      <c r="N550" s="33">
        <f>ROUND(MIN(MAX(0,N('Your debts'!$E$8)),D550),2)</f>
      </c>
      <c r="O550" s="33">
        <f>ROUND(MIN(MAX(0,N('Your debts'!$E$9)),E550),2)</f>
      </c>
      <c r="P550" s="33">
        <f>ROUND(MIN(MAX(0,N('Your debts'!$E$10)),F550),2)</f>
      </c>
      <c r="Q550" s="33">
        <f>ROUND(MIN(MAX(0,N('Your debts'!$E$11)),G550),2)</f>
      </c>
      <c r="R550" s="33">
        <f>ROUND(MIN(MAX(0,N('Your debts'!$E$12)),H550),2)</f>
      </c>
      <c r="S550" s="33">
        <f>ROUND(MIN(MAX(0,N('Your debts'!$E$13)),I550),2)</f>
      </c>
      <c r="T550" s="33">
        <f>ROUND(MIN(MAX(0,N('Your debts'!$E$14)),J550),2)</f>
      </c>
      <c r="U550" s="33">
        <f>ROUND(MIN(MAX(0,N('Your debts'!$E$15)),K550),2)</f>
      </c>
      <c r="V550" s="33">
        <f>ROUND(B550-L550,2)</f>
      </c>
      <c r="W550" s="33">
        <f>ROUND(C550-M550,2)</f>
      </c>
      <c r="X550" s="33">
        <f>ROUND(D550-N550,2)</f>
      </c>
      <c r="Y550" s="33">
        <f>ROUND(E550-O550,2)</f>
      </c>
      <c r="Z550" s="33">
        <f>ROUND(F550-P550,2)</f>
      </c>
      <c r="AA550" s="33">
        <f>ROUND(G550-Q550,2)</f>
      </c>
      <c r="AB550" s="33">
        <f>ROUND(H550-R550,2)</f>
      </c>
      <c r="AC550" s="33">
        <f>ROUND(I550-S550,2)</f>
      </c>
      <c r="AD550" s="33">
        <f>ROUND(J550-T550,2)</f>
      </c>
      <c r="AE550" s="33">
        <f>ROUND(K550-U550,2)</f>
      </c>
      <c r="AF550" s="33">
        <f>IF(V550&lt;=0,0,MAX(0,MIN(V550,ROUND($AZ550-SUMPRODUCT($V550:$AE550*($V550:$AE550&gt;0)*(($V550:$AE550&lt;V550)+($V550:$AE550=V550)*($V$3:$AE$3&gt;V$3)+($V550:$AE550=V550)*($V$3:$AE$3=V$3)*($V$2:$AE$2&lt;V$2))),2))))</f>
      </c>
      <c r="AG550" s="33">
        <f>IF(W550&lt;=0,0,MAX(0,MIN(W550,ROUND($AZ550-SUMPRODUCT($V550:$AE550*($V550:$AE550&gt;0)*(($V550:$AE550&lt;W550)+($V550:$AE550=W550)*($V$3:$AE$3&gt;W$3)+($V550:$AE550=W550)*($V$3:$AE$3=W$3)*($V$2:$AE$2&lt;W$2))),2))))</f>
      </c>
      <c r="AH550" s="33">
        <f>IF(X550&lt;=0,0,MAX(0,MIN(X550,ROUND($AZ550-SUMPRODUCT($V550:$AE550*($V550:$AE550&gt;0)*(($V550:$AE550&lt;X550)+($V550:$AE550=X550)*($V$3:$AE$3&gt;X$3)+($V550:$AE550=X550)*($V$3:$AE$3=X$3)*($V$2:$AE$2&lt;X$2))),2))))</f>
      </c>
      <c r="AI550" s="33">
        <f>IF(Y550&lt;=0,0,MAX(0,MIN(Y550,ROUND($AZ550-SUMPRODUCT($V550:$AE550*($V550:$AE550&gt;0)*(($V550:$AE550&lt;Y550)+($V550:$AE550=Y550)*($V$3:$AE$3&gt;Y$3)+($V550:$AE550=Y550)*($V$3:$AE$3=Y$3)*($V$2:$AE$2&lt;Y$2))),2))))</f>
      </c>
      <c r="AJ550" s="33">
        <f>IF(Z550&lt;=0,0,MAX(0,MIN(Z550,ROUND($AZ550-SUMPRODUCT($V550:$AE550*($V550:$AE550&gt;0)*(($V550:$AE550&lt;Z550)+($V550:$AE550=Z550)*($V$3:$AE$3&gt;Z$3)+($V550:$AE550=Z550)*($V$3:$AE$3=Z$3)*($V$2:$AE$2&lt;Z$2))),2))))</f>
      </c>
      <c r="AK550" s="33">
        <f>IF(AA550&lt;=0,0,MAX(0,MIN(AA550,ROUND($AZ550-SUMPRODUCT($V550:$AE550*($V550:$AE550&gt;0)*(($V550:$AE550&lt;AA550)+($V550:$AE550=AA550)*($V$3:$AE$3&gt;AA$3)+($V550:$AE550=AA550)*($V$3:$AE$3=AA$3)*($V$2:$AE$2&lt;AA$2))),2))))</f>
      </c>
      <c r="AL550" s="33">
        <f>IF(AB550&lt;=0,0,MAX(0,MIN(AB550,ROUND($AZ550-SUMPRODUCT($V550:$AE550*($V550:$AE550&gt;0)*(($V550:$AE550&lt;AB550)+($V550:$AE550=AB550)*($V$3:$AE$3&gt;AB$3)+($V550:$AE550=AB550)*($V$3:$AE$3=AB$3)*($V$2:$AE$2&lt;AB$2))),2))))</f>
      </c>
      <c r="AM550" s="33">
        <f>IF(AC550&lt;=0,0,MAX(0,MIN(AC550,ROUND($AZ550-SUMPRODUCT($V550:$AE550*($V550:$AE550&gt;0)*(($V550:$AE550&lt;AC550)+($V550:$AE550=AC550)*($V$3:$AE$3&gt;AC$3)+($V550:$AE550=AC550)*($V$3:$AE$3=AC$3)*($V$2:$AE$2&lt;AC$2))),2))))</f>
      </c>
      <c r="AN550" s="33">
        <f>IF(AD550&lt;=0,0,MAX(0,MIN(AD550,ROUND($AZ550-SUMPRODUCT($V550:$AE550*($V550:$AE550&gt;0)*(($V550:$AE550&lt;AD550)+($V550:$AE550=AD550)*($V$3:$AE$3&gt;AD$3)+($V550:$AE550=AD550)*($V$3:$AE$3=AD$3)*($V$2:$AE$2&lt;AD$2))),2))))</f>
      </c>
      <c r="AO550" s="33">
        <f>IF(AE550&lt;=0,0,MAX(0,MIN(AE550,ROUND($AZ550-SUMPRODUCT($V550:$AE550*($V550:$AE550&gt;0)*(($V550:$AE550&lt;AE550)+($V550:$AE550=AE550)*($V$3:$AE$3&gt;AE$3)+($V550:$AE550=AE550)*($V$3:$AE$3=AE$3)*($V$2:$AE$2&lt;AE$2))),2))))</f>
      </c>
      <c r="AP550" s="33">
        <f>ROUND(V550-AF550,2)</f>
      </c>
      <c r="AQ550" s="33">
        <f>ROUND(W550-AG550,2)</f>
      </c>
      <c r="AR550" s="33">
        <f>ROUND(X550-AH550,2)</f>
      </c>
      <c r="AS550" s="33">
        <f>ROUND(Y550-AI550,2)</f>
      </c>
      <c r="AT550" s="33">
        <f>ROUND(Z550-AJ550,2)</f>
      </c>
      <c r="AU550" s="33">
        <f>ROUND(AA550-AK550,2)</f>
      </c>
      <c r="AV550" s="33">
        <f>ROUND(AB550-AL550,2)</f>
      </c>
      <c r="AW550" s="33">
        <f>ROUND(AC550-AM550,2)</f>
      </c>
      <c r="AX550" s="33">
        <f>ROUND(AD550-AN550,2)</f>
      </c>
      <c r="AY550" s="33">
        <f>ROUND(AE550-AO550,2)</f>
      </c>
      <c r="AZ550" s="33">
        <f>ROUND(MAX(0,'Your debts'!$D$22-SUM($L550:$U550)),2)</f>
      </c>
      <c r="BA550" s="33">
        <f>ROUND(SUM($B550:$K550)-SUM($AP549:$AY549),2)</f>
      </c>
      <c r="BB550" s="33">
        <f>SUM($AP550:$AY550)</f>
      </c>
      <c r="BC550" s="33">
        <f>ROUND(SUM($L550:$U550)+SUM($AF550:$AO550),2)</f>
      </c>
    </row>
    <row r="551" spans="1:55" x14ac:dyDescent="0.25">
      <c r="A551">
        <v>544</v>
      </c>
      <c r="B551" s="33">
        <f>IF(AP550&lt;=0,0,ROUND(AP550+ROUND(AP550*V$3/12,2),2))</f>
      </c>
      <c r="C551" s="33">
        <f>IF(AQ550&lt;=0,0,ROUND(AQ550+ROUND(AQ550*W$3/12,2),2))</f>
      </c>
      <c r="D551" s="33">
        <f>IF(AR550&lt;=0,0,ROUND(AR550+ROUND(AR550*X$3/12,2),2))</f>
      </c>
      <c r="E551" s="33">
        <f>IF(AS550&lt;=0,0,ROUND(AS550+ROUND(AS550*Y$3/12,2),2))</f>
      </c>
      <c r="F551" s="33">
        <f>IF(AT550&lt;=0,0,ROUND(AT550+ROUND(AT550*Z$3/12,2),2))</f>
      </c>
      <c r="G551" s="33">
        <f>IF(AU550&lt;=0,0,ROUND(AU550+ROUND(AU550*AA$3/12,2),2))</f>
      </c>
      <c r="H551" s="33">
        <f>IF(AV550&lt;=0,0,ROUND(AV550+ROUND(AV550*AB$3/12,2),2))</f>
      </c>
      <c r="I551" s="33">
        <f>IF(AW550&lt;=0,0,ROUND(AW550+ROUND(AW550*AC$3/12,2),2))</f>
      </c>
      <c r="J551" s="33">
        <f>IF(AX550&lt;=0,0,ROUND(AX550+ROUND(AX550*AD$3/12,2),2))</f>
      </c>
      <c r="K551" s="33">
        <f>IF(AY550&lt;=0,0,ROUND(AY550+ROUND(AY550*AE$3/12,2),2))</f>
      </c>
      <c r="L551" s="33">
        <f>ROUND(MIN(MAX(0,N('Your debts'!$E$6)),B551),2)</f>
      </c>
      <c r="M551" s="33">
        <f>ROUND(MIN(MAX(0,N('Your debts'!$E$7)),C551),2)</f>
      </c>
      <c r="N551" s="33">
        <f>ROUND(MIN(MAX(0,N('Your debts'!$E$8)),D551),2)</f>
      </c>
      <c r="O551" s="33">
        <f>ROUND(MIN(MAX(0,N('Your debts'!$E$9)),E551),2)</f>
      </c>
      <c r="P551" s="33">
        <f>ROUND(MIN(MAX(0,N('Your debts'!$E$10)),F551),2)</f>
      </c>
      <c r="Q551" s="33">
        <f>ROUND(MIN(MAX(0,N('Your debts'!$E$11)),G551),2)</f>
      </c>
      <c r="R551" s="33">
        <f>ROUND(MIN(MAX(0,N('Your debts'!$E$12)),H551),2)</f>
      </c>
      <c r="S551" s="33">
        <f>ROUND(MIN(MAX(0,N('Your debts'!$E$13)),I551),2)</f>
      </c>
      <c r="T551" s="33">
        <f>ROUND(MIN(MAX(0,N('Your debts'!$E$14)),J551),2)</f>
      </c>
      <c r="U551" s="33">
        <f>ROUND(MIN(MAX(0,N('Your debts'!$E$15)),K551),2)</f>
      </c>
      <c r="V551" s="33">
        <f>ROUND(B551-L551,2)</f>
      </c>
      <c r="W551" s="33">
        <f>ROUND(C551-M551,2)</f>
      </c>
      <c r="X551" s="33">
        <f>ROUND(D551-N551,2)</f>
      </c>
      <c r="Y551" s="33">
        <f>ROUND(E551-O551,2)</f>
      </c>
      <c r="Z551" s="33">
        <f>ROUND(F551-P551,2)</f>
      </c>
      <c r="AA551" s="33">
        <f>ROUND(G551-Q551,2)</f>
      </c>
      <c r="AB551" s="33">
        <f>ROUND(H551-R551,2)</f>
      </c>
      <c r="AC551" s="33">
        <f>ROUND(I551-S551,2)</f>
      </c>
      <c r="AD551" s="33">
        <f>ROUND(J551-T551,2)</f>
      </c>
      <c r="AE551" s="33">
        <f>ROUND(K551-U551,2)</f>
      </c>
      <c r="AF551" s="33">
        <f>IF(V551&lt;=0,0,MAX(0,MIN(V551,ROUND($AZ551-SUMPRODUCT($V551:$AE551*($V551:$AE551&gt;0)*(($V551:$AE551&lt;V551)+($V551:$AE551=V551)*($V$3:$AE$3&gt;V$3)+($V551:$AE551=V551)*($V$3:$AE$3=V$3)*($V$2:$AE$2&lt;V$2))),2))))</f>
      </c>
      <c r="AG551" s="33">
        <f>IF(W551&lt;=0,0,MAX(0,MIN(W551,ROUND($AZ551-SUMPRODUCT($V551:$AE551*($V551:$AE551&gt;0)*(($V551:$AE551&lt;W551)+($V551:$AE551=W551)*($V$3:$AE$3&gt;W$3)+($V551:$AE551=W551)*($V$3:$AE$3=W$3)*($V$2:$AE$2&lt;W$2))),2))))</f>
      </c>
      <c r="AH551" s="33">
        <f>IF(X551&lt;=0,0,MAX(0,MIN(X551,ROUND($AZ551-SUMPRODUCT($V551:$AE551*($V551:$AE551&gt;0)*(($V551:$AE551&lt;X551)+($V551:$AE551=X551)*($V$3:$AE$3&gt;X$3)+($V551:$AE551=X551)*($V$3:$AE$3=X$3)*($V$2:$AE$2&lt;X$2))),2))))</f>
      </c>
      <c r="AI551" s="33">
        <f>IF(Y551&lt;=0,0,MAX(0,MIN(Y551,ROUND($AZ551-SUMPRODUCT($V551:$AE551*($V551:$AE551&gt;0)*(($V551:$AE551&lt;Y551)+($V551:$AE551=Y551)*($V$3:$AE$3&gt;Y$3)+($V551:$AE551=Y551)*($V$3:$AE$3=Y$3)*($V$2:$AE$2&lt;Y$2))),2))))</f>
      </c>
      <c r="AJ551" s="33">
        <f>IF(Z551&lt;=0,0,MAX(0,MIN(Z551,ROUND($AZ551-SUMPRODUCT($V551:$AE551*($V551:$AE551&gt;0)*(($V551:$AE551&lt;Z551)+($V551:$AE551=Z551)*($V$3:$AE$3&gt;Z$3)+($V551:$AE551=Z551)*($V$3:$AE$3=Z$3)*($V$2:$AE$2&lt;Z$2))),2))))</f>
      </c>
      <c r="AK551" s="33">
        <f>IF(AA551&lt;=0,0,MAX(0,MIN(AA551,ROUND($AZ551-SUMPRODUCT($V551:$AE551*($V551:$AE551&gt;0)*(($V551:$AE551&lt;AA551)+($V551:$AE551=AA551)*($V$3:$AE$3&gt;AA$3)+($V551:$AE551=AA551)*($V$3:$AE$3=AA$3)*($V$2:$AE$2&lt;AA$2))),2))))</f>
      </c>
      <c r="AL551" s="33">
        <f>IF(AB551&lt;=0,0,MAX(0,MIN(AB551,ROUND($AZ551-SUMPRODUCT($V551:$AE551*($V551:$AE551&gt;0)*(($V551:$AE551&lt;AB551)+($V551:$AE551=AB551)*($V$3:$AE$3&gt;AB$3)+($V551:$AE551=AB551)*($V$3:$AE$3=AB$3)*($V$2:$AE$2&lt;AB$2))),2))))</f>
      </c>
      <c r="AM551" s="33">
        <f>IF(AC551&lt;=0,0,MAX(0,MIN(AC551,ROUND($AZ551-SUMPRODUCT($V551:$AE551*($V551:$AE551&gt;0)*(($V551:$AE551&lt;AC551)+($V551:$AE551=AC551)*($V$3:$AE$3&gt;AC$3)+($V551:$AE551=AC551)*($V$3:$AE$3=AC$3)*($V$2:$AE$2&lt;AC$2))),2))))</f>
      </c>
      <c r="AN551" s="33">
        <f>IF(AD551&lt;=0,0,MAX(0,MIN(AD551,ROUND($AZ551-SUMPRODUCT($V551:$AE551*($V551:$AE551&gt;0)*(($V551:$AE551&lt;AD551)+($V551:$AE551=AD551)*($V$3:$AE$3&gt;AD$3)+($V551:$AE551=AD551)*($V$3:$AE$3=AD$3)*($V$2:$AE$2&lt;AD$2))),2))))</f>
      </c>
      <c r="AO551" s="33">
        <f>IF(AE551&lt;=0,0,MAX(0,MIN(AE551,ROUND($AZ551-SUMPRODUCT($V551:$AE551*($V551:$AE551&gt;0)*(($V551:$AE551&lt;AE551)+($V551:$AE551=AE551)*($V$3:$AE$3&gt;AE$3)+($V551:$AE551=AE551)*($V$3:$AE$3=AE$3)*($V$2:$AE$2&lt;AE$2))),2))))</f>
      </c>
      <c r="AP551" s="33">
        <f>ROUND(V551-AF551,2)</f>
      </c>
      <c r="AQ551" s="33">
        <f>ROUND(W551-AG551,2)</f>
      </c>
      <c r="AR551" s="33">
        <f>ROUND(X551-AH551,2)</f>
      </c>
      <c r="AS551" s="33">
        <f>ROUND(Y551-AI551,2)</f>
      </c>
      <c r="AT551" s="33">
        <f>ROUND(Z551-AJ551,2)</f>
      </c>
      <c r="AU551" s="33">
        <f>ROUND(AA551-AK551,2)</f>
      </c>
      <c r="AV551" s="33">
        <f>ROUND(AB551-AL551,2)</f>
      </c>
      <c r="AW551" s="33">
        <f>ROUND(AC551-AM551,2)</f>
      </c>
      <c r="AX551" s="33">
        <f>ROUND(AD551-AN551,2)</f>
      </c>
      <c r="AY551" s="33">
        <f>ROUND(AE551-AO551,2)</f>
      </c>
      <c r="AZ551" s="33">
        <f>ROUND(MAX(0,'Your debts'!$D$22-SUM($L551:$U551)),2)</f>
      </c>
      <c r="BA551" s="33">
        <f>ROUND(SUM($B551:$K551)-SUM($AP550:$AY550),2)</f>
      </c>
      <c r="BB551" s="33">
        <f>SUM($AP551:$AY551)</f>
      </c>
      <c r="BC551" s="33">
        <f>ROUND(SUM($L551:$U551)+SUM($AF551:$AO551),2)</f>
      </c>
    </row>
    <row r="552" spans="1:55" x14ac:dyDescent="0.25">
      <c r="A552">
        <v>545</v>
      </c>
      <c r="B552" s="33">
        <f>IF(AP551&lt;=0,0,ROUND(AP551+ROUND(AP551*V$3/12,2),2))</f>
      </c>
      <c r="C552" s="33">
        <f>IF(AQ551&lt;=0,0,ROUND(AQ551+ROUND(AQ551*W$3/12,2),2))</f>
      </c>
      <c r="D552" s="33">
        <f>IF(AR551&lt;=0,0,ROUND(AR551+ROUND(AR551*X$3/12,2),2))</f>
      </c>
      <c r="E552" s="33">
        <f>IF(AS551&lt;=0,0,ROUND(AS551+ROUND(AS551*Y$3/12,2),2))</f>
      </c>
      <c r="F552" s="33">
        <f>IF(AT551&lt;=0,0,ROUND(AT551+ROUND(AT551*Z$3/12,2),2))</f>
      </c>
      <c r="G552" s="33">
        <f>IF(AU551&lt;=0,0,ROUND(AU551+ROUND(AU551*AA$3/12,2),2))</f>
      </c>
      <c r="H552" s="33">
        <f>IF(AV551&lt;=0,0,ROUND(AV551+ROUND(AV551*AB$3/12,2),2))</f>
      </c>
      <c r="I552" s="33">
        <f>IF(AW551&lt;=0,0,ROUND(AW551+ROUND(AW551*AC$3/12,2),2))</f>
      </c>
      <c r="J552" s="33">
        <f>IF(AX551&lt;=0,0,ROUND(AX551+ROUND(AX551*AD$3/12,2),2))</f>
      </c>
      <c r="K552" s="33">
        <f>IF(AY551&lt;=0,0,ROUND(AY551+ROUND(AY551*AE$3/12,2),2))</f>
      </c>
      <c r="L552" s="33">
        <f>ROUND(MIN(MAX(0,N('Your debts'!$E$6)),B552),2)</f>
      </c>
      <c r="M552" s="33">
        <f>ROUND(MIN(MAX(0,N('Your debts'!$E$7)),C552),2)</f>
      </c>
      <c r="N552" s="33">
        <f>ROUND(MIN(MAX(0,N('Your debts'!$E$8)),D552),2)</f>
      </c>
      <c r="O552" s="33">
        <f>ROUND(MIN(MAX(0,N('Your debts'!$E$9)),E552),2)</f>
      </c>
      <c r="P552" s="33">
        <f>ROUND(MIN(MAX(0,N('Your debts'!$E$10)),F552),2)</f>
      </c>
      <c r="Q552" s="33">
        <f>ROUND(MIN(MAX(0,N('Your debts'!$E$11)),G552),2)</f>
      </c>
      <c r="R552" s="33">
        <f>ROUND(MIN(MAX(0,N('Your debts'!$E$12)),H552),2)</f>
      </c>
      <c r="S552" s="33">
        <f>ROUND(MIN(MAX(0,N('Your debts'!$E$13)),I552),2)</f>
      </c>
      <c r="T552" s="33">
        <f>ROUND(MIN(MAX(0,N('Your debts'!$E$14)),J552),2)</f>
      </c>
      <c r="U552" s="33">
        <f>ROUND(MIN(MAX(0,N('Your debts'!$E$15)),K552),2)</f>
      </c>
      <c r="V552" s="33">
        <f>ROUND(B552-L552,2)</f>
      </c>
      <c r="W552" s="33">
        <f>ROUND(C552-M552,2)</f>
      </c>
      <c r="X552" s="33">
        <f>ROUND(D552-N552,2)</f>
      </c>
      <c r="Y552" s="33">
        <f>ROUND(E552-O552,2)</f>
      </c>
      <c r="Z552" s="33">
        <f>ROUND(F552-P552,2)</f>
      </c>
      <c r="AA552" s="33">
        <f>ROUND(G552-Q552,2)</f>
      </c>
      <c r="AB552" s="33">
        <f>ROUND(H552-R552,2)</f>
      </c>
      <c r="AC552" s="33">
        <f>ROUND(I552-S552,2)</f>
      </c>
      <c r="AD552" s="33">
        <f>ROUND(J552-T552,2)</f>
      </c>
      <c r="AE552" s="33">
        <f>ROUND(K552-U552,2)</f>
      </c>
      <c r="AF552" s="33">
        <f>IF(V552&lt;=0,0,MAX(0,MIN(V552,ROUND($AZ552-SUMPRODUCT($V552:$AE552*($V552:$AE552&gt;0)*(($V552:$AE552&lt;V552)+($V552:$AE552=V552)*($V$3:$AE$3&gt;V$3)+($V552:$AE552=V552)*($V$3:$AE$3=V$3)*($V$2:$AE$2&lt;V$2))),2))))</f>
      </c>
      <c r="AG552" s="33">
        <f>IF(W552&lt;=0,0,MAX(0,MIN(W552,ROUND($AZ552-SUMPRODUCT($V552:$AE552*($V552:$AE552&gt;0)*(($V552:$AE552&lt;W552)+($V552:$AE552=W552)*($V$3:$AE$3&gt;W$3)+($V552:$AE552=W552)*($V$3:$AE$3=W$3)*($V$2:$AE$2&lt;W$2))),2))))</f>
      </c>
      <c r="AH552" s="33">
        <f>IF(X552&lt;=0,0,MAX(0,MIN(X552,ROUND($AZ552-SUMPRODUCT($V552:$AE552*($V552:$AE552&gt;0)*(($V552:$AE552&lt;X552)+($V552:$AE552=X552)*($V$3:$AE$3&gt;X$3)+($V552:$AE552=X552)*($V$3:$AE$3=X$3)*($V$2:$AE$2&lt;X$2))),2))))</f>
      </c>
      <c r="AI552" s="33">
        <f>IF(Y552&lt;=0,0,MAX(0,MIN(Y552,ROUND($AZ552-SUMPRODUCT($V552:$AE552*($V552:$AE552&gt;0)*(($V552:$AE552&lt;Y552)+($V552:$AE552=Y552)*($V$3:$AE$3&gt;Y$3)+($V552:$AE552=Y552)*($V$3:$AE$3=Y$3)*($V$2:$AE$2&lt;Y$2))),2))))</f>
      </c>
      <c r="AJ552" s="33">
        <f>IF(Z552&lt;=0,0,MAX(0,MIN(Z552,ROUND($AZ552-SUMPRODUCT($V552:$AE552*($V552:$AE552&gt;0)*(($V552:$AE552&lt;Z552)+($V552:$AE552=Z552)*($V$3:$AE$3&gt;Z$3)+($V552:$AE552=Z552)*($V$3:$AE$3=Z$3)*($V$2:$AE$2&lt;Z$2))),2))))</f>
      </c>
      <c r="AK552" s="33">
        <f>IF(AA552&lt;=0,0,MAX(0,MIN(AA552,ROUND($AZ552-SUMPRODUCT($V552:$AE552*($V552:$AE552&gt;0)*(($V552:$AE552&lt;AA552)+($V552:$AE552=AA552)*($V$3:$AE$3&gt;AA$3)+($V552:$AE552=AA552)*($V$3:$AE$3=AA$3)*($V$2:$AE$2&lt;AA$2))),2))))</f>
      </c>
      <c r="AL552" s="33">
        <f>IF(AB552&lt;=0,0,MAX(0,MIN(AB552,ROUND($AZ552-SUMPRODUCT($V552:$AE552*($V552:$AE552&gt;0)*(($V552:$AE552&lt;AB552)+($V552:$AE552=AB552)*($V$3:$AE$3&gt;AB$3)+($V552:$AE552=AB552)*($V$3:$AE$3=AB$3)*($V$2:$AE$2&lt;AB$2))),2))))</f>
      </c>
      <c r="AM552" s="33">
        <f>IF(AC552&lt;=0,0,MAX(0,MIN(AC552,ROUND($AZ552-SUMPRODUCT($V552:$AE552*($V552:$AE552&gt;0)*(($V552:$AE552&lt;AC552)+($V552:$AE552=AC552)*($V$3:$AE$3&gt;AC$3)+($V552:$AE552=AC552)*($V$3:$AE$3=AC$3)*($V$2:$AE$2&lt;AC$2))),2))))</f>
      </c>
      <c r="AN552" s="33">
        <f>IF(AD552&lt;=0,0,MAX(0,MIN(AD552,ROUND($AZ552-SUMPRODUCT($V552:$AE552*($V552:$AE552&gt;0)*(($V552:$AE552&lt;AD552)+($V552:$AE552=AD552)*($V$3:$AE$3&gt;AD$3)+($V552:$AE552=AD552)*($V$3:$AE$3=AD$3)*($V$2:$AE$2&lt;AD$2))),2))))</f>
      </c>
      <c r="AO552" s="33">
        <f>IF(AE552&lt;=0,0,MAX(0,MIN(AE552,ROUND($AZ552-SUMPRODUCT($V552:$AE552*($V552:$AE552&gt;0)*(($V552:$AE552&lt;AE552)+($V552:$AE552=AE552)*($V$3:$AE$3&gt;AE$3)+($V552:$AE552=AE552)*($V$3:$AE$3=AE$3)*($V$2:$AE$2&lt;AE$2))),2))))</f>
      </c>
      <c r="AP552" s="33">
        <f>ROUND(V552-AF552,2)</f>
      </c>
      <c r="AQ552" s="33">
        <f>ROUND(W552-AG552,2)</f>
      </c>
      <c r="AR552" s="33">
        <f>ROUND(X552-AH552,2)</f>
      </c>
      <c r="AS552" s="33">
        <f>ROUND(Y552-AI552,2)</f>
      </c>
      <c r="AT552" s="33">
        <f>ROUND(Z552-AJ552,2)</f>
      </c>
      <c r="AU552" s="33">
        <f>ROUND(AA552-AK552,2)</f>
      </c>
      <c r="AV552" s="33">
        <f>ROUND(AB552-AL552,2)</f>
      </c>
      <c r="AW552" s="33">
        <f>ROUND(AC552-AM552,2)</f>
      </c>
      <c r="AX552" s="33">
        <f>ROUND(AD552-AN552,2)</f>
      </c>
      <c r="AY552" s="33">
        <f>ROUND(AE552-AO552,2)</f>
      </c>
      <c r="AZ552" s="33">
        <f>ROUND(MAX(0,'Your debts'!$D$22-SUM($L552:$U552)),2)</f>
      </c>
      <c r="BA552" s="33">
        <f>ROUND(SUM($B552:$K552)-SUM($AP551:$AY551),2)</f>
      </c>
      <c r="BB552" s="33">
        <f>SUM($AP552:$AY552)</f>
      </c>
      <c r="BC552" s="33">
        <f>ROUND(SUM($L552:$U552)+SUM($AF552:$AO552),2)</f>
      </c>
    </row>
    <row r="553" spans="1:55" x14ac:dyDescent="0.25">
      <c r="A553">
        <v>546</v>
      </c>
      <c r="B553" s="33">
        <f>IF(AP552&lt;=0,0,ROUND(AP552+ROUND(AP552*V$3/12,2),2))</f>
      </c>
      <c r="C553" s="33">
        <f>IF(AQ552&lt;=0,0,ROUND(AQ552+ROUND(AQ552*W$3/12,2),2))</f>
      </c>
      <c r="D553" s="33">
        <f>IF(AR552&lt;=0,0,ROUND(AR552+ROUND(AR552*X$3/12,2),2))</f>
      </c>
      <c r="E553" s="33">
        <f>IF(AS552&lt;=0,0,ROUND(AS552+ROUND(AS552*Y$3/12,2),2))</f>
      </c>
      <c r="F553" s="33">
        <f>IF(AT552&lt;=0,0,ROUND(AT552+ROUND(AT552*Z$3/12,2),2))</f>
      </c>
      <c r="G553" s="33">
        <f>IF(AU552&lt;=0,0,ROUND(AU552+ROUND(AU552*AA$3/12,2),2))</f>
      </c>
      <c r="H553" s="33">
        <f>IF(AV552&lt;=0,0,ROUND(AV552+ROUND(AV552*AB$3/12,2),2))</f>
      </c>
      <c r="I553" s="33">
        <f>IF(AW552&lt;=0,0,ROUND(AW552+ROUND(AW552*AC$3/12,2),2))</f>
      </c>
      <c r="J553" s="33">
        <f>IF(AX552&lt;=0,0,ROUND(AX552+ROUND(AX552*AD$3/12,2),2))</f>
      </c>
      <c r="K553" s="33">
        <f>IF(AY552&lt;=0,0,ROUND(AY552+ROUND(AY552*AE$3/12,2),2))</f>
      </c>
      <c r="L553" s="33">
        <f>ROUND(MIN(MAX(0,N('Your debts'!$E$6)),B553),2)</f>
      </c>
      <c r="M553" s="33">
        <f>ROUND(MIN(MAX(0,N('Your debts'!$E$7)),C553),2)</f>
      </c>
      <c r="N553" s="33">
        <f>ROUND(MIN(MAX(0,N('Your debts'!$E$8)),D553),2)</f>
      </c>
      <c r="O553" s="33">
        <f>ROUND(MIN(MAX(0,N('Your debts'!$E$9)),E553),2)</f>
      </c>
      <c r="P553" s="33">
        <f>ROUND(MIN(MAX(0,N('Your debts'!$E$10)),F553),2)</f>
      </c>
      <c r="Q553" s="33">
        <f>ROUND(MIN(MAX(0,N('Your debts'!$E$11)),G553),2)</f>
      </c>
      <c r="R553" s="33">
        <f>ROUND(MIN(MAX(0,N('Your debts'!$E$12)),H553),2)</f>
      </c>
      <c r="S553" s="33">
        <f>ROUND(MIN(MAX(0,N('Your debts'!$E$13)),I553),2)</f>
      </c>
      <c r="T553" s="33">
        <f>ROUND(MIN(MAX(0,N('Your debts'!$E$14)),J553),2)</f>
      </c>
      <c r="U553" s="33">
        <f>ROUND(MIN(MAX(0,N('Your debts'!$E$15)),K553),2)</f>
      </c>
      <c r="V553" s="33">
        <f>ROUND(B553-L553,2)</f>
      </c>
      <c r="W553" s="33">
        <f>ROUND(C553-M553,2)</f>
      </c>
      <c r="X553" s="33">
        <f>ROUND(D553-N553,2)</f>
      </c>
      <c r="Y553" s="33">
        <f>ROUND(E553-O553,2)</f>
      </c>
      <c r="Z553" s="33">
        <f>ROUND(F553-P553,2)</f>
      </c>
      <c r="AA553" s="33">
        <f>ROUND(G553-Q553,2)</f>
      </c>
      <c r="AB553" s="33">
        <f>ROUND(H553-R553,2)</f>
      </c>
      <c r="AC553" s="33">
        <f>ROUND(I553-S553,2)</f>
      </c>
      <c r="AD553" s="33">
        <f>ROUND(J553-T553,2)</f>
      </c>
      <c r="AE553" s="33">
        <f>ROUND(K553-U553,2)</f>
      </c>
      <c r="AF553" s="33">
        <f>IF(V553&lt;=0,0,MAX(0,MIN(V553,ROUND($AZ553-SUMPRODUCT($V553:$AE553*($V553:$AE553&gt;0)*(($V553:$AE553&lt;V553)+($V553:$AE553=V553)*($V$3:$AE$3&gt;V$3)+($V553:$AE553=V553)*($V$3:$AE$3=V$3)*($V$2:$AE$2&lt;V$2))),2))))</f>
      </c>
      <c r="AG553" s="33">
        <f>IF(W553&lt;=0,0,MAX(0,MIN(W553,ROUND($AZ553-SUMPRODUCT($V553:$AE553*($V553:$AE553&gt;0)*(($V553:$AE553&lt;W553)+($V553:$AE553=W553)*($V$3:$AE$3&gt;W$3)+($V553:$AE553=W553)*($V$3:$AE$3=W$3)*($V$2:$AE$2&lt;W$2))),2))))</f>
      </c>
      <c r="AH553" s="33">
        <f>IF(X553&lt;=0,0,MAX(0,MIN(X553,ROUND($AZ553-SUMPRODUCT($V553:$AE553*($V553:$AE553&gt;0)*(($V553:$AE553&lt;X553)+($V553:$AE553=X553)*($V$3:$AE$3&gt;X$3)+($V553:$AE553=X553)*($V$3:$AE$3=X$3)*($V$2:$AE$2&lt;X$2))),2))))</f>
      </c>
      <c r="AI553" s="33">
        <f>IF(Y553&lt;=0,0,MAX(0,MIN(Y553,ROUND($AZ553-SUMPRODUCT($V553:$AE553*($V553:$AE553&gt;0)*(($V553:$AE553&lt;Y553)+($V553:$AE553=Y553)*($V$3:$AE$3&gt;Y$3)+($V553:$AE553=Y553)*($V$3:$AE$3=Y$3)*($V$2:$AE$2&lt;Y$2))),2))))</f>
      </c>
      <c r="AJ553" s="33">
        <f>IF(Z553&lt;=0,0,MAX(0,MIN(Z553,ROUND($AZ553-SUMPRODUCT($V553:$AE553*($V553:$AE553&gt;0)*(($V553:$AE553&lt;Z553)+($V553:$AE553=Z553)*($V$3:$AE$3&gt;Z$3)+($V553:$AE553=Z553)*($V$3:$AE$3=Z$3)*($V$2:$AE$2&lt;Z$2))),2))))</f>
      </c>
      <c r="AK553" s="33">
        <f>IF(AA553&lt;=0,0,MAX(0,MIN(AA553,ROUND($AZ553-SUMPRODUCT($V553:$AE553*($V553:$AE553&gt;0)*(($V553:$AE553&lt;AA553)+($V553:$AE553=AA553)*($V$3:$AE$3&gt;AA$3)+($V553:$AE553=AA553)*($V$3:$AE$3=AA$3)*($V$2:$AE$2&lt;AA$2))),2))))</f>
      </c>
      <c r="AL553" s="33">
        <f>IF(AB553&lt;=0,0,MAX(0,MIN(AB553,ROUND($AZ553-SUMPRODUCT($V553:$AE553*($V553:$AE553&gt;0)*(($V553:$AE553&lt;AB553)+($V553:$AE553=AB553)*($V$3:$AE$3&gt;AB$3)+($V553:$AE553=AB553)*($V$3:$AE$3=AB$3)*($V$2:$AE$2&lt;AB$2))),2))))</f>
      </c>
      <c r="AM553" s="33">
        <f>IF(AC553&lt;=0,0,MAX(0,MIN(AC553,ROUND($AZ553-SUMPRODUCT($V553:$AE553*($V553:$AE553&gt;0)*(($V553:$AE553&lt;AC553)+($V553:$AE553=AC553)*($V$3:$AE$3&gt;AC$3)+($V553:$AE553=AC553)*($V$3:$AE$3=AC$3)*($V$2:$AE$2&lt;AC$2))),2))))</f>
      </c>
      <c r="AN553" s="33">
        <f>IF(AD553&lt;=0,0,MAX(0,MIN(AD553,ROUND($AZ553-SUMPRODUCT($V553:$AE553*($V553:$AE553&gt;0)*(($V553:$AE553&lt;AD553)+($V553:$AE553=AD553)*($V$3:$AE$3&gt;AD$3)+($V553:$AE553=AD553)*($V$3:$AE$3=AD$3)*($V$2:$AE$2&lt;AD$2))),2))))</f>
      </c>
      <c r="AO553" s="33">
        <f>IF(AE553&lt;=0,0,MAX(0,MIN(AE553,ROUND($AZ553-SUMPRODUCT($V553:$AE553*($V553:$AE553&gt;0)*(($V553:$AE553&lt;AE553)+($V553:$AE553=AE553)*($V$3:$AE$3&gt;AE$3)+($V553:$AE553=AE553)*($V$3:$AE$3=AE$3)*($V$2:$AE$2&lt;AE$2))),2))))</f>
      </c>
      <c r="AP553" s="33">
        <f>ROUND(V553-AF553,2)</f>
      </c>
      <c r="AQ553" s="33">
        <f>ROUND(W553-AG553,2)</f>
      </c>
      <c r="AR553" s="33">
        <f>ROUND(X553-AH553,2)</f>
      </c>
      <c r="AS553" s="33">
        <f>ROUND(Y553-AI553,2)</f>
      </c>
      <c r="AT553" s="33">
        <f>ROUND(Z553-AJ553,2)</f>
      </c>
      <c r="AU553" s="33">
        <f>ROUND(AA553-AK553,2)</f>
      </c>
      <c r="AV553" s="33">
        <f>ROUND(AB553-AL553,2)</f>
      </c>
      <c r="AW553" s="33">
        <f>ROUND(AC553-AM553,2)</f>
      </c>
      <c r="AX553" s="33">
        <f>ROUND(AD553-AN553,2)</f>
      </c>
      <c r="AY553" s="33">
        <f>ROUND(AE553-AO553,2)</f>
      </c>
      <c r="AZ553" s="33">
        <f>ROUND(MAX(0,'Your debts'!$D$22-SUM($L553:$U553)),2)</f>
      </c>
      <c r="BA553" s="33">
        <f>ROUND(SUM($B553:$K553)-SUM($AP552:$AY552),2)</f>
      </c>
      <c r="BB553" s="33">
        <f>SUM($AP553:$AY553)</f>
      </c>
      <c r="BC553" s="33">
        <f>ROUND(SUM($L553:$U553)+SUM($AF553:$AO553),2)</f>
      </c>
    </row>
    <row r="554" spans="1:55" x14ac:dyDescent="0.25">
      <c r="A554">
        <v>547</v>
      </c>
      <c r="B554" s="33">
        <f>IF(AP553&lt;=0,0,ROUND(AP553+ROUND(AP553*V$3/12,2),2))</f>
      </c>
      <c r="C554" s="33">
        <f>IF(AQ553&lt;=0,0,ROUND(AQ553+ROUND(AQ553*W$3/12,2),2))</f>
      </c>
      <c r="D554" s="33">
        <f>IF(AR553&lt;=0,0,ROUND(AR553+ROUND(AR553*X$3/12,2),2))</f>
      </c>
      <c r="E554" s="33">
        <f>IF(AS553&lt;=0,0,ROUND(AS553+ROUND(AS553*Y$3/12,2),2))</f>
      </c>
      <c r="F554" s="33">
        <f>IF(AT553&lt;=0,0,ROUND(AT553+ROUND(AT553*Z$3/12,2),2))</f>
      </c>
      <c r="G554" s="33">
        <f>IF(AU553&lt;=0,0,ROUND(AU553+ROUND(AU553*AA$3/12,2),2))</f>
      </c>
      <c r="H554" s="33">
        <f>IF(AV553&lt;=0,0,ROUND(AV553+ROUND(AV553*AB$3/12,2),2))</f>
      </c>
      <c r="I554" s="33">
        <f>IF(AW553&lt;=0,0,ROUND(AW553+ROUND(AW553*AC$3/12,2),2))</f>
      </c>
      <c r="J554" s="33">
        <f>IF(AX553&lt;=0,0,ROUND(AX553+ROUND(AX553*AD$3/12,2),2))</f>
      </c>
      <c r="K554" s="33">
        <f>IF(AY553&lt;=0,0,ROUND(AY553+ROUND(AY553*AE$3/12,2),2))</f>
      </c>
      <c r="L554" s="33">
        <f>ROUND(MIN(MAX(0,N('Your debts'!$E$6)),B554),2)</f>
      </c>
      <c r="M554" s="33">
        <f>ROUND(MIN(MAX(0,N('Your debts'!$E$7)),C554),2)</f>
      </c>
      <c r="N554" s="33">
        <f>ROUND(MIN(MAX(0,N('Your debts'!$E$8)),D554),2)</f>
      </c>
      <c r="O554" s="33">
        <f>ROUND(MIN(MAX(0,N('Your debts'!$E$9)),E554),2)</f>
      </c>
      <c r="P554" s="33">
        <f>ROUND(MIN(MAX(0,N('Your debts'!$E$10)),F554),2)</f>
      </c>
      <c r="Q554" s="33">
        <f>ROUND(MIN(MAX(0,N('Your debts'!$E$11)),G554),2)</f>
      </c>
      <c r="R554" s="33">
        <f>ROUND(MIN(MAX(0,N('Your debts'!$E$12)),H554),2)</f>
      </c>
      <c r="S554" s="33">
        <f>ROUND(MIN(MAX(0,N('Your debts'!$E$13)),I554),2)</f>
      </c>
      <c r="T554" s="33">
        <f>ROUND(MIN(MAX(0,N('Your debts'!$E$14)),J554),2)</f>
      </c>
      <c r="U554" s="33">
        <f>ROUND(MIN(MAX(0,N('Your debts'!$E$15)),K554),2)</f>
      </c>
      <c r="V554" s="33">
        <f>ROUND(B554-L554,2)</f>
      </c>
      <c r="W554" s="33">
        <f>ROUND(C554-M554,2)</f>
      </c>
      <c r="X554" s="33">
        <f>ROUND(D554-N554,2)</f>
      </c>
      <c r="Y554" s="33">
        <f>ROUND(E554-O554,2)</f>
      </c>
      <c r="Z554" s="33">
        <f>ROUND(F554-P554,2)</f>
      </c>
      <c r="AA554" s="33">
        <f>ROUND(G554-Q554,2)</f>
      </c>
      <c r="AB554" s="33">
        <f>ROUND(H554-R554,2)</f>
      </c>
      <c r="AC554" s="33">
        <f>ROUND(I554-S554,2)</f>
      </c>
      <c r="AD554" s="33">
        <f>ROUND(J554-T554,2)</f>
      </c>
      <c r="AE554" s="33">
        <f>ROUND(K554-U554,2)</f>
      </c>
      <c r="AF554" s="33">
        <f>IF(V554&lt;=0,0,MAX(0,MIN(V554,ROUND($AZ554-SUMPRODUCT($V554:$AE554*($V554:$AE554&gt;0)*(($V554:$AE554&lt;V554)+($V554:$AE554=V554)*($V$3:$AE$3&gt;V$3)+($V554:$AE554=V554)*($V$3:$AE$3=V$3)*($V$2:$AE$2&lt;V$2))),2))))</f>
      </c>
      <c r="AG554" s="33">
        <f>IF(W554&lt;=0,0,MAX(0,MIN(W554,ROUND($AZ554-SUMPRODUCT($V554:$AE554*($V554:$AE554&gt;0)*(($V554:$AE554&lt;W554)+($V554:$AE554=W554)*($V$3:$AE$3&gt;W$3)+($V554:$AE554=W554)*($V$3:$AE$3=W$3)*($V$2:$AE$2&lt;W$2))),2))))</f>
      </c>
      <c r="AH554" s="33">
        <f>IF(X554&lt;=0,0,MAX(0,MIN(X554,ROUND($AZ554-SUMPRODUCT($V554:$AE554*($V554:$AE554&gt;0)*(($V554:$AE554&lt;X554)+($V554:$AE554=X554)*($V$3:$AE$3&gt;X$3)+($V554:$AE554=X554)*($V$3:$AE$3=X$3)*($V$2:$AE$2&lt;X$2))),2))))</f>
      </c>
      <c r="AI554" s="33">
        <f>IF(Y554&lt;=0,0,MAX(0,MIN(Y554,ROUND($AZ554-SUMPRODUCT($V554:$AE554*($V554:$AE554&gt;0)*(($V554:$AE554&lt;Y554)+($V554:$AE554=Y554)*($V$3:$AE$3&gt;Y$3)+($V554:$AE554=Y554)*($V$3:$AE$3=Y$3)*($V$2:$AE$2&lt;Y$2))),2))))</f>
      </c>
      <c r="AJ554" s="33">
        <f>IF(Z554&lt;=0,0,MAX(0,MIN(Z554,ROUND($AZ554-SUMPRODUCT($V554:$AE554*($V554:$AE554&gt;0)*(($V554:$AE554&lt;Z554)+($V554:$AE554=Z554)*($V$3:$AE$3&gt;Z$3)+($V554:$AE554=Z554)*($V$3:$AE$3=Z$3)*($V$2:$AE$2&lt;Z$2))),2))))</f>
      </c>
      <c r="AK554" s="33">
        <f>IF(AA554&lt;=0,0,MAX(0,MIN(AA554,ROUND($AZ554-SUMPRODUCT($V554:$AE554*($V554:$AE554&gt;0)*(($V554:$AE554&lt;AA554)+($V554:$AE554=AA554)*($V$3:$AE$3&gt;AA$3)+($V554:$AE554=AA554)*($V$3:$AE$3=AA$3)*($V$2:$AE$2&lt;AA$2))),2))))</f>
      </c>
      <c r="AL554" s="33">
        <f>IF(AB554&lt;=0,0,MAX(0,MIN(AB554,ROUND($AZ554-SUMPRODUCT($V554:$AE554*($V554:$AE554&gt;0)*(($V554:$AE554&lt;AB554)+($V554:$AE554=AB554)*($V$3:$AE$3&gt;AB$3)+($V554:$AE554=AB554)*($V$3:$AE$3=AB$3)*($V$2:$AE$2&lt;AB$2))),2))))</f>
      </c>
      <c r="AM554" s="33">
        <f>IF(AC554&lt;=0,0,MAX(0,MIN(AC554,ROUND($AZ554-SUMPRODUCT($V554:$AE554*($V554:$AE554&gt;0)*(($V554:$AE554&lt;AC554)+($V554:$AE554=AC554)*($V$3:$AE$3&gt;AC$3)+($V554:$AE554=AC554)*($V$3:$AE$3=AC$3)*($V$2:$AE$2&lt;AC$2))),2))))</f>
      </c>
      <c r="AN554" s="33">
        <f>IF(AD554&lt;=0,0,MAX(0,MIN(AD554,ROUND($AZ554-SUMPRODUCT($V554:$AE554*($V554:$AE554&gt;0)*(($V554:$AE554&lt;AD554)+($V554:$AE554=AD554)*($V$3:$AE$3&gt;AD$3)+($V554:$AE554=AD554)*($V$3:$AE$3=AD$3)*($V$2:$AE$2&lt;AD$2))),2))))</f>
      </c>
      <c r="AO554" s="33">
        <f>IF(AE554&lt;=0,0,MAX(0,MIN(AE554,ROUND($AZ554-SUMPRODUCT($V554:$AE554*($V554:$AE554&gt;0)*(($V554:$AE554&lt;AE554)+($V554:$AE554=AE554)*($V$3:$AE$3&gt;AE$3)+($V554:$AE554=AE554)*($V$3:$AE$3=AE$3)*($V$2:$AE$2&lt;AE$2))),2))))</f>
      </c>
      <c r="AP554" s="33">
        <f>ROUND(V554-AF554,2)</f>
      </c>
      <c r="AQ554" s="33">
        <f>ROUND(W554-AG554,2)</f>
      </c>
      <c r="AR554" s="33">
        <f>ROUND(X554-AH554,2)</f>
      </c>
      <c r="AS554" s="33">
        <f>ROUND(Y554-AI554,2)</f>
      </c>
      <c r="AT554" s="33">
        <f>ROUND(Z554-AJ554,2)</f>
      </c>
      <c r="AU554" s="33">
        <f>ROUND(AA554-AK554,2)</f>
      </c>
      <c r="AV554" s="33">
        <f>ROUND(AB554-AL554,2)</f>
      </c>
      <c r="AW554" s="33">
        <f>ROUND(AC554-AM554,2)</f>
      </c>
      <c r="AX554" s="33">
        <f>ROUND(AD554-AN554,2)</f>
      </c>
      <c r="AY554" s="33">
        <f>ROUND(AE554-AO554,2)</f>
      </c>
      <c r="AZ554" s="33">
        <f>ROUND(MAX(0,'Your debts'!$D$22-SUM($L554:$U554)),2)</f>
      </c>
      <c r="BA554" s="33">
        <f>ROUND(SUM($B554:$K554)-SUM($AP553:$AY553),2)</f>
      </c>
      <c r="BB554" s="33">
        <f>SUM($AP554:$AY554)</f>
      </c>
      <c r="BC554" s="33">
        <f>ROUND(SUM($L554:$U554)+SUM($AF554:$AO554),2)</f>
      </c>
    </row>
    <row r="555" spans="1:55" x14ac:dyDescent="0.25">
      <c r="A555">
        <v>548</v>
      </c>
      <c r="B555" s="33">
        <f>IF(AP554&lt;=0,0,ROUND(AP554+ROUND(AP554*V$3/12,2),2))</f>
      </c>
      <c r="C555" s="33">
        <f>IF(AQ554&lt;=0,0,ROUND(AQ554+ROUND(AQ554*W$3/12,2),2))</f>
      </c>
      <c r="D555" s="33">
        <f>IF(AR554&lt;=0,0,ROUND(AR554+ROUND(AR554*X$3/12,2),2))</f>
      </c>
      <c r="E555" s="33">
        <f>IF(AS554&lt;=0,0,ROUND(AS554+ROUND(AS554*Y$3/12,2),2))</f>
      </c>
      <c r="F555" s="33">
        <f>IF(AT554&lt;=0,0,ROUND(AT554+ROUND(AT554*Z$3/12,2),2))</f>
      </c>
      <c r="G555" s="33">
        <f>IF(AU554&lt;=0,0,ROUND(AU554+ROUND(AU554*AA$3/12,2),2))</f>
      </c>
      <c r="H555" s="33">
        <f>IF(AV554&lt;=0,0,ROUND(AV554+ROUND(AV554*AB$3/12,2),2))</f>
      </c>
      <c r="I555" s="33">
        <f>IF(AW554&lt;=0,0,ROUND(AW554+ROUND(AW554*AC$3/12,2),2))</f>
      </c>
      <c r="J555" s="33">
        <f>IF(AX554&lt;=0,0,ROUND(AX554+ROUND(AX554*AD$3/12,2),2))</f>
      </c>
      <c r="K555" s="33">
        <f>IF(AY554&lt;=0,0,ROUND(AY554+ROUND(AY554*AE$3/12,2),2))</f>
      </c>
      <c r="L555" s="33">
        <f>ROUND(MIN(MAX(0,N('Your debts'!$E$6)),B555),2)</f>
      </c>
      <c r="M555" s="33">
        <f>ROUND(MIN(MAX(0,N('Your debts'!$E$7)),C555),2)</f>
      </c>
      <c r="N555" s="33">
        <f>ROUND(MIN(MAX(0,N('Your debts'!$E$8)),D555),2)</f>
      </c>
      <c r="O555" s="33">
        <f>ROUND(MIN(MAX(0,N('Your debts'!$E$9)),E555),2)</f>
      </c>
      <c r="P555" s="33">
        <f>ROUND(MIN(MAX(0,N('Your debts'!$E$10)),F555),2)</f>
      </c>
      <c r="Q555" s="33">
        <f>ROUND(MIN(MAX(0,N('Your debts'!$E$11)),G555),2)</f>
      </c>
      <c r="R555" s="33">
        <f>ROUND(MIN(MAX(0,N('Your debts'!$E$12)),H555),2)</f>
      </c>
      <c r="S555" s="33">
        <f>ROUND(MIN(MAX(0,N('Your debts'!$E$13)),I555),2)</f>
      </c>
      <c r="T555" s="33">
        <f>ROUND(MIN(MAX(0,N('Your debts'!$E$14)),J555),2)</f>
      </c>
      <c r="U555" s="33">
        <f>ROUND(MIN(MAX(0,N('Your debts'!$E$15)),K555),2)</f>
      </c>
      <c r="V555" s="33">
        <f>ROUND(B555-L555,2)</f>
      </c>
      <c r="W555" s="33">
        <f>ROUND(C555-M555,2)</f>
      </c>
      <c r="X555" s="33">
        <f>ROUND(D555-N555,2)</f>
      </c>
      <c r="Y555" s="33">
        <f>ROUND(E555-O555,2)</f>
      </c>
      <c r="Z555" s="33">
        <f>ROUND(F555-P555,2)</f>
      </c>
      <c r="AA555" s="33">
        <f>ROUND(G555-Q555,2)</f>
      </c>
      <c r="AB555" s="33">
        <f>ROUND(H555-R555,2)</f>
      </c>
      <c r="AC555" s="33">
        <f>ROUND(I555-S555,2)</f>
      </c>
      <c r="AD555" s="33">
        <f>ROUND(J555-T555,2)</f>
      </c>
      <c r="AE555" s="33">
        <f>ROUND(K555-U555,2)</f>
      </c>
      <c r="AF555" s="33">
        <f>IF(V555&lt;=0,0,MAX(0,MIN(V555,ROUND($AZ555-SUMPRODUCT($V555:$AE555*($V555:$AE555&gt;0)*(($V555:$AE555&lt;V555)+($V555:$AE555=V555)*($V$3:$AE$3&gt;V$3)+($V555:$AE555=V555)*($V$3:$AE$3=V$3)*($V$2:$AE$2&lt;V$2))),2))))</f>
      </c>
      <c r="AG555" s="33">
        <f>IF(W555&lt;=0,0,MAX(0,MIN(W555,ROUND($AZ555-SUMPRODUCT($V555:$AE555*($V555:$AE555&gt;0)*(($V555:$AE555&lt;W555)+($V555:$AE555=W555)*($V$3:$AE$3&gt;W$3)+($V555:$AE555=W555)*($V$3:$AE$3=W$3)*($V$2:$AE$2&lt;W$2))),2))))</f>
      </c>
      <c r="AH555" s="33">
        <f>IF(X555&lt;=0,0,MAX(0,MIN(X555,ROUND($AZ555-SUMPRODUCT($V555:$AE555*($V555:$AE555&gt;0)*(($V555:$AE555&lt;X555)+($V555:$AE555=X555)*($V$3:$AE$3&gt;X$3)+($V555:$AE555=X555)*($V$3:$AE$3=X$3)*($V$2:$AE$2&lt;X$2))),2))))</f>
      </c>
      <c r="AI555" s="33">
        <f>IF(Y555&lt;=0,0,MAX(0,MIN(Y555,ROUND($AZ555-SUMPRODUCT($V555:$AE555*($V555:$AE555&gt;0)*(($V555:$AE555&lt;Y555)+($V555:$AE555=Y555)*($V$3:$AE$3&gt;Y$3)+($V555:$AE555=Y555)*($V$3:$AE$3=Y$3)*($V$2:$AE$2&lt;Y$2))),2))))</f>
      </c>
      <c r="AJ555" s="33">
        <f>IF(Z555&lt;=0,0,MAX(0,MIN(Z555,ROUND($AZ555-SUMPRODUCT($V555:$AE555*($V555:$AE555&gt;0)*(($V555:$AE555&lt;Z555)+($V555:$AE555=Z555)*($V$3:$AE$3&gt;Z$3)+($V555:$AE555=Z555)*($V$3:$AE$3=Z$3)*($V$2:$AE$2&lt;Z$2))),2))))</f>
      </c>
      <c r="AK555" s="33">
        <f>IF(AA555&lt;=0,0,MAX(0,MIN(AA555,ROUND($AZ555-SUMPRODUCT($V555:$AE555*($V555:$AE555&gt;0)*(($V555:$AE555&lt;AA555)+($V555:$AE555=AA555)*($V$3:$AE$3&gt;AA$3)+($V555:$AE555=AA555)*($V$3:$AE$3=AA$3)*($V$2:$AE$2&lt;AA$2))),2))))</f>
      </c>
      <c r="AL555" s="33">
        <f>IF(AB555&lt;=0,0,MAX(0,MIN(AB555,ROUND($AZ555-SUMPRODUCT($V555:$AE555*($V555:$AE555&gt;0)*(($V555:$AE555&lt;AB555)+($V555:$AE555=AB555)*($V$3:$AE$3&gt;AB$3)+($V555:$AE555=AB555)*($V$3:$AE$3=AB$3)*($V$2:$AE$2&lt;AB$2))),2))))</f>
      </c>
      <c r="AM555" s="33">
        <f>IF(AC555&lt;=0,0,MAX(0,MIN(AC555,ROUND($AZ555-SUMPRODUCT($V555:$AE555*($V555:$AE555&gt;0)*(($V555:$AE555&lt;AC555)+($V555:$AE555=AC555)*($V$3:$AE$3&gt;AC$3)+($V555:$AE555=AC555)*($V$3:$AE$3=AC$3)*($V$2:$AE$2&lt;AC$2))),2))))</f>
      </c>
      <c r="AN555" s="33">
        <f>IF(AD555&lt;=0,0,MAX(0,MIN(AD555,ROUND($AZ555-SUMPRODUCT($V555:$AE555*($V555:$AE555&gt;0)*(($V555:$AE555&lt;AD555)+($V555:$AE555=AD555)*($V$3:$AE$3&gt;AD$3)+($V555:$AE555=AD555)*($V$3:$AE$3=AD$3)*($V$2:$AE$2&lt;AD$2))),2))))</f>
      </c>
      <c r="AO555" s="33">
        <f>IF(AE555&lt;=0,0,MAX(0,MIN(AE555,ROUND($AZ555-SUMPRODUCT($V555:$AE555*($V555:$AE555&gt;0)*(($V555:$AE555&lt;AE555)+($V555:$AE555=AE555)*($V$3:$AE$3&gt;AE$3)+($V555:$AE555=AE555)*($V$3:$AE$3=AE$3)*($V$2:$AE$2&lt;AE$2))),2))))</f>
      </c>
      <c r="AP555" s="33">
        <f>ROUND(V555-AF555,2)</f>
      </c>
      <c r="AQ555" s="33">
        <f>ROUND(W555-AG555,2)</f>
      </c>
      <c r="AR555" s="33">
        <f>ROUND(X555-AH555,2)</f>
      </c>
      <c r="AS555" s="33">
        <f>ROUND(Y555-AI555,2)</f>
      </c>
      <c r="AT555" s="33">
        <f>ROUND(Z555-AJ555,2)</f>
      </c>
      <c r="AU555" s="33">
        <f>ROUND(AA555-AK555,2)</f>
      </c>
      <c r="AV555" s="33">
        <f>ROUND(AB555-AL555,2)</f>
      </c>
      <c r="AW555" s="33">
        <f>ROUND(AC555-AM555,2)</f>
      </c>
      <c r="AX555" s="33">
        <f>ROUND(AD555-AN555,2)</f>
      </c>
      <c r="AY555" s="33">
        <f>ROUND(AE555-AO555,2)</f>
      </c>
      <c r="AZ555" s="33">
        <f>ROUND(MAX(0,'Your debts'!$D$22-SUM($L555:$U555)),2)</f>
      </c>
      <c r="BA555" s="33">
        <f>ROUND(SUM($B555:$K555)-SUM($AP554:$AY554),2)</f>
      </c>
      <c r="BB555" s="33">
        <f>SUM($AP555:$AY555)</f>
      </c>
      <c r="BC555" s="33">
        <f>ROUND(SUM($L555:$U555)+SUM($AF555:$AO555),2)</f>
      </c>
    </row>
    <row r="556" spans="1:55" x14ac:dyDescent="0.25">
      <c r="A556">
        <v>549</v>
      </c>
      <c r="B556" s="33">
        <f>IF(AP555&lt;=0,0,ROUND(AP555+ROUND(AP555*V$3/12,2),2))</f>
      </c>
      <c r="C556" s="33">
        <f>IF(AQ555&lt;=0,0,ROUND(AQ555+ROUND(AQ555*W$3/12,2),2))</f>
      </c>
      <c r="D556" s="33">
        <f>IF(AR555&lt;=0,0,ROUND(AR555+ROUND(AR555*X$3/12,2),2))</f>
      </c>
      <c r="E556" s="33">
        <f>IF(AS555&lt;=0,0,ROUND(AS555+ROUND(AS555*Y$3/12,2),2))</f>
      </c>
      <c r="F556" s="33">
        <f>IF(AT555&lt;=0,0,ROUND(AT555+ROUND(AT555*Z$3/12,2),2))</f>
      </c>
      <c r="G556" s="33">
        <f>IF(AU555&lt;=0,0,ROUND(AU555+ROUND(AU555*AA$3/12,2),2))</f>
      </c>
      <c r="H556" s="33">
        <f>IF(AV555&lt;=0,0,ROUND(AV555+ROUND(AV555*AB$3/12,2),2))</f>
      </c>
      <c r="I556" s="33">
        <f>IF(AW555&lt;=0,0,ROUND(AW555+ROUND(AW555*AC$3/12,2),2))</f>
      </c>
      <c r="J556" s="33">
        <f>IF(AX555&lt;=0,0,ROUND(AX555+ROUND(AX555*AD$3/12,2),2))</f>
      </c>
      <c r="K556" s="33">
        <f>IF(AY555&lt;=0,0,ROUND(AY555+ROUND(AY555*AE$3/12,2),2))</f>
      </c>
      <c r="L556" s="33">
        <f>ROUND(MIN(MAX(0,N('Your debts'!$E$6)),B556),2)</f>
      </c>
      <c r="M556" s="33">
        <f>ROUND(MIN(MAX(0,N('Your debts'!$E$7)),C556),2)</f>
      </c>
      <c r="N556" s="33">
        <f>ROUND(MIN(MAX(0,N('Your debts'!$E$8)),D556),2)</f>
      </c>
      <c r="O556" s="33">
        <f>ROUND(MIN(MAX(0,N('Your debts'!$E$9)),E556),2)</f>
      </c>
      <c r="P556" s="33">
        <f>ROUND(MIN(MAX(0,N('Your debts'!$E$10)),F556),2)</f>
      </c>
      <c r="Q556" s="33">
        <f>ROUND(MIN(MAX(0,N('Your debts'!$E$11)),G556),2)</f>
      </c>
      <c r="R556" s="33">
        <f>ROUND(MIN(MAX(0,N('Your debts'!$E$12)),H556),2)</f>
      </c>
      <c r="S556" s="33">
        <f>ROUND(MIN(MAX(0,N('Your debts'!$E$13)),I556),2)</f>
      </c>
      <c r="T556" s="33">
        <f>ROUND(MIN(MAX(0,N('Your debts'!$E$14)),J556),2)</f>
      </c>
      <c r="U556" s="33">
        <f>ROUND(MIN(MAX(0,N('Your debts'!$E$15)),K556),2)</f>
      </c>
      <c r="V556" s="33">
        <f>ROUND(B556-L556,2)</f>
      </c>
      <c r="W556" s="33">
        <f>ROUND(C556-M556,2)</f>
      </c>
      <c r="X556" s="33">
        <f>ROUND(D556-N556,2)</f>
      </c>
      <c r="Y556" s="33">
        <f>ROUND(E556-O556,2)</f>
      </c>
      <c r="Z556" s="33">
        <f>ROUND(F556-P556,2)</f>
      </c>
      <c r="AA556" s="33">
        <f>ROUND(G556-Q556,2)</f>
      </c>
      <c r="AB556" s="33">
        <f>ROUND(H556-R556,2)</f>
      </c>
      <c r="AC556" s="33">
        <f>ROUND(I556-S556,2)</f>
      </c>
      <c r="AD556" s="33">
        <f>ROUND(J556-T556,2)</f>
      </c>
      <c r="AE556" s="33">
        <f>ROUND(K556-U556,2)</f>
      </c>
      <c r="AF556" s="33">
        <f>IF(V556&lt;=0,0,MAX(0,MIN(V556,ROUND($AZ556-SUMPRODUCT($V556:$AE556*($V556:$AE556&gt;0)*(($V556:$AE556&lt;V556)+($V556:$AE556=V556)*($V$3:$AE$3&gt;V$3)+($V556:$AE556=V556)*($V$3:$AE$3=V$3)*($V$2:$AE$2&lt;V$2))),2))))</f>
      </c>
      <c r="AG556" s="33">
        <f>IF(W556&lt;=0,0,MAX(0,MIN(W556,ROUND($AZ556-SUMPRODUCT($V556:$AE556*($V556:$AE556&gt;0)*(($V556:$AE556&lt;W556)+($V556:$AE556=W556)*($V$3:$AE$3&gt;W$3)+($V556:$AE556=W556)*($V$3:$AE$3=W$3)*($V$2:$AE$2&lt;W$2))),2))))</f>
      </c>
      <c r="AH556" s="33">
        <f>IF(X556&lt;=0,0,MAX(0,MIN(X556,ROUND($AZ556-SUMPRODUCT($V556:$AE556*($V556:$AE556&gt;0)*(($V556:$AE556&lt;X556)+($V556:$AE556=X556)*($V$3:$AE$3&gt;X$3)+($V556:$AE556=X556)*($V$3:$AE$3=X$3)*($V$2:$AE$2&lt;X$2))),2))))</f>
      </c>
      <c r="AI556" s="33">
        <f>IF(Y556&lt;=0,0,MAX(0,MIN(Y556,ROUND($AZ556-SUMPRODUCT($V556:$AE556*($V556:$AE556&gt;0)*(($V556:$AE556&lt;Y556)+($V556:$AE556=Y556)*($V$3:$AE$3&gt;Y$3)+($V556:$AE556=Y556)*($V$3:$AE$3=Y$3)*($V$2:$AE$2&lt;Y$2))),2))))</f>
      </c>
      <c r="AJ556" s="33">
        <f>IF(Z556&lt;=0,0,MAX(0,MIN(Z556,ROUND($AZ556-SUMPRODUCT($V556:$AE556*($V556:$AE556&gt;0)*(($V556:$AE556&lt;Z556)+($V556:$AE556=Z556)*($V$3:$AE$3&gt;Z$3)+($V556:$AE556=Z556)*($V$3:$AE$3=Z$3)*($V$2:$AE$2&lt;Z$2))),2))))</f>
      </c>
      <c r="AK556" s="33">
        <f>IF(AA556&lt;=0,0,MAX(0,MIN(AA556,ROUND($AZ556-SUMPRODUCT($V556:$AE556*($V556:$AE556&gt;0)*(($V556:$AE556&lt;AA556)+($V556:$AE556=AA556)*($V$3:$AE$3&gt;AA$3)+($V556:$AE556=AA556)*($V$3:$AE$3=AA$3)*($V$2:$AE$2&lt;AA$2))),2))))</f>
      </c>
      <c r="AL556" s="33">
        <f>IF(AB556&lt;=0,0,MAX(0,MIN(AB556,ROUND($AZ556-SUMPRODUCT($V556:$AE556*($V556:$AE556&gt;0)*(($V556:$AE556&lt;AB556)+($V556:$AE556=AB556)*($V$3:$AE$3&gt;AB$3)+($V556:$AE556=AB556)*($V$3:$AE$3=AB$3)*($V$2:$AE$2&lt;AB$2))),2))))</f>
      </c>
      <c r="AM556" s="33">
        <f>IF(AC556&lt;=0,0,MAX(0,MIN(AC556,ROUND($AZ556-SUMPRODUCT($V556:$AE556*($V556:$AE556&gt;0)*(($V556:$AE556&lt;AC556)+($V556:$AE556=AC556)*($V$3:$AE$3&gt;AC$3)+($V556:$AE556=AC556)*($V$3:$AE$3=AC$3)*($V$2:$AE$2&lt;AC$2))),2))))</f>
      </c>
      <c r="AN556" s="33">
        <f>IF(AD556&lt;=0,0,MAX(0,MIN(AD556,ROUND($AZ556-SUMPRODUCT($V556:$AE556*($V556:$AE556&gt;0)*(($V556:$AE556&lt;AD556)+($V556:$AE556=AD556)*($V$3:$AE$3&gt;AD$3)+($V556:$AE556=AD556)*($V$3:$AE$3=AD$3)*($V$2:$AE$2&lt;AD$2))),2))))</f>
      </c>
      <c r="AO556" s="33">
        <f>IF(AE556&lt;=0,0,MAX(0,MIN(AE556,ROUND($AZ556-SUMPRODUCT($V556:$AE556*($V556:$AE556&gt;0)*(($V556:$AE556&lt;AE556)+($V556:$AE556=AE556)*($V$3:$AE$3&gt;AE$3)+($V556:$AE556=AE556)*($V$3:$AE$3=AE$3)*($V$2:$AE$2&lt;AE$2))),2))))</f>
      </c>
      <c r="AP556" s="33">
        <f>ROUND(V556-AF556,2)</f>
      </c>
      <c r="AQ556" s="33">
        <f>ROUND(W556-AG556,2)</f>
      </c>
      <c r="AR556" s="33">
        <f>ROUND(X556-AH556,2)</f>
      </c>
      <c r="AS556" s="33">
        <f>ROUND(Y556-AI556,2)</f>
      </c>
      <c r="AT556" s="33">
        <f>ROUND(Z556-AJ556,2)</f>
      </c>
      <c r="AU556" s="33">
        <f>ROUND(AA556-AK556,2)</f>
      </c>
      <c r="AV556" s="33">
        <f>ROUND(AB556-AL556,2)</f>
      </c>
      <c r="AW556" s="33">
        <f>ROUND(AC556-AM556,2)</f>
      </c>
      <c r="AX556" s="33">
        <f>ROUND(AD556-AN556,2)</f>
      </c>
      <c r="AY556" s="33">
        <f>ROUND(AE556-AO556,2)</f>
      </c>
      <c r="AZ556" s="33">
        <f>ROUND(MAX(0,'Your debts'!$D$22-SUM($L556:$U556)),2)</f>
      </c>
      <c r="BA556" s="33">
        <f>ROUND(SUM($B556:$K556)-SUM($AP555:$AY555),2)</f>
      </c>
      <c r="BB556" s="33">
        <f>SUM($AP556:$AY556)</f>
      </c>
      <c r="BC556" s="33">
        <f>ROUND(SUM($L556:$U556)+SUM($AF556:$AO556),2)</f>
      </c>
    </row>
    <row r="557" spans="1:55" x14ac:dyDescent="0.25">
      <c r="A557">
        <v>550</v>
      </c>
      <c r="B557" s="33">
        <f>IF(AP556&lt;=0,0,ROUND(AP556+ROUND(AP556*V$3/12,2),2))</f>
      </c>
      <c r="C557" s="33">
        <f>IF(AQ556&lt;=0,0,ROUND(AQ556+ROUND(AQ556*W$3/12,2),2))</f>
      </c>
      <c r="D557" s="33">
        <f>IF(AR556&lt;=0,0,ROUND(AR556+ROUND(AR556*X$3/12,2),2))</f>
      </c>
      <c r="E557" s="33">
        <f>IF(AS556&lt;=0,0,ROUND(AS556+ROUND(AS556*Y$3/12,2),2))</f>
      </c>
      <c r="F557" s="33">
        <f>IF(AT556&lt;=0,0,ROUND(AT556+ROUND(AT556*Z$3/12,2),2))</f>
      </c>
      <c r="G557" s="33">
        <f>IF(AU556&lt;=0,0,ROUND(AU556+ROUND(AU556*AA$3/12,2),2))</f>
      </c>
      <c r="H557" s="33">
        <f>IF(AV556&lt;=0,0,ROUND(AV556+ROUND(AV556*AB$3/12,2),2))</f>
      </c>
      <c r="I557" s="33">
        <f>IF(AW556&lt;=0,0,ROUND(AW556+ROUND(AW556*AC$3/12,2),2))</f>
      </c>
      <c r="J557" s="33">
        <f>IF(AX556&lt;=0,0,ROUND(AX556+ROUND(AX556*AD$3/12,2),2))</f>
      </c>
      <c r="K557" s="33">
        <f>IF(AY556&lt;=0,0,ROUND(AY556+ROUND(AY556*AE$3/12,2),2))</f>
      </c>
      <c r="L557" s="33">
        <f>ROUND(MIN(MAX(0,N('Your debts'!$E$6)),B557),2)</f>
      </c>
      <c r="M557" s="33">
        <f>ROUND(MIN(MAX(0,N('Your debts'!$E$7)),C557),2)</f>
      </c>
      <c r="N557" s="33">
        <f>ROUND(MIN(MAX(0,N('Your debts'!$E$8)),D557),2)</f>
      </c>
      <c r="O557" s="33">
        <f>ROUND(MIN(MAX(0,N('Your debts'!$E$9)),E557),2)</f>
      </c>
      <c r="P557" s="33">
        <f>ROUND(MIN(MAX(0,N('Your debts'!$E$10)),F557),2)</f>
      </c>
      <c r="Q557" s="33">
        <f>ROUND(MIN(MAX(0,N('Your debts'!$E$11)),G557),2)</f>
      </c>
      <c r="R557" s="33">
        <f>ROUND(MIN(MAX(0,N('Your debts'!$E$12)),H557),2)</f>
      </c>
      <c r="S557" s="33">
        <f>ROUND(MIN(MAX(0,N('Your debts'!$E$13)),I557),2)</f>
      </c>
      <c r="T557" s="33">
        <f>ROUND(MIN(MAX(0,N('Your debts'!$E$14)),J557),2)</f>
      </c>
      <c r="U557" s="33">
        <f>ROUND(MIN(MAX(0,N('Your debts'!$E$15)),K557),2)</f>
      </c>
      <c r="V557" s="33">
        <f>ROUND(B557-L557,2)</f>
      </c>
      <c r="W557" s="33">
        <f>ROUND(C557-M557,2)</f>
      </c>
      <c r="X557" s="33">
        <f>ROUND(D557-N557,2)</f>
      </c>
      <c r="Y557" s="33">
        <f>ROUND(E557-O557,2)</f>
      </c>
      <c r="Z557" s="33">
        <f>ROUND(F557-P557,2)</f>
      </c>
      <c r="AA557" s="33">
        <f>ROUND(G557-Q557,2)</f>
      </c>
      <c r="AB557" s="33">
        <f>ROUND(H557-R557,2)</f>
      </c>
      <c r="AC557" s="33">
        <f>ROUND(I557-S557,2)</f>
      </c>
      <c r="AD557" s="33">
        <f>ROUND(J557-T557,2)</f>
      </c>
      <c r="AE557" s="33">
        <f>ROUND(K557-U557,2)</f>
      </c>
      <c r="AF557" s="33">
        <f>IF(V557&lt;=0,0,MAX(0,MIN(V557,ROUND($AZ557-SUMPRODUCT($V557:$AE557*($V557:$AE557&gt;0)*(($V557:$AE557&lt;V557)+($V557:$AE557=V557)*($V$3:$AE$3&gt;V$3)+($V557:$AE557=V557)*($V$3:$AE$3=V$3)*($V$2:$AE$2&lt;V$2))),2))))</f>
      </c>
      <c r="AG557" s="33">
        <f>IF(W557&lt;=0,0,MAX(0,MIN(W557,ROUND($AZ557-SUMPRODUCT($V557:$AE557*($V557:$AE557&gt;0)*(($V557:$AE557&lt;W557)+($V557:$AE557=W557)*($V$3:$AE$3&gt;W$3)+($V557:$AE557=W557)*($V$3:$AE$3=W$3)*($V$2:$AE$2&lt;W$2))),2))))</f>
      </c>
      <c r="AH557" s="33">
        <f>IF(X557&lt;=0,0,MAX(0,MIN(X557,ROUND($AZ557-SUMPRODUCT($V557:$AE557*($V557:$AE557&gt;0)*(($V557:$AE557&lt;X557)+($V557:$AE557=X557)*($V$3:$AE$3&gt;X$3)+($V557:$AE557=X557)*($V$3:$AE$3=X$3)*($V$2:$AE$2&lt;X$2))),2))))</f>
      </c>
      <c r="AI557" s="33">
        <f>IF(Y557&lt;=0,0,MAX(0,MIN(Y557,ROUND($AZ557-SUMPRODUCT($V557:$AE557*($V557:$AE557&gt;0)*(($V557:$AE557&lt;Y557)+($V557:$AE557=Y557)*($V$3:$AE$3&gt;Y$3)+($V557:$AE557=Y557)*($V$3:$AE$3=Y$3)*($V$2:$AE$2&lt;Y$2))),2))))</f>
      </c>
      <c r="AJ557" s="33">
        <f>IF(Z557&lt;=0,0,MAX(0,MIN(Z557,ROUND($AZ557-SUMPRODUCT($V557:$AE557*($V557:$AE557&gt;0)*(($V557:$AE557&lt;Z557)+($V557:$AE557=Z557)*($V$3:$AE$3&gt;Z$3)+($V557:$AE557=Z557)*($V$3:$AE$3=Z$3)*($V$2:$AE$2&lt;Z$2))),2))))</f>
      </c>
      <c r="AK557" s="33">
        <f>IF(AA557&lt;=0,0,MAX(0,MIN(AA557,ROUND($AZ557-SUMPRODUCT($V557:$AE557*($V557:$AE557&gt;0)*(($V557:$AE557&lt;AA557)+($V557:$AE557=AA557)*($V$3:$AE$3&gt;AA$3)+($V557:$AE557=AA557)*($V$3:$AE$3=AA$3)*($V$2:$AE$2&lt;AA$2))),2))))</f>
      </c>
      <c r="AL557" s="33">
        <f>IF(AB557&lt;=0,0,MAX(0,MIN(AB557,ROUND($AZ557-SUMPRODUCT($V557:$AE557*($V557:$AE557&gt;0)*(($V557:$AE557&lt;AB557)+($V557:$AE557=AB557)*($V$3:$AE$3&gt;AB$3)+($V557:$AE557=AB557)*($V$3:$AE$3=AB$3)*($V$2:$AE$2&lt;AB$2))),2))))</f>
      </c>
      <c r="AM557" s="33">
        <f>IF(AC557&lt;=0,0,MAX(0,MIN(AC557,ROUND($AZ557-SUMPRODUCT($V557:$AE557*($V557:$AE557&gt;0)*(($V557:$AE557&lt;AC557)+($V557:$AE557=AC557)*($V$3:$AE$3&gt;AC$3)+($V557:$AE557=AC557)*($V$3:$AE$3=AC$3)*($V$2:$AE$2&lt;AC$2))),2))))</f>
      </c>
      <c r="AN557" s="33">
        <f>IF(AD557&lt;=0,0,MAX(0,MIN(AD557,ROUND($AZ557-SUMPRODUCT($V557:$AE557*($V557:$AE557&gt;0)*(($V557:$AE557&lt;AD557)+($V557:$AE557=AD557)*($V$3:$AE$3&gt;AD$3)+($V557:$AE557=AD557)*($V$3:$AE$3=AD$3)*($V$2:$AE$2&lt;AD$2))),2))))</f>
      </c>
      <c r="AO557" s="33">
        <f>IF(AE557&lt;=0,0,MAX(0,MIN(AE557,ROUND($AZ557-SUMPRODUCT($V557:$AE557*($V557:$AE557&gt;0)*(($V557:$AE557&lt;AE557)+($V557:$AE557=AE557)*($V$3:$AE$3&gt;AE$3)+($V557:$AE557=AE557)*($V$3:$AE$3=AE$3)*($V$2:$AE$2&lt;AE$2))),2))))</f>
      </c>
      <c r="AP557" s="33">
        <f>ROUND(V557-AF557,2)</f>
      </c>
      <c r="AQ557" s="33">
        <f>ROUND(W557-AG557,2)</f>
      </c>
      <c r="AR557" s="33">
        <f>ROUND(X557-AH557,2)</f>
      </c>
      <c r="AS557" s="33">
        <f>ROUND(Y557-AI557,2)</f>
      </c>
      <c r="AT557" s="33">
        <f>ROUND(Z557-AJ557,2)</f>
      </c>
      <c r="AU557" s="33">
        <f>ROUND(AA557-AK557,2)</f>
      </c>
      <c r="AV557" s="33">
        <f>ROUND(AB557-AL557,2)</f>
      </c>
      <c r="AW557" s="33">
        <f>ROUND(AC557-AM557,2)</f>
      </c>
      <c r="AX557" s="33">
        <f>ROUND(AD557-AN557,2)</f>
      </c>
      <c r="AY557" s="33">
        <f>ROUND(AE557-AO557,2)</f>
      </c>
      <c r="AZ557" s="33">
        <f>ROUND(MAX(0,'Your debts'!$D$22-SUM($L557:$U557)),2)</f>
      </c>
      <c r="BA557" s="33">
        <f>ROUND(SUM($B557:$K557)-SUM($AP556:$AY556),2)</f>
      </c>
      <c r="BB557" s="33">
        <f>SUM($AP557:$AY557)</f>
      </c>
      <c r="BC557" s="33">
        <f>ROUND(SUM($L557:$U557)+SUM($AF557:$AO557),2)</f>
      </c>
    </row>
    <row r="558" spans="1:55" x14ac:dyDescent="0.25">
      <c r="A558">
        <v>551</v>
      </c>
      <c r="B558" s="33">
        <f>IF(AP557&lt;=0,0,ROUND(AP557+ROUND(AP557*V$3/12,2),2))</f>
      </c>
      <c r="C558" s="33">
        <f>IF(AQ557&lt;=0,0,ROUND(AQ557+ROUND(AQ557*W$3/12,2),2))</f>
      </c>
      <c r="D558" s="33">
        <f>IF(AR557&lt;=0,0,ROUND(AR557+ROUND(AR557*X$3/12,2),2))</f>
      </c>
      <c r="E558" s="33">
        <f>IF(AS557&lt;=0,0,ROUND(AS557+ROUND(AS557*Y$3/12,2),2))</f>
      </c>
      <c r="F558" s="33">
        <f>IF(AT557&lt;=0,0,ROUND(AT557+ROUND(AT557*Z$3/12,2),2))</f>
      </c>
      <c r="G558" s="33">
        <f>IF(AU557&lt;=0,0,ROUND(AU557+ROUND(AU557*AA$3/12,2),2))</f>
      </c>
      <c r="H558" s="33">
        <f>IF(AV557&lt;=0,0,ROUND(AV557+ROUND(AV557*AB$3/12,2),2))</f>
      </c>
      <c r="I558" s="33">
        <f>IF(AW557&lt;=0,0,ROUND(AW557+ROUND(AW557*AC$3/12,2),2))</f>
      </c>
      <c r="J558" s="33">
        <f>IF(AX557&lt;=0,0,ROUND(AX557+ROUND(AX557*AD$3/12,2),2))</f>
      </c>
      <c r="K558" s="33">
        <f>IF(AY557&lt;=0,0,ROUND(AY557+ROUND(AY557*AE$3/12,2),2))</f>
      </c>
      <c r="L558" s="33">
        <f>ROUND(MIN(MAX(0,N('Your debts'!$E$6)),B558),2)</f>
      </c>
      <c r="M558" s="33">
        <f>ROUND(MIN(MAX(0,N('Your debts'!$E$7)),C558),2)</f>
      </c>
      <c r="N558" s="33">
        <f>ROUND(MIN(MAX(0,N('Your debts'!$E$8)),D558),2)</f>
      </c>
      <c r="O558" s="33">
        <f>ROUND(MIN(MAX(0,N('Your debts'!$E$9)),E558),2)</f>
      </c>
      <c r="P558" s="33">
        <f>ROUND(MIN(MAX(0,N('Your debts'!$E$10)),F558),2)</f>
      </c>
      <c r="Q558" s="33">
        <f>ROUND(MIN(MAX(0,N('Your debts'!$E$11)),G558),2)</f>
      </c>
      <c r="R558" s="33">
        <f>ROUND(MIN(MAX(0,N('Your debts'!$E$12)),H558),2)</f>
      </c>
      <c r="S558" s="33">
        <f>ROUND(MIN(MAX(0,N('Your debts'!$E$13)),I558),2)</f>
      </c>
      <c r="T558" s="33">
        <f>ROUND(MIN(MAX(0,N('Your debts'!$E$14)),J558),2)</f>
      </c>
      <c r="U558" s="33">
        <f>ROUND(MIN(MAX(0,N('Your debts'!$E$15)),K558),2)</f>
      </c>
      <c r="V558" s="33">
        <f>ROUND(B558-L558,2)</f>
      </c>
      <c r="W558" s="33">
        <f>ROUND(C558-M558,2)</f>
      </c>
      <c r="X558" s="33">
        <f>ROUND(D558-N558,2)</f>
      </c>
      <c r="Y558" s="33">
        <f>ROUND(E558-O558,2)</f>
      </c>
      <c r="Z558" s="33">
        <f>ROUND(F558-P558,2)</f>
      </c>
      <c r="AA558" s="33">
        <f>ROUND(G558-Q558,2)</f>
      </c>
      <c r="AB558" s="33">
        <f>ROUND(H558-R558,2)</f>
      </c>
      <c r="AC558" s="33">
        <f>ROUND(I558-S558,2)</f>
      </c>
      <c r="AD558" s="33">
        <f>ROUND(J558-T558,2)</f>
      </c>
      <c r="AE558" s="33">
        <f>ROUND(K558-U558,2)</f>
      </c>
      <c r="AF558" s="33">
        <f>IF(V558&lt;=0,0,MAX(0,MIN(V558,ROUND($AZ558-SUMPRODUCT($V558:$AE558*($V558:$AE558&gt;0)*(($V558:$AE558&lt;V558)+($V558:$AE558=V558)*($V$3:$AE$3&gt;V$3)+($V558:$AE558=V558)*($V$3:$AE$3=V$3)*($V$2:$AE$2&lt;V$2))),2))))</f>
      </c>
      <c r="AG558" s="33">
        <f>IF(W558&lt;=0,0,MAX(0,MIN(W558,ROUND($AZ558-SUMPRODUCT($V558:$AE558*($V558:$AE558&gt;0)*(($V558:$AE558&lt;W558)+($V558:$AE558=W558)*($V$3:$AE$3&gt;W$3)+($V558:$AE558=W558)*($V$3:$AE$3=W$3)*($V$2:$AE$2&lt;W$2))),2))))</f>
      </c>
      <c r="AH558" s="33">
        <f>IF(X558&lt;=0,0,MAX(0,MIN(X558,ROUND($AZ558-SUMPRODUCT($V558:$AE558*($V558:$AE558&gt;0)*(($V558:$AE558&lt;X558)+($V558:$AE558=X558)*($V$3:$AE$3&gt;X$3)+($V558:$AE558=X558)*($V$3:$AE$3=X$3)*($V$2:$AE$2&lt;X$2))),2))))</f>
      </c>
      <c r="AI558" s="33">
        <f>IF(Y558&lt;=0,0,MAX(0,MIN(Y558,ROUND($AZ558-SUMPRODUCT($V558:$AE558*($V558:$AE558&gt;0)*(($V558:$AE558&lt;Y558)+($V558:$AE558=Y558)*($V$3:$AE$3&gt;Y$3)+($V558:$AE558=Y558)*($V$3:$AE$3=Y$3)*($V$2:$AE$2&lt;Y$2))),2))))</f>
      </c>
      <c r="AJ558" s="33">
        <f>IF(Z558&lt;=0,0,MAX(0,MIN(Z558,ROUND($AZ558-SUMPRODUCT($V558:$AE558*($V558:$AE558&gt;0)*(($V558:$AE558&lt;Z558)+($V558:$AE558=Z558)*($V$3:$AE$3&gt;Z$3)+($V558:$AE558=Z558)*($V$3:$AE$3=Z$3)*($V$2:$AE$2&lt;Z$2))),2))))</f>
      </c>
      <c r="AK558" s="33">
        <f>IF(AA558&lt;=0,0,MAX(0,MIN(AA558,ROUND($AZ558-SUMPRODUCT($V558:$AE558*($V558:$AE558&gt;0)*(($V558:$AE558&lt;AA558)+($V558:$AE558=AA558)*($V$3:$AE$3&gt;AA$3)+($V558:$AE558=AA558)*($V$3:$AE$3=AA$3)*($V$2:$AE$2&lt;AA$2))),2))))</f>
      </c>
      <c r="AL558" s="33">
        <f>IF(AB558&lt;=0,0,MAX(0,MIN(AB558,ROUND($AZ558-SUMPRODUCT($V558:$AE558*($V558:$AE558&gt;0)*(($V558:$AE558&lt;AB558)+($V558:$AE558=AB558)*($V$3:$AE$3&gt;AB$3)+($V558:$AE558=AB558)*($V$3:$AE$3=AB$3)*($V$2:$AE$2&lt;AB$2))),2))))</f>
      </c>
      <c r="AM558" s="33">
        <f>IF(AC558&lt;=0,0,MAX(0,MIN(AC558,ROUND($AZ558-SUMPRODUCT($V558:$AE558*($V558:$AE558&gt;0)*(($V558:$AE558&lt;AC558)+($V558:$AE558=AC558)*($V$3:$AE$3&gt;AC$3)+($V558:$AE558=AC558)*($V$3:$AE$3=AC$3)*($V$2:$AE$2&lt;AC$2))),2))))</f>
      </c>
      <c r="AN558" s="33">
        <f>IF(AD558&lt;=0,0,MAX(0,MIN(AD558,ROUND($AZ558-SUMPRODUCT($V558:$AE558*($V558:$AE558&gt;0)*(($V558:$AE558&lt;AD558)+($V558:$AE558=AD558)*($V$3:$AE$3&gt;AD$3)+($V558:$AE558=AD558)*($V$3:$AE$3=AD$3)*($V$2:$AE$2&lt;AD$2))),2))))</f>
      </c>
      <c r="AO558" s="33">
        <f>IF(AE558&lt;=0,0,MAX(0,MIN(AE558,ROUND($AZ558-SUMPRODUCT($V558:$AE558*($V558:$AE558&gt;0)*(($V558:$AE558&lt;AE558)+($V558:$AE558=AE558)*($V$3:$AE$3&gt;AE$3)+($V558:$AE558=AE558)*($V$3:$AE$3=AE$3)*($V$2:$AE$2&lt;AE$2))),2))))</f>
      </c>
      <c r="AP558" s="33">
        <f>ROUND(V558-AF558,2)</f>
      </c>
      <c r="AQ558" s="33">
        <f>ROUND(W558-AG558,2)</f>
      </c>
      <c r="AR558" s="33">
        <f>ROUND(X558-AH558,2)</f>
      </c>
      <c r="AS558" s="33">
        <f>ROUND(Y558-AI558,2)</f>
      </c>
      <c r="AT558" s="33">
        <f>ROUND(Z558-AJ558,2)</f>
      </c>
      <c r="AU558" s="33">
        <f>ROUND(AA558-AK558,2)</f>
      </c>
      <c r="AV558" s="33">
        <f>ROUND(AB558-AL558,2)</f>
      </c>
      <c r="AW558" s="33">
        <f>ROUND(AC558-AM558,2)</f>
      </c>
      <c r="AX558" s="33">
        <f>ROUND(AD558-AN558,2)</f>
      </c>
      <c r="AY558" s="33">
        <f>ROUND(AE558-AO558,2)</f>
      </c>
      <c r="AZ558" s="33">
        <f>ROUND(MAX(0,'Your debts'!$D$22-SUM($L558:$U558)),2)</f>
      </c>
      <c r="BA558" s="33">
        <f>ROUND(SUM($B558:$K558)-SUM($AP557:$AY557),2)</f>
      </c>
      <c r="BB558" s="33">
        <f>SUM($AP558:$AY558)</f>
      </c>
      <c r="BC558" s="33">
        <f>ROUND(SUM($L558:$U558)+SUM($AF558:$AO558),2)</f>
      </c>
    </row>
    <row r="559" spans="1:55" x14ac:dyDescent="0.25">
      <c r="A559">
        <v>552</v>
      </c>
      <c r="B559" s="33">
        <f>IF(AP558&lt;=0,0,ROUND(AP558+ROUND(AP558*V$3/12,2),2))</f>
      </c>
      <c r="C559" s="33">
        <f>IF(AQ558&lt;=0,0,ROUND(AQ558+ROUND(AQ558*W$3/12,2),2))</f>
      </c>
      <c r="D559" s="33">
        <f>IF(AR558&lt;=0,0,ROUND(AR558+ROUND(AR558*X$3/12,2),2))</f>
      </c>
      <c r="E559" s="33">
        <f>IF(AS558&lt;=0,0,ROUND(AS558+ROUND(AS558*Y$3/12,2),2))</f>
      </c>
      <c r="F559" s="33">
        <f>IF(AT558&lt;=0,0,ROUND(AT558+ROUND(AT558*Z$3/12,2),2))</f>
      </c>
      <c r="G559" s="33">
        <f>IF(AU558&lt;=0,0,ROUND(AU558+ROUND(AU558*AA$3/12,2),2))</f>
      </c>
      <c r="H559" s="33">
        <f>IF(AV558&lt;=0,0,ROUND(AV558+ROUND(AV558*AB$3/12,2),2))</f>
      </c>
      <c r="I559" s="33">
        <f>IF(AW558&lt;=0,0,ROUND(AW558+ROUND(AW558*AC$3/12,2),2))</f>
      </c>
      <c r="J559" s="33">
        <f>IF(AX558&lt;=0,0,ROUND(AX558+ROUND(AX558*AD$3/12,2),2))</f>
      </c>
      <c r="K559" s="33">
        <f>IF(AY558&lt;=0,0,ROUND(AY558+ROUND(AY558*AE$3/12,2),2))</f>
      </c>
      <c r="L559" s="33">
        <f>ROUND(MIN(MAX(0,N('Your debts'!$E$6)),B559),2)</f>
      </c>
      <c r="M559" s="33">
        <f>ROUND(MIN(MAX(0,N('Your debts'!$E$7)),C559),2)</f>
      </c>
      <c r="N559" s="33">
        <f>ROUND(MIN(MAX(0,N('Your debts'!$E$8)),D559),2)</f>
      </c>
      <c r="O559" s="33">
        <f>ROUND(MIN(MAX(0,N('Your debts'!$E$9)),E559),2)</f>
      </c>
      <c r="P559" s="33">
        <f>ROUND(MIN(MAX(0,N('Your debts'!$E$10)),F559),2)</f>
      </c>
      <c r="Q559" s="33">
        <f>ROUND(MIN(MAX(0,N('Your debts'!$E$11)),G559),2)</f>
      </c>
      <c r="R559" s="33">
        <f>ROUND(MIN(MAX(0,N('Your debts'!$E$12)),H559),2)</f>
      </c>
      <c r="S559" s="33">
        <f>ROUND(MIN(MAX(0,N('Your debts'!$E$13)),I559),2)</f>
      </c>
      <c r="T559" s="33">
        <f>ROUND(MIN(MAX(0,N('Your debts'!$E$14)),J559),2)</f>
      </c>
      <c r="U559" s="33">
        <f>ROUND(MIN(MAX(0,N('Your debts'!$E$15)),K559),2)</f>
      </c>
      <c r="V559" s="33">
        <f>ROUND(B559-L559,2)</f>
      </c>
      <c r="W559" s="33">
        <f>ROUND(C559-M559,2)</f>
      </c>
      <c r="X559" s="33">
        <f>ROUND(D559-N559,2)</f>
      </c>
      <c r="Y559" s="33">
        <f>ROUND(E559-O559,2)</f>
      </c>
      <c r="Z559" s="33">
        <f>ROUND(F559-P559,2)</f>
      </c>
      <c r="AA559" s="33">
        <f>ROUND(G559-Q559,2)</f>
      </c>
      <c r="AB559" s="33">
        <f>ROUND(H559-R559,2)</f>
      </c>
      <c r="AC559" s="33">
        <f>ROUND(I559-S559,2)</f>
      </c>
      <c r="AD559" s="33">
        <f>ROUND(J559-T559,2)</f>
      </c>
      <c r="AE559" s="33">
        <f>ROUND(K559-U559,2)</f>
      </c>
      <c r="AF559" s="33">
        <f>IF(V559&lt;=0,0,MAX(0,MIN(V559,ROUND($AZ559-SUMPRODUCT($V559:$AE559*($V559:$AE559&gt;0)*(($V559:$AE559&lt;V559)+($V559:$AE559=V559)*($V$3:$AE$3&gt;V$3)+($V559:$AE559=V559)*($V$3:$AE$3=V$3)*($V$2:$AE$2&lt;V$2))),2))))</f>
      </c>
      <c r="AG559" s="33">
        <f>IF(W559&lt;=0,0,MAX(0,MIN(W559,ROUND($AZ559-SUMPRODUCT($V559:$AE559*($V559:$AE559&gt;0)*(($V559:$AE559&lt;W559)+($V559:$AE559=W559)*($V$3:$AE$3&gt;W$3)+($V559:$AE559=W559)*($V$3:$AE$3=W$3)*($V$2:$AE$2&lt;W$2))),2))))</f>
      </c>
      <c r="AH559" s="33">
        <f>IF(X559&lt;=0,0,MAX(0,MIN(X559,ROUND($AZ559-SUMPRODUCT($V559:$AE559*($V559:$AE559&gt;0)*(($V559:$AE559&lt;X559)+($V559:$AE559=X559)*($V$3:$AE$3&gt;X$3)+($V559:$AE559=X559)*($V$3:$AE$3=X$3)*($V$2:$AE$2&lt;X$2))),2))))</f>
      </c>
      <c r="AI559" s="33">
        <f>IF(Y559&lt;=0,0,MAX(0,MIN(Y559,ROUND($AZ559-SUMPRODUCT($V559:$AE559*($V559:$AE559&gt;0)*(($V559:$AE559&lt;Y559)+($V559:$AE559=Y559)*($V$3:$AE$3&gt;Y$3)+($V559:$AE559=Y559)*($V$3:$AE$3=Y$3)*($V$2:$AE$2&lt;Y$2))),2))))</f>
      </c>
      <c r="AJ559" s="33">
        <f>IF(Z559&lt;=0,0,MAX(0,MIN(Z559,ROUND($AZ559-SUMPRODUCT($V559:$AE559*($V559:$AE559&gt;0)*(($V559:$AE559&lt;Z559)+($V559:$AE559=Z559)*($V$3:$AE$3&gt;Z$3)+($V559:$AE559=Z559)*($V$3:$AE$3=Z$3)*($V$2:$AE$2&lt;Z$2))),2))))</f>
      </c>
      <c r="AK559" s="33">
        <f>IF(AA559&lt;=0,0,MAX(0,MIN(AA559,ROUND($AZ559-SUMPRODUCT($V559:$AE559*($V559:$AE559&gt;0)*(($V559:$AE559&lt;AA559)+($V559:$AE559=AA559)*($V$3:$AE$3&gt;AA$3)+($V559:$AE559=AA559)*($V$3:$AE$3=AA$3)*($V$2:$AE$2&lt;AA$2))),2))))</f>
      </c>
      <c r="AL559" s="33">
        <f>IF(AB559&lt;=0,0,MAX(0,MIN(AB559,ROUND($AZ559-SUMPRODUCT($V559:$AE559*($V559:$AE559&gt;0)*(($V559:$AE559&lt;AB559)+($V559:$AE559=AB559)*($V$3:$AE$3&gt;AB$3)+($V559:$AE559=AB559)*($V$3:$AE$3=AB$3)*($V$2:$AE$2&lt;AB$2))),2))))</f>
      </c>
      <c r="AM559" s="33">
        <f>IF(AC559&lt;=0,0,MAX(0,MIN(AC559,ROUND($AZ559-SUMPRODUCT($V559:$AE559*($V559:$AE559&gt;0)*(($V559:$AE559&lt;AC559)+($V559:$AE559=AC559)*($V$3:$AE$3&gt;AC$3)+($V559:$AE559=AC559)*($V$3:$AE$3=AC$3)*($V$2:$AE$2&lt;AC$2))),2))))</f>
      </c>
      <c r="AN559" s="33">
        <f>IF(AD559&lt;=0,0,MAX(0,MIN(AD559,ROUND($AZ559-SUMPRODUCT($V559:$AE559*($V559:$AE559&gt;0)*(($V559:$AE559&lt;AD559)+($V559:$AE559=AD559)*($V$3:$AE$3&gt;AD$3)+($V559:$AE559=AD559)*($V$3:$AE$3=AD$3)*($V$2:$AE$2&lt;AD$2))),2))))</f>
      </c>
      <c r="AO559" s="33">
        <f>IF(AE559&lt;=0,0,MAX(0,MIN(AE559,ROUND($AZ559-SUMPRODUCT($V559:$AE559*($V559:$AE559&gt;0)*(($V559:$AE559&lt;AE559)+($V559:$AE559=AE559)*($V$3:$AE$3&gt;AE$3)+($V559:$AE559=AE559)*($V$3:$AE$3=AE$3)*($V$2:$AE$2&lt;AE$2))),2))))</f>
      </c>
      <c r="AP559" s="33">
        <f>ROUND(V559-AF559,2)</f>
      </c>
      <c r="AQ559" s="33">
        <f>ROUND(W559-AG559,2)</f>
      </c>
      <c r="AR559" s="33">
        <f>ROUND(X559-AH559,2)</f>
      </c>
      <c r="AS559" s="33">
        <f>ROUND(Y559-AI559,2)</f>
      </c>
      <c r="AT559" s="33">
        <f>ROUND(Z559-AJ559,2)</f>
      </c>
      <c r="AU559" s="33">
        <f>ROUND(AA559-AK559,2)</f>
      </c>
      <c r="AV559" s="33">
        <f>ROUND(AB559-AL559,2)</f>
      </c>
      <c r="AW559" s="33">
        <f>ROUND(AC559-AM559,2)</f>
      </c>
      <c r="AX559" s="33">
        <f>ROUND(AD559-AN559,2)</f>
      </c>
      <c r="AY559" s="33">
        <f>ROUND(AE559-AO559,2)</f>
      </c>
      <c r="AZ559" s="33">
        <f>ROUND(MAX(0,'Your debts'!$D$22-SUM($L559:$U559)),2)</f>
      </c>
      <c r="BA559" s="33">
        <f>ROUND(SUM($B559:$K559)-SUM($AP558:$AY558),2)</f>
      </c>
      <c r="BB559" s="33">
        <f>SUM($AP559:$AY559)</f>
      </c>
      <c r="BC559" s="33">
        <f>ROUND(SUM($L559:$U559)+SUM($AF559:$AO559),2)</f>
      </c>
    </row>
    <row r="560" spans="1:55" x14ac:dyDescent="0.25">
      <c r="A560">
        <v>553</v>
      </c>
      <c r="B560" s="33">
        <f>IF(AP559&lt;=0,0,ROUND(AP559+ROUND(AP559*V$3/12,2),2))</f>
      </c>
      <c r="C560" s="33">
        <f>IF(AQ559&lt;=0,0,ROUND(AQ559+ROUND(AQ559*W$3/12,2),2))</f>
      </c>
      <c r="D560" s="33">
        <f>IF(AR559&lt;=0,0,ROUND(AR559+ROUND(AR559*X$3/12,2),2))</f>
      </c>
      <c r="E560" s="33">
        <f>IF(AS559&lt;=0,0,ROUND(AS559+ROUND(AS559*Y$3/12,2),2))</f>
      </c>
      <c r="F560" s="33">
        <f>IF(AT559&lt;=0,0,ROUND(AT559+ROUND(AT559*Z$3/12,2),2))</f>
      </c>
      <c r="G560" s="33">
        <f>IF(AU559&lt;=0,0,ROUND(AU559+ROUND(AU559*AA$3/12,2),2))</f>
      </c>
      <c r="H560" s="33">
        <f>IF(AV559&lt;=0,0,ROUND(AV559+ROUND(AV559*AB$3/12,2),2))</f>
      </c>
      <c r="I560" s="33">
        <f>IF(AW559&lt;=0,0,ROUND(AW559+ROUND(AW559*AC$3/12,2),2))</f>
      </c>
      <c r="J560" s="33">
        <f>IF(AX559&lt;=0,0,ROUND(AX559+ROUND(AX559*AD$3/12,2),2))</f>
      </c>
      <c r="K560" s="33">
        <f>IF(AY559&lt;=0,0,ROUND(AY559+ROUND(AY559*AE$3/12,2),2))</f>
      </c>
      <c r="L560" s="33">
        <f>ROUND(MIN(MAX(0,N('Your debts'!$E$6)),B560),2)</f>
      </c>
      <c r="M560" s="33">
        <f>ROUND(MIN(MAX(0,N('Your debts'!$E$7)),C560),2)</f>
      </c>
      <c r="N560" s="33">
        <f>ROUND(MIN(MAX(0,N('Your debts'!$E$8)),D560),2)</f>
      </c>
      <c r="O560" s="33">
        <f>ROUND(MIN(MAX(0,N('Your debts'!$E$9)),E560),2)</f>
      </c>
      <c r="P560" s="33">
        <f>ROUND(MIN(MAX(0,N('Your debts'!$E$10)),F560),2)</f>
      </c>
      <c r="Q560" s="33">
        <f>ROUND(MIN(MAX(0,N('Your debts'!$E$11)),G560),2)</f>
      </c>
      <c r="R560" s="33">
        <f>ROUND(MIN(MAX(0,N('Your debts'!$E$12)),H560),2)</f>
      </c>
      <c r="S560" s="33">
        <f>ROUND(MIN(MAX(0,N('Your debts'!$E$13)),I560),2)</f>
      </c>
      <c r="T560" s="33">
        <f>ROUND(MIN(MAX(0,N('Your debts'!$E$14)),J560),2)</f>
      </c>
      <c r="U560" s="33">
        <f>ROUND(MIN(MAX(0,N('Your debts'!$E$15)),K560),2)</f>
      </c>
      <c r="V560" s="33">
        <f>ROUND(B560-L560,2)</f>
      </c>
      <c r="W560" s="33">
        <f>ROUND(C560-M560,2)</f>
      </c>
      <c r="X560" s="33">
        <f>ROUND(D560-N560,2)</f>
      </c>
      <c r="Y560" s="33">
        <f>ROUND(E560-O560,2)</f>
      </c>
      <c r="Z560" s="33">
        <f>ROUND(F560-P560,2)</f>
      </c>
      <c r="AA560" s="33">
        <f>ROUND(G560-Q560,2)</f>
      </c>
      <c r="AB560" s="33">
        <f>ROUND(H560-R560,2)</f>
      </c>
      <c r="AC560" s="33">
        <f>ROUND(I560-S560,2)</f>
      </c>
      <c r="AD560" s="33">
        <f>ROUND(J560-T560,2)</f>
      </c>
      <c r="AE560" s="33">
        <f>ROUND(K560-U560,2)</f>
      </c>
      <c r="AF560" s="33">
        <f>IF(V560&lt;=0,0,MAX(0,MIN(V560,ROUND($AZ560-SUMPRODUCT($V560:$AE560*($V560:$AE560&gt;0)*(($V560:$AE560&lt;V560)+($V560:$AE560=V560)*($V$3:$AE$3&gt;V$3)+($V560:$AE560=V560)*($V$3:$AE$3=V$3)*($V$2:$AE$2&lt;V$2))),2))))</f>
      </c>
      <c r="AG560" s="33">
        <f>IF(W560&lt;=0,0,MAX(0,MIN(W560,ROUND($AZ560-SUMPRODUCT($V560:$AE560*($V560:$AE560&gt;0)*(($V560:$AE560&lt;W560)+($V560:$AE560=W560)*($V$3:$AE$3&gt;W$3)+($V560:$AE560=W560)*($V$3:$AE$3=W$3)*($V$2:$AE$2&lt;W$2))),2))))</f>
      </c>
      <c r="AH560" s="33">
        <f>IF(X560&lt;=0,0,MAX(0,MIN(X560,ROUND($AZ560-SUMPRODUCT($V560:$AE560*($V560:$AE560&gt;0)*(($V560:$AE560&lt;X560)+($V560:$AE560=X560)*($V$3:$AE$3&gt;X$3)+($V560:$AE560=X560)*($V$3:$AE$3=X$3)*($V$2:$AE$2&lt;X$2))),2))))</f>
      </c>
      <c r="AI560" s="33">
        <f>IF(Y560&lt;=0,0,MAX(0,MIN(Y560,ROUND($AZ560-SUMPRODUCT($V560:$AE560*($V560:$AE560&gt;0)*(($V560:$AE560&lt;Y560)+($V560:$AE560=Y560)*($V$3:$AE$3&gt;Y$3)+($V560:$AE560=Y560)*($V$3:$AE$3=Y$3)*($V$2:$AE$2&lt;Y$2))),2))))</f>
      </c>
      <c r="AJ560" s="33">
        <f>IF(Z560&lt;=0,0,MAX(0,MIN(Z560,ROUND($AZ560-SUMPRODUCT($V560:$AE560*($V560:$AE560&gt;0)*(($V560:$AE560&lt;Z560)+($V560:$AE560=Z560)*($V$3:$AE$3&gt;Z$3)+($V560:$AE560=Z560)*($V$3:$AE$3=Z$3)*($V$2:$AE$2&lt;Z$2))),2))))</f>
      </c>
      <c r="AK560" s="33">
        <f>IF(AA560&lt;=0,0,MAX(0,MIN(AA560,ROUND($AZ560-SUMPRODUCT($V560:$AE560*($V560:$AE560&gt;0)*(($V560:$AE560&lt;AA560)+($V560:$AE560=AA560)*($V$3:$AE$3&gt;AA$3)+($V560:$AE560=AA560)*($V$3:$AE$3=AA$3)*($V$2:$AE$2&lt;AA$2))),2))))</f>
      </c>
      <c r="AL560" s="33">
        <f>IF(AB560&lt;=0,0,MAX(0,MIN(AB560,ROUND($AZ560-SUMPRODUCT($V560:$AE560*($V560:$AE560&gt;0)*(($V560:$AE560&lt;AB560)+($V560:$AE560=AB560)*($V$3:$AE$3&gt;AB$3)+($V560:$AE560=AB560)*($V$3:$AE$3=AB$3)*($V$2:$AE$2&lt;AB$2))),2))))</f>
      </c>
      <c r="AM560" s="33">
        <f>IF(AC560&lt;=0,0,MAX(0,MIN(AC560,ROUND($AZ560-SUMPRODUCT($V560:$AE560*($V560:$AE560&gt;0)*(($V560:$AE560&lt;AC560)+($V560:$AE560=AC560)*($V$3:$AE$3&gt;AC$3)+($V560:$AE560=AC560)*($V$3:$AE$3=AC$3)*($V$2:$AE$2&lt;AC$2))),2))))</f>
      </c>
      <c r="AN560" s="33">
        <f>IF(AD560&lt;=0,0,MAX(0,MIN(AD560,ROUND($AZ560-SUMPRODUCT($V560:$AE560*($V560:$AE560&gt;0)*(($V560:$AE560&lt;AD560)+($V560:$AE560=AD560)*($V$3:$AE$3&gt;AD$3)+($V560:$AE560=AD560)*($V$3:$AE$3=AD$3)*($V$2:$AE$2&lt;AD$2))),2))))</f>
      </c>
      <c r="AO560" s="33">
        <f>IF(AE560&lt;=0,0,MAX(0,MIN(AE560,ROUND($AZ560-SUMPRODUCT($V560:$AE560*($V560:$AE560&gt;0)*(($V560:$AE560&lt;AE560)+($V560:$AE560=AE560)*($V$3:$AE$3&gt;AE$3)+($V560:$AE560=AE560)*($V$3:$AE$3=AE$3)*($V$2:$AE$2&lt;AE$2))),2))))</f>
      </c>
      <c r="AP560" s="33">
        <f>ROUND(V560-AF560,2)</f>
      </c>
      <c r="AQ560" s="33">
        <f>ROUND(W560-AG560,2)</f>
      </c>
      <c r="AR560" s="33">
        <f>ROUND(X560-AH560,2)</f>
      </c>
      <c r="AS560" s="33">
        <f>ROUND(Y560-AI560,2)</f>
      </c>
      <c r="AT560" s="33">
        <f>ROUND(Z560-AJ560,2)</f>
      </c>
      <c r="AU560" s="33">
        <f>ROUND(AA560-AK560,2)</f>
      </c>
      <c r="AV560" s="33">
        <f>ROUND(AB560-AL560,2)</f>
      </c>
      <c r="AW560" s="33">
        <f>ROUND(AC560-AM560,2)</f>
      </c>
      <c r="AX560" s="33">
        <f>ROUND(AD560-AN560,2)</f>
      </c>
      <c r="AY560" s="33">
        <f>ROUND(AE560-AO560,2)</f>
      </c>
      <c r="AZ560" s="33">
        <f>ROUND(MAX(0,'Your debts'!$D$22-SUM($L560:$U560)),2)</f>
      </c>
      <c r="BA560" s="33">
        <f>ROUND(SUM($B560:$K560)-SUM($AP559:$AY559),2)</f>
      </c>
      <c r="BB560" s="33">
        <f>SUM($AP560:$AY560)</f>
      </c>
      <c r="BC560" s="33">
        <f>ROUND(SUM($L560:$U560)+SUM($AF560:$AO560),2)</f>
      </c>
    </row>
    <row r="561" spans="1:55" x14ac:dyDescent="0.25">
      <c r="A561">
        <v>554</v>
      </c>
      <c r="B561" s="33">
        <f>IF(AP560&lt;=0,0,ROUND(AP560+ROUND(AP560*V$3/12,2),2))</f>
      </c>
      <c r="C561" s="33">
        <f>IF(AQ560&lt;=0,0,ROUND(AQ560+ROUND(AQ560*W$3/12,2),2))</f>
      </c>
      <c r="D561" s="33">
        <f>IF(AR560&lt;=0,0,ROUND(AR560+ROUND(AR560*X$3/12,2),2))</f>
      </c>
      <c r="E561" s="33">
        <f>IF(AS560&lt;=0,0,ROUND(AS560+ROUND(AS560*Y$3/12,2),2))</f>
      </c>
      <c r="F561" s="33">
        <f>IF(AT560&lt;=0,0,ROUND(AT560+ROUND(AT560*Z$3/12,2),2))</f>
      </c>
      <c r="G561" s="33">
        <f>IF(AU560&lt;=0,0,ROUND(AU560+ROUND(AU560*AA$3/12,2),2))</f>
      </c>
      <c r="H561" s="33">
        <f>IF(AV560&lt;=0,0,ROUND(AV560+ROUND(AV560*AB$3/12,2),2))</f>
      </c>
      <c r="I561" s="33">
        <f>IF(AW560&lt;=0,0,ROUND(AW560+ROUND(AW560*AC$3/12,2),2))</f>
      </c>
      <c r="J561" s="33">
        <f>IF(AX560&lt;=0,0,ROUND(AX560+ROUND(AX560*AD$3/12,2),2))</f>
      </c>
      <c r="K561" s="33">
        <f>IF(AY560&lt;=0,0,ROUND(AY560+ROUND(AY560*AE$3/12,2),2))</f>
      </c>
      <c r="L561" s="33">
        <f>ROUND(MIN(MAX(0,N('Your debts'!$E$6)),B561),2)</f>
      </c>
      <c r="M561" s="33">
        <f>ROUND(MIN(MAX(0,N('Your debts'!$E$7)),C561),2)</f>
      </c>
      <c r="N561" s="33">
        <f>ROUND(MIN(MAX(0,N('Your debts'!$E$8)),D561),2)</f>
      </c>
      <c r="O561" s="33">
        <f>ROUND(MIN(MAX(0,N('Your debts'!$E$9)),E561),2)</f>
      </c>
      <c r="P561" s="33">
        <f>ROUND(MIN(MAX(0,N('Your debts'!$E$10)),F561),2)</f>
      </c>
      <c r="Q561" s="33">
        <f>ROUND(MIN(MAX(0,N('Your debts'!$E$11)),G561),2)</f>
      </c>
      <c r="R561" s="33">
        <f>ROUND(MIN(MAX(0,N('Your debts'!$E$12)),H561),2)</f>
      </c>
      <c r="S561" s="33">
        <f>ROUND(MIN(MAX(0,N('Your debts'!$E$13)),I561),2)</f>
      </c>
      <c r="T561" s="33">
        <f>ROUND(MIN(MAX(0,N('Your debts'!$E$14)),J561),2)</f>
      </c>
      <c r="U561" s="33">
        <f>ROUND(MIN(MAX(0,N('Your debts'!$E$15)),K561),2)</f>
      </c>
      <c r="V561" s="33">
        <f>ROUND(B561-L561,2)</f>
      </c>
      <c r="W561" s="33">
        <f>ROUND(C561-M561,2)</f>
      </c>
      <c r="X561" s="33">
        <f>ROUND(D561-N561,2)</f>
      </c>
      <c r="Y561" s="33">
        <f>ROUND(E561-O561,2)</f>
      </c>
      <c r="Z561" s="33">
        <f>ROUND(F561-P561,2)</f>
      </c>
      <c r="AA561" s="33">
        <f>ROUND(G561-Q561,2)</f>
      </c>
      <c r="AB561" s="33">
        <f>ROUND(H561-R561,2)</f>
      </c>
      <c r="AC561" s="33">
        <f>ROUND(I561-S561,2)</f>
      </c>
      <c r="AD561" s="33">
        <f>ROUND(J561-T561,2)</f>
      </c>
      <c r="AE561" s="33">
        <f>ROUND(K561-U561,2)</f>
      </c>
      <c r="AF561" s="33">
        <f>IF(V561&lt;=0,0,MAX(0,MIN(V561,ROUND($AZ561-SUMPRODUCT($V561:$AE561*($V561:$AE561&gt;0)*(($V561:$AE561&lt;V561)+($V561:$AE561=V561)*($V$3:$AE$3&gt;V$3)+($V561:$AE561=V561)*($V$3:$AE$3=V$3)*($V$2:$AE$2&lt;V$2))),2))))</f>
      </c>
      <c r="AG561" s="33">
        <f>IF(W561&lt;=0,0,MAX(0,MIN(W561,ROUND($AZ561-SUMPRODUCT($V561:$AE561*($V561:$AE561&gt;0)*(($V561:$AE561&lt;W561)+($V561:$AE561=W561)*($V$3:$AE$3&gt;W$3)+($V561:$AE561=W561)*($V$3:$AE$3=W$3)*($V$2:$AE$2&lt;W$2))),2))))</f>
      </c>
      <c r="AH561" s="33">
        <f>IF(X561&lt;=0,0,MAX(0,MIN(X561,ROUND($AZ561-SUMPRODUCT($V561:$AE561*($V561:$AE561&gt;0)*(($V561:$AE561&lt;X561)+($V561:$AE561=X561)*($V$3:$AE$3&gt;X$3)+($V561:$AE561=X561)*($V$3:$AE$3=X$3)*($V$2:$AE$2&lt;X$2))),2))))</f>
      </c>
      <c r="AI561" s="33">
        <f>IF(Y561&lt;=0,0,MAX(0,MIN(Y561,ROUND($AZ561-SUMPRODUCT($V561:$AE561*($V561:$AE561&gt;0)*(($V561:$AE561&lt;Y561)+($V561:$AE561=Y561)*($V$3:$AE$3&gt;Y$3)+($V561:$AE561=Y561)*($V$3:$AE$3=Y$3)*($V$2:$AE$2&lt;Y$2))),2))))</f>
      </c>
      <c r="AJ561" s="33">
        <f>IF(Z561&lt;=0,0,MAX(0,MIN(Z561,ROUND($AZ561-SUMPRODUCT($V561:$AE561*($V561:$AE561&gt;0)*(($V561:$AE561&lt;Z561)+($V561:$AE561=Z561)*($V$3:$AE$3&gt;Z$3)+($V561:$AE561=Z561)*($V$3:$AE$3=Z$3)*($V$2:$AE$2&lt;Z$2))),2))))</f>
      </c>
      <c r="AK561" s="33">
        <f>IF(AA561&lt;=0,0,MAX(0,MIN(AA561,ROUND($AZ561-SUMPRODUCT($V561:$AE561*($V561:$AE561&gt;0)*(($V561:$AE561&lt;AA561)+($V561:$AE561=AA561)*($V$3:$AE$3&gt;AA$3)+($V561:$AE561=AA561)*($V$3:$AE$3=AA$3)*($V$2:$AE$2&lt;AA$2))),2))))</f>
      </c>
      <c r="AL561" s="33">
        <f>IF(AB561&lt;=0,0,MAX(0,MIN(AB561,ROUND($AZ561-SUMPRODUCT($V561:$AE561*($V561:$AE561&gt;0)*(($V561:$AE561&lt;AB561)+($V561:$AE561=AB561)*($V$3:$AE$3&gt;AB$3)+($V561:$AE561=AB561)*($V$3:$AE$3=AB$3)*($V$2:$AE$2&lt;AB$2))),2))))</f>
      </c>
      <c r="AM561" s="33">
        <f>IF(AC561&lt;=0,0,MAX(0,MIN(AC561,ROUND($AZ561-SUMPRODUCT($V561:$AE561*($V561:$AE561&gt;0)*(($V561:$AE561&lt;AC561)+($V561:$AE561=AC561)*($V$3:$AE$3&gt;AC$3)+($V561:$AE561=AC561)*($V$3:$AE$3=AC$3)*($V$2:$AE$2&lt;AC$2))),2))))</f>
      </c>
      <c r="AN561" s="33">
        <f>IF(AD561&lt;=0,0,MAX(0,MIN(AD561,ROUND($AZ561-SUMPRODUCT($V561:$AE561*($V561:$AE561&gt;0)*(($V561:$AE561&lt;AD561)+($V561:$AE561=AD561)*($V$3:$AE$3&gt;AD$3)+($V561:$AE561=AD561)*($V$3:$AE$3=AD$3)*($V$2:$AE$2&lt;AD$2))),2))))</f>
      </c>
      <c r="AO561" s="33">
        <f>IF(AE561&lt;=0,0,MAX(0,MIN(AE561,ROUND($AZ561-SUMPRODUCT($V561:$AE561*($V561:$AE561&gt;0)*(($V561:$AE561&lt;AE561)+($V561:$AE561=AE561)*($V$3:$AE$3&gt;AE$3)+($V561:$AE561=AE561)*($V$3:$AE$3=AE$3)*($V$2:$AE$2&lt;AE$2))),2))))</f>
      </c>
      <c r="AP561" s="33">
        <f>ROUND(V561-AF561,2)</f>
      </c>
      <c r="AQ561" s="33">
        <f>ROUND(W561-AG561,2)</f>
      </c>
      <c r="AR561" s="33">
        <f>ROUND(X561-AH561,2)</f>
      </c>
      <c r="AS561" s="33">
        <f>ROUND(Y561-AI561,2)</f>
      </c>
      <c r="AT561" s="33">
        <f>ROUND(Z561-AJ561,2)</f>
      </c>
      <c r="AU561" s="33">
        <f>ROUND(AA561-AK561,2)</f>
      </c>
      <c r="AV561" s="33">
        <f>ROUND(AB561-AL561,2)</f>
      </c>
      <c r="AW561" s="33">
        <f>ROUND(AC561-AM561,2)</f>
      </c>
      <c r="AX561" s="33">
        <f>ROUND(AD561-AN561,2)</f>
      </c>
      <c r="AY561" s="33">
        <f>ROUND(AE561-AO561,2)</f>
      </c>
      <c r="AZ561" s="33">
        <f>ROUND(MAX(0,'Your debts'!$D$22-SUM($L561:$U561)),2)</f>
      </c>
      <c r="BA561" s="33">
        <f>ROUND(SUM($B561:$K561)-SUM($AP560:$AY560),2)</f>
      </c>
      <c r="BB561" s="33">
        <f>SUM($AP561:$AY561)</f>
      </c>
      <c r="BC561" s="33">
        <f>ROUND(SUM($L561:$U561)+SUM($AF561:$AO561),2)</f>
      </c>
    </row>
    <row r="562" spans="1:55" x14ac:dyDescent="0.25">
      <c r="A562">
        <v>555</v>
      </c>
      <c r="B562" s="33">
        <f>IF(AP561&lt;=0,0,ROUND(AP561+ROUND(AP561*V$3/12,2),2))</f>
      </c>
      <c r="C562" s="33">
        <f>IF(AQ561&lt;=0,0,ROUND(AQ561+ROUND(AQ561*W$3/12,2),2))</f>
      </c>
      <c r="D562" s="33">
        <f>IF(AR561&lt;=0,0,ROUND(AR561+ROUND(AR561*X$3/12,2),2))</f>
      </c>
      <c r="E562" s="33">
        <f>IF(AS561&lt;=0,0,ROUND(AS561+ROUND(AS561*Y$3/12,2),2))</f>
      </c>
      <c r="F562" s="33">
        <f>IF(AT561&lt;=0,0,ROUND(AT561+ROUND(AT561*Z$3/12,2),2))</f>
      </c>
      <c r="G562" s="33">
        <f>IF(AU561&lt;=0,0,ROUND(AU561+ROUND(AU561*AA$3/12,2),2))</f>
      </c>
      <c r="H562" s="33">
        <f>IF(AV561&lt;=0,0,ROUND(AV561+ROUND(AV561*AB$3/12,2),2))</f>
      </c>
      <c r="I562" s="33">
        <f>IF(AW561&lt;=0,0,ROUND(AW561+ROUND(AW561*AC$3/12,2),2))</f>
      </c>
      <c r="J562" s="33">
        <f>IF(AX561&lt;=0,0,ROUND(AX561+ROUND(AX561*AD$3/12,2),2))</f>
      </c>
      <c r="K562" s="33">
        <f>IF(AY561&lt;=0,0,ROUND(AY561+ROUND(AY561*AE$3/12,2),2))</f>
      </c>
      <c r="L562" s="33">
        <f>ROUND(MIN(MAX(0,N('Your debts'!$E$6)),B562),2)</f>
      </c>
      <c r="M562" s="33">
        <f>ROUND(MIN(MAX(0,N('Your debts'!$E$7)),C562),2)</f>
      </c>
      <c r="N562" s="33">
        <f>ROUND(MIN(MAX(0,N('Your debts'!$E$8)),D562),2)</f>
      </c>
      <c r="O562" s="33">
        <f>ROUND(MIN(MAX(0,N('Your debts'!$E$9)),E562),2)</f>
      </c>
      <c r="P562" s="33">
        <f>ROUND(MIN(MAX(0,N('Your debts'!$E$10)),F562),2)</f>
      </c>
      <c r="Q562" s="33">
        <f>ROUND(MIN(MAX(0,N('Your debts'!$E$11)),G562),2)</f>
      </c>
      <c r="R562" s="33">
        <f>ROUND(MIN(MAX(0,N('Your debts'!$E$12)),H562),2)</f>
      </c>
      <c r="S562" s="33">
        <f>ROUND(MIN(MAX(0,N('Your debts'!$E$13)),I562),2)</f>
      </c>
      <c r="T562" s="33">
        <f>ROUND(MIN(MAX(0,N('Your debts'!$E$14)),J562),2)</f>
      </c>
      <c r="U562" s="33">
        <f>ROUND(MIN(MAX(0,N('Your debts'!$E$15)),K562),2)</f>
      </c>
      <c r="V562" s="33">
        <f>ROUND(B562-L562,2)</f>
      </c>
      <c r="W562" s="33">
        <f>ROUND(C562-M562,2)</f>
      </c>
      <c r="X562" s="33">
        <f>ROUND(D562-N562,2)</f>
      </c>
      <c r="Y562" s="33">
        <f>ROUND(E562-O562,2)</f>
      </c>
      <c r="Z562" s="33">
        <f>ROUND(F562-P562,2)</f>
      </c>
      <c r="AA562" s="33">
        <f>ROUND(G562-Q562,2)</f>
      </c>
      <c r="AB562" s="33">
        <f>ROUND(H562-R562,2)</f>
      </c>
      <c r="AC562" s="33">
        <f>ROUND(I562-S562,2)</f>
      </c>
      <c r="AD562" s="33">
        <f>ROUND(J562-T562,2)</f>
      </c>
      <c r="AE562" s="33">
        <f>ROUND(K562-U562,2)</f>
      </c>
      <c r="AF562" s="33">
        <f>IF(V562&lt;=0,0,MAX(0,MIN(V562,ROUND($AZ562-SUMPRODUCT($V562:$AE562*($V562:$AE562&gt;0)*(($V562:$AE562&lt;V562)+($V562:$AE562=V562)*($V$3:$AE$3&gt;V$3)+($V562:$AE562=V562)*($V$3:$AE$3=V$3)*($V$2:$AE$2&lt;V$2))),2))))</f>
      </c>
      <c r="AG562" s="33">
        <f>IF(W562&lt;=0,0,MAX(0,MIN(W562,ROUND($AZ562-SUMPRODUCT($V562:$AE562*($V562:$AE562&gt;0)*(($V562:$AE562&lt;W562)+($V562:$AE562=W562)*($V$3:$AE$3&gt;W$3)+($V562:$AE562=W562)*($V$3:$AE$3=W$3)*($V$2:$AE$2&lt;W$2))),2))))</f>
      </c>
      <c r="AH562" s="33">
        <f>IF(X562&lt;=0,0,MAX(0,MIN(X562,ROUND($AZ562-SUMPRODUCT($V562:$AE562*($V562:$AE562&gt;0)*(($V562:$AE562&lt;X562)+($V562:$AE562=X562)*($V$3:$AE$3&gt;X$3)+($V562:$AE562=X562)*($V$3:$AE$3=X$3)*($V$2:$AE$2&lt;X$2))),2))))</f>
      </c>
      <c r="AI562" s="33">
        <f>IF(Y562&lt;=0,0,MAX(0,MIN(Y562,ROUND($AZ562-SUMPRODUCT($V562:$AE562*($V562:$AE562&gt;0)*(($V562:$AE562&lt;Y562)+($V562:$AE562=Y562)*($V$3:$AE$3&gt;Y$3)+($V562:$AE562=Y562)*($V$3:$AE$3=Y$3)*($V$2:$AE$2&lt;Y$2))),2))))</f>
      </c>
      <c r="AJ562" s="33">
        <f>IF(Z562&lt;=0,0,MAX(0,MIN(Z562,ROUND($AZ562-SUMPRODUCT($V562:$AE562*($V562:$AE562&gt;0)*(($V562:$AE562&lt;Z562)+($V562:$AE562=Z562)*($V$3:$AE$3&gt;Z$3)+($V562:$AE562=Z562)*($V$3:$AE$3=Z$3)*($V$2:$AE$2&lt;Z$2))),2))))</f>
      </c>
      <c r="AK562" s="33">
        <f>IF(AA562&lt;=0,0,MAX(0,MIN(AA562,ROUND($AZ562-SUMPRODUCT($V562:$AE562*($V562:$AE562&gt;0)*(($V562:$AE562&lt;AA562)+($V562:$AE562=AA562)*($V$3:$AE$3&gt;AA$3)+($V562:$AE562=AA562)*($V$3:$AE$3=AA$3)*($V$2:$AE$2&lt;AA$2))),2))))</f>
      </c>
      <c r="AL562" s="33">
        <f>IF(AB562&lt;=0,0,MAX(0,MIN(AB562,ROUND($AZ562-SUMPRODUCT($V562:$AE562*($V562:$AE562&gt;0)*(($V562:$AE562&lt;AB562)+($V562:$AE562=AB562)*($V$3:$AE$3&gt;AB$3)+($V562:$AE562=AB562)*($V$3:$AE$3=AB$3)*($V$2:$AE$2&lt;AB$2))),2))))</f>
      </c>
      <c r="AM562" s="33">
        <f>IF(AC562&lt;=0,0,MAX(0,MIN(AC562,ROUND($AZ562-SUMPRODUCT($V562:$AE562*($V562:$AE562&gt;0)*(($V562:$AE562&lt;AC562)+($V562:$AE562=AC562)*($V$3:$AE$3&gt;AC$3)+($V562:$AE562=AC562)*($V$3:$AE$3=AC$3)*($V$2:$AE$2&lt;AC$2))),2))))</f>
      </c>
      <c r="AN562" s="33">
        <f>IF(AD562&lt;=0,0,MAX(0,MIN(AD562,ROUND($AZ562-SUMPRODUCT($V562:$AE562*($V562:$AE562&gt;0)*(($V562:$AE562&lt;AD562)+($V562:$AE562=AD562)*($V$3:$AE$3&gt;AD$3)+($V562:$AE562=AD562)*($V$3:$AE$3=AD$3)*($V$2:$AE$2&lt;AD$2))),2))))</f>
      </c>
      <c r="AO562" s="33">
        <f>IF(AE562&lt;=0,0,MAX(0,MIN(AE562,ROUND($AZ562-SUMPRODUCT($V562:$AE562*($V562:$AE562&gt;0)*(($V562:$AE562&lt;AE562)+($V562:$AE562=AE562)*($V$3:$AE$3&gt;AE$3)+($V562:$AE562=AE562)*($V$3:$AE$3=AE$3)*($V$2:$AE$2&lt;AE$2))),2))))</f>
      </c>
      <c r="AP562" s="33">
        <f>ROUND(V562-AF562,2)</f>
      </c>
      <c r="AQ562" s="33">
        <f>ROUND(W562-AG562,2)</f>
      </c>
      <c r="AR562" s="33">
        <f>ROUND(X562-AH562,2)</f>
      </c>
      <c r="AS562" s="33">
        <f>ROUND(Y562-AI562,2)</f>
      </c>
      <c r="AT562" s="33">
        <f>ROUND(Z562-AJ562,2)</f>
      </c>
      <c r="AU562" s="33">
        <f>ROUND(AA562-AK562,2)</f>
      </c>
      <c r="AV562" s="33">
        <f>ROUND(AB562-AL562,2)</f>
      </c>
      <c r="AW562" s="33">
        <f>ROUND(AC562-AM562,2)</f>
      </c>
      <c r="AX562" s="33">
        <f>ROUND(AD562-AN562,2)</f>
      </c>
      <c r="AY562" s="33">
        <f>ROUND(AE562-AO562,2)</f>
      </c>
      <c r="AZ562" s="33">
        <f>ROUND(MAX(0,'Your debts'!$D$22-SUM($L562:$U562)),2)</f>
      </c>
      <c r="BA562" s="33">
        <f>ROUND(SUM($B562:$K562)-SUM($AP561:$AY561),2)</f>
      </c>
      <c r="BB562" s="33">
        <f>SUM($AP562:$AY562)</f>
      </c>
      <c r="BC562" s="33">
        <f>ROUND(SUM($L562:$U562)+SUM($AF562:$AO562),2)</f>
      </c>
    </row>
    <row r="563" spans="1:55" x14ac:dyDescent="0.25">
      <c r="A563">
        <v>556</v>
      </c>
      <c r="B563" s="33">
        <f>IF(AP562&lt;=0,0,ROUND(AP562+ROUND(AP562*V$3/12,2),2))</f>
      </c>
      <c r="C563" s="33">
        <f>IF(AQ562&lt;=0,0,ROUND(AQ562+ROUND(AQ562*W$3/12,2),2))</f>
      </c>
      <c r="D563" s="33">
        <f>IF(AR562&lt;=0,0,ROUND(AR562+ROUND(AR562*X$3/12,2),2))</f>
      </c>
      <c r="E563" s="33">
        <f>IF(AS562&lt;=0,0,ROUND(AS562+ROUND(AS562*Y$3/12,2),2))</f>
      </c>
      <c r="F563" s="33">
        <f>IF(AT562&lt;=0,0,ROUND(AT562+ROUND(AT562*Z$3/12,2),2))</f>
      </c>
      <c r="G563" s="33">
        <f>IF(AU562&lt;=0,0,ROUND(AU562+ROUND(AU562*AA$3/12,2),2))</f>
      </c>
      <c r="H563" s="33">
        <f>IF(AV562&lt;=0,0,ROUND(AV562+ROUND(AV562*AB$3/12,2),2))</f>
      </c>
      <c r="I563" s="33">
        <f>IF(AW562&lt;=0,0,ROUND(AW562+ROUND(AW562*AC$3/12,2),2))</f>
      </c>
      <c r="J563" s="33">
        <f>IF(AX562&lt;=0,0,ROUND(AX562+ROUND(AX562*AD$3/12,2),2))</f>
      </c>
      <c r="K563" s="33">
        <f>IF(AY562&lt;=0,0,ROUND(AY562+ROUND(AY562*AE$3/12,2),2))</f>
      </c>
      <c r="L563" s="33">
        <f>ROUND(MIN(MAX(0,N('Your debts'!$E$6)),B563),2)</f>
      </c>
      <c r="M563" s="33">
        <f>ROUND(MIN(MAX(0,N('Your debts'!$E$7)),C563),2)</f>
      </c>
      <c r="N563" s="33">
        <f>ROUND(MIN(MAX(0,N('Your debts'!$E$8)),D563),2)</f>
      </c>
      <c r="O563" s="33">
        <f>ROUND(MIN(MAX(0,N('Your debts'!$E$9)),E563),2)</f>
      </c>
      <c r="P563" s="33">
        <f>ROUND(MIN(MAX(0,N('Your debts'!$E$10)),F563),2)</f>
      </c>
      <c r="Q563" s="33">
        <f>ROUND(MIN(MAX(0,N('Your debts'!$E$11)),G563),2)</f>
      </c>
      <c r="R563" s="33">
        <f>ROUND(MIN(MAX(0,N('Your debts'!$E$12)),H563),2)</f>
      </c>
      <c r="S563" s="33">
        <f>ROUND(MIN(MAX(0,N('Your debts'!$E$13)),I563),2)</f>
      </c>
      <c r="T563" s="33">
        <f>ROUND(MIN(MAX(0,N('Your debts'!$E$14)),J563),2)</f>
      </c>
      <c r="U563" s="33">
        <f>ROUND(MIN(MAX(0,N('Your debts'!$E$15)),K563),2)</f>
      </c>
      <c r="V563" s="33">
        <f>ROUND(B563-L563,2)</f>
      </c>
      <c r="W563" s="33">
        <f>ROUND(C563-M563,2)</f>
      </c>
      <c r="X563" s="33">
        <f>ROUND(D563-N563,2)</f>
      </c>
      <c r="Y563" s="33">
        <f>ROUND(E563-O563,2)</f>
      </c>
      <c r="Z563" s="33">
        <f>ROUND(F563-P563,2)</f>
      </c>
      <c r="AA563" s="33">
        <f>ROUND(G563-Q563,2)</f>
      </c>
      <c r="AB563" s="33">
        <f>ROUND(H563-R563,2)</f>
      </c>
      <c r="AC563" s="33">
        <f>ROUND(I563-S563,2)</f>
      </c>
      <c r="AD563" s="33">
        <f>ROUND(J563-T563,2)</f>
      </c>
      <c r="AE563" s="33">
        <f>ROUND(K563-U563,2)</f>
      </c>
      <c r="AF563" s="33">
        <f>IF(V563&lt;=0,0,MAX(0,MIN(V563,ROUND($AZ563-SUMPRODUCT($V563:$AE563*($V563:$AE563&gt;0)*(($V563:$AE563&lt;V563)+($V563:$AE563=V563)*($V$3:$AE$3&gt;V$3)+($V563:$AE563=V563)*($V$3:$AE$3=V$3)*($V$2:$AE$2&lt;V$2))),2))))</f>
      </c>
      <c r="AG563" s="33">
        <f>IF(W563&lt;=0,0,MAX(0,MIN(W563,ROUND($AZ563-SUMPRODUCT($V563:$AE563*($V563:$AE563&gt;0)*(($V563:$AE563&lt;W563)+($V563:$AE563=W563)*($V$3:$AE$3&gt;W$3)+($V563:$AE563=W563)*($V$3:$AE$3=W$3)*($V$2:$AE$2&lt;W$2))),2))))</f>
      </c>
      <c r="AH563" s="33">
        <f>IF(X563&lt;=0,0,MAX(0,MIN(X563,ROUND($AZ563-SUMPRODUCT($V563:$AE563*($V563:$AE563&gt;0)*(($V563:$AE563&lt;X563)+($V563:$AE563=X563)*($V$3:$AE$3&gt;X$3)+($V563:$AE563=X563)*($V$3:$AE$3=X$3)*($V$2:$AE$2&lt;X$2))),2))))</f>
      </c>
      <c r="AI563" s="33">
        <f>IF(Y563&lt;=0,0,MAX(0,MIN(Y563,ROUND($AZ563-SUMPRODUCT($V563:$AE563*($V563:$AE563&gt;0)*(($V563:$AE563&lt;Y563)+($V563:$AE563=Y563)*($V$3:$AE$3&gt;Y$3)+($V563:$AE563=Y563)*($V$3:$AE$3=Y$3)*($V$2:$AE$2&lt;Y$2))),2))))</f>
      </c>
      <c r="AJ563" s="33">
        <f>IF(Z563&lt;=0,0,MAX(0,MIN(Z563,ROUND($AZ563-SUMPRODUCT($V563:$AE563*($V563:$AE563&gt;0)*(($V563:$AE563&lt;Z563)+($V563:$AE563=Z563)*($V$3:$AE$3&gt;Z$3)+($V563:$AE563=Z563)*($V$3:$AE$3=Z$3)*($V$2:$AE$2&lt;Z$2))),2))))</f>
      </c>
      <c r="AK563" s="33">
        <f>IF(AA563&lt;=0,0,MAX(0,MIN(AA563,ROUND($AZ563-SUMPRODUCT($V563:$AE563*($V563:$AE563&gt;0)*(($V563:$AE563&lt;AA563)+($V563:$AE563=AA563)*($V$3:$AE$3&gt;AA$3)+($V563:$AE563=AA563)*($V$3:$AE$3=AA$3)*($V$2:$AE$2&lt;AA$2))),2))))</f>
      </c>
      <c r="AL563" s="33">
        <f>IF(AB563&lt;=0,0,MAX(0,MIN(AB563,ROUND($AZ563-SUMPRODUCT($V563:$AE563*($V563:$AE563&gt;0)*(($V563:$AE563&lt;AB563)+($V563:$AE563=AB563)*($V$3:$AE$3&gt;AB$3)+($V563:$AE563=AB563)*($V$3:$AE$3=AB$3)*($V$2:$AE$2&lt;AB$2))),2))))</f>
      </c>
      <c r="AM563" s="33">
        <f>IF(AC563&lt;=0,0,MAX(0,MIN(AC563,ROUND($AZ563-SUMPRODUCT($V563:$AE563*($V563:$AE563&gt;0)*(($V563:$AE563&lt;AC563)+($V563:$AE563=AC563)*($V$3:$AE$3&gt;AC$3)+($V563:$AE563=AC563)*($V$3:$AE$3=AC$3)*($V$2:$AE$2&lt;AC$2))),2))))</f>
      </c>
      <c r="AN563" s="33">
        <f>IF(AD563&lt;=0,0,MAX(0,MIN(AD563,ROUND($AZ563-SUMPRODUCT($V563:$AE563*($V563:$AE563&gt;0)*(($V563:$AE563&lt;AD563)+($V563:$AE563=AD563)*($V$3:$AE$3&gt;AD$3)+($V563:$AE563=AD563)*($V$3:$AE$3=AD$3)*($V$2:$AE$2&lt;AD$2))),2))))</f>
      </c>
      <c r="AO563" s="33">
        <f>IF(AE563&lt;=0,0,MAX(0,MIN(AE563,ROUND($AZ563-SUMPRODUCT($V563:$AE563*($V563:$AE563&gt;0)*(($V563:$AE563&lt;AE563)+($V563:$AE563=AE563)*($V$3:$AE$3&gt;AE$3)+($V563:$AE563=AE563)*($V$3:$AE$3=AE$3)*($V$2:$AE$2&lt;AE$2))),2))))</f>
      </c>
      <c r="AP563" s="33">
        <f>ROUND(V563-AF563,2)</f>
      </c>
      <c r="AQ563" s="33">
        <f>ROUND(W563-AG563,2)</f>
      </c>
      <c r="AR563" s="33">
        <f>ROUND(X563-AH563,2)</f>
      </c>
      <c r="AS563" s="33">
        <f>ROUND(Y563-AI563,2)</f>
      </c>
      <c r="AT563" s="33">
        <f>ROUND(Z563-AJ563,2)</f>
      </c>
      <c r="AU563" s="33">
        <f>ROUND(AA563-AK563,2)</f>
      </c>
      <c r="AV563" s="33">
        <f>ROUND(AB563-AL563,2)</f>
      </c>
      <c r="AW563" s="33">
        <f>ROUND(AC563-AM563,2)</f>
      </c>
      <c r="AX563" s="33">
        <f>ROUND(AD563-AN563,2)</f>
      </c>
      <c r="AY563" s="33">
        <f>ROUND(AE563-AO563,2)</f>
      </c>
      <c r="AZ563" s="33">
        <f>ROUND(MAX(0,'Your debts'!$D$22-SUM($L563:$U563)),2)</f>
      </c>
      <c r="BA563" s="33">
        <f>ROUND(SUM($B563:$K563)-SUM($AP562:$AY562),2)</f>
      </c>
      <c r="BB563" s="33">
        <f>SUM($AP563:$AY563)</f>
      </c>
      <c r="BC563" s="33">
        <f>ROUND(SUM($L563:$U563)+SUM($AF563:$AO563),2)</f>
      </c>
    </row>
    <row r="564" spans="1:55" x14ac:dyDescent="0.25">
      <c r="A564">
        <v>557</v>
      </c>
      <c r="B564" s="33">
        <f>IF(AP563&lt;=0,0,ROUND(AP563+ROUND(AP563*V$3/12,2),2))</f>
      </c>
      <c r="C564" s="33">
        <f>IF(AQ563&lt;=0,0,ROUND(AQ563+ROUND(AQ563*W$3/12,2),2))</f>
      </c>
      <c r="D564" s="33">
        <f>IF(AR563&lt;=0,0,ROUND(AR563+ROUND(AR563*X$3/12,2),2))</f>
      </c>
      <c r="E564" s="33">
        <f>IF(AS563&lt;=0,0,ROUND(AS563+ROUND(AS563*Y$3/12,2),2))</f>
      </c>
      <c r="F564" s="33">
        <f>IF(AT563&lt;=0,0,ROUND(AT563+ROUND(AT563*Z$3/12,2),2))</f>
      </c>
      <c r="G564" s="33">
        <f>IF(AU563&lt;=0,0,ROUND(AU563+ROUND(AU563*AA$3/12,2),2))</f>
      </c>
      <c r="H564" s="33">
        <f>IF(AV563&lt;=0,0,ROUND(AV563+ROUND(AV563*AB$3/12,2),2))</f>
      </c>
      <c r="I564" s="33">
        <f>IF(AW563&lt;=0,0,ROUND(AW563+ROUND(AW563*AC$3/12,2),2))</f>
      </c>
      <c r="J564" s="33">
        <f>IF(AX563&lt;=0,0,ROUND(AX563+ROUND(AX563*AD$3/12,2),2))</f>
      </c>
      <c r="K564" s="33">
        <f>IF(AY563&lt;=0,0,ROUND(AY563+ROUND(AY563*AE$3/12,2),2))</f>
      </c>
      <c r="L564" s="33">
        <f>ROUND(MIN(MAX(0,N('Your debts'!$E$6)),B564),2)</f>
      </c>
      <c r="M564" s="33">
        <f>ROUND(MIN(MAX(0,N('Your debts'!$E$7)),C564),2)</f>
      </c>
      <c r="N564" s="33">
        <f>ROUND(MIN(MAX(0,N('Your debts'!$E$8)),D564),2)</f>
      </c>
      <c r="O564" s="33">
        <f>ROUND(MIN(MAX(0,N('Your debts'!$E$9)),E564),2)</f>
      </c>
      <c r="P564" s="33">
        <f>ROUND(MIN(MAX(0,N('Your debts'!$E$10)),F564),2)</f>
      </c>
      <c r="Q564" s="33">
        <f>ROUND(MIN(MAX(0,N('Your debts'!$E$11)),G564),2)</f>
      </c>
      <c r="R564" s="33">
        <f>ROUND(MIN(MAX(0,N('Your debts'!$E$12)),H564),2)</f>
      </c>
      <c r="S564" s="33">
        <f>ROUND(MIN(MAX(0,N('Your debts'!$E$13)),I564),2)</f>
      </c>
      <c r="T564" s="33">
        <f>ROUND(MIN(MAX(0,N('Your debts'!$E$14)),J564),2)</f>
      </c>
      <c r="U564" s="33">
        <f>ROUND(MIN(MAX(0,N('Your debts'!$E$15)),K564),2)</f>
      </c>
      <c r="V564" s="33">
        <f>ROUND(B564-L564,2)</f>
      </c>
      <c r="W564" s="33">
        <f>ROUND(C564-M564,2)</f>
      </c>
      <c r="X564" s="33">
        <f>ROUND(D564-N564,2)</f>
      </c>
      <c r="Y564" s="33">
        <f>ROUND(E564-O564,2)</f>
      </c>
      <c r="Z564" s="33">
        <f>ROUND(F564-P564,2)</f>
      </c>
      <c r="AA564" s="33">
        <f>ROUND(G564-Q564,2)</f>
      </c>
      <c r="AB564" s="33">
        <f>ROUND(H564-R564,2)</f>
      </c>
      <c r="AC564" s="33">
        <f>ROUND(I564-S564,2)</f>
      </c>
      <c r="AD564" s="33">
        <f>ROUND(J564-T564,2)</f>
      </c>
      <c r="AE564" s="33">
        <f>ROUND(K564-U564,2)</f>
      </c>
      <c r="AF564" s="33">
        <f>IF(V564&lt;=0,0,MAX(0,MIN(V564,ROUND($AZ564-SUMPRODUCT($V564:$AE564*($V564:$AE564&gt;0)*(($V564:$AE564&lt;V564)+($V564:$AE564=V564)*($V$3:$AE$3&gt;V$3)+($V564:$AE564=V564)*($V$3:$AE$3=V$3)*($V$2:$AE$2&lt;V$2))),2))))</f>
      </c>
      <c r="AG564" s="33">
        <f>IF(W564&lt;=0,0,MAX(0,MIN(W564,ROUND($AZ564-SUMPRODUCT($V564:$AE564*($V564:$AE564&gt;0)*(($V564:$AE564&lt;W564)+($V564:$AE564=W564)*($V$3:$AE$3&gt;W$3)+($V564:$AE564=W564)*($V$3:$AE$3=W$3)*($V$2:$AE$2&lt;W$2))),2))))</f>
      </c>
      <c r="AH564" s="33">
        <f>IF(X564&lt;=0,0,MAX(0,MIN(X564,ROUND($AZ564-SUMPRODUCT($V564:$AE564*($V564:$AE564&gt;0)*(($V564:$AE564&lt;X564)+($V564:$AE564=X564)*($V$3:$AE$3&gt;X$3)+($V564:$AE564=X564)*($V$3:$AE$3=X$3)*($V$2:$AE$2&lt;X$2))),2))))</f>
      </c>
      <c r="AI564" s="33">
        <f>IF(Y564&lt;=0,0,MAX(0,MIN(Y564,ROUND($AZ564-SUMPRODUCT($V564:$AE564*($V564:$AE564&gt;0)*(($V564:$AE564&lt;Y564)+($V564:$AE564=Y564)*($V$3:$AE$3&gt;Y$3)+($V564:$AE564=Y564)*($V$3:$AE$3=Y$3)*($V$2:$AE$2&lt;Y$2))),2))))</f>
      </c>
      <c r="AJ564" s="33">
        <f>IF(Z564&lt;=0,0,MAX(0,MIN(Z564,ROUND($AZ564-SUMPRODUCT($V564:$AE564*($V564:$AE564&gt;0)*(($V564:$AE564&lt;Z564)+($V564:$AE564=Z564)*($V$3:$AE$3&gt;Z$3)+($V564:$AE564=Z564)*($V$3:$AE$3=Z$3)*($V$2:$AE$2&lt;Z$2))),2))))</f>
      </c>
      <c r="AK564" s="33">
        <f>IF(AA564&lt;=0,0,MAX(0,MIN(AA564,ROUND($AZ564-SUMPRODUCT($V564:$AE564*($V564:$AE564&gt;0)*(($V564:$AE564&lt;AA564)+($V564:$AE564=AA564)*($V$3:$AE$3&gt;AA$3)+($V564:$AE564=AA564)*($V$3:$AE$3=AA$3)*($V$2:$AE$2&lt;AA$2))),2))))</f>
      </c>
      <c r="AL564" s="33">
        <f>IF(AB564&lt;=0,0,MAX(0,MIN(AB564,ROUND($AZ564-SUMPRODUCT($V564:$AE564*($V564:$AE564&gt;0)*(($V564:$AE564&lt;AB564)+($V564:$AE564=AB564)*($V$3:$AE$3&gt;AB$3)+($V564:$AE564=AB564)*($V$3:$AE$3=AB$3)*($V$2:$AE$2&lt;AB$2))),2))))</f>
      </c>
      <c r="AM564" s="33">
        <f>IF(AC564&lt;=0,0,MAX(0,MIN(AC564,ROUND($AZ564-SUMPRODUCT($V564:$AE564*($V564:$AE564&gt;0)*(($V564:$AE564&lt;AC564)+($V564:$AE564=AC564)*($V$3:$AE$3&gt;AC$3)+($V564:$AE564=AC564)*($V$3:$AE$3=AC$3)*($V$2:$AE$2&lt;AC$2))),2))))</f>
      </c>
      <c r="AN564" s="33">
        <f>IF(AD564&lt;=0,0,MAX(0,MIN(AD564,ROUND($AZ564-SUMPRODUCT($V564:$AE564*($V564:$AE564&gt;0)*(($V564:$AE564&lt;AD564)+($V564:$AE564=AD564)*($V$3:$AE$3&gt;AD$3)+($V564:$AE564=AD564)*($V$3:$AE$3=AD$3)*($V$2:$AE$2&lt;AD$2))),2))))</f>
      </c>
      <c r="AO564" s="33">
        <f>IF(AE564&lt;=0,0,MAX(0,MIN(AE564,ROUND($AZ564-SUMPRODUCT($V564:$AE564*($V564:$AE564&gt;0)*(($V564:$AE564&lt;AE564)+($V564:$AE564=AE564)*($V$3:$AE$3&gt;AE$3)+($V564:$AE564=AE564)*($V$3:$AE$3=AE$3)*($V$2:$AE$2&lt;AE$2))),2))))</f>
      </c>
      <c r="AP564" s="33">
        <f>ROUND(V564-AF564,2)</f>
      </c>
      <c r="AQ564" s="33">
        <f>ROUND(W564-AG564,2)</f>
      </c>
      <c r="AR564" s="33">
        <f>ROUND(X564-AH564,2)</f>
      </c>
      <c r="AS564" s="33">
        <f>ROUND(Y564-AI564,2)</f>
      </c>
      <c r="AT564" s="33">
        <f>ROUND(Z564-AJ564,2)</f>
      </c>
      <c r="AU564" s="33">
        <f>ROUND(AA564-AK564,2)</f>
      </c>
      <c r="AV564" s="33">
        <f>ROUND(AB564-AL564,2)</f>
      </c>
      <c r="AW564" s="33">
        <f>ROUND(AC564-AM564,2)</f>
      </c>
      <c r="AX564" s="33">
        <f>ROUND(AD564-AN564,2)</f>
      </c>
      <c r="AY564" s="33">
        <f>ROUND(AE564-AO564,2)</f>
      </c>
      <c r="AZ564" s="33">
        <f>ROUND(MAX(0,'Your debts'!$D$22-SUM($L564:$U564)),2)</f>
      </c>
      <c r="BA564" s="33">
        <f>ROUND(SUM($B564:$K564)-SUM($AP563:$AY563),2)</f>
      </c>
      <c r="BB564" s="33">
        <f>SUM($AP564:$AY564)</f>
      </c>
      <c r="BC564" s="33">
        <f>ROUND(SUM($L564:$U564)+SUM($AF564:$AO564),2)</f>
      </c>
    </row>
    <row r="565" spans="1:55" x14ac:dyDescent="0.25">
      <c r="A565">
        <v>558</v>
      </c>
      <c r="B565" s="33">
        <f>IF(AP564&lt;=0,0,ROUND(AP564+ROUND(AP564*V$3/12,2),2))</f>
      </c>
      <c r="C565" s="33">
        <f>IF(AQ564&lt;=0,0,ROUND(AQ564+ROUND(AQ564*W$3/12,2),2))</f>
      </c>
      <c r="D565" s="33">
        <f>IF(AR564&lt;=0,0,ROUND(AR564+ROUND(AR564*X$3/12,2),2))</f>
      </c>
      <c r="E565" s="33">
        <f>IF(AS564&lt;=0,0,ROUND(AS564+ROUND(AS564*Y$3/12,2),2))</f>
      </c>
      <c r="F565" s="33">
        <f>IF(AT564&lt;=0,0,ROUND(AT564+ROUND(AT564*Z$3/12,2),2))</f>
      </c>
      <c r="G565" s="33">
        <f>IF(AU564&lt;=0,0,ROUND(AU564+ROUND(AU564*AA$3/12,2),2))</f>
      </c>
      <c r="H565" s="33">
        <f>IF(AV564&lt;=0,0,ROUND(AV564+ROUND(AV564*AB$3/12,2),2))</f>
      </c>
      <c r="I565" s="33">
        <f>IF(AW564&lt;=0,0,ROUND(AW564+ROUND(AW564*AC$3/12,2),2))</f>
      </c>
      <c r="J565" s="33">
        <f>IF(AX564&lt;=0,0,ROUND(AX564+ROUND(AX564*AD$3/12,2),2))</f>
      </c>
      <c r="K565" s="33">
        <f>IF(AY564&lt;=0,0,ROUND(AY564+ROUND(AY564*AE$3/12,2),2))</f>
      </c>
      <c r="L565" s="33">
        <f>ROUND(MIN(MAX(0,N('Your debts'!$E$6)),B565),2)</f>
      </c>
      <c r="M565" s="33">
        <f>ROUND(MIN(MAX(0,N('Your debts'!$E$7)),C565),2)</f>
      </c>
      <c r="N565" s="33">
        <f>ROUND(MIN(MAX(0,N('Your debts'!$E$8)),D565),2)</f>
      </c>
      <c r="O565" s="33">
        <f>ROUND(MIN(MAX(0,N('Your debts'!$E$9)),E565),2)</f>
      </c>
      <c r="P565" s="33">
        <f>ROUND(MIN(MAX(0,N('Your debts'!$E$10)),F565),2)</f>
      </c>
      <c r="Q565" s="33">
        <f>ROUND(MIN(MAX(0,N('Your debts'!$E$11)),G565),2)</f>
      </c>
      <c r="R565" s="33">
        <f>ROUND(MIN(MAX(0,N('Your debts'!$E$12)),H565),2)</f>
      </c>
      <c r="S565" s="33">
        <f>ROUND(MIN(MAX(0,N('Your debts'!$E$13)),I565),2)</f>
      </c>
      <c r="T565" s="33">
        <f>ROUND(MIN(MAX(0,N('Your debts'!$E$14)),J565),2)</f>
      </c>
      <c r="U565" s="33">
        <f>ROUND(MIN(MAX(0,N('Your debts'!$E$15)),K565),2)</f>
      </c>
      <c r="V565" s="33">
        <f>ROUND(B565-L565,2)</f>
      </c>
      <c r="W565" s="33">
        <f>ROUND(C565-M565,2)</f>
      </c>
      <c r="X565" s="33">
        <f>ROUND(D565-N565,2)</f>
      </c>
      <c r="Y565" s="33">
        <f>ROUND(E565-O565,2)</f>
      </c>
      <c r="Z565" s="33">
        <f>ROUND(F565-P565,2)</f>
      </c>
      <c r="AA565" s="33">
        <f>ROUND(G565-Q565,2)</f>
      </c>
      <c r="AB565" s="33">
        <f>ROUND(H565-R565,2)</f>
      </c>
      <c r="AC565" s="33">
        <f>ROUND(I565-S565,2)</f>
      </c>
      <c r="AD565" s="33">
        <f>ROUND(J565-T565,2)</f>
      </c>
      <c r="AE565" s="33">
        <f>ROUND(K565-U565,2)</f>
      </c>
      <c r="AF565" s="33">
        <f>IF(V565&lt;=0,0,MAX(0,MIN(V565,ROUND($AZ565-SUMPRODUCT($V565:$AE565*($V565:$AE565&gt;0)*(($V565:$AE565&lt;V565)+($V565:$AE565=V565)*($V$3:$AE$3&gt;V$3)+($V565:$AE565=V565)*($V$3:$AE$3=V$3)*($V$2:$AE$2&lt;V$2))),2))))</f>
      </c>
      <c r="AG565" s="33">
        <f>IF(W565&lt;=0,0,MAX(0,MIN(W565,ROUND($AZ565-SUMPRODUCT($V565:$AE565*($V565:$AE565&gt;0)*(($V565:$AE565&lt;W565)+($V565:$AE565=W565)*($V$3:$AE$3&gt;W$3)+($V565:$AE565=W565)*($V$3:$AE$3=W$3)*($V$2:$AE$2&lt;W$2))),2))))</f>
      </c>
      <c r="AH565" s="33">
        <f>IF(X565&lt;=0,0,MAX(0,MIN(X565,ROUND($AZ565-SUMPRODUCT($V565:$AE565*($V565:$AE565&gt;0)*(($V565:$AE565&lt;X565)+($V565:$AE565=X565)*($V$3:$AE$3&gt;X$3)+($V565:$AE565=X565)*($V$3:$AE$3=X$3)*($V$2:$AE$2&lt;X$2))),2))))</f>
      </c>
      <c r="AI565" s="33">
        <f>IF(Y565&lt;=0,0,MAX(0,MIN(Y565,ROUND($AZ565-SUMPRODUCT($V565:$AE565*($V565:$AE565&gt;0)*(($V565:$AE565&lt;Y565)+($V565:$AE565=Y565)*($V$3:$AE$3&gt;Y$3)+($V565:$AE565=Y565)*($V$3:$AE$3=Y$3)*($V$2:$AE$2&lt;Y$2))),2))))</f>
      </c>
      <c r="AJ565" s="33">
        <f>IF(Z565&lt;=0,0,MAX(0,MIN(Z565,ROUND($AZ565-SUMPRODUCT($V565:$AE565*($V565:$AE565&gt;0)*(($V565:$AE565&lt;Z565)+($V565:$AE565=Z565)*($V$3:$AE$3&gt;Z$3)+($V565:$AE565=Z565)*($V$3:$AE$3=Z$3)*($V$2:$AE$2&lt;Z$2))),2))))</f>
      </c>
      <c r="AK565" s="33">
        <f>IF(AA565&lt;=0,0,MAX(0,MIN(AA565,ROUND($AZ565-SUMPRODUCT($V565:$AE565*($V565:$AE565&gt;0)*(($V565:$AE565&lt;AA565)+($V565:$AE565=AA565)*($V$3:$AE$3&gt;AA$3)+($V565:$AE565=AA565)*($V$3:$AE$3=AA$3)*($V$2:$AE$2&lt;AA$2))),2))))</f>
      </c>
      <c r="AL565" s="33">
        <f>IF(AB565&lt;=0,0,MAX(0,MIN(AB565,ROUND($AZ565-SUMPRODUCT($V565:$AE565*($V565:$AE565&gt;0)*(($V565:$AE565&lt;AB565)+($V565:$AE565=AB565)*($V$3:$AE$3&gt;AB$3)+($V565:$AE565=AB565)*($V$3:$AE$3=AB$3)*($V$2:$AE$2&lt;AB$2))),2))))</f>
      </c>
      <c r="AM565" s="33">
        <f>IF(AC565&lt;=0,0,MAX(0,MIN(AC565,ROUND($AZ565-SUMPRODUCT($V565:$AE565*($V565:$AE565&gt;0)*(($V565:$AE565&lt;AC565)+($V565:$AE565=AC565)*($V$3:$AE$3&gt;AC$3)+($V565:$AE565=AC565)*($V$3:$AE$3=AC$3)*($V$2:$AE$2&lt;AC$2))),2))))</f>
      </c>
      <c r="AN565" s="33">
        <f>IF(AD565&lt;=0,0,MAX(0,MIN(AD565,ROUND($AZ565-SUMPRODUCT($V565:$AE565*($V565:$AE565&gt;0)*(($V565:$AE565&lt;AD565)+($V565:$AE565=AD565)*($V$3:$AE$3&gt;AD$3)+($V565:$AE565=AD565)*($V$3:$AE$3=AD$3)*($V$2:$AE$2&lt;AD$2))),2))))</f>
      </c>
      <c r="AO565" s="33">
        <f>IF(AE565&lt;=0,0,MAX(0,MIN(AE565,ROUND($AZ565-SUMPRODUCT($V565:$AE565*($V565:$AE565&gt;0)*(($V565:$AE565&lt;AE565)+($V565:$AE565=AE565)*($V$3:$AE$3&gt;AE$3)+($V565:$AE565=AE565)*($V$3:$AE$3=AE$3)*($V$2:$AE$2&lt;AE$2))),2))))</f>
      </c>
      <c r="AP565" s="33">
        <f>ROUND(V565-AF565,2)</f>
      </c>
      <c r="AQ565" s="33">
        <f>ROUND(W565-AG565,2)</f>
      </c>
      <c r="AR565" s="33">
        <f>ROUND(X565-AH565,2)</f>
      </c>
      <c r="AS565" s="33">
        <f>ROUND(Y565-AI565,2)</f>
      </c>
      <c r="AT565" s="33">
        <f>ROUND(Z565-AJ565,2)</f>
      </c>
      <c r="AU565" s="33">
        <f>ROUND(AA565-AK565,2)</f>
      </c>
      <c r="AV565" s="33">
        <f>ROUND(AB565-AL565,2)</f>
      </c>
      <c r="AW565" s="33">
        <f>ROUND(AC565-AM565,2)</f>
      </c>
      <c r="AX565" s="33">
        <f>ROUND(AD565-AN565,2)</f>
      </c>
      <c r="AY565" s="33">
        <f>ROUND(AE565-AO565,2)</f>
      </c>
      <c r="AZ565" s="33">
        <f>ROUND(MAX(0,'Your debts'!$D$22-SUM($L565:$U565)),2)</f>
      </c>
      <c r="BA565" s="33">
        <f>ROUND(SUM($B565:$K565)-SUM($AP564:$AY564),2)</f>
      </c>
      <c r="BB565" s="33">
        <f>SUM($AP565:$AY565)</f>
      </c>
      <c r="BC565" s="33">
        <f>ROUND(SUM($L565:$U565)+SUM($AF565:$AO565),2)</f>
      </c>
    </row>
    <row r="566" spans="1:55" x14ac:dyDescent="0.25">
      <c r="A566">
        <v>559</v>
      </c>
      <c r="B566" s="33">
        <f>IF(AP565&lt;=0,0,ROUND(AP565+ROUND(AP565*V$3/12,2),2))</f>
      </c>
      <c r="C566" s="33">
        <f>IF(AQ565&lt;=0,0,ROUND(AQ565+ROUND(AQ565*W$3/12,2),2))</f>
      </c>
      <c r="D566" s="33">
        <f>IF(AR565&lt;=0,0,ROUND(AR565+ROUND(AR565*X$3/12,2),2))</f>
      </c>
      <c r="E566" s="33">
        <f>IF(AS565&lt;=0,0,ROUND(AS565+ROUND(AS565*Y$3/12,2),2))</f>
      </c>
      <c r="F566" s="33">
        <f>IF(AT565&lt;=0,0,ROUND(AT565+ROUND(AT565*Z$3/12,2),2))</f>
      </c>
      <c r="G566" s="33">
        <f>IF(AU565&lt;=0,0,ROUND(AU565+ROUND(AU565*AA$3/12,2),2))</f>
      </c>
      <c r="H566" s="33">
        <f>IF(AV565&lt;=0,0,ROUND(AV565+ROUND(AV565*AB$3/12,2),2))</f>
      </c>
      <c r="I566" s="33">
        <f>IF(AW565&lt;=0,0,ROUND(AW565+ROUND(AW565*AC$3/12,2),2))</f>
      </c>
      <c r="J566" s="33">
        <f>IF(AX565&lt;=0,0,ROUND(AX565+ROUND(AX565*AD$3/12,2),2))</f>
      </c>
      <c r="K566" s="33">
        <f>IF(AY565&lt;=0,0,ROUND(AY565+ROUND(AY565*AE$3/12,2),2))</f>
      </c>
      <c r="L566" s="33">
        <f>ROUND(MIN(MAX(0,N('Your debts'!$E$6)),B566),2)</f>
      </c>
      <c r="M566" s="33">
        <f>ROUND(MIN(MAX(0,N('Your debts'!$E$7)),C566),2)</f>
      </c>
      <c r="N566" s="33">
        <f>ROUND(MIN(MAX(0,N('Your debts'!$E$8)),D566),2)</f>
      </c>
      <c r="O566" s="33">
        <f>ROUND(MIN(MAX(0,N('Your debts'!$E$9)),E566),2)</f>
      </c>
      <c r="P566" s="33">
        <f>ROUND(MIN(MAX(0,N('Your debts'!$E$10)),F566),2)</f>
      </c>
      <c r="Q566" s="33">
        <f>ROUND(MIN(MAX(0,N('Your debts'!$E$11)),G566),2)</f>
      </c>
      <c r="R566" s="33">
        <f>ROUND(MIN(MAX(0,N('Your debts'!$E$12)),H566),2)</f>
      </c>
      <c r="S566" s="33">
        <f>ROUND(MIN(MAX(0,N('Your debts'!$E$13)),I566),2)</f>
      </c>
      <c r="T566" s="33">
        <f>ROUND(MIN(MAX(0,N('Your debts'!$E$14)),J566),2)</f>
      </c>
      <c r="U566" s="33">
        <f>ROUND(MIN(MAX(0,N('Your debts'!$E$15)),K566),2)</f>
      </c>
      <c r="V566" s="33">
        <f>ROUND(B566-L566,2)</f>
      </c>
      <c r="W566" s="33">
        <f>ROUND(C566-M566,2)</f>
      </c>
      <c r="X566" s="33">
        <f>ROUND(D566-N566,2)</f>
      </c>
      <c r="Y566" s="33">
        <f>ROUND(E566-O566,2)</f>
      </c>
      <c r="Z566" s="33">
        <f>ROUND(F566-P566,2)</f>
      </c>
      <c r="AA566" s="33">
        <f>ROUND(G566-Q566,2)</f>
      </c>
      <c r="AB566" s="33">
        <f>ROUND(H566-R566,2)</f>
      </c>
      <c r="AC566" s="33">
        <f>ROUND(I566-S566,2)</f>
      </c>
      <c r="AD566" s="33">
        <f>ROUND(J566-T566,2)</f>
      </c>
      <c r="AE566" s="33">
        <f>ROUND(K566-U566,2)</f>
      </c>
      <c r="AF566" s="33">
        <f>IF(V566&lt;=0,0,MAX(0,MIN(V566,ROUND($AZ566-SUMPRODUCT($V566:$AE566*($V566:$AE566&gt;0)*(($V566:$AE566&lt;V566)+($V566:$AE566=V566)*($V$3:$AE$3&gt;V$3)+($V566:$AE566=V566)*($V$3:$AE$3=V$3)*($V$2:$AE$2&lt;V$2))),2))))</f>
      </c>
      <c r="AG566" s="33">
        <f>IF(W566&lt;=0,0,MAX(0,MIN(W566,ROUND($AZ566-SUMPRODUCT($V566:$AE566*($V566:$AE566&gt;0)*(($V566:$AE566&lt;W566)+($V566:$AE566=W566)*($V$3:$AE$3&gt;W$3)+($V566:$AE566=W566)*($V$3:$AE$3=W$3)*($V$2:$AE$2&lt;W$2))),2))))</f>
      </c>
      <c r="AH566" s="33">
        <f>IF(X566&lt;=0,0,MAX(0,MIN(X566,ROUND($AZ566-SUMPRODUCT($V566:$AE566*($V566:$AE566&gt;0)*(($V566:$AE566&lt;X566)+($V566:$AE566=X566)*($V$3:$AE$3&gt;X$3)+($V566:$AE566=X566)*($V$3:$AE$3=X$3)*($V$2:$AE$2&lt;X$2))),2))))</f>
      </c>
      <c r="AI566" s="33">
        <f>IF(Y566&lt;=0,0,MAX(0,MIN(Y566,ROUND($AZ566-SUMPRODUCT($V566:$AE566*($V566:$AE566&gt;0)*(($V566:$AE566&lt;Y566)+($V566:$AE566=Y566)*($V$3:$AE$3&gt;Y$3)+($V566:$AE566=Y566)*($V$3:$AE$3=Y$3)*($V$2:$AE$2&lt;Y$2))),2))))</f>
      </c>
      <c r="AJ566" s="33">
        <f>IF(Z566&lt;=0,0,MAX(0,MIN(Z566,ROUND($AZ566-SUMPRODUCT($V566:$AE566*($V566:$AE566&gt;0)*(($V566:$AE566&lt;Z566)+($V566:$AE566=Z566)*($V$3:$AE$3&gt;Z$3)+($V566:$AE566=Z566)*($V$3:$AE$3=Z$3)*($V$2:$AE$2&lt;Z$2))),2))))</f>
      </c>
      <c r="AK566" s="33">
        <f>IF(AA566&lt;=0,0,MAX(0,MIN(AA566,ROUND($AZ566-SUMPRODUCT($V566:$AE566*($V566:$AE566&gt;0)*(($V566:$AE566&lt;AA566)+($V566:$AE566=AA566)*($V$3:$AE$3&gt;AA$3)+($V566:$AE566=AA566)*($V$3:$AE$3=AA$3)*($V$2:$AE$2&lt;AA$2))),2))))</f>
      </c>
      <c r="AL566" s="33">
        <f>IF(AB566&lt;=0,0,MAX(0,MIN(AB566,ROUND($AZ566-SUMPRODUCT($V566:$AE566*($V566:$AE566&gt;0)*(($V566:$AE566&lt;AB566)+($V566:$AE566=AB566)*($V$3:$AE$3&gt;AB$3)+($V566:$AE566=AB566)*($V$3:$AE$3=AB$3)*($V$2:$AE$2&lt;AB$2))),2))))</f>
      </c>
      <c r="AM566" s="33">
        <f>IF(AC566&lt;=0,0,MAX(0,MIN(AC566,ROUND($AZ566-SUMPRODUCT($V566:$AE566*($V566:$AE566&gt;0)*(($V566:$AE566&lt;AC566)+($V566:$AE566=AC566)*($V$3:$AE$3&gt;AC$3)+($V566:$AE566=AC566)*($V$3:$AE$3=AC$3)*($V$2:$AE$2&lt;AC$2))),2))))</f>
      </c>
      <c r="AN566" s="33">
        <f>IF(AD566&lt;=0,0,MAX(0,MIN(AD566,ROUND($AZ566-SUMPRODUCT($V566:$AE566*($V566:$AE566&gt;0)*(($V566:$AE566&lt;AD566)+($V566:$AE566=AD566)*($V$3:$AE$3&gt;AD$3)+($V566:$AE566=AD566)*($V$3:$AE$3=AD$3)*($V$2:$AE$2&lt;AD$2))),2))))</f>
      </c>
      <c r="AO566" s="33">
        <f>IF(AE566&lt;=0,0,MAX(0,MIN(AE566,ROUND($AZ566-SUMPRODUCT($V566:$AE566*($V566:$AE566&gt;0)*(($V566:$AE566&lt;AE566)+($V566:$AE566=AE566)*($V$3:$AE$3&gt;AE$3)+($V566:$AE566=AE566)*($V$3:$AE$3=AE$3)*($V$2:$AE$2&lt;AE$2))),2))))</f>
      </c>
      <c r="AP566" s="33">
        <f>ROUND(V566-AF566,2)</f>
      </c>
      <c r="AQ566" s="33">
        <f>ROUND(W566-AG566,2)</f>
      </c>
      <c r="AR566" s="33">
        <f>ROUND(X566-AH566,2)</f>
      </c>
      <c r="AS566" s="33">
        <f>ROUND(Y566-AI566,2)</f>
      </c>
      <c r="AT566" s="33">
        <f>ROUND(Z566-AJ566,2)</f>
      </c>
      <c r="AU566" s="33">
        <f>ROUND(AA566-AK566,2)</f>
      </c>
      <c r="AV566" s="33">
        <f>ROUND(AB566-AL566,2)</f>
      </c>
      <c r="AW566" s="33">
        <f>ROUND(AC566-AM566,2)</f>
      </c>
      <c r="AX566" s="33">
        <f>ROUND(AD566-AN566,2)</f>
      </c>
      <c r="AY566" s="33">
        <f>ROUND(AE566-AO566,2)</f>
      </c>
      <c r="AZ566" s="33">
        <f>ROUND(MAX(0,'Your debts'!$D$22-SUM($L566:$U566)),2)</f>
      </c>
      <c r="BA566" s="33">
        <f>ROUND(SUM($B566:$K566)-SUM($AP565:$AY565),2)</f>
      </c>
      <c r="BB566" s="33">
        <f>SUM($AP566:$AY566)</f>
      </c>
      <c r="BC566" s="33">
        <f>ROUND(SUM($L566:$U566)+SUM($AF566:$AO566),2)</f>
      </c>
    </row>
    <row r="567" spans="1:55" x14ac:dyDescent="0.25">
      <c r="A567">
        <v>560</v>
      </c>
      <c r="B567" s="33">
        <f>IF(AP566&lt;=0,0,ROUND(AP566+ROUND(AP566*V$3/12,2),2))</f>
      </c>
      <c r="C567" s="33">
        <f>IF(AQ566&lt;=0,0,ROUND(AQ566+ROUND(AQ566*W$3/12,2),2))</f>
      </c>
      <c r="D567" s="33">
        <f>IF(AR566&lt;=0,0,ROUND(AR566+ROUND(AR566*X$3/12,2),2))</f>
      </c>
      <c r="E567" s="33">
        <f>IF(AS566&lt;=0,0,ROUND(AS566+ROUND(AS566*Y$3/12,2),2))</f>
      </c>
      <c r="F567" s="33">
        <f>IF(AT566&lt;=0,0,ROUND(AT566+ROUND(AT566*Z$3/12,2),2))</f>
      </c>
      <c r="G567" s="33">
        <f>IF(AU566&lt;=0,0,ROUND(AU566+ROUND(AU566*AA$3/12,2),2))</f>
      </c>
      <c r="H567" s="33">
        <f>IF(AV566&lt;=0,0,ROUND(AV566+ROUND(AV566*AB$3/12,2),2))</f>
      </c>
      <c r="I567" s="33">
        <f>IF(AW566&lt;=0,0,ROUND(AW566+ROUND(AW566*AC$3/12,2),2))</f>
      </c>
      <c r="J567" s="33">
        <f>IF(AX566&lt;=0,0,ROUND(AX566+ROUND(AX566*AD$3/12,2),2))</f>
      </c>
      <c r="K567" s="33">
        <f>IF(AY566&lt;=0,0,ROUND(AY566+ROUND(AY566*AE$3/12,2),2))</f>
      </c>
      <c r="L567" s="33">
        <f>ROUND(MIN(MAX(0,N('Your debts'!$E$6)),B567),2)</f>
      </c>
      <c r="M567" s="33">
        <f>ROUND(MIN(MAX(0,N('Your debts'!$E$7)),C567),2)</f>
      </c>
      <c r="N567" s="33">
        <f>ROUND(MIN(MAX(0,N('Your debts'!$E$8)),D567),2)</f>
      </c>
      <c r="O567" s="33">
        <f>ROUND(MIN(MAX(0,N('Your debts'!$E$9)),E567),2)</f>
      </c>
      <c r="P567" s="33">
        <f>ROUND(MIN(MAX(0,N('Your debts'!$E$10)),F567),2)</f>
      </c>
      <c r="Q567" s="33">
        <f>ROUND(MIN(MAX(0,N('Your debts'!$E$11)),G567),2)</f>
      </c>
      <c r="R567" s="33">
        <f>ROUND(MIN(MAX(0,N('Your debts'!$E$12)),H567),2)</f>
      </c>
      <c r="S567" s="33">
        <f>ROUND(MIN(MAX(0,N('Your debts'!$E$13)),I567),2)</f>
      </c>
      <c r="T567" s="33">
        <f>ROUND(MIN(MAX(0,N('Your debts'!$E$14)),J567),2)</f>
      </c>
      <c r="U567" s="33">
        <f>ROUND(MIN(MAX(0,N('Your debts'!$E$15)),K567),2)</f>
      </c>
      <c r="V567" s="33">
        <f>ROUND(B567-L567,2)</f>
      </c>
      <c r="W567" s="33">
        <f>ROUND(C567-M567,2)</f>
      </c>
      <c r="X567" s="33">
        <f>ROUND(D567-N567,2)</f>
      </c>
      <c r="Y567" s="33">
        <f>ROUND(E567-O567,2)</f>
      </c>
      <c r="Z567" s="33">
        <f>ROUND(F567-P567,2)</f>
      </c>
      <c r="AA567" s="33">
        <f>ROUND(G567-Q567,2)</f>
      </c>
      <c r="AB567" s="33">
        <f>ROUND(H567-R567,2)</f>
      </c>
      <c r="AC567" s="33">
        <f>ROUND(I567-S567,2)</f>
      </c>
      <c r="AD567" s="33">
        <f>ROUND(J567-T567,2)</f>
      </c>
      <c r="AE567" s="33">
        <f>ROUND(K567-U567,2)</f>
      </c>
      <c r="AF567" s="33">
        <f>IF(V567&lt;=0,0,MAX(0,MIN(V567,ROUND($AZ567-SUMPRODUCT($V567:$AE567*($V567:$AE567&gt;0)*(($V567:$AE567&lt;V567)+($V567:$AE567=V567)*($V$3:$AE$3&gt;V$3)+($V567:$AE567=V567)*($V$3:$AE$3=V$3)*($V$2:$AE$2&lt;V$2))),2))))</f>
      </c>
      <c r="AG567" s="33">
        <f>IF(W567&lt;=0,0,MAX(0,MIN(W567,ROUND($AZ567-SUMPRODUCT($V567:$AE567*($V567:$AE567&gt;0)*(($V567:$AE567&lt;W567)+($V567:$AE567=W567)*($V$3:$AE$3&gt;W$3)+($V567:$AE567=W567)*($V$3:$AE$3=W$3)*($V$2:$AE$2&lt;W$2))),2))))</f>
      </c>
      <c r="AH567" s="33">
        <f>IF(X567&lt;=0,0,MAX(0,MIN(X567,ROUND($AZ567-SUMPRODUCT($V567:$AE567*($V567:$AE567&gt;0)*(($V567:$AE567&lt;X567)+($V567:$AE567=X567)*($V$3:$AE$3&gt;X$3)+($V567:$AE567=X567)*($V$3:$AE$3=X$3)*($V$2:$AE$2&lt;X$2))),2))))</f>
      </c>
      <c r="AI567" s="33">
        <f>IF(Y567&lt;=0,0,MAX(0,MIN(Y567,ROUND($AZ567-SUMPRODUCT($V567:$AE567*($V567:$AE567&gt;0)*(($V567:$AE567&lt;Y567)+($V567:$AE567=Y567)*($V$3:$AE$3&gt;Y$3)+($V567:$AE567=Y567)*($V$3:$AE$3=Y$3)*($V$2:$AE$2&lt;Y$2))),2))))</f>
      </c>
      <c r="AJ567" s="33">
        <f>IF(Z567&lt;=0,0,MAX(0,MIN(Z567,ROUND($AZ567-SUMPRODUCT($V567:$AE567*($V567:$AE567&gt;0)*(($V567:$AE567&lt;Z567)+($V567:$AE567=Z567)*($V$3:$AE$3&gt;Z$3)+($V567:$AE567=Z567)*($V$3:$AE$3=Z$3)*($V$2:$AE$2&lt;Z$2))),2))))</f>
      </c>
      <c r="AK567" s="33">
        <f>IF(AA567&lt;=0,0,MAX(0,MIN(AA567,ROUND($AZ567-SUMPRODUCT($V567:$AE567*($V567:$AE567&gt;0)*(($V567:$AE567&lt;AA567)+($V567:$AE567=AA567)*($V$3:$AE$3&gt;AA$3)+($V567:$AE567=AA567)*($V$3:$AE$3=AA$3)*($V$2:$AE$2&lt;AA$2))),2))))</f>
      </c>
      <c r="AL567" s="33">
        <f>IF(AB567&lt;=0,0,MAX(0,MIN(AB567,ROUND($AZ567-SUMPRODUCT($V567:$AE567*($V567:$AE567&gt;0)*(($V567:$AE567&lt;AB567)+($V567:$AE567=AB567)*($V$3:$AE$3&gt;AB$3)+($V567:$AE567=AB567)*($V$3:$AE$3=AB$3)*($V$2:$AE$2&lt;AB$2))),2))))</f>
      </c>
      <c r="AM567" s="33">
        <f>IF(AC567&lt;=0,0,MAX(0,MIN(AC567,ROUND($AZ567-SUMPRODUCT($V567:$AE567*($V567:$AE567&gt;0)*(($V567:$AE567&lt;AC567)+($V567:$AE567=AC567)*($V$3:$AE$3&gt;AC$3)+($V567:$AE567=AC567)*($V$3:$AE$3=AC$3)*($V$2:$AE$2&lt;AC$2))),2))))</f>
      </c>
      <c r="AN567" s="33">
        <f>IF(AD567&lt;=0,0,MAX(0,MIN(AD567,ROUND($AZ567-SUMPRODUCT($V567:$AE567*($V567:$AE567&gt;0)*(($V567:$AE567&lt;AD567)+($V567:$AE567=AD567)*($V$3:$AE$3&gt;AD$3)+($V567:$AE567=AD567)*($V$3:$AE$3=AD$3)*($V$2:$AE$2&lt;AD$2))),2))))</f>
      </c>
      <c r="AO567" s="33">
        <f>IF(AE567&lt;=0,0,MAX(0,MIN(AE567,ROUND($AZ567-SUMPRODUCT($V567:$AE567*($V567:$AE567&gt;0)*(($V567:$AE567&lt;AE567)+($V567:$AE567=AE567)*($V$3:$AE$3&gt;AE$3)+($V567:$AE567=AE567)*($V$3:$AE$3=AE$3)*($V$2:$AE$2&lt;AE$2))),2))))</f>
      </c>
      <c r="AP567" s="33">
        <f>ROUND(V567-AF567,2)</f>
      </c>
      <c r="AQ567" s="33">
        <f>ROUND(W567-AG567,2)</f>
      </c>
      <c r="AR567" s="33">
        <f>ROUND(X567-AH567,2)</f>
      </c>
      <c r="AS567" s="33">
        <f>ROUND(Y567-AI567,2)</f>
      </c>
      <c r="AT567" s="33">
        <f>ROUND(Z567-AJ567,2)</f>
      </c>
      <c r="AU567" s="33">
        <f>ROUND(AA567-AK567,2)</f>
      </c>
      <c r="AV567" s="33">
        <f>ROUND(AB567-AL567,2)</f>
      </c>
      <c r="AW567" s="33">
        <f>ROUND(AC567-AM567,2)</f>
      </c>
      <c r="AX567" s="33">
        <f>ROUND(AD567-AN567,2)</f>
      </c>
      <c r="AY567" s="33">
        <f>ROUND(AE567-AO567,2)</f>
      </c>
      <c r="AZ567" s="33">
        <f>ROUND(MAX(0,'Your debts'!$D$22-SUM($L567:$U567)),2)</f>
      </c>
      <c r="BA567" s="33">
        <f>ROUND(SUM($B567:$K567)-SUM($AP566:$AY566),2)</f>
      </c>
      <c r="BB567" s="33">
        <f>SUM($AP567:$AY567)</f>
      </c>
      <c r="BC567" s="33">
        <f>ROUND(SUM($L567:$U567)+SUM($AF567:$AO567),2)</f>
      </c>
    </row>
    <row r="568" spans="1:55" x14ac:dyDescent="0.25">
      <c r="A568">
        <v>561</v>
      </c>
      <c r="B568" s="33">
        <f>IF(AP567&lt;=0,0,ROUND(AP567+ROUND(AP567*V$3/12,2),2))</f>
      </c>
      <c r="C568" s="33">
        <f>IF(AQ567&lt;=0,0,ROUND(AQ567+ROUND(AQ567*W$3/12,2),2))</f>
      </c>
      <c r="D568" s="33">
        <f>IF(AR567&lt;=0,0,ROUND(AR567+ROUND(AR567*X$3/12,2),2))</f>
      </c>
      <c r="E568" s="33">
        <f>IF(AS567&lt;=0,0,ROUND(AS567+ROUND(AS567*Y$3/12,2),2))</f>
      </c>
      <c r="F568" s="33">
        <f>IF(AT567&lt;=0,0,ROUND(AT567+ROUND(AT567*Z$3/12,2),2))</f>
      </c>
      <c r="G568" s="33">
        <f>IF(AU567&lt;=0,0,ROUND(AU567+ROUND(AU567*AA$3/12,2),2))</f>
      </c>
      <c r="H568" s="33">
        <f>IF(AV567&lt;=0,0,ROUND(AV567+ROUND(AV567*AB$3/12,2),2))</f>
      </c>
      <c r="I568" s="33">
        <f>IF(AW567&lt;=0,0,ROUND(AW567+ROUND(AW567*AC$3/12,2),2))</f>
      </c>
      <c r="J568" s="33">
        <f>IF(AX567&lt;=0,0,ROUND(AX567+ROUND(AX567*AD$3/12,2),2))</f>
      </c>
      <c r="K568" s="33">
        <f>IF(AY567&lt;=0,0,ROUND(AY567+ROUND(AY567*AE$3/12,2),2))</f>
      </c>
      <c r="L568" s="33">
        <f>ROUND(MIN(MAX(0,N('Your debts'!$E$6)),B568),2)</f>
      </c>
      <c r="M568" s="33">
        <f>ROUND(MIN(MAX(0,N('Your debts'!$E$7)),C568),2)</f>
      </c>
      <c r="N568" s="33">
        <f>ROUND(MIN(MAX(0,N('Your debts'!$E$8)),D568),2)</f>
      </c>
      <c r="O568" s="33">
        <f>ROUND(MIN(MAX(0,N('Your debts'!$E$9)),E568),2)</f>
      </c>
      <c r="P568" s="33">
        <f>ROUND(MIN(MAX(0,N('Your debts'!$E$10)),F568),2)</f>
      </c>
      <c r="Q568" s="33">
        <f>ROUND(MIN(MAX(0,N('Your debts'!$E$11)),G568),2)</f>
      </c>
      <c r="R568" s="33">
        <f>ROUND(MIN(MAX(0,N('Your debts'!$E$12)),H568),2)</f>
      </c>
      <c r="S568" s="33">
        <f>ROUND(MIN(MAX(0,N('Your debts'!$E$13)),I568),2)</f>
      </c>
      <c r="T568" s="33">
        <f>ROUND(MIN(MAX(0,N('Your debts'!$E$14)),J568),2)</f>
      </c>
      <c r="U568" s="33">
        <f>ROUND(MIN(MAX(0,N('Your debts'!$E$15)),K568),2)</f>
      </c>
      <c r="V568" s="33">
        <f>ROUND(B568-L568,2)</f>
      </c>
      <c r="W568" s="33">
        <f>ROUND(C568-M568,2)</f>
      </c>
      <c r="X568" s="33">
        <f>ROUND(D568-N568,2)</f>
      </c>
      <c r="Y568" s="33">
        <f>ROUND(E568-O568,2)</f>
      </c>
      <c r="Z568" s="33">
        <f>ROUND(F568-P568,2)</f>
      </c>
      <c r="AA568" s="33">
        <f>ROUND(G568-Q568,2)</f>
      </c>
      <c r="AB568" s="33">
        <f>ROUND(H568-R568,2)</f>
      </c>
      <c r="AC568" s="33">
        <f>ROUND(I568-S568,2)</f>
      </c>
      <c r="AD568" s="33">
        <f>ROUND(J568-T568,2)</f>
      </c>
      <c r="AE568" s="33">
        <f>ROUND(K568-U568,2)</f>
      </c>
      <c r="AF568" s="33">
        <f>IF(V568&lt;=0,0,MAX(0,MIN(V568,ROUND($AZ568-SUMPRODUCT($V568:$AE568*($V568:$AE568&gt;0)*(($V568:$AE568&lt;V568)+($V568:$AE568=V568)*($V$3:$AE$3&gt;V$3)+($V568:$AE568=V568)*($V$3:$AE$3=V$3)*($V$2:$AE$2&lt;V$2))),2))))</f>
      </c>
      <c r="AG568" s="33">
        <f>IF(W568&lt;=0,0,MAX(0,MIN(W568,ROUND($AZ568-SUMPRODUCT($V568:$AE568*($V568:$AE568&gt;0)*(($V568:$AE568&lt;W568)+($V568:$AE568=W568)*($V$3:$AE$3&gt;W$3)+($V568:$AE568=W568)*($V$3:$AE$3=W$3)*($V$2:$AE$2&lt;W$2))),2))))</f>
      </c>
      <c r="AH568" s="33">
        <f>IF(X568&lt;=0,0,MAX(0,MIN(X568,ROUND($AZ568-SUMPRODUCT($V568:$AE568*($V568:$AE568&gt;0)*(($V568:$AE568&lt;X568)+($V568:$AE568=X568)*($V$3:$AE$3&gt;X$3)+($V568:$AE568=X568)*($V$3:$AE$3=X$3)*($V$2:$AE$2&lt;X$2))),2))))</f>
      </c>
      <c r="AI568" s="33">
        <f>IF(Y568&lt;=0,0,MAX(0,MIN(Y568,ROUND($AZ568-SUMPRODUCT($V568:$AE568*($V568:$AE568&gt;0)*(($V568:$AE568&lt;Y568)+($V568:$AE568=Y568)*($V$3:$AE$3&gt;Y$3)+($V568:$AE568=Y568)*($V$3:$AE$3=Y$3)*($V$2:$AE$2&lt;Y$2))),2))))</f>
      </c>
      <c r="AJ568" s="33">
        <f>IF(Z568&lt;=0,0,MAX(0,MIN(Z568,ROUND($AZ568-SUMPRODUCT($V568:$AE568*($V568:$AE568&gt;0)*(($V568:$AE568&lt;Z568)+($V568:$AE568=Z568)*($V$3:$AE$3&gt;Z$3)+($V568:$AE568=Z568)*($V$3:$AE$3=Z$3)*($V$2:$AE$2&lt;Z$2))),2))))</f>
      </c>
      <c r="AK568" s="33">
        <f>IF(AA568&lt;=0,0,MAX(0,MIN(AA568,ROUND($AZ568-SUMPRODUCT($V568:$AE568*($V568:$AE568&gt;0)*(($V568:$AE568&lt;AA568)+($V568:$AE568=AA568)*($V$3:$AE$3&gt;AA$3)+($V568:$AE568=AA568)*($V$3:$AE$3=AA$3)*($V$2:$AE$2&lt;AA$2))),2))))</f>
      </c>
      <c r="AL568" s="33">
        <f>IF(AB568&lt;=0,0,MAX(0,MIN(AB568,ROUND($AZ568-SUMPRODUCT($V568:$AE568*($V568:$AE568&gt;0)*(($V568:$AE568&lt;AB568)+($V568:$AE568=AB568)*($V$3:$AE$3&gt;AB$3)+($V568:$AE568=AB568)*($V$3:$AE$3=AB$3)*($V$2:$AE$2&lt;AB$2))),2))))</f>
      </c>
      <c r="AM568" s="33">
        <f>IF(AC568&lt;=0,0,MAX(0,MIN(AC568,ROUND($AZ568-SUMPRODUCT($V568:$AE568*($V568:$AE568&gt;0)*(($V568:$AE568&lt;AC568)+($V568:$AE568=AC568)*($V$3:$AE$3&gt;AC$3)+($V568:$AE568=AC568)*($V$3:$AE$3=AC$3)*($V$2:$AE$2&lt;AC$2))),2))))</f>
      </c>
      <c r="AN568" s="33">
        <f>IF(AD568&lt;=0,0,MAX(0,MIN(AD568,ROUND($AZ568-SUMPRODUCT($V568:$AE568*($V568:$AE568&gt;0)*(($V568:$AE568&lt;AD568)+($V568:$AE568=AD568)*($V$3:$AE$3&gt;AD$3)+($V568:$AE568=AD568)*($V$3:$AE$3=AD$3)*($V$2:$AE$2&lt;AD$2))),2))))</f>
      </c>
      <c r="AO568" s="33">
        <f>IF(AE568&lt;=0,0,MAX(0,MIN(AE568,ROUND($AZ568-SUMPRODUCT($V568:$AE568*($V568:$AE568&gt;0)*(($V568:$AE568&lt;AE568)+($V568:$AE568=AE568)*($V$3:$AE$3&gt;AE$3)+($V568:$AE568=AE568)*($V$3:$AE$3=AE$3)*($V$2:$AE$2&lt;AE$2))),2))))</f>
      </c>
      <c r="AP568" s="33">
        <f>ROUND(V568-AF568,2)</f>
      </c>
      <c r="AQ568" s="33">
        <f>ROUND(W568-AG568,2)</f>
      </c>
      <c r="AR568" s="33">
        <f>ROUND(X568-AH568,2)</f>
      </c>
      <c r="AS568" s="33">
        <f>ROUND(Y568-AI568,2)</f>
      </c>
      <c r="AT568" s="33">
        <f>ROUND(Z568-AJ568,2)</f>
      </c>
      <c r="AU568" s="33">
        <f>ROUND(AA568-AK568,2)</f>
      </c>
      <c r="AV568" s="33">
        <f>ROUND(AB568-AL568,2)</f>
      </c>
      <c r="AW568" s="33">
        <f>ROUND(AC568-AM568,2)</f>
      </c>
      <c r="AX568" s="33">
        <f>ROUND(AD568-AN568,2)</f>
      </c>
      <c r="AY568" s="33">
        <f>ROUND(AE568-AO568,2)</f>
      </c>
      <c r="AZ568" s="33">
        <f>ROUND(MAX(0,'Your debts'!$D$22-SUM($L568:$U568)),2)</f>
      </c>
      <c r="BA568" s="33">
        <f>ROUND(SUM($B568:$K568)-SUM($AP567:$AY567),2)</f>
      </c>
      <c r="BB568" s="33">
        <f>SUM($AP568:$AY568)</f>
      </c>
      <c r="BC568" s="33">
        <f>ROUND(SUM($L568:$U568)+SUM($AF568:$AO568),2)</f>
      </c>
    </row>
    <row r="569" spans="1:55" x14ac:dyDescent="0.25">
      <c r="A569">
        <v>562</v>
      </c>
      <c r="B569" s="33">
        <f>IF(AP568&lt;=0,0,ROUND(AP568+ROUND(AP568*V$3/12,2),2))</f>
      </c>
      <c r="C569" s="33">
        <f>IF(AQ568&lt;=0,0,ROUND(AQ568+ROUND(AQ568*W$3/12,2),2))</f>
      </c>
      <c r="D569" s="33">
        <f>IF(AR568&lt;=0,0,ROUND(AR568+ROUND(AR568*X$3/12,2),2))</f>
      </c>
      <c r="E569" s="33">
        <f>IF(AS568&lt;=0,0,ROUND(AS568+ROUND(AS568*Y$3/12,2),2))</f>
      </c>
      <c r="F569" s="33">
        <f>IF(AT568&lt;=0,0,ROUND(AT568+ROUND(AT568*Z$3/12,2),2))</f>
      </c>
      <c r="G569" s="33">
        <f>IF(AU568&lt;=0,0,ROUND(AU568+ROUND(AU568*AA$3/12,2),2))</f>
      </c>
      <c r="H569" s="33">
        <f>IF(AV568&lt;=0,0,ROUND(AV568+ROUND(AV568*AB$3/12,2),2))</f>
      </c>
      <c r="I569" s="33">
        <f>IF(AW568&lt;=0,0,ROUND(AW568+ROUND(AW568*AC$3/12,2),2))</f>
      </c>
      <c r="J569" s="33">
        <f>IF(AX568&lt;=0,0,ROUND(AX568+ROUND(AX568*AD$3/12,2),2))</f>
      </c>
      <c r="K569" s="33">
        <f>IF(AY568&lt;=0,0,ROUND(AY568+ROUND(AY568*AE$3/12,2),2))</f>
      </c>
      <c r="L569" s="33">
        <f>ROUND(MIN(MAX(0,N('Your debts'!$E$6)),B569),2)</f>
      </c>
      <c r="M569" s="33">
        <f>ROUND(MIN(MAX(0,N('Your debts'!$E$7)),C569),2)</f>
      </c>
      <c r="N569" s="33">
        <f>ROUND(MIN(MAX(0,N('Your debts'!$E$8)),D569),2)</f>
      </c>
      <c r="O569" s="33">
        <f>ROUND(MIN(MAX(0,N('Your debts'!$E$9)),E569),2)</f>
      </c>
      <c r="P569" s="33">
        <f>ROUND(MIN(MAX(0,N('Your debts'!$E$10)),F569),2)</f>
      </c>
      <c r="Q569" s="33">
        <f>ROUND(MIN(MAX(0,N('Your debts'!$E$11)),G569),2)</f>
      </c>
      <c r="R569" s="33">
        <f>ROUND(MIN(MAX(0,N('Your debts'!$E$12)),H569),2)</f>
      </c>
      <c r="S569" s="33">
        <f>ROUND(MIN(MAX(0,N('Your debts'!$E$13)),I569),2)</f>
      </c>
      <c r="T569" s="33">
        <f>ROUND(MIN(MAX(0,N('Your debts'!$E$14)),J569),2)</f>
      </c>
      <c r="U569" s="33">
        <f>ROUND(MIN(MAX(0,N('Your debts'!$E$15)),K569),2)</f>
      </c>
      <c r="V569" s="33">
        <f>ROUND(B569-L569,2)</f>
      </c>
      <c r="W569" s="33">
        <f>ROUND(C569-M569,2)</f>
      </c>
      <c r="X569" s="33">
        <f>ROUND(D569-N569,2)</f>
      </c>
      <c r="Y569" s="33">
        <f>ROUND(E569-O569,2)</f>
      </c>
      <c r="Z569" s="33">
        <f>ROUND(F569-P569,2)</f>
      </c>
      <c r="AA569" s="33">
        <f>ROUND(G569-Q569,2)</f>
      </c>
      <c r="AB569" s="33">
        <f>ROUND(H569-R569,2)</f>
      </c>
      <c r="AC569" s="33">
        <f>ROUND(I569-S569,2)</f>
      </c>
      <c r="AD569" s="33">
        <f>ROUND(J569-T569,2)</f>
      </c>
      <c r="AE569" s="33">
        <f>ROUND(K569-U569,2)</f>
      </c>
      <c r="AF569" s="33">
        <f>IF(V569&lt;=0,0,MAX(0,MIN(V569,ROUND($AZ569-SUMPRODUCT($V569:$AE569*($V569:$AE569&gt;0)*(($V569:$AE569&lt;V569)+($V569:$AE569=V569)*($V$3:$AE$3&gt;V$3)+($V569:$AE569=V569)*($V$3:$AE$3=V$3)*($V$2:$AE$2&lt;V$2))),2))))</f>
      </c>
      <c r="AG569" s="33">
        <f>IF(W569&lt;=0,0,MAX(0,MIN(W569,ROUND($AZ569-SUMPRODUCT($V569:$AE569*($V569:$AE569&gt;0)*(($V569:$AE569&lt;W569)+($V569:$AE569=W569)*($V$3:$AE$3&gt;W$3)+($V569:$AE569=W569)*($V$3:$AE$3=W$3)*($V$2:$AE$2&lt;W$2))),2))))</f>
      </c>
      <c r="AH569" s="33">
        <f>IF(X569&lt;=0,0,MAX(0,MIN(X569,ROUND($AZ569-SUMPRODUCT($V569:$AE569*($V569:$AE569&gt;0)*(($V569:$AE569&lt;X569)+($V569:$AE569=X569)*($V$3:$AE$3&gt;X$3)+($V569:$AE569=X569)*($V$3:$AE$3=X$3)*($V$2:$AE$2&lt;X$2))),2))))</f>
      </c>
      <c r="AI569" s="33">
        <f>IF(Y569&lt;=0,0,MAX(0,MIN(Y569,ROUND($AZ569-SUMPRODUCT($V569:$AE569*($V569:$AE569&gt;0)*(($V569:$AE569&lt;Y569)+($V569:$AE569=Y569)*($V$3:$AE$3&gt;Y$3)+($V569:$AE569=Y569)*($V$3:$AE$3=Y$3)*($V$2:$AE$2&lt;Y$2))),2))))</f>
      </c>
      <c r="AJ569" s="33">
        <f>IF(Z569&lt;=0,0,MAX(0,MIN(Z569,ROUND($AZ569-SUMPRODUCT($V569:$AE569*($V569:$AE569&gt;0)*(($V569:$AE569&lt;Z569)+($V569:$AE569=Z569)*($V$3:$AE$3&gt;Z$3)+($V569:$AE569=Z569)*($V$3:$AE$3=Z$3)*($V$2:$AE$2&lt;Z$2))),2))))</f>
      </c>
      <c r="AK569" s="33">
        <f>IF(AA569&lt;=0,0,MAX(0,MIN(AA569,ROUND($AZ569-SUMPRODUCT($V569:$AE569*($V569:$AE569&gt;0)*(($V569:$AE569&lt;AA569)+($V569:$AE569=AA569)*($V$3:$AE$3&gt;AA$3)+($V569:$AE569=AA569)*($V$3:$AE$3=AA$3)*($V$2:$AE$2&lt;AA$2))),2))))</f>
      </c>
      <c r="AL569" s="33">
        <f>IF(AB569&lt;=0,0,MAX(0,MIN(AB569,ROUND($AZ569-SUMPRODUCT($V569:$AE569*($V569:$AE569&gt;0)*(($V569:$AE569&lt;AB569)+($V569:$AE569=AB569)*($V$3:$AE$3&gt;AB$3)+($V569:$AE569=AB569)*($V$3:$AE$3=AB$3)*($V$2:$AE$2&lt;AB$2))),2))))</f>
      </c>
      <c r="AM569" s="33">
        <f>IF(AC569&lt;=0,0,MAX(0,MIN(AC569,ROUND($AZ569-SUMPRODUCT($V569:$AE569*($V569:$AE569&gt;0)*(($V569:$AE569&lt;AC569)+($V569:$AE569=AC569)*($V$3:$AE$3&gt;AC$3)+($V569:$AE569=AC569)*($V$3:$AE$3=AC$3)*($V$2:$AE$2&lt;AC$2))),2))))</f>
      </c>
      <c r="AN569" s="33">
        <f>IF(AD569&lt;=0,0,MAX(0,MIN(AD569,ROUND($AZ569-SUMPRODUCT($V569:$AE569*($V569:$AE569&gt;0)*(($V569:$AE569&lt;AD569)+($V569:$AE569=AD569)*($V$3:$AE$3&gt;AD$3)+($V569:$AE569=AD569)*($V$3:$AE$3=AD$3)*($V$2:$AE$2&lt;AD$2))),2))))</f>
      </c>
      <c r="AO569" s="33">
        <f>IF(AE569&lt;=0,0,MAX(0,MIN(AE569,ROUND($AZ569-SUMPRODUCT($V569:$AE569*($V569:$AE569&gt;0)*(($V569:$AE569&lt;AE569)+($V569:$AE569=AE569)*($V$3:$AE$3&gt;AE$3)+($V569:$AE569=AE569)*($V$3:$AE$3=AE$3)*($V$2:$AE$2&lt;AE$2))),2))))</f>
      </c>
      <c r="AP569" s="33">
        <f>ROUND(V569-AF569,2)</f>
      </c>
      <c r="AQ569" s="33">
        <f>ROUND(W569-AG569,2)</f>
      </c>
      <c r="AR569" s="33">
        <f>ROUND(X569-AH569,2)</f>
      </c>
      <c r="AS569" s="33">
        <f>ROUND(Y569-AI569,2)</f>
      </c>
      <c r="AT569" s="33">
        <f>ROUND(Z569-AJ569,2)</f>
      </c>
      <c r="AU569" s="33">
        <f>ROUND(AA569-AK569,2)</f>
      </c>
      <c r="AV569" s="33">
        <f>ROUND(AB569-AL569,2)</f>
      </c>
      <c r="AW569" s="33">
        <f>ROUND(AC569-AM569,2)</f>
      </c>
      <c r="AX569" s="33">
        <f>ROUND(AD569-AN569,2)</f>
      </c>
      <c r="AY569" s="33">
        <f>ROUND(AE569-AO569,2)</f>
      </c>
      <c r="AZ569" s="33">
        <f>ROUND(MAX(0,'Your debts'!$D$22-SUM($L569:$U569)),2)</f>
      </c>
      <c r="BA569" s="33">
        <f>ROUND(SUM($B569:$K569)-SUM($AP568:$AY568),2)</f>
      </c>
      <c r="BB569" s="33">
        <f>SUM($AP569:$AY569)</f>
      </c>
      <c r="BC569" s="33">
        <f>ROUND(SUM($L569:$U569)+SUM($AF569:$AO569),2)</f>
      </c>
    </row>
    <row r="570" spans="1:55" x14ac:dyDescent="0.25">
      <c r="A570">
        <v>563</v>
      </c>
      <c r="B570" s="33">
        <f>IF(AP569&lt;=0,0,ROUND(AP569+ROUND(AP569*V$3/12,2),2))</f>
      </c>
      <c r="C570" s="33">
        <f>IF(AQ569&lt;=0,0,ROUND(AQ569+ROUND(AQ569*W$3/12,2),2))</f>
      </c>
      <c r="D570" s="33">
        <f>IF(AR569&lt;=0,0,ROUND(AR569+ROUND(AR569*X$3/12,2),2))</f>
      </c>
      <c r="E570" s="33">
        <f>IF(AS569&lt;=0,0,ROUND(AS569+ROUND(AS569*Y$3/12,2),2))</f>
      </c>
      <c r="F570" s="33">
        <f>IF(AT569&lt;=0,0,ROUND(AT569+ROUND(AT569*Z$3/12,2),2))</f>
      </c>
      <c r="G570" s="33">
        <f>IF(AU569&lt;=0,0,ROUND(AU569+ROUND(AU569*AA$3/12,2),2))</f>
      </c>
      <c r="H570" s="33">
        <f>IF(AV569&lt;=0,0,ROUND(AV569+ROUND(AV569*AB$3/12,2),2))</f>
      </c>
      <c r="I570" s="33">
        <f>IF(AW569&lt;=0,0,ROUND(AW569+ROUND(AW569*AC$3/12,2),2))</f>
      </c>
      <c r="J570" s="33">
        <f>IF(AX569&lt;=0,0,ROUND(AX569+ROUND(AX569*AD$3/12,2),2))</f>
      </c>
      <c r="K570" s="33">
        <f>IF(AY569&lt;=0,0,ROUND(AY569+ROUND(AY569*AE$3/12,2),2))</f>
      </c>
      <c r="L570" s="33">
        <f>ROUND(MIN(MAX(0,N('Your debts'!$E$6)),B570),2)</f>
      </c>
      <c r="M570" s="33">
        <f>ROUND(MIN(MAX(0,N('Your debts'!$E$7)),C570),2)</f>
      </c>
      <c r="N570" s="33">
        <f>ROUND(MIN(MAX(0,N('Your debts'!$E$8)),D570),2)</f>
      </c>
      <c r="O570" s="33">
        <f>ROUND(MIN(MAX(0,N('Your debts'!$E$9)),E570),2)</f>
      </c>
      <c r="P570" s="33">
        <f>ROUND(MIN(MAX(0,N('Your debts'!$E$10)),F570),2)</f>
      </c>
      <c r="Q570" s="33">
        <f>ROUND(MIN(MAX(0,N('Your debts'!$E$11)),G570),2)</f>
      </c>
      <c r="R570" s="33">
        <f>ROUND(MIN(MAX(0,N('Your debts'!$E$12)),H570),2)</f>
      </c>
      <c r="S570" s="33">
        <f>ROUND(MIN(MAX(0,N('Your debts'!$E$13)),I570),2)</f>
      </c>
      <c r="T570" s="33">
        <f>ROUND(MIN(MAX(0,N('Your debts'!$E$14)),J570),2)</f>
      </c>
      <c r="U570" s="33">
        <f>ROUND(MIN(MAX(0,N('Your debts'!$E$15)),K570),2)</f>
      </c>
      <c r="V570" s="33">
        <f>ROUND(B570-L570,2)</f>
      </c>
      <c r="W570" s="33">
        <f>ROUND(C570-M570,2)</f>
      </c>
      <c r="X570" s="33">
        <f>ROUND(D570-N570,2)</f>
      </c>
      <c r="Y570" s="33">
        <f>ROUND(E570-O570,2)</f>
      </c>
      <c r="Z570" s="33">
        <f>ROUND(F570-P570,2)</f>
      </c>
      <c r="AA570" s="33">
        <f>ROUND(G570-Q570,2)</f>
      </c>
      <c r="AB570" s="33">
        <f>ROUND(H570-R570,2)</f>
      </c>
      <c r="AC570" s="33">
        <f>ROUND(I570-S570,2)</f>
      </c>
      <c r="AD570" s="33">
        <f>ROUND(J570-T570,2)</f>
      </c>
      <c r="AE570" s="33">
        <f>ROUND(K570-U570,2)</f>
      </c>
      <c r="AF570" s="33">
        <f>IF(V570&lt;=0,0,MAX(0,MIN(V570,ROUND($AZ570-SUMPRODUCT($V570:$AE570*($V570:$AE570&gt;0)*(($V570:$AE570&lt;V570)+($V570:$AE570=V570)*($V$3:$AE$3&gt;V$3)+($V570:$AE570=V570)*($V$3:$AE$3=V$3)*($V$2:$AE$2&lt;V$2))),2))))</f>
      </c>
      <c r="AG570" s="33">
        <f>IF(W570&lt;=0,0,MAX(0,MIN(W570,ROUND($AZ570-SUMPRODUCT($V570:$AE570*($V570:$AE570&gt;0)*(($V570:$AE570&lt;W570)+($V570:$AE570=W570)*($V$3:$AE$3&gt;W$3)+($V570:$AE570=W570)*($V$3:$AE$3=W$3)*($V$2:$AE$2&lt;W$2))),2))))</f>
      </c>
      <c r="AH570" s="33">
        <f>IF(X570&lt;=0,0,MAX(0,MIN(X570,ROUND($AZ570-SUMPRODUCT($V570:$AE570*($V570:$AE570&gt;0)*(($V570:$AE570&lt;X570)+($V570:$AE570=X570)*($V$3:$AE$3&gt;X$3)+($V570:$AE570=X570)*($V$3:$AE$3=X$3)*($V$2:$AE$2&lt;X$2))),2))))</f>
      </c>
      <c r="AI570" s="33">
        <f>IF(Y570&lt;=0,0,MAX(0,MIN(Y570,ROUND($AZ570-SUMPRODUCT($V570:$AE570*($V570:$AE570&gt;0)*(($V570:$AE570&lt;Y570)+($V570:$AE570=Y570)*($V$3:$AE$3&gt;Y$3)+($V570:$AE570=Y570)*($V$3:$AE$3=Y$3)*($V$2:$AE$2&lt;Y$2))),2))))</f>
      </c>
      <c r="AJ570" s="33">
        <f>IF(Z570&lt;=0,0,MAX(0,MIN(Z570,ROUND($AZ570-SUMPRODUCT($V570:$AE570*($V570:$AE570&gt;0)*(($V570:$AE570&lt;Z570)+($V570:$AE570=Z570)*($V$3:$AE$3&gt;Z$3)+($V570:$AE570=Z570)*($V$3:$AE$3=Z$3)*($V$2:$AE$2&lt;Z$2))),2))))</f>
      </c>
      <c r="AK570" s="33">
        <f>IF(AA570&lt;=0,0,MAX(0,MIN(AA570,ROUND($AZ570-SUMPRODUCT($V570:$AE570*($V570:$AE570&gt;0)*(($V570:$AE570&lt;AA570)+($V570:$AE570=AA570)*($V$3:$AE$3&gt;AA$3)+($V570:$AE570=AA570)*($V$3:$AE$3=AA$3)*($V$2:$AE$2&lt;AA$2))),2))))</f>
      </c>
      <c r="AL570" s="33">
        <f>IF(AB570&lt;=0,0,MAX(0,MIN(AB570,ROUND($AZ570-SUMPRODUCT($V570:$AE570*($V570:$AE570&gt;0)*(($V570:$AE570&lt;AB570)+($V570:$AE570=AB570)*($V$3:$AE$3&gt;AB$3)+($V570:$AE570=AB570)*($V$3:$AE$3=AB$3)*($V$2:$AE$2&lt;AB$2))),2))))</f>
      </c>
      <c r="AM570" s="33">
        <f>IF(AC570&lt;=0,0,MAX(0,MIN(AC570,ROUND($AZ570-SUMPRODUCT($V570:$AE570*($V570:$AE570&gt;0)*(($V570:$AE570&lt;AC570)+($V570:$AE570=AC570)*($V$3:$AE$3&gt;AC$3)+($V570:$AE570=AC570)*($V$3:$AE$3=AC$3)*($V$2:$AE$2&lt;AC$2))),2))))</f>
      </c>
      <c r="AN570" s="33">
        <f>IF(AD570&lt;=0,0,MAX(0,MIN(AD570,ROUND($AZ570-SUMPRODUCT($V570:$AE570*($V570:$AE570&gt;0)*(($V570:$AE570&lt;AD570)+($V570:$AE570=AD570)*($V$3:$AE$3&gt;AD$3)+($V570:$AE570=AD570)*($V$3:$AE$3=AD$3)*($V$2:$AE$2&lt;AD$2))),2))))</f>
      </c>
      <c r="AO570" s="33">
        <f>IF(AE570&lt;=0,0,MAX(0,MIN(AE570,ROUND($AZ570-SUMPRODUCT($V570:$AE570*($V570:$AE570&gt;0)*(($V570:$AE570&lt;AE570)+($V570:$AE570=AE570)*($V$3:$AE$3&gt;AE$3)+($V570:$AE570=AE570)*($V$3:$AE$3=AE$3)*($V$2:$AE$2&lt;AE$2))),2))))</f>
      </c>
      <c r="AP570" s="33">
        <f>ROUND(V570-AF570,2)</f>
      </c>
      <c r="AQ570" s="33">
        <f>ROUND(W570-AG570,2)</f>
      </c>
      <c r="AR570" s="33">
        <f>ROUND(X570-AH570,2)</f>
      </c>
      <c r="AS570" s="33">
        <f>ROUND(Y570-AI570,2)</f>
      </c>
      <c r="AT570" s="33">
        <f>ROUND(Z570-AJ570,2)</f>
      </c>
      <c r="AU570" s="33">
        <f>ROUND(AA570-AK570,2)</f>
      </c>
      <c r="AV570" s="33">
        <f>ROUND(AB570-AL570,2)</f>
      </c>
      <c r="AW570" s="33">
        <f>ROUND(AC570-AM570,2)</f>
      </c>
      <c r="AX570" s="33">
        <f>ROUND(AD570-AN570,2)</f>
      </c>
      <c r="AY570" s="33">
        <f>ROUND(AE570-AO570,2)</f>
      </c>
      <c r="AZ570" s="33">
        <f>ROUND(MAX(0,'Your debts'!$D$22-SUM($L570:$U570)),2)</f>
      </c>
      <c r="BA570" s="33">
        <f>ROUND(SUM($B570:$K570)-SUM($AP569:$AY569),2)</f>
      </c>
      <c r="BB570" s="33">
        <f>SUM($AP570:$AY570)</f>
      </c>
      <c r="BC570" s="33">
        <f>ROUND(SUM($L570:$U570)+SUM($AF570:$AO570),2)</f>
      </c>
    </row>
    <row r="571" spans="1:55" x14ac:dyDescent="0.25">
      <c r="A571">
        <v>564</v>
      </c>
      <c r="B571" s="33">
        <f>IF(AP570&lt;=0,0,ROUND(AP570+ROUND(AP570*V$3/12,2),2))</f>
      </c>
      <c r="C571" s="33">
        <f>IF(AQ570&lt;=0,0,ROUND(AQ570+ROUND(AQ570*W$3/12,2),2))</f>
      </c>
      <c r="D571" s="33">
        <f>IF(AR570&lt;=0,0,ROUND(AR570+ROUND(AR570*X$3/12,2),2))</f>
      </c>
      <c r="E571" s="33">
        <f>IF(AS570&lt;=0,0,ROUND(AS570+ROUND(AS570*Y$3/12,2),2))</f>
      </c>
      <c r="F571" s="33">
        <f>IF(AT570&lt;=0,0,ROUND(AT570+ROUND(AT570*Z$3/12,2),2))</f>
      </c>
      <c r="G571" s="33">
        <f>IF(AU570&lt;=0,0,ROUND(AU570+ROUND(AU570*AA$3/12,2),2))</f>
      </c>
      <c r="H571" s="33">
        <f>IF(AV570&lt;=0,0,ROUND(AV570+ROUND(AV570*AB$3/12,2),2))</f>
      </c>
      <c r="I571" s="33">
        <f>IF(AW570&lt;=0,0,ROUND(AW570+ROUND(AW570*AC$3/12,2),2))</f>
      </c>
      <c r="J571" s="33">
        <f>IF(AX570&lt;=0,0,ROUND(AX570+ROUND(AX570*AD$3/12,2),2))</f>
      </c>
      <c r="K571" s="33">
        <f>IF(AY570&lt;=0,0,ROUND(AY570+ROUND(AY570*AE$3/12,2),2))</f>
      </c>
      <c r="L571" s="33">
        <f>ROUND(MIN(MAX(0,N('Your debts'!$E$6)),B571),2)</f>
      </c>
      <c r="M571" s="33">
        <f>ROUND(MIN(MAX(0,N('Your debts'!$E$7)),C571),2)</f>
      </c>
      <c r="N571" s="33">
        <f>ROUND(MIN(MAX(0,N('Your debts'!$E$8)),D571),2)</f>
      </c>
      <c r="O571" s="33">
        <f>ROUND(MIN(MAX(0,N('Your debts'!$E$9)),E571),2)</f>
      </c>
      <c r="P571" s="33">
        <f>ROUND(MIN(MAX(0,N('Your debts'!$E$10)),F571),2)</f>
      </c>
      <c r="Q571" s="33">
        <f>ROUND(MIN(MAX(0,N('Your debts'!$E$11)),G571),2)</f>
      </c>
      <c r="R571" s="33">
        <f>ROUND(MIN(MAX(0,N('Your debts'!$E$12)),H571),2)</f>
      </c>
      <c r="S571" s="33">
        <f>ROUND(MIN(MAX(0,N('Your debts'!$E$13)),I571),2)</f>
      </c>
      <c r="T571" s="33">
        <f>ROUND(MIN(MAX(0,N('Your debts'!$E$14)),J571),2)</f>
      </c>
      <c r="U571" s="33">
        <f>ROUND(MIN(MAX(0,N('Your debts'!$E$15)),K571),2)</f>
      </c>
      <c r="V571" s="33">
        <f>ROUND(B571-L571,2)</f>
      </c>
      <c r="W571" s="33">
        <f>ROUND(C571-M571,2)</f>
      </c>
      <c r="X571" s="33">
        <f>ROUND(D571-N571,2)</f>
      </c>
      <c r="Y571" s="33">
        <f>ROUND(E571-O571,2)</f>
      </c>
      <c r="Z571" s="33">
        <f>ROUND(F571-P571,2)</f>
      </c>
      <c r="AA571" s="33">
        <f>ROUND(G571-Q571,2)</f>
      </c>
      <c r="AB571" s="33">
        <f>ROUND(H571-R571,2)</f>
      </c>
      <c r="AC571" s="33">
        <f>ROUND(I571-S571,2)</f>
      </c>
      <c r="AD571" s="33">
        <f>ROUND(J571-T571,2)</f>
      </c>
      <c r="AE571" s="33">
        <f>ROUND(K571-U571,2)</f>
      </c>
      <c r="AF571" s="33">
        <f>IF(V571&lt;=0,0,MAX(0,MIN(V571,ROUND($AZ571-SUMPRODUCT($V571:$AE571*($V571:$AE571&gt;0)*(($V571:$AE571&lt;V571)+($V571:$AE571=V571)*($V$3:$AE$3&gt;V$3)+($V571:$AE571=V571)*($V$3:$AE$3=V$3)*($V$2:$AE$2&lt;V$2))),2))))</f>
      </c>
      <c r="AG571" s="33">
        <f>IF(W571&lt;=0,0,MAX(0,MIN(W571,ROUND($AZ571-SUMPRODUCT($V571:$AE571*($V571:$AE571&gt;0)*(($V571:$AE571&lt;W571)+($V571:$AE571=W571)*($V$3:$AE$3&gt;W$3)+($V571:$AE571=W571)*($V$3:$AE$3=W$3)*($V$2:$AE$2&lt;W$2))),2))))</f>
      </c>
      <c r="AH571" s="33">
        <f>IF(X571&lt;=0,0,MAX(0,MIN(X571,ROUND($AZ571-SUMPRODUCT($V571:$AE571*($V571:$AE571&gt;0)*(($V571:$AE571&lt;X571)+($V571:$AE571=X571)*($V$3:$AE$3&gt;X$3)+($V571:$AE571=X571)*($V$3:$AE$3=X$3)*($V$2:$AE$2&lt;X$2))),2))))</f>
      </c>
      <c r="AI571" s="33">
        <f>IF(Y571&lt;=0,0,MAX(0,MIN(Y571,ROUND($AZ571-SUMPRODUCT($V571:$AE571*($V571:$AE571&gt;0)*(($V571:$AE571&lt;Y571)+($V571:$AE571=Y571)*($V$3:$AE$3&gt;Y$3)+($V571:$AE571=Y571)*($V$3:$AE$3=Y$3)*($V$2:$AE$2&lt;Y$2))),2))))</f>
      </c>
      <c r="AJ571" s="33">
        <f>IF(Z571&lt;=0,0,MAX(0,MIN(Z571,ROUND($AZ571-SUMPRODUCT($V571:$AE571*($V571:$AE571&gt;0)*(($V571:$AE571&lt;Z571)+($V571:$AE571=Z571)*($V$3:$AE$3&gt;Z$3)+($V571:$AE571=Z571)*($V$3:$AE$3=Z$3)*($V$2:$AE$2&lt;Z$2))),2))))</f>
      </c>
      <c r="AK571" s="33">
        <f>IF(AA571&lt;=0,0,MAX(0,MIN(AA571,ROUND($AZ571-SUMPRODUCT($V571:$AE571*($V571:$AE571&gt;0)*(($V571:$AE571&lt;AA571)+($V571:$AE571=AA571)*($V$3:$AE$3&gt;AA$3)+($V571:$AE571=AA571)*($V$3:$AE$3=AA$3)*($V$2:$AE$2&lt;AA$2))),2))))</f>
      </c>
      <c r="AL571" s="33">
        <f>IF(AB571&lt;=0,0,MAX(0,MIN(AB571,ROUND($AZ571-SUMPRODUCT($V571:$AE571*($V571:$AE571&gt;0)*(($V571:$AE571&lt;AB571)+($V571:$AE571=AB571)*($V$3:$AE$3&gt;AB$3)+($V571:$AE571=AB571)*($V$3:$AE$3=AB$3)*($V$2:$AE$2&lt;AB$2))),2))))</f>
      </c>
      <c r="AM571" s="33">
        <f>IF(AC571&lt;=0,0,MAX(0,MIN(AC571,ROUND($AZ571-SUMPRODUCT($V571:$AE571*($V571:$AE571&gt;0)*(($V571:$AE571&lt;AC571)+($V571:$AE571=AC571)*($V$3:$AE$3&gt;AC$3)+($V571:$AE571=AC571)*($V$3:$AE$3=AC$3)*($V$2:$AE$2&lt;AC$2))),2))))</f>
      </c>
      <c r="AN571" s="33">
        <f>IF(AD571&lt;=0,0,MAX(0,MIN(AD571,ROUND($AZ571-SUMPRODUCT($V571:$AE571*($V571:$AE571&gt;0)*(($V571:$AE571&lt;AD571)+($V571:$AE571=AD571)*($V$3:$AE$3&gt;AD$3)+($V571:$AE571=AD571)*($V$3:$AE$3=AD$3)*($V$2:$AE$2&lt;AD$2))),2))))</f>
      </c>
      <c r="AO571" s="33">
        <f>IF(AE571&lt;=0,0,MAX(0,MIN(AE571,ROUND($AZ571-SUMPRODUCT($V571:$AE571*($V571:$AE571&gt;0)*(($V571:$AE571&lt;AE571)+($V571:$AE571=AE571)*($V$3:$AE$3&gt;AE$3)+($V571:$AE571=AE571)*($V$3:$AE$3=AE$3)*($V$2:$AE$2&lt;AE$2))),2))))</f>
      </c>
      <c r="AP571" s="33">
        <f>ROUND(V571-AF571,2)</f>
      </c>
      <c r="AQ571" s="33">
        <f>ROUND(W571-AG571,2)</f>
      </c>
      <c r="AR571" s="33">
        <f>ROUND(X571-AH571,2)</f>
      </c>
      <c r="AS571" s="33">
        <f>ROUND(Y571-AI571,2)</f>
      </c>
      <c r="AT571" s="33">
        <f>ROUND(Z571-AJ571,2)</f>
      </c>
      <c r="AU571" s="33">
        <f>ROUND(AA571-AK571,2)</f>
      </c>
      <c r="AV571" s="33">
        <f>ROUND(AB571-AL571,2)</f>
      </c>
      <c r="AW571" s="33">
        <f>ROUND(AC571-AM571,2)</f>
      </c>
      <c r="AX571" s="33">
        <f>ROUND(AD571-AN571,2)</f>
      </c>
      <c r="AY571" s="33">
        <f>ROUND(AE571-AO571,2)</f>
      </c>
      <c r="AZ571" s="33">
        <f>ROUND(MAX(0,'Your debts'!$D$22-SUM($L571:$U571)),2)</f>
      </c>
      <c r="BA571" s="33">
        <f>ROUND(SUM($B571:$K571)-SUM($AP570:$AY570),2)</f>
      </c>
      <c r="BB571" s="33">
        <f>SUM($AP571:$AY571)</f>
      </c>
      <c r="BC571" s="33">
        <f>ROUND(SUM($L571:$U571)+SUM($AF571:$AO571),2)</f>
      </c>
    </row>
    <row r="572" spans="1:55" x14ac:dyDescent="0.25">
      <c r="A572">
        <v>565</v>
      </c>
      <c r="B572" s="33">
        <f>IF(AP571&lt;=0,0,ROUND(AP571+ROUND(AP571*V$3/12,2),2))</f>
      </c>
      <c r="C572" s="33">
        <f>IF(AQ571&lt;=0,0,ROUND(AQ571+ROUND(AQ571*W$3/12,2),2))</f>
      </c>
      <c r="D572" s="33">
        <f>IF(AR571&lt;=0,0,ROUND(AR571+ROUND(AR571*X$3/12,2),2))</f>
      </c>
      <c r="E572" s="33">
        <f>IF(AS571&lt;=0,0,ROUND(AS571+ROUND(AS571*Y$3/12,2),2))</f>
      </c>
      <c r="F572" s="33">
        <f>IF(AT571&lt;=0,0,ROUND(AT571+ROUND(AT571*Z$3/12,2),2))</f>
      </c>
      <c r="G572" s="33">
        <f>IF(AU571&lt;=0,0,ROUND(AU571+ROUND(AU571*AA$3/12,2),2))</f>
      </c>
      <c r="H572" s="33">
        <f>IF(AV571&lt;=0,0,ROUND(AV571+ROUND(AV571*AB$3/12,2),2))</f>
      </c>
      <c r="I572" s="33">
        <f>IF(AW571&lt;=0,0,ROUND(AW571+ROUND(AW571*AC$3/12,2),2))</f>
      </c>
      <c r="J572" s="33">
        <f>IF(AX571&lt;=0,0,ROUND(AX571+ROUND(AX571*AD$3/12,2),2))</f>
      </c>
      <c r="K572" s="33">
        <f>IF(AY571&lt;=0,0,ROUND(AY571+ROUND(AY571*AE$3/12,2),2))</f>
      </c>
      <c r="L572" s="33">
        <f>ROUND(MIN(MAX(0,N('Your debts'!$E$6)),B572),2)</f>
      </c>
      <c r="M572" s="33">
        <f>ROUND(MIN(MAX(0,N('Your debts'!$E$7)),C572),2)</f>
      </c>
      <c r="N572" s="33">
        <f>ROUND(MIN(MAX(0,N('Your debts'!$E$8)),D572),2)</f>
      </c>
      <c r="O572" s="33">
        <f>ROUND(MIN(MAX(0,N('Your debts'!$E$9)),E572),2)</f>
      </c>
      <c r="P572" s="33">
        <f>ROUND(MIN(MAX(0,N('Your debts'!$E$10)),F572),2)</f>
      </c>
      <c r="Q572" s="33">
        <f>ROUND(MIN(MAX(0,N('Your debts'!$E$11)),G572),2)</f>
      </c>
      <c r="R572" s="33">
        <f>ROUND(MIN(MAX(0,N('Your debts'!$E$12)),H572),2)</f>
      </c>
      <c r="S572" s="33">
        <f>ROUND(MIN(MAX(0,N('Your debts'!$E$13)),I572),2)</f>
      </c>
      <c r="T572" s="33">
        <f>ROUND(MIN(MAX(0,N('Your debts'!$E$14)),J572),2)</f>
      </c>
      <c r="U572" s="33">
        <f>ROUND(MIN(MAX(0,N('Your debts'!$E$15)),K572),2)</f>
      </c>
      <c r="V572" s="33">
        <f>ROUND(B572-L572,2)</f>
      </c>
      <c r="W572" s="33">
        <f>ROUND(C572-M572,2)</f>
      </c>
      <c r="X572" s="33">
        <f>ROUND(D572-N572,2)</f>
      </c>
      <c r="Y572" s="33">
        <f>ROUND(E572-O572,2)</f>
      </c>
      <c r="Z572" s="33">
        <f>ROUND(F572-P572,2)</f>
      </c>
      <c r="AA572" s="33">
        <f>ROUND(G572-Q572,2)</f>
      </c>
      <c r="AB572" s="33">
        <f>ROUND(H572-R572,2)</f>
      </c>
      <c r="AC572" s="33">
        <f>ROUND(I572-S572,2)</f>
      </c>
      <c r="AD572" s="33">
        <f>ROUND(J572-T572,2)</f>
      </c>
      <c r="AE572" s="33">
        <f>ROUND(K572-U572,2)</f>
      </c>
      <c r="AF572" s="33">
        <f>IF(V572&lt;=0,0,MAX(0,MIN(V572,ROUND($AZ572-SUMPRODUCT($V572:$AE572*($V572:$AE572&gt;0)*(($V572:$AE572&lt;V572)+($V572:$AE572=V572)*($V$3:$AE$3&gt;V$3)+($V572:$AE572=V572)*($V$3:$AE$3=V$3)*($V$2:$AE$2&lt;V$2))),2))))</f>
      </c>
      <c r="AG572" s="33">
        <f>IF(W572&lt;=0,0,MAX(0,MIN(W572,ROUND($AZ572-SUMPRODUCT($V572:$AE572*($V572:$AE572&gt;0)*(($V572:$AE572&lt;W572)+($V572:$AE572=W572)*($V$3:$AE$3&gt;W$3)+($V572:$AE572=W572)*($V$3:$AE$3=W$3)*($V$2:$AE$2&lt;W$2))),2))))</f>
      </c>
      <c r="AH572" s="33">
        <f>IF(X572&lt;=0,0,MAX(0,MIN(X572,ROUND($AZ572-SUMPRODUCT($V572:$AE572*($V572:$AE572&gt;0)*(($V572:$AE572&lt;X572)+($V572:$AE572=X572)*($V$3:$AE$3&gt;X$3)+($V572:$AE572=X572)*($V$3:$AE$3=X$3)*($V$2:$AE$2&lt;X$2))),2))))</f>
      </c>
      <c r="AI572" s="33">
        <f>IF(Y572&lt;=0,0,MAX(0,MIN(Y572,ROUND($AZ572-SUMPRODUCT($V572:$AE572*($V572:$AE572&gt;0)*(($V572:$AE572&lt;Y572)+($V572:$AE572=Y572)*($V$3:$AE$3&gt;Y$3)+($V572:$AE572=Y572)*($V$3:$AE$3=Y$3)*($V$2:$AE$2&lt;Y$2))),2))))</f>
      </c>
      <c r="AJ572" s="33">
        <f>IF(Z572&lt;=0,0,MAX(0,MIN(Z572,ROUND($AZ572-SUMPRODUCT($V572:$AE572*($V572:$AE572&gt;0)*(($V572:$AE572&lt;Z572)+($V572:$AE572=Z572)*($V$3:$AE$3&gt;Z$3)+($V572:$AE572=Z572)*($V$3:$AE$3=Z$3)*($V$2:$AE$2&lt;Z$2))),2))))</f>
      </c>
      <c r="AK572" s="33">
        <f>IF(AA572&lt;=0,0,MAX(0,MIN(AA572,ROUND($AZ572-SUMPRODUCT($V572:$AE572*($V572:$AE572&gt;0)*(($V572:$AE572&lt;AA572)+($V572:$AE572=AA572)*($V$3:$AE$3&gt;AA$3)+($V572:$AE572=AA572)*($V$3:$AE$3=AA$3)*($V$2:$AE$2&lt;AA$2))),2))))</f>
      </c>
      <c r="AL572" s="33">
        <f>IF(AB572&lt;=0,0,MAX(0,MIN(AB572,ROUND($AZ572-SUMPRODUCT($V572:$AE572*($V572:$AE572&gt;0)*(($V572:$AE572&lt;AB572)+($V572:$AE572=AB572)*($V$3:$AE$3&gt;AB$3)+($V572:$AE572=AB572)*($V$3:$AE$3=AB$3)*($V$2:$AE$2&lt;AB$2))),2))))</f>
      </c>
      <c r="AM572" s="33">
        <f>IF(AC572&lt;=0,0,MAX(0,MIN(AC572,ROUND($AZ572-SUMPRODUCT($V572:$AE572*($V572:$AE572&gt;0)*(($V572:$AE572&lt;AC572)+($V572:$AE572=AC572)*($V$3:$AE$3&gt;AC$3)+($V572:$AE572=AC572)*($V$3:$AE$3=AC$3)*($V$2:$AE$2&lt;AC$2))),2))))</f>
      </c>
      <c r="AN572" s="33">
        <f>IF(AD572&lt;=0,0,MAX(0,MIN(AD572,ROUND($AZ572-SUMPRODUCT($V572:$AE572*($V572:$AE572&gt;0)*(($V572:$AE572&lt;AD572)+($V572:$AE572=AD572)*($V$3:$AE$3&gt;AD$3)+($V572:$AE572=AD572)*($V$3:$AE$3=AD$3)*($V$2:$AE$2&lt;AD$2))),2))))</f>
      </c>
      <c r="AO572" s="33">
        <f>IF(AE572&lt;=0,0,MAX(0,MIN(AE572,ROUND($AZ572-SUMPRODUCT($V572:$AE572*($V572:$AE572&gt;0)*(($V572:$AE572&lt;AE572)+($V572:$AE572=AE572)*($V$3:$AE$3&gt;AE$3)+($V572:$AE572=AE572)*($V$3:$AE$3=AE$3)*($V$2:$AE$2&lt;AE$2))),2))))</f>
      </c>
      <c r="AP572" s="33">
        <f>ROUND(V572-AF572,2)</f>
      </c>
      <c r="AQ572" s="33">
        <f>ROUND(W572-AG572,2)</f>
      </c>
      <c r="AR572" s="33">
        <f>ROUND(X572-AH572,2)</f>
      </c>
      <c r="AS572" s="33">
        <f>ROUND(Y572-AI572,2)</f>
      </c>
      <c r="AT572" s="33">
        <f>ROUND(Z572-AJ572,2)</f>
      </c>
      <c r="AU572" s="33">
        <f>ROUND(AA572-AK572,2)</f>
      </c>
      <c r="AV572" s="33">
        <f>ROUND(AB572-AL572,2)</f>
      </c>
      <c r="AW572" s="33">
        <f>ROUND(AC572-AM572,2)</f>
      </c>
      <c r="AX572" s="33">
        <f>ROUND(AD572-AN572,2)</f>
      </c>
      <c r="AY572" s="33">
        <f>ROUND(AE572-AO572,2)</f>
      </c>
      <c r="AZ572" s="33">
        <f>ROUND(MAX(0,'Your debts'!$D$22-SUM($L572:$U572)),2)</f>
      </c>
      <c r="BA572" s="33">
        <f>ROUND(SUM($B572:$K572)-SUM($AP571:$AY571),2)</f>
      </c>
      <c r="BB572" s="33">
        <f>SUM($AP572:$AY572)</f>
      </c>
      <c r="BC572" s="33">
        <f>ROUND(SUM($L572:$U572)+SUM($AF572:$AO572),2)</f>
      </c>
    </row>
    <row r="573" spans="1:55" x14ac:dyDescent="0.25">
      <c r="A573">
        <v>566</v>
      </c>
      <c r="B573" s="33">
        <f>IF(AP572&lt;=0,0,ROUND(AP572+ROUND(AP572*V$3/12,2),2))</f>
      </c>
      <c r="C573" s="33">
        <f>IF(AQ572&lt;=0,0,ROUND(AQ572+ROUND(AQ572*W$3/12,2),2))</f>
      </c>
      <c r="D573" s="33">
        <f>IF(AR572&lt;=0,0,ROUND(AR572+ROUND(AR572*X$3/12,2),2))</f>
      </c>
      <c r="E573" s="33">
        <f>IF(AS572&lt;=0,0,ROUND(AS572+ROUND(AS572*Y$3/12,2),2))</f>
      </c>
      <c r="F573" s="33">
        <f>IF(AT572&lt;=0,0,ROUND(AT572+ROUND(AT572*Z$3/12,2),2))</f>
      </c>
      <c r="G573" s="33">
        <f>IF(AU572&lt;=0,0,ROUND(AU572+ROUND(AU572*AA$3/12,2),2))</f>
      </c>
      <c r="H573" s="33">
        <f>IF(AV572&lt;=0,0,ROUND(AV572+ROUND(AV572*AB$3/12,2),2))</f>
      </c>
      <c r="I573" s="33">
        <f>IF(AW572&lt;=0,0,ROUND(AW572+ROUND(AW572*AC$3/12,2),2))</f>
      </c>
      <c r="J573" s="33">
        <f>IF(AX572&lt;=0,0,ROUND(AX572+ROUND(AX572*AD$3/12,2),2))</f>
      </c>
      <c r="K573" s="33">
        <f>IF(AY572&lt;=0,0,ROUND(AY572+ROUND(AY572*AE$3/12,2),2))</f>
      </c>
      <c r="L573" s="33">
        <f>ROUND(MIN(MAX(0,N('Your debts'!$E$6)),B573),2)</f>
      </c>
      <c r="M573" s="33">
        <f>ROUND(MIN(MAX(0,N('Your debts'!$E$7)),C573),2)</f>
      </c>
      <c r="N573" s="33">
        <f>ROUND(MIN(MAX(0,N('Your debts'!$E$8)),D573),2)</f>
      </c>
      <c r="O573" s="33">
        <f>ROUND(MIN(MAX(0,N('Your debts'!$E$9)),E573),2)</f>
      </c>
      <c r="P573" s="33">
        <f>ROUND(MIN(MAX(0,N('Your debts'!$E$10)),F573),2)</f>
      </c>
      <c r="Q573" s="33">
        <f>ROUND(MIN(MAX(0,N('Your debts'!$E$11)),G573),2)</f>
      </c>
      <c r="R573" s="33">
        <f>ROUND(MIN(MAX(0,N('Your debts'!$E$12)),H573),2)</f>
      </c>
      <c r="S573" s="33">
        <f>ROUND(MIN(MAX(0,N('Your debts'!$E$13)),I573),2)</f>
      </c>
      <c r="T573" s="33">
        <f>ROUND(MIN(MAX(0,N('Your debts'!$E$14)),J573),2)</f>
      </c>
      <c r="U573" s="33">
        <f>ROUND(MIN(MAX(0,N('Your debts'!$E$15)),K573),2)</f>
      </c>
      <c r="V573" s="33">
        <f>ROUND(B573-L573,2)</f>
      </c>
      <c r="W573" s="33">
        <f>ROUND(C573-M573,2)</f>
      </c>
      <c r="X573" s="33">
        <f>ROUND(D573-N573,2)</f>
      </c>
      <c r="Y573" s="33">
        <f>ROUND(E573-O573,2)</f>
      </c>
      <c r="Z573" s="33">
        <f>ROUND(F573-P573,2)</f>
      </c>
      <c r="AA573" s="33">
        <f>ROUND(G573-Q573,2)</f>
      </c>
      <c r="AB573" s="33">
        <f>ROUND(H573-R573,2)</f>
      </c>
      <c r="AC573" s="33">
        <f>ROUND(I573-S573,2)</f>
      </c>
      <c r="AD573" s="33">
        <f>ROUND(J573-T573,2)</f>
      </c>
      <c r="AE573" s="33">
        <f>ROUND(K573-U573,2)</f>
      </c>
      <c r="AF573" s="33">
        <f>IF(V573&lt;=0,0,MAX(0,MIN(V573,ROUND($AZ573-SUMPRODUCT($V573:$AE573*($V573:$AE573&gt;0)*(($V573:$AE573&lt;V573)+($V573:$AE573=V573)*($V$3:$AE$3&gt;V$3)+($V573:$AE573=V573)*($V$3:$AE$3=V$3)*($V$2:$AE$2&lt;V$2))),2))))</f>
      </c>
      <c r="AG573" s="33">
        <f>IF(W573&lt;=0,0,MAX(0,MIN(W573,ROUND($AZ573-SUMPRODUCT($V573:$AE573*($V573:$AE573&gt;0)*(($V573:$AE573&lt;W573)+($V573:$AE573=W573)*($V$3:$AE$3&gt;W$3)+($V573:$AE573=W573)*($V$3:$AE$3=W$3)*($V$2:$AE$2&lt;W$2))),2))))</f>
      </c>
      <c r="AH573" s="33">
        <f>IF(X573&lt;=0,0,MAX(0,MIN(X573,ROUND($AZ573-SUMPRODUCT($V573:$AE573*($V573:$AE573&gt;0)*(($V573:$AE573&lt;X573)+($V573:$AE573=X573)*($V$3:$AE$3&gt;X$3)+($V573:$AE573=X573)*($V$3:$AE$3=X$3)*($V$2:$AE$2&lt;X$2))),2))))</f>
      </c>
      <c r="AI573" s="33">
        <f>IF(Y573&lt;=0,0,MAX(0,MIN(Y573,ROUND($AZ573-SUMPRODUCT($V573:$AE573*($V573:$AE573&gt;0)*(($V573:$AE573&lt;Y573)+($V573:$AE573=Y573)*($V$3:$AE$3&gt;Y$3)+($V573:$AE573=Y573)*($V$3:$AE$3=Y$3)*($V$2:$AE$2&lt;Y$2))),2))))</f>
      </c>
      <c r="AJ573" s="33">
        <f>IF(Z573&lt;=0,0,MAX(0,MIN(Z573,ROUND($AZ573-SUMPRODUCT($V573:$AE573*($V573:$AE573&gt;0)*(($V573:$AE573&lt;Z573)+($V573:$AE573=Z573)*($V$3:$AE$3&gt;Z$3)+($V573:$AE573=Z573)*($V$3:$AE$3=Z$3)*($V$2:$AE$2&lt;Z$2))),2))))</f>
      </c>
      <c r="AK573" s="33">
        <f>IF(AA573&lt;=0,0,MAX(0,MIN(AA573,ROUND($AZ573-SUMPRODUCT($V573:$AE573*($V573:$AE573&gt;0)*(($V573:$AE573&lt;AA573)+($V573:$AE573=AA573)*($V$3:$AE$3&gt;AA$3)+($V573:$AE573=AA573)*($V$3:$AE$3=AA$3)*($V$2:$AE$2&lt;AA$2))),2))))</f>
      </c>
      <c r="AL573" s="33">
        <f>IF(AB573&lt;=0,0,MAX(0,MIN(AB573,ROUND($AZ573-SUMPRODUCT($V573:$AE573*($V573:$AE573&gt;0)*(($V573:$AE573&lt;AB573)+($V573:$AE573=AB573)*($V$3:$AE$3&gt;AB$3)+($V573:$AE573=AB573)*($V$3:$AE$3=AB$3)*($V$2:$AE$2&lt;AB$2))),2))))</f>
      </c>
      <c r="AM573" s="33">
        <f>IF(AC573&lt;=0,0,MAX(0,MIN(AC573,ROUND($AZ573-SUMPRODUCT($V573:$AE573*($V573:$AE573&gt;0)*(($V573:$AE573&lt;AC573)+($V573:$AE573=AC573)*($V$3:$AE$3&gt;AC$3)+($V573:$AE573=AC573)*($V$3:$AE$3=AC$3)*($V$2:$AE$2&lt;AC$2))),2))))</f>
      </c>
      <c r="AN573" s="33">
        <f>IF(AD573&lt;=0,0,MAX(0,MIN(AD573,ROUND($AZ573-SUMPRODUCT($V573:$AE573*($V573:$AE573&gt;0)*(($V573:$AE573&lt;AD573)+($V573:$AE573=AD573)*($V$3:$AE$3&gt;AD$3)+($V573:$AE573=AD573)*($V$3:$AE$3=AD$3)*($V$2:$AE$2&lt;AD$2))),2))))</f>
      </c>
      <c r="AO573" s="33">
        <f>IF(AE573&lt;=0,0,MAX(0,MIN(AE573,ROUND($AZ573-SUMPRODUCT($V573:$AE573*($V573:$AE573&gt;0)*(($V573:$AE573&lt;AE573)+($V573:$AE573=AE573)*($V$3:$AE$3&gt;AE$3)+($V573:$AE573=AE573)*($V$3:$AE$3=AE$3)*($V$2:$AE$2&lt;AE$2))),2))))</f>
      </c>
      <c r="AP573" s="33">
        <f>ROUND(V573-AF573,2)</f>
      </c>
      <c r="AQ573" s="33">
        <f>ROUND(W573-AG573,2)</f>
      </c>
      <c r="AR573" s="33">
        <f>ROUND(X573-AH573,2)</f>
      </c>
      <c r="AS573" s="33">
        <f>ROUND(Y573-AI573,2)</f>
      </c>
      <c r="AT573" s="33">
        <f>ROUND(Z573-AJ573,2)</f>
      </c>
      <c r="AU573" s="33">
        <f>ROUND(AA573-AK573,2)</f>
      </c>
      <c r="AV573" s="33">
        <f>ROUND(AB573-AL573,2)</f>
      </c>
      <c r="AW573" s="33">
        <f>ROUND(AC573-AM573,2)</f>
      </c>
      <c r="AX573" s="33">
        <f>ROUND(AD573-AN573,2)</f>
      </c>
      <c r="AY573" s="33">
        <f>ROUND(AE573-AO573,2)</f>
      </c>
      <c r="AZ573" s="33">
        <f>ROUND(MAX(0,'Your debts'!$D$22-SUM($L573:$U573)),2)</f>
      </c>
      <c r="BA573" s="33">
        <f>ROUND(SUM($B573:$K573)-SUM($AP572:$AY572),2)</f>
      </c>
      <c r="BB573" s="33">
        <f>SUM($AP573:$AY573)</f>
      </c>
      <c r="BC573" s="33">
        <f>ROUND(SUM($L573:$U573)+SUM($AF573:$AO573),2)</f>
      </c>
    </row>
    <row r="574" spans="1:55" x14ac:dyDescent="0.25">
      <c r="A574">
        <v>567</v>
      </c>
      <c r="B574" s="33">
        <f>IF(AP573&lt;=0,0,ROUND(AP573+ROUND(AP573*V$3/12,2),2))</f>
      </c>
      <c r="C574" s="33">
        <f>IF(AQ573&lt;=0,0,ROUND(AQ573+ROUND(AQ573*W$3/12,2),2))</f>
      </c>
      <c r="D574" s="33">
        <f>IF(AR573&lt;=0,0,ROUND(AR573+ROUND(AR573*X$3/12,2),2))</f>
      </c>
      <c r="E574" s="33">
        <f>IF(AS573&lt;=0,0,ROUND(AS573+ROUND(AS573*Y$3/12,2),2))</f>
      </c>
      <c r="F574" s="33">
        <f>IF(AT573&lt;=0,0,ROUND(AT573+ROUND(AT573*Z$3/12,2),2))</f>
      </c>
      <c r="G574" s="33">
        <f>IF(AU573&lt;=0,0,ROUND(AU573+ROUND(AU573*AA$3/12,2),2))</f>
      </c>
      <c r="H574" s="33">
        <f>IF(AV573&lt;=0,0,ROUND(AV573+ROUND(AV573*AB$3/12,2),2))</f>
      </c>
      <c r="I574" s="33">
        <f>IF(AW573&lt;=0,0,ROUND(AW573+ROUND(AW573*AC$3/12,2),2))</f>
      </c>
      <c r="J574" s="33">
        <f>IF(AX573&lt;=0,0,ROUND(AX573+ROUND(AX573*AD$3/12,2),2))</f>
      </c>
      <c r="K574" s="33">
        <f>IF(AY573&lt;=0,0,ROUND(AY573+ROUND(AY573*AE$3/12,2),2))</f>
      </c>
      <c r="L574" s="33">
        <f>ROUND(MIN(MAX(0,N('Your debts'!$E$6)),B574),2)</f>
      </c>
      <c r="M574" s="33">
        <f>ROUND(MIN(MAX(0,N('Your debts'!$E$7)),C574),2)</f>
      </c>
      <c r="N574" s="33">
        <f>ROUND(MIN(MAX(0,N('Your debts'!$E$8)),D574),2)</f>
      </c>
      <c r="O574" s="33">
        <f>ROUND(MIN(MAX(0,N('Your debts'!$E$9)),E574),2)</f>
      </c>
      <c r="P574" s="33">
        <f>ROUND(MIN(MAX(0,N('Your debts'!$E$10)),F574),2)</f>
      </c>
      <c r="Q574" s="33">
        <f>ROUND(MIN(MAX(0,N('Your debts'!$E$11)),G574),2)</f>
      </c>
      <c r="R574" s="33">
        <f>ROUND(MIN(MAX(0,N('Your debts'!$E$12)),H574),2)</f>
      </c>
      <c r="S574" s="33">
        <f>ROUND(MIN(MAX(0,N('Your debts'!$E$13)),I574),2)</f>
      </c>
      <c r="T574" s="33">
        <f>ROUND(MIN(MAX(0,N('Your debts'!$E$14)),J574),2)</f>
      </c>
      <c r="U574" s="33">
        <f>ROUND(MIN(MAX(0,N('Your debts'!$E$15)),K574),2)</f>
      </c>
      <c r="V574" s="33">
        <f>ROUND(B574-L574,2)</f>
      </c>
      <c r="W574" s="33">
        <f>ROUND(C574-M574,2)</f>
      </c>
      <c r="X574" s="33">
        <f>ROUND(D574-N574,2)</f>
      </c>
      <c r="Y574" s="33">
        <f>ROUND(E574-O574,2)</f>
      </c>
      <c r="Z574" s="33">
        <f>ROUND(F574-P574,2)</f>
      </c>
      <c r="AA574" s="33">
        <f>ROUND(G574-Q574,2)</f>
      </c>
      <c r="AB574" s="33">
        <f>ROUND(H574-R574,2)</f>
      </c>
      <c r="AC574" s="33">
        <f>ROUND(I574-S574,2)</f>
      </c>
      <c r="AD574" s="33">
        <f>ROUND(J574-T574,2)</f>
      </c>
      <c r="AE574" s="33">
        <f>ROUND(K574-U574,2)</f>
      </c>
      <c r="AF574" s="33">
        <f>IF(V574&lt;=0,0,MAX(0,MIN(V574,ROUND($AZ574-SUMPRODUCT($V574:$AE574*($V574:$AE574&gt;0)*(($V574:$AE574&lt;V574)+($V574:$AE574=V574)*($V$3:$AE$3&gt;V$3)+($V574:$AE574=V574)*($V$3:$AE$3=V$3)*($V$2:$AE$2&lt;V$2))),2))))</f>
      </c>
      <c r="AG574" s="33">
        <f>IF(W574&lt;=0,0,MAX(0,MIN(W574,ROUND($AZ574-SUMPRODUCT($V574:$AE574*($V574:$AE574&gt;0)*(($V574:$AE574&lt;W574)+($V574:$AE574=W574)*($V$3:$AE$3&gt;W$3)+($V574:$AE574=W574)*($V$3:$AE$3=W$3)*($V$2:$AE$2&lt;W$2))),2))))</f>
      </c>
      <c r="AH574" s="33">
        <f>IF(X574&lt;=0,0,MAX(0,MIN(X574,ROUND($AZ574-SUMPRODUCT($V574:$AE574*($V574:$AE574&gt;0)*(($V574:$AE574&lt;X574)+($V574:$AE574=X574)*($V$3:$AE$3&gt;X$3)+($V574:$AE574=X574)*($V$3:$AE$3=X$3)*($V$2:$AE$2&lt;X$2))),2))))</f>
      </c>
      <c r="AI574" s="33">
        <f>IF(Y574&lt;=0,0,MAX(0,MIN(Y574,ROUND($AZ574-SUMPRODUCT($V574:$AE574*($V574:$AE574&gt;0)*(($V574:$AE574&lt;Y574)+($V574:$AE574=Y574)*($V$3:$AE$3&gt;Y$3)+($V574:$AE574=Y574)*($V$3:$AE$3=Y$3)*($V$2:$AE$2&lt;Y$2))),2))))</f>
      </c>
      <c r="AJ574" s="33">
        <f>IF(Z574&lt;=0,0,MAX(0,MIN(Z574,ROUND($AZ574-SUMPRODUCT($V574:$AE574*($V574:$AE574&gt;0)*(($V574:$AE574&lt;Z574)+($V574:$AE574=Z574)*($V$3:$AE$3&gt;Z$3)+($V574:$AE574=Z574)*($V$3:$AE$3=Z$3)*($V$2:$AE$2&lt;Z$2))),2))))</f>
      </c>
      <c r="AK574" s="33">
        <f>IF(AA574&lt;=0,0,MAX(0,MIN(AA574,ROUND($AZ574-SUMPRODUCT($V574:$AE574*($V574:$AE574&gt;0)*(($V574:$AE574&lt;AA574)+($V574:$AE574=AA574)*($V$3:$AE$3&gt;AA$3)+($V574:$AE574=AA574)*($V$3:$AE$3=AA$3)*($V$2:$AE$2&lt;AA$2))),2))))</f>
      </c>
      <c r="AL574" s="33">
        <f>IF(AB574&lt;=0,0,MAX(0,MIN(AB574,ROUND($AZ574-SUMPRODUCT($V574:$AE574*($V574:$AE574&gt;0)*(($V574:$AE574&lt;AB574)+($V574:$AE574=AB574)*($V$3:$AE$3&gt;AB$3)+($V574:$AE574=AB574)*($V$3:$AE$3=AB$3)*($V$2:$AE$2&lt;AB$2))),2))))</f>
      </c>
      <c r="AM574" s="33">
        <f>IF(AC574&lt;=0,0,MAX(0,MIN(AC574,ROUND($AZ574-SUMPRODUCT($V574:$AE574*($V574:$AE574&gt;0)*(($V574:$AE574&lt;AC574)+($V574:$AE574=AC574)*($V$3:$AE$3&gt;AC$3)+($V574:$AE574=AC574)*($V$3:$AE$3=AC$3)*($V$2:$AE$2&lt;AC$2))),2))))</f>
      </c>
      <c r="AN574" s="33">
        <f>IF(AD574&lt;=0,0,MAX(0,MIN(AD574,ROUND($AZ574-SUMPRODUCT($V574:$AE574*($V574:$AE574&gt;0)*(($V574:$AE574&lt;AD574)+($V574:$AE574=AD574)*($V$3:$AE$3&gt;AD$3)+($V574:$AE574=AD574)*($V$3:$AE$3=AD$3)*($V$2:$AE$2&lt;AD$2))),2))))</f>
      </c>
      <c r="AO574" s="33">
        <f>IF(AE574&lt;=0,0,MAX(0,MIN(AE574,ROUND($AZ574-SUMPRODUCT($V574:$AE574*($V574:$AE574&gt;0)*(($V574:$AE574&lt;AE574)+($V574:$AE574=AE574)*($V$3:$AE$3&gt;AE$3)+($V574:$AE574=AE574)*($V$3:$AE$3=AE$3)*($V$2:$AE$2&lt;AE$2))),2))))</f>
      </c>
      <c r="AP574" s="33">
        <f>ROUND(V574-AF574,2)</f>
      </c>
      <c r="AQ574" s="33">
        <f>ROUND(W574-AG574,2)</f>
      </c>
      <c r="AR574" s="33">
        <f>ROUND(X574-AH574,2)</f>
      </c>
      <c r="AS574" s="33">
        <f>ROUND(Y574-AI574,2)</f>
      </c>
      <c r="AT574" s="33">
        <f>ROUND(Z574-AJ574,2)</f>
      </c>
      <c r="AU574" s="33">
        <f>ROUND(AA574-AK574,2)</f>
      </c>
      <c r="AV574" s="33">
        <f>ROUND(AB574-AL574,2)</f>
      </c>
      <c r="AW574" s="33">
        <f>ROUND(AC574-AM574,2)</f>
      </c>
      <c r="AX574" s="33">
        <f>ROUND(AD574-AN574,2)</f>
      </c>
      <c r="AY574" s="33">
        <f>ROUND(AE574-AO574,2)</f>
      </c>
      <c r="AZ574" s="33">
        <f>ROUND(MAX(0,'Your debts'!$D$22-SUM($L574:$U574)),2)</f>
      </c>
      <c r="BA574" s="33">
        <f>ROUND(SUM($B574:$K574)-SUM($AP573:$AY573),2)</f>
      </c>
      <c r="BB574" s="33">
        <f>SUM($AP574:$AY574)</f>
      </c>
      <c r="BC574" s="33">
        <f>ROUND(SUM($L574:$U574)+SUM($AF574:$AO574),2)</f>
      </c>
    </row>
    <row r="575" spans="1:55" x14ac:dyDescent="0.25">
      <c r="A575">
        <v>568</v>
      </c>
      <c r="B575" s="33">
        <f>IF(AP574&lt;=0,0,ROUND(AP574+ROUND(AP574*V$3/12,2),2))</f>
      </c>
      <c r="C575" s="33">
        <f>IF(AQ574&lt;=0,0,ROUND(AQ574+ROUND(AQ574*W$3/12,2),2))</f>
      </c>
      <c r="D575" s="33">
        <f>IF(AR574&lt;=0,0,ROUND(AR574+ROUND(AR574*X$3/12,2),2))</f>
      </c>
      <c r="E575" s="33">
        <f>IF(AS574&lt;=0,0,ROUND(AS574+ROUND(AS574*Y$3/12,2),2))</f>
      </c>
      <c r="F575" s="33">
        <f>IF(AT574&lt;=0,0,ROUND(AT574+ROUND(AT574*Z$3/12,2),2))</f>
      </c>
      <c r="G575" s="33">
        <f>IF(AU574&lt;=0,0,ROUND(AU574+ROUND(AU574*AA$3/12,2),2))</f>
      </c>
      <c r="H575" s="33">
        <f>IF(AV574&lt;=0,0,ROUND(AV574+ROUND(AV574*AB$3/12,2),2))</f>
      </c>
      <c r="I575" s="33">
        <f>IF(AW574&lt;=0,0,ROUND(AW574+ROUND(AW574*AC$3/12,2),2))</f>
      </c>
      <c r="J575" s="33">
        <f>IF(AX574&lt;=0,0,ROUND(AX574+ROUND(AX574*AD$3/12,2),2))</f>
      </c>
      <c r="K575" s="33">
        <f>IF(AY574&lt;=0,0,ROUND(AY574+ROUND(AY574*AE$3/12,2),2))</f>
      </c>
      <c r="L575" s="33">
        <f>ROUND(MIN(MAX(0,N('Your debts'!$E$6)),B575),2)</f>
      </c>
      <c r="M575" s="33">
        <f>ROUND(MIN(MAX(0,N('Your debts'!$E$7)),C575),2)</f>
      </c>
      <c r="N575" s="33">
        <f>ROUND(MIN(MAX(0,N('Your debts'!$E$8)),D575),2)</f>
      </c>
      <c r="O575" s="33">
        <f>ROUND(MIN(MAX(0,N('Your debts'!$E$9)),E575),2)</f>
      </c>
      <c r="P575" s="33">
        <f>ROUND(MIN(MAX(0,N('Your debts'!$E$10)),F575),2)</f>
      </c>
      <c r="Q575" s="33">
        <f>ROUND(MIN(MAX(0,N('Your debts'!$E$11)),G575),2)</f>
      </c>
      <c r="R575" s="33">
        <f>ROUND(MIN(MAX(0,N('Your debts'!$E$12)),H575),2)</f>
      </c>
      <c r="S575" s="33">
        <f>ROUND(MIN(MAX(0,N('Your debts'!$E$13)),I575),2)</f>
      </c>
      <c r="T575" s="33">
        <f>ROUND(MIN(MAX(0,N('Your debts'!$E$14)),J575),2)</f>
      </c>
      <c r="U575" s="33">
        <f>ROUND(MIN(MAX(0,N('Your debts'!$E$15)),K575),2)</f>
      </c>
      <c r="V575" s="33">
        <f>ROUND(B575-L575,2)</f>
      </c>
      <c r="W575" s="33">
        <f>ROUND(C575-M575,2)</f>
      </c>
      <c r="X575" s="33">
        <f>ROUND(D575-N575,2)</f>
      </c>
      <c r="Y575" s="33">
        <f>ROUND(E575-O575,2)</f>
      </c>
      <c r="Z575" s="33">
        <f>ROUND(F575-P575,2)</f>
      </c>
      <c r="AA575" s="33">
        <f>ROUND(G575-Q575,2)</f>
      </c>
      <c r="AB575" s="33">
        <f>ROUND(H575-R575,2)</f>
      </c>
      <c r="AC575" s="33">
        <f>ROUND(I575-S575,2)</f>
      </c>
      <c r="AD575" s="33">
        <f>ROUND(J575-T575,2)</f>
      </c>
      <c r="AE575" s="33">
        <f>ROUND(K575-U575,2)</f>
      </c>
      <c r="AF575" s="33">
        <f>IF(V575&lt;=0,0,MAX(0,MIN(V575,ROUND($AZ575-SUMPRODUCT($V575:$AE575*($V575:$AE575&gt;0)*(($V575:$AE575&lt;V575)+($V575:$AE575=V575)*($V$3:$AE$3&gt;V$3)+($V575:$AE575=V575)*($V$3:$AE$3=V$3)*($V$2:$AE$2&lt;V$2))),2))))</f>
      </c>
      <c r="AG575" s="33">
        <f>IF(W575&lt;=0,0,MAX(0,MIN(W575,ROUND($AZ575-SUMPRODUCT($V575:$AE575*($V575:$AE575&gt;0)*(($V575:$AE575&lt;W575)+($V575:$AE575=W575)*($V$3:$AE$3&gt;W$3)+($V575:$AE575=W575)*($V$3:$AE$3=W$3)*($V$2:$AE$2&lt;W$2))),2))))</f>
      </c>
      <c r="AH575" s="33">
        <f>IF(X575&lt;=0,0,MAX(0,MIN(X575,ROUND($AZ575-SUMPRODUCT($V575:$AE575*($V575:$AE575&gt;0)*(($V575:$AE575&lt;X575)+($V575:$AE575=X575)*($V$3:$AE$3&gt;X$3)+($V575:$AE575=X575)*($V$3:$AE$3=X$3)*($V$2:$AE$2&lt;X$2))),2))))</f>
      </c>
      <c r="AI575" s="33">
        <f>IF(Y575&lt;=0,0,MAX(0,MIN(Y575,ROUND($AZ575-SUMPRODUCT($V575:$AE575*($V575:$AE575&gt;0)*(($V575:$AE575&lt;Y575)+($V575:$AE575=Y575)*($V$3:$AE$3&gt;Y$3)+($V575:$AE575=Y575)*($V$3:$AE$3=Y$3)*($V$2:$AE$2&lt;Y$2))),2))))</f>
      </c>
      <c r="AJ575" s="33">
        <f>IF(Z575&lt;=0,0,MAX(0,MIN(Z575,ROUND($AZ575-SUMPRODUCT($V575:$AE575*($V575:$AE575&gt;0)*(($V575:$AE575&lt;Z575)+($V575:$AE575=Z575)*($V$3:$AE$3&gt;Z$3)+($V575:$AE575=Z575)*($V$3:$AE$3=Z$3)*($V$2:$AE$2&lt;Z$2))),2))))</f>
      </c>
      <c r="AK575" s="33">
        <f>IF(AA575&lt;=0,0,MAX(0,MIN(AA575,ROUND($AZ575-SUMPRODUCT($V575:$AE575*($V575:$AE575&gt;0)*(($V575:$AE575&lt;AA575)+($V575:$AE575=AA575)*($V$3:$AE$3&gt;AA$3)+($V575:$AE575=AA575)*($V$3:$AE$3=AA$3)*($V$2:$AE$2&lt;AA$2))),2))))</f>
      </c>
      <c r="AL575" s="33">
        <f>IF(AB575&lt;=0,0,MAX(0,MIN(AB575,ROUND($AZ575-SUMPRODUCT($V575:$AE575*($V575:$AE575&gt;0)*(($V575:$AE575&lt;AB575)+($V575:$AE575=AB575)*($V$3:$AE$3&gt;AB$3)+($V575:$AE575=AB575)*($V$3:$AE$3=AB$3)*($V$2:$AE$2&lt;AB$2))),2))))</f>
      </c>
      <c r="AM575" s="33">
        <f>IF(AC575&lt;=0,0,MAX(0,MIN(AC575,ROUND($AZ575-SUMPRODUCT($V575:$AE575*($V575:$AE575&gt;0)*(($V575:$AE575&lt;AC575)+($V575:$AE575=AC575)*($V$3:$AE$3&gt;AC$3)+($V575:$AE575=AC575)*($V$3:$AE$3=AC$3)*($V$2:$AE$2&lt;AC$2))),2))))</f>
      </c>
      <c r="AN575" s="33">
        <f>IF(AD575&lt;=0,0,MAX(0,MIN(AD575,ROUND($AZ575-SUMPRODUCT($V575:$AE575*($V575:$AE575&gt;0)*(($V575:$AE575&lt;AD575)+($V575:$AE575=AD575)*($V$3:$AE$3&gt;AD$3)+($V575:$AE575=AD575)*($V$3:$AE$3=AD$3)*($V$2:$AE$2&lt;AD$2))),2))))</f>
      </c>
      <c r="AO575" s="33">
        <f>IF(AE575&lt;=0,0,MAX(0,MIN(AE575,ROUND($AZ575-SUMPRODUCT($V575:$AE575*($V575:$AE575&gt;0)*(($V575:$AE575&lt;AE575)+($V575:$AE575=AE575)*($V$3:$AE$3&gt;AE$3)+($V575:$AE575=AE575)*($V$3:$AE$3=AE$3)*($V$2:$AE$2&lt;AE$2))),2))))</f>
      </c>
      <c r="AP575" s="33">
        <f>ROUND(V575-AF575,2)</f>
      </c>
      <c r="AQ575" s="33">
        <f>ROUND(W575-AG575,2)</f>
      </c>
      <c r="AR575" s="33">
        <f>ROUND(X575-AH575,2)</f>
      </c>
      <c r="AS575" s="33">
        <f>ROUND(Y575-AI575,2)</f>
      </c>
      <c r="AT575" s="33">
        <f>ROUND(Z575-AJ575,2)</f>
      </c>
      <c r="AU575" s="33">
        <f>ROUND(AA575-AK575,2)</f>
      </c>
      <c r="AV575" s="33">
        <f>ROUND(AB575-AL575,2)</f>
      </c>
      <c r="AW575" s="33">
        <f>ROUND(AC575-AM575,2)</f>
      </c>
      <c r="AX575" s="33">
        <f>ROUND(AD575-AN575,2)</f>
      </c>
      <c r="AY575" s="33">
        <f>ROUND(AE575-AO575,2)</f>
      </c>
      <c r="AZ575" s="33">
        <f>ROUND(MAX(0,'Your debts'!$D$22-SUM($L575:$U575)),2)</f>
      </c>
      <c r="BA575" s="33">
        <f>ROUND(SUM($B575:$K575)-SUM($AP574:$AY574),2)</f>
      </c>
      <c r="BB575" s="33">
        <f>SUM($AP575:$AY575)</f>
      </c>
      <c r="BC575" s="33">
        <f>ROUND(SUM($L575:$U575)+SUM($AF575:$AO575),2)</f>
      </c>
    </row>
    <row r="576" spans="1:55" x14ac:dyDescent="0.25">
      <c r="A576">
        <v>569</v>
      </c>
      <c r="B576" s="33">
        <f>IF(AP575&lt;=0,0,ROUND(AP575+ROUND(AP575*V$3/12,2),2))</f>
      </c>
      <c r="C576" s="33">
        <f>IF(AQ575&lt;=0,0,ROUND(AQ575+ROUND(AQ575*W$3/12,2),2))</f>
      </c>
      <c r="D576" s="33">
        <f>IF(AR575&lt;=0,0,ROUND(AR575+ROUND(AR575*X$3/12,2),2))</f>
      </c>
      <c r="E576" s="33">
        <f>IF(AS575&lt;=0,0,ROUND(AS575+ROUND(AS575*Y$3/12,2),2))</f>
      </c>
      <c r="F576" s="33">
        <f>IF(AT575&lt;=0,0,ROUND(AT575+ROUND(AT575*Z$3/12,2),2))</f>
      </c>
      <c r="G576" s="33">
        <f>IF(AU575&lt;=0,0,ROUND(AU575+ROUND(AU575*AA$3/12,2),2))</f>
      </c>
      <c r="H576" s="33">
        <f>IF(AV575&lt;=0,0,ROUND(AV575+ROUND(AV575*AB$3/12,2),2))</f>
      </c>
      <c r="I576" s="33">
        <f>IF(AW575&lt;=0,0,ROUND(AW575+ROUND(AW575*AC$3/12,2),2))</f>
      </c>
      <c r="J576" s="33">
        <f>IF(AX575&lt;=0,0,ROUND(AX575+ROUND(AX575*AD$3/12,2),2))</f>
      </c>
      <c r="K576" s="33">
        <f>IF(AY575&lt;=0,0,ROUND(AY575+ROUND(AY575*AE$3/12,2),2))</f>
      </c>
      <c r="L576" s="33">
        <f>ROUND(MIN(MAX(0,N('Your debts'!$E$6)),B576),2)</f>
      </c>
      <c r="M576" s="33">
        <f>ROUND(MIN(MAX(0,N('Your debts'!$E$7)),C576),2)</f>
      </c>
      <c r="N576" s="33">
        <f>ROUND(MIN(MAX(0,N('Your debts'!$E$8)),D576),2)</f>
      </c>
      <c r="O576" s="33">
        <f>ROUND(MIN(MAX(0,N('Your debts'!$E$9)),E576),2)</f>
      </c>
      <c r="P576" s="33">
        <f>ROUND(MIN(MAX(0,N('Your debts'!$E$10)),F576),2)</f>
      </c>
      <c r="Q576" s="33">
        <f>ROUND(MIN(MAX(0,N('Your debts'!$E$11)),G576),2)</f>
      </c>
      <c r="R576" s="33">
        <f>ROUND(MIN(MAX(0,N('Your debts'!$E$12)),H576),2)</f>
      </c>
      <c r="S576" s="33">
        <f>ROUND(MIN(MAX(0,N('Your debts'!$E$13)),I576),2)</f>
      </c>
      <c r="T576" s="33">
        <f>ROUND(MIN(MAX(0,N('Your debts'!$E$14)),J576),2)</f>
      </c>
      <c r="U576" s="33">
        <f>ROUND(MIN(MAX(0,N('Your debts'!$E$15)),K576),2)</f>
      </c>
      <c r="V576" s="33">
        <f>ROUND(B576-L576,2)</f>
      </c>
      <c r="W576" s="33">
        <f>ROUND(C576-M576,2)</f>
      </c>
      <c r="X576" s="33">
        <f>ROUND(D576-N576,2)</f>
      </c>
      <c r="Y576" s="33">
        <f>ROUND(E576-O576,2)</f>
      </c>
      <c r="Z576" s="33">
        <f>ROUND(F576-P576,2)</f>
      </c>
      <c r="AA576" s="33">
        <f>ROUND(G576-Q576,2)</f>
      </c>
      <c r="AB576" s="33">
        <f>ROUND(H576-R576,2)</f>
      </c>
      <c r="AC576" s="33">
        <f>ROUND(I576-S576,2)</f>
      </c>
      <c r="AD576" s="33">
        <f>ROUND(J576-T576,2)</f>
      </c>
      <c r="AE576" s="33">
        <f>ROUND(K576-U576,2)</f>
      </c>
      <c r="AF576" s="33">
        <f>IF(V576&lt;=0,0,MAX(0,MIN(V576,ROUND($AZ576-SUMPRODUCT($V576:$AE576*($V576:$AE576&gt;0)*(($V576:$AE576&lt;V576)+($V576:$AE576=V576)*($V$3:$AE$3&gt;V$3)+($V576:$AE576=V576)*($V$3:$AE$3=V$3)*($V$2:$AE$2&lt;V$2))),2))))</f>
      </c>
      <c r="AG576" s="33">
        <f>IF(W576&lt;=0,0,MAX(0,MIN(W576,ROUND($AZ576-SUMPRODUCT($V576:$AE576*($V576:$AE576&gt;0)*(($V576:$AE576&lt;W576)+($V576:$AE576=W576)*($V$3:$AE$3&gt;W$3)+($V576:$AE576=W576)*($V$3:$AE$3=W$3)*($V$2:$AE$2&lt;W$2))),2))))</f>
      </c>
      <c r="AH576" s="33">
        <f>IF(X576&lt;=0,0,MAX(0,MIN(X576,ROUND($AZ576-SUMPRODUCT($V576:$AE576*($V576:$AE576&gt;0)*(($V576:$AE576&lt;X576)+($V576:$AE576=X576)*($V$3:$AE$3&gt;X$3)+($V576:$AE576=X576)*($V$3:$AE$3=X$3)*($V$2:$AE$2&lt;X$2))),2))))</f>
      </c>
      <c r="AI576" s="33">
        <f>IF(Y576&lt;=0,0,MAX(0,MIN(Y576,ROUND($AZ576-SUMPRODUCT($V576:$AE576*($V576:$AE576&gt;0)*(($V576:$AE576&lt;Y576)+($V576:$AE576=Y576)*($V$3:$AE$3&gt;Y$3)+($V576:$AE576=Y576)*($V$3:$AE$3=Y$3)*($V$2:$AE$2&lt;Y$2))),2))))</f>
      </c>
      <c r="AJ576" s="33">
        <f>IF(Z576&lt;=0,0,MAX(0,MIN(Z576,ROUND($AZ576-SUMPRODUCT($V576:$AE576*($V576:$AE576&gt;0)*(($V576:$AE576&lt;Z576)+($V576:$AE576=Z576)*($V$3:$AE$3&gt;Z$3)+($V576:$AE576=Z576)*($V$3:$AE$3=Z$3)*($V$2:$AE$2&lt;Z$2))),2))))</f>
      </c>
      <c r="AK576" s="33">
        <f>IF(AA576&lt;=0,0,MAX(0,MIN(AA576,ROUND($AZ576-SUMPRODUCT($V576:$AE576*($V576:$AE576&gt;0)*(($V576:$AE576&lt;AA576)+($V576:$AE576=AA576)*($V$3:$AE$3&gt;AA$3)+($V576:$AE576=AA576)*($V$3:$AE$3=AA$3)*($V$2:$AE$2&lt;AA$2))),2))))</f>
      </c>
      <c r="AL576" s="33">
        <f>IF(AB576&lt;=0,0,MAX(0,MIN(AB576,ROUND($AZ576-SUMPRODUCT($V576:$AE576*($V576:$AE576&gt;0)*(($V576:$AE576&lt;AB576)+($V576:$AE576=AB576)*($V$3:$AE$3&gt;AB$3)+($V576:$AE576=AB576)*($V$3:$AE$3=AB$3)*($V$2:$AE$2&lt;AB$2))),2))))</f>
      </c>
      <c r="AM576" s="33">
        <f>IF(AC576&lt;=0,0,MAX(0,MIN(AC576,ROUND($AZ576-SUMPRODUCT($V576:$AE576*($V576:$AE576&gt;0)*(($V576:$AE576&lt;AC576)+($V576:$AE576=AC576)*($V$3:$AE$3&gt;AC$3)+($V576:$AE576=AC576)*($V$3:$AE$3=AC$3)*($V$2:$AE$2&lt;AC$2))),2))))</f>
      </c>
      <c r="AN576" s="33">
        <f>IF(AD576&lt;=0,0,MAX(0,MIN(AD576,ROUND($AZ576-SUMPRODUCT($V576:$AE576*($V576:$AE576&gt;0)*(($V576:$AE576&lt;AD576)+($V576:$AE576=AD576)*($V$3:$AE$3&gt;AD$3)+($V576:$AE576=AD576)*($V$3:$AE$3=AD$3)*($V$2:$AE$2&lt;AD$2))),2))))</f>
      </c>
      <c r="AO576" s="33">
        <f>IF(AE576&lt;=0,0,MAX(0,MIN(AE576,ROUND($AZ576-SUMPRODUCT($V576:$AE576*($V576:$AE576&gt;0)*(($V576:$AE576&lt;AE576)+($V576:$AE576=AE576)*($V$3:$AE$3&gt;AE$3)+($V576:$AE576=AE576)*($V$3:$AE$3=AE$3)*($V$2:$AE$2&lt;AE$2))),2))))</f>
      </c>
      <c r="AP576" s="33">
        <f>ROUND(V576-AF576,2)</f>
      </c>
      <c r="AQ576" s="33">
        <f>ROUND(W576-AG576,2)</f>
      </c>
      <c r="AR576" s="33">
        <f>ROUND(X576-AH576,2)</f>
      </c>
      <c r="AS576" s="33">
        <f>ROUND(Y576-AI576,2)</f>
      </c>
      <c r="AT576" s="33">
        <f>ROUND(Z576-AJ576,2)</f>
      </c>
      <c r="AU576" s="33">
        <f>ROUND(AA576-AK576,2)</f>
      </c>
      <c r="AV576" s="33">
        <f>ROUND(AB576-AL576,2)</f>
      </c>
      <c r="AW576" s="33">
        <f>ROUND(AC576-AM576,2)</f>
      </c>
      <c r="AX576" s="33">
        <f>ROUND(AD576-AN576,2)</f>
      </c>
      <c r="AY576" s="33">
        <f>ROUND(AE576-AO576,2)</f>
      </c>
      <c r="AZ576" s="33">
        <f>ROUND(MAX(0,'Your debts'!$D$22-SUM($L576:$U576)),2)</f>
      </c>
      <c r="BA576" s="33">
        <f>ROUND(SUM($B576:$K576)-SUM($AP575:$AY575),2)</f>
      </c>
      <c r="BB576" s="33">
        <f>SUM($AP576:$AY576)</f>
      </c>
      <c r="BC576" s="33">
        <f>ROUND(SUM($L576:$U576)+SUM($AF576:$AO576),2)</f>
      </c>
    </row>
    <row r="577" spans="1:55" x14ac:dyDescent="0.25">
      <c r="A577">
        <v>570</v>
      </c>
      <c r="B577" s="33">
        <f>IF(AP576&lt;=0,0,ROUND(AP576+ROUND(AP576*V$3/12,2),2))</f>
      </c>
      <c r="C577" s="33">
        <f>IF(AQ576&lt;=0,0,ROUND(AQ576+ROUND(AQ576*W$3/12,2),2))</f>
      </c>
      <c r="D577" s="33">
        <f>IF(AR576&lt;=0,0,ROUND(AR576+ROUND(AR576*X$3/12,2),2))</f>
      </c>
      <c r="E577" s="33">
        <f>IF(AS576&lt;=0,0,ROUND(AS576+ROUND(AS576*Y$3/12,2),2))</f>
      </c>
      <c r="F577" s="33">
        <f>IF(AT576&lt;=0,0,ROUND(AT576+ROUND(AT576*Z$3/12,2),2))</f>
      </c>
      <c r="G577" s="33">
        <f>IF(AU576&lt;=0,0,ROUND(AU576+ROUND(AU576*AA$3/12,2),2))</f>
      </c>
      <c r="H577" s="33">
        <f>IF(AV576&lt;=0,0,ROUND(AV576+ROUND(AV576*AB$3/12,2),2))</f>
      </c>
      <c r="I577" s="33">
        <f>IF(AW576&lt;=0,0,ROUND(AW576+ROUND(AW576*AC$3/12,2),2))</f>
      </c>
      <c r="J577" s="33">
        <f>IF(AX576&lt;=0,0,ROUND(AX576+ROUND(AX576*AD$3/12,2),2))</f>
      </c>
      <c r="K577" s="33">
        <f>IF(AY576&lt;=0,0,ROUND(AY576+ROUND(AY576*AE$3/12,2),2))</f>
      </c>
      <c r="L577" s="33">
        <f>ROUND(MIN(MAX(0,N('Your debts'!$E$6)),B577),2)</f>
      </c>
      <c r="M577" s="33">
        <f>ROUND(MIN(MAX(0,N('Your debts'!$E$7)),C577),2)</f>
      </c>
      <c r="N577" s="33">
        <f>ROUND(MIN(MAX(0,N('Your debts'!$E$8)),D577),2)</f>
      </c>
      <c r="O577" s="33">
        <f>ROUND(MIN(MAX(0,N('Your debts'!$E$9)),E577),2)</f>
      </c>
      <c r="P577" s="33">
        <f>ROUND(MIN(MAX(0,N('Your debts'!$E$10)),F577),2)</f>
      </c>
      <c r="Q577" s="33">
        <f>ROUND(MIN(MAX(0,N('Your debts'!$E$11)),G577),2)</f>
      </c>
      <c r="R577" s="33">
        <f>ROUND(MIN(MAX(0,N('Your debts'!$E$12)),H577),2)</f>
      </c>
      <c r="S577" s="33">
        <f>ROUND(MIN(MAX(0,N('Your debts'!$E$13)),I577),2)</f>
      </c>
      <c r="T577" s="33">
        <f>ROUND(MIN(MAX(0,N('Your debts'!$E$14)),J577),2)</f>
      </c>
      <c r="U577" s="33">
        <f>ROUND(MIN(MAX(0,N('Your debts'!$E$15)),K577),2)</f>
      </c>
      <c r="V577" s="33">
        <f>ROUND(B577-L577,2)</f>
      </c>
      <c r="W577" s="33">
        <f>ROUND(C577-M577,2)</f>
      </c>
      <c r="X577" s="33">
        <f>ROUND(D577-N577,2)</f>
      </c>
      <c r="Y577" s="33">
        <f>ROUND(E577-O577,2)</f>
      </c>
      <c r="Z577" s="33">
        <f>ROUND(F577-P577,2)</f>
      </c>
      <c r="AA577" s="33">
        <f>ROUND(G577-Q577,2)</f>
      </c>
      <c r="AB577" s="33">
        <f>ROUND(H577-R577,2)</f>
      </c>
      <c r="AC577" s="33">
        <f>ROUND(I577-S577,2)</f>
      </c>
      <c r="AD577" s="33">
        <f>ROUND(J577-T577,2)</f>
      </c>
      <c r="AE577" s="33">
        <f>ROUND(K577-U577,2)</f>
      </c>
      <c r="AF577" s="33">
        <f>IF(V577&lt;=0,0,MAX(0,MIN(V577,ROUND($AZ577-SUMPRODUCT($V577:$AE577*($V577:$AE577&gt;0)*(($V577:$AE577&lt;V577)+($V577:$AE577=V577)*($V$3:$AE$3&gt;V$3)+($V577:$AE577=V577)*($V$3:$AE$3=V$3)*($V$2:$AE$2&lt;V$2))),2))))</f>
      </c>
      <c r="AG577" s="33">
        <f>IF(W577&lt;=0,0,MAX(0,MIN(W577,ROUND($AZ577-SUMPRODUCT($V577:$AE577*($V577:$AE577&gt;0)*(($V577:$AE577&lt;W577)+($V577:$AE577=W577)*($V$3:$AE$3&gt;W$3)+($V577:$AE577=W577)*($V$3:$AE$3=W$3)*($V$2:$AE$2&lt;W$2))),2))))</f>
      </c>
      <c r="AH577" s="33">
        <f>IF(X577&lt;=0,0,MAX(0,MIN(X577,ROUND($AZ577-SUMPRODUCT($V577:$AE577*($V577:$AE577&gt;0)*(($V577:$AE577&lt;X577)+($V577:$AE577=X577)*($V$3:$AE$3&gt;X$3)+($V577:$AE577=X577)*($V$3:$AE$3=X$3)*($V$2:$AE$2&lt;X$2))),2))))</f>
      </c>
      <c r="AI577" s="33">
        <f>IF(Y577&lt;=0,0,MAX(0,MIN(Y577,ROUND($AZ577-SUMPRODUCT($V577:$AE577*($V577:$AE577&gt;0)*(($V577:$AE577&lt;Y577)+($V577:$AE577=Y577)*($V$3:$AE$3&gt;Y$3)+($V577:$AE577=Y577)*($V$3:$AE$3=Y$3)*($V$2:$AE$2&lt;Y$2))),2))))</f>
      </c>
      <c r="AJ577" s="33">
        <f>IF(Z577&lt;=0,0,MAX(0,MIN(Z577,ROUND($AZ577-SUMPRODUCT($V577:$AE577*($V577:$AE577&gt;0)*(($V577:$AE577&lt;Z577)+($V577:$AE577=Z577)*($V$3:$AE$3&gt;Z$3)+($V577:$AE577=Z577)*($V$3:$AE$3=Z$3)*($V$2:$AE$2&lt;Z$2))),2))))</f>
      </c>
      <c r="AK577" s="33">
        <f>IF(AA577&lt;=0,0,MAX(0,MIN(AA577,ROUND($AZ577-SUMPRODUCT($V577:$AE577*($V577:$AE577&gt;0)*(($V577:$AE577&lt;AA577)+($V577:$AE577=AA577)*($V$3:$AE$3&gt;AA$3)+($V577:$AE577=AA577)*($V$3:$AE$3=AA$3)*($V$2:$AE$2&lt;AA$2))),2))))</f>
      </c>
      <c r="AL577" s="33">
        <f>IF(AB577&lt;=0,0,MAX(0,MIN(AB577,ROUND($AZ577-SUMPRODUCT($V577:$AE577*($V577:$AE577&gt;0)*(($V577:$AE577&lt;AB577)+($V577:$AE577=AB577)*($V$3:$AE$3&gt;AB$3)+($V577:$AE577=AB577)*($V$3:$AE$3=AB$3)*($V$2:$AE$2&lt;AB$2))),2))))</f>
      </c>
      <c r="AM577" s="33">
        <f>IF(AC577&lt;=0,0,MAX(0,MIN(AC577,ROUND($AZ577-SUMPRODUCT($V577:$AE577*($V577:$AE577&gt;0)*(($V577:$AE577&lt;AC577)+($V577:$AE577=AC577)*($V$3:$AE$3&gt;AC$3)+($V577:$AE577=AC577)*($V$3:$AE$3=AC$3)*($V$2:$AE$2&lt;AC$2))),2))))</f>
      </c>
      <c r="AN577" s="33">
        <f>IF(AD577&lt;=0,0,MAX(0,MIN(AD577,ROUND($AZ577-SUMPRODUCT($V577:$AE577*($V577:$AE577&gt;0)*(($V577:$AE577&lt;AD577)+($V577:$AE577=AD577)*($V$3:$AE$3&gt;AD$3)+($V577:$AE577=AD577)*($V$3:$AE$3=AD$3)*($V$2:$AE$2&lt;AD$2))),2))))</f>
      </c>
      <c r="AO577" s="33">
        <f>IF(AE577&lt;=0,0,MAX(0,MIN(AE577,ROUND($AZ577-SUMPRODUCT($V577:$AE577*($V577:$AE577&gt;0)*(($V577:$AE577&lt;AE577)+($V577:$AE577=AE577)*($V$3:$AE$3&gt;AE$3)+($V577:$AE577=AE577)*($V$3:$AE$3=AE$3)*($V$2:$AE$2&lt;AE$2))),2))))</f>
      </c>
      <c r="AP577" s="33">
        <f>ROUND(V577-AF577,2)</f>
      </c>
      <c r="AQ577" s="33">
        <f>ROUND(W577-AG577,2)</f>
      </c>
      <c r="AR577" s="33">
        <f>ROUND(X577-AH577,2)</f>
      </c>
      <c r="AS577" s="33">
        <f>ROUND(Y577-AI577,2)</f>
      </c>
      <c r="AT577" s="33">
        <f>ROUND(Z577-AJ577,2)</f>
      </c>
      <c r="AU577" s="33">
        <f>ROUND(AA577-AK577,2)</f>
      </c>
      <c r="AV577" s="33">
        <f>ROUND(AB577-AL577,2)</f>
      </c>
      <c r="AW577" s="33">
        <f>ROUND(AC577-AM577,2)</f>
      </c>
      <c r="AX577" s="33">
        <f>ROUND(AD577-AN577,2)</f>
      </c>
      <c r="AY577" s="33">
        <f>ROUND(AE577-AO577,2)</f>
      </c>
      <c r="AZ577" s="33">
        <f>ROUND(MAX(0,'Your debts'!$D$22-SUM($L577:$U577)),2)</f>
      </c>
      <c r="BA577" s="33">
        <f>ROUND(SUM($B577:$K577)-SUM($AP576:$AY576),2)</f>
      </c>
      <c r="BB577" s="33">
        <f>SUM($AP577:$AY577)</f>
      </c>
      <c r="BC577" s="33">
        <f>ROUND(SUM($L577:$U577)+SUM($AF577:$AO577),2)</f>
      </c>
    </row>
    <row r="578" spans="1:55" x14ac:dyDescent="0.25">
      <c r="A578">
        <v>571</v>
      </c>
      <c r="B578" s="33">
        <f>IF(AP577&lt;=0,0,ROUND(AP577+ROUND(AP577*V$3/12,2),2))</f>
      </c>
      <c r="C578" s="33">
        <f>IF(AQ577&lt;=0,0,ROUND(AQ577+ROUND(AQ577*W$3/12,2),2))</f>
      </c>
      <c r="D578" s="33">
        <f>IF(AR577&lt;=0,0,ROUND(AR577+ROUND(AR577*X$3/12,2),2))</f>
      </c>
      <c r="E578" s="33">
        <f>IF(AS577&lt;=0,0,ROUND(AS577+ROUND(AS577*Y$3/12,2),2))</f>
      </c>
      <c r="F578" s="33">
        <f>IF(AT577&lt;=0,0,ROUND(AT577+ROUND(AT577*Z$3/12,2),2))</f>
      </c>
      <c r="G578" s="33">
        <f>IF(AU577&lt;=0,0,ROUND(AU577+ROUND(AU577*AA$3/12,2),2))</f>
      </c>
      <c r="H578" s="33">
        <f>IF(AV577&lt;=0,0,ROUND(AV577+ROUND(AV577*AB$3/12,2),2))</f>
      </c>
      <c r="I578" s="33">
        <f>IF(AW577&lt;=0,0,ROUND(AW577+ROUND(AW577*AC$3/12,2),2))</f>
      </c>
      <c r="J578" s="33">
        <f>IF(AX577&lt;=0,0,ROUND(AX577+ROUND(AX577*AD$3/12,2),2))</f>
      </c>
      <c r="K578" s="33">
        <f>IF(AY577&lt;=0,0,ROUND(AY577+ROUND(AY577*AE$3/12,2),2))</f>
      </c>
      <c r="L578" s="33">
        <f>ROUND(MIN(MAX(0,N('Your debts'!$E$6)),B578),2)</f>
      </c>
      <c r="M578" s="33">
        <f>ROUND(MIN(MAX(0,N('Your debts'!$E$7)),C578),2)</f>
      </c>
      <c r="N578" s="33">
        <f>ROUND(MIN(MAX(0,N('Your debts'!$E$8)),D578),2)</f>
      </c>
      <c r="O578" s="33">
        <f>ROUND(MIN(MAX(0,N('Your debts'!$E$9)),E578),2)</f>
      </c>
      <c r="P578" s="33">
        <f>ROUND(MIN(MAX(0,N('Your debts'!$E$10)),F578),2)</f>
      </c>
      <c r="Q578" s="33">
        <f>ROUND(MIN(MAX(0,N('Your debts'!$E$11)),G578),2)</f>
      </c>
      <c r="R578" s="33">
        <f>ROUND(MIN(MAX(0,N('Your debts'!$E$12)),H578),2)</f>
      </c>
      <c r="S578" s="33">
        <f>ROUND(MIN(MAX(0,N('Your debts'!$E$13)),I578),2)</f>
      </c>
      <c r="T578" s="33">
        <f>ROUND(MIN(MAX(0,N('Your debts'!$E$14)),J578),2)</f>
      </c>
      <c r="U578" s="33">
        <f>ROUND(MIN(MAX(0,N('Your debts'!$E$15)),K578),2)</f>
      </c>
      <c r="V578" s="33">
        <f>ROUND(B578-L578,2)</f>
      </c>
      <c r="W578" s="33">
        <f>ROUND(C578-M578,2)</f>
      </c>
      <c r="X578" s="33">
        <f>ROUND(D578-N578,2)</f>
      </c>
      <c r="Y578" s="33">
        <f>ROUND(E578-O578,2)</f>
      </c>
      <c r="Z578" s="33">
        <f>ROUND(F578-P578,2)</f>
      </c>
      <c r="AA578" s="33">
        <f>ROUND(G578-Q578,2)</f>
      </c>
      <c r="AB578" s="33">
        <f>ROUND(H578-R578,2)</f>
      </c>
      <c r="AC578" s="33">
        <f>ROUND(I578-S578,2)</f>
      </c>
      <c r="AD578" s="33">
        <f>ROUND(J578-T578,2)</f>
      </c>
      <c r="AE578" s="33">
        <f>ROUND(K578-U578,2)</f>
      </c>
      <c r="AF578" s="33">
        <f>IF(V578&lt;=0,0,MAX(0,MIN(V578,ROUND($AZ578-SUMPRODUCT($V578:$AE578*($V578:$AE578&gt;0)*(($V578:$AE578&lt;V578)+($V578:$AE578=V578)*($V$3:$AE$3&gt;V$3)+($V578:$AE578=V578)*($V$3:$AE$3=V$3)*($V$2:$AE$2&lt;V$2))),2))))</f>
      </c>
      <c r="AG578" s="33">
        <f>IF(W578&lt;=0,0,MAX(0,MIN(W578,ROUND($AZ578-SUMPRODUCT($V578:$AE578*($V578:$AE578&gt;0)*(($V578:$AE578&lt;W578)+($V578:$AE578=W578)*($V$3:$AE$3&gt;W$3)+($V578:$AE578=W578)*($V$3:$AE$3=W$3)*($V$2:$AE$2&lt;W$2))),2))))</f>
      </c>
      <c r="AH578" s="33">
        <f>IF(X578&lt;=0,0,MAX(0,MIN(X578,ROUND($AZ578-SUMPRODUCT($V578:$AE578*($V578:$AE578&gt;0)*(($V578:$AE578&lt;X578)+($V578:$AE578=X578)*($V$3:$AE$3&gt;X$3)+($V578:$AE578=X578)*($V$3:$AE$3=X$3)*($V$2:$AE$2&lt;X$2))),2))))</f>
      </c>
      <c r="AI578" s="33">
        <f>IF(Y578&lt;=0,0,MAX(0,MIN(Y578,ROUND($AZ578-SUMPRODUCT($V578:$AE578*($V578:$AE578&gt;0)*(($V578:$AE578&lt;Y578)+($V578:$AE578=Y578)*($V$3:$AE$3&gt;Y$3)+($V578:$AE578=Y578)*($V$3:$AE$3=Y$3)*($V$2:$AE$2&lt;Y$2))),2))))</f>
      </c>
      <c r="AJ578" s="33">
        <f>IF(Z578&lt;=0,0,MAX(0,MIN(Z578,ROUND($AZ578-SUMPRODUCT($V578:$AE578*($V578:$AE578&gt;0)*(($V578:$AE578&lt;Z578)+($V578:$AE578=Z578)*($V$3:$AE$3&gt;Z$3)+($V578:$AE578=Z578)*($V$3:$AE$3=Z$3)*($V$2:$AE$2&lt;Z$2))),2))))</f>
      </c>
      <c r="AK578" s="33">
        <f>IF(AA578&lt;=0,0,MAX(0,MIN(AA578,ROUND($AZ578-SUMPRODUCT($V578:$AE578*($V578:$AE578&gt;0)*(($V578:$AE578&lt;AA578)+($V578:$AE578=AA578)*($V$3:$AE$3&gt;AA$3)+($V578:$AE578=AA578)*($V$3:$AE$3=AA$3)*($V$2:$AE$2&lt;AA$2))),2))))</f>
      </c>
      <c r="AL578" s="33">
        <f>IF(AB578&lt;=0,0,MAX(0,MIN(AB578,ROUND($AZ578-SUMPRODUCT($V578:$AE578*($V578:$AE578&gt;0)*(($V578:$AE578&lt;AB578)+($V578:$AE578=AB578)*($V$3:$AE$3&gt;AB$3)+($V578:$AE578=AB578)*($V$3:$AE$3=AB$3)*($V$2:$AE$2&lt;AB$2))),2))))</f>
      </c>
      <c r="AM578" s="33">
        <f>IF(AC578&lt;=0,0,MAX(0,MIN(AC578,ROUND($AZ578-SUMPRODUCT($V578:$AE578*($V578:$AE578&gt;0)*(($V578:$AE578&lt;AC578)+($V578:$AE578=AC578)*($V$3:$AE$3&gt;AC$3)+($V578:$AE578=AC578)*($V$3:$AE$3=AC$3)*($V$2:$AE$2&lt;AC$2))),2))))</f>
      </c>
      <c r="AN578" s="33">
        <f>IF(AD578&lt;=0,0,MAX(0,MIN(AD578,ROUND($AZ578-SUMPRODUCT($V578:$AE578*($V578:$AE578&gt;0)*(($V578:$AE578&lt;AD578)+($V578:$AE578=AD578)*($V$3:$AE$3&gt;AD$3)+($V578:$AE578=AD578)*($V$3:$AE$3=AD$3)*($V$2:$AE$2&lt;AD$2))),2))))</f>
      </c>
      <c r="AO578" s="33">
        <f>IF(AE578&lt;=0,0,MAX(0,MIN(AE578,ROUND($AZ578-SUMPRODUCT($V578:$AE578*($V578:$AE578&gt;0)*(($V578:$AE578&lt;AE578)+($V578:$AE578=AE578)*($V$3:$AE$3&gt;AE$3)+($V578:$AE578=AE578)*($V$3:$AE$3=AE$3)*($V$2:$AE$2&lt;AE$2))),2))))</f>
      </c>
      <c r="AP578" s="33">
        <f>ROUND(V578-AF578,2)</f>
      </c>
      <c r="AQ578" s="33">
        <f>ROUND(W578-AG578,2)</f>
      </c>
      <c r="AR578" s="33">
        <f>ROUND(X578-AH578,2)</f>
      </c>
      <c r="AS578" s="33">
        <f>ROUND(Y578-AI578,2)</f>
      </c>
      <c r="AT578" s="33">
        <f>ROUND(Z578-AJ578,2)</f>
      </c>
      <c r="AU578" s="33">
        <f>ROUND(AA578-AK578,2)</f>
      </c>
      <c r="AV578" s="33">
        <f>ROUND(AB578-AL578,2)</f>
      </c>
      <c r="AW578" s="33">
        <f>ROUND(AC578-AM578,2)</f>
      </c>
      <c r="AX578" s="33">
        <f>ROUND(AD578-AN578,2)</f>
      </c>
      <c r="AY578" s="33">
        <f>ROUND(AE578-AO578,2)</f>
      </c>
      <c r="AZ578" s="33">
        <f>ROUND(MAX(0,'Your debts'!$D$22-SUM($L578:$U578)),2)</f>
      </c>
      <c r="BA578" s="33">
        <f>ROUND(SUM($B578:$K578)-SUM($AP577:$AY577),2)</f>
      </c>
      <c r="BB578" s="33">
        <f>SUM($AP578:$AY578)</f>
      </c>
      <c r="BC578" s="33">
        <f>ROUND(SUM($L578:$U578)+SUM($AF578:$AO578),2)</f>
      </c>
    </row>
    <row r="579" spans="1:55" x14ac:dyDescent="0.25">
      <c r="A579">
        <v>572</v>
      </c>
      <c r="B579" s="33">
        <f>IF(AP578&lt;=0,0,ROUND(AP578+ROUND(AP578*V$3/12,2),2))</f>
      </c>
      <c r="C579" s="33">
        <f>IF(AQ578&lt;=0,0,ROUND(AQ578+ROUND(AQ578*W$3/12,2),2))</f>
      </c>
      <c r="D579" s="33">
        <f>IF(AR578&lt;=0,0,ROUND(AR578+ROUND(AR578*X$3/12,2),2))</f>
      </c>
      <c r="E579" s="33">
        <f>IF(AS578&lt;=0,0,ROUND(AS578+ROUND(AS578*Y$3/12,2),2))</f>
      </c>
      <c r="F579" s="33">
        <f>IF(AT578&lt;=0,0,ROUND(AT578+ROUND(AT578*Z$3/12,2),2))</f>
      </c>
      <c r="G579" s="33">
        <f>IF(AU578&lt;=0,0,ROUND(AU578+ROUND(AU578*AA$3/12,2),2))</f>
      </c>
      <c r="H579" s="33">
        <f>IF(AV578&lt;=0,0,ROUND(AV578+ROUND(AV578*AB$3/12,2),2))</f>
      </c>
      <c r="I579" s="33">
        <f>IF(AW578&lt;=0,0,ROUND(AW578+ROUND(AW578*AC$3/12,2),2))</f>
      </c>
      <c r="J579" s="33">
        <f>IF(AX578&lt;=0,0,ROUND(AX578+ROUND(AX578*AD$3/12,2),2))</f>
      </c>
      <c r="K579" s="33">
        <f>IF(AY578&lt;=0,0,ROUND(AY578+ROUND(AY578*AE$3/12,2),2))</f>
      </c>
      <c r="L579" s="33">
        <f>ROUND(MIN(MAX(0,N('Your debts'!$E$6)),B579),2)</f>
      </c>
      <c r="M579" s="33">
        <f>ROUND(MIN(MAX(0,N('Your debts'!$E$7)),C579),2)</f>
      </c>
      <c r="N579" s="33">
        <f>ROUND(MIN(MAX(0,N('Your debts'!$E$8)),D579),2)</f>
      </c>
      <c r="O579" s="33">
        <f>ROUND(MIN(MAX(0,N('Your debts'!$E$9)),E579),2)</f>
      </c>
      <c r="P579" s="33">
        <f>ROUND(MIN(MAX(0,N('Your debts'!$E$10)),F579),2)</f>
      </c>
      <c r="Q579" s="33">
        <f>ROUND(MIN(MAX(0,N('Your debts'!$E$11)),G579),2)</f>
      </c>
      <c r="R579" s="33">
        <f>ROUND(MIN(MAX(0,N('Your debts'!$E$12)),H579),2)</f>
      </c>
      <c r="S579" s="33">
        <f>ROUND(MIN(MAX(0,N('Your debts'!$E$13)),I579),2)</f>
      </c>
      <c r="T579" s="33">
        <f>ROUND(MIN(MAX(0,N('Your debts'!$E$14)),J579),2)</f>
      </c>
      <c r="U579" s="33">
        <f>ROUND(MIN(MAX(0,N('Your debts'!$E$15)),K579),2)</f>
      </c>
      <c r="V579" s="33">
        <f>ROUND(B579-L579,2)</f>
      </c>
      <c r="W579" s="33">
        <f>ROUND(C579-M579,2)</f>
      </c>
      <c r="X579" s="33">
        <f>ROUND(D579-N579,2)</f>
      </c>
      <c r="Y579" s="33">
        <f>ROUND(E579-O579,2)</f>
      </c>
      <c r="Z579" s="33">
        <f>ROUND(F579-P579,2)</f>
      </c>
      <c r="AA579" s="33">
        <f>ROUND(G579-Q579,2)</f>
      </c>
      <c r="AB579" s="33">
        <f>ROUND(H579-R579,2)</f>
      </c>
      <c r="AC579" s="33">
        <f>ROUND(I579-S579,2)</f>
      </c>
      <c r="AD579" s="33">
        <f>ROUND(J579-T579,2)</f>
      </c>
      <c r="AE579" s="33">
        <f>ROUND(K579-U579,2)</f>
      </c>
      <c r="AF579" s="33">
        <f>IF(V579&lt;=0,0,MAX(0,MIN(V579,ROUND($AZ579-SUMPRODUCT($V579:$AE579*($V579:$AE579&gt;0)*(($V579:$AE579&lt;V579)+($V579:$AE579=V579)*($V$3:$AE$3&gt;V$3)+($V579:$AE579=V579)*($V$3:$AE$3=V$3)*($V$2:$AE$2&lt;V$2))),2))))</f>
      </c>
      <c r="AG579" s="33">
        <f>IF(W579&lt;=0,0,MAX(0,MIN(W579,ROUND($AZ579-SUMPRODUCT($V579:$AE579*($V579:$AE579&gt;0)*(($V579:$AE579&lt;W579)+($V579:$AE579=W579)*($V$3:$AE$3&gt;W$3)+($V579:$AE579=W579)*($V$3:$AE$3=W$3)*($V$2:$AE$2&lt;W$2))),2))))</f>
      </c>
      <c r="AH579" s="33">
        <f>IF(X579&lt;=0,0,MAX(0,MIN(X579,ROUND($AZ579-SUMPRODUCT($V579:$AE579*($V579:$AE579&gt;0)*(($V579:$AE579&lt;X579)+($V579:$AE579=X579)*($V$3:$AE$3&gt;X$3)+($V579:$AE579=X579)*($V$3:$AE$3=X$3)*($V$2:$AE$2&lt;X$2))),2))))</f>
      </c>
      <c r="AI579" s="33">
        <f>IF(Y579&lt;=0,0,MAX(0,MIN(Y579,ROUND($AZ579-SUMPRODUCT($V579:$AE579*($V579:$AE579&gt;0)*(($V579:$AE579&lt;Y579)+($V579:$AE579=Y579)*($V$3:$AE$3&gt;Y$3)+($V579:$AE579=Y579)*($V$3:$AE$3=Y$3)*($V$2:$AE$2&lt;Y$2))),2))))</f>
      </c>
      <c r="AJ579" s="33">
        <f>IF(Z579&lt;=0,0,MAX(0,MIN(Z579,ROUND($AZ579-SUMPRODUCT($V579:$AE579*($V579:$AE579&gt;0)*(($V579:$AE579&lt;Z579)+($V579:$AE579=Z579)*($V$3:$AE$3&gt;Z$3)+($V579:$AE579=Z579)*($V$3:$AE$3=Z$3)*($V$2:$AE$2&lt;Z$2))),2))))</f>
      </c>
      <c r="AK579" s="33">
        <f>IF(AA579&lt;=0,0,MAX(0,MIN(AA579,ROUND($AZ579-SUMPRODUCT($V579:$AE579*($V579:$AE579&gt;0)*(($V579:$AE579&lt;AA579)+($V579:$AE579=AA579)*($V$3:$AE$3&gt;AA$3)+($V579:$AE579=AA579)*($V$3:$AE$3=AA$3)*($V$2:$AE$2&lt;AA$2))),2))))</f>
      </c>
      <c r="AL579" s="33">
        <f>IF(AB579&lt;=0,0,MAX(0,MIN(AB579,ROUND($AZ579-SUMPRODUCT($V579:$AE579*($V579:$AE579&gt;0)*(($V579:$AE579&lt;AB579)+($V579:$AE579=AB579)*($V$3:$AE$3&gt;AB$3)+($V579:$AE579=AB579)*($V$3:$AE$3=AB$3)*($V$2:$AE$2&lt;AB$2))),2))))</f>
      </c>
      <c r="AM579" s="33">
        <f>IF(AC579&lt;=0,0,MAX(0,MIN(AC579,ROUND($AZ579-SUMPRODUCT($V579:$AE579*($V579:$AE579&gt;0)*(($V579:$AE579&lt;AC579)+($V579:$AE579=AC579)*($V$3:$AE$3&gt;AC$3)+($V579:$AE579=AC579)*($V$3:$AE$3=AC$3)*($V$2:$AE$2&lt;AC$2))),2))))</f>
      </c>
      <c r="AN579" s="33">
        <f>IF(AD579&lt;=0,0,MAX(0,MIN(AD579,ROUND($AZ579-SUMPRODUCT($V579:$AE579*($V579:$AE579&gt;0)*(($V579:$AE579&lt;AD579)+($V579:$AE579=AD579)*($V$3:$AE$3&gt;AD$3)+($V579:$AE579=AD579)*($V$3:$AE$3=AD$3)*($V$2:$AE$2&lt;AD$2))),2))))</f>
      </c>
      <c r="AO579" s="33">
        <f>IF(AE579&lt;=0,0,MAX(0,MIN(AE579,ROUND($AZ579-SUMPRODUCT($V579:$AE579*($V579:$AE579&gt;0)*(($V579:$AE579&lt;AE579)+($V579:$AE579=AE579)*($V$3:$AE$3&gt;AE$3)+($V579:$AE579=AE579)*($V$3:$AE$3=AE$3)*($V$2:$AE$2&lt;AE$2))),2))))</f>
      </c>
      <c r="AP579" s="33">
        <f>ROUND(V579-AF579,2)</f>
      </c>
      <c r="AQ579" s="33">
        <f>ROUND(W579-AG579,2)</f>
      </c>
      <c r="AR579" s="33">
        <f>ROUND(X579-AH579,2)</f>
      </c>
      <c r="AS579" s="33">
        <f>ROUND(Y579-AI579,2)</f>
      </c>
      <c r="AT579" s="33">
        <f>ROUND(Z579-AJ579,2)</f>
      </c>
      <c r="AU579" s="33">
        <f>ROUND(AA579-AK579,2)</f>
      </c>
      <c r="AV579" s="33">
        <f>ROUND(AB579-AL579,2)</f>
      </c>
      <c r="AW579" s="33">
        <f>ROUND(AC579-AM579,2)</f>
      </c>
      <c r="AX579" s="33">
        <f>ROUND(AD579-AN579,2)</f>
      </c>
      <c r="AY579" s="33">
        <f>ROUND(AE579-AO579,2)</f>
      </c>
      <c r="AZ579" s="33">
        <f>ROUND(MAX(0,'Your debts'!$D$22-SUM($L579:$U579)),2)</f>
      </c>
      <c r="BA579" s="33">
        <f>ROUND(SUM($B579:$K579)-SUM($AP578:$AY578),2)</f>
      </c>
      <c r="BB579" s="33">
        <f>SUM($AP579:$AY579)</f>
      </c>
      <c r="BC579" s="33">
        <f>ROUND(SUM($L579:$U579)+SUM($AF579:$AO579),2)</f>
      </c>
    </row>
    <row r="580" spans="1:55" x14ac:dyDescent="0.25">
      <c r="A580">
        <v>573</v>
      </c>
      <c r="B580" s="33">
        <f>IF(AP579&lt;=0,0,ROUND(AP579+ROUND(AP579*V$3/12,2),2))</f>
      </c>
      <c r="C580" s="33">
        <f>IF(AQ579&lt;=0,0,ROUND(AQ579+ROUND(AQ579*W$3/12,2),2))</f>
      </c>
      <c r="D580" s="33">
        <f>IF(AR579&lt;=0,0,ROUND(AR579+ROUND(AR579*X$3/12,2),2))</f>
      </c>
      <c r="E580" s="33">
        <f>IF(AS579&lt;=0,0,ROUND(AS579+ROUND(AS579*Y$3/12,2),2))</f>
      </c>
      <c r="F580" s="33">
        <f>IF(AT579&lt;=0,0,ROUND(AT579+ROUND(AT579*Z$3/12,2),2))</f>
      </c>
      <c r="G580" s="33">
        <f>IF(AU579&lt;=0,0,ROUND(AU579+ROUND(AU579*AA$3/12,2),2))</f>
      </c>
      <c r="H580" s="33">
        <f>IF(AV579&lt;=0,0,ROUND(AV579+ROUND(AV579*AB$3/12,2),2))</f>
      </c>
      <c r="I580" s="33">
        <f>IF(AW579&lt;=0,0,ROUND(AW579+ROUND(AW579*AC$3/12,2),2))</f>
      </c>
      <c r="J580" s="33">
        <f>IF(AX579&lt;=0,0,ROUND(AX579+ROUND(AX579*AD$3/12,2),2))</f>
      </c>
      <c r="K580" s="33">
        <f>IF(AY579&lt;=0,0,ROUND(AY579+ROUND(AY579*AE$3/12,2),2))</f>
      </c>
      <c r="L580" s="33">
        <f>ROUND(MIN(MAX(0,N('Your debts'!$E$6)),B580),2)</f>
      </c>
      <c r="M580" s="33">
        <f>ROUND(MIN(MAX(0,N('Your debts'!$E$7)),C580),2)</f>
      </c>
      <c r="N580" s="33">
        <f>ROUND(MIN(MAX(0,N('Your debts'!$E$8)),D580),2)</f>
      </c>
      <c r="O580" s="33">
        <f>ROUND(MIN(MAX(0,N('Your debts'!$E$9)),E580),2)</f>
      </c>
      <c r="P580" s="33">
        <f>ROUND(MIN(MAX(0,N('Your debts'!$E$10)),F580),2)</f>
      </c>
      <c r="Q580" s="33">
        <f>ROUND(MIN(MAX(0,N('Your debts'!$E$11)),G580),2)</f>
      </c>
      <c r="R580" s="33">
        <f>ROUND(MIN(MAX(0,N('Your debts'!$E$12)),H580),2)</f>
      </c>
      <c r="S580" s="33">
        <f>ROUND(MIN(MAX(0,N('Your debts'!$E$13)),I580),2)</f>
      </c>
      <c r="T580" s="33">
        <f>ROUND(MIN(MAX(0,N('Your debts'!$E$14)),J580),2)</f>
      </c>
      <c r="U580" s="33">
        <f>ROUND(MIN(MAX(0,N('Your debts'!$E$15)),K580),2)</f>
      </c>
      <c r="V580" s="33">
        <f>ROUND(B580-L580,2)</f>
      </c>
      <c r="W580" s="33">
        <f>ROUND(C580-M580,2)</f>
      </c>
      <c r="X580" s="33">
        <f>ROUND(D580-N580,2)</f>
      </c>
      <c r="Y580" s="33">
        <f>ROUND(E580-O580,2)</f>
      </c>
      <c r="Z580" s="33">
        <f>ROUND(F580-P580,2)</f>
      </c>
      <c r="AA580" s="33">
        <f>ROUND(G580-Q580,2)</f>
      </c>
      <c r="AB580" s="33">
        <f>ROUND(H580-R580,2)</f>
      </c>
      <c r="AC580" s="33">
        <f>ROUND(I580-S580,2)</f>
      </c>
      <c r="AD580" s="33">
        <f>ROUND(J580-T580,2)</f>
      </c>
      <c r="AE580" s="33">
        <f>ROUND(K580-U580,2)</f>
      </c>
      <c r="AF580" s="33">
        <f>IF(V580&lt;=0,0,MAX(0,MIN(V580,ROUND($AZ580-SUMPRODUCT($V580:$AE580*($V580:$AE580&gt;0)*(($V580:$AE580&lt;V580)+($V580:$AE580=V580)*($V$3:$AE$3&gt;V$3)+($V580:$AE580=V580)*($V$3:$AE$3=V$3)*($V$2:$AE$2&lt;V$2))),2))))</f>
      </c>
      <c r="AG580" s="33">
        <f>IF(W580&lt;=0,0,MAX(0,MIN(W580,ROUND($AZ580-SUMPRODUCT($V580:$AE580*($V580:$AE580&gt;0)*(($V580:$AE580&lt;W580)+($V580:$AE580=W580)*($V$3:$AE$3&gt;W$3)+($V580:$AE580=W580)*($V$3:$AE$3=W$3)*($V$2:$AE$2&lt;W$2))),2))))</f>
      </c>
      <c r="AH580" s="33">
        <f>IF(X580&lt;=0,0,MAX(0,MIN(X580,ROUND($AZ580-SUMPRODUCT($V580:$AE580*($V580:$AE580&gt;0)*(($V580:$AE580&lt;X580)+($V580:$AE580=X580)*($V$3:$AE$3&gt;X$3)+($V580:$AE580=X580)*($V$3:$AE$3=X$3)*($V$2:$AE$2&lt;X$2))),2))))</f>
      </c>
      <c r="AI580" s="33">
        <f>IF(Y580&lt;=0,0,MAX(0,MIN(Y580,ROUND($AZ580-SUMPRODUCT($V580:$AE580*($V580:$AE580&gt;0)*(($V580:$AE580&lt;Y580)+($V580:$AE580=Y580)*($V$3:$AE$3&gt;Y$3)+($V580:$AE580=Y580)*($V$3:$AE$3=Y$3)*($V$2:$AE$2&lt;Y$2))),2))))</f>
      </c>
      <c r="AJ580" s="33">
        <f>IF(Z580&lt;=0,0,MAX(0,MIN(Z580,ROUND($AZ580-SUMPRODUCT($V580:$AE580*($V580:$AE580&gt;0)*(($V580:$AE580&lt;Z580)+($V580:$AE580=Z580)*($V$3:$AE$3&gt;Z$3)+($V580:$AE580=Z580)*($V$3:$AE$3=Z$3)*($V$2:$AE$2&lt;Z$2))),2))))</f>
      </c>
      <c r="AK580" s="33">
        <f>IF(AA580&lt;=0,0,MAX(0,MIN(AA580,ROUND($AZ580-SUMPRODUCT($V580:$AE580*($V580:$AE580&gt;0)*(($V580:$AE580&lt;AA580)+($V580:$AE580=AA580)*($V$3:$AE$3&gt;AA$3)+($V580:$AE580=AA580)*($V$3:$AE$3=AA$3)*($V$2:$AE$2&lt;AA$2))),2))))</f>
      </c>
      <c r="AL580" s="33">
        <f>IF(AB580&lt;=0,0,MAX(0,MIN(AB580,ROUND($AZ580-SUMPRODUCT($V580:$AE580*($V580:$AE580&gt;0)*(($V580:$AE580&lt;AB580)+($V580:$AE580=AB580)*($V$3:$AE$3&gt;AB$3)+($V580:$AE580=AB580)*($V$3:$AE$3=AB$3)*($V$2:$AE$2&lt;AB$2))),2))))</f>
      </c>
      <c r="AM580" s="33">
        <f>IF(AC580&lt;=0,0,MAX(0,MIN(AC580,ROUND($AZ580-SUMPRODUCT($V580:$AE580*($V580:$AE580&gt;0)*(($V580:$AE580&lt;AC580)+($V580:$AE580=AC580)*($V$3:$AE$3&gt;AC$3)+($V580:$AE580=AC580)*($V$3:$AE$3=AC$3)*($V$2:$AE$2&lt;AC$2))),2))))</f>
      </c>
      <c r="AN580" s="33">
        <f>IF(AD580&lt;=0,0,MAX(0,MIN(AD580,ROUND($AZ580-SUMPRODUCT($V580:$AE580*($V580:$AE580&gt;0)*(($V580:$AE580&lt;AD580)+($V580:$AE580=AD580)*($V$3:$AE$3&gt;AD$3)+($V580:$AE580=AD580)*($V$3:$AE$3=AD$3)*($V$2:$AE$2&lt;AD$2))),2))))</f>
      </c>
      <c r="AO580" s="33">
        <f>IF(AE580&lt;=0,0,MAX(0,MIN(AE580,ROUND($AZ580-SUMPRODUCT($V580:$AE580*($V580:$AE580&gt;0)*(($V580:$AE580&lt;AE580)+($V580:$AE580=AE580)*($V$3:$AE$3&gt;AE$3)+($V580:$AE580=AE580)*($V$3:$AE$3=AE$3)*($V$2:$AE$2&lt;AE$2))),2))))</f>
      </c>
      <c r="AP580" s="33">
        <f>ROUND(V580-AF580,2)</f>
      </c>
      <c r="AQ580" s="33">
        <f>ROUND(W580-AG580,2)</f>
      </c>
      <c r="AR580" s="33">
        <f>ROUND(X580-AH580,2)</f>
      </c>
      <c r="AS580" s="33">
        <f>ROUND(Y580-AI580,2)</f>
      </c>
      <c r="AT580" s="33">
        <f>ROUND(Z580-AJ580,2)</f>
      </c>
      <c r="AU580" s="33">
        <f>ROUND(AA580-AK580,2)</f>
      </c>
      <c r="AV580" s="33">
        <f>ROUND(AB580-AL580,2)</f>
      </c>
      <c r="AW580" s="33">
        <f>ROUND(AC580-AM580,2)</f>
      </c>
      <c r="AX580" s="33">
        <f>ROUND(AD580-AN580,2)</f>
      </c>
      <c r="AY580" s="33">
        <f>ROUND(AE580-AO580,2)</f>
      </c>
      <c r="AZ580" s="33">
        <f>ROUND(MAX(0,'Your debts'!$D$22-SUM($L580:$U580)),2)</f>
      </c>
      <c r="BA580" s="33">
        <f>ROUND(SUM($B580:$K580)-SUM($AP579:$AY579),2)</f>
      </c>
      <c r="BB580" s="33">
        <f>SUM($AP580:$AY580)</f>
      </c>
      <c r="BC580" s="33">
        <f>ROUND(SUM($L580:$U580)+SUM($AF580:$AO580),2)</f>
      </c>
    </row>
    <row r="581" spans="1:55" x14ac:dyDescent="0.25">
      <c r="A581">
        <v>574</v>
      </c>
      <c r="B581" s="33">
        <f>IF(AP580&lt;=0,0,ROUND(AP580+ROUND(AP580*V$3/12,2),2))</f>
      </c>
      <c r="C581" s="33">
        <f>IF(AQ580&lt;=0,0,ROUND(AQ580+ROUND(AQ580*W$3/12,2),2))</f>
      </c>
      <c r="D581" s="33">
        <f>IF(AR580&lt;=0,0,ROUND(AR580+ROUND(AR580*X$3/12,2),2))</f>
      </c>
      <c r="E581" s="33">
        <f>IF(AS580&lt;=0,0,ROUND(AS580+ROUND(AS580*Y$3/12,2),2))</f>
      </c>
      <c r="F581" s="33">
        <f>IF(AT580&lt;=0,0,ROUND(AT580+ROUND(AT580*Z$3/12,2),2))</f>
      </c>
      <c r="G581" s="33">
        <f>IF(AU580&lt;=0,0,ROUND(AU580+ROUND(AU580*AA$3/12,2),2))</f>
      </c>
      <c r="H581" s="33">
        <f>IF(AV580&lt;=0,0,ROUND(AV580+ROUND(AV580*AB$3/12,2),2))</f>
      </c>
      <c r="I581" s="33">
        <f>IF(AW580&lt;=0,0,ROUND(AW580+ROUND(AW580*AC$3/12,2),2))</f>
      </c>
      <c r="J581" s="33">
        <f>IF(AX580&lt;=0,0,ROUND(AX580+ROUND(AX580*AD$3/12,2),2))</f>
      </c>
      <c r="K581" s="33">
        <f>IF(AY580&lt;=0,0,ROUND(AY580+ROUND(AY580*AE$3/12,2),2))</f>
      </c>
      <c r="L581" s="33">
        <f>ROUND(MIN(MAX(0,N('Your debts'!$E$6)),B581),2)</f>
      </c>
      <c r="M581" s="33">
        <f>ROUND(MIN(MAX(0,N('Your debts'!$E$7)),C581),2)</f>
      </c>
      <c r="N581" s="33">
        <f>ROUND(MIN(MAX(0,N('Your debts'!$E$8)),D581),2)</f>
      </c>
      <c r="O581" s="33">
        <f>ROUND(MIN(MAX(0,N('Your debts'!$E$9)),E581),2)</f>
      </c>
      <c r="P581" s="33">
        <f>ROUND(MIN(MAX(0,N('Your debts'!$E$10)),F581),2)</f>
      </c>
      <c r="Q581" s="33">
        <f>ROUND(MIN(MAX(0,N('Your debts'!$E$11)),G581),2)</f>
      </c>
      <c r="R581" s="33">
        <f>ROUND(MIN(MAX(0,N('Your debts'!$E$12)),H581),2)</f>
      </c>
      <c r="S581" s="33">
        <f>ROUND(MIN(MAX(0,N('Your debts'!$E$13)),I581),2)</f>
      </c>
      <c r="T581" s="33">
        <f>ROUND(MIN(MAX(0,N('Your debts'!$E$14)),J581),2)</f>
      </c>
      <c r="U581" s="33">
        <f>ROUND(MIN(MAX(0,N('Your debts'!$E$15)),K581),2)</f>
      </c>
      <c r="V581" s="33">
        <f>ROUND(B581-L581,2)</f>
      </c>
      <c r="W581" s="33">
        <f>ROUND(C581-M581,2)</f>
      </c>
      <c r="X581" s="33">
        <f>ROUND(D581-N581,2)</f>
      </c>
      <c r="Y581" s="33">
        <f>ROUND(E581-O581,2)</f>
      </c>
      <c r="Z581" s="33">
        <f>ROUND(F581-P581,2)</f>
      </c>
      <c r="AA581" s="33">
        <f>ROUND(G581-Q581,2)</f>
      </c>
      <c r="AB581" s="33">
        <f>ROUND(H581-R581,2)</f>
      </c>
      <c r="AC581" s="33">
        <f>ROUND(I581-S581,2)</f>
      </c>
      <c r="AD581" s="33">
        <f>ROUND(J581-T581,2)</f>
      </c>
      <c r="AE581" s="33">
        <f>ROUND(K581-U581,2)</f>
      </c>
      <c r="AF581" s="33">
        <f>IF(V581&lt;=0,0,MAX(0,MIN(V581,ROUND($AZ581-SUMPRODUCT($V581:$AE581*($V581:$AE581&gt;0)*(($V581:$AE581&lt;V581)+($V581:$AE581=V581)*($V$3:$AE$3&gt;V$3)+($V581:$AE581=V581)*($V$3:$AE$3=V$3)*($V$2:$AE$2&lt;V$2))),2))))</f>
      </c>
      <c r="AG581" s="33">
        <f>IF(W581&lt;=0,0,MAX(0,MIN(W581,ROUND($AZ581-SUMPRODUCT($V581:$AE581*($V581:$AE581&gt;0)*(($V581:$AE581&lt;W581)+($V581:$AE581=W581)*($V$3:$AE$3&gt;W$3)+($V581:$AE581=W581)*($V$3:$AE$3=W$3)*($V$2:$AE$2&lt;W$2))),2))))</f>
      </c>
      <c r="AH581" s="33">
        <f>IF(X581&lt;=0,0,MAX(0,MIN(X581,ROUND($AZ581-SUMPRODUCT($V581:$AE581*($V581:$AE581&gt;0)*(($V581:$AE581&lt;X581)+($V581:$AE581=X581)*($V$3:$AE$3&gt;X$3)+($V581:$AE581=X581)*($V$3:$AE$3=X$3)*($V$2:$AE$2&lt;X$2))),2))))</f>
      </c>
      <c r="AI581" s="33">
        <f>IF(Y581&lt;=0,0,MAX(0,MIN(Y581,ROUND($AZ581-SUMPRODUCT($V581:$AE581*($V581:$AE581&gt;0)*(($V581:$AE581&lt;Y581)+($V581:$AE581=Y581)*($V$3:$AE$3&gt;Y$3)+($V581:$AE581=Y581)*($V$3:$AE$3=Y$3)*($V$2:$AE$2&lt;Y$2))),2))))</f>
      </c>
      <c r="AJ581" s="33">
        <f>IF(Z581&lt;=0,0,MAX(0,MIN(Z581,ROUND($AZ581-SUMPRODUCT($V581:$AE581*($V581:$AE581&gt;0)*(($V581:$AE581&lt;Z581)+($V581:$AE581=Z581)*($V$3:$AE$3&gt;Z$3)+($V581:$AE581=Z581)*($V$3:$AE$3=Z$3)*($V$2:$AE$2&lt;Z$2))),2))))</f>
      </c>
      <c r="AK581" s="33">
        <f>IF(AA581&lt;=0,0,MAX(0,MIN(AA581,ROUND($AZ581-SUMPRODUCT($V581:$AE581*($V581:$AE581&gt;0)*(($V581:$AE581&lt;AA581)+($V581:$AE581=AA581)*($V$3:$AE$3&gt;AA$3)+($V581:$AE581=AA581)*($V$3:$AE$3=AA$3)*($V$2:$AE$2&lt;AA$2))),2))))</f>
      </c>
      <c r="AL581" s="33">
        <f>IF(AB581&lt;=0,0,MAX(0,MIN(AB581,ROUND($AZ581-SUMPRODUCT($V581:$AE581*($V581:$AE581&gt;0)*(($V581:$AE581&lt;AB581)+($V581:$AE581=AB581)*($V$3:$AE$3&gt;AB$3)+($V581:$AE581=AB581)*($V$3:$AE$3=AB$3)*($V$2:$AE$2&lt;AB$2))),2))))</f>
      </c>
      <c r="AM581" s="33">
        <f>IF(AC581&lt;=0,0,MAX(0,MIN(AC581,ROUND($AZ581-SUMPRODUCT($V581:$AE581*($V581:$AE581&gt;0)*(($V581:$AE581&lt;AC581)+($V581:$AE581=AC581)*($V$3:$AE$3&gt;AC$3)+($V581:$AE581=AC581)*($V$3:$AE$3=AC$3)*($V$2:$AE$2&lt;AC$2))),2))))</f>
      </c>
      <c r="AN581" s="33">
        <f>IF(AD581&lt;=0,0,MAX(0,MIN(AD581,ROUND($AZ581-SUMPRODUCT($V581:$AE581*($V581:$AE581&gt;0)*(($V581:$AE581&lt;AD581)+($V581:$AE581=AD581)*($V$3:$AE$3&gt;AD$3)+($V581:$AE581=AD581)*($V$3:$AE$3=AD$3)*($V$2:$AE$2&lt;AD$2))),2))))</f>
      </c>
      <c r="AO581" s="33">
        <f>IF(AE581&lt;=0,0,MAX(0,MIN(AE581,ROUND($AZ581-SUMPRODUCT($V581:$AE581*($V581:$AE581&gt;0)*(($V581:$AE581&lt;AE581)+($V581:$AE581=AE581)*($V$3:$AE$3&gt;AE$3)+($V581:$AE581=AE581)*($V$3:$AE$3=AE$3)*($V$2:$AE$2&lt;AE$2))),2))))</f>
      </c>
      <c r="AP581" s="33">
        <f>ROUND(V581-AF581,2)</f>
      </c>
      <c r="AQ581" s="33">
        <f>ROUND(W581-AG581,2)</f>
      </c>
      <c r="AR581" s="33">
        <f>ROUND(X581-AH581,2)</f>
      </c>
      <c r="AS581" s="33">
        <f>ROUND(Y581-AI581,2)</f>
      </c>
      <c r="AT581" s="33">
        <f>ROUND(Z581-AJ581,2)</f>
      </c>
      <c r="AU581" s="33">
        <f>ROUND(AA581-AK581,2)</f>
      </c>
      <c r="AV581" s="33">
        <f>ROUND(AB581-AL581,2)</f>
      </c>
      <c r="AW581" s="33">
        <f>ROUND(AC581-AM581,2)</f>
      </c>
      <c r="AX581" s="33">
        <f>ROUND(AD581-AN581,2)</f>
      </c>
      <c r="AY581" s="33">
        <f>ROUND(AE581-AO581,2)</f>
      </c>
      <c r="AZ581" s="33">
        <f>ROUND(MAX(0,'Your debts'!$D$22-SUM($L581:$U581)),2)</f>
      </c>
      <c r="BA581" s="33">
        <f>ROUND(SUM($B581:$K581)-SUM($AP580:$AY580),2)</f>
      </c>
      <c r="BB581" s="33">
        <f>SUM($AP581:$AY581)</f>
      </c>
      <c r="BC581" s="33">
        <f>ROUND(SUM($L581:$U581)+SUM($AF581:$AO581),2)</f>
      </c>
    </row>
    <row r="582" spans="1:55" x14ac:dyDescent="0.25">
      <c r="A582">
        <v>575</v>
      </c>
      <c r="B582" s="33">
        <f>IF(AP581&lt;=0,0,ROUND(AP581+ROUND(AP581*V$3/12,2),2))</f>
      </c>
      <c r="C582" s="33">
        <f>IF(AQ581&lt;=0,0,ROUND(AQ581+ROUND(AQ581*W$3/12,2),2))</f>
      </c>
      <c r="D582" s="33">
        <f>IF(AR581&lt;=0,0,ROUND(AR581+ROUND(AR581*X$3/12,2),2))</f>
      </c>
      <c r="E582" s="33">
        <f>IF(AS581&lt;=0,0,ROUND(AS581+ROUND(AS581*Y$3/12,2),2))</f>
      </c>
      <c r="F582" s="33">
        <f>IF(AT581&lt;=0,0,ROUND(AT581+ROUND(AT581*Z$3/12,2),2))</f>
      </c>
      <c r="G582" s="33">
        <f>IF(AU581&lt;=0,0,ROUND(AU581+ROUND(AU581*AA$3/12,2),2))</f>
      </c>
      <c r="H582" s="33">
        <f>IF(AV581&lt;=0,0,ROUND(AV581+ROUND(AV581*AB$3/12,2),2))</f>
      </c>
      <c r="I582" s="33">
        <f>IF(AW581&lt;=0,0,ROUND(AW581+ROUND(AW581*AC$3/12,2),2))</f>
      </c>
      <c r="J582" s="33">
        <f>IF(AX581&lt;=0,0,ROUND(AX581+ROUND(AX581*AD$3/12,2),2))</f>
      </c>
      <c r="K582" s="33">
        <f>IF(AY581&lt;=0,0,ROUND(AY581+ROUND(AY581*AE$3/12,2),2))</f>
      </c>
      <c r="L582" s="33">
        <f>ROUND(MIN(MAX(0,N('Your debts'!$E$6)),B582),2)</f>
      </c>
      <c r="M582" s="33">
        <f>ROUND(MIN(MAX(0,N('Your debts'!$E$7)),C582),2)</f>
      </c>
      <c r="N582" s="33">
        <f>ROUND(MIN(MAX(0,N('Your debts'!$E$8)),D582),2)</f>
      </c>
      <c r="O582" s="33">
        <f>ROUND(MIN(MAX(0,N('Your debts'!$E$9)),E582),2)</f>
      </c>
      <c r="P582" s="33">
        <f>ROUND(MIN(MAX(0,N('Your debts'!$E$10)),F582),2)</f>
      </c>
      <c r="Q582" s="33">
        <f>ROUND(MIN(MAX(0,N('Your debts'!$E$11)),G582),2)</f>
      </c>
      <c r="R582" s="33">
        <f>ROUND(MIN(MAX(0,N('Your debts'!$E$12)),H582),2)</f>
      </c>
      <c r="S582" s="33">
        <f>ROUND(MIN(MAX(0,N('Your debts'!$E$13)),I582),2)</f>
      </c>
      <c r="T582" s="33">
        <f>ROUND(MIN(MAX(0,N('Your debts'!$E$14)),J582),2)</f>
      </c>
      <c r="U582" s="33">
        <f>ROUND(MIN(MAX(0,N('Your debts'!$E$15)),K582),2)</f>
      </c>
      <c r="V582" s="33">
        <f>ROUND(B582-L582,2)</f>
      </c>
      <c r="W582" s="33">
        <f>ROUND(C582-M582,2)</f>
      </c>
      <c r="X582" s="33">
        <f>ROUND(D582-N582,2)</f>
      </c>
      <c r="Y582" s="33">
        <f>ROUND(E582-O582,2)</f>
      </c>
      <c r="Z582" s="33">
        <f>ROUND(F582-P582,2)</f>
      </c>
      <c r="AA582" s="33">
        <f>ROUND(G582-Q582,2)</f>
      </c>
      <c r="AB582" s="33">
        <f>ROUND(H582-R582,2)</f>
      </c>
      <c r="AC582" s="33">
        <f>ROUND(I582-S582,2)</f>
      </c>
      <c r="AD582" s="33">
        <f>ROUND(J582-T582,2)</f>
      </c>
      <c r="AE582" s="33">
        <f>ROUND(K582-U582,2)</f>
      </c>
      <c r="AF582" s="33">
        <f>IF(V582&lt;=0,0,MAX(0,MIN(V582,ROUND($AZ582-SUMPRODUCT($V582:$AE582*($V582:$AE582&gt;0)*(($V582:$AE582&lt;V582)+($V582:$AE582=V582)*($V$3:$AE$3&gt;V$3)+($V582:$AE582=V582)*($V$3:$AE$3=V$3)*($V$2:$AE$2&lt;V$2))),2))))</f>
      </c>
      <c r="AG582" s="33">
        <f>IF(W582&lt;=0,0,MAX(0,MIN(W582,ROUND($AZ582-SUMPRODUCT($V582:$AE582*($V582:$AE582&gt;0)*(($V582:$AE582&lt;W582)+($V582:$AE582=W582)*($V$3:$AE$3&gt;W$3)+($V582:$AE582=W582)*($V$3:$AE$3=W$3)*($V$2:$AE$2&lt;W$2))),2))))</f>
      </c>
      <c r="AH582" s="33">
        <f>IF(X582&lt;=0,0,MAX(0,MIN(X582,ROUND($AZ582-SUMPRODUCT($V582:$AE582*($V582:$AE582&gt;0)*(($V582:$AE582&lt;X582)+($V582:$AE582=X582)*($V$3:$AE$3&gt;X$3)+($V582:$AE582=X582)*($V$3:$AE$3=X$3)*($V$2:$AE$2&lt;X$2))),2))))</f>
      </c>
      <c r="AI582" s="33">
        <f>IF(Y582&lt;=0,0,MAX(0,MIN(Y582,ROUND($AZ582-SUMPRODUCT($V582:$AE582*($V582:$AE582&gt;0)*(($V582:$AE582&lt;Y582)+($V582:$AE582=Y582)*($V$3:$AE$3&gt;Y$3)+($V582:$AE582=Y582)*($V$3:$AE$3=Y$3)*($V$2:$AE$2&lt;Y$2))),2))))</f>
      </c>
      <c r="AJ582" s="33">
        <f>IF(Z582&lt;=0,0,MAX(0,MIN(Z582,ROUND($AZ582-SUMPRODUCT($V582:$AE582*($V582:$AE582&gt;0)*(($V582:$AE582&lt;Z582)+($V582:$AE582=Z582)*($V$3:$AE$3&gt;Z$3)+($V582:$AE582=Z582)*($V$3:$AE$3=Z$3)*($V$2:$AE$2&lt;Z$2))),2))))</f>
      </c>
      <c r="AK582" s="33">
        <f>IF(AA582&lt;=0,0,MAX(0,MIN(AA582,ROUND($AZ582-SUMPRODUCT($V582:$AE582*($V582:$AE582&gt;0)*(($V582:$AE582&lt;AA582)+($V582:$AE582=AA582)*($V$3:$AE$3&gt;AA$3)+($V582:$AE582=AA582)*($V$3:$AE$3=AA$3)*($V$2:$AE$2&lt;AA$2))),2))))</f>
      </c>
      <c r="AL582" s="33">
        <f>IF(AB582&lt;=0,0,MAX(0,MIN(AB582,ROUND($AZ582-SUMPRODUCT($V582:$AE582*($V582:$AE582&gt;0)*(($V582:$AE582&lt;AB582)+($V582:$AE582=AB582)*($V$3:$AE$3&gt;AB$3)+($V582:$AE582=AB582)*($V$3:$AE$3=AB$3)*($V$2:$AE$2&lt;AB$2))),2))))</f>
      </c>
      <c r="AM582" s="33">
        <f>IF(AC582&lt;=0,0,MAX(0,MIN(AC582,ROUND($AZ582-SUMPRODUCT($V582:$AE582*($V582:$AE582&gt;0)*(($V582:$AE582&lt;AC582)+($V582:$AE582=AC582)*($V$3:$AE$3&gt;AC$3)+($V582:$AE582=AC582)*($V$3:$AE$3=AC$3)*($V$2:$AE$2&lt;AC$2))),2))))</f>
      </c>
      <c r="AN582" s="33">
        <f>IF(AD582&lt;=0,0,MAX(0,MIN(AD582,ROUND($AZ582-SUMPRODUCT($V582:$AE582*($V582:$AE582&gt;0)*(($V582:$AE582&lt;AD582)+($V582:$AE582=AD582)*($V$3:$AE$3&gt;AD$3)+($V582:$AE582=AD582)*($V$3:$AE$3=AD$3)*($V$2:$AE$2&lt;AD$2))),2))))</f>
      </c>
      <c r="AO582" s="33">
        <f>IF(AE582&lt;=0,0,MAX(0,MIN(AE582,ROUND($AZ582-SUMPRODUCT($V582:$AE582*($V582:$AE582&gt;0)*(($V582:$AE582&lt;AE582)+($V582:$AE582=AE582)*($V$3:$AE$3&gt;AE$3)+($V582:$AE582=AE582)*($V$3:$AE$3=AE$3)*($V$2:$AE$2&lt;AE$2))),2))))</f>
      </c>
      <c r="AP582" s="33">
        <f>ROUND(V582-AF582,2)</f>
      </c>
      <c r="AQ582" s="33">
        <f>ROUND(W582-AG582,2)</f>
      </c>
      <c r="AR582" s="33">
        <f>ROUND(X582-AH582,2)</f>
      </c>
      <c r="AS582" s="33">
        <f>ROUND(Y582-AI582,2)</f>
      </c>
      <c r="AT582" s="33">
        <f>ROUND(Z582-AJ582,2)</f>
      </c>
      <c r="AU582" s="33">
        <f>ROUND(AA582-AK582,2)</f>
      </c>
      <c r="AV582" s="33">
        <f>ROUND(AB582-AL582,2)</f>
      </c>
      <c r="AW582" s="33">
        <f>ROUND(AC582-AM582,2)</f>
      </c>
      <c r="AX582" s="33">
        <f>ROUND(AD582-AN582,2)</f>
      </c>
      <c r="AY582" s="33">
        <f>ROUND(AE582-AO582,2)</f>
      </c>
      <c r="AZ582" s="33">
        <f>ROUND(MAX(0,'Your debts'!$D$22-SUM($L582:$U582)),2)</f>
      </c>
      <c r="BA582" s="33">
        <f>ROUND(SUM($B582:$K582)-SUM($AP581:$AY581),2)</f>
      </c>
      <c r="BB582" s="33">
        <f>SUM($AP582:$AY582)</f>
      </c>
      <c r="BC582" s="33">
        <f>ROUND(SUM($L582:$U582)+SUM($AF582:$AO582),2)</f>
      </c>
    </row>
    <row r="583" spans="1:55" x14ac:dyDescent="0.25">
      <c r="A583">
        <v>576</v>
      </c>
      <c r="B583" s="33">
        <f>IF(AP582&lt;=0,0,ROUND(AP582+ROUND(AP582*V$3/12,2),2))</f>
      </c>
      <c r="C583" s="33">
        <f>IF(AQ582&lt;=0,0,ROUND(AQ582+ROUND(AQ582*W$3/12,2),2))</f>
      </c>
      <c r="D583" s="33">
        <f>IF(AR582&lt;=0,0,ROUND(AR582+ROUND(AR582*X$3/12,2),2))</f>
      </c>
      <c r="E583" s="33">
        <f>IF(AS582&lt;=0,0,ROUND(AS582+ROUND(AS582*Y$3/12,2),2))</f>
      </c>
      <c r="F583" s="33">
        <f>IF(AT582&lt;=0,0,ROUND(AT582+ROUND(AT582*Z$3/12,2),2))</f>
      </c>
      <c r="G583" s="33">
        <f>IF(AU582&lt;=0,0,ROUND(AU582+ROUND(AU582*AA$3/12,2),2))</f>
      </c>
      <c r="H583" s="33">
        <f>IF(AV582&lt;=0,0,ROUND(AV582+ROUND(AV582*AB$3/12,2),2))</f>
      </c>
      <c r="I583" s="33">
        <f>IF(AW582&lt;=0,0,ROUND(AW582+ROUND(AW582*AC$3/12,2),2))</f>
      </c>
      <c r="J583" s="33">
        <f>IF(AX582&lt;=0,0,ROUND(AX582+ROUND(AX582*AD$3/12,2),2))</f>
      </c>
      <c r="K583" s="33">
        <f>IF(AY582&lt;=0,0,ROUND(AY582+ROUND(AY582*AE$3/12,2),2))</f>
      </c>
      <c r="L583" s="33">
        <f>ROUND(MIN(MAX(0,N('Your debts'!$E$6)),B583),2)</f>
      </c>
      <c r="M583" s="33">
        <f>ROUND(MIN(MAX(0,N('Your debts'!$E$7)),C583),2)</f>
      </c>
      <c r="N583" s="33">
        <f>ROUND(MIN(MAX(0,N('Your debts'!$E$8)),D583),2)</f>
      </c>
      <c r="O583" s="33">
        <f>ROUND(MIN(MAX(0,N('Your debts'!$E$9)),E583),2)</f>
      </c>
      <c r="P583" s="33">
        <f>ROUND(MIN(MAX(0,N('Your debts'!$E$10)),F583),2)</f>
      </c>
      <c r="Q583" s="33">
        <f>ROUND(MIN(MAX(0,N('Your debts'!$E$11)),G583),2)</f>
      </c>
      <c r="R583" s="33">
        <f>ROUND(MIN(MAX(0,N('Your debts'!$E$12)),H583),2)</f>
      </c>
      <c r="S583" s="33">
        <f>ROUND(MIN(MAX(0,N('Your debts'!$E$13)),I583),2)</f>
      </c>
      <c r="T583" s="33">
        <f>ROUND(MIN(MAX(0,N('Your debts'!$E$14)),J583),2)</f>
      </c>
      <c r="U583" s="33">
        <f>ROUND(MIN(MAX(0,N('Your debts'!$E$15)),K583),2)</f>
      </c>
      <c r="V583" s="33">
        <f>ROUND(B583-L583,2)</f>
      </c>
      <c r="W583" s="33">
        <f>ROUND(C583-M583,2)</f>
      </c>
      <c r="X583" s="33">
        <f>ROUND(D583-N583,2)</f>
      </c>
      <c r="Y583" s="33">
        <f>ROUND(E583-O583,2)</f>
      </c>
      <c r="Z583" s="33">
        <f>ROUND(F583-P583,2)</f>
      </c>
      <c r="AA583" s="33">
        <f>ROUND(G583-Q583,2)</f>
      </c>
      <c r="AB583" s="33">
        <f>ROUND(H583-R583,2)</f>
      </c>
      <c r="AC583" s="33">
        <f>ROUND(I583-S583,2)</f>
      </c>
      <c r="AD583" s="33">
        <f>ROUND(J583-T583,2)</f>
      </c>
      <c r="AE583" s="33">
        <f>ROUND(K583-U583,2)</f>
      </c>
      <c r="AF583" s="33">
        <f>IF(V583&lt;=0,0,MAX(0,MIN(V583,ROUND($AZ583-SUMPRODUCT($V583:$AE583*($V583:$AE583&gt;0)*(($V583:$AE583&lt;V583)+($V583:$AE583=V583)*($V$3:$AE$3&gt;V$3)+($V583:$AE583=V583)*($V$3:$AE$3=V$3)*($V$2:$AE$2&lt;V$2))),2))))</f>
      </c>
      <c r="AG583" s="33">
        <f>IF(W583&lt;=0,0,MAX(0,MIN(W583,ROUND($AZ583-SUMPRODUCT($V583:$AE583*($V583:$AE583&gt;0)*(($V583:$AE583&lt;W583)+($V583:$AE583=W583)*($V$3:$AE$3&gt;W$3)+($V583:$AE583=W583)*($V$3:$AE$3=W$3)*($V$2:$AE$2&lt;W$2))),2))))</f>
      </c>
      <c r="AH583" s="33">
        <f>IF(X583&lt;=0,0,MAX(0,MIN(X583,ROUND($AZ583-SUMPRODUCT($V583:$AE583*($V583:$AE583&gt;0)*(($V583:$AE583&lt;X583)+($V583:$AE583=X583)*($V$3:$AE$3&gt;X$3)+($V583:$AE583=X583)*($V$3:$AE$3=X$3)*($V$2:$AE$2&lt;X$2))),2))))</f>
      </c>
      <c r="AI583" s="33">
        <f>IF(Y583&lt;=0,0,MAX(0,MIN(Y583,ROUND($AZ583-SUMPRODUCT($V583:$AE583*($V583:$AE583&gt;0)*(($V583:$AE583&lt;Y583)+($V583:$AE583=Y583)*($V$3:$AE$3&gt;Y$3)+($V583:$AE583=Y583)*($V$3:$AE$3=Y$3)*($V$2:$AE$2&lt;Y$2))),2))))</f>
      </c>
      <c r="AJ583" s="33">
        <f>IF(Z583&lt;=0,0,MAX(0,MIN(Z583,ROUND($AZ583-SUMPRODUCT($V583:$AE583*($V583:$AE583&gt;0)*(($V583:$AE583&lt;Z583)+($V583:$AE583=Z583)*($V$3:$AE$3&gt;Z$3)+($V583:$AE583=Z583)*($V$3:$AE$3=Z$3)*($V$2:$AE$2&lt;Z$2))),2))))</f>
      </c>
      <c r="AK583" s="33">
        <f>IF(AA583&lt;=0,0,MAX(0,MIN(AA583,ROUND($AZ583-SUMPRODUCT($V583:$AE583*($V583:$AE583&gt;0)*(($V583:$AE583&lt;AA583)+($V583:$AE583=AA583)*($V$3:$AE$3&gt;AA$3)+($V583:$AE583=AA583)*($V$3:$AE$3=AA$3)*($V$2:$AE$2&lt;AA$2))),2))))</f>
      </c>
      <c r="AL583" s="33">
        <f>IF(AB583&lt;=0,0,MAX(0,MIN(AB583,ROUND($AZ583-SUMPRODUCT($V583:$AE583*($V583:$AE583&gt;0)*(($V583:$AE583&lt;AB583)+($V583:$AE583=AB583)*($V$3:$AE$3&gt;AB$3)+($V583:$AE583=AB583)*($V$3:$AE$3=AB$3)*($V$2:$AE$2&lt;AB$2))),2))))</f>
      </c>
      <c r="AM583" s="33">
        <f>IF(AC583&lt;=0,0,MAX(0,MIN(AC583,ROUND($AZ583-SUMPRODUCT($V583:$AE583*($V583:$AE583&gt;0)*(($V583:$AE583&lt;AC583)+($V583:$AE583=AC583)*($V$3:$AE$3&gt;AC$3)+($V583:$AE583=AC583)*($V$3:$AE$3=AC$3)*($V$2:$AE$2&lt;AC$2))),2))))</f>
      </c>
      <c r="AN583" s="33">
        <f>IF(AD583&lt;=0,0,MAX(0,MIN(AD583,ROUND($AZ583-SUMPRODUCT($V583:$AE583*($V583:$AE583&gt;0)*(($V583:$AE583&lt;AD583)+($V583:$AE583=AD583)*($V$3:$AE$3&gt;AD$3)+($V583:$AE583=AD583)*($V$3:$AE$3=AD$3)*($V$2:$AE$2&lt;AD$2))),2))))</f>
      </c>
      <c r="AO583" s="33">
        <f>IF(AE583&lt;=0,0,MAX(0,MIN(AE583,ROUND($AZ583-SUMPRODUCT($V583:$AE583*($V583:$AE583&gt;0)*(($V583:$AE583&lt;AE583)+($V583:$AE583=AE583)*($V$3:$AE$3&gt;AE$3)+($V583:$AE583=AE583)*($V$3:$AE$3=AE$3)*($V$2:$AE$2&lt;AE$2))),2))))</f>
      </c>
      <c r="AP583" s="33">
        <f>ROUND(V583-AF583,2)</f>
      </c>
      <c r="AQ583" s="33">
        <f>ROUND(W583-AG583,2)</f>
      </c>
      <c r="AR583" s="33">
        <f>ROUND(X583-AH583,2)</f>
      </c>
      <c r="AS583" s="33">
        <f>ROUND(Y583-AI583,2)</f>
      </c>
      <c r="AT583" s="33">
        <f>ROUND(Z583-AJ583,2)</f>
      </c>
      <c r="AU583" s="33">
        <f>ROUND(AA583-AK583,2)</f>
      </c>
      <c r="AV583" s="33">
        <f>ROUND(AB583-AL583,2)</f>
      </c>
      <c r="AW583" s="33">
        <f>ROUND(AC583-AM583,2)</f>
      </c>
      <c r="AX583" s="33">
        <f>ROUND(AD583-AN583,2)</f>
      </c>
      <c r="AY583" s="33">
        <f>ROUND(AE583-AO583,2)</f>
      </c>
      <c r="AZ583" s="33">
        <f>ROUND(MAX(0,'Your debts'!$D$22-SUM($L583:$U583)),2)</f>
      </c>
      <c r="BA583" s="33">
        <f>ROUND(SUM($B583:$K583)-SUM($AP582:$AY582),2)</f>
      </c>
      <c r="BB583" s="33">
        <f>SUM($AP583:$AY583)</f>
      </c>
      <c r="BC583" s="33">
        <f>ROUND(SUM($L583:$U583)+SUM($AF583:$AO583),2)</f>
      </c>
    </row>
    <row r="584" spans="1:55" x14ac:dyDescent="0.25">
      <c r="A584">
        <v>577</v>
      </c>
      <c r="B584" s="33">
        <f>IF(AP583&lt;=0,0,ROUND(AP583+ROUND(AP583*V$3/12,2),2))</f>
      </c>
      <c r="C584" s="33">
        <f>IF(AQ583&lt;=0,0,ROUND(AQ583+ROUND(AQ583*W$3/12,2),2))</f>
      </c>
      <c r="D584" s="33">
        <f>IF(AR583&lt;=0,0,ROUND(AR583+ROUND(AR583*X$3/12,2),2))</f>
      </c>
      <c r="E584" s="33">
        <f>IF(AS583&lt;=0,0,ROUND(AS583+ROUND(AS583*Y$3/12,2),2))</f>
      </c>
      <c r="F584" s="33">
        <f>IF(AT583&lt;=0,0,ROUND(AT583+ROUND(AT583*Z$3/12,2),2))</f>
      </c>
      <c r="G584" s="33">
        <f>IF(AU583&lt;=0,0,ROUND(AU583+ROUND(AU583*AA$3/12,2),2))</f>
      </c>
      <c r="H584" s="33">
        <f>IF(AV583&lt;=0,0,ROUND(AV583+ROUND(AV583*AB$3/12,2),2))</f>
      </c>
      <c r="I584" s="33">
        <f>IF(AW583&lt;=0,0,ROUND(AW583+ROUND(AW583*AC$3/12,2),2))</f>
      </c>
      <c r="J584" s="33">
        <f>IF(AX583&lt;=0,0,ROUND(AX583+ROUND(AX583*AD$3/12,2),2))</f>
      </c>
      <c r="K584" s="33">
        <f>IF(AY583&lt;=0,0,ROUND(AY583+ROUND(AY583*AE$3/12,2),2))</f>
      </c>
      <c r="L584" s="33">
        <f>ROUND(MIN(MAX(0,N('Your debts'!$E$6)),B584),2)</f>
      </c>
      <c r="M584" s="33">
        <f>ROUND(MIN(MAX(0,N('Your debts'!$E$7)),C584),2)</f>
      </c>
      <c r="N584" s="33">
        <f>ROUND(MIN(MAX(0,N('Your debts'!$E$8)),D584),2)</f>
      </c>
      <c r="O584" s="33">
        <f>ROUND(MIN(MAX(0,N('Your debts'!$E$9)),E584),2)</f>
      </c>
      <c r="P584" s="33">
        <f>ROUND(MIN(MAX(0,N('Your debts'!$E$10)),F584),2)</f>
      </c>
      <c r="Q584" s="33">
        <f>ROUND(MIN(MAX(0,N('Your debts'!$E$11)),G584),2)</f>
      </c>
      <c r="R584" s="33">
        <f>ROUND(MIN(MAX(0,N('Your debts'!$E$12)),H584),2)</f>
      </c>
      <c r="S584" s="33">
        <f>ROUND(MIN(MAX(0,N('Your debts'!$E$13)),I584),2)</f>
      </c>
      <c r="T584" s="33">
        <f>ROUND(MIN(MAX(0,N('Your debts'!$E$14)),J584),2)</f>
      </c>
      <c r="U584" s="33">
        <f>ROUND(MIN(MAX(0,N('Your debts'!$E$15)),K584),2)</f>
      </c>
      <c r="V584" s="33">
        <f>ROUND(B584-L584,2)</f>
      </c>
      <c r="W584" s="33">
        <f>ROUND(C584-M584,2)</f>
      </c>
      <c r="X584" s="33">
        <f>ROUND(D584-N584,2)</f>
      </c>
      <c r="Y584" s="33">
        <f>ROUND(E584-O584,2)</f>
      </c>
      <c r="Z584" s="33">
        <f>ROUND(F584-P584,2)</f>
      </c>
      <c r="AA584" s="33">
        <f>ROUND(G584-Q584,2)</f>
      </c>
      <c r="AB584" s="33">
        <f>ROUND(H584-R584,2)</f>
      </c>
      <c r="AC584" s="33">
        <f>ROUND(I584-S584,2)</f>
      </c>
      <c r="AD584" s="33">
        <f>ROUND(J584-T584,2)</f>
      </c>
      <c r="AE584" s="33">
        <f>ROUND(K584-U584,2)</f>
      </c>
      <c r="AF584" s="33">
        <f>IF(V584&lt;=0,0,MAX(0,MIN(V584,ROUND($AZ584-SUMPRODUCT($V584:$AE584*($V584:$AE584&gt;0)*(($V584:$AE584&lt;V584)+($V584:$AE584=V584)*($V$3:$AE$3&gt;V$3)+($V584:$AE584=V584)*($V$3:$AE$3=V$3)*($V$2:$AE$2&lt;V$2))),2))))</f>
      </c>
      <c r="AG584" s="33">
        <f>IF(W584&lt;=0,0,MAX(0,MIN(W584,ROUND($AZ584-SUMPRODUCT($V584:$AE584*($V584:$AE584&gt;0)*(($V584:$AE584&lt;W584)+($V584:$AE584=W584)*($V$3:$AE$3&gt;W$3)+($V584:$AE584=W584)*($V$3:$AE$3=W$3)*($V$2:$AE$2&lt;W$2))),2))))</f>
      </c>
      <c r="AH584" s="33">
        <f>IF(X584&lt;=0,0,MAX(0,MIN(X584,ROUND($AZ584-SUMPRODUCT($V584:$AE584*($V584:$AE584&gt;0)*(($V584:$AE584&lt;X584)+($V584:$AE584=X584)*($V$3:$AE$3&gt;X$3)+($V584:$AE584=X584)*($V$3:$AE$3=X$3)*($V$2:$AE$2&lt;X$2))),2))))</f>
      </c>
      <c r="AI584" s="33">
        <f>IF(Y584&lt;=0,0,MAX(0,MIN(Y584,ROUND($AZ584-SUMPRODUCT($V584:$AE584*($V584:$AE584&gt;0)*(($V584:$AE584&lt;Y584)+($V584:$AE584=Y584)*($V$3:$AE$3&gt;Y$3)+($V584:$AE584=Y584)*($V$3:$AE$3=Y$3)*($V$2:$AE$2&lt;Y$2))),2))))</f>
      </c>
      <c r="AJ584" s="33">
        <f>IF(Z584&lt;=0,0,MAX(0,MIN(Z584,ROUND($AZ584-SUMPRODUCT($V584:$AE584*($V584:$AE584&gt;0)*(($V584:$AE584&lt;Z584)+($V584:$AE584=Z584)*($V$3:$AE$3&gt;Z$3)+($V584:$AE584=Z584)*($V$3:$AE$3=Z$3)*($V$2:$AE$2&lt;Z$2))),2))))</f>
      </c>
      <c r="AK584" s="33">
        <f>IF(AA584&lt;=0,0,MAX(0,MIN(AA584,ROUND($AZ584-SUMPRODUCT($V584:$AE584*($V584:$AE584&gt;0)*(($V584:$AE584&lt;AA584)+($V584:$AE584=AA584)*($V$3:$AE$3&gt;AA$3)+($V584:$AE584=AA584)*($V$3:$AE$3=AA$3)*($V$2:$AE$2&lt;AA$2))),2))))</f>
      </c>
      <c r="AL584" s="33">
        <f>IF(AB584&lt;=0,0,MAX(0,MIN(AB584,ROUND($AZ584-SUMPRODUCT($V584:$AE584*($V584:$AE584&gt;0)*(($V584:$AE584&lt;AB584)+($V584:$AE584=AB584)*($V$3:$AE$3&gt;AB$3)+($V584:$AE584=AB584)*($V$3:$AE$3=AB$3)*($V$2:$AE$2&lt;AB$2))),2))))</f>
      </c>
      <c r="AM584" s="33">
        <f>IF(AC584&lt;=0,0,MAX(0,MIN(AC584,ROUND($AZ584-SUMPRODUCT($V584:$AE584*($V584:$AE584&gt;0)*(($V584:$AE584&lt;AC584)+($V584:$AE584=AC584)*($V$3:$AE$3&gt;AC$3)+($V584:$AE584=AC584)*($V$3:$AE$3=AC$3)*($V$2:$AE$2&lt;AC$2))),2))))</f>
      </c>
      <c r="AN584" s="33">
        <f>IF(AD584&lt;=0,0,MAX(0,MIN(AD584,ROUND($AZ584-SUMPRODUCT($V584:$AE584*($V584:$AE584&gt;0)*(($V584:$AE584&lt;AD584)+($V584:$AE584=AD584)*($V$3:$AE$3&gt;AD$3)+($V584:$AE584=AD584)*($V$3:$AE$3=AD$3)*($V$2:$AE$2&lt;AD$2))),2))))</f>
      </c>
      <c r="AO584" s="33">
        <f>IF(AE584&lt;=0,0,MAX(0,MIN(AE584,ROUND($AZ584-SUMPRODUCT($V584:$AE584*($V584:$AE584&gt;0)*(($V584:$AE584&lt;AE584)+($V584:$AE584=AE584)*($V$3:$AE$3&gt;AE$3)+($V584:$AE584=AE584)*($V$3:$AE$3=AE$3)*($V$2:$AE$2&lt;AE$2))),2))))</f>
      </c>
      <c r="AP584" s="33">
        <f>ROUND(V584-AF584,2)</f>
      </c>
      <c r="AQ584" s="33">
        <f>ROUND(W584-AG584,2)</f>
      </c>
      <c r="AR584" s="33">
        <f>ROUND(X584-AH584,2)</f>
      </c>
      <c r="AS584" s="33">
        <f>ROUND(Y584-AI584,2)</f>
      </c>
      <c r="AT584" s="33">
        <f>ROUND(Z584-AJ584,2)</f>
      </c>
      <c r="AU584" s="33">
        <f>ROUND(AA584-AK584,2)</f>
      </c>
      <c r="AV584" s="33">
        <f>ROUND(AB584-AL584,2)</f>
      </c>
      <c r="AW584" s="33">
        <f>ROUND(AC584-AM584,2)</f>
      </c>
      <c r="AX584" s="33">
        <f>ROUND(AD584-AN584,2)</f>
      </c>
      <c r="AY584" s="33">
        <f>ROUND(AE584-AO584,2)</f>
      </c>
      <c r="AZ584" s="33">
        <f>ROUND(MAX(0,'Your debts'!$D$22-SUM($L584:$U584)),2)</f>
      </c>
      <c r="BA584" s="33">
        <f>ROUND(SUM($B584:$K584)-SUM($AP583:$AY583),2)</f>
      </c>
      <c r="BB584" s="33">
        <f>SUM($AP584:$AY584)</f>
      </c>
      <c r="BC584" s="33">
        <f>ROUND(SUM($L584:$U584)+SUM($AF584:$AO584),2)</f>
      </c>
    </row>
    <row r="585" spans="1:55" x14ac:dyDescent="0.25">
      <c r="A585">
        <v>578</v>
      </c>
      <c r="B585" s="33">
        <f>IF(AP584&lt;=0,0,ROUND(AP584+ROUND(AP584*V$3/12,2),2))</f>
      </c>
      <c r="C585" s="33">
        <f>IF(AQ584&lt;=0,0,ROUND(AQ584+ROUND(AQ584*W$3/12,2),2))</f>
      </c>
      <c r="D585" s="33">
        <f>IF(AR584&lt;=0,0,ROUND(AR584+ROUND(AR584*X$3/12,2),2))</f>
      </c>
      <c r="E585" s="33">
        <f>IF(AS584&lt;=0,0,ROUND(AS584+ROUND(AS584*Y$3/12,2),2))</f>
      </c>
      <c r="F585" s="33">
        <f>IF(AT584&lt;=0,0,ROUND(AT584+ROUND(AT584*Z$3/12,2),2))</f>
      </c>
      <c r="G585" s="33">
        <f>IF(AU584&lt;=0,0,ROUND(AU584+ROUND(AU584*AA$3/12,2),2))</f>
      </c>
      <c r="H585" s="33">
        <f>IF(AV584&lt;=0,0,ROUND(AV584+ROUND(AV584*AB$3/12,2),2))</f>
      </c>
      <c r="I585" s="33">
        <f>IF(AW584&lt;=0,0,ROUND(AW584+ROUND(AW584*AC$3/12,2),2))</f>
      </c>
      <c r="J585" s="33">
        <f>IF(AX584&lt;=0,0,ROUND(AX584+ROUND(AX584*AD$3/12,2),2))</f>
      </c>
      <c r="K585" s="33">
        <f>IF(AY584&lt;=0,0,ROUND(AY584+ROUND(AY584*AE$3/12,2),2))</f>
      </c>
      <c r="L585" s="33">
        <f>ROUND(MIN(MAX(0,N('Your debts'!$E$6)),B585),2)</f>
      </c>
      <c r="M585" s="33">
        <f>ROUND(MIN(MAX(0,N('Your debts'!$E$7)),C585),2)</f>
      </c>
      <c r="N585" s="33">
        <f>ROUND(MIN(MAX(0,N('Your debts'!$E$8)),D585),2)</f>
      </c>
      <c r="O585" s="33">
        <f>ROUND(MIN(MAX(0,N('Your debts'!$E$9)),E585),2)</f>
      </c>
      <c r="P585" s="33">
        <f>ROUND(MIN(MAX(0,N('Your debts'!$E$10)),F585),2)</f>
      </c>
      <c r="Q585" s="33">
        <f>ROUND(MIN(MAX(0,N('Your debts'!$E$11)),G585),2)</f>
      </c>
      <c r="R585" s="33">
        <f>ROUND(MIN(MAX(0,N('Your debts'!$E$12)),H585),2)</f>
      </c>
      <c r="S585" s="33">
        <f>ROUND(MIN(MAX(0,N('Your debts'!$E$13)),I585),2)</f>
      </c>
      <c r="T585" s="33">
        <f>ROUND(MIN(MAX(0,N('Your debts'!$E$14)),J585),2)</f>
      </c>
      <c r="U585" s="33">
        <f>ROUND(MIN(MAX(0,N('Your debts'!$E$15)),K585),2)</f>
      </c>
      <c r="V585" s="33">
        <f>ROUND(B585-L585,2)</f>
      </c>
      <c r="W585" s="33">
        <f>ROUND(C585-M585,2)</f>
      </c>
      <c r="X585" s="33">
        <f>ROUND(D585-N585,2)</f>
      </c>
      <c r="Y585" s="33">
        <f>ROUND(E585-O585,2)</f>
      </c>
      <c r="Z585" s="33">
        <f>ROUND(F585-P585,2)</f>
      </c>
      <c r="AA585" s="33">
        <f>ROUND(G585-Q585,2)</f>
      </c>
      <c r="AB585" s="33">
        <f>ROUND(H585-R585,2)</f>
      </c>
      <c r="AC585" s="33">
        <f>ROUND(I585-S585,2)</f>
      </c>
      <c r="AD585" s="33">
        <f>ROUND(J585-T585,2)</f>
      </c>
      <c r="AE585" s="33">
        <f>ROUND(K585-U585,2)</f>
      </c>
      <c r="AF585" s="33">
        <f>IF(V585&lt;=0,0,MAX(0,MIN(V585,ROUND($AZ585-SUMPRODUCT($V585:$AE585*($V585:$AE585&gt;0)*(($V585:$AE585&lt;V585)+($V585:$AE585=V585)*($V$3:$AE$3&gt;V$3)+($V585:$AE585=V585)*($V$3:$AE$3=V$3)*($V$2:$AE$2&lt;V$2))),2))))</f>
      </c>
      <c r="AG585" s="33">
        <f>IF(W585&lt;=0,0,MAX(0,MIN(W585,ROUND($AZ585-SUMPRODUCT($V585:$AE585*($V585:$AE585&gt;0)*(($V585:$AE585&lt;W585)+($V585:$AE585=W585)*($V$3:$AE$3&gt;W$3)+($V585:$AE585=W585)*($V$3:$AE$3=W$3)*($V$2:$AE$2&lt;W$2))),2))))</f>
      </c>
      <c r="AH585" s="33">
        <f>IF(X585&lt;=0,0,MAX(0,MIN(X585,ROUND($AZ585-SUMPRODUCT($V585:$AE585*($V585:$AE585&gt;0)*(($V585:$AE585&lt;X585)+($V585:$AE585=X585)*($V$3:$AE$3&gt;X$3)+($V585:$AE585=X585)*($V$3:$AE$3=X$3)*($V$2:$AE$2&lt;X$2))),2))))</f>
      </c>
      <c r="AI585" s="33">
        <f>IF(Y585&lt;=0,0,MAX(0,MIN(Y585,ROUND($AZ585-SUMPRODUCT($V585:$AE585*($V585:$AE585&gt;0)*(($V585:$AE585&lt;Y585)+($V585:$AE585=Y585)*($V$3:$AE$3&gt;Y$3)+($V585:$AE585=Y585)*($V$3:$AE$3=Y$3)*($V$2:$AE$2&lt;Y$2))),2))))</f>
      </c>
      <c r="AJ585" s="33">
        <f>IF(Z585&lt;=0,0,MAX(0,MIN(Z585,ROUND($AZ585-SUMPRODUCT($V585:$AE585*($V585:$AE585&gt;0)*(($V585:$AE585&lt;Z585)+($V585:$AE585=Z585)*($V$3:$AE$3&gt;Z$3)+($V585:$AE585=Z585)*($V$3:$AE$3=Z$3)*($V$2:$AE$2&lt;Z$2))),2))))</f>
      </c>
      <c r="AK585" s="33">
        <f>IF(AA585&lt;=0,0,MAX(0,MIN(AA585,ROUND($AZ585-SUMPRODUCT($V585:$AE585*($V585:$AE585&gt;0)*(($V585:$AE585&lt;AA585)+($V585:$AE585=AA585)*($V$3:$AE$3&gt;AA$3)+($V585:$AE585=AA585)*($V$3:$AE$3=AA$3)*($V$2:$AE$2&lt;AA$2))),2))))</f>
      </c>
      <c r="AL585" s="33">
        <f>IF(AB585&lt;=0,0,MAX(0,MIN(AB585,ROUND($AZ585-SUMPRODUCT($V585:$AE585*($V585:$AE585&gt;0)*(($V585:$AE585&lt;AB585)+($V585:$AE585=AB585)*($V$3:$AE$3&gt;AB$3)+($V585:$AE585=AB585)*($V$3:$AE$3=AB$3)*($V$2:$AE$2&lt;AB$2))),2))))</f>
      </c>
      <c r="AM585" s="33">
        <f>IF(AC585&lt;=0,0,MAX(0,MIN(AC585,ROUND($AZ585-SUMPRODUCT($V585:$AE585*($V585:$AE585&gt;0)*(($V585:$AE585&lt;AC585)+($V585:$AE585=AC585)*($V$3:$AE$3&gt;AC$3)+($V585:$AE585=AC585)*($V$3:$AE$3=AC$3)*($V$2:$AE$2&lt;AC$2))),2))))</f>
      </c>
      <c r="AN585" s="33">
        <f>IF(AD585&lt;=0,0,MAX(0,MIN(AD585,ROUND($AZ585-SUMPRODUCT($V585:$AE585*($V585:$AE585&gt;0)*(($V585:$AE585&lt;AD585)+($V585:$AE585=AD585)*($V$3:$AE$3&gt;AD$3)+($V585:$AE585=AD585)*($V$3:$AE$3=AD$3)*($V$2:$AE$2&lt;AD$2))),2))))</f>
      </c>
      <c r="AO585" s="33">
        <f>IF(AE585&lt;=0,0,MAX(0,MIN(AE585,ROUND($AZ585-SUMPRODUCT($V585:$AE585*($V585:$AE585&gt;0)*(($V585:$AE585&lt;AE585)+($V585:$AE585=AE585)*($V$3:$AE$3&gt;AE$3)+($V585:$AE585=AE585)*($V$3:$AE$3=AE$3)*($V$2:$AE$2&lt;AE$2))),2))))</f>
      </c>
      <c r="AP585" s="33">
        <f>ROUND(V585-AF585,2)</f>
      </c>
      <c r="AQ585" s="33">
        <f>ROUND(W585-AG585,2)</f>
      </c>
      <c r="AR585" s="33">
        <f>ROUND(X585-AH585,2)</f>
      </c>
      <c r="AS585" s="33">
        <f>ROUND(Y585-AI585,2)</f>
      </c>
      <c r="AT585" s="33">
        <f>ROUND(Z585-AJ585,2)</f>
      </c>
      <c r="AU585" s="33">
        <f>ROUND(AA585-AK585,2)</f>
      </c>
      <c r="AV585" s="33">
        <f>ROUND(AB585-AL585,2)</f>
      </c>
      <c r="AW585" s="33">
        <f>ROUND(AC585-AM585,2)</f>
      </c>
      <c r="AX585" s="33">
        <f>ROUND(AD585-AN585,2)</f>
      </c>
      <c r="AY585" s="33">
        <f>ROUND(AE585-AO585,2)</f>
      </c>
      <c r="AZ585" s="33">
        <f>ROUND(MAX(0,'Your debts'!$D$22-SUM($L585:$U585)),2)</f>
      </c>
      <c r="BA585" s="33">
        <f>ROUND(SUM($B585:$K585)-SUM($AP584:$AY584),2)</f>
      </c>
      <c r="BB585" s="33">
        <f>SUM($AP585:$AY585)</f>
      </c>
      <c r="BC585" s="33">
        <f>ROUND(SUM($L585:$U585)+SUM($AF585:$AO585),2)</f>
      </c>
    </row>
    <row r="586" spans="1:55" x14ac:dyDescent="0.25">
      <c r="A586">
        <v>579</v>
      </c>
      <c r="B586" s="33">
        <f>IF(AP585&lt;=0,0,ROUND(AP585+ROUND(AP585*V$3/12,2),2))</f>
      </c>
      <c r="C586" s="33">
        <f>IF(AQ585&lt;=0,0,ROUND(AQ585+ROUND(AQ585*W$3/12,2),2))</f>
      </c>
      <c r="D586" s="33">
        <f>IF(AR585&lt;=0,0,ROUND(AR585+ROUND(AR585*X$3/12,2),2))</f>
      </c>
      <c r="E586" s="33">
        <f>IF(AS585&lt;=0,0,ROUND(AS585+ROUND(AS585*Y$3/12,2),2))</f>
      </c>
      <c r="F586" s="33">
        <f>IF(AT585&lt;=0,0,ROUND(AT585+ROUND(AT585*Z$3/12,2),2))</f>
      </c>
      <c r="G586" s="33">
        <f>IF(AU585&lt;=0,0,ROUND(AU585+ROUND(AU585*AA$3/12,2),2))</f>
      </c>
      <c r="H586" s="33">
        <f>IF(AV585&lt;=0,0,ROUND(AV585+ROUND(AV585*AB$3/12,2),2))</f>
      </c>
      <c r="I586" s="33">
        <f>IF(AW585&lt;=0,0,ROUND(AW585+ROUND(AW585*AC$3/12,2),2))</f>
      </c>
      <c r="J586" s="33">
        <f>IF(AX585&lt;=0,0,ROUND(AX585+ROUND(AX585*AD$3/12,2),2))</f>
      </c>
      <c r="K586" s="33">
        <f>IF(AY585&lt;=0,0,ROUND(AY585+ROUND(AY585*AE$3/12,2),2))</f>
      </c>
      <c r="L586" s="33">
        <f>ROUND(MIN(MAX(0,N('Your debts'!$E$6)),B586),2)</f>
      </c>
      <c r="M586" s="33">
        <f>ROUND(MIN(MAX(0,N('Your debts'!$E$7)),C586),2)</f>
      </c>
      <c r="N586" s="33">
        <f>ROUND(MIN(MAX(0,N('Your debts'!$E$8)),D586),2)</f>
      </c>
      <c r="O586" s="33">
        <f>ROUND(MIN(MAX(0,N('Your debts'!$E$9)),E586),2)</f>
      </c>
      <c r="P586" s="33">
        <f>ROUND(MIN(MAX(0,N('Your debts'!$E$10)),F586),2)</f>
      </c>
      <c r="Q586" s="33">
        <f>ROUND(MIN(MAX(0,N('Your debts'!$E$11)),G586),2)</f>
      </c>
      <c r="R586" s="33">
        <f>ROUND(MIN(MAX(0,N('Your debts'!$E$12)),H586),2)</f>
      </c>
      <c r="S586" s="33">
        <f>ROUND(MIN(MAX(0,N('Your debts'!$E$13)),I586),2)</f>
      </c>
      <c r="T586" s="33">
        <f>ROUND(MIN(MAX(0,N('Your debts'!$E$14)),J586),2)</f>
      </c>
      <c r="U586" s="33">
        <f>ROUND(MIN(MAX(0,N('Your debts'!$E$15)),K586),2)</f>
      </c>
      <c r="V586" s="33">
        <f>ROUND(B586-L586,2)</f>
      </c>
      <c r="W586" s="33">
        <f>ROUND(C586-M586,2)</f>
      </c>
      <c r="X586" s="33">
        <f>ROUND(D586-N586,2)</f>
      </c>
      <c r="Y586" s="33">
        <f>ROUND(E586-O586,2)</f>
      </c>
      <c r="Z586" s="33">
        <f>ROUND(F586-P586,2)</f>
      </c>
      <c r="AA586" s="33">
        <f>ROUND(G586-Q586,2)</f>
      </c>
      <c r="AB586" s="33">
        <f>ROUND(H586-R586,2)</f>
      </c>
      <c r="AC586" s="33">
        <f>ROUND(I586-S586,2)</f>
      </c>
      <c r="AD586" s="33">
        <f>ROUND(J586-T586,2)</f>
      </c>
      <c r="AE586" s="33">
        <f>ROUND(K586-U586,2)</f>
      </c>
      <c r="AF586" s="33">
        <f>IF(V586&lt;=0,0,MAX(0,MIN(V586,ROUND($AZ586-SUMPRODUCT($V586:$AE586*($V586:$AE586&gt;0)*(($V586:$AE586&lt;V586)+($V586:$AE586=V586)*($V$3:$AE$3&gt;V$3)+($V586:$AE586=V586)*($V$3:$AE$3=V$3)*($V$2:$AE$2&lt;V$2))),2))))</f>
      </c>
      <c r="AG586" s="33">
        <f>IF(W586&lt;=0,0,MAX(0,MIN(W586,ROUND($AZ586-SUMPRODUCT($V586:$AE586*($V586:$AE586&gt;0)*(($V586:$AE586&lt;W586)+($V586:$AE586=W586)*($V$3:$AE$3&gt;W$3)+($V586:$AE586=W586)*($V$3:$AE$3=W$3)*($V$2:$AE$2&lt;W$2))),2))))</f>
      </c>
      <c r="AH586" s="33">
        <f>IF(X586&lt;=0,0,MAX(0,MIN(X586,ROUND($AZ586-SUMPRODUCT($V586:$AE586*($V586:$AE586&gt;0)*(($V586:$AE586&lt;X586)+($V586:$AE586=X586)*($V$3:$AE$3&gt;X$3)+($V586:$AE586=X586)*($V$3:$AE$3=X$3)*($V$2:$AE$2&lt;X$2))),2))))</f>
      </c>
      <c r="AI586" s="33">
        <f>IF(Y586&lt;=0,0,MAX(0,MIN(Y586,ROUND($AZ586-SUMPRODUCT($V586:$AE586*($V586:$AE586&gt;0)*(($V586:$AE586&lt;Y586)+($V586:$AE586=Y586)*($V$3:$AE$3&gt;Y$3)+($V586:$AE586=Y586)*($V$3:$AE$3=Y$3)*($V$2:$AE$2&lt;Y$2))),2))))</f>
      </c>
      <c r="AJ586" s="33">
        <f>IF(Z586&lt;=0,0,MAX(0,MIN(Z586,ROUND($AZ586-SUMPRODUCT($V586:$AE586*($V586:$AE586&gt;0)*(($V586:$AE586&lt;Z586)+($V586:$AE586=Z586)*($V$3:$AE$3&gt;Z$3)+($V586:$AE586=Z586)*($V$3:$AE$3=Z$3)*($V$2:$AE$2&lt;Z$2))),2))))</f>
      </c>
      <c r="AK586" s="33">
        <f>IF(AA586&lt;=0,0,MAX(0,MIN(AA586,ROUND($AZ586-SUMPRODUCT($V586:$AE586*($V586:$AE586&gt;0)*(($V586:$AE586&lt;AA586)+($V586:$AE586=AA586)*($V$3:$AE$3&gt;AA$3)+($V586:$AE586=AA586)*($V$3:$AE$3=AA$3)*($V$2:$AE$2&lt;AA$2))),2))))</f>
      </c>
      <c r="AL586" s="33">
        <f>IF(AB586&lt;=0,0,MAX(0,MIN(AB586,ROUND($AZ586-SUMPRODUCT($V586:$AE586*($V586:$AE586&gt;0)*(($V586:$AE586&lt;AB586)+($V586:$AE586=AB586)*($V$3:$AE$3&gt;AB$3)+($V586:$AE586=AB586)*($V$3:$AE$3=AB$3)*($V$2:$AE$2&lt;AB$2))),2))))</f>
      </c>
      <c r="AM586" s="33">
        <f>IF(AC586&lt;=0,0,MAX(0,MIN(AC586,ROUND($AZ586-SUMPRODUCT($V586:$AE586*($V586:$AE586&gt;0)*(($V586:$AE586&lt;AC586)+($V586:$AE586=AC586)*($V$3:$AE$3&gt;AC$3)+($V586:$AE586=AC586)*($V$3:$AE$3=AC$3)*($V$2:$AE$2&lt;AC$2))),2))))</f>
      </c>
      <c r="AN586" s="33">
        <f>IF(AD586&lt;=0,0,MAX(0,MIN(AD586,ROUND($AZ586-SUMPRODUCT($V586:$AE586*($V586:$AE586&gt;0)*(($V586:$AE586&lt;AD586)+($V586:$AE586=AD586)*($V$3:$AE$3&gt;AD$3)+($V586:$AE586=AD586)*($V$3:$AE$3=AD$3)*($V$2:$AE$2&lt;AD$2))),2))))</f>
      </c>
      <c r="AO586" s="33">
        <f>IF(AE586&lt;=0,0,MAX(0,MIN(AE586,ROUND($AZ586-SUMPRODUCT($V586:$AE586*($V586:$AE586&gt;0)*(($V586:$AE586&lt;AE586)+($V586:$AE586=AE586)*($V$3:$AE$3&gt;AE$3)+($V586:$AE586=AE586)*($V$3:$AE$3=AE$3)*($V$2:$AE$2&lt;AE$2))),2))))</f>
      </c>
      <c r="AP586" s="33">
        <f>ROUND(V586-AF586,2)</f>
      </c>
      <c r="AQ586" s="33">
        <f>ROUND(W586-AG586,2)</f>
      </c>
      <c r="AR586" s="33">
        <f>ROUND(X586-AH586,2)</f>
      </c>
      <c r="AS586" s="33">
        <f>ROUND(Y586-AI586,2)</f>
      </c>
      <c r="AT586" s="33">
        <f>ROUND(Z586-AJ586,2)</f>
      </c>
      <c r="AU586" s="33">
        <f>ROUND(AA586-AK586,2)</f>
      </c>
      <c r="AV586" s="33">
        <f>ROUND(AB586-AL586,2)</f>
      </c>
      <c r="AW586" s="33">
        <f>ROUND(AC586-AM586,2)</f>
      </c>
      <c r="AX586" s="33">
        <f>ROUND(AD586-AN586,2)</f>
      </c>
      <c r="AY586" s="33">
        <f>ROUND(AE586-AO586,2)</f>
      </c>
      <c r="AZ586" s="33">
        <f>ROUND(MAX(0,'Your debts'!$D$22-SUM($L586:$U586)),2)</f>
      </c>
      <c r="BA586" s="33">
        <f>ROUND(SUM($B586:$K586)-SUM($AP585:$AY585),2)</f>
      </c>
      <c r="BB586" s="33">
        <f>SUM($AP586:$AY586)</f>
      </c>
      <c r="BC586" s="33">
        <f>ROUND(SUM($L586:$U586)+SUM($AF586:$AO586),2)</f>
      </c>
    </row>
    <row r="587" spans="1:55" x14ac:dyDescent="0.25">
      <c r="A587">
        <v>580</v>
      </c>
      <c r="B587" s="33">
        <f>IF(AP586&lt;=0,0,ROUND(AP586+ROUND(AP586*V$3/12,2),2))</f>
      </c>
      <c r="C587" s="33">
        <f>IF(AQ586&lt;=0,0,ROUND(AQ586+ROUND(AQ586*W$3/12,2),2))</f>
      </c>
      <c r="D587" s="33">
        <f>IF(AR586&lt;=0,0,ROUND(AR586+ROUND(AR586*X$3/12,2),2))</f>
      </c>
      <c r="E587" s="33">
        <f>IF(AS586&lt;=0,0,ROUND(AS586+ROUND(AS586*Y$3/12,2),2))</f>
      </c>
      <c r="F587" s="33">
        <f>IF(AT586&lt;=0,0,ROUND(AT586+ROUND(AT586*Z$3/12,2),2))</f>
      </c>
      <c r="G587" s="33">
        <f>IF(AU586&lt;=0,0,ROUND(AU586+ROUND(AU586*AA$3/12,2),2))</f>
      </c>
      <c r="H587" s="33">
        <f>IF(AV586&lt;=0,0,ROUND(AV586+ROUND(AV586*AB$3/12,2),2))</f>
      </c>
      <c r="I587" s="33">
        <f>IF(AW586&lt;=0,0,ROUND(AW586+ROUND(AW586*AC$3/12,2),2))</f>
      </c>
      <c r="J587" s="33">
        <f>IF(AX586&lt;=0,0,ROUND(AX586+ROUND(AX586*AD$3/12,2),2))</f>
      </c>
      <c r="K587" s="33">
        <f>IF(AY586&lt;=0,0,ROUND(AY586+ROUND(AY586*AE$3/12,2),2))</f>
      </c>
      <c r="L587" s="33">
        <f>ROUND(MIN(MAX(0,N('Your debts'!$E$6)),B587),2)</f>
      </c>
      <c r="M587" s="33">
        <f>ROUND(MIN(MAX(0,N('Your debts'!$E$7)),C587),2)</f>
      </c>
      <c r="N587" s="33">
        <f>ROUND(MIN(MAX(0,N('Your debts'!$E$8)),D587),2)</f>
      </c>
      <c r="O587" s="33">
        <f>ROUND(MIN(MAX(0,N('Your debts'!$E$9)),E587),2)</f>
      </c>
      <c r="P587" s="33">
        <f>ROUND(MIN(MAX(0,N('Your debts'!$E$10)),F587),2)</f>
      </c>
      <c r="Q587" s="33">
        <f>ROUND(MIN(MAX(0,N('Your debts'!$E$11)),G587),2)</f>
      </c>
      <c r="R587" s="33">
        <f>ROUND(MIN(MAX(0,N('Your debts'!$E$12)),H587),2)</f>
      </c>
      <c r="S587" s="33">
        <f>ROUND(MIN(MAX(0,N('Your debts'!$E$13)),I587),2)</f>
      </c>
      <c r="T587" s="33">
        <f>ROUND(MIN(MAX(0,N('Your debts'!$E$14)),J587),2)</f>
      </c>
      <c r="U587" s="33">
        <f>ROUND(MIN(MAX(0,N('Your debts'!$E$15)),K587),2)</f>
      </c>
      <c r="V587" s="33">
        <f>ROUND(B587-L587,2)</f>
      </c>
      <c r="W587" s="33">
        <f>ROUND(C587-M587,2)</f>
      </c>
      <c r="X587" s="33">
        <f>ROUND(D587-N587,2)</f>
      </c>
      <c r="Y587" s="33">
        <f>ROUND(E587-O587,2)</f>
      </c>
      <c r="Z587" s="33">
        <f>ROUND(F587-P587,2)</f>
      </c>
      <c r="AA587" s="33">
        <f>ROUND(G587-Q587,2)</f>
      </c>
      <c r="AB587" s="33">
        <f>ROUND(H587-R587,2)</f>
      </c>
      <c r="AC587" s="33">
        <f>ROUND(I587-S587,2)</f>
      </c>
      <c r="AD587" s="33">
        <f>ROUND(J587-T587,2)</f>
      </c>
      <c r="AE587" s="33">
        <f>ROUND(K587-U587,2)</f>
      </c>
      <c r="AF587" s="33">
        <f>IF(V587&lt;=0,0,MAX(0,MIN(V587,ROUND($AZ587-SUMPRODUCT($V587:$AE587*($V587:$AE587&gt;0)*(($V587:$AE587&lt;V587)+($V587:$AE587=V587)*($V$3:$AE$3&gt;V$3)+($V587:$AE587=V587)*($V$3:$AE$3=V$3)*($V$2:$AE$2&lt;V$2))),2))))</f>
      </c>
      <c r="AG587" s="33">
        <f>IF(W587&lt;=0,0,MAX(0,MIN(W587,ROUND($AZ587-SUMPRODUCT($V587:$AE587*($V587:$AE587&gt;0)*(($V587:$AE587&lt;W587)+($V587:$AE587=W587)*($V$3:$AE$3&gt;W$3)+($V587:$AE587=W587)*($V$3:$AE$3=W$3)*($V$2:$AE$2&lt;W$2))),2))))</f>
      </c>
      <c r="AH587" s="33">
        <f>IF(X587&lt;=0,0,MAX(0,MIN(X587,ROUND($AZ587-SUMPRODUCT($V587:$AE587*($V587:$AE587&gt;0)*(($V587:$AE587&lt;X587)+($V587:$AE587=X587)*($V$3:$AE$3&gt;X$3)+($V587:$AE587=X587)*($V$3:$AE$3=X$3)*($V$2:$AE$2&lt;X$2))),2))))</f>
      </c>
      <c r="AI587" s="33">
        <f>IF(Y587&lt;=0,0,MAX(0,MIN(Y587,ROUND($AZ587-SUMPRODUCT($V587:$AE587*($V587:$AE587&gt;0)*(($V587:$AE587&lt;Y587)+($V587:$AE587=Y587)*($V$3:$AE$3&gt;Y$3)+($V587:$AE587=Y587)*($V$3:$AE$3=Y$3)*($V$2:$AE$2&lt;Y$2))),2))))</f>
      </c>
      <c r="AJ587" s="33">
        <f>IF(Z587&lt;=0,0,MAX(0,MIN(Z587,ROUND($AZ587-SUMPRODUCT($V587:$AE587*($V587:$AE587&gt;0)*(($V587:$AE587&lt;Z587)+($V587:$AE587=Z587)*($V$3:$AE$3&gt;Z$3)+($V587:$AE587=Z587)*($V$3:$AE$3=Z$3)*($V$2:$AE$2&lt;Z$2))),2))))</f>
      </c>
      <c r="AK587" s="33">
        <f>IF(AA587&lt;=0,0,MAX(0,MIN(AA587,ROUND($AZ587-SUMPRODUCT($V587:$AE587*($V587:$AE587&gt;0)*(($V587:$AE587&lt;AA587)+($V587:$AE587=AA587)*($V$3:$AE$3&gt;AA$3)+($V587:$AE587=AA587)*($V$3:$AE$3=AA$3)*($V$2:$AE$2&lt;AA$2))),2))))</f>
      </c>
      <c r="AL587" s="33">
        <f>IF(AB587&lt;=0,0,MAX(0,MIN(AB587,ROUND($AZ587-SUMPRODUCT($V587:$AE587*($V587:$AE587&gt;0)*(($V587:$AE587&lt;AB587)+($V587:$AE587=AB587)*($V$3:$AE$3&gt;AB$3)+($V587:$AE587=AB587)*($V$3:$AE$3=AB$3)*($V$2:$AE$2&lt;AB$2))),2))))</f>
      </c>
      <c r="AM587" s="33">
        <f>IF(AC587&lt;=0,0,MAX(0,MIN(AC587,ROUND($AZ587-SUMPRODUCT($V587:$AE587*($V587:$AE587&gt;0)*(($V587:$AE587&lt;AC587)+($V587:$AE587=AC587)*($V$3:$AE$3&gt;AC$3)+($V587:$AE587=AC587)*($V$3:$AE$3=AC$3)*($V$2:$AE$2&lt;AC$2))),2))))</f>
      </c>
      <c r="AN587" s="33">
        <f>IF(AD587&lt;=0,0,MAX(0,MIN(AD587,ROUND($AZ587-SUMPRODUCT($V587:$AE587*($V587:$AE587&gt;0)*(($V587:$AE587&lt;AD587)+($V587:$AE587=AD587)*($V$3:$AE$3&gt;AD$3)+($V587:$AE587=AD587)*($V$3:$AE$3=AD$3)*($V$2:$AE$2&lt;AD$2))),2))))</f>
      </c>
      <c r="AO587" s="33">
        <f>IF(AE587&lt;=0,0,MAX(0,MIN(AE587,ROUND($AZ587-SUMPRODUCT($V587:$AE587*($V587:$AE587&gt;0)*(($V587:$AE587&lt;AE587)+($V587:$AE587=AE587)*($V$3:$AE$3&gt;AE$3)+($V587:$AE587=AE587)*($V$3:$AE$3=AE$3)*($V$2:$AE$2&lt;AE$2))),2))))</f>
      </c>
      <c r="AP587" s="33">
        <f>ROUND(V587-AF587,2)</f>
      </c>
      <c r="AQ587" s="33">
        <f>ROUND(W587-AG587,2)</f>
      </c>
      <c r="AR587" s="33">
        <f>ROUND(X587-AH587,2)</f>
      </c>
      <c r="AS587" s="33">
        <f>ROUND(Y587-AI587,2)</f>
      </c>
      <c r="AT587" s="33">
        <f>ROUND(Z587-AJ587,2)</f>
      </c>
      <c r="AU587" s="33">
        <f>ROUND(AA587-AK587,2)</f>
      </c>
      <c r="AV587" s="33">
        <f>ROUND(AB587-AL587,2)</f>
      </c>
      <c r="AW587" s="33">
        <f>ROUND(AC587-AM587,2)</f>
      </c>
      <c r="AX587" s="33">
        <f>ROUND(AD587-AN587,2)</f>
      </c>
      <c r="AY587" s="33">
        <f>ROUND(AE587-AO587,2)</f>
      </c>
      <c r="AZ587" s="33">
        <f>ROUND(MAX(0,'Your debts'!$D$22-SUM($L587:$U587)),2)</f>
      </c>
      <c r="BA587" s="33">
        <f>ROUND(SUM($B587:$K587)-SUM($AP586:$AY586),2)</f>
      </c>
      <c r="BB587" s="33">
        <f>SUM($AP587:$AY587)</f>
      </c>
      <c r="BC587" s="33">
        <f>ROUND(SUM($L587:$U587)+SUM($AF587:$AO587),2)</f>
      </c>
    </row>
    <row r="588" spans="1:55" x14ac:dyDescent="0.25">
      <c r="A588">
        <v>581</v>
      </c>
      <c r="B588" s="33">
        <f>IF(AP587&lt;=0,0,ROUND(AP587+ROUND(AP587*V$3/12,2),2))</f>
      </c>
      <c r="C588" s="33">
        <f>IF(AQ587&lt;=0,0,ROUND(AQ587+ROUND(AQ587*W$3/12,2),2))</f>
      </c>
      <c r="D588" s="33">
        <f>IF(AR587&lt;=0,0,ROUND(AR587+ROUND(AR587*X$3/12,2),2))</f>
      </c>
      <c r="E588" s="33">
        <f>IF(AS587&lt;=0,0,ROUND(AS587+ROUND(AS587*Y$3/12,2),2))</f>
      </c>
      <c r="F588" s="33">
        <f>IF(AT587&lt;=0,0,ROUND(AT587+ROUND(AT587*Z$3/12,2),2))</f>
      </c>
      <c r="G588" s="33">
        <f>IF(AU587&lt;=0,0,ROUND(AU587+ROUND(AU587*AA$3/12,2),2))</f>
      </c>
      <c r="H588" s="33">
        <f>IF(AV587&lt;=0,0,ROUND(AV587+ROUND(AV587*AB$3/12,2),2))</f>
      </c>
      <c r="I588" s="33">
        <f>IF(AW587&lt;=0,0,ROUND(AW587+ROUND(AW587*AC$3/12,2),2))</f>
      </c>
      <c r="J588" s="33">
        <f>IF(AX587&lt;=0,0,ROUND(AX587+ROUND(AX587*AD$3/12,2),2))</f>
      </c>
      <c r="K588" s="33">
        <f>IF(AY587&lt;=0,0,ROUND(AY587+ROUND(AY587*AE$3/12,2),2))</f>
      </c>
      <c r="L588" s="33">
        <f>ROUND(MIN(MAX(0,N('Your debts'!$E$6)),B588),2)</f>
      </c>
      <c r="M588" s="33">
        <f>ROUND(MIN(MAX(0,N('Your debts'!$E$7)),C588),2)</f>
      </c>
      <c r="N588" s="33">
        <f>ROUND(MIN(MAX(0,N('Your debts'!$E$8)),D588),2)</f>
      </c>
      <c r="O588" s="33">
        <f>ROUND(MIN(MAX(0,N('Your debts'!$E$9)),E588),2)</f>
      </c>
      <c r="P588" s="33">
        <f>ROUND(MIN(MAX(0,N('Your debts'!$E$10)),F588),2)</f>
      </c>
      <c r="Q588" s="33">
        <f>ROUND(MIN(MAX(0,N('Your debts'!$E$11)),G588),2)</f>
      </c>
      <c r="R588" s="33">
        <f>ROUND(MIN(MAX(0,N('Your debts'!$E$12)),H588),2)</f>
      </c>
      <c r="S588" s="33">
        <f>ROUND(MIN(MAX(0,N('Your debts'!$E$13)),I588),2)</f>
      </c>
      <c r="T588" s="33">
        <f>ROUND(MIN(MAX(0,N('Your debts'!$E$14)),J588),2)</f>
      </c>
      <c r="U588" s="33">
        <f>ROUND(MIN(MAX(0,N('Your debts'!$E$15)),K588),2)</f>
      </c>
      <c r="V588" s="33">
        <f>ROUND(B588-L588,2)</f>
      </c>
      <c r="W588" s="33">
        <f>ROUND(C588-M588,2)</f>
      </c>
      <c r="X588" s="33">
        <f>ROUND(D588-N588,2)</f>
      </c>
      <c r="Y588" s="33">
        <f>ROUND(E588-O588,2)</f>
      </c>
      <c r="Z588" s="33">
        <f>ROUND(F588-P588,2)</f>
      </c>
      <c r="AA588" s="33">
        <f>ROUND(G588-Q588,2)</f>
      </c>
      <c r="AB588" s="33">
        <f>ROUND(H588-R588,2)</f>
      </c>
      <c r="AC588" s="33">
        <f>ROUND(I588-S588,2)</f>
      </c>
      <c r="AD588" s="33">
        <f>ROUND(J588-T588,2)</f>
      </c>
      <c r="AE588" s="33">
        <f>ROUND(K588-U588,2)</f>
      </c>
      <c r="AF588" s="33">
        <f>IF(V588&lt;=0,0,MAX(0,MIN(V588,ROUND($AZ588-SUMPRODUCT($V588:$AE588*($V588:$AE588&gt;0)*(($V588:$AE588&lt;V588)+($V588:$AE588=V588)*($V$3:$AE$3&gt;V$3)+($V588:$AE588=V588)*($V$3:$AE$3=V$3)*($V$2:$AE$2&lt;V$2))),2))))</f>
      </c>
      <c r="AG588" s="33">
        <f>IF(W588&lt;=0,0,MAX(0,MIN(W588,ROUND($AZ588-SUMPRODUCT($V588:$AE588*($V588:$AE588&gt;0)*(($V588:$AE588&lt;W588)+($V588:$AE588=W588)*($V$3:$AE$3&gt;W$3)+($V588:$AE588=W588)*($V$3:$AE$3=W$3)*($V$2:$AE$2&lt;W$2))),2))))</f>
      </c>
      <c r="AH588" s="33">
        <f>IF(X588&lt;=0,0,MAX(0,MIN(X588,ROUND($AZ588-SUMPRODUCT($V588:$AE588*($V588:$AE588&gt;0)*(($V588:$AE588&lt;X588)+($V588:$AE588=X588)*($V$3:$AE$3&gt;X$3)+($V588:$AE588=X588)*($V$3:$AE$3=X$3)*($V$2:$AE$2&lt;X$2))),2))))</f>
      </c>
      <c r="AI588" s="33">
        <f>IF(Y588&lt;=0,0,MAX(0,MIN(Y588,ROUND($AZ588-SUMPRODUCT($V588:$AE588*($V588:$AE588&gt;0)*(($V588:$AE588&lt;Y588)+($V588:$AE588=Y588)*($V$3:$AE$3&gt;Y$3)+($V588:$AE588=Y588)*($V$3:$AE$3=Y$3)*($V$2:$AE$2&lt;Y$2))),2))))</f>
      </c>
      <c r="AJ588" s="33">
        <f>IF(Z588&lt;=0,0,MAX(0,MIN(Z588,ROUND($AZ588-SUMPRODUCT($V588:$AE588*($V588:$AE588&gt;0)*(($V588:$AE588&lt;Z588)+($V588:$AE588=Z588)*($V$3:$AE$3&gt;Z$3)+($V588:$AE588=Z588)*($V$3:$AE$3=Z$3)*($V$2:$AE$2&lt;Z$2))),2))))</f>
      </c>
      <c r="AK588" s="33">
        <f>IF(AA588&lt;=0,0,MAX(0,MIN(AA588,ROUND($AZ588-SUMPRODUCT($V588:$AE588*($V588:$AE588&gt;0)*(($V588:$AE588&lt;AA588)+($V588:$AE588=AA588)*($V$3:$AE$3&gt;AA$3)+($V588:$AE588=AA588)*($V$3:$AE$3=AA$3)*($V$2:$AE$2&lt;AA$2))),2))))</f>
      </c>
      <c r="AL588" s="33">
        <f>IF(AB588&lt;=0,0,MAX(0,MIN(AB588,ROUND($AZ588-SUMPRODUCT($V588:$AE588*($V588:$AE588&gt;0)*(($V588:$AE588&lt;AB588)+($V588:$AE588=AB588)*($V$3:$AE$3&gt;AB$3)+($V588:$AE588=AB588)*($V$3:$AE$3=AB$3)*($V$2:$AE$2&lt;AB$2))),2))))</f>
      </c>
      <c r="AM588" s="33">
        <f>IF(AC588&lt;=0,0,MAX(0,MIN(AC588,ROUND($AZ588-SUMPRODUCT($V588:$AE588*($V588:$AE588&gt;0)*(($V588:$AE588&lt;AC588)+($V588:$AE588=AC588)*($V$3:$AE$3&gt;AC$3)+($V588:$AE588=AC588)*($V$3:$AE$3=AC$3)*($V$2:$AE$2&lt;AC$2))),2))))</f>
      </c>
      <c r="AN588" s="33">
        <f>IF(AD588&lt;=0,0,MAX(0,MIN(AD588,ROUND($AZ588-SUMPRODUCT($V588:$AE588*($V588:$AE588&gt;0)*(($V588:$AE588&lt;AD588)+($V588:$AE588=AD588)*($V$3:$AE$3&gt;AD$3)+($V588:$AE588=AD588)*($V$3:$AE$3=AD$3)*($V$2:$AE$2&lt;AD$2))),2))))</f>
      </c>
      <c r="AO588" s="33">
        <f>IF(AE588&lt;=0,0,MAX(0,MIN(AE588,ROUND($AZ588-SUMPRODUCT($V588:$AE588*($V588:$AE588&gt;0)*(($V588:$AE588&lt;AE588)+($V588:$AE588=AE588)*($V$3:$AE$3&gt;AE$3)+($V588:$AE588=AE588)*($V$3:$AE$3=AE$3)*($V$2:$AE$2&lt;AE$2))),2))))</f>
      </c>
      <c r="AP588" s="33">
        <f>ROUND(V588-AF588,2)</f>
      </c>
      <c r="AQ588" s="33">
        <f>ROUND(W588-AG588,2)</f>
      </c>
      <c r="AR588" s="33">
        <f>ROUND(X588-AH588,2)</f>
      </c>
      <c r="AS588" s="33">
        <f>ROUND(Y588-AI588,2)</f>
      </c>
      <c r="AT588" s="33">
        <f>ROUND(Z588-AJ588,2)</f>
      </c>
      <c r="AU588" s="33">
        <f>ROUND(AA588-AK588,2)</f>
      </c>
      <c r="AV588" s="33">
        <f>ROUND(AB588-AL588,2)</f>
      </c>
      <c r="AW588" s="33">
        <f>ROUND(AC588-AM588,2)</f>
      </c>
      <c r="AX588" s="33">
        <f>ROUND(AD588-AN588,2)</f>
      </c>
      <c r="AY588" s="33">
        <f>ROUND(AE588-AO588,2)</f>
      </c>
      <c r="AZ588" s="33">
        <f>ROUND(MAX(0,'Your debts'!$D$22-SUM($L588:$U588)),2)</f>
      </c>
      <c r="BA588" s="33">
        <f>ROUND(SUM($B588:$K588)-SUM($AP587:$AY587),2)</f>
      </c>
      <c r="BB588" s="33">
        <f>SUM($AP588:$AY588)</f>
      </c>
      <c r="BC588" s="33">
        <f>ROUND(SUM($L588:$U588)+SUM($AF588:$AO588),2)</f>
      </c>
    </row>
    <row r="589" spans="1:55" x14ac:dyDescent="0.25">
      <c r="A589">
        <v>582</v>
      </c>
      <c r="B589" s="33">
        <f>IF(AP588&lt;=0,0,ROUND(AP588+ROUND(AP588*V$3/12,2),2))</f>
      </c>
      <c r="C589" s="33">
        <f>IF(AQ588&lt;=0,0,ROUND(AQ588+ROUND(AQ588*W$3/12,2),2))</f>
      </c>
      <c r="D589" s="33">
        <f>IF(AR588&lt;=0,0,ROUND(AR588+ROUND(AR588*X$3/12,2),2))</f>
      </c>
      <c r="E589" s="33">
        <f>IF(AS588&lt;=0,0,ROUND(AS588+ROUND(AS588*Y$3/12,2),2))</f>
      </c>
      <c r="F589" s="33">
        <f>IF(AT588&lt;=0,0,ROUND(AT588+ROUND(AT588*Z$3/12,2),2))</f>
      </c>
      <c r="G589" s="33">
        <f>IF(AU588&lt;=0,0,ROUND(AU588+ROUND(AU588*AA$3/12,2),2))</f>
      </c>
      <c r="H589" s="33">
        <f>IF(AV588&lt;=0,0,ROUND(AV588+ROUND(AV588*AB$3/12,2),2))</f>
      </c>
      <c r="I589" s="33">
        <f>IF(AW588&lt;=0,0,ROUND(AW588+ROUND(AW588*AC$3/12,2),2))</f>
      </c>
      <c r="J589" s="33">
        <f>IF(AX588&lt;=0,0,ROUND(AX588+ROUND(AX588*AD$3/12,2),2))</f>
      </c>
      <c r="K589" s="33">
        <f>IF(AY588&lt;=0,0,ROUND(AY588+ROUND(AY588*AE$3/12,2),2))</f>
      </c>
      <c r="L589" s="33">
        <f>ROUND(MIN(MAX(0,N('Your debts'!$E$6)),B589),2)</f>
      </c>
      <c r="M589" s="33">
        <f>ROUND(MIN(MAX(0,N('Your debts'!$E$7)),C589),2)</f>
      </c>
      <c r="N589" s="33">
        <f>ROUND(MIN(MAX(0,N('Your debts'!$E$8)),D589),2)</f>
      </c>
      <c r="O589" s="33">
        <f>ROUND(MIN(MAX(0,N('Your debts'!$E$9)),E589),2)</f>
      </c>
      <c r="P589" s="33">
        <f>ROUND(MIN(MAX(0,N('Your debts'!$E$10)),F589),2)</f>
      </c>
      <c r="Q589" s="33">
        <f>ROUND(MIN(MAX(0,N('Your debts'!$E$11)),G589),2)</f>
      </c>
      <c r="R589" s="33">
        <f>ROUND(MIN(MAX(0,N('Your debts'!$E$12)),H589),2)</f>
      </c>
      <c r="S589" s="33">
        <f>ROUND(MIN(MAX(0,N('Your debts'!$E$13)),I589),2)</f>
      </c>
      <c r="T589" s="33">
        <f>ROUND(MIN(MAX(0,N('Your debts'!$E$14)),J589),2)</f>
      </c>
      <c r="U589" s="33">
        <f>ROUND(MIN(MAX(0,N('Your debts'!$E$15)),K589),2)</f>
      </c>
      <c r="V589" s="33">
        <f>ROUND(B589-L589,2)</f>
      </c>
      <c r="W589" s="33">
        <f>ROUND(C589-M589,2)</f>
      </c>
      <c r="X589" s="33">
        <f>ROUND(D589-N589,2)</f>
      </c>
      <c r="Y589" s="33">
        <f>ROUND(E589-O589,2)</f>
      </c>
      <c r="Z589" s="33">
        <f>ROUND(F589-P589,2)</f>
      </c>
      <c r="AA589" s="33">
        <f>ROUND(G589-Q589,2)</f>
      </c>
      <c r="AB589" s="33">
        <f>ROUND(H589-R589,2)</f>
      </c>
      <c r="AC589" s="33">
        <f>ROUND(I589-S589,2)</f>
      </c>
      <c r="AD589" s="33">
        <f>ROUND(J589-T589,2)</f>
      </c>
      <c r="AE589" s="33">
        <f>ROUND(K589-U589,2)</f>
      </c>
      <c r="AF589" s="33">
        <f>IF(V589&lt;=0,0,MAX(0,MIN(V589,ROUND($AZ589-SUMPRODUCT($V589:$AE589*($V589:$AE589&gt;0)*(($V589:$AE589&lt;V589)+($V589:$AE589=V589)*($V$3:$AE$3&gt;V$3)+($V589:$AE589=V589)*($V$3:$AE$3=V$3)*($V$2:$AE$2&lt;V$2))),2))))</f>
      </c>
      <c r="AG589" s="33">
        <f>IF(W589&lt;=0,0,MAX(0,MIN(W589,ROUND($AZ589-SUMPRODUCT($V589:$AE589*($V589:$AE589&gt;0)*(($V589:$AE589&lt;W589)+($V589:$AE589=W589)*($V$3:$AE$3&gt;W$3)+($V589:$AE589=W589)*($V$3:$AE$3=W$3)*($V$2:$AE$2&lt;W$2))),2))))</f>
      </c>
      <c r="AH589" s="33">
        <f>IF(X589&lt;=0,0,MAX(0,MIN(X589,ROUND($AZ589-SUMPRODUCT($V589:$AE589*($V589:$AE589&gt;0)*(($V589:$AE589&lt;X589)+($V589:$AE589=X589)*($V$3:$AE$3&gt;X$3)+($V589:$AE589=X589)*($V$3:$AE$3=X$3)*($V$2:$AE$2&lt;X$2))),2))))</f>
      </c>
      <c r="AI589" s="33">
        <f>IF(Y589&lt;=0,0,MAX(0,MIN(Y589,ROUND($AZ589-SUMPRODUCT($V589:$AE589*($V589:$AE589&gt;0)*(($V589:$AE589&lt;Y589)+($V589:$AE589=Y589)*($V$3:$AE$3&gt;Y$3)+($V589:$AE589=Y589)*($V$3:$AE$3=Y$3)*($V$2:$AE$2&lt;Y$2))),2))))</f>
      </c>
      <c r="AJ589" s="33">
        <f>IF(Z589&lt;=0,0,MAX(0,MIN(Z589,ROUND($AZ589-SUMPRODUCT($V589:$AE589*($V589:$AE589&gt;0)*(($V589:$AE589&lt;Z589)+($V589:$AE589=Z589)*($V$3:$AE$3&gt;Z$3)+($V589:$AE589=Z589)*($V$3:$AE$3=Z$3)*($V$2:$AE$2&lt;Z$2))),2))))</f>
      </c>
      <c r="AK589" s="33">
        <f>IF(AA589&lt;=0,0,MAX(0,MIN(AA589,ROUND($AZ589-SUMPRODUCT($V589:$AE589*($V589:$AE589&gt;0)*(($V589:$AE589&lt;AA589)+($V589:$AE589=AA589)*($V$3:$AE$3&gt;AA$3)+($V589:$AE589=AA589)*($V$3:$AE$3=AA$3)*($V$2:$AE$2&lt;AA$2))),2))))</f>
      </c>
      <c r="AL589" s="33">
        <f>IF(AB589&lt;=0,0,MAX(0,MIN(AB589,ROUND($AZ589-SUMPRODUCT($V589:$AE589*($V589:$AE589&gt;0)*(($V589:$AE589&lt;AB589)+($V589:$AE589=AB589)*($V$3:$AE$3&gt;AB$3)+($V589:$AE589=AB589)*($V$3:$AE$3=AB$3)*($V$2:$AE$2&lt;AB$2))),2))))</f>
      </c>
      <c r="AM589" s="33">
        <f>IF(AC589&lt;=0,0,MAX(0,MIN(AC589,ROUND($AZ589-SUMPRODUCT($V589:$AE589*($V589:$AE589&gt;0)*(($V589:$AE589&lt;AC589)+($V589:$AE589=AC589)*($V$3:$AE$3&gt;AC$3)+($V589:$AE589=AC589)*($V$3:$AE$3=AC$3)*($V$2:$AE$2&lt;AC$2))),2))))</f>
      </c>
      <c r="AN589" s="33">
        <f>IF(AD589&lt;=0,0,MAX(0,MIN(AD589,ROUND($AZ589-SUMPRODUCT($V589:$AE589*($V589:$AE589&gt;0)*(($V589:$AE589&lt;AD589)+($V589:$AE589=AD589)*($V$3:$AE$3&gt;AD$3)+($V589:$AE589=AD589)*($V$3:$AE$3=AD$3)*($V$2:$AE$2&lt;AD$2))),2))))</f>
      </c>
      <c r="AO589" s="33">
        <f>IF(AE589&lt;=0,0,MAX(0,MIN(AE589,ROUND($AZ589-SUMPRODUCT($V589:$AE589*($V589:$AE589&gt;0)*(($V589:$AE589&lt;AE589)+($V589:$AE589=AE589)*($V$3:$AE$3&gt;AE$3)+($V589:$AE589=AE589)*($V$3:$AE$3=AE$3)*($V$2:$AE$2&lt;AE$2))),2))))</f>
      </c>
      <c r="AP589" s="33">
        <f>ROUND(V589-AF589,2)</f>
      </c>
      <c r="AQ589" s="33">
        <f>ROUND(W589-AG589,2)</f>
      </c>
      <c r="AR589" s="33">
        <f>ROUND(X589-AH589,2)</f>
      </c>
      <c r="AS589" s="33">
        <f>ROUND(Y589-AI589,2)</f>
      </c>
      <c r="AT589" s="33">
        <f>ROUND(Z589-AJ589,2)</f>
      </c>
      <c r="AU589" s="33">
        <f>ROUND(AA589-AK589,2)</f>
      </c>
      <c r="AV589" s="33">
        <f>ROUND(AB589-AL589,2)</f>
      </c>
      <c r="AW589" s="33">
        <f>ROUND(AC589-AM589,2)</f>
      </c>
      <c r="AX589" s="33">
        <f>ROUND(AD589-AN589,2)</f>
      </c>
      <c r="AY589" s="33">
        <f>ROUND(AE589-AO589,2)</f>
      </c>
      <c r="AZ589" s="33">
        <f>ROUND(MAX(0,'Your debts'!$D$22-SUM($L589:$U589)),2)</f>
      </c>
      <c r="BA589" s="33">
        <f>ROUND(SUM($B589:$K589)-SUM($AP588:$AY588),2)</f>
      </c>
      <c r="BB589" s="33">
        <f>SUM($AP589:$AY589)</f>
      </c>
      <c r="BC589" s="33">
        <f>ROUND(SUM($L589:$U589)+SUM($AF589:$AO589),2)</f>
      </c>
    </row>
    <row r="590" spans="1:55" x14ac:dyDescent="0.25">
      <c r="A590">
        <v>583</v>
      </c>
      <c r="B590" s="33">
        <f>IF(AP589&lt;=0,0,ROUND(AP589+ROUND(AP589*V$3/12,2),2))</f>
      </c>
      <c r="C590" s="33">
        <f>IF(AQ589&lt;=0,0,ROUND(AQ589+ROUND(AQ589*W$3/12,2),2))</f>
      </c>
      <c r="D590" s="33">
        <f>IF(AR589&lt;=0,0,ROUND(AR589+ROUND(AR589*X$3/12,2),2))</f>
      </c>
      <c r="E590" s="33">
        <f>IF(AS589&lt;=0,0,ROUND(AS589+ROUND(AS589*Y$3/12,2),2))</f>
      </c>
      <c r="F590" s="33">
        <f>IF(AT589&lt;=0,0,ROUND(AT589+ROUND(AT589*Z$3/12,2),2))</f>
      </c>
      <c r="G590" s="33">
        <f>IF(AU589&lt;=0,0,ROUND(AU589+ROUND(AU589*AA$3/12,2),2))</f>
      </c>
      <c r="H590" s="33">
        <f>IF(AV589&lt;=0,0,ROUND(AV589+ROUND(AV589*AB$3/12,2),2))</f>
      </c>
      <c r="I590" s="33">
        <f>IF(AW589&lt;=0,0,ROUND(AW589+ROUND(AW589*AC$3/12,2),2))</f>
      </c>
      <c r="J590" s="33">
        <f>IF(AX589&lt;=0,0,ROUND(AX589+ROUND(AX589*AD$3/12,2),2))</f>
      </c>
      <c r="K590" s="33">
        <f>IF(AY589&lt;=0,0,ROUND(AY589+ROUND(AY589*AE$3/12,2),2))</f>
      </c>
      <c r="L590" s="33">
        <f>ROUND(MIN(MAX(0,N('Your debts'!$E$6)),B590),2)</f>
      </c>
      <c r="M590" s="33">
        <f>ROUND(MIN(MAX(0,N('Your debts'!$E$7)),C590),2)</f>
      </c>
      <c r="N590" s="33">
        <f>ROUND(MIN(MAX(0,N('Your debts'!$E$8)),D590),2)</f>
      </c>
      <c r="O590" s="33">
        <f>ROUND(MIN(MAX(0,N('Your debts'!$E$9)),E590),2)</f>
      </c>
      <c r="P590" s="33">
        <f>ROUND(MIN(MAX(0,N('Your debts'!$E$10)),F590),2)</f>
      </c>
      <c r="Q590" s="33">
        <f>ROUND(MIN(MAX(0,N('Your debts'!$E$11)),G590),2)</f>
      </c>
      <c r="R590" s="33">
        <f>ROUND(MIN(MAX(0,N('Your debts'!$E$12)),H590),2)</f>
      </c>
      <c r="S590" s="33">
        <f>ROUND(MIN(MAX(0,N('Your debts'!$E$13)),I590),2)</f>
      </c>
      <c r="T590" s="33">
        <f>ROUND(MIN(MAX(0,N('Your debts'!$E$14)),J590),2)</f>
      </c>
      <c r="U590" s="33">
        <f>ROUND(MIN(MAX(0,N('Your debts'!$E$15)),K590),2)</f>
      </c>
      <c r="V590" s="33">
        <f>ROUND(B590-L590,2)</f>
      </c>
      <c r="W590" s="33">
        <f>ROUND(C590-M590,2)</f>
      </c>
      <c r="X590" s="33">
        <f>ROUND(D590-N590,2)</f>
      </c>
      <c r="Y590" s="33">
        <f>ROUND(E590-O590,2)</f>
      </c>
      <c r="Z590" s="33">
        <f>ROUND(F590-P590,2)</f>
      </c>
      <c r="AA590" s="33">
        <f>ROUND(G590-Q590,2)</f>
      </c>
      <c r="AB590" s="33">
        <f>ROUND(H590-R590,2)</f>
      </c>
      <c r="AC590" s="33">
        <f>ROUND(I590-S590,2)</f>
      </c>
      <c r="AD590" s="33">
        <f>ROUND(J590-T590,2)</f>
      </c>
      <c r="AE590" s="33">
        <f>ROUND(K590-U590,2)</f>
      </c>
      <c r="AF590" s="33">
        <f>IF(V590&lt;=0,0,MAX(0,MIN(V590,ROUND($AZ590-SUMPRODUCT($V590:$AE590*($V590:$AE590&gt;0)*(($V590:$AE590&lt;V590)+($V590:$AE590=V590)*($V$3:$AE$3&gt;V$3)+($V590:$AE590=V590)*($V$3:$AE$3=V$3)*($V$2:$AE$2&lt;V$2))),2))))</f>
      </c>
      <c r="AG590" s="33">
        <f>IF(W590&lt;=0,0,MAX(0,MIN(W590,ROUND($AZ590-SUMPRODUCT($V590:$AE590*($V590:$AE590&gt;0)*(($V590:$AE590&lt;W590)+($V590:$AE590=W590)*($V$3:$AE$3&gt;W$3)+($V590:$AE590=W590)*($V$3:$AE$3=W$3)*($V$2:$AE$2&lt;W$2))),2))))</f>
      </c>
      <c r="AH590" s="33">
        <f>IF(X590&lt;=0,0,MAX(0,MIN(X590,ROUND($AZ590-SUMPRODUCT($V590:$AE590*($V590:$AE590&gt;0)*(($V590:$AE590&lt;X590)+($V590:$AE590=X590)*($V$3:$AE$3&gt;X$3)+($V590:$AE590=X590)*($V$3:$AE$3=X$3)*($V$2:$AE$2&lt;X$2))),2))))</f>
      </c>
      <c r="AI590" s="33">
        <f>IF(Y590&lt;=0,0,MAX(0,MIN(Y590,ROUND($AZ590-SUMPRODUCT($V590:$AE590*($V590:$AE590&gt;0)*(($V590:$AE590&lt;Y590)+($V590:$AE590=Y590)*($V$3:$AE$3&gt;Y$3)+($V590:$AE590=Y590)*($V$3:$AE$3=Y$3)*($V$2:$AE$2&lt;Y$2))),2))))</f>
      </c>
      <c r="AJ590" s="33">
        <f>IF(Z590&lt;=0,0,MAX(0,MIN(Z590,ROUND($AZ590-SUMPRODUCT($V590:$AE590*($V590:$AE590&gt;0)*(($V590:$AE590&lt;Z590)+($V590:$AE590=Z590)*($V$3:$AE$3&gt;Z$3)+($V590:$AE590=Z590)*($V$3:$AE$3=Z$3)*($V$2:$AE$2&lt;Z$2))),2))))</f>
      </c>
      <c r="AK590" s="33">
        <f>IF(AA590&lt;=0,0,MAX(0,MIN(AA590,ROUND($AZ590-SUMPRODUCT($V590:$AE590*($V590:$AE590&gt;0)*(($V590:$AE590&lt;AA590)+($V590:$AE590=AA590)*($V$3:$AE$3&gt;AA$3)+($V590:$AE590=AA590)*($V$3:$AE$3=AA$3)*($V$2:$AE$2&lt;AA$2))),2))))</f>
      </c>
      <c r="AL590" s="33">
        <f>IF(AB590&lt;=0,0,MAX(0,MIN(AB590,ROUND($AZ590-SUMPRODUCT($V590:$AE590*($V590:$AE590&gt;0)*(($V590:$AE590&lt;AB590)+($V590:$AE590=AB590)*($V$3:$AE$3&gt;AB$3)+($V590:$AE590=AB590)*($V$3:$AE$3=AB$3)*($V$2:$AE$2&lt;AB$2))),2))))</f>
      </c>
      <c r="AM590" s="33">
        <f>IF(AC590&lt;=0,0,MAX(0,MIN(AC590,ROUND($AZ590-SUMPRODUCT($V590:$AE590*($V590:$AE590&gt;0)*(($V590:$AE590&lt;AC590)+($V590:$AE590=AC590)*($V$3:$AE$3&gt;AC$3)+($V590:$AE590=AC590)*($V$3:$AE$3=AC$3)*($V$2:$AE$2&lt;AC$2))),2))))</f>
      </c>
      <c r="AN590" s="33">
        <f>IF(AD590&lt;=0,0,MAX(0,MIN(AD590,ROUND($AZ590-SUMPRODUCT($V590:$AE590*($V590:$AE590&gt;0)*(($V590:$AE590&lt;AD590)+($V590:$AE590=AD590)*($V$3:$AE$3&gt;AD$3)+($V590:$AE590=AD590)*($V$3:$AE$3=AD$3)*($V$2:$AE$2&lt;AD$2))),2))))</f>
      </c>
      <c r="AO590" s="33">
        <f>IF(AE590&lt;=0,0,MAX(0,MIN(AE590,ROUND($AZ590-SUMPRODUCT($V590:$AE590*($V590:$AE590&gt;0)*(($V590:$AE590&lt;AE590)+($V590:$AE590=AE590)*($V$3:$AE$3&gt;AE$3)+($V590:$AE590=AE590)*($V$3:$AE$3=AE$3)*($V$2:$AE$2&lt;AE$2))),2))))</f>
      </c>
      <c r="AP590" s="33">
        <f>ROUND(V590-AF590,2)</f>
      </c>
      <c r="AQ590" s="33">
        <f>ROUND(W590-AG590,2)</f>
      </c>
      <c r="AR590" s="33">
        <f>ROUND(X590-AH590,2)</f>
      </c>
      <c r="AS590" s="33">
        <f>ROUND(Y590-AI590,2)</f>
      </c>
      <c r="AT590" s="33">
        <f>ROUND(Z590-AJ590,2)</f>
      </c>
      <c r="AU590" s="33">
        <f>ROUND(AA590-AK590,2)</f>
      </c>
      <c r="AV590" s="33">
        <f>ROUND(AB590-AL590,2)</f>
      </c>
      <c r="AW590" s="33">
        <f>ROUND(AC590-AM590,2)</f>
      </c>
      <c r="AX590" s="33">
        <f>ROUND(AD590-AN590,2)</f>
      </c>
      <c r="AY590" s="33">
        <f>ROUND(AE590-AO590,2)</f>
      </c>
      <c r="AZ590" s="33">
        <f>ROUND(MAX(0,'Your debts'!$D$22-SUM($L590:$U590)),2)</f>
      </c>
      <c r="BA590" s="33">
        <f>ROUND(SUM($B590:$K590)-SUM($AP589:$AY589),2)</f>
      </c>
      <c r="BB590" s="33">
        <f>SUM($AP590:$AY590)</f>
      </c>
      <c r="BC590" s="33">
        <f>ROUND(SUM($L590:$U590)+SUM($AF590:$AO590),2)</f>
      </c>
    </row>
    <row r="591" spans="1:55" x14ac:dyDescent="0.25">
      <c r="A591">
        <v>584</v>
      </c>
      <c r="B591" s="33">
        <f>IF(AP590&lt;=0,0,ROUND(AP590+ROUND(AP590*V$3/12,2),2))</f>
      </c>
      <c r="C591" s="33">
        <f>IF(AQ590&lt;=0,0,ROUND(AQ590+ROUND(AQ590*W$3/12,2),2))</f>
      </c>
      <c r="D591" s="33">
        <f>IF(AR590&lt;=0,0,ROUND(AR590+ROUND(AR590*X$3/12,2),2))</f>
      </c>
      <c r="E591" s="33">
        <f>IF(AS590&lt;=0,0,ROUND(AS590+ROUND(AS590*Y$3/12,2),2))</f>
      </c>
      <c r="F591" s="33">
        <f>IF(AT590&lt;=0,0,ROUND(AT590+ROUND(AT590*Z$3/12,2),2))</f>
      </c>
      <c r="G591" s="33">
        <f>IF(AU590&lt;=0,0,ROUND(AU590+ROUND(AU590*AA$3/12,2),2))</f>
      </c>
      <c r="H591" s="33">
        <f>IF(AV590&lt;=0,0,ROUND(AV590+ROUND(AV590*AB$3/12,2),2))</f>
      </c>
      <c r="I591" s="33">
        <f>IF(AW590&lt;=0,0,ROUND(AW590+ROUND(AW590*AC$3/12,2),2))</f>
      </c>
      <c r="J591" s="33">
        <f>IF(AX590&lt;=0,0,ROUND(AX590+ROUND(AX590*AD$3/12,2),2))</f>
      </c>
      <c r="K591" s="33">
        <f>IF(AY590&lt;=0,0,ROUND(AY590+ROUND(AY590*AE$3/12,2),2))</f>
      </c>
      <c r="L591" s="33">
        <f>ROUND(MIN(MAX(0,N('Your debts'!$E$6)),B591),2)</f>
      </c>
      <c r="M591" s="33">
        <f>ROUND(MIN(MAX(0,N('Your debts'!$E$7)),C591),2)</f>
      </c>
      <c r="N591" s="33">
        <f>ROUND(MIN(MAX(0,N('Your debts'!$E$8)),D591),2)</f>
      </c>
      <c r="O591" s="33">
        <f>ROUND(MIN(MAX(0,N('Your debts'!$E$9)),E591),2)</f>
      </c>
      <c r="P591" s="33">
        <f>ROUND(MIN(MAX(0,N('Your debts'!$E$10)),F591),2)</f>
      </c>
      <c r="Q591" s="33">
        <f>ROUND(MIN(MAX(0,N('Your debts'!$E$11)),G591),2)</f>
      </c>
      <c r="R591" s="33">
        <f>ROUND(MIN(MAX(0,N('Your debts'!$E$12)),H591),2)</f>
      </c>
      <c r="S591" s="33">
        <f>ROUND(MIN(MAX(0,N('Your debts'!$E$13)),I591),2)</f>
      </c>
      <c r="T591" s="33">
        <f>ROUND(MIN(MAX(0,N('Your debts'!$E$14)),J591),2)</f>
      </c>
      <c r="U591" s="33">
        <f>ROUND(MIN(MAX(0,N('Your debts'!$E$15)),K591),2)</f>
      </c>
      <c r="V591" s="33">
        <f>ROUND(B591-L591,2)</f>
      </c>
      <c r="W591" s="33">
        <f>ROUND(C591-M591,2)</f>
      </c>
      <c r="X591" s="33">
        <f>ROUND(D591-N591,2)</f>
      </c>
      <c r="Y591" s="33">
        <f>ROUND(E591-O591,2)</f>
      </c>
      <c r="Z591" s="33">
        <f>ROUND(F591-P591,2)</f>
      </c>
      <c r="AA591" s="33">
        <f>ROUND(G591-Q591,2)</f>
      </c>
      <c r="AB591" s="33">
        <f>ROUND(H591-R591,2)</f>
      </c>
      <c r="AC591" s="33">
        <f>ROUND(I591-S591,2)</f>
      </c>
      <c r="AD591" s="33">
        <f>ROUND(J591-T591,2)</f>
      </c>
      <c r="AE591" s="33">
        <f>ROUND(K591-U591,2)</f>
      </c>
      <c r="AF591" s="33">
        <f>IF(V591&lt;=0,0,MAX(0,MIN(V591,ROUND($AZ591-SUMPRODUCT($V591:$AE591*($V591:$AE591&gt;0)*(($V591:$AE591&lt;V591)+($V591:$AE591=V591)*($V$3:$AE$3&gt;V$3)+($V591:$AE591=V591)*($V$3:$AE$3=V$3)*($V$2:$AE$2&lt;V$2))),2))))</f>
      </c>
      <c r="AG591" s="33">
        <f>IF(W591&lt;=0,0,MAX(0,MIN(W591,ROUND($AZ591-SUMPRODUCT($V591:$AE591*($V591:$AE591&gt;0)*(($V591:$AE591&lt;W591)+($V591:$AE591=W591)*($V$3:$AE$3&gt;W$3)+($V591:$AE591=W591)*($V$3:$AE$3=W$3)*($V$2:$AE$2&lt;W$2))),2))))</f>
      </c>
      <c r="AH591" s="33">
        <f>IF(X591&lt;=0,0,MAX(0,MIN(X591,ROUND($AZ591-SUMPRODUCT($V591:$AE591*($V591:$AE591&gt;0)*(($V591:$AE591&lt;X591)+($V591:$AE591=X591)*($V$3:$AE$3&gt;X$3)+($V591:$AE591=X591)*($V$3:$AE$3=X$3)*($V$2:$AE$2&lt;X$2))),2))))</f>
      </c>
      <c r="AI591" s="33">
        <f>IF(Y591&lt;=0,0,MAX(0,MIN(Y591,ROUND($AZ591-SUMPRODUCT($V591:$AE591*($V591:$AE591&gt;0)*(($V591:$AE591&lt;Y591)+($V591:$AE591=Y591)*($V$3:$AE$3&gt;Y$3)+($V591:$AE591=Y591)*($V$3:$AE$3=Y$3)*($V$2:$AE$2&lt;Y$2))),2))))</f>
      </c>
      <c r="AJ591" s="33">
        <f>IF(Z591&lt;=0,0,MAX(0,MIN(Z591,ROUND($AZ591-SUMPRODUCT($V591:$AE591*($V591:$AE591&gt;0)*(($V591:$AE591&lt;Z591)+($V591:$AE591=Z591)*($V$3:$AE$3&gt;Z$3)+($V591:$AE591=Z591)*($V$3:$AE$3=Z$3)*($V$2:$AE$2&lt;Z$2))),2))))</f>
      </c>
      <c r="AK591" s="33">
        <f>IF(AA591&lt;=0,0,MAX(0,MIN(AA591,ROUND($AZ591-SUMPRODUCT($V591:$AE591*($V591:$AE591&gt;0)*(($V591:$AE591&lt;AA591)+($V591:$AE591=AA591)*($V$3:$AE$3&gt;AA$3)+($V591:$AE591=AA591)*($V$3:$AE$3=AA$3)*($V$2:$AE$2&lt;AA$2))),2))))</f>
      </c>
      <c r="AL591" s="33">
        <f>IF(AB591&lt;=0,0,MAX(0,MIN(AB591,ROUND($AZ591-SUMPRODUCT($V591:$AE591*($V591:$AE591&gt;0)*(($V591:$AE591&lt;AB591)+($V591:$AE591=AB591)*($V$3:$AE$3&gt;AB$3)+($V591:$AE591=AB591)*($V$3:$AE$3=AB$3)*($V$2:$AE$2&lt;AB$2))),2))))</f>
      </c>
      <c r="AM591" s="33">
        <f>IF(AC591&lt;=0,0,MAX(0,MIN(AC591,ROUND($AZ591-SUMPRODUCT($V591:$AE591*($V591:$AE591&gt;0)*(($V591:$AE591&lt;AC591)+($V591:$AE591=AC591)*($V$3:$AE$3&gt;AC$3)+($V591:$AE591=AC591)*($V$3:$AE$3=AC$3)*($V$2:$AE$2&lt;AC$2))),2))))</f>
      </c>
      <c r="AN591" s="33">
        <f>IF(AD591&lt;=0,0,MAX(0,MIN(AD591,ROUND($AZ591-SUMPRODUCT($V591:$AE591*($V591:$AE591&gt;0)*(($V591:$AE591&lt;AD591)+($V591:$AE591=AD591)*($V$3:$AE$3&gt;AD$3)+($V591:$AE591=AD591)*($V$3:$AE$3=AD$3)*($V$2:$AE$2&lt;AD$2))),2))))</f>
      </c>
      <c r="AO591" s="33">
        <f>IF(AE591&lt;=0,0,MAX(0,MIN(AE591,ROUND($AZ591-SUMPRODUCT($V591:$AE591*($V591:$AE591&gt;0)*(($V591:$AE591&lt;AE591)+($V591:$AE591=AE591)*($V$3:$AE$3&gt;AE$3)+($V591:$AE591=AE591)*($V$3:$AE$3=AE$3)*($V$2:$AE$2&lt;AE$2))),2))))</f>
      </c>
      <c r="AP591" s="33">
        <f>ROUND(V591-AF591,2)</f>
      </c>
      <c r="AQ591" s="33">
        <f>ROUND(W591-AG591,2)</f>
      </c>
      <c r="AR591" s="33">
        <f>ROUND(X591-AH591,2)</f>
      </c>
      <c r="AS591" s="33">
        <f>ROUND(Y591-AI591,2)</f>
      </c>
      <c r="AT591" s="33">
        <f>ROUND(Z591-AJ591,2)</f>
      </c>
      <c r="AU591" s="33">
        <f>ROUND(AA591-AK591,2)</f>
      </c>
      <c r="AV591" s="33">
        <f>ROUND(AB591-AL591,2)</f>
      </c>
      <c r="AW591" s="33">
        <f>ROUND(AC591-AM591,2)</f>
      </c>
      <c r="AX591" s="33">
        <f>ROUND(AD591-AN591,2)</f>
      </c>
      <c r="AY591" s="33">
        <f>ROUND(AE591-AO591,2)</f>
      </c>
      <c r="AZ591" s="33">
        <f>ROUND(MAX(0,'Your debts'!$D$22-SUM($L591:$U591)),2)</f>
      </c>
      <c r="BA591" s="33">
        <f>ROUND(SUM($B591:$K591)-SUM($AP590:$AY590),2)</f>
      </c>
      <c r="BB591" s="33">
        <f>SUM($AP591:$AY591)</f>
      </c>
      <c r="BC591" s="33">
        <f>ROUND(SUM($L591:$U591)+SUM($AF591:$AO591),2)</f>
      </c>
    </row>
    <row r="592" spans="1:55" x14ac:dyDescent="0.25">
      <c r="A592">
        <v>585</v>
      </c>
      <c r="B592" s="33">
        <f>IF(AP591&lt;=0,0,ROUND(AP591+ROUND(AP591*V$3/12,2),2))</f>
      </c>
      <c r="C592" s="33">
        <f>IF(AQ591&lt;=0,0,ROUND(AQ591+ROUND(AQ591*W$3/12,2),2))</f>
      </c>
      <c r="D592" s="33">
        <f>IF(AR591&lt;=0,0,ROUND(AR591+ROUND(AR591*X$3/12,2),2))</f>
      </c>
      <c r="E592" s="33">
        <f>IF(AS591&lt;=0,0,ROUND(AS591+ROUND(AS591*Y$3/12,2),2))</f>
      </c>
      <c r="F592" s="33">
        <f>IF(AT591&lt;=0,0,ROUND(AT591+ROUND(AT591*Z$3/12,2),2))</f>
      </c>
      <c r="G592" s="33">
        <f>IF(AU591&lt;=0,0,ROUND(AU591+ROUND(AU591*AA$3/12,2),2))</f>
      </c>
      <c r="H592" s="33">
        <f>IF(AV591&lt;=0,0,ROUND(AV591+ROUND(AV591*AB$3/12,2),2))</f>
      </c>
      <c r="I592" s="33">
        <f>IF(AW591&lt;=0,0,ROUND(AW591+ROUND(AW591*AC$3/12,2),2))</f>
      </c>
      <c r="J592" s="33">
        <f>IF(AX591&lt;=0,0,ROUND(AX591+ROUND(AX591*AD$3/12,2),2))</f>
      </c>
      <c r="K592" s="33">
        <f>IF(AY591&lt;=0,0,ROUND(AY591+ROUND(AY591*AE$3/12,2),2))</f>
      </c>
      <c r="L592" s="33">
        <f>ROUND(MIN(MAX(0,N('Your debts'!$E$6)),B592),2)</f>
      </c>
      <c r="M592" s="33">
        <f>ROUND(MIN(MAX(0,N('Your debts'!$E$7)),C592),2)</f>
      </c>
      <c r="N592" s="33">
        <f>ROUND(MIN(MAX(0,N('Your debts'!$E$8)),D592),2)</f>
      </c>
      <c r="O592" s="33">
        <f>ROUND(MIN(MAX(0,N('Your debts'!$E$9)),E592),2)</f>
      </c>
      <c r="P592" s="33">
        <f>ROUND(MIN(MAX(0,N('Your debts'!$E$10)),F592),2)</f>
      </c>
      <c r="Q592" s="33">
        <f>ROUND(MIN(MAX(0,N('Your debts'!$E$11)),G592),2)</f>
      </c>
      <c r="R592" s="33">
        <f>ROUND(MIN(MAX(0,N('Your debts'!$E$12)),H592),2)</f>
      </c>
      <c r="S592" s="33">
        <f>ROUND(MIN(MAX(0,N('Your debts'!$E$13)),I592),2)</f>
      </c>
      <c r="T592" s="33">
        <f>ROUND(MIN(MAX(0,N('Your debts'!$E$14)),J592),2)</f>
      </c>
      <c r="U592" s="33">
        <f>ROUND(MIN(MAX(0,N('Your debts'!$E$15)),K592),2)</f>
      </c>
      <c r="V592" s="33">
        <f>ROUND(B592-L592,2)</f>
      </c>
      <c r="W592" s="33">
        <f>ROUND(C592-M592,2)</f>
      </c>
      <c r="X592" s="33">
        <f>ROUND(D592-N592,2)</f>
      </c>
      <c r="Y592" s="33">
        <f>ROUND(E592-O592,2)</f>
      </c>
      <c r="Z592" s="33">
        <f>ROUND(F592-P592,2)</f>
      </c>
      <c r="AA592" s="33">
        <f>ROUND(G592-Q592,2)</f>
      </c>
      <c r="AB592" s="33">
        <f>ROUND(H592-R592,2)</f>
      </c>
      <c r="AC592" s="33">
        <f>ROUND(I592-S592,2)</f>
      </c>
      <c r="AD592" s="33">
        <f>ROUND(J592-T592,2)</f>
      </c>
      <c r="AE592" s="33">
        <f>ROUND(K592-U592,2)</f>
      </c>
      <c r="AF592" s="33">
        <f>IF(V592&lt;=0,0,MAX(0,MIN(V592,ROUND($AZ592-SUMPRODUCT($V592:$AE592*($V592:$AE592&gt;0)*(($V592:$AE592&lt;V592)+($V592:$AE592=V592)*($V$3:$AE$3&gt;V$3)+($V592:$AE592=V592)*($V$3:$AE$3=V$3)*($V$2:$AE$2&lt;V$2))),2))))</f>
      </c>
      <c r="AG592" s="33">
        <f>IF(W592&lt;=0,0,MAX(0,MIN(W592,ROUND($AZ592-SUMPRODUCT($V592:$AE592*($V592:$AE592&gt;0)*(($V592:$AE592&lt;W592)+($V592:$AE592=W592)*($V$3:$AE$3&gt;W$3)+($V592:$AE592=W592)*($V$3:$AE$3=W$3)*($V$2:$AE$2&lt;W$2))),2))))</f>
      </c>
      <c r="AH592" s="33">
        <f>IF(X592&lt;=0,0,MAX(0,MIN(X592,ROUND($AZ592-SUMPRODUCT($V592:$AE592*($V592:$AE592&gt;0)*(($V592:$AE592&lt;X592)+($V592:$AE592=X592)*($V$3:$AE$3&gt;X$3)+($V592:$AE592=X592)*($V$3:$AE$3=X$3)*($V$2:$AE$2&lt;X$2))),2))))</f>
      </c>
      <c r="AI592" s="33">
        <f>IF(Y592&lt;=0,0,MAX(0,MIN(Y592,ROUND($AZ592-SUMPRODUCT($V592:$AE592*($V592:$AE592&gt;0)*(($V592:$AE592&lt;Y592)+($V592:$AE592=Y592)*($V$3:$AE$3&gt;Y$3)+($V592:$AE592=Y592)*($V$3:$AE$3=Y$3)*($V$2:$AE$2&lt;Y$2))),2))))</f>
      </c>
      <c r="AJ592" s="33">
        <f>IF(Z592&lt;=0,0,MAX(0,MIN(Z592,ROUND($AZ592-SUMPRODUCT($V592:$AE592*($V592:$AE592&gt;0)*(($V592:$AE592&lt;Z592)+($V592:$AE592=Z592)*($V$3:$AE$3&gt;Z$3)+($V592:$AE592=Z592)*($V$3:$AE$3=Z$3)*($V$2:$AE$2&lt;Z$2))),2))))</f>
      </c>
      <c r="AK592" s="33">
        <f>IF(AA592&lt;=0,0,MAX(0,MIN(AA592,ROUND($AZ592-SUMPRODUCT($V592:$AE592*($V592:$AE592&gt;0)*(($V592:$AE592&lt;AA592)+($V592:$AE592=AA592)*($V$3:$AE$3&gt;AA$3)+($V592:$AE592=AA592)*($V$3:$AE$3=AA$3)*($V$2:$AE$2&lt;AA$2))),2))))</f>
      </c>
      <c r="AL592" s="33">
        <f>IF(AB592&lt;=0,0,MAX(0,MIN(AB592,ROUND($AZ592-SUMPRODUCT($V592:$AE592*($V592:$AE592&gt;0)*(($V592:$AE592&lt;AB592)+($V592:$AE592=AB592)*($V$3:$AE$3&gt;AB$3)+($V592:$AE592=AB592)*($V$3:$AE$3=AB$3)*($V$2:$AE$2&lt;AB$2))),2))))</f>
      </c>
      <c r="AM592" s="33">
        <f>IF(AC592&lt;=0,0,MAX(0,MIN(AC592,ROUND($AZ592-SUMPRODUCT($V592:$AE592*($V592:$AE592&gt;0)*(($V592:$AE592&lt;AC592)+($V592:$AE592=AC592)*($V$3:$AE$3&gt;AC$3)+($V592:$AE592=AC592)*($V$3:$AE$3=AC$3)*($V$2:$AE$2&lt;AC$2))),2))))</f>
      </c>
      <c r="AN592" s="33">
        <f>IF(AD592&lt;=0,0,MAX(0,MIN(AD592,ROUND($AZ592-SUMPRODUCT($V592:$AE592*($V592:$AE592&gt;0)*(($V592:$AE592&lt;AD592)+($V592:$AE592=AD592)*($V$3:$AE$3&gt;AD$3)+($V592:$AE592=AD592)*($V$3:$AE$3=AD$3)*($V$2:$AE$2&lt;AD$2))),2))))</f>
      </c>
      <c r="AO592" s="33">
        <f>IF(AE592&lt;=0,0,MAX(0,MIN(AE592,ROUND($AZ592-SUMPRODUCT($V592:$AE592*($V592:$AE592&gt;0)*(($V592:$AE592&lt;AE592)+($V592:$AE592=AE592)*($V$3:$AE$3&gt;AE$3)+($V592:$AE592=AE592)*($V$3:$AE$3=AE$3)*($V$2:$AE$2&lt;AE$2))),2))))</f>
      </c>
      <c r="AP592" s="33">
        <f>ROUND(V592-AF592,2)</f>
      </c>
      <c r="AQ592" s="33">
        <f>ROUND(W592-AG592,2)</f>
      </c>
      <c r="AR592" s="33">
        <f>ROUND(X592-AH592,2)</f>
      </c>
      <c r="AS592" s="33">
        <f>ROUND(Y592-AI592,2)</f>
      </c>
      <c r="AT592" s="33">
        <f>ROUND(Z592-AJ592,2)</f>
      </c>
      <c r="AU592" s="33">
        <f>ROUND(AA592-AK592,2)</f>
      </c>
      <c r="AV592" s="33">
        <f>ROUND(AB592-AL592,2)</f>
      </c>
      <c r="AW592" s="33">
        <f>ROUND(AC592-AM592,2)</f>
      </c>
      <c r="AX592" s="33">
        <f>ROUND(AD592-AN592,2)</f>
      </c>
      <c r="AY592" s="33">
        <f>ROUND(AE592-AO592,2)</f>
      </c>
      <c r="AZ592" s="33">
        <f>ROUND(MAX(0,'Your debts'!$D$22-SUM($L592:$U592)),2)</f>
      </c>
      <c r="BA592" s="33">
        <f>ROUND(SUM($B592:$K592)-SUM($AP591:$AY591),2)</f>
      </c>
      <c r="BB592" s="33">
        <f>SUM($AP592:$AY592)</f>
      </c>
      <c r="BC592" s="33">
        <f>ROUND(SUM($L592:$U592)+SUM($AF592:$AO592),2)</f>
      </c>
    </row>
    <row r="593" spans="1:55" x14ac:dyDescent="0.25">
      <c r="A593">
        <v>586</v>
      </c>
      <c r="B593" s="33">
        <f>IF(AP592&lt;=0,0,ROUND(AP592+ROUND(AP592*V$3/12,2),2))</f>
      </c>
      <c r="C593" s="33">
        <f>IF(AQ592&lt;=0,0,ROUND(AQ592+ROUND(AQ592*W$3/12,2),2))</f>
      </c>
      <c r="D593" s="33">
        <f>IF(AR592&lt;=0,0,ROUND(AR592+ROUND(AR592*X$3/12,2),2))</f>
      </c>
      <c r="E593" s="33">
        <f>IF(AS592&lt;=0,0,ROUND(AS592+ROUND(AS592*Y$3/12,2),2))</f>
      </c>
      <c r="F593" s="33">
        <f>IF(AT592&lt;=0,0,ROUND(AT592+ROUND(AT592*Z$3/12,2),2))</f>
      </c>
      <c r="G593" s="33">
        <f>IF(AU592&lt;=0,0,ROUND(AU592+ROUND(AU592*AA$3/12,2),2))</f>
      </c>
      <c r="H593" s="33">
        <f>IF(AV592&lt;=0,0,ROUND(AV592+ROUND(AV592*AB$3/12,2),2))</f>
      </c>
      <c r="I593" s="33">
        <f>IF(AW592&lt;=0,0,ROUND(AW592+ROUND(AW592*AC$3/12,2),2))</f>
      </c>
      <c r="J593" s="33">
        <f>IF(AX592&lt;=0,0,ROUND(AX592+ROUND(AX592*AD$3/12,2),2))</f>
      </c>
      <c r="K593" s="33">
        <f>IF(AY592&lt;=0,0,ROUND(AY592+ROUND(AY592*AE$3/12,2),2))</f>
      </c>
      <c r="L593" s="33">
        <f>ROUND(MIN(MAX(0,N('Your debts'!$E$6)),B593),2)</f>
      </c>
      <c r="M593" s="33">
        <f>ROUND(MIN(MAX(0,N('Your debts'!$E$7)),C593),2)</f>
      </c>
      <c r="N593" s="33">
        <f>ROUND(MIN(MAX(0,N('Your debts'!$E$8)),D593),2)</f>
      </c>
      <c r="O593" s="33">
        <f>ROUND(MIN(MAX(0,N('Your debts'!$E$9)),E593),2)</f>
      </c>
      <c r="P593" s="33">
        <f>ROUND(MIN(MAX(0,N('Your debts'!$E$10)),F593),2)</f>
      </c>
      <c r="Q593" s="33">
        <f>ROUND(MIN(MAX(0,N('Your debts'!$E$11)),G593),2)</f>
      </c>
      <c r="R593" s="33">
        <f>ROUND(MIN(MAX(0,N('Your debts'!$E$12)),H593),2)</f>
      </c>
      <c r="S593" s="33">
        <f>ROUND(MIN(MAX(0,N('Your debts'!$E$13)),I593),2)</f>
      </c>
      <c r="T593" s="33">
        <f>ROUND(MIN(MAX(0,N('Your debts'!$E$14)),J593),2)</f>
      </c>
      <c r="U593" s="33">
        <f>ROUND(MIN(MAX(0,N('Your debts'!$E$15)),K593),2)</f>
      </c>
      <c r="V593" s="33">
        <f>ROUND(B593-L593,2)</f>
      </c>
      <c r="W593" s="33">
        <f>ROUND(C593-M593,2)</f>
      </c>
      <c r="X593" s="33">
        <f>ROUND(D593-N593,2)</f>
      </c>
      <c r="Y593" s="33">
        <f>ROUND(E593-O593,2)</f>
      </c>
      <c r="Z593" s="33">
        <f>ROUND(F593-P593,2)</f>
      </c>
      <c r="AA593" s="33">
        <f>ROUND(G593-Q593,2)</f>
      </c>
      <c r="AB593" s="33">
        <f>ROUND(H593-R593,2)</f>
      </c>
      <c r="AC593" s="33">
        <f>ROUND(I593-S593,2)</f>
      </c>
      <c r="AD593" s="33">
        <f>ROUND(J593-T593,2)</f>
      </c>
      <c r="AE593" s="33">
        <f>ROUND(K593-U593,2)</f>
      </c>
      <c r="AF593" s="33">
        <f>IF(V593&lt;=0,0,MAX(0,MIN(V593,ROUND($AZ593-SUMPRODUCT($V593:$AE593*($V593:$AE593&gt;0)*(($V593:$AE593&lt;V593)+($V593:$AE593=V593)*($V$3:$AE$3&gt;V$3)+($V593:$AE593=V593)*($V$3:$AE$3=V$3)*($V$2:$AE$2&lt;V$2))),2))))</f>
      </c>
      <c r="AG593" s="33">
        <f>IF(W593&lt;=0,0,MAX(0,MIN(W593,ROUND($AZ593-SUMPRODUCT($V593:$AE593*($V593:$AE593&gt;0)*(($V593:$AE593&lt;W593)+($V593:$AE593=W593)*($V$3:$AE$3&gt;W$3)+($V593:$AE593=W593)*($V$3:$AE$3=W$3)*($V$2:$AE$2&lt;W$2))),2))))</f>
      </c>
      <c r="AH593" s="33">
        <f>IF(X593&lt;=0,0,MAX(0,MIN(X593,ROUND($AZ593-SUMPRODUCT($V593:$AE593*($V593:$AE593&gt;0)*(($V593:$AE593&lt;X593)+($V593:$AE593=X593)*($V$3:$AE$3&gt;X$3)+($V593:$AE593=X593)*($V$3:$AE$3=X$3)*($V$2:$AE$2&lt;X$2))),2))))</f>
      </c>
      <c r="AI593" s="33">
        <f>IF(Y593&lt;=0,0,MAX(0,MIN(Y593,ROUND($AZ593-SUMPRODUCT($V593:$AE593*($V593:$AE593&gt;0)*(($V593:$AE593&lt;Y593)+($V593:$AE593=Y593)*($V$3:$AE$3&gt;Y$3)+($V593:$AE593=Y593)*($V$3:$AE$3=Y$3)*($V$2:$AE$2&lt;Y$2))),2))))</f>
      </c>
      <c r="AJ593" s="33">
        <f>IF(Z593&lt;=0,0,MAX(0,MIN(Z593,ROUND($AZ593-SUMPRODUCT($V593:$AE593*($V593:$AE593&gt;0)*(($V593:$AE593&lt;Z593)+($V593:$AE593=Z593)*($V$3:$AE$3&gt;Z$3)+($V593:$AE593=Z593)*($V$3:$AE$3=Z$3)*($V$2:$AE$2&lt;Z$2))),2))))</f>
      </c>
      <c r="AK593" s="33">
        <f>IF(AA593&lt;=0,0,MAX(0,MIN(AA593,ROUND($AZ593-SUMPRODUCT($V593:$AE593*($V593:$AE593&gt;0)*(($V593:$AE593&lt;AA593)+($V593:$AE593=AA593)*($V$3:$AE$3&gt;AA$3)+($V593:$AE593=AA593)*($V$3:$AE$3=AA$3)*($V$2:$AE$2&lt;AA$2))),2))))</f>
      </c>
      <c r="AL593" s="33">
        <f>IF(AB593&lt;=0,0,MAX(0,MIN(AB593,ROUND($AZ593-SUMPRODUCT($V593:$AE593*($V593:$AE593&gt;0)*(($V593:$AE593&lt;AB593)+($V593:$AE593=AB593)*($V$3:$AE$3&gt;AB$3)+($V593:$AE593=AB593)*($V$3:$AE$3=AB$3)*($V$2:$AE$2&lt;AB$2))),2))))</f>
      </c>
      <c r="AM593" s="33">
        <f>IF(AC593&lt;=0,0,MAX(0,MIN(AC593,ROUND($AZ593-SUMPRODUCT($V593:$AE593*($V593:$AE593&gt;0)*(($V593:$AE593&lt;AC593)+($V593:$AE593=AC593)*($V$3:$AE$3&gt;AC$3)+($V593:$AE593=AC593)*($V$3:$AE$3=AC$3)*($V$2:$AE$2&lt;AC$2))),2))))</f>
      </c>
      <c r="AN593" s="33">
        <f>IF(AD593&lt;=0,0,MAX(0,MIN(AD593,ROUND($AZ593-SUMPRODUCT($V593:$AE593*($V593:$AE593&gt;0)*(($V593:$AE593&lt;AD593)+($V593:$AE593=AD593)*($V$3:$AE$3&gt;AD$3)+($V593:$AE593=AD593)*($V$3:$AE$3=AD$3)*($V$2:$AE$2&lt;AD$2))),2))))</f>
      </c>
      <c r="AO593" s="33">
        <f>IF(AE593&lt;=0,0,MAX(0,MIN(AE593,ROUND($AZ593-SUMPRODUCT($V593:$AE593*($V593:$AE593&gt;0)*(($V593:$AE593&lt;AE593)+($V593:$AE593=AE593)*($V$3:$AE$3&gt;AE$3)+($V593:$AE593=AE593)*($V$3:$AE$3=AE$3)*($V$2:$AE$2&lt;AE$2))),2))))</f>
      </c>
      <c r="AP593" s="33">
        <f>ROUND(V593-AF593,2)</f>
      </c>
      <c r="AQ593" s="33">
        <f>ROUND(W593-AG593,2)</f>
      </c>
      <c r="AR593" s="33">
        <f>ROUND(X593-AH593,2)</f>
      </c>
      <c r="AS593" s="33">
        <f>ROUND(Y593-AI593,2)</f>
      </c>
      <c r="AT593" s="33">
        <f>ROUND(Z593-AJ593,2)</f>
      </c>
      <c r="AU593" s="33">
        <f>ROUND(AA593-AK593,2)</f>
      </c>
      <c r="AV593" s="33">
        <f>ROUND(AB593-AL593,2)</f>
      </c>
      <c r="AW593" s="33">
        <f>ROUND(AC593-AM593,2)</f>
      </c>
      <c r="AX593" s="33">
        <f>ROUND(AD593-AN593,2)</f>
      </c>
      <c r="AY593" s="33">
        <f>ROUND(AE593-AO593,2)</f>
      </c>
      <c r="AZ593" s="33">
        <f>ROUND(MAX(0,'Your debts'!$D$22-SUM($L593:$U593)),2)</f>
      </c>
      <c r="BA593" s="33">
        <f>ROUND(SUM($B593:$K593)-SUM($AP592:$AY592),2)</f>
      </c>
      <c r="BB593" s="33">
        <f>SUM($AP593:$AY593)</f>
      </c>
      <c r="BC593" s="33">
        <f>ROUND(SUM($L593:$U593)+SUM($AF593:$AO593),2)</f>
      </c>
    </row>
    <row r="594" spans="1:55" x14ac:dyDescent="0.25">
      <c r="A594">
        <v>587</v>
      </c>
      <c r="B594" s="33">
        <f>IF(AP593&lt;=0,0,ROUND(AP593+ROUND(AP593*V$3/12,2),2))</f>
      </c>
      <c r="C594" s="33">
        <f>IF(AQ593&lt;=0,0,ROUND(AQ593+ROUND(AQ593*W$3/12,2),2))</f>
      </c>
      <c r="D594" s="33">
        <f>IF(AR593&lt;=0,0,ROUND(AR593+ROUND(AR593*X$3/12,2),2))</f>
      </c>
      <c r="E594" s="33">
        <f>IF(AS593&lt;=0,0,ROUND(AS593+ROUND(AS593*Y$3/12,2),2))</f>
      </c>
      <c r="F594" s="33">
        <f>IF(AT593&lt;=0,0,ROUND(AT593+ROUND(AT593*Z$3/12,2),2))</f>
      </c>
      <c r="G594" s="33">
        <f>IF(AU593&lt;=0,0,ROUND(AU593+ROUND(AU593*AA$3/12,2),2))</f>
      </c>
      <c r="H594" s="33">
        <f>IF(AV593&lt;=0,0,ROUND(AV593+ROUND(AV593*AB$3/12,2),2))</f>
      </c>
      <c r="I594" s="33">
        <f>IF(AW593&lt;=0,0,ROUND(AW593+ROUND(AW593*AC$3/12,2),2))</f>
      </c>
      <c r="J594" s="33">
        <f>IF(AX593&lt;=0,0,ROUND(AX593+ROUND(AX593*AD$3/12,2),2))</f>
      </c>
      <c r="K594" s="33">
        <f>IF(AY593&lt;=0,0,ROUND(AY593+ROUND(AY593*AE$3/12,2),2))</f>
      </c>
      <c r="L594" s="33">
        <f>ROUND(MIN(MAX(0,N('Your debts'!$E$6)),B594),2)</f>
      </c>
      <c r="M594" s="33">
        <f>ROUND(MIN(MAX(0,N('Your debts'!$E$7)),C594),2)</f>
      </c>
      <c r="N594" s="33">
        <f>ROUND(MIN(MAX(0,N('Your debts'!$E$8)),D594),2)</f>
      </c>
      <c r="O594" s="33">
        <f>ROUND(MIN(MAX(0,N('Your debts'!$E$9)),E594),2)</f>
      </c>
      <c r="P594" s="33">
        <f>ROUND(MIN(MAX(0,N('Your debts'!$E$10)),F594),2)</f>
      </c>
      <c r="Q594" s="33">
        <f>ROUND(MIN(MAX(0,N('Your debts'!$E$11)),G594),2)</f>
      </c>
      <c r="R594" s="33">
        <f>ROUND(MIN(MAX(0,N('Your debts'!$E$12)),H594),2)</f>
      </c>
      <c r="S594" s="33">
        <f>ROUND(MIN(MAX(0,N('Your debts'!$E$13)),I594),2)</f>
      </c>
      <c r="T594" s="33">
        <f>ROUND(MIN(MAX(0,N('Your debts'!$E$14)),J594),2)</f>
      </c>
      <c r="U594" s="33">
        <f>ROUND(MIN(MAX(0,N('Your debts'!$E$15)),K594),2)</f>
      </c>
      <c r="V594" s="33">
        <f>ROUND(B594-L594,2)</f>
      </c>
      <c r="W594" s="33">
        <f>ROUND(C594-M594,2)</f>
      </c>
      <c r="X594" s="33">
        <f>ROUND(D594-N594,2)</f>
      </c>
      <c r="Y594" s="33">
        <f>ROUND(E594-O594,2)</f>
      </c>
      <c r="Z594" s="33">
        <f>ROUND(F594-P594,2)</f>
      </c>
      <c r="AA594" s="33">
        <f>ROUND(G594-Q594,2)</f>
      </c>
      <c r="AB594" s="33">
        <f>ROUND(H594-R594,2)</f>
      </c>
      <c r="AC594" s="33">
        <f>ROUND(I594-S594,2)</f>
      </c>
      <c r="AD594" s="33">
        <f>ROUND(J594-T594,2)</f>
      </c>
      <c r="AE594" s="33">
        <f>ROUND(K594-U594,2)</f>
      </c>
      <c r="AF594" s="33">
        <f>IF(V594&lt;=0,0,MAX(0,MIN(V594,ROUND($AZ594-SUMPRODUCT($V594:$AE594*($V594:$AE594&gt;0)*(($V594:$AE594&lt;V594)+($V594:$AE594=V594)*($V$3:$AE$3&gt;V$3)+($V594:$AE594=V594)*($V$3:$AE$3=V$3)*($V$2:$AE$2&lt;V$2))),2))))</f>
      </c>
      <c r="AG594" s="33">
        <f>IF(W594&lt;=0,0,MAX(0,MIN(W594,ROUND($AZ594-SUMPRODUCT($V594:$AE594*($V594:$AE594&gt;0)*(($V594:$AE594&lt;W594)+($V594:$AE594=W594)*($V$3:$AE$3&gt;W$3)+($V594:$AE594=W594)*($V$3:$AE$3=W$3)*($V$2:$AE$2&lt;W$2))),2))))</f>
      </c>
      <c r="AH594" s="33">
        <f>IF(X594&lt;=0,0,MAX(0,MIN(X594,ROUND($AZ594-SUMPRODUCT($V594:$AE594*($V594:$AE594&gt;0)*(($V594:$AE594&lt;X594)+($V594:$AE594=X594)*($V$3:$AE$3&gt;X$3)+($V594:$AE594=X594)*($V$3:$AE$3=X$3)*($V$2:$AE$2&lt;X$2))),2))))</f>
      </c>
      <c r="AI594" s="33">
        <f>IF(Y594&lt;=0,0,MAX(0,MIN(Y594,ROUND($AZ594-SUMPRODUCT($V594:$AE594*($V594:$AE594&gt;0)*(($V594:$AE594&lt;Y594)+($V594:$AE594=Y594)*($V$3:$AE$3&gt;Y$3)+($V594:$AE594=Y594)*($V$3:$AE$3=Y$3)*($V$2:$AE$2&lt;Y$2))),2))))</f>
      </c>
      <c r="AJ594" s="33">
        <f>IF(Z594&lt;=0,0,MAX(0,MIN(Z594,ROUND($AZ594-SUMPRODUCT($V594:$AE594*($V594:$AE594&gt;0)*(($V594:$AE594&lt;Z594)+($V594:$AE594=Z594)*($V$3:$AE$3&gt;Z$3)+($V594:$AE594=Z594)*($V$3:$AE$3=Z$3)*($V$2:$AE$2&lt;Z$2))),2))))</f>
      </c>
      <c r="AK594" s="33">
        <f>IF(AA594&lt;=0,0,MAX(0,MIN(AA594,ROUND($AZ594-SUMPRODUCT($V594:$AE594*($V594:$AE594&gt;0)*(($V594:$AE594&lt;AA594)+($V594:$AE594=AA594)*($V$3:$AE$3&gt;AA$3)+($V594:$AE594=AA594)*($V$3:$AE$3=AA$3)*($V$2:$AE$2&lt;AA$2))),2))))</f>
      </c>
      <c r="AL594" s="33">
        <f>IF(AB594&lt;=0,0,MAX(0,MIN(AB594,ROUND($AZ594-SUMPRODUCT($V594:$AE594*($V594:$AE594&gt;0)*(($V594:$AE594&lt;AB594)+($V594:$AE594=AB594)*($V$3:$AE$3&gt;AB$3)+($V594:$AE594=AB594)*($V$3:$AE$3=AB$3)*($V$2:$AE$2&lt;AB$2))),2))))</f>
      </c>
      <c r="AM594" s="33">
        <f>IF(AC594&lt;=0,0,MAX(0,MIN(AC594,ROUND($AZ594-SUMPRODUCT($V594:$AE594*($V594:$AE594&gt;0)*(($V594:$AE594&lt;AC594)+($V594:$AE594=AC594)*($V$3:$AE$3&gt;AC$3)+($V594:$AE594=AC594)*($V$3:$AE$3=AC$3)*($V$2:$AE$2&lt;AC$2))),2))))</f>
      </c>
      <c r="AN594" s="33">
        <f>IF(AD594&lt;=0,0,MAX(0,MIN(AD594,ROUND($AZ594-SUMPRODUCT($V594:$AE594*($V594:$AE594&gt;0)*(($V594:$AE594&lt;AD594)+($V594:$AE594=AD594)*($V$3:$AE$3&gt;AD$3)+($V594:$AE594=AD594)*($V$3:$AE$3=AD$3)*($V$2:$AE$2&lt;AD$2))),2))))</f>
      </c>
      <c r="AO594" s="33">
        <f>IF(AE594&lt;=0,0,MAX(0,MIN(AE594,ROUND($AZ594-SUMPRODUCT($V594:$AE594*($V594:$AE594&gt;0)*(($V594:$AE594&lt;AE594)+($V594:$AE594=AE594)*($V$3:$AE$3&gt;AE$3)+($V594:$AE594=AE594)*($V$3:$AE$3=AE$3)*($V$2:$AE$2&lt;AE$2))),2))))</f>
      </c>
      <c r="AP594" s="33">
        <f>ROUND(V594-AF594,2)</f>
      </c>
      <c r="AQ594" s="33">
        <f>ROUND(W594-AG594,2)</f>
      </c>
      <c r="AR594" s="33">
        <f>ROUND(X594-AH594,2)</f>
      </c>
      <c r="AS594" s="33">
        <f>ROUND(Y594-AI594,2)</f>
      </c>
      <c r="AT594" s="33">
        <f>ROUND(Z594-AJ594,2)</f>
      </c>
      <c r="AU594" s="33">
        <f>ROUND(AA594-AK594,2)</f>
      </c>
      <c r="AV594" s="33">
        <f>ROUND(AB594-AL594,2)</f>
      </c>
      <c r="AW594" s="33">
        <f>ROUND(AC594-AM594,2)</f>
      </c>
      <c r="AX594" s="33">
        <f>ROUND(AD594-AN594,2)</f>
      </c>
      <c r="AY594" s="33">
        <f>ROUND(AE594-AO594,2)</f>
      </c>
      <c r="AZ594" s="33">
        <f>ROUND(MAX(0,'Your debts'!$D$22-SUM($L594:$U594)),2)</f>
      </c>
      <c r="BA594" s="33">
        <f>ROUND(SUM($B594:$K594)-SUM($AP593:$AY593),2)</f>
      </c>
      <c r="BB594" s="33">
        <f>SUM($AP594:$AY594)</f>
      </c>
      <c r="BC594" s="33">
        <f>ROUND(SUM($L594:$U594)+SUM($AF594:$AO594),2)</f>
      </c>
    </row>
    <row r="595" spans="1:55" x14ac:dyDescent="0.25">
      <c r="A595">
        <v>588</v>
      </c>
      <c r="B595" s="33">
        <f>IF(AP594&lt;=0,0,ROUND(AP594+ROUND(AP594*V$3/12,2),2))</f>
      </c>
      <c r="C595" s="33">
        <f>IF(AQ594&lt;=0,0,ROUND(AQ594+ROUND(AQ594*W$3/12,2),2))</f>
      </c>
      <c r="D595" s="33">
        <f>IF(AR594&lt;=0,0,ROUND(AR594+ROUND(AR594*X$3/12,2),2))</f>
      </c>
      <c r="E595" s="33">
        <f>IF(AS594&lt;=0,0,ROUND(AS594+ROUND(AS594*Y$3/12,2),2))</f>
      </c>
      <c r="F595" s="33">
        <f>IF(AT594&lt;=0,0,ROUND(AT594+ROUND(AT594*Z$3/12,2),2))</f>
      </c>
      <c r="G595" s="33">
        <f>IF(AU594&lt;=0,0,ROUND(AU594+ROUND(AU594*AA$3/12,2),2))</f>
      </c>
      <c r="H595" s="33">
        <f>IF(AV594&lt;=0,0,ROUND(AV594+ROUND(AV594*AB$3/12,2),2))</f>
      </c>
      <c r="I595" s="33">
        <f>IF(AW594&lt;=0,0,ROUND(AW594+ROUND(AW594*AC$3/12,2),2))</f>
      </c>
      <c r="J595" s="33">
        <f>IF(AX594&lt;=0,0,ROUND(AX594+ROUND(AX594*AD$3/12,2),2))</f>
      </c>
      <c r="K595" s="33">
        <f>IF(AY594&lt;=0,0,ROUND(AY594+ROUND(AY594*AE$3/12,2),2))</f>
      </c>
      <c r="L595" s="33">
        <f>ROUND(MIN(MAX(0,N('Your debts'!$E$6)),B595),2)</f>
      </c>
      <c r="M595" s="33">
        <f>ROUND(MIN(MAX(0,N('Your debts'!$E$7)),C595),2)</f>
      </c>
      <c r="N595" s="33">
        <f>ROUND(MIN(MAX(0,N('Your debts'!$E$8)),D595),2)</f>
      </c>
      <c r="O595" s="33">
        <f>ROUND(MIN(MAX(0,N('Your debts'!$E$9)),E595),2)</f>
      </c>
      <c r="P595" s="33">
        <f>ROUND(MIN(MAX(0,N('Your debts'!$E$10)),F595),2)</f>
      </c>
      <c r="Q595" s="33">
        <f>ROUND(MIN(MAX(0,N('Your debts'!$E$11)),G595),2)</f>
      </c>
      <c r="R595" s="33">
        <f>ROUND(MIN(MAX(0,N('Your debts'!$E$12)),H595),2)</f>
      </c>
      <c r="S595" s="33">
        <f>ROUND(MIN(MAX(0,N('Your debts'!$E$13)),I595),2)</f>
      </c>
      <c r="T595" s="33">
        <f>ROUND(MIN(MAX(0,N('Your debts'!$E$14)),J595),2)</f>
      </c>
      <c r="U595" s="33">
        <f>ROUND(MIN(MAX(0,N('Your debts'!$E$15)),K595),2)</f>
      </c>
      <c r="V595" s="33">
        <f>ROUND(B595-L595,2)</f>
      </c>
      <c r="W595" s="33">
        <f>ROUND(C595-M595,2)</f>
      </c>
      <c r="X595" s="33">
        <f>ROUND(D595-N595,2)</f>
      </c>
      <c r="Y595" s="33">
        <f>ROUND(E595-O595,2)</f>
      </c>
      <c r="Z595" s="33">
        <f>ROUND(F595-P595,2)</f>
      </c>
      <c r="AA595" s="33">
        <f>ROUND(G595-Q595,2)</f>
      </c>
      <c r="AB595" s="33">
        <f>ROUND(H595-R595,2)</f>
      </c>
      <c r="AC595" s="33">
        <f>ROUND(I595-S595,2)</f>
      </c>
      <c r="AD595" s="33">
        <f>ROUND(J595-T595,2)</f>
      </c>
      <c r="AE595" s="33">
        <f>ROUND(K595-U595,2)</f>
      </c>
      <c r="AF595" s="33">
        <f>IF(V595&lt;=0,0,MAX(0,MIN(V595,ROUND($AZ595-SUMPRODUCT($V595:$AE595*($V595:$AE595&gt;0)*(($V595:$AE595&lt;V595)+($V595:$AE595=V595)*($V$3:$AE$3&gt;V$3)+($V595:$AE595=V595)*($V$3:$AE$3=V$3)*($V$2:$AE$2&lt;V$2))),2))))</f>
      </c>
      <c r="AG595" s="33">
        <f>IF(W595&lt;=0,0,MAX(0,MIN(W595,ROUND($AZ595-SUMPRODUCT($V595:$AE595*($V595:$AE595&gt;0)*(($V595:$AE595&lt;W595)+($V595:$AE595=W595)*($V$3:$AE$3&gt;W$3)+($V595:$AE595=W595)*($V$3:$AE$3=W$3)*($V$2:$AE$2&lt;W$2))),2))))</f>
      </c>
      <c r="AH595" s="33">
        <f>IF(X595&lt;=0,0,MAX(0,MIN(X595,ROUND($AZ595-SUMPRODUCT($V595:$AE595*($V595:$AE595&gt;0)*(($V595:$AE595&lt;X595)+($V595:$AE595=X595)*($V$3:$AE$3&gt;X$3)+($V595:$AE595=X595)*($V$3:$AE$3=X$3)*($V$2:$AE$2&lt;X$2))),2))))</f>
      </c>
      <c r="AI595" s="33">
        <f>IF(Y595&lt;=0,0,MAX(0,MIN(Y595,ROUND($AZ595-SUMPRODUCT($V595:$AE595*($V595:$AE595&gt;0)*(($V595:$AE595&lt;Y595)+($V595:$AE595=Y595)*($V$3:$AE$3&gt;Y$3)+($V595:$AE595=Y595)*($V$3:$AE$3=Y$3)*($V$2:$AE$2&lt;Y$2))),2))))</f>
      </c>
      <c r="AJ595" s="33">
        <f>IF(Z595&lt;=0,0,MAX(0,MIN(Z595,ROUND($AZ595-SUMPRODUCT($V595:$AE595*($V595:$AE595&gt;0)*(($V595:$AE595&lt;Z595)+($V595:$AE595=Z595)*($V$3:$AE$3&gt;Z$3)+($V595:$AE595=Z595)*($V$3:$AE$3=Z$3)*($V$2:$AE$2&lt;Z$2))),2))))</f>
      </c>
      <c r="AK595" s="33">
        <f>IF(AA595&lt;=0,0,MAX(0,MIN(AA595,ROUND($AZ595-SUMPRODUCT($V595:$AE595*($V595:$AE595&gt;0)*(($V595:$AE595&lt;AA595)+($V595:$AE595=AA595)*($V$3:$AE$3&gt;AA$3)+($V595:$AE595=AA595)*($V$3:$AE$3=AA$3)*($V$2:$AE$2&lt;AA$2))),2))))</f>
      </c>
      <c r="AL595" s="33">
        <f>IF(AB595&lt;=0,0,MAX(0,MIN(AB595,ROUND($AZ595-SUMPRODUCT($V595:$AE595*($V595:$AE595&gt;0)*(($V595:$AE595&lt;AB595)+($V595:$AE595=AB595)*($V$3:$AE$3&gt;AB$3)+($V595:$AE595=AB595)*($V$3:$AE$3=AB$3)*($V$2:$AE$2&lt;AB$2))),2))))</f>
      </c>
      <c r="AM595" s="33">
        <f>IF(AC595&lt;=0,0,MAX(0,MIN(AC595,ROUND($AZ595-SUMPRODUCT($V595:$AE595*($V595:$AE595&gt;0)*(($V595:$AE595&lt;AC595)+($V595:$AE595=AC595)*($V$3:$AE$3&gt;AC$3)+($V595:$AE595=AC595)*($V$3:$AE$3=AC$3)*($V$2:$AE$2&lt;AC$2))),2))))</f>
      </c>
      <c r="AN595" s="33">
        <f>IF(AD595&lt;=0,0,MAX(0,MIN(AD595,ROUND($AZ595-SUMPRODUCT($V595:$AE595*($V595:$AE595&gt;0)*(($V595:$AE595&lt;AD595)+($V595:$AE595=AD595)*($V$3:$AE$3&gt;AD$3)+($V595:$AE595=AD595)*($V$3:$AE$3=AD$3)*($V$2:$AE$2&lt;AD$2))),2))))</f>
      </c>
      <c r="AO595" s="33">
        <f>IF(AE595&lt;=0,0,MAX(0,MIN(AE595,ROUND($AZ595-SUMPRODUCT($V595:$AE595*($V595:$AE595&gt;0)*(($V595:$AE595&lt;AE595)+($V595:$AE595=AE595)*($V$3:$AE$3&gt;AE$3)+($V595:$AE595=AE595)*($V$3:$AE$3=AE$3)*($V$2:$AE$2&lt;AE$2))),2))))</f>
      </c>
      <c r="AP595" s="33">
        <f>ROUND(V595-AF595,2)</f>
      </c>
      <c r="AQ595" s="33">
        <f>ROUND(W595-AG595,2)</f>
      </c>
      <c r="AR595" s="33">
        <f>ROUND(X595-AH595,2)</f>
      </c>
      <c r="AS595" s="33">
        <f>ROUND(Y595-AI595,2)</f>
      </c>
      <c r="AT595" s="33">
        <f>ROUND(Z595-AJ595,2)</f>
      </c>
      <c r="AU595" s="33">
        <f>ROUND(AA595-AK595,2)</f>
      </c>
      <c r="AV595" s="33">
        <f>ROUND(AB595-AL595,2)</f>
      </c>
      <c r="AW595" s="33">
        <f>ROUND(AC595-AM595,2)</f>
      </c>
      <c r="AX595" s="33">
        <f>ROUND(AD595-AN595,2)</f>
      </c>
      <c r="AY595" s="33">
        <f>ROUND(AE595-AO595,2)</f>
      </c>
      <c r="AZ595" s="33">
        <f>ROUND(MAX(0,'Your debts'!$D$22-SUM($L595:$U595)),2)</f>
      </c>
      <c r="BA595" s="33">
        <f>ROUND(SUM($B595:$K595)-SUM($AP594:$AY594),2)</f>
      </c>
      <c r="BB595" s="33">
        <f>SUM($AP595:$AY595)</f>
      </c>
      <c r="BC595" s="33">
        <f>ROUND(SUM($L595:$U595)+SUM($AF595:$AO595),2)</f>
      </c>
    </row>
    <row r="596" spans="1:55" x14ac:dyDescent="0.25">
      <c r="A596">
        <v>589</v>
      </c>
      <c r="B596" s="33">
        <f>IF(AP595&lt;=0,0,ROUND(AP595+ROUND(AP595*V$3/12,2),2))</f>
      </c>
      <c r="C596" s="33">
        <f>IF(AQ595&lt;=0,0,ROUND(AQ595+ROUND(AQ595*W$3/12,2),2))</f>
      </c>
      <c r="D596" s="33">
        <f>IF(AR595&lt;=0,0,ROUND(AR595+ROUND(AR595*X$3/12,2),2))</f>
      </c>
      <c r="E596" s="33">
        <f>IF(AS595&lt;=0,0,ROUND(AS595+ROUND(AS595*Y$3/12,2),2))</f>
      </c>
      <c r="F596" s="33">
        <f>IF(AT595&lt;=0,0,ROUND(AT595+ROUND(AT595*Z$3/12,2),2))</f>
      </c>
      <c r="G596" s="33">
        <f>IF(AU595&lt;=0,0,ROUND(AU595+ROUND(AU595*AA$3/12,2),2))</f>
      </c>
      <c r="H596" s="33">
        <f>IF(AV595&lt;=0,0,ROUND(AV595+ROUND(AV595*AB$3/12,2),2))</f>
      </c>
      <c r="I596" s="33">
        <f>IF(AW595&lt;=0,0,ROUND(AW595+ROUND(AW595*AC$3/12,2),2))</f>
      </c>
      <c r="J596" s="33">
        <f>IF(AX595&lt;=0,0,ROUND(AX595+ROUND(AX595*AD$3/12,2),2))</f>
      </c>
      <c r="K596" s="33">
        <f>IF(AY595&lt;=0,0,ROUND(AY595+ROUND(AY595*AE$3/12,2),2))</f>
      </c>
      <c r="L596" s="33">
        <f>ROUND(MIN(MAX(0,N('Your debts'!$E$6)),B596),2)</f>
      </c>
      <c r="M596" s="33">
        <f>ROUND(MIN(MAX(0,N('Your debts'!$E$7)),C596),2)</f>
      </c>
      <c r="N596" s="33">
        <f>ROUND(MIN(MAX(0,N('Your debts'!$E$8)),D596),2)</f>
      </c>
      <c r="O596" s="33">
        <f>ROUND(MIN(MAX(0,N('Your debts'!$E$9)),E596),2)</f>
      </c>
      <c r="P596" s="33">
        <f>ROUND(MIN(MAX(0,N('Your debts'!$E$10)),F596),2)</f>
      </c>
      <c r="Q596" s="33">
        <f>ROUND(MIN(MAX(0,N('Your debts'!$E$11)),G596),2)</f>
      </c>
      <c r="R596" s="33">
        <f>ROUND(MIN(MAX(0,N('Your debts'!$E$12)),H596),2)</f>
      </c>
      <c r="S596" s="33">
        <f>ROUND(MIN(MAX(0,N('Your debts'!$E$13)),I596),2)</f>
      </c>
      <c r="T596" s="33">
        <f>ROUND(MIN(MAX(0,N('Your debts'!$E$14)),J596),2)</f>
      </c>
      <c r="U596" s="33">
        <f>ROUND(MIN(MAX(0,N('Your debts'!$E$15)),K596),2)</f>
      </c>
      <c r="V596" s="33">
        <f>ROUND(B596-L596,2)</f>
      </c>
      <c r="W596" s="33">
        <f>ROUND(C596-M596,2)</f>
      </c>
      <c r="X596" s="33">
        <f>ROUND(D596-N596,2)</f>
      </c>
      <c r="Y596" s="33">
        <f>ROUND(E596-O596,2)</f>
      </c>
      <c r="Z596" s="33">
        <f>ROUND(F596-P596,2)</f>
      </c>
      <c r="AA596" s="33">
        <f>ROUND(G596-Q596,2)</f>
      </c>
      <c r="AB596" s="33">
        <f>ROUND(H596-R596,2)</f>
      </c>
      <c r="AC596" s="33">
        <f>ROUND(I596-S596,2)</f>
      </c>
      <c r="AD596" s="33">
        <f>ROUND(J596-T596,2)</f>
      </c>
      <c r="AE596" s="33">
        <f>ROUND(K596-U596,2)</f>
      </c>
      <c r="AF596" s="33">
        <f>IF(V596&lt;=0,0,MAX(0,MIN(V596,ROUND($AZ596-SUMPRODUCT($V596:$AE596*($V596:$AE596&gt;0)*(($V596:$AE596&lt;V596)+($V596:$AE596=V596)*($V$3:$AE$3&gt;V$3)+($V596:$AE596=V596)*($V$3:$AE$3=V$3)*($V$2:$AE$2&lt;V$2))),2))))</f>
      </c>
      <c r="AG596" s="33">
        <f>IF(W596&lt;=0,0,MAX(0,MIN(W596,ROUND($AZ596-SUMPRODUCT($V596:$AE596*($V596:$AE596&gt;0)*(($V596:$AE596&lt;W596)+($V596:$AE596=W596)*($V$3:$AE$3&gt;W$3)+($V596:$AE596=W596)*($V$3:$AE$3=W$3)*($V$2:$AE$2&lt;W$2))),2))))</f>
      </c>
      <c r="AH596" s="33">
        <f>IF(X596&lt;=0,0,MAX(0,MIN(X596,ROUND($AZ596-SUMPRODUCT($V596:$AE596*($V596:$AE596&gt;0)*(($V596:$AE596&lt;X596)+($V596:$AE596=X596)*($V$3:$AE$3&gt;X$3)+($V596:$AE596=X596)*($V$3:$AE$3=X$3)*($V$2:$AE$2&lt;X$2))),2))))</f>
      </c>
      <c r="AI596" s="33">
        <f>IF(Y596&lt;=0,0,MAX(0,MIN(Y596,ROUND($AZ596-SUMPRODUCT($V596:$AE596*($V596:$AE596&gt;0)*(($V596:$AE596&lt;Y596)+($V596:$AE596=Y596)*($V$3:$AE$3&gt;Y$3)+($V596:$AE596=Y596)*($V$3:$AE$3=Y$3)*($V$2:$AE$2&lt;Y$2))),2))))</f>
      </c>
      <c r="AJ596" s="33">
        <f>IF(Z596&lt;=0,0,MAX(0,MIN(Z596,ROUND($AZ596-SUMPRODUCT($V596:$AE596*($V596:$AE596&gt;0)*(($V596:$AE596&lt;Z596)+($V596:$AE596=Z596)*($V$3:$AE$3&gt;Z$3)+($V596:$AE596=Z596)*($V$3:$AE$3=Z$3)*($V$2:$AE$2&lt;Z$2))),2))))</f>
      </c>
      <c r="AK596" s="33">
        <f>IF(AA596&lt;=0,0,MAX(0,MIN(AA596,ROUND($AZ596-SUMPRODUCT($V596:$AE596*($V596:$AE596&gt;0)*(($V596:$AE596&lt;AA596)+($V596:$AE596=AA596)*($V$3:$AE$3&gt;AA$3)+($V596:$AE596=AA596)*($V$3:$AE$3=AA$3)*($V$2:$AE$2&lt;AA$2))),2))))</f>
      </c>
      <c r="AL596" s="33">
        <f>IF(AB596&lt;=0,0,MAX(0,MIN(AB596,ROUND($AZ596-SUMPRODUCT($V596:$AE596*($V596:$AE596&gt;0)*(($V596:$AE596&lt;AB596)+($V596:$AE596=AB596)*($V$3:$AE$3&gt;AB$3)+($V596:$AE596=AB596)*($V$3:$AE$3=AB$3)*($V$2:$AE$2&lt;AB$2))),2))))</f>
      </c>
      <c r="AM596" s="33">
        <f>IF(AC596&lt;=0,0,MAX(0,MIN(AC596,ROUND($AZ596-SUMPRODUCT($V596:$AE596*($V596:$AE596&gt;0)*(($V596:$AE596&lt;AC596)+($V596:$AE596=AC596)*($V$3:$AE$3&gt;AC$3)+($V596:$AE596=AC596)*($V$3:$AE$3=AC$3)*($V$2:$AE$2&lt;AC$2))),2))))</f>
      </c>
      <c r="AN596" s="33">
        <f>IF(AD596&lt;=0,0,MAX(0,MIN(AD596,ROUND($AZ596-SUMPRODUCT($V596:$AE596*($V596:$AE596&gt;0)*(($V596:$AE596&lt;AD596)+($V596:$AE596=AD596)*($V$3:$AE$3&gt;AD$3)+($V596:$AE596=AD596)*($V$3:$AE$3=AD$3)*($V$2:$AE$2&lt;AD$2))),2))))</f>
      </c>
      <c r="AO596" s="33">
        <f>IF(AE596&lt;=0,0,MAX(0,MIN(AE596,ROUND($AZ596-SUMPRODUCT($V596:$AE596*($V596:$AE596&gt;0)*(($V596:$AE596&lt;AE596)+($V596:$AE596=AE596)*($V$3:$AE$3&gt;AE$3)+($V596:$AE596=AE596)*($V$3:$AE$3=AE$3)*($V$2:$AE$2&lt;AE$2))),2))))</f>
      </c>
      <c r="AP596" s="33">
        <f>ROUND(V596-AF596,2)</f>
      </c>
      <c r="AQ596" s="33">
        <f>ROUND(W596-AG596,2)</f>
      </c>
      <c r="AR596" s="33">
        <f>ROUND(X596-AH596,2)</f>
      </c>
      <c r="AS596" s="33">
        <f>ROUND(Y596-AI596,2)</f>
      </c>
      <c r="AT596" s="33">
        <f>ROUND(Z596-AJ596,2)</f>
      </c>
      <c r="AU596" s="33">
        <f>ROUND(AA596-AK596,2)</f>
      </c>
      <c r="AV596" s="33">
        <f>ROUND(AB596-AL596,2)</f>
      </c>
      <c r="AW596" s="33">
        <f>ROUND(AC596-AM596,2)</f>
      </c>
      <c r="AX596" s="33">
        <f>ROUND(AD596-AN596,2)</f>
      </c>
      <c r="AY596" s="33">
        <f>ROUND(AE596-AO596,2)</f>
      </c>
      <c r="AZ596" s="33">
        <f>ROUND(MAX(0,'Your debts'!$D$22-SUM($L596:$U596)),2)</f>
      </c>
      <c r="BA596" s="33">
        <f>ROUND(SUM($B596:$K596)-SUM($AP595:$AY595),2)</f>
      </c>
      <c r="BB596" s="33">
        <f>SUM($AP596:$AY596)</f>
      </c>
      <c r="BC596" s="33">
        <f>ROUND(SUM($L596:$U596)+SUM($AF596:$AO596),2)</f>
      </c>
    </row>
    <row r="597" spans="1:55" x14ac:dyDescent="0.25">
      <c r="A597">
        <v>590</v>
      </c>
      <c r="B597" s="33">
        <f>IF(AP596&lt;=0,0,ROUND(AP596+ROUND(AP596*V$3/12,2),2))</f>
      </c>
      <c r="C597" s="33">
        <f>IF(AQ596&lt;=0,0,ROUND(AQ596+ROUND(AQ596*W$3/12,2),2))</f>
      </c>
      <c r="D597" s="33">
        <f>IF(AR596&lt;=0,0,ROUND(AR596+ROUND(AR596*X$3/12,2),2))</f>
      </c>
      <c r="E597" s="33">
        <f>IF(AS596&lt;=0,0,ROUND(AS596+ROUND(AS596*Y$3/12,2),2))</f>
      </c>
      <c r="F597" s="33">
        <f>IF(AT596&lt;=0,0,ROUND(AT596+ROUND(AT596*Z$3/12,2),2))</f>
      </c>
      <c r="G597" s="33">
        <f>IF(AU596&lt;=0,0,ROUND(AU596+ROUND(AU596*AA$3/12,2),2))</f>
      </c>
      <c r="H597" s="33">
        <f>IF(AV596&lt;=0,0,ROUND(AV596+ROUND(AV596*AB$3/12,2),2))</f>
      </c>
      <c r="I597" s="33">
        <f>IF(AW596&lt;=0,0,ROUND(AW596+ROUND(AW596*AC$3/12,2),2))</f>
      </c>
      <c r="J597" s="33">
        <f>IF(AX596&lt;=0,0,ROUND(AX596+ROUND(AX596*AD$3/12,2),2))</f>
      </c>
      <c r="K597" s="33">
        <f>IF(AY596&lt;=0,0,ROUND(AY596+ROUND(AY596*AE$3/12,2),2))</f>
      </c>
      <c r="L597" s="33">
        <f>ROUND(MIN(MAX(0,N('Your debts'!$E$6)),B597),2)</f>
      </c>
      <c r="M597" s="33">
        <f>ROUND(MIN(MAX(0,N('Your debts'!$E$7)),C597),2)</f>
      </c>
      <c r="N597" s="33">
        <f>ROUND(MIN(MAX(0,N('Your debts'!$E$8)),D597),2)</f>
      </c>
      <c r="O597" s="33">
        <f>ROUND(MIN(MAX(0,N('Your debts'!$E$9)),E597),2)</f>
      </c>
      <c r="P597" s="33">
        <f>ROUND(MIN(MAX(0,N('Your debts'!$E$10)),F597),2)</f>
      </c>
      <c r="Q597" s="33">
        <f>ROUND(MIN(MAX(0,N('Your debts'!$E$11)),G597),2)</f>
      </c>
      <c r="R597" s="33">
        <f>ROUND(MIN(MAX(0,N('Your debts'!$E$12)),H597),2)</f>
      </c>
      <c r="S597" s="33">
        <f>ROUND(MIN(MAX(0,N('Your debts'!$E$13)),I597),2)</f>
      </c>
      <c r="T597" s="33">
        <f>ROUND(MIN(MAX(0,N('Your debts'!$E$14)),J597),2)</f>
      </c>
      <c r="U597" s="33">
        <f>ROUND(MIN(MAX(0,N('Your debts'!$E$15)),K597),2)</f>
      </c>
      <c r="V597" s="33">
        <f>ROUND(B597-L597,2)</f>
      </c>
      <c r="W597" s="33">
        <f>ROUND(C597-M597,2)</f>
      </c>
      <c r="X597" s="33">
        <f>ROUND(D597-N597,2)</f>
      </c>
      <c r="Y597" s="33">
        <f>ROUND(E597-O597,2)</f>
      </c>
      <c r="Z597" s="33">
        <f>ROUND(F597-P597,2)</f>
      </c>
      <c r="AA597" s="33">
        <f>ROUND(G597-Q597,2)</f>
      </c>
      <c r="AB597" s="33">
        <f>ROUND(H597-R597,2)</f>
      </c>
      <c r="AC597" s="33">
        <f>ROUND(I597-S597,2)</f>
      </c>
      <c r="AD597" s="33">
        <f>ROUND(J597-T597,2)</f>
      </c>
      <c r="AE597" s="33">
        <f>ROUND(K597-U597,2)</f>
      </c>
      <c r="AF597" s="33">
        <f>IF(V597&lt;=0,0,MAX(0,MIN(V597,ROUND($AZ597-SUMPRODUCT($V597:$AE597*($V597:$AE597&gt;0)*(($V597:$AE597&lt;V597)+($V597:$AE597=V597)*($V$3:$AE$3&gt;V$3)+($V597:$AE597=V597)*($V$3:$AE$3=V$3)*($V$2:$AE$2&lt;V$2))),2))))</f>
      </c>
      <c r="AG597" s="33">
        <f>IF(W597&lt;=0,0,MAX(0,MIN(W597,ROUND($AZ597-SUMPRODUCT($V597:$AE597*($V597:$AE597&gt;0)*(($V597:$AE597&lt;W597)+($V597:$AE597=W597)*($V$3:$AE$3&gt;W$3)+($V597:$AE597=W597)*($V$3:$AE$3=W$3)*($V$2:$AE$2&lt;W$2))),2))))</f>
      </c>
      <c r="AH597" s="33">
        <f>IF(X597&lt;=0,0,MAX(0,MIN(X597,ROUND($AZ597-SUMPRODUCT($V597:$AE597*($V597:$AE597&gt;0)*(($V597:$AE597&lt;X597)+($V597:$AE597=X597)*($V$3:$AE$3&gt;X$3)+($V597:$AE597=X597)*($V$3:$AE$3=X$3)*($V$2:$AE$2&lt;X$2))),2))))</f>
      </c>
      <c r="AI597" s="33">
        <f>IF(Y597&lt;=0,0,MAX(0,MIN(Y597,ROUND($AZ597-SUMPRODUCT($V597:$AE597*($V597:$AE597&gt;0)*(($V597:$AE597&lt;Y597)+($V597:$AE597=Y597)*($V$3:$AE$3&gt;Y$3)+($V597:$AE597=Y597)*($V$3:$AE$3=Y$3)*($V$2:$AE$2&lt;Y$2))),2))))</f>
      </c>
      <c r="AJ597" s="33">
        <f>IF(Z597&lt;=0,0,MAX(0,MIN(Z597,ROUND($AZ597-SUMPRODUCT($V597:$AE597*($V597:$AE597&gt;0)*(($V597:$AE597&lt;Z597)+($V597:$AE597=Z597)*($V$3:$AE$3&gt;Z$3)+($V597:$AE597=Z597)*($V$3:$AE$3=Z$3)*($V$2:$AE$2&lt;Z$2))),2))))</f>
      </c>
      <c r="AK597" s="33">
        <f>IF(AA597&lt;=0,0,MAX(0,MIN(AA597,ROUND($AZ597-SUMPRODUCT($V597:$AE597*($V597:$AE597&gt;0)*(($V597:$AE597&lt;AA597)+($V597:$AE597=AA597)*($V$3:$AE$3&gt;AA$3)+($V597:$AE597=AA597)*($V$3:$AE$3=AA$3)*($V$2:$AE$2&lt;AA$2))),2))))</f>
      </c>
      <c r="AL597" s="33">
        <f>IF(AB597&lt;=0,0,MAX(0,MIN(AB597,ROUND($AZ597-SUMPRODUCT($V597:$AE597*($V597:$AE597&gt;0)*(($V597:$AE597&lt;AB597)+($V597:$AE597=AB597)*($V$3:$AE$3&gt;AB$3)+($V597:$AE597=AB597)*($V$3:$AE$3=AB$3)*($V$2:$AE$2&lt;AB$2))),2))))</f>
      </c>
      <c r="AM597" s="33">
        <f>IF(AC597&lt;=0,0,MAX(0,MIN(AC597,ROUND($AZ597-SUMPRODUCT($V597:$AE597*($V597:$AE597&gt;0)*(($V597:$AE597&lt;AC597)+($V597:$AE597=AC597)*($V$3:$AE$3&gt;AC$3)+($V597:$AE597=AC597)*($V$3:$AE$3=AC$3)*($V$2:$AE$2&lt;AC$2))),2))))</f>
      </c>
      <c r="AN597" s="33">
        <f>IF(AD597&lt;=0,0,MAX(0,MIN(AD597,ROUND($AZ597-SUMPRODUCT($V597:$AE597*($V597:$AE597&gt;0)*(($V597:$AE597&lt;AD597)+($V597:$AE597=AD597)*($V$3:$AE$3&gt;AD$3)+($V597:$AE597=AD597)*($V$3:$AE$3=AD$3)*($V$2:$AE$2&lt;AD$2))),2))))</f>
      </c>
      <c r="AO597" s="33">
        <f>IF(AE597&lt;=0,0,MAX(0,MIN(AE597,ROUND($AZ597-SUMPRODUCT($V597:$AE597*($V597:$AE597&gt;0)*(($V597:$AE597&lt;AE597)+($V597:$AE597=AE597)*($V$3:$AE$3&gt;AE$3)+($V597:$AE597=AE597)*($V$3:$AE$3=AE$3)*($V$2:$AE$2&lt;AE$2))),2))))</f>
      </c>
      <c r="AP597" s="33">
        <f>ROUND(V597-AF597,2)</f>
      </c>
      <c r="AQ597" s="33">
        <f>ROUND(W597-AG597,2)</f>
      </c>
      <c r="AR597" s="33">
        <f>ROUND(X597-AH597,2)</f>
      </c>
      <c r="AS597" s="33">
        <f>ROUND(Y597-AI597,2)</f>
      </c>
      <c r="AT597" s="33">
        <f>ROUND(Z597-AJ597,2)</f>
      </c>
      <c r="AU597" s="33">
        <f>ROUND(AA597-AK597,2)</f>
      </c>
      <c r="AV597" s="33">
        <f>ROUND(AB597-AL597,2)</f>
      </c>
      <c r="AW597" s="33">
        <f>ROUND(AC597-AM597,2)</f>
      </c>
      <c r="AX597" s="33">
        <f>ROUND(AD597-AN597,2)</f>
      </c>
      <c r="AY597" s="33">
        <f>ROUND(AE597-AO597,2)</f>
      </c>
      <c r="AZ597" s="33">
        <f>ROUND(MAX(0,'Your debts'!$D$22-SUM($L597:$U597)),2)</f>
      </c>
      <c r="BA597" s="33">
        <f>ROUND(SUM($B597:$K597)-SUM($AP596:$AY596),2)</f>
      </c>
      <c r="BB597" s="33">
        <f>SUM($AP597:$AY597)</f>
      </c>
      <c r="BC597" s="33">
        <f>ROUND(SUM($L597:$U597)+SUM($AF597:$AO597),2)</f>
      </c>
    </row>
    <row r="598" spans="1:55" x14ac:dyDescent="0.25">
      <c r="A598">
        <v>591</v>
      </c>
      <c r="B598" s="33">
        <f>IF(AP597&lt;=0,0,ROUND(AP597+ROUND(AP597*V$3/12,2),2))</f>
      </c>
      <c r="C598" s="33">
        <f>IF(AQ597&lt;=0,0,ROUND(AQ597+ROUND(AQ597*W$3/12,2),2))</f>
      </c>
      <c r="D598" s="33">
        <f>IF(AR597&lt;=0,0,ROUND(AR597+ROUND(AR597*X$3/12,2),2))</f>
      </c>
      <c r="E598" s="33">
        <f>IF(AS597&lt;=0,0,ROUND(AS597+ROUND(AS597*Y$3/12,2),2))</f>
      </c>
      <c r="F598" s="33">
        <f>IF(AT597&lt;=0,0,ROUND(AT597+ROUND(AT597*Z$3/12,2),2))</f>
      </c>
      <c r="G598" s="33">
        <f>IF(AU597&lt;=0,0,ROUND(AU597+ROUND(AU597*AA$3/12,2),2))</f>
      </c>
      <c r="H598" s="33">
        <f>IF(AV597&lt;=0,0,ROUND(AV597+ROUND(AV597*AB$3/12,2),2))</f>
      </c>
      <c r="I598" s="33">
        <f>IF(AW597&lt;=0,0,ROUND(AW597+ROUND(AW597*AC$3/12,2),2))</f>
      </c>
      <c r="J598" s="33">
        <f>IF(AX597&lt;=0,0,ROUND(AX597+ROUND(AX597*AD$3/12,2),2))</f>
      </c>
      <c r="K598" s="33">
        <f>IF(AY597&lt;=0,0,ROUND(AY597+ROUND(AY597*AE$3/12,2),2))</f>
      </c>
      <c r="L598" s="33">
        <f>ROUND(MIN(MAX(0,N('Your debts'!$E$6)),B598),2)</f>
      </c>
      <c r="M598" s="33">
        <f>ROUND(MIN(MAX(0,N('Your debts'!$E$7)),C598),2)</f>
      </c>
      <c r="N598" s="33">
        <f>ROUND(MIN(MAX(0,N('Your debts'!$E$8)),D598),2)</f>
      </c>
      <c r="O598" s="33">
        <f>ROUND(MIN(MAX(0,N('Your debts'!$E$9)),E598),2)</f>
      </c>
      <c r="P598" s="33">
        <f>ROUND(MIN(MAX(0,N('Your debts'!$E$10)),F598),2)</f>
      </c>
      <c r="Q598" s="33">
        <f>ROUND(MIN(MAX(0,N('Your debts'!$E$11)),G598),2)</f>
      </c>
      <c r="R598" s="33">
        <f>ROUND(MIN(MAX(0,N('Your debts'!$E$12)),H598),2)</f>
      </c>
      <c r="S598" s="33">
        <f>ROUND(MIN(MAX(0,N('Your debts'!$E$13)),I598),2)</f>
      </c>
      <c r="T598" s="33">
        <f>ROUND(MIN(MAX(0,N('Your debts'!$E$14)),J598),2)</f>
      </c>
      <c r="U598" s="33">
        <f>ROUND(MIN(MAX(0,N('Your debts'!$E$15)),K598),2)</f>
      </c>
      <c r="V598" s="33">
        <f>ROUND(B598-L598,2)</f>
      </c>
      <c r="W598" s="33">
        <f>ROUND(C598-M598,2)</f>
      </c>
      <c r="X598" s="33">
        <f>ROUND(D598-N598,2)</f>
      </c>
      <c r="Y598" s="33">
        <f>ROUND(E598-O598,2)</f>
      </c>
      <c r="Z598" s="33">
        <f>ROUND(F598-P598,2)</f>
      </c>
      <c r="AA598" s="33">
        <f>ROUND(G598-Q598,2)</f>
      </c>
      <c r="AB598" s="33">
        <f>ROUND(H598-R598,2)</f>
      </c>
      <c r="AC598" s="33">
        <f>ROUND(I598-S598,2)</f>
      </c>
      <c r="AD598" s="33">
        <f>ROUND(J598-T598,2)</f>
      </c>
      <c r="AE598" s="33">
        <f>ROUND(K598-U598,2)</f>
      </c>
      <c r="AF598" s="33">
        <f>IF(V598&lt;=0,0,MAX(0,MIN(V598,ROUND($AZ598-SUMPRODUCT($V598:$AE598*($V598:$AE598&gt;0)*(($V598:$AE598&lt;V598)+($V598:$AE598=V598)*($V$3:$AE$3&gt;V$3)+($V598:$AE598=V598)*($V$3:$AE$3=V$3)*($V$2:$AE$2&lt;V$2))),2))))</f>
      </c>
      <c r="AG598" s="33">
        <f>IF(W598&lt;=0,0,MAX(0,MIN(W598,ROUND($AZ598-SUMPRODUCT($V598:$AE598*($V598:$AE598&gt;0)*(($V598:$AE598&lt;W598)+($V598:$AE598=W598)*($V$3:$AE$3&gt;W$3)+($V598:$AE598=W598)*($V$3:$AE$3=W$3)*($V$2:$AE$2&lt;W$2))),2))))</f>
      </c>
      <c r="AH598" s="33">
        <f>IF(X598&lt;=0,0,MAX(0,MIN(X598,ROUND($AZ598-SUMPRODUCT($V598:$AE598*($V598:$AE598&gt;0)*(($V598:$AE598&lt;X598)+($V598:$AE598=X598)*($V$3:$AE$3&gt;X$3)+($V598:$AE598=X598)*($V$3:$AE$3=X$3)*($V$2:$AE$2&lt;X$2))),2))))</f>
      </c>
      <c r="AI598" s="33">
        <f>IF(Y598&lt;=0,0,MAX(0,MIN(Y598,ROUND($AZ598-SUMPRODUCT($V598:$AE598*($V598:$AE598&gt;0)*(($V598:$AE598&lt;Y598)+($V598:$AE598=Y598)*($V$3:$AE$3&gt;Y$3)+($V598:$AE598=Y598)*($V$3:$AE$3=Y$3)*($V$2:$AE$2&lt;Y$2))),2))))</f>
      </c>
      <c r="AJ598" s="33">
        <f>IF(Z598&lt;=0,0,MAX(0,MIN(Z598,ROUND($AZ598-SUMPRODUCT($V598:$AE598*($V598:$AE598&gt;0)*(($V598:$AE598&lt;Z598)+($V598:$AE598=Z598)*($V$3:$AE$3&gt;Z$3)+($V598:$AE598=Z598)*($V$3:$AE$3=Z$3)*($V$2:$AE$2&lt;Z$2))),2))))</f>
      </c>
      <c r="AK598" s="33">
        <f>IF(AA598&lt;=0,0,MAX(0,MIN(AA598,ROUND($AZ598-SUMPRODUCT($V598:$AE598*($V598:$AE598&gt;0)*(($V598:$AE598&lt;AA598)+($V598:$AE598=AA598)*($V$3:$AE$3&gt;AA$3)+($V598:$AE598=AA598)*($V$3:$AE$3=AA$3)*($V$2:$AE$2&lt;AA$2))),2))))</f>
      </c>
      <c r="AL598" s="33">
        <f>IF(AB598&lt;=0,0,MAX(0,MIN(AB598,ROUND($AZ598-SUMPRODUCT($V598:$AE598*($V598:$AE598&gt;0)*(($V598:$AE598&lt;AB598)+($V598:$AE598=AB598)*($V$3:$AE$3&gt;AB$3)+($V598:$AE598=AB598)*($V$3:$AE$3=AB$3)*($V$2:$AE$2&lt;AB$2))),2))))</f>
      </c>
      <c r="AM598" s="33">
        <f>IF(AC598&lt;=0,0,MAX(0,MIN(AC598,ROUND($AZ598-SUMPRODUCT($V598:$AE598*($V598:$AE598&gt;0)*(($V598:$AE598&lt;AC598)+($V598:$AE598=AC598)*($V$3:$AE$3&gt;AC$3)+($V598:$AE598=AC598)*($V$3:$AE$3=AC$3)*($V$2:$AE$2&lt;AC$2))),2))))</f>
      </c>
      <c r="AN598" s="33">
        <f>IF(AD598&lt;=0,0,MAX(0,MIN(AD598,ROUND($AZ598-SUMPRODUCT($V598:$AE598*($V598:$AE598&gt;0)*(($V598:$AE598&lt;AD598)+($V598:$AE598=AD598)*($V$3:$AE$3&gt;AD$3)+($V598:$AE598=AD598)*($V$3:$AE$3=AD$3)*($V$2:$AE$2&lt;AD$2))),2))))</f>
      </c>
      <c r="AO598" s="33">
        <f>IF(AE598&lt;=0,0,MAX(0,MIN(AE598,ROUND($AZ598-SUMPRODUCT($V598:$AE598*($V598:$AE598&gt;0)*(($V598:$AE598&lt;AE598)+($V598:$AE598=AE598)*($V$3:$AE$3&gt;AE$3)+($V598:$AE598=AE598)*($V$3:$AE$3=AE$3)*($V$2:$AE$2&lt;AE$2))),2))))</f>
      </c>
      <c r="AP598" s="33">
        <f>ROUND(V598-AF598,2)</f>
      </c>
      <c r="AQ598" s="33">
        <f>ROUND(W598-AG598,2)</f>
      </c>
      <c r="AR598" s="33">
        <f>ROUND(X598-AH598,2)</f>
      </c>
      <c r="AS598" s="33">
        <f>ROUND(Y598-AI598,2)</f>
      </c>
      <c r="AT598" s="33">
        <f>ROUND(Z598-AJ598,2)</f>
      </c>
      <c r="AU598" s="33">
        <f>ROUND(AA598-AK598,2)</f>
      </c>
      <c r="AV598" s="33">
        <f>ROUND(AB598-AL598,2)</f>
      </c>
      <c r="AW598" s="33">
        <f>ROUND(AC598-AM598,2)</f>
      </c>
      <c r="AX598" s="33">
        <f>ROUND(AD598-AN598,2)</f>
      </c>
      <c r="AY598" s="33">
        <f>ROUND(AE598-AO598,2)</f>
      </c>
      <c r="AZ598" s="33">
        <f>ROUND(MAX(0,'Your debts'!$D$22-SUM($L598:$U598)),2)</f>
      </c>
      <c r="BA598" s="33">
        <f>ROUND(SUM($B598:$K598)-SUM($AP597:$AY597),2)</f>
      </c>
      <c r="BB598" s="33">
        <f>SUM($AP598:$AY598)</f>
      </c>
      <c r="BC598" s="33">
        <f>ROUND(SUM($L598:$U598)+SUM($AF598:$AO598),2)</f>
      </c>
    </row>
    <row r="599" spans="1:55" x14ac:dyDescent="0.25">
      <c r="A599">
        <v>592</v>
      </c>
      <c r="B599" s="33">
        <f>IF(AP598&lt;=0,0,ROUND(AP598+ROUND(AP598*V$3/12,2),2))</f>
      </c>
      <c r="C599" s="33">
        <f>IF(AQ598&lt;=0,0,ROUND(AQ598+ROUND(AQ598*W$3/12,2),2))</f>
      </c>
      <c r="D599" s="33">
        <f>IF(AR598&lt;=0,0,ROUND(AR598+ROUND(AR598*X$3/12,2),2))</f>
      </c>
      <c r="E599" s="33">
        <f>IF(AS598&lt;=0,0,ROUND(AS598+ROUND(AS598*Y$3/12,2),2))</f>
      </c>
      <c r="F599" s="33">
        <f>IF(AT598&lt;=0,0,ROUND(AT598+ROUND(AT598*Z$3/12,2),2))</f>
      </c>
      <c r="G599" s="33">
        <f>IF(AU598&lt;=0,0,ROUND(AU598+ROUND(AU598*AA$3/12,2),2))</f>
      </c>
      <c r="H599" s="33">
        <f>IF(AV598&lt;=0,0,ROUND(AV598+ROUND(AV598*AB$3/12,2),2))</f>
      </c>
      <c r="I599" s="33">
        <f>IF(AW598&lt;=0,0,ROUND(AW598+ROUND(AW598*AC$3/12,2),2))</f>
      </c>
      <c r="J599" s="33">
        <f>IF(AX598&lt;=0,0,ROUND(AX598+ROUND(AX598*AD$3/12,2),2))</f>
      </c>
      <c r="K599" s="33">
        <f>IF(AY598&lt;=0,0,ROUND(AY598+ROUND(AY598*AE$3/12,2),2))</f>
      </c>
      <c r="L599" s="33">
        <f>ROUND(MIN(MAX(0,N('Your debts'!$E$6)),B599),2)</f>
      </c>
      <c r="M599" s="33">
        <f>ROUND(MIN(MAX(0,N('Your debts'!$E$7)),C599),2)</f>
      </c>
      <c r="N599" s="33">
        <f>ROUND(MIN(MAX(0,N('Your debts'!$E$8)),D599),2)</f>
      </c>
      <c r="O599" s="33">
        <f>ROUND(MIN(MAX(0,N('Your debts'!$E$9)),E599),2)</f>
      </c>
      <c r="P599" s="33">
        <f>ROUND(MIN(MAX(0,N('Your debts'!$E$10)),F599),2)</f>
      </c>
      <c r="Q599" s="33">
        <f>ROUND(MIN(MAX(0,N('Your debts'!$E$11)),G599),2)</f>
      </c>
      <c r="R599" s="33">
        <f>ROUND(MIN(MAX(0,N('Your debts'!$E$12)),H599),2)</f>
      </c>
      <c r="S599" s="33">
        <f>ROUND(MIN(MAX(0,N('Your debts'!$E$13)),I599),2)</f>
      </c>
      <c r="T599" s="33">
        <f>ROUND(MIN(MAX(0,N('Your debts'!$E$14)),J599),2)</f>
      </c>
      <c r="U599" s="33">
        <f>ROUND(MIN(MAX(0,N('Your debts'!$E$15)),K599),2)</f>
      </c>
      <c r="V599" s="33">
        <f>ROUND(B599-L599,2)</f>
      </c>
      <c r="W599" s="33">
        <f>ROUND(C599-M599,2)</f>
      </c>
      <c r="X599" s="33">
        <f>ROUND(D599-N599,2)</f>
      </c>
      <c r="Y599" s="33">
        <f>ROUND(E599-O599,2)</f>
      </c>
      <c r="Z599" s="33">
        <f>ROUND(F599-P599,2)</f>
      </c>
      <c r="AA599" s="33">
        <f>ROUND(G599-Q599,2)</f>
      </c>
      <c r="AB599" s="33">
        <f>ROUND(H599-R599,2)</f>
      </c>
      <c r="AC599" s="33">
        <f>ROUND(I599-S599,2)</f>
      </c>
      <c r="AD599" s="33">
        <f>ROUND(J599-T599,2)</f>
      </c>
      <c r="AE599" s="33">
        <f>ROUND(K599-U599,2)</f>
      </c>
      <c r="AF599" s="33">
        <f>IF(V599&lt;=0,0,MAX(0,MIN(V599,ROUND($AZ599-SUMPRODUCT($V599:$AE599*($V599:$AE599&gt;0)*(($V599:$AE599&lt;V599)+($V599:$AE599=V599)*($V$3:$AE$3&gt;V$3)+($V599:$AE599=V599)*($V$3:$AE$3=V$3)*($V$2:$AE$2&lt;V$2))),2))))</f>
      </c>
      <c r="AG599" s="33">
        <f>IF(W599&lt;=0,0,MAX(0,MIN(W599,ROUND($AZ599-SUMPRODUCT($V599:$AE599*($V599:$AE599&gt;0)*(($V599:$AE599&lt;W599)+($V599:$AE599=W599)*($V$3:$AE$3&gt;W$3)+($V599:$AE599=W599)*($V$3:$AE$3=W$3)*($V$2:$AE$2&lt;W$2))),2))))</f>
      </c>
      <c r="AH599" s="33">
        <f>IF(X599&lt;=0,0,MAX(0,MIN(X599,ROUND($AZ599-SUMPRODUCT($V599:$AE599*($V599:$AE599&gt;0)*(($V599:$AE599&lt;X599)+($V599:$AE599=X599)*($V$3:$AE$3&gt;X$3)+($V599:$AE599=X599)*($V$3:$AE$3=X$3)*($V$2:$AE$2&lt;X$2))),2))))</f>
      </c>
      <c r="AI599" s="33">
        <f>IF(Y599&lt;=0,0,MAX(0,MIN(Y599,ROUND($AZ599-SUMPRODUCT($V599:$AE599*($V599:$AE599&gt;0)*(($V599:$AE599&lt;Y599)+($V599:$AE599=Y599)*($V$3:$AE$3&gt;Y$3)+($V599:$AE599=Y599)*($V$3:$AE$3=Y$3)*($V$2:$AE$2&lt;Y$2))),2))))</f>
      </c>
      <c r="AJ599" s="33">
        <f>IF(Z599&lt;=0,0,MAX(0,MIN(Z599,ROUND($AZ599-SUMPRODUCT($V599:$AE599*($V599:$AE599&gt;0)*(($V599:$AE599&lt;Z599)+($V599:$AE599=Z599)*($V$3:$AE$3&gt;Z$3)+($V599:$AE599=Z599)*($V$3:$AE$3=Z$3)*($V$2:$AE$2&lt;Z$2))),2))))</f>
      </c>
      <c r="AK599" s="33">
        <f>IF(AA599&lt;=0,0,MAX(0,MIN(AA599,ROUND($AZ599-SUMPRODUCT($V599:$AE599*($V599:$AE599&gt;0)*(($V599:$AE599&lt;AA599)+($V599:$AE599=AA599)*($V$3:$AE$3&gt;AA$3)+($V599:$AE599=AA599)*($V$3:$AE$3=AA$3)*($V$2:$AE$2&lt;AA$2))),2))))</f>
      </c>
      <c r="AL599" s="33">
        <f>IF(AB599&lt;=0,0,MAX(0,MIN(AB599,ROUND($AZ599-SUMPRODUCT($V599:$AE599*($V599:$AE599&gt;0)*(($V599:$AE599&lt;AB599)+($V599:$AE599=AB599)*($V$3:$AE$3&gt;AB$3)+($V599:$AE599=AB599)*($V$3:$AE$3=AB$3)*($V$2:$AE$2&lt;AB$2))),2))))</f>
      </c>
      <c r="AM599" s="33">
        <f>IF(AC599&lt;=0,0,MAX(0,MIN(AC599,ROUND($AZ599-SUMPRODUCT($V599:$AE599*($V599:$AE599&gt;0)*(($V599:$AE599&lt;AC599)+($V599:$AE599=AC599)*($V$3:$AE$3&gt;AC$3)+($V599:$AE599=AC599)*($V$3:$AE$3=AC$3)*($V$2:$AE$2&lt;AC$2))),2))))</f>
      </c>
      <c r="AN599" s="33">
        <f>IF(AD599&lt;=0,0,MAX(0,MIN(AD599,ROUND($AZ599-SUMPRODUCT($V599:$AE599*($V599:$AE599&gt;0)*(($V599:$AE599&lt;AD599)+($V599:$AE599=AD599)*($V$3:$AE$3&gt;AD$3)+($V599:$AE599=AD599)*($V$3:$AE$3=AD$3)*($V$2:$AE$2&lt;AD$2))),2))))</f>
      </c>
      <c r="AO599" s="33">
        <f>IF(AE599&lt;=0,0,MAX(0,MIN(AE599,ROUND($AZ599-SUMPRODUCT($V599:$AE599*($V599:$AE599&gt;0)*(($V599:$AE599&lt;AE599)+($V599:$AE599=AE599)*($V$3:$AE$3&gt;AE$3)+($V599:$AE599=AE599)*($V$3:$AE$3=AE$3)*($V$2:$AE$2&lt;AE$2))),2))))</f>
      </c>
      <c r="AP599" s="33">
        <f>ROUND(V599-AF599,2)</f>
      </c>
      <c r="AQ599" s="33">
        <f>ROUND(W599-AG599,2)</f>
      </c>
      <c r="AR599" s="33">
        <f>ROUND(X599-AH599,2)</f>
      </c>
      <c r="AS599" s="33">
        <f>ROUND(Y599-AI599,2)</f>
      </c>
      <c r="AT599" s="33">
        <f>ROUND(Z599-AJ599,2)</f>
      </c>
      <c r="AU599" s="33">
        <f>ROUND(AA599-AK599,2)</f>
      </c>
      <c r="AV599" s="33">
        <f>ROUND(AB599-AL599,2)</f>
      </c>
      <c r="AW599" s="33">
        <f>ROUND(AC599-AM599,2)</f>
      </c>
      <c r="AX599" s="33">
        <f>ROUND(AD599-AN599,2)</f>
      </c>
      <c r="AY599" s="33">
        <f>ROUND(AE599-AO599,2)</f>
      </c>
      <c r="AZ599" s="33">
        <f>ROUND(MAX(0,'Your debts'!$D$22-SUM($L599:$U599)),2)</f>
      </c>
      <c r="BA599" s="33">
        <f>ROUND(SUM($B599:$K599)-SUM($AP598:$AY598),2)</f>
      </c>
      <c r="BB599" s="33">
        <f>SUM($AP599:$AY599)</f>
      </c>
      <c r="BC599" s="33">
        <f>ROUND(SUM($L599:$U599)+SUM($AF599:$AO599),2)</f>
      </c>
    </row>
    <row r="600" spans="1:55" x14ac:dyDescent="0.25">
      <c r="A600">
        <v>593</v>
      </c>
      <c r="B600" s="33">
        <f>IF(AP599&lt;=0,0,ROUND(AP599+ROUND(AP599*V$3/12,2),2))</f>
      </c>
      <c r="C600" s="33">
        <f>IF(AQ599&lt;=0,0,ROUND(AQ599+ROUND(AQ599*W$3/12,2),2))</f>
      </c>
      <c r="D600" s="33">
        <f>IF(AR599&lt;=0,0,ROUND(AR599+ROUND(AR599*X$3/12,2),2))</f>
      </c>
      <c r="E600" s="33">
        <f>IF(AS599&lt;=0,0,ROUND(AS599+ROUND(AS599*Y$3/12,2),2))</f>
      </c>
      <c r="F600" s="33">
        <f>IF(AT599&lt;=0,0,ROUND(AT599+ROUND(AT599*Z$3/12,2),2))</f>
      </c>
      <c r="G600" s="33">
        <f>IF(AU599&lt;=0,0,ROUND(AU599+ROUND(AU599*AA$3/12,2),2))</f>
      </c>
      <c r="H600" s="33">
        <f>IF(AV599&lt;=0,0,ROUND(AV599+ROUND(AV599*AB$3/12,2),2))</f>
      </c>
      <c r="I600" s="33">
        <f>IF(AW599&lt;=0,0,ROUND(AW599+ROUND(AW599*AC$3/12,2),2))</f>
      </c>
      <c r="J600" s="33">
        <f>IF(AX599&lt;=0,0,ROUND(AX599+ROUND(AX599*AD$3/12,2),2))</f>
      </c>
      <c r="K600" s="33">
        <f>IF(AY599&lt;=0,0,ROUND(AY599+ROUND(AY599*AE$3/12,2),2))</f>
      </c>
      <c r="L600" s="33">
        <f>ROUND(MIN(MAX(0,N('Your debts'!$E$6)),B600),2)</f>
      </c>
      <c r="M600" s="33">
        <f>ROUND(MIN(MAX(0,N('Your debts'!$E$7)),C600),2)</f>
      </c>
      <c r="N600" s="33">
        <f>ROUND(MIN(MAX(0,N('Your debts'!$E$8)),D600),2)</f>
      </c>
      <c r="O600" s="33">
        <f>ROUND(MIN(MAX(0,N('Your debts'!$E$9)),E600),2)</f>
      </c>
      <c r="P600" s="33">
        <f>ROUND(MIN(MAX(0,N('Your debts'!$E$10)),F600),2)</f>
      </c>
      <c r="Q600" s="33">
        <f>ROUND(MIN(MAX(0,N('Your debts'!$E$11)),G600),2)</f>
      </c>
      <c r="R600" s="33">
        <f>ROUND(MIN(MAX(0,N('Your debts'!$E$12)),H600),2)</f>
      </c>
      <c r="S600" s="33">
        <f>ROUND(MIN(MAX(0,N('Your debts'!$E$13)),I600),2)</f>
      </c>
      <c r="T600" s="33">
        <f>ROUND(MIN(MAX(0,N('Your debts'!$E$14)),J600),2)</f>
      </c>
      <c r="U600" s="33">
        <f>ROUND(MIN(MAX(0,N('Your debts'!$E$15)),K600),2)</f>
      </c>
      <c r="V600" s="33">
        <f>ROUND(B600-L600,2)</f>
      </c>
      <c r="W600" s="33">
        <f>ROUND(C600-M600,2)</f>
      </c>
      <c r="X600" s="33">
        <f>ROUND(D600-N600,2)</f>
      </c>
      <c r="Y600" s="33">
        <f>ROUND(E600-O600,2)</f>
      </c>
      <c r="Z600" s="33">
        <f>ROUND(F600-P600,2)</f>
      </c>
      <c r="AA600" s="33">
        <f>ROUND(G600-Q600,2)</f>
      </c>
      <c r="AB600" s="33">
        <f>ROUND(H600-R600,2)</f>
      </c>
      <c r="AC600" s="33">
        <f>ROUND(I600-S600,2)</f>
      </c>
      <c r="AD600" s="33">
        <f>ROUND(J600-T600,2)</f>
      </c>
      <c r="AE600" s="33">
        <f>ROUND(K600-U600,2)</f>
      </c>
      <c r="AF600" s="33">
        <f>IF(V600&lt;=0,0,MAX(0,MIN(V600,ROUND($AZ600-SUMPRODUCT($V600:$AE600*($V600:$AE600&gt;0)*(($V600:$AE600&lt;V600)+($V600:$AE600=V600)*($V$3:$AE$3&gt;V$3)+($V600:$AE600=V600)*($V$3:$AE$3=V$3)*($V$2:$AE$2&lt;V$2))),2))))</f>
      </c>
      <c r="AG600" s="33">
        <f>IF(W600&lt;=0,0,MAX(0,MIN(W600,ROUND($AZ600-SUMPRODUCT($V600:$AE600*($V600:$AE600&gt;0)*(($V600:$AE600&lt;W600)+($V600:$AE600=W600)*($V$3:$AE$3&gt;W$3)+($V600:$AE600=W600)*($V$3:$AE$3=W$3)*($V$2:$AE$2&lt;W$2))),2))))</f>
      </c>
      <c r="AH600" s="33">
        <f>IF(X600&lt;=0,0,MAX(0,MIN(X600,ROUND($AZ600-SUMPRODUCT($V600:$AE600*($V600:$AE600&gt;0)*(($V600:$AE600&lt;X600)+($V600:$AE600=X600)*($V$3:$AE$3&gt;X$3)+($V600:$AE600=X600)*($V$3:$AE$3=X$3)*($V$2:$AE$2&lt;X$2))),2))))</f>
      </c>
      <c r="AI600" s="33">
        <f>IF(Y600&lt;=0,0,MAX(0,MIN(Y600,ROUND($AZ600-SUMPRODUCT($V600:$AE600*($V600:$AE600&gt;0)*(($V600:$AE600&lt;Y600)+($V600:$AE600=Y600)*($V$3:$AE$3&gt;Y$3)+($V600:$AE600=Y600)*($V$3:$AE$3=Y$3)*($V$2:$AE$2&lt;Y$2))),2))))</f>
      </c>
      <c r="AJ600" s="33">
        <f>IF(Z600&lt;=0,0,MAX(0,MIN(Z600,ROUND($AZ600-SUMPRODUCT($V600:$AE600*($V600:$AE600&gt;0)*(($V600:$AE600&lt;Z600)+($V600:$AE600=Z600)*($V$3:$AE$3&gt;Z$3)+($V600:$AE600=Z600)*($V$3:$AE$3=Z$3)*($V$2:$AE$2&lt;Z$2))),2))))</f>
      </c>
      <c r="AK600" s="33">
        <f>IF(AA600&lt;=0,0,MAX(0,MIN(AA600,ROUND($AZ600-SUMPRODUCT($V600:$AE600*($V600:$AE600&gt;0)*(($V600:$AE600&lt;AA600)+($V600:$AE600=AA600)*($V$3:$AE$3&gt;AA$3)+($V600:$AE600=AA600)*($V$3:$AE$3=AA$3)*($V$2:$AE$2&lt;AA$2))),2))))</f>
      </c>
      <c r="AL600" s="33">
        <f>IF(AB600&lt;=0,0,MAX(0,MIN(AB600,ROUND($AZ600-SUMPRODUCT($V600:$AE600*($V600:$AE600&gt;0)*(($V600:$AE600&lt;AB600)+($V600:$AE600=AB600)*($V$3:$AE$3&gt;AB$3)+($V600:$AE600=AB600)*($V$3:$AE$3=AB$3)*($V$2:$AE$2&lt;AB$2))),2))))</f>
      </c>
      <c r="AM600" s="33">
        <f>IF(AC600&lt;=0,0,MAX(0,MIN(AC600,ROUND($AZ600-SUMPRODUCT($V600:$AE600*($V600:$AE600&gt;0)*(($V600:$AE600&lt;AC600)+($V600:$AE600=AC600)*($V$3:$AE$3&gt;AC$3)+($V600:$AE600=AC600)*($V$3:$AE$3=AC$3)*($V$2:$AE$2&lt;AC$2))),2))))</f>
      </c>
      <c r="AN600" s="33">
        <f>IF(AD600&lt;=0,0,MAX(0,MIN(AD600,ROUND($AZ600-SUMPRODUCT($V600:$AE600*($V600:$AE600&gt;0)*(($V600:$AE600&lt;AD600)+($V600:$AE600=AD600)*($V$3:$AE$3&gt;AD$3)+($V600:$AE600=AD600)*($V$3:$AE$3=AD$3)*($V$2:$AE$2&lt;AD$2))),2))))</f>
      </c>
      <c r="AO600" s="33">
        <f>IF(AE600&lt;=0,0,MAX(0,MIN(AE600,ROUND($AZ600-SUMPRODUCT($V600:$AE600*($V600:$AE600&gt;0)*(($V600:$AE600&lt;AE600)+($V600:$AE600=AE600)*($V$3:$AE$3&gt;AE$3)+($V600:$AE600=AE600)*($V$3:$AE$3=AE$3)*($V$2:$AE$2&lt;AE$2))),2))))</f>
      </c>
      <c r="AP600" s="33">
        <f>ROUND(V600-AF600,2)</f>
      </c>
      <c r="AQ600" s="33">
        <f>ROUND(W600-AG600,2)</f>
      </c>
      <c r="AR600" s="33">
        <f>ROUND(X600-AH600,2)</f>
      </c>
      <c r="AS600" s="33">
        <f>ROUND(Y600-AI600,2)</f>
      </c>
      <c r="AT600" s="33">
        <f>ROUND(Z600-AJ600,2)</f>
      </c>
      <c r="AU600" s="33">
        <f>ROUND(AA600-AK600,2)</f>
      </c>
      <c r="AV600" s="33">
        <f>ROUND(AB600-AL600,2)</f>
      </c>
      <c r="AW600" s="33">
        <f>ROUND(AC600-AM600,2)</f>
      </c>
      <c r="AX600" s="33">
        <f>ROUND(AD600-AN600,2)</f>
      </c>
      <c r="AY600" s="33">
        <f>ROUND(AE600-AO600,2)</f>
      </c>
      <c r="AZ600" s="33">
        <f>ROUND(MAX(0,'Your debts'!$D$22-SUM($L600:$U600)),2)</f>
      </c>
      <c r="BA600" s="33">
        <f>ROUND(SUM($B600:$K600)-SUM($AP599:$AY599),2)</f>
      </c>
      <c r="BB600" s="33">
        <f>SUM($AP600:$AY600)</f>
      </c>
      <c r="BC600" s="33">
        <f>ROUND(SUM($L600:$U600)+SUM($AF600:$AO600),2)</f>
      </c>
    </row>
    <row r="601" spans="1:55" x14ac:dyDescent="0.25">
      <c r="A601">
        <v>594</v>
      </c>
      <c r="B601" s="33">
        <f>IF(AP600&lt;=0,0,ROUND(AP600+ROUND(AP600*V$3/12,2),2))</f>
      </c>
      <c r="C601" s="33">
        <f>IF(AQ600&lt;=0,0,ROUND(AQ600+ROUND(AQ600*W$3/12,2),2))</f>
      </c>
      <c r="D601" s="33">
        <f>IF(AR600&lt;=0,0,ROUND(AR600+ROUND(AR600*X$3/12,2),2))</f>
      </c>
      <c r="E601" s="33">
        <f>IF(AS600&lt;=0,0,ROUND(AS600+ROUND(AS600*Y$3/12,2),2))</f>
      </c>
      <c r="F601" s="33">
        <f>IF(AT600&lt;=0,0,ROUND(AT600+ROUND(AT600*Z$3/12,2),2))</f>
      </c>
      <c r="G601" s="33">
        <f>IF(AU600&lt;=0,0,ROUND(AU600+ROUND(AU600*AA$3/12,2),2))</f>
      </c>
      <c r="H601" s="33">
        <f>IF(AV600&lt;=0,0,ROUND(AV600+ROUND(AV600*AB$3/12,2),2))</f>
      </c>
      <c r="I601" s="33">
        <f>IF(AW600&lt;=0,0,ROUND(AW600+ROUND(AW600*AC$3/12,2),2))</f>
      </c>
      <c r="J601" s="33">
        <f>IF(AX600&lt;=0,0,ROUND(AX600+ROUND(AX600*AD$3/12,2),2))</f>
      </c>
      <c r="K601" s="33">
        <f>IF(AY600&lt;=0,0,ROUND(AY600+ROUND(AY600*AE$3/12,2),2))</f>
      </c>
      <c r="L601" s="33">
        <f>ROUND(MIN(MAX(0,N('Your debts'!$E$6)),B601),2)</f>
      </c>
      <c r="M601" s="33">
        <f>ROUND(MIN(MAX(0,N('Your debts'!$E$7)),C601),2)</f>
      </c>
      <c r="N601" s="33">
        <f>ROUND(MIN(MAX(0,N('Your debts'!$E$8)),D601),2)</f>
      </c>
      <c r="O601" s="33">
        <f>ROUND(MIN(MAX(0,N('Your debts'!$E$9)),E601),2)</f>
      </c>
      <c r="P601" s="33">
        <f>ROUND(MIN(MAX(0,N('Your debts'!$E$10)),F601),2)</f>
      </c>
      <c r="Q601" s="33">
        <f>ROUND(MIN(MAX(0,N('Your debts'!$E$11)),G601),2)</f>
      </c>
      <c r="R601" s="33">
        <f>ROUND(MIN(MAX(0,N('Your debts'!$E$12)),H601),2)</f>
      </c>
      <c r="S601" s="33">
        <f>ROUND(MIN(MAX(0,N('Your debts'!$E$13)),I601),2)</f>
      </c>
      <c r="T601" s="33">
        <f>ROUND(MIN(MAX(0,N('Your debts'!$E$14)),J601),2)</f>
      </c>
      <c r="U601" s="33">
        <f>ROUND(MIN(MAX(0,N('Your debts'!$E$15)),K601),2)</f>
      </c>
      <c r="V601" s="33">
        <f>ROUND(B601-L601,2)</f>
      </c>
      <c r="W601" s="33">
        <f>ROUND(C601-M601,2)</f>
      </c>
      <c r="X601" s="33">
        <f>ROUND(D601-N601,2)</f>
      </c>
      <c r="Y601" s="33">
        <f>ROUND(E601-O601,2)</f>
      </c>
      <c r="Z601" s="33">
        <f>ROUND(F601-P601,2)</f>
      </c>
      <c r="AA601" s="33">
        <f>ROUND(G601-Q601,2)</f>
      </c>
      <c r="AB601" s="33">
        <f>ROUND(H601-R601,2)</f>
      </c>
      <c r="AC601" s="33">
        <f>ROUND(I601-S601,2)</f>
      </c>
      <c r="AD601" s="33">
        <f>ROUND(J601-T601,2)</f>
      </c>
      <c r="AE601" s="33">
        <f>ROUND(K601-U601,2)</f>
      </c>
      <c r="AF601" s="33">
        <f>IF(V601&lt;=0,0,MAX(0,MIN(V601,ROUND($AZ601-SUMPRODUCT($V601:$AE601*($V601:$AE601&gt;0)*(($V601:$AE601&lt;V601)+($V601:$AE601=V601)*($V$3:$AE$3&gt;V$3)+($V601:$AE601=V601)*($V$3:$AE$3=V$3)*($V$2:$AE$2&lt;V$2))),2))))</f>
      </c>
      <c r="AG601" s="33">
        <f>IF(W601&lt;=0,0,MAX(0,MIN(W601,ROUND($AZ601-SUMPRODUCT($V601:$AE601*($V601:$AE601&gt;0)*(($V601:$AE601&lt;W601)+($V601:$AE601=W601)*($V$3:$AE$3&gt;W$3)+($V601:$AE601=W601)*($V$3:$AE$3=W$3)*($V$2:$AE$2&lt;W$2))),2))))</f>
      </c>
      <c r="AH601" s="33">
        <f>IF(X601&lt;=0,0,MAX(0,MIN(X601,ROUND($AZ601-SUMPRODUCT($V601:$AE601*($V601:$AE601&gt;0)*(($V601:$AE601&lt;X601)+($V601:$AE601=X601)*($V$3:$AE$3&gt;X$3)+($V601:$AE601=X601)*($V$3:$AE$3=X$3)*($V$2:$AE$2&lt;X$2))),2))))</f>
      </c>
      <c r="AI601" s="33">
        <f>IF(Y601&lt;=0,0,MAX(0,MIN(Y601,ROUND($AZ601-SUMPRODUCT($V601:$AE601*($V601:$AE601&gt;0)*(($V601:$AE601&lt;Y601)+($V601:$AE601=Y601)*($V$3:$AE$3&gt;Y$3)+($V601:$AE601=Y601)*($V$3:$AE$3=Y$3)*($V$2:$AE$2&lt;Y$2))),2))))</f>
      </c>
      <c r="AJ601" s="33">
        <f>IF(Z601&lt;=0,0,MAX(0,MIN(Z601,ROUND($AZ601-SUMPRODUCT($V601:$AE601*($V601:$AE601&gt;0)*(($V601:$AE601&lt;Z601)+($V601:$AE601=Z601)*($V$3:$AE$3&gt;Z$3)+($V601:$AE601=Z601)*($V$3:$AE$3=Z$3)*($V$2:$AE$2&lt;Z$2))),2))))</f>
      </c>
      <c r="AK601" s="33">
        <f>IF(AA601&lt;=0,0,MAX(0,MIN(AA601,ROUND($AZ601-SUMPRODUCT($V601:$AE601*($V601:$AE601&gt;0)*(($V601:$AE601&lt;AA601)+($V601:$AE601=AA601)*($V$3:$AE$3&gt;AA$3)+($V601:$AE601=AA601)*($V$3:$AE$3=AA$3)*($V$2:$AE$2&lt;AA$2))),2))))</f>
      </c>
      <c r="AL601" s="33">
        <f>IF(AB601&lt;=0,0,MAX(0,MIN(AB601,ROUND($AZ601-SUMPRODUCT($V601:$AE601*($V601:$AE601&gt;0)*(($V601:$AE601&lt;AB601)+($V601:$AE601=AB601)*($V$3:$AE$3&gt;AB$3)+($V601:$AE601=AB601)*($V$3:$AE$3=AB$3)*($V$2:$AE$2&lt;AB$2))),2))))</f>
      </c>
      <c r="AM601" s="33">
        <f>IF(AC601&lt;=0,0,MAX(0,MIN(AC601,ROUND($AZ601-SUMPRODUCT($V601:$AE601*($V601:$AE601&gt;0)*(($V601:$AE601&lt;AC601)+($V601:$AE601=AC601)*($V$3:$AE$3&gt;AC$3)+($V601:$AE601=AC601)*($V$3:$AE$3=AC$3)*($V$2:$AE$2&lt;AC$2))),2))))</f>
      </c>
      <c r="AN601" s="33">
        <f>IF(AD601&lt;=0,0,MAX(0,MIN(AD601,ROUND($AZ601-SUMPRODUCT($V601:$AE601*($V601:$AE601&gt;0)*(($V601:$AE601&lt;AD601)+($V601:$AE601=AD601)*($V$3:$AE$3&gt;AD$3)+($V601:$AE601=AD601)*($V$3:$AE$3=AD$3)*($V$2:$AE$2&lt;AD$2))),2))))</f>
      </c>
      <c r="AO601" s="33">
        <f>IF(AE601&lt;=0,0,MAX(0,MIN(AE601,ROUND($AZ601-SUMPRODUCT($V601:$AE601*($V601:$AE601&gt;0)*(($V601:$AE601&lt;AE601)+($V601:$AE601=AE601)*($V$3:$AE$3&gt;AE$3)+($V601:$AE601=AE601)*($V$3:$AE$3=AE$3)*($V$2:$AE$2&lt;AE$2))),2))))</f>
      </c>
      <c r="AP601" s="33">
        <f>ROUND(V601-AF601,2)</f>
      </c>
      <c r="AQ601" s="33">
        <f>ROUND(W601-AG601,2)</f>
      </c>
      <c r="AR601" s="33">
        <f>ROUND(X601-AH601,2)</f>
      </c>
      <c r="AS601" s="33">
        <f>ROUND(Y601-AI601,2)</f>
      </c>
      <c r="AT601" s="33">
        <f>ROUND(Z601-AJ601,2)</f>
      </c>
      <c r="AU601" s="33">
        <f>ROUND(AA601-AK601,2)</f>
      </c>
      <c r="AV601" s="33">
        <f>ROUND(AB601-AL601,2)</f>
      </c>
      <c r="AW601" s="33">
        <f>ROUND(AC601-AM601,2)</f>
      </c>
      <c r="AX601" s="33">
        <f>ROUND(AD601-AN601,2)</f>
      </c>
      <c r="AY601" s="33">
        <f>ROUND(AE601-AO601,2)</f>
      </c>
      <c r="AZ601" s="33">
        <f>ROUND(MAX(0,'Your debts'!$D$22-SUM($L601:$U601)),2)</f>
      </c>
      <c r="BA601" s="33">
        <f>ROUND(SUM($B601:$K601)-SUM($AP600:$AY600),2)</f>
      </c>
      <c r="BB601" s="33">
        <f>SUM($AP601:$AY601)</f>
      </c>
      <c r="BC601" s="33">
        <f>ROUND(SUM($L601:$U601)+SUM($AF601:$AO601),2)</f>
      </c>
    </row>
    <row r="602" spans="1:55" x14ac:dyDescent="0.25">
      <c r="A602">
        <v>595</v>
      </c>
      <c r="B602" s="33">
        <f>IF(AP601&lt;=0,0,ROUND(AP601+ROUND(AP601*V$3/12,2),2))</f>
      </c>
      <c r="C602" s="33">
        <f>IF(AQ601&lt;=0,0,ROUND(AQ601+ROUND(AQ601*W$3/12,2),2))</f>
      </c>
      <c r="D602" s="33">
        <f>IF(AR601&lt;=0,0,ROUND(AR601+ROUND(AR601*X$3/12,2),2))</f>
      </c>
      <c r="E602" s="33">
        <f>IF(AS601&lt;=0,0,ROUND(AS601+ROUND(AS601*Y$3/12,2),2))</f>
      </c>
      <c r="F602" s="33">
        <f>IF(AT601&lt;=0,0,ROUND(AT601+ROUND(AT601*Z$3/12,2),2))</f>
      </c>
      <c r="G602" s="33">
        <f>IF(AU601&lt;=0,0,ROUND(AU601+ROUND(AU601*AA$3/12,2),2))</f>
      </c>
      <c r="H602" s="33">
        <f>IF(AV601&lt;=0,0,ROUND(AV601+ROUND(AV601*AB$3/12,2),2))</f>
      </c>
      <c r="I602" s="33">
        <f>IF(AW601&lt;=0,0,ROUND(AW601+ROUND(AW601*AC$3/12,2),2))</f>
      </c>
      <c r="J602" s="33">
        <f>IF(AX601&lt;=0,0,ROUND(AX601+ROUND(AX601*AD$3/12,2),2))</f>
      </c>
      <c r="K602" s="33">
        <f>IF(AY601&lt;=0,0,ROUND(AY601+ROUND(AY601*AE$3/12,2),2))</f>
      </c>
      <c r="L602" s="33">
        <f>ROUND(MIN(MAX(0,N('Your debts'!$E$6)),B602),2)</f>
      </c>
      <c r="M602" s="33">
        <f>ROUND(MIN(MAX(0,N('Your debts'!$E$7)),C602),2)</f>
      </c>
      <c r="N602" s="33">
        <f>ROUND(MIN(MAX(0,N('Your debts'!$E$8)),D602),2)</f>
      </c>
      <c r="O602" s="33">
        <f>ROUND(MIN(MAX(0,N('Your debts'!$E$9)),E602),2)</f>
      </c>
      <c r="P602" s="33">
        <f>ROUND(MIN(MAX(0,N('Your debts'!$E$10)),F602),2)</f>
      </c>
      <c r="Q602" s="33">
        <f>ROUND(MIN(MAX(0,N('Your debts'!$E$11)),G602),2)</f>
      </c>
      <c r="R602" s="33">
        <f>ROUND(MIN(MAX(0,N('Your debts'!$E$12)),H602),2)</f>
      </c>
      <c r="S602" s="33">
        <f>ROUND(MIN(MAX(0,N('Your debts'!$E$13)),I602),2)</f>
      </c>
      <c r="T602" s="33">
        <f>ROUND(MIN(MAX(0,N('Your debts'!$E$14)),J602),2)</f>
      </c>
      <c r="U602" s="33">
        <f>ROUND(MIN(MAX(0,N('Your debts'!$E$15)),K602),2)</f>
      </c>
      <c r="V602" s="33">
        <f>ROUND(B602-L602,2)</f>
      </c>
      <c r="W602" s="33">
        <f>ROUND(C602-M602,2)</f>
      </c>
      <c r="X602" s="33">
        <f>ROUND(D602-N602,2)</f>
      </c>
      <c r="Y602" s="33">
        <f>ROUND(E602-O602,2)</f>
      </c>
      <c r="Z602" s="33">
        <f>ROUND(F602-P602,2)</f>
      </c>
      <c r="AA602" s="33">
        <f>ROUND(G602-Q602,2)</f>
      </c>
      <c r="AB602" s="33">
        <f>ROUND(H602-R602,2)</f>
      </c>
      <c r="AC602" s="33">
        <f>ROUND(I602-S602,2)</f>
      </c>
      <c r="AD602" s="33">
        <f>ROUND(J602-T602,2)</f>
      </c>
      <c r="AE602" s="33">
        <f>ROUND(K602-U602,2)</f>
      </c>
      <c r="AF602" s="33">
        <f>IF(V602&lt;=0,0,MAX(0,MIN(V602,ROUND($AZ602-SUMPRODUCT($V602:$AE602*($V602:$AE602&gt;0)*(($V602:$AE602&lt;V602)+($V602:$AE602=V602)*($V$3:$AE$3&gt;V$3)+($V602:$AE602=V602)*($V$3:$AE$3=V$3)*($V$2:$AE$2&lt;V$2))),2))))</f>
      </c>
      <c r="AG602" s="33">
        <f>IF(W602&lt;=0,0,MAX(0,MIN(W602,ROUND($AZ602-SUMPRODUCT($V602:$AE602*($V602:$AE602&gt;0)*(($V602:$AE602&lt;W602)+($V602:$AE602=W602)*($V$3:$AE$3&gt;W$3)+($V602:$AE602=W602)*($V$3:$AE$3=W$3)*($V$2:$AE$2&lt;W$2))),2))))</f>
      </c>
      <c r="AH602" s="33">
        <f>IF(X602&lt;=0,0,MAX(0,MIN(X602,ROUND($AZ602-SUMPRODUCT($V602:$AE602*($V602:$AE602&gt;0)*(($V602:$AE602&lt;X602)+($V602:$AE602=X602)*($V$3:$AE$3&gt;X$3)+($V602:$AE602=X602)*($V$3:$AE$3=X$3)*($V$2:$AE$2&lt;X$2))),2))))</f>
      </c>
      <c r="AI602" s="33">
        <f>IF(Y602&lt;=0,0,MAX(0,MIN(Y602,ROUND($AZ602-SUMPRODUCT($V602:$AE602*($V602:$AE602&gt;0)*(($V602:$AE602&lt;Y602)+($V602:$AE602=Y602)*($V$3:$AE$3&gt;Y$3)+($V602:$AE602=Y602)*($V$3:$AE$3=Y$3)*($V$2:$AE$2&lt;Y$2))),2))))</f>
      </c>
      <c r="AJ602" s="33">
        <f>IF(Z602&lt;=0,0,MAX(0,MIN(Z602,ROUND($AZ602-SUMPRODUCT($V602:$AE602*($V602:$AE602&gt;0)*(($V602:$AE602&lt;Z602)+($V602:$AE602=Z602)*($V$3:$AE$3&gt;Z$3)+($V602:$AE602=Z602)*($V$3:$AE$3=Z$3)*($V$2:$AE$2&lt;Z$2))),2))))</f>
      </c>
      <c r="AK602" s="33">
        <f>IF(AA602&lt;=0,0,MAX(0,MIN(AA602,ROUND($AZ602-SUMPRODUCT($V602:$AE602*($V602:$AE602&gt;0)*(($V602:$AE602&lt;AA602)+($V602:$AE602=AA602)*($V$3:$AE$3&gt;AA$3)+($V602:$AE602=AA602)*($V$3:$AE$3=AA$3)*($V$2:$AE$2&lt;AA$2))),2))))</f>
      </c>
      <c r="AL602" s="33">
        <f>IF(AB602&lt;=0,0,MAX(0,MIN(AB602,ROUND($AZ602-SUMPRODUCT($V602:$AE602*($V602:$AE602&gt;0)*(($V602:$AE602&lt;AB602)+($V602:$AE602=AB602)*($V$3:$AE$3&gt;AB$3)+($V602:$AE602=AB602)*($V$3:$AE$3=AB$3)*($V$2:$AE$2&lt;AB$2))),2))))</f>
      </c>
      <c r="AM602" s="33">
        <f>IF(AC602&lt;=0,0,MAX(0,MIN(AC602,ROUND($AZ602-SUMPRODUCT($V602:$AE602*($V602:$AE602&gt;0)*(($V602:$AE602&lt;AC602)+($V602:$AE602=AC602)*($V$3:$AE$3&gt;AC$3)+($V602:$AE602=AC602)*($V$3:$AE$3=AC$3)*($V$2:$AE$2&lt;AC$2))),2))))</f>
      </c>
      <c r="AN602" s="33">
        <f>IF(AD602&lt;=0,0,MAX(0,MIN(AD602,ROUND($AZ602-SUMPRODUCT($V602:$AE602*($V602:$AE602&gt;0)*(($V602:$AE602&lt;AD602)+($V602:$AE602=AD602)*($V$3:$AE$3&gt;AD$3)+($V602:$AE602=AD602)*($V$3:$AE$3=AD$3)*($V$2:$AE$2&lt;AD$2))),2))))</f>
      </c>
      <c r="AO602" s="33">
        <f>IF(AE602&lt;=0,0,MAX(0,MIN(AE602,ROUND($AZ602-SUMPRODUCT($V602:$AE602*($V602:$AE602&gt;0)*(($V602:$AE602&lt;AE602)+($V602:$AE602=AE602)*($V$3:$AE$3&gt;AE$3)+($V602:$AE602=AE602)*($V$3:$AE$3=AE$3)*($V$2:$AE$2&lt;AE$2))),2))))</f>
      </c>
      <c r="AP602" s="33">
        <f>ROUND(V602-AF602,2)</f>
      </c>
      <c r="AQ602" s="33">
        <f>ROUND(W602-AG602,2)</f>
      </c>
      <c r="AR602" s="33">
        <f>ROUND(X602-AH602,2)</f>
      </c>
      <c r="AS602" s="33">
        <f>ROUND(Y602-AI602,2)</f>
      </c>
      <c r="AT602" s="33">
        <f>ROUND(Z602-AJ602,2)</f>
      </c>
      <c r="AU602" s="33">
        <f>ROUND(AA602-AK602,2)</f>
      </c>
      <c r="AV602" s="33">
        <f>ROUND(AB602-AL602,2)</f>
      </c>
      <c r="AW602" s="33">
        <f>ROUND(AC602-AM602,2)</f>
      </c>
      <c r="AX602" s="33">
        <f>ROUND(AD602-AN602,2)</f>
      </c>
      <c r="AY602" s="33">
        <f>ROUND(AE602-AO602,2)</f>
      </c>
      <c r="AZ602" s="33">
        <f>ROUND(MAX(0,'Your debts'!$D$22-SUM($L602:$U602)),2)</f>
      </c>
      <c r="BA602" s="33">
        <f>ROUND(SUM($B602:$K602)-SUM($AP601:$AY601),2)</f>
      </c>
      <c r="BB602" s="33">
        <f>SUM($AP602:$AY602)</f>
      </c>
      <c r="BC602" s="33">
        <f>ROUND(SUM($L602:$U602)+SUM($AF602:$AO602),2)</f>
      </c>
    </row>
    <row r="603" spans="1:55" x14ac:dyDescent="0.25">
      <c r="A603">
        <v>596</v>
      </c>
      <c r="B603" s="33">
        <f>IF(AP602&lt;=0,0,ROUND(AP602+ROUND(AP602*V$3/12,2),2))</f>
      </c>
      <c r="C603" s="33">
        <f>IF(AQ602&lt;=0,0,ROUND(AQ602+ROUND(AQ602*W$3/12,2),2))</f>
      </c>
      <c r="D603" s="33">
        <f>IF(AR602&lt;=0,0,ROUND(AR602+ROUND(AR602*X$3/12,2),2))</f>
      </c>
      <c r="E603" s="33">
        <f>IF(AS602&lt;=0,0,ROUND(AS602+ROUND(AS602*Y$3/12,2),2))</f>
      </c>
      <c r="F603" s="33">
        <f>IF(AT602&lt;=0,0,ROUND(AT602+ROUND(AT602*Z$3/12,2),2))</f>
      </c>
      <c r="G603" s="33">
        <f>IF(AU602&lt;=0,0,ROUND(AU602+ROUND(AU602*AA$3/12,2),2))</f>
      </c>
      <c r="H603" s="33">
        <f>IF(AV602&lt;=0,0,ROUND(AV602+ROUND(AV602*AB$3/12,2),2))</f>
      </c>
      <c r="I603" s="33">
        <f>IF(AW602&lt;=0,0,ROUND(AW602+ROUND(AW602*AC$3/12,2),2))</f>
      </c>
      <c r="J603" s="33">
        <f>IF(AX602&lt;=0,0,ROUND(AX602+ROUND(AX602*AD$3/12,2),2))</f>
      </c>
      <c r="K603" s="33">
        <f>IF(AY602&lt;=0,0,ROUND(AY602+ROUND(AY602*AE$3/12,2),2))</f>
      </c>
      <c r="L603" s="33">
        <f>ROUND(MIN(MAX(0,N('Your debts'!$E$6)),B603),2)</f>
      </c>
      <c r="M603" s="33">
        <f>ROUND(MIN(MAX(0,N('Your debts'!$E$7)),C603),2)</f>
      </c>
      <c r="N603" s="33">
        <f>ROUND(MIN(MAX(0,N('Your debts'!$E$8)),D603),2)</f>
      </c>
      <c r="O603" s="33">
        <f>ROUND(MIN(MAX(0,N('Your debts'!$E$9)),E603),2)</f>
      </c>
      <c r="P603" s="33">
        <f>ROUND(MIN(MAX(0,N('Your debts'!$E$10)),F603),2)</f>
      </c>
      <c r="Q603" s="33">
        <f>ROUND(MIN(MAX(0,N('Your debts'!$E$11)),G603),2)</f>
      </c>
      <c r="R603" s="33">
        <f>ROUND(MIN(MAX(0,N('Your debts'!$E$12)),H603),2)</f>
      </c>
      <c r="S603" s="33">
        <f>ROUND(MIN(MAX(0,N('Your debts'!$E$13)),I603),2)</f>
      </c>
      <c r="T603" s="33">
        <f>ROUND(MIN(MAX(0,N('Your debts'!$E$14)),J603),2)</f>
      </c>
      <c r="U603" s="33">
        <f>ROUND(MIN(MAX(0,N('Your debts'!$E$15)),K603),2)</f>
      </c>
      <c r="V603" s="33">
        <f>ROUND(B603-L603,2)</f>
      </c>
      <c r="W603" s="33">
        <f>ROUND(C603-M603,2)</f>
      </c>
      <c r="X603" s="33">
        <f>ROUND(D603-N603,2)</f>
      </c>
      <c r="Y603" s="33">
        <f>ROUND(E603-O603,2)</f>
      </c>
      <c r="Z603" s="33">
        <f>ROUND(F603-P603,2)</f>
      </c>
      <c r="AA603" s="33">
        <f>ROUND(G603-Q603,2)</f>
      </c>
      <c r="AB603" s="33">
        <f>ROUND(H603-R603,2)</f>
      </c>
      <c r="AC603" s="33">
        <f>ROUND(I603-S603,2)</f>
      </c>
      <c r="AD603" s="33">
        <f>ROUND(J603-T603,2)</f>
      </c>
      <c r="AE603" s="33">
        <f>ROUND(K603-U603,2)</f>
      </c>
      <c r="AF603" s="33">
        <f>IF(V603&lt;=0,0,MAX(0,MIN(V603,ROUND($AZ603-SUMPRODUCT($V603:$AE603*($V603:$AE603&gt;0)*(($V603:$AE603&lt;V603)+($V603:$AE603=V603)*($V$3:$AE$3&gt;V$3)+($V603:$AE603=V603)*($V$3:$AE$3=V$3)*($V$2:$AE$2&lt;V$2))),2))))</f>
      </c>
      <c r="AG603" s="33">
        <f>IF(W603&lt;=0,0,MAX(0,MIN(W603,ROUND($AZ603-SUMPRODUCT($V603:$AE603*($V603:$AE603&gt;0)*(($V603:$AE603&lt;W603)+($V603:$AE603=W603)*($V$3:$AE$3&gt;W$3)+($V603:$AE603=W603)*($V$3:$AE$3=W$3)*($V$2:$AE$2&lt;W$2))),2))))</f>
      </c>
      <c r="AH603" s="33">
        <f>IF(X603&lt;=0,0,MAX(0,MIN(X603,ROUND($AZ603-SUMPRODUCT($V603:$AE603*($V603:$AE603&gt;0)*(($V603:$AE603&lt;X603)+($V603:$AE603=X603)*($V$3:$AE$3&gt;X$3)+($V603:$AE603=X603)*($V$3:$AE$3=X$3)*($V$2:$AE$2&lt;X$2))),2))))</f>
      </c>
      <c r="AI603" s="33">
        <f>IF(Y603&lt;=0,0,MAX(0,MIN(Y603,ROUND($AZ603-SUMPRODUCT($V603:$AE603*($V603:$AE603&gt;0)*(($V603:$AE603&lt;Y603)+($V603:$AE603=Y603)*($V$3:$AE$3&gt;Y$3)+($V603:$AE603=Y603)*($V$3:$AE$3=Y$3)*($V$2:$AE$2&lt;Y$2))),2))))</f>
      </c>
      <c r="AJ603" s="33">
        <f>IF(Z603&lt;=0,0,MAX(0,MIN(Z603,ROUND($AZ603-SUMPRODUCT($V603:$AE603*($V603:$AE603&gt;0)*(($V603:$AE603&lt;Z603)+($V603:$AE603=Z603)*($V$3:$AE$3&gt;Z$3)+($V603:$AE603=Z603)*($V$3:$AE$3=Z$3)*($V$2:$AE$2&lt;Z$2))),2))))</f>
      </c>
      <c r="AK603" s="33">
        <f>IF(AA603&lt;=0,0,MAX(0,MIN(AA603,ROUND($AZ603-SUMPRODUCT($V603:$AE603*($V603:$AE603&gt;0)*(($V603:$AE603&lt;AA603)+($V603:$AE603=AA603)*($V$3:$AE$3&gt;AA$3)+($V603:$AE603=AA603)*($V$3:$AE$3=AA$3)*($V$2:$AE$2&lt;AA$2))),2))))</f>
      </c>
      <c r="AL603" s="33">
        <f>IF(AB603&lt;=0,0,MAX(0,MIN(AB603,ROUND($AZ603-SUMPRODUCT($V603:$AE603*($V603:$AE603&gt;0)*(($V603:$AE603&lt;AB603)+($V603:$AE603=AB603)*($V$3:$AE$3&gt;AB$3)+($V603:$AE603=AB603)*($V$3:$AE$3=AB$3)*($V$2:$AE$2&lt;AB$2))),2))))</f>
      </c>
      <c r="AM603" s="33">
        <f>IF(AC603&lt;=0,0,MAX(0,MIN(AC603,ROUND($AZ603-SUMPRODUCT($V603:$AE603*($V603:$AE603&gt;0)*(($V603:$AE603&lt;AC603)+($V603:$AE603=AC603)*($V$3:$AE$3&gt;AC$3)+($V603:$AE603=AC603)*($V$3:$AE$3=AC$3)*($V$2:$AE$2&lt;AC$2))),2))))</f>
      </c>
      <c r="AN603" s="33">
        <f>IF(AD603&lt;=0,0,MAX(0,MIN(AD603,ROUND($AZ603-SUMPRODUCT($V603:$AE603*($V603:$AE603&gt;0)*(($V603:$AE603&lt;AD603)+($V603:$AE603=AD603)*($V$3:$AE$3&gt;AD$3)+($V603:$AE603=AD603)*($V$3:$AE$3=AD$3)*($V$2:$AE$2&lt;AD$2))),2))))</f>
      </c>
      <c r="AO603" s="33">
        <f>IF(AE603&lt;=0,0,MAX(0,MIN(AE603,ROUND($AZ603-SUMPRODUCT($V603:$AE603*($V603:$AE603&gt;0)*(($V603:$AE603&lt;AE603)+($V603:$AE603=AE603)*($V$3:$AE$3&gt;AE$3)+($V603:$AE603=AE603)*($V$3:$AE$3=AE$3)*($V$2:$AE$2&lt;AE$2))),2))))</f>
      </c>
      <c r="AP603" s="33">
        <f>ROUND(V603-AF603,2)</f>
      </c>
      <c r="AQ603" s="33">
        <f>ROUND(W603-AG603,2)</f>
      </c>
      <c r="AR603" s="33">
        <f>ROUND(X603-AH603,2)</f>
      </c>
      <c r="AS603" s="33">
        <f>ROUND(Y603-AI603,2)</f>
      </c>
      <c r="AT603" s="33">
        <f>ROUND(Z603-AJ603,2)</f>
      </c>
      <c r="AU603" s="33">
        <f>ROUND(AA603-AK603,2)</f>
      </c>
      <c r="AV603" s="33">
        <f>ROUND(AB603-AL603,2)</f>
      </c>
      <c r="AW603" s="33">
        <f>ROUND(AC603-AM603,2)</f>
      </c>
      <c r="AX603" s="33">
        <f>ROUND(AD603-AN603,2)</f>
      </c>
      <c r="AY603" s="33">
        <f>ROUND(AE603-AO603,2)</f>
      </c>
      <c r="AZ603" s="33">
        <f>ROUND(MAX(0,'Your debts'!$D$22-SUM($L603:$U603)),2)</f>
      </c>
      <c r="BA603" s="33">
        <f>ROUND(SUM($B603:$K603)-SUM($AP602:$AY602),2)</f>
      </c>
      <c r="BB603" s="33">
        <f>SUM($AP603:$AY603)</f>
      </c>
      <c r="BC603" s="33">
        <f>ROUND(SUM($L603:$U603)+SUM($AF603:$AO603),2)</f>
      </c>
    </row>
    <row r="604" spans="1:55" x14ac:dyDescent="0.25">
      <c r="A604">
        <v>597</v>
      </c>
      <c r="B604" s="33">
        <f>IF(AP603&lt;=0,0,ROUND(AP603+ROUND(AP603*V$3/12,2),2))</f>
      </c>
      <c r="C604" s="33">
        <f>IF(AQ603&lt;=0,0,ROUND(AQ603+ROUND(AQ603*W$3/12,2),2))</f>
      </c>
      <c r="D604" s="33">
        <f>IF(AR603&lt;=0,0,ROUND(AR603+ROUND(AR603*X$3/12,2),2))</f>
      </c>
      <c r="E604" s="33">
        <f>IF(AS603&lt;=0,0,ROUND(AS603+ROUND(AS603*Y$3/12,2),2))</f>
      </c>
      <c r="F604" s="33">
        <f>IF(AT603&lt;=0,0,ROUND(AT603+ROUND(AT603*Z$3/12,2),2))</f>
      </c>
      <c r="G604" s="33">
        <f>IF(AU603&lt;=0,0,ROUND(AU603+ROUND(AU603*AA$3/12,2),2))</f>
      </c>
      <c r="H604" s="33">
        <f>IF(AV603&lt;=0,0,ROUND(AV603+ROUND(AV603*AB$3/12,2),2))</f>
      </c>
      <c r="I604" s="33">
        <f>IF(AW603&lt;=0,0,ROUND(AW603+ROUND(AW603*AC$3/12,2),2))</f>
      </c>
      <c r="J604" s="33">
        <f>IF(AX603&lt;=0,0,ROUND(AX603+ROUND(AX603*AD$3/12,2),2))</f>
      </c>
      <c r="K604" s="33">
        <f>IF(AY603&lt;=0,0,ROUND(AY603+ROUND(AY603*AE$3/12,2),2))</f>
      </c>
      <c r="L604" s="33">
        <f>ROUND(MIN(MAX(0,N('Your debts'!$E$6)),B604),2)</f>
      </c>
      <c r="M604" s="33">
        <f>ROUND(MIN(MAX(0,N('Your debts'!$E$7)),C604),2)</f>
      </c>
      <c r="N604" s="33">
        <f>ROUND(MIN(MAX(0,N('Your debts'!$E$8)),D604),2)</f>
      </c>
      <c r="O604" s="33">
        <f>ROUND(MIN(MAX(0,N('Your debts'!$E$9)),E604),2)</f>
      </c>
      <c r="P604" s="33">
        <f>ROUND(MIN(MAX(0,N('Your debts'!$E$10)),F604),2)</f>
      </c>
      <c r="Q604" s="33">
        <f>ROUND(MIN(MAX(0,N('Your debts'!$E$11)),G604),2)</f>
      </c>
      <c r="R604" s="33">
        <f>ROUND(MIN(MAX(0,N('Your debts'!$E$12)),H604),2)</f>
      </c>
      <c r="S604" s="33">
        <f>ROUND(MIN(MAX(0,N('Your debts'!$E$13)),I604),2)</f>
      </c>
      <c r="T604" s="33">
        <f>ROUND(MIN(MAX(0,N('Your debts'!$E$14)),J604),2)</f>
      </c>
      <c r="U604" s="33">
        <f>ROUND(MIN(MAX(0,N('Your debts'!$E$15)),K604),2)</f>
      </c>
      <c r="V604" s="33">
        <f>ROUND(B604-L604,2)</f>
      </c>
      <c r="W604" s="33">
        <f>ROUND(C604-M604,2)</f>
      </c>
      <c r="X604" s="33">
        <f>ROUND(D604-N604,2)</f>
      </c>
      <c r="Y604" s="33">
        <f>ROUND(E604-O604,2)</f>
      </c>
      <c r="Z604" s="33">
        <f>ROUND(F604-P604,2)</f>
      </c>
      <c r="AA604" s="33">
        <f>ROUND(G604-Q604,2)</f>
      </c>
      <c r="AB604" s="33">
        <f>ROUND(H604-R604,2)</f>
      </c>
      <c r="AC604" s="33">
        <f>ROUND(I604-S604,2)</f>
      </c>
      <c r="AD604" s="33">
        <f>ROUND(J604-T604,2)</f>
      </c>
      <c r="AE604" s="33">
        <f>ROUND(K604-U604,2)</f>
      </c>
      <c r="AF604" s="33">
        <f>IF(V604&lt;=0,0,MAX(0,MIN(V604,ROUND($AZ604-SUMPRODUCT($V604:$AE604*($V604:$AE604&gt;0)*(($V604:$AE604&lt;V604)+($V604:$AE604=V604)*($V$3:$AE$3&gt;V$3)+($V604:$AE604=V604)*($V$3:$AE$3=V$3)*($V$2:$AE$2&lt;V$2))),2))))</f>
      </c>
      <c r="AG604" s="33">
        <f>IF(W604&lt;=0,0,MAX(0,MIN(W604,ROUND($AZ604-SUMPRODUCT($V604:$AE604*($V604:$AE604&gt;0)*(($V604:$AE604&lt;W604)+($V604:$AE604=W604)*($V$3:$AE$3&gt;W$3)+($V604:$AE604=W604)*($V$3:$AE$3=W$3)*($V$2:$AE$2&lt;W$2))),2))))</f>
      </c>
      <c r="AH604" s="33">
        <f>IF(X604&lt;=0,0,MAX(0,MIN(X604,ROUND($AZ604-SUMPRODUCT($V604:$AE604*($V604:$AE604&gt;0)*(($V604:$AE604&lt;X604)+($V604:$AE604=X604)*($V$3:$AE$3&gt;X$3)+($V604:$AE604=X604)*($V$3:$AE$3=X$3)*($V$2:$AE$2&lt;X$2))),2))))</f>
      </c>
      <c r="AI604" s="33">
        <f>IF(Y604&lt;=0,0,MAX(0,MIN(Y604,ROUND($AZ604-SUMPRODUCT($V604:$AE604*($V604:$AE604&gt;0)*(($V604:$AE604&lt;Y604)+($V604:$AE604=Y604)*($V$3:$AE$3&gt;Y$3)+($V604:$AE604=Y604)*($V$3:$AE$3=Y$3)*($V$2:$AE$2&lt;Y$2))),2))))</f>
      </c>
      <c r="AJ604" s="33">
        <f>IF(Z604&lt;=0,0,MAX(0,MIN(Z604,ROUND($AZ604-SUMPRODUCT($V604:$AE604*($V604:$AE604&gt;0)*(($V604:$AE604&lt;Z604)+($V604:$AE604=Z604)*($V$3:$AE$3&gt;Z$3)+($V604:$AE604=Z604)*($V$3:$AE$3=Z$3)*($V$2:$AE$2&lt;Z$2))),2))))</f>
      </c>
      <c r="AK604" s="33">
        <f>IF(AA604&lt;=0,0,MAX(0,MIN(AA604,ROUND($AZ604-SUMPRODUCT($V604:$AE604*($V604:$AE604&gt;0)*(($V604:$AE604&lt;AA604)+($V604:$AE604=AA604)*($V$3:$AE$3&gt;AA$3)+($V604:$AE604=AA604)*($V$3:$AE$3=AA$3)*($V$2:$AE$2&lt;AA$2))),2))))</f>
      </c>
      <c r="AL604" s="33">
        <f>IF(AB604&lt;=0,0,MAX(0,MIN(AB604,ROUND($AZ604-SUMPRODUCT($V604:$AE604*($V604:$AE604&gt;0)*(($V604:$AE604&lt;AB604)+($V604:$AE604=AB604)*($V$3:$AE$3&gt;AB$3)+($V604:$AE604=AB604)*($V$3:$AE$3=AB$3)*($V$2:$AE$2&lt;AB$2))),2))))</f>
      </c>
      <c r="AM604" s="33">
        <f>IF(AC604&lt;=0,0,MAX(0,MIN(AC604,ROUND($AZ604-SUMPRODUCT($V604:$AE604*($V604:$AE604&gt;0)*(($V604:$AE604&lt;AC604)+($V604:$AE604=AC604)*($V$3:$AE$3&gt;AC$3)+($V604:$AE604=AC604)*($V$3:$AE$3=AC$3)*($V$2:$AE$2&lt;AC$2))),2))))</f>
      </c>
      <c r="AN604" s="33">
        <f>IF(AD604&lt;=0,0,MAX(0,MIN(AD604,ROUND($AZ604-SUMPRODUCT($V604:$AE604*($V604:$AE604&gt;0)*(($V604:$AE604&lt;AD604)+($V604:$AE604=AD604)*($V$3:$AE$3&gt;AD$3)+($V604:$AE604=AD604)*($V$3:$AE$3=AD$3)*($V$2:$AE$2&lt;AD$2))),2))))</f>
      </c>
      <c r="AO604" s="33">
        <f>IF(AE604&lt;=0,0,MAX(0,MIN(AE604,ROUND($AZ604-SUMPRODUCT($V604:$AE604*($V604:$AE604&gt;0)*(($V604:$AE604&lt;AE604)+($V604:$AE604=AE604)*($V$3:$AE$3&gt;AE$3)+($V604:$AE604=AE604)*($V$3:$AE$3=AE$3)*($V$2:$AE$2&lt;AE$2))),2))))</f>
      </c>
      <c r="AP604" s="33">
        <f>ROUND(V604-AF604,2)</f>
      </c>
      <c r="AQ604" s="33">
        <f>ROUND(W604-AG604,2)</f>
      </c>
      <c r="AR604" s="33">
        <f>ROUND(X604-AH604,2)</f>
      </c>
      <c r="AS604" s="33">
        <f>ROUND(Y604-AI604,2)</f>
      </c>
      <c r="AT604" s="33">
        <f>ROUND(Z604-AJ604,2)</f>
      </c>
      <c r="AU604" s="33">
        <f>ROUND(AA604-AK604,2)</f>
      </c>
      <c r="AV604" s="33">
        <f>ROUND(AB604-AL604,2)</f>
      </c>
      <c r="AW604" s="33">
        <f>ROUND(AC604-AM604,2)</f>
      </c>
      <c r="AX604" s="33">
        <f>ROUND(AD604-AN604,2)</f>
      </c>
      <c r="AY604" s="33">
        <f>ROUND(AE604-AO604,2)</f>
      </c>
      <c r="AZ604" s="33">
        <f>ROUND(MAX(0,'Your debts'!$D$22-SUM($L604:$U604)),2)</f>
      </c>
      <c r="BA604" s="33">
        <f>ROUND(SUM($B604:$K604)-SUM($AP603:$AY603),2)</f>
      </c>
      <c r="BB604" s="33">
        <f>SUM($AP604:$AY604)</f>
      </c>
      <c r="BC604" s="33">
        <f>ROUND(SUM($L604:$U604)+SUM($AF604:$AO604),2)</f>
      </c>
    </row>
    <row r="605" spans="1:55" x14ac:dyDescent="0.25">
      <c r="A605">
        <v>598</v>
      </c>
      <c r="B605" s="33">
        <f>IF(AP604&lt;=0,0,ROUND(AP604+ROUND(AP604*V$3/12,2),2))</f>
      </c>
      <c r="C605" s="33">
        <f>IF(AQ604&lt;=0,0,ROUND(AQ604+ROUND(AQ604*W$3/12,2),2))</f>
      </c>
      <c r="D605" s="33">
        <f>IF(AR604&lt;=0,0,ROUND(AR604+ROUND(AR604*X$3/12,2),2))</f>
      </c>
      <c r="E605" s="33">
        <f>IF(AS604&lt;=0,0,ROUND(AS604+ROUND(AS604*Y$3/12,2),2))</f>
      </c>
      <c r="F605" s="33">
        <f>IF(AT604&lt;=0,0,ROUND(AT604+ROUND(AT604*Z$3/12,2),2))</f>
      </c>
      <c r="G605" s="33">
        <f>IF(AU604&lt;=0,0,ROUND(AU604+ROUND(AU604*AA$3/12,2),2))</f>
      </c>
      <c r="H605" s="33">
        <f>IF(AV604&lt;=0,0,ROUND(AV604+ROUND(AV604*AB$3/12,2),2))</f>
      </c>
      <c r="I605" s="33">
        <f>IF(AW604&lt;=0,0,ROUND(AW604+ROUND(AW604*AC$3/12,2),2))</f>
      </c>
      <c r="J605" s="33">
        <f>IF(AX604&lt;=0,0,ROUND(AX604+ROUND(AX604*AD$3/12,2),2))</f>
      </c>
      <c r="K605" s="33">
        <f>IF(AY604&lt;=0,0,ROUND(AY604+ROUND(AY604*AE$3/12,2),2))</f>
      </c>
      <c r="L605" s="33">
        <f>ROUND(MIN(MAX(0,N('Your debts'!$E$6)),B605),2)</f>
      </c>
      <c r="M605" s="33">
        <f>ROUND(MIN(MAX(0,N('Your debts'!$E$7)),C605),2)</f>
      </c>
      <c r="N605" s="33">
        <f>ROUND(MIN(MAX(0,N('Your debts'!$E$8)),D605),2)</f>
      </c>
      <c r="O605" s="33">
        <f>ROUND(MIN(MAX(0,N('Your debts'!$E$9)),E605),2)</f>
      </c>
      <c r="P605" s="33">
        <f>ROUND(MIN(MAX(0,N('Your debts'!$E$10)),F605),2)</f>
      </c>
      <c r="Q605" s="33">
        <f>ROUND(MIN(MAX(0,N('Your debts'!$E$11)),G605),2)</f>
      </c>
      <c r="R605" s="33">
        <f>ROUND(MIN(MAX(0,N('Your debts'!$E$12)),H605),2)</f>
      </c>
      <c r="S605" s="33">
        <f>ROUND(MIN(MAX(0,N('Your debts'!$E$13)),I605),2)</f>
      </c>
      <c r="T605" s="33">
        <f>ROUND(MIN(MAX(0,N('Your debts'!$E$14)),J605),2)</f>
      </c>
      <c r="U605" s="33">
        <f>ROUND(MIN(MAX(0,N('Your debts'!$E$15)),K605),2)</f>
      </c>
      <c r="V605" s="33">
        <f>ROUND(B605-L605,2)</f>
      </c>
      <c r="W605" s="33">
        <f>ROUND(C605-M605,2)</f>
      </c>
      <c r="X605" s="33">
        <f>ROUND(D605-N605,2)</f>
      </c>
      <c r="Y605" s="33">
        <f>ROUND(E605-O605,2)</f>
      </c>
      <c r="Z605" s="33">
        <f>ROUND(F605-P605,2)</f>
      </c>
      <c r="AA605" s="33">
        <f>ROUND(G605-Q605,2)</f>
      </c>
      <c r="AB605" s="33">
        <f>ROUND(H605-R605,2)</f>
      </c>
      <c r="AC605" s="33">
        <f>ROUND(I605-S605,2)</f>
      </c>
      <c r="AD605" s="33">
        <f>ROUND(J605-T605,2)</f>
      </c>
      <c r="AE605" s="33">
        <f>ROUND(K605-U605,2)</f>
      </c>
      <c r="AF605" s="33">
        <f>IF(V605&lt;=0,0,MAX(0,MIN(V605,ROUND($AZ605-SUMPRODUCT($V605:$AE605*($V605:$AE605&gt;0)*(($V605:$AE605&lt;V605)+($V605:$AE605=V605)*($V$3:$AE$3&gt;V$3)+($V605:$AE605=V605)*($V$3:$AE$3=V$3)*($V$2:$AE$2&lt;V$2))),2))))</f>
      </c>
      <c r="AG605" s="33">
        <f>IF(W605&lt;=0,0,MAX(0,MIN(W605,ROUND($AZ605-SUMPRODUCT($V605:$AE605*($V605:$AE605&gt;0)*(($V605:$AE605&lt;W605)+($V605:$AE605=W605)*($V$3:$AE$3&gt;W$3)+($V605:$AE605=W605)*($V$3:$AE$3=W$3)*($V$2:$AE$2&lt;W$2))),2))))</f>
      </c>
      <c r="AH605" s="33">
        <f>IF(X605&lt;=0,0,MAX(0,MIN(X605,ROUND($AZ605-SUMPRODUCT($V605:$AE605*($V605:$AE605&gt;0)*(($V605:$AE605&lt;X605)+($V605:$AE605=X605)*($V$3:$AE$3&gt;X$3)+($V605:$AE605=X605)*($V$3:$AE$3=X$3)*($V$2:$AE$2&lt;X$2))),2))))</f>
      </c>
      <c r="AI605" s="33">
        <f>IF(Y605&lt;=0,0,MAX(0,MIN(Y605,ROUND($AZ605-SUMPRODUCT($V605:$AE605*($V605:$AE605&gt;0)*(($V605:$AE605&lt;Y605)+($V605:$AE605=Y605)*($V$3:$AE$3&gt;Y$3)+($V605:$AE605=Y605)*($V$3:$AE$3=Y$3)*($V$2:$AE$2&lt;Y$2))),2))))</f>
      </c>
      <c r="AJ605" s="33">
        <f>IF(Z605&lt;=0,0,MAX(0,MIN(Z605,ROUND($AZ605-SUMPRODUCT($V605:$AE605*($V605:$AE605&gt;0)*(($V605:$AE605&lt;Z605)+($V605:$AE605=Z605)*($V$3:$AE$3&gt;Z$3)+($V605:$AE605=Z605)*($V$3:$AE$3=Z$3)*($V$2:$AE$2&lt;Z$2))),2))))</f>
      </c>
      <c r="AK605" s="33">
        <f>IF(AA605&lt;=0,0,MAX(0,MIN(AA605,ROUND($AZ605-SUMPRODUCT($V605:$AE605*($V605:$AE605&gt;0)*(($V605:$AE605&lt;AA605)+($V605:$AE605=AA605)*($V$3:$AE$3&gt;AA$3)+($V605:$AE605=AA605)*($V$3:$AE$3=AA$3)*($V$2:$AE$2&lt;AA$2))),2))))</f>
      </c>
      <c r="AL605" s="33">
        <f>IF(AB605&lt;=0,0,MAX(0,MIN(AB605,ROUND($AZ605-SUMPRODUCT($V605:$AE605*($V605:$AE605&gt;0)*(($V605:$AE605&lt;AB605)+($V605:$AE605=AB605)*($V$3:$AE$3&gt;AB$3)+($V605:$AE605=AB605)*($V$3:$AE$3=AB$3)*($V$2:$AE$2&lt;AB$2))),2))))</f>
      </c>
      <c r="AM605" s="33">
        <f>IF(AC605&lt;=0,0,MAX(0,MIN(AC605,ROUND($AZ605-SUMPRODUCT($V605:$AE605*($V605:$AE605&gt;0)*(($V605:$AE605&lt;AC605)+($V605:$AE605=AC605)*($V$3:$AE$3&gt;AC$3)+($V605:$AE605=AC605)*($V$3:$AE$3=AC$3)*($V$2:$AE$2&lt;AC$2))),2))))</f>
      </c>
      <c r="AN605" s="33">
        <f>IF(AD605&lt;=0,0,MAX(0,MIN(AD605,ROUND($AZ605-SUMPRODUCT($V605:$AE605*($V605:$AE605&gt;0)*(($V605:$AE605&lt;AD605)+($V605:$AE605=AD605)*($V$3:$AE$3&gt;AD$3)+($V605:$AE605=AD605)*($V$3:$AE$3=AD$3)*($V$2:$AE$2&lt;AD$2))),2))))</f>
      </c>
      <c r="AO605" s="33">
        <f>IF(AE605&lt;=0,0,MAX(0,MIN(AE605,ROUND($AZ605-SUMPRODUCT($V605:$AE605*($V605:$AE605&gt;0)*(($V605:$AE605&lt;AE605)+($V605:$AE605=AE605)*($V$3:$AE$3&gt;AE$3)+($V605:$AE605=AE605)*($V$3:$AE$3=AE$3)*($V$2:$AE$2&lt;AE$2))),2))))</f>
      </c>
      <c r="AP605" s="33">
        <f>ROUND(V605-AF605,2)</f>
      </c>
      <c r="AQ605" s="33">
        <f>ROUND(W605-AG605,2)</f>
      </c>
      <c r="AR605" s="33">
        <f>ROUND(X605-AH605,2)</f>
      </c>
      <c r="AS605" s="33">
        <f>ROUND(Y605-AI605,2)</f>
      </c>
      <c r="AT605" s="33">
        <f>ROUND(Z605-AJ605,2)</f>
      </c>
      <c r="AU605" s="33">
        <f>ROUND(AA605-AK605,2)</f>
      </c>
      <c r="AV605" s="33">
        <f>ROUND(AB605-AL605,2)</f>
      </c>
      <c r="AW605" s="33">
        <f>ROUND(AC605-AM605,2)</f>
      </c>
      <c r="AX605" s="33">
        <f>ROUND(AD605-AN605,2)</f>
      </c>
      <c r="AY605" s="33">
        <f>ROUND(AE605-AO605,2)</f>
      </c>
      <c r="AZ605" s="33">
        <f>ROUND(MAX(0,'Your debts'!$D$22-SUM($L605:$U605)),2)</f>
      </c>
      <c r="BA605" s="33">
        <f>ROUND(SUM($B605:$K605)-SUM($AP604:$AY604),2)</f>
      </c>
      <c r="BB605" s="33">
        <f>SUM($AP605:$AY605)</f>
      </c>
      <c r="BC605" s="33">
        <f>ROUND(SUM($L605:$U605)+SUM($AF605:$AO605),2)</f>
      </c>
    </row>
    <row r="606" spans="1:55" x14ac:dyDescent="0.25">
      <c r="A606">
        <v>599</v>
      </c>
      <c r="B606" s="33">
        <f>IF(AP605&lt;=0,0,ROUND(AP605+ROUND(AP605*V$3/12,2),2))</f>
      </c>
      <c r="C606" s="33">
        <f>IF(AQ605&lt;=0,0,ROUND(AQ605+ROUND(AQ605*W$3/12,2),2))</f>
      </c>
      <c r="D606" s="33">
        <f>IF(AR605&lt;=0,0,ROUND(AR605+ROUND(AR605*X$3/12,2),2))</f>
      </c>
      <c r="E606" s="33">
        <f>IF(AS605&lt;=0,0,ROUND(AS605+ROUND(AS605*Y$3/12,2),2))</f>
      </c>
      <c r="F606" s="33">
        <f>IF(AT605&lt;=0,0,ROUND(AT605+ROUND(AT605*Z$3/12,2),2))</f>
      </c>
      <c r="G606" s="33">
        <f>IF(AU605&lt;=0,0,ROUND(AU605+ROUND(AU605*AA$3/12,2),2))</f>
      </c>
      <c r="H606" s="33">
        <f>IF(AV605&lt;=0,0,ROUND(AV605+ROUND(AV605*AB$3/12,2),2))</f>
      </c>
      <c r="I606" s="33">
        <f>IF(AW605&lt;=0,0,ROUND(AW605+ROUND(AW605*AC$3/12,2),2))</f>
      </c>
      <c r="J606" s="33">
        <f>IF(AX605&lt;=0,0,ROUND(AX605+ROUND(AX605*AD$3/12,2),2))</f>
      </c>
      <c r="K606" s="33">
        <f>IF(AY605&lt;=0,0,ROUND(AY605+ROUND(AY605*AE$3/12,2),2))</f>
      </c>
      <c r="L606" s="33">
        <f>ROUND(MIN(MAX(0,N('Your debts'!$E$6)),B606),2)</f>
      </c>
      <c r="M606" s="33">
        <f>ROUND(MIN(MAX(0,N('Your debts'!$E$7)),C606),2)</f>
      </c>
      <c r="N606" s="33">
        <f>ROUND(MIN(MAX(0,N('Your debts'!$E$8)),D606),2)</f>
      </c>
      <c r="O606" s="33">
        <f>ROUND(MIN(MAX(0,N('Your debts'!$E$9)),E606),2)</f>
      </c>
      <c r="P606" s="33">
        <f>ROUND(MIN(MAX(0,N('Your debts'!$E$10)),F606),2)</f>
      </c>
      <c r="Q606" s="33">
        <f>ROUND(MIN(MAX(0,N('Your debts'!$E$11)),G606),2)</f>
      </c>
      <c r="R606" s="33">
        <f>ROUND(MIN(MAX(0,N('Your debts'!$E$12)),H606),2)</f>
      </c>
      <c r="S606" s="33">
        <f>ROUND(MIN(MAX(0,N('Your debts'!$E$13)),I606),2)</f>
      </c>
      <c r="T606" s="33">
        <f>ROUND(MIN(MAX(0,N('Your debts'!$E$14)),J606),2)</f>
      </c>
      <c r="U606" s="33">
        <f>ROUND(MIN(MAX(0,N('Your debts'!$E$15)),K606),2)</f>
      </c>
      <c r="V606" s="33">
        <f>ROUND(B606-L606,2)</f>
      </c>
      <c r="W606" s="33">
        <f>ROUND(C606-M606,2)</f>
      </c>
      <c r="X606" s="33">
        <f>ROUND(D606-N606,2)</f>
      </c>
      <c r="Y606" s="33">
        <f>ROUND(E606-O606,2)</f>
      </c>
      <c r="Z606" s="33">
        <f>ROUND(F606-P606,2)</f>
      </c>
      <c r="AA606" s="33">
        <f>ROUND(G606-Q606,2)</f>
      </c>
      <c r="AB606" s="33">
        <f>ROUND(H606-R606,2)</f>
      </c>
      <c r="AC606" s="33">
        <f>ROUND(I606-S606,2)</f>
      </c>
      <c r="AD606" s="33">
        <f>ROUND(J606-T606,2)</f>
      </c>
      <c r="AE606" s="33">
        <f>ROUND(K606-U606,2)</f>
      </c>
      <c r="AF606" s="33">
        <f>IF(V606&lt;=0,0,MAX(0,MIN(V606,ROUND($AZ606-SUMPRODUCT($V606:$AE606*($V606:$AE606&gt;0)*(($V606:$AE606&lt;V606)+($V606:$AE606=V606)*($V$3:$AE$3&gt;V$3)+($V606:$AE606=V606)*($V$3:$AE$3=V$3)*($V$2:$AE$2&lt;V$2))),2))))</f>
      </c>
      <c r="AG606" s="33">
        <f>IF(W606&lt;=0,0,MAX(0,MIN(W606,ROUND($AZ606-SUMPRODUCT($V606:$AE606*($V606:$AE606&gt;0)*(($V606:$AE606&lt;W606)+($V606:$AE606=W606)*($V$3:$AE$3&gt;W$3)+($V606:$AE606=W606)*($V$3:$AE$3=W$3)*($V$2:$AE$2&lt;W$2))),2))))</f>
      </c>
      <c r="AH606" s="33">
        <f>IF(X606&lt;=0,0,MAX(0,MIN(X606,ROUND($AZ606-SUMPRODUCT($V606:$AE606*($V606:$AE606&gt;0)*(($V606:$AE606&lt;X606)+($V606:$AE606=X606)*($V$3:$AE$3&gt;X$3)+($V606:$AE606=X606)*($V$3:$AE$3=X$3)*($V$2:$AE$2&lt;X$2))),2))))</f>
      </c>
      <c r="AI606" s="33">
        <f>IF(Y606&lt;=0,0,MAX(0,MIN(Y606,ROUND($AZ606-SUMPRODUCT($V606:$AE606*($V606:$AE606&gt;0)*(($V606:$AE606&lt;Y606)+($V606:$AE606=Y606)*($V$3:$AE$3&gt;Y$3)+($V606:$AE606=Y606)*($V$3:$AE$3=Y$3)*($V$2:$AE$2&lt;Y$2))),2))))</f>
      </c>
      <c r="AJ606" s="33">
        <f>IF(Z606&lt;=0,0,MAX(0,MIN(Z606,ROUND($AZ606-SUMPRODUCT($V606:$AE606*($V606:$AE606&gt;0)*(($V606:$AE606&lt;Z606)+($V606:$AE606=Z606)*($V$3:$AE$3&gt;Z$3)+($V606:$AE606=Z606)*($V$3:$AE$3=Z$3)*($V$2:$AE$2&lt;Z$2))),2))))</f>
      </c>
      <c r="AK606" s="33">
        <f>IF(AA606&lt;=0,0,MAX(0,MIN(AA606,ROUND($AZ606-SUMPRODUCT($V606:$AE606*($V606:$AE606&gt;0)*(($V606:$AE606&lt;AA606)+($V606:$AE606=AA606)*($V$3:$AE$3&gt;AA$3)+($V606:$AE606=AA606)*($V$3:$AE$3=AA$3)*($V$2:$AE$2&lt;AA$2))),2))))</f>
      </c>
      <c r="AL606" s="33">
        <f>IF(AB606&lt;=0,0,MAX(0,MIN(AB606,ROUND($AZ606-SUMPRODUCT($V606:$AE606*($V606:$AE606&gt;0)*(($V606:$AE606&lt;AB606)+($V606:$AE606=AB606)*($V$3:$AE$3&gt;AB$3)+($V606:$AE606=AB606)*($V$3:$AE$3=AB$3)*($V$2:$AE$2&lt;AB$2))),2))))</f>
      </c>
      <c r="AM606" s="33">
        <f>IF(AC606&lt;=0,0,MAX(0,MIN(AC606,ROUND($AZ606-SUMPRODUCT($V606:$AE606*($V606:$AE606&gt;0)*(($V606:$AE606&lt;AC606)+($V606:$AE606=AC606)*($V$3:$AE$3&gt;AC$3)+($V606:$AE606=AC606)*($V$3:$AE$3=AC$3)*($V$2:$AE$2&lt;AC$2))),2))))</f>
      </c>
      <c r="AN606" s="33">
        <f>IF(AD606&lt;=0,0,MAX(0,MIN(AD606,ROUND($AZ606-SUMPRODUCT($V606:$AE606*($V606:$AE606&gt;0)*(($V606:$AE606&lt;AD606)+($V606:$AE606=AD606)*($V$3:$AE$3&gt;AD$3)+($V606:$AE606=AD606)*($V$3:$AE$3=AD$3)*($V$2:$AE$2&lt;AD$2))),2))))</f>
      </c>
      <c r="AO606" s="33">
        <f>IF(AE606&lt;=0,0,MAX(0,MIN(AE606,ROUND($AZ606-SUMPRODUCT($V606:$AE606*($V606:$AE606&gt;0)*(($V606:$AE606&lt;AE606)+($V606:$AE606=AE606)*($V$3:$AE$3&gt;AE$3)+($V606:$AE606=AE606)*($V$3:$AE$3=AE$3)*($V$2:$AE$2&lt;AE$2))),2))))</f>
      </c>
      <c r="AP606" s="33">
        <f>ROUND(V606-AF606,2)</f>
      </c>
      <c r="AQ606" s="33">
        <f>ROUND(W606-AG606,2)</f>
      </c>
      <c r="AR606" s="33">
        <f>ROUND(X606-AH606,2)</f>
      </c>
      <c r="AS606" s="33">
        <f>ROUND(Y606-AI606,2)</f>
      </c>
      <c r="AT606" s="33">
        <f>ROUND(Z606-AJ606,2)</f>
      </c>
      <c r="AU606" s="33">
        <f>ROUND(AA606-AK606,2)</f>
      </c>
      <c r="AV606" s="33">
        <f>ROUND(AB606-AL606,2)</f>
      </c>
      <c r="AW606" s="33">
        <f>ROUND(AC606-AM606,2)</f>
      </c>
      <c r="AX606" s="33">
        <f>ROUND(AD606-AN606,2)</f>
      </c>
      <c r="AY606" s="33">
        <f>ROUND(AE606-AO606,2)</f>
      </c>
      <c r="AZ606" s="33">
        <f>ROUND(MAX(0,'Your debts'!$D$22-SUM($L606:$U606)),2)</f>
      </c>
      <c r="BA606" s="33">
        <f>ROUND(SUM($B606:$K606)-SUM($AP605:$AY605),2)</f>
      </c>
      <c r="BB606" s="33">
        <f>SUM($AP606:$AY606)</f>
      </c>
      <c r="BC606" s="33">
        <f>ROUND(SUM($L606:$U606)+SUM($AF606:$AO606),2)</f>
      </c>
    </row>
    <row r="607" spans="1:55" x14ac:dyDescent="0.25">
      <c r="A607">
        <v>600</v>
      </c>
      <c r="B607" s="33">
        <f>IF(AP606&lt;=0,0,ROUND(AP606+ROUND(AP606*V$3/12,2),2))</f>
      </c>
      <c r="C607" s="33">
        <f>IF(AQ606&lt;=0,0,ROUND(AQ606+ROUND(AQ606*W$3/12,2),2))</f>
      </c>
      <c r="D607" s="33">
        <f>IF(AR606&lt;=0,0,ROUND(AR606+ROUND(AR606*X$3/12,2),2))</f>
      </c>
      <c r="E607" s="33">
        <f>IF(AS606&lt;=0,0,ROUND(AS606+ROUND(AS606*Y$3/12,2),2))</f>
      </c>
      <c r="F607" s="33">
        <f>IF(AT606&lt;=0,0,ROUND(AT606+ROUND(AT606*Z$3/12,2),2))</f>
      </c>
      <c r="G607" s="33">
        <f>IF(AU606&lt;=0,0,ROUND(AU606+ROUND(AU606*AA$3/12,2),2))</f>
      </c>
      <c r="H607" s="33">
        <f>IF(AV606&lt;=0,0,ROUND(AV606+ROUND(AV606*AB$3/12,2),2))</f>
      </c>
      <c r="I607" s="33">
        <f>IF(AW606&lt;=0,0,ROUND(AW606+ROUND(AW606*AC$3/12,2),2))</f>
      </c>
      <c r="J607" s="33">
        <f>IF(AX606&lt;=0,0,ROUND(AX606+ROUND(AX606*AD$3/12,2),2))</f>
      </c>
      <c r="K607" s="33">
        <f>IF(AY606&lt;=0,0,ROUND(AY606+ROUND(AY606*AE$3/12,2),2))</f>
      </c>
      <c r="L607" s="33">
        <f>ROUND(MIN(MAX(0,N('Your debts'!$E$6)),B607),2)</f>
      </c>
      <c r="M607" s="33">
        <f>ROUND(MIN(MAX(0,N('Your debts'!$E$7)),C607),2)</f>
      </c>
      <c r="N607" s="33">
        <f>ROUND(MIN(MAX(0,N('Your debts'!$E$8)),D607),2)</f>
      </c>
      <c r="O607" s="33">
        <f>ROUND(MIN(MAX(0,N('Your debts'!$E$9)),E607),2)</f>
      </c>
      <c r="P607" s="33">
        <f>ROUND(MIN(MAX(0,N('Your debts'!$E$10)),F607),2)</f>
      </c>
      <c r="Q607" s="33">
        <f>ROUND(MIN(MAX(0,N('Your debts'!$E$11)),G607),2)</f>
      </c>
      <c r="R607" s="33">
        <f>ROUND(MIN(MAX(0,N('Your debts'!$E$12)),H607),2)</f>
      </c>
      <c r="S607" s="33">
        <f>ROUND(MIN(MAX(0,N('Your debts'!$E$13)),I607),2)</f>
      </c>
      <c r="T607" s="33">
        <f>ROUND(MIN(MAX(0,N('Your debts'!$E$14)),J607),2)</f>
      </c>
      <c r="U607" s="33">
        <f>ROUND(MIN(MAX(0,N('Your debts'!$E$15)),K607),2)</f>
      </c>
      <c r="V607" s="33">
        <f>ROUND(B607-L607,2)</f>
      </c>
      <c r="W607" s="33">
        <f>ROUND(C607-M607,2)</f>
      </c>
      <c r="X607" s="33">
        <f>ROUND(D607-N607,2)</f>
      </c>
      <c r="Y607" s="33">
        <f>ROUND(E607-O607,2)</f>
      </c>
      <c r="Z607" s="33">
        <f>ROUND(F607-P607,2)</f>
      </c>
      <c r="AA607" s="33">
        <f>ROUND(G607-Q607,2)</f>
      </c>
      <c r="AB607" s="33">
        <f>ROUND(H607-R607,2)</f>
      </c>
      <c r="AC607" s="33">
        <f>ROUND(I607-S607,2)</f>
      </c>
      <c r="AD607" s="33">
        <f>ROUND(J607-T607,2)</f>
      </c>
      <c r="AE607" s="33">
        <f>ROUND(K607-U607,2)</f>
      </c>
      <c r="AF607" s="33">
        <f>IF(V607&lt;=0,0,MAX(0,MIN(V607,ROUND($AZ607-SUMPRODUCT($V607:$AE607*($V607:$AE607&gt;0)*(($V607:$AE607&lt;V607)+($V607:$AE607=V607)*($V$3:$AE$3&gt;V$3)+($V607:$AE607=V607)*($V$3:$AE$3=V$3)*($V$2:$AE$2&lt;V$2))),2))))</f>
      </c>
      <c r="AG607" s="33">
        <f>IF(W607&lt;=0,0,MAX(0,MIN(W607,ROUND($AZ607-SUMPRODUCT($V607:$AE607*($V607:$AE607&gt;0)*(($V607:$AE607&lt;W607)+($V607:$AE607=W607)*($V$3:$AE$3&gt;W$3)+($V607:$AE607=W607)*($V$3:$AE$3=W$3)*($V$2:$AE$2&lt;W$2))),2))))</f>
      </c>
      <c r="AH607" s="33">
        <f>IF(X607&lt;=0,0,MAX(0,MIN(X607,ROUND($AZ607-SUMPRODUCT($V607:$AE607*($V607:$AE607&gt;0)*(($V607:$AE607&lt;X607)+($V607:$AE607=X607)*($V$3:$AE$3&gt;X$3)+($V607:$AE607=X607)*($V$3:$AE$3=X$3)*($V$2:$AE$2&lt;X$2))),2))))</f>
      </c>
      <c r="AI607" s="33">
        <f>IF(Y607&lt;=0,0,MAX(0,MIN(Y607,ROUND($AZ607-SUMPRODUCT($V607:$AE607*($V607:$AE607&gt;0)*(($V607:$AE607&lt;Y607)+($V607:$AE607=Y607)*($V$3:$AE$3&gt;Y$3)+($V607:$AE607=Y607)*($V$3:$AE$3=Y$3)*($V$2:$AE$2&lt;Y$2))),2))))</f>
      </c>
      <c r="AJ607" s="33">
        <f>IF(Z607&lt;=0,0,MAX(0,MIN(Z607,ROUND($AZ607-SUMPRODUCT($V607:$AE607*($V607:$AE607&gt;0)*(($V607:$AE607&lt;Z607)+($V607:$AE607=Z607)*($V$3:$AE$3&gt;Z$3)+($V607:$AE607=Z607)*($V$3:$AE$3=Z$3)*($V$2:$AE$2&lt;Z$2))),2))))</f>
      </c>
      <c r="AK607" s="33">
        <f>IF(AA607&lt;=0,0,MAX(0,MIN(AA607,ROUND($AZ607-SUMPRODUCT($V607:$AE607*($V607:$AE607&gt;0)*(($V607:$AE607&lt;AA607)+($V607:$AE607=AA607)*($V$3:$AE$3&gt;AA$3)+($V607:$AE607=AA607)*($V$3:$AE$3=AA$3)*($V$2:$AE$2&lt;AA$2))),2))))</f>
      </c>
      <c r="AL607" s="33">
        <f>IF(AB607&lt;=0,0,MAX(0,MIN(AB607,ROUND($AZ607-SUMPRODUCT($V607:$AE607*($V607:$AE607&gt;0)*(($V607:$AE607&lt;AB607)+($V607:$AE607=AB607)*($V$3:$AE$3&gt;AB$3)+($V607:$AE607=AB607)*($V$3:$AE$3=AB$3)*($V$2:$AE$2&lt;AB$2))),2))))</f>
      </c>
      <c r="AM607" s="33">
        <f>IF(AC607&lt;=0,0,MAX(0,MIN(AC607,ROUND($AZ607-SUMPRODUCT($V607:$AE607*($V607:$AE607&gt;0)*(($V607:$AE607&lt;AC607)+($V607:$AE607=AC607)*($V$3:$AE$3&gt;AC$3)+($V607:$AE607=AC607)*($V$3:$AE$3=AC$3)*($V$2:$AE$2&lt;AC$2))),2))))</f>
      </c>
      <c r="AN607" s="33">
        <f>IF(AD607&lt;=0,0,MAX(0,MIN(AD607,ROUND($AZ607-SUMPRODUCT($V607:$AE607*($V607:$AE607&gt;0)*(($V607:$AE607&lt;AD607)+($V607:$AE607=AD607)*($V$3:$AE$3&gt;AD$3)+($V607:$AE607=AD607)*($V$3:$AE$3=AD$3)*($V$2:$AE$2&lt;AD$2))),2))))</f>
      </c>
      <c r="AO607" s="33">
        <f>IF(AE607&lt;=0,0,MAX(0,MIN(AE607,ROUND($AZ607-SUMPRODUCT($V607:$AE607*($V607:$AE607&gt;0)*(($V607:$AE607&lt;AE607)+($V607:$AE607=AE607)*($V$3:$AE$3&gt;AE$3)+($V607:$AE607=AE607)*($V$3:$AE$3=AE$3)*($V$2:$AE$2&lt;AE$2))),2))))</f>
      </c>
      <c r="AP607" s="33">
        <f>ROUND(V607-AF607,2)</f>
      </c>
      <c r="AQ607" s="33">
        <f>ROUND(W607-AG607,2)</f>
      </c>
      <c r="AR607" s="33">
        <f>ROUND(X607-AH607,2)</f>
      </c>
      <c r="AS607" s="33">
        <f>ROUND(Y607-AI607,2)</f>
      </c>
      <c r="AT607" s="33">
        <f>ROUND(Z607-AJ607,2)</f>
      </c>
      <c r="AU607" s="33">
        <f>ROUND(AA607-AK607,2)</f>
      </c>
      <c r="AV607" s="33">
        <f>ROUND(AB607-AL607,2)</f>
      </c>
      <c r="AW607" s="33">
        <f>ROUND(AC607-AM607,2)</f>
      </c>
      <c r="AX607" s="33">
        <f>ROUND(AD607-AN607,2)</f>
      </c>
      <c r="AY607" s="33">
        <f>ROUND(AE607-AO607,2)</f>
      </c>
      <c r="AZ607" s="33">
        <f>ROUND(MAX(0,'Your debts'!$D$22-SUM($L607:$U607)),2)</f>
      </c>
      <c r="BA607" s="33">
        <f>ROUND(SUM($B607:$K607)-SUM($AP606:$AY606),2)</f>
      </c>
      <c r="BB607" s="33">
        <f>SUM($AP607:$AY607)</f>
      </c>
      <c r="BC607" s="33">
        <f>ROUND(SUM($L607:$U607)+SUM($AF607:$AO607),2)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C4C2"/>
  </sheetPr>
  <dimension ref="A1:BH607"/>
  <sheetViews>
    <sheetView workbookViewId="0">
      <pane xSplit="1" ySplit="6" topLeftCell="B7" activePane="bottomRight" state="frozen"/>
      <selection pane="bottomRight"/>
    </sheetView>
  </sheetViews>
  <sheetFormatPr defaultRowHeight="15" outlineLevelRow="0" outlineLevelCol="0" x14ac:dyDescent="55"/>
  <cols>
    <col min="1" max="1" width="16" customWidth="1"/>
    <col min="2" max="55" width="14" customWidth="1"/>
    <col min="59" max="59" width="20" customWidth="1"/>
    <col min="60" max="60" width="14" customWidth="1"/>
  </cols>
  <sheetData>
    <row r="1" spans="1:1" x14ac:dyDescent="0.25">
      <c r="A1" s="31" t="s">
        <v>54</v>
      </c>
    </row>
    <row r="2" spans="1:60" x14ac:dyDescent="0.25">
      <c r="A2" s="31" t="s">
        <v>43</v>
      </c>
      <c r="B2">
        <v>1</v>
      </c>
      <c r="C2">
        <v>2</v>
      </c>
      <c r="D2">
        <v>3</v>
      </c>
      <c r="E2">
        <v>4</v>
      </c>
      <c r="F2">
        <v>5</v>
      </c>
      <c r="G2">
        <v>6</v>
      </c>
      <c r="H2">
        <v>7</v>
      </c>
      <c r="I2">
        <v>8</v>
      </c>
      <c r="J2">
        <v>9</v>
      </c>
      <c r="K2">
        <v>10</v>
      </c>
      <c r="L2">
        <v>1</v>
      </c>
      <c r="M2">
        <v>2</v>
      </c>
      <c r="N2">
        <v>3</v>
      </c>
      <c r="O2">
        <v>4</v>
      </c>
      <c r="P2">
        <v>5</v>
      </c>
      <c r="Q2">
        <v>6</v>
      </c>
      <c r="R2">
        <v>7</v>
      </c>
      <c r="S2">
        <v>8</v>
      </c>
      <c r="T2">
        <v>9</v>
      </c>
      <c r="U2">
        <v>10</v>
      </c>
      <c r="V2">
        <v>1</v>
      </c>
      <c r="W2">
        <v>2</v>
      </c>
      <c r="X2">
        <v>3</v>
      </c>
      <c r="Y2">
        <v>4</v>
      </c>
      <c r="Z2">
        <v>5</v>
      </c>
      <c r="AA2">
        <v>6</v>
      </c>
      <c r="AB2">
        <v>7</v>
      </c>
      <c r="AC2">
        <v>8</v>
      </c>
      <c r="AD2">
        <v>9</v>
      </c>
      <c r="AE2">
        <v>10</v>
      </c>
      <c r="AF2">
        <v>1</v>
      </c>
      <c r="AG2">
        <v>2</v>
      </c>
      <c r="AH2">
        <v>3</v>
      </c>
      <c r="AI2">
        <v>4</v>
      </c>
      <c r="AJ2">
        <v>5</v>
      </c>
      <c r="AK2">
        <v>6</v>
      </c>
      <c r="AL2">
        <v>7</v>
      </c>
      <c r="AM2">
        <v>8</v>
      </c>
      <c r="AN2">
        <v>9</v>
      </c>
      <c r="AO2">
        <v>10</v>
      </c>
      <c r="AP2">
        <v>1</v>
      </c>
      <c r="AQ2">
        <v>2</v>
      </c>
      <c r="AR2">
        <v>3</v>
      </c>
      <c r="AS2">
        <v>4</v>
      </c>
      <c r="AT2">
        <v>5</v>
      </c>
      <c r="AU2">
        <v>6</v>
      </c>
      <c r="AV2">
        <v>7</v>
      </c>
      <c r="AW2">
        <v>8</v>
      </c>
      <c r="AX2">
        <v>9</v>
      </c>
      <c r="AY2">
        <v>10</v>
      </c>
      <c r="BG2" s="31" t="s">
        <v>44</v>
      </c>
      <c r="BH2">
        <f>IF(OR(BB7&lt;=0,BB607&gt;0.005),"",COUNTIF(BB8:BB607,"&gt;0.005")+1)</f>
      </c>
    </row>
    <row r="3" spans="1:60" x14ac:dyDescent="0.25">
      <c r="A3" s="31" t="s">
        <v>6</v>
      </c>
      <c r="B3" s="32">
        <f>N('Your debts'!$D$6)</f>
      </c>
      <c r="C3" s="32">
        <f>N('Your debts'!$D$7)</f>
      </c>
      <c r="D3" s="32">
        <f>N('Your debts'!$D$8)</f>
      </c>
      <c r="E3" s="32">
        <f>N('Your debts'!$D$9)</f>
      </c>
      <c r="F3" s="32">
        <f>N('Your debts'!$D$10)</f>
      </c>
      <c r="G3" s="32">
        <f>N('Your debts'!$D$11)</f>
      </c>
      <c r="H3" s="32">
        <f>N('Your debts'!$D$12)</f>
      </c>
      <c r="I3" s="32">
        <f>N('Your debts'!$D$13)</f>
      </c>
      <c r="J3" s="32">
        <f>N('Your debts'!$D$14)</f>
      </c>
      <c r="K3" s="32">
        <f>N('Your debts'!$D$15)</f>
      </c>
      <c r="L3" s="32">
        <f>N('Your debts'!$D$6)</f>
      </c>
      <c r="M3" s="32">
        <f>N('Your debts'!$D$7)</f>
      </c>
      <c r="N3" s="32">
        <f>N('Your debts'!$D$8)</f>
      </c>
      <c r="O3" s="32">
        <f>N('Your debts'!$D$9)</f>
      </c>
      <c r="P3" s="32">
        <f>N('Your debts'!$D$10)</f>
      </c>
      <c r="Q3" s="32">
        <f>N('Your debts'!$D$11)</f>
      </c>
      <c r="R3" s="32">
        <f>N('Your debts'!$D$12)</f>
      </c>
      <c r="S3" s="32">
        <f>N('Your debts'!$D$13)</f>
      </c>
      <c r="T3" s="32">
        <f>N('Your debts'!$D$14)</f>
      </c>
      <c r="U3" s="32">
        <f>N('Your debts'!$D$15)</f>
      </c>
      <c r="V3" s="32">
        <f>N('Your debts'!$D$6)</f>
      </c>
      <c r="W3" s="32">
        <f>N('Your debts'!$D$7)</f>
      </c>
      <c r="X3" s="32">
        <f>N('Your debts'!$D$8)</f>
      </c>
      <c r="Y3" s="32">
        <f>N('Your debts'!$D$9)</f>
      </c>
      <c r="Z3" s="32">
        <f>N('Your debts'!$D$10)</f>
      </c>
      <c r="AA3" s="32">
        <f>N('Your debts'!$D$11)</f>
      </c>
      <c r="AB3" s="32">
        <f>N('Your debts'!$D$12)</f>
      </c>
      <c r="AC3" s="32">
        <f>N('Your debts'!$D$13)</f>
      </c>
      <c r="AD3" s="32">
        <f>N('Your debts'!$D$14)</f>
      </c>
      <c r="AE3" s="32">
        <f>N('Your debts'!$D$15)</f>
      </c>
      <c r="AF3" s="32">
        <f>N('Your debts'!$D$6)</f>
      </c>
      <c r="AG3" s="32">
        <f>N('Your debts'!$D$7)</f>
      </c>
      <c r="AH3" s="32">
        <f>N('Your debts'!$D$8)</f>
      </c>
      <c r="AI3" s="32">
        <f>N('Your debts'!$D$9)</f>
      </c>
      <c r="AJ3" s="32">
        <f>N('Your debts'!$D$10)</f>
      </c>
      <c r="AK3" s="32">
        <f>N('Your debts'!$D$11)</f>
      </c>
      <c r="AL3" s="32">
        <f>N('Your debts'!$D$12)</f>
      </c>
      <c r="AM3" s="32">
        <f>N('Your debts'!$D$13)</f>
      </c>
      <c r="AN3" s="32">
        <f>N('Your debts'!$D$14)</f>
      </c>
      <c r="AO3" s="32">
        <f>N('Your debts'!$D$15)</f>
      </c>
      <c r="AP3" s="32">
        <f>N('Your debts'!$D$6)</f>
      </c>
      <c r="AQ3" s="32">
        <f>N('Your debts'!$D$7)</f>
      </c>
      <c r="AR3" s="32">
        <f>N('Your debts'!$D$8)</f>
      </c>
      <c r="AS3" s="32">
        <f>N('Your debts'!$D$9)</f>
      </c>
      <c r="AT3" s="32">
        <f>N('Your debts'!$D$10)</f>
      </c>
      <c r="AU3" s="32">
        <f>N('Your debts'!$D$11)</f>
      </c>
      <c r="AV3" s="32">
        <f>N('Your debts'!$D$12)</f>
      </c>
      <c r="AW3" s="32">
        <f>N('Your debts'!$D$13)</f>
      </c>
      <c r="AX3" s="32">
        <f>N('Your debts'!$D$14)</f>
      </c>
      <c r="AY3" s="32">
        <f>N('Your debts'!$D$15)</f>
      </c>
      <c r="BG3" s="31" t="s">
        <v>18</v>
      </c>
      <c r="BH3" s="33">
        <f>SUM(BA8:BA607)</f>
      </c>
    </row>
    <row r="4" spans="1:60" x14ac:dyDescent="0.25">
      <c r="A4" s="31" t="s">
        <v>45</v>
      </c>
      <c r="AP4">
        <f>IF(OR(AP7&lt;=0,AP607&gt;0.005),"",COUNTIF(AP8:AP607,"&gt;0.005")+1)</f>
      </c>
      <c r="AQ4">
        <f>IF(OR(AQ7&lt;=0,AQ607&gt;0.005),"",COUNTIF(AQ8:AQ607,"&gt;0.005")+1)</f>
      </c>
      <c r="AR4">
        <f>IF(OR(AR7&lt;=0,AR607&gt;0.005),"",COUNTIF(AR8:AR607,"&gt;0.005")+1)</f>
      </c>
      <c r="AS4">
        <f>IF(OR(AS7&lt;=0,AS607&gt;0.005),"",COUNTIF(AS8:AS607,"&gt;0.005")+1)</f>
      </c>
      <c r="AT4">
        <f>IF(OR(AT7&lt;=0,AT607&gt;0.005),"",COUNTIF(AT8:AT607,"&gt;0.005")+1)</f>
      </c>
      <c r="AU4">
        <f>IF(OR(AU7&lt;=0,AU607&gt;0.005),"",COUNTIF(AU8:AU607,"&gt;0.005")+1)</f>
      </c>
      <c r="AV4">
        <f>IF(OR(AV7&lt;=0,AV607&gt;0.005),"",COUNTIF(AV8:AV607,"&gt;0.005")+1)</f>
      </c>
      <c r="AW4">
        <f>IF(OR(AW7&lt;=0,AW607&gt;0.005),"",COUNTIF(AW8:AW607,"&gt;0.005")+1)</f>
      </c>
      <c r="AX4">
        <f>IF(OR(AX7&lt;=0,AX607&gt;0.005),"",COUNTIF(AX8:AX607,"&gt;0.005")+1)</f>
      </c>
      <c r="AY4">
        <f>IF(OR(AY7&lt;=0,AY607&gt;0.005),"",COUNTIF(AY8:AY607,"&gt;0.005")+1)</f>
      </c>
      <c r="BG4" s="31" t="s">
        <v>46</v>
      </c>
      <c r="BH4" s="33">
        <f>BB7</f>
      </c>
    </row>
    <row r="5" spans="1:60" x14ac:dyDescent="0.25">
      <c r="A5" s="31" t="s">
        <v>47</v>
      </c>
      <c r="AP5">
        <f>IF(AP4="","",COUNTIF($AP$4:$AY$4,"&lt;"&amp;AP4)+COUNTIFS($AP$4:$AY$4,AP4,$AP$2:$AY$2,"&lt;"&amp;AP2)+1)</f>
      </c>
      <c r="AQ5">
        <f>IF(AQ4="","",COUNTIF($AP$4:$AY$4,"&lt;"&amp;AQ4)+COUNTIFS($AP$4:$AY$4,AQ4,$AP$2:$AY$2,"&lt;"&amp;AQ2)+1)</f>
      </c>
      <c r="AR5">
        <f>IF(AR4="","",COUNTIF($AP$4:$AY$4,"&lt;"&amp;AR4)+COUNTIFS($AP$4:$AY$4,AR4,$AP$2:$AY$2,"&lt;"&amp;AR2)+1)</f>
      </c>
      <c r="AS5">
        <f>IF(AS4="","",COUNTIF($AP$4:$AY$4,"&lt;"&amp;AS4)+COUNTIFS($AP$4:$AY$4,AS4,$AP$2:$AY$2,"&lt;"&amp;AS2)+1)</f>
      </c>
      <c r="AT5">
        <f>IF(AT4="","",COUNTIF($AP$4:$AY$4,"&lt;"&amp;AT4)+COUNTIFS($AP$4:$AY$4,AT4,$AP$2:$AY$2,"&lt;"&amp;AT2)+1)</f>
      </c>
      <c r="AU5">
        <f>IF(AU4="","",COUNTIF($AP$4:$AY$4,"&lt;"&amp;AU4)+COUNTIFS($AP$4:$AY$4,AU4,$AP$2:$AY$2,"&lt;"&amp;AU2)+1)</f>
      </c>
      <c r="AV5">
        <f>IF(AV4="","",COUNTIF($AP$4:$AY$4,"&lt;"&amp;AV4)+COUNTIFS($AP$4:$AY$4,AV4,$AP$2:$AY$2,"&lt;"&amp;AV2)+1)</f>
      </c>
      <c r="AW5">
        <f>IF(AW4="","",COUNTIF($AP$4:$AY$4,"&lt;"&amp;AW4)+COUNTIFS($AP$4:$AY$4,AW4,$AP$2:$AY$2,"&lt;"&amp;AW2)+1)</f>
      </c>
      <c r="AX5">
        <f>IF(AX4="","",COUNTIF($AP$4:$AY$4,"&lt;"&amp;AX4)+COUNTIFS($AP$4:$AY$4,AX4,$AP$2:$AY$2,"&lt;"&amp;AX2)+1)</f>
      </c>
      <c r="AY5">
        <f>IF(AY4="","",COUNTIF($AP$4:$AY$4,"&lt;"&amp;AY4)+COUNTIFS($AP$4:$AY$4,AY4,$AP$2:$AY$2,"&lt;"&amp;AY2)+1)</f>
      </c>
      <c r="BG5" s="31" t="s">
        <v>48</v>
      </c>
      <c r="BH5">
        <f>AND(BB7&gt;0,BB8&gt;=BB7)</f>
      </c>
    </row>
    <row r="6" ht="42" customHeight="1" spans="1:60" x14ac:dyDescent="0.25">
      <c r="A6" s="4" t="s">
        <v>23</v>
      </c>
      <c r="B6" s="4">
        <f>"Balance + interest: "&amp;IF('Your debts'!$B$6="","Debt 1",'Your debts'!$B$6)</f>
      </c>
      <c r="C6" s="4">
        <f>"Balance + interest: "&amp;IF('Your debts'!$B$7="","Debt 2",'Your debts'!$B$7)</f>
      </c>
      <c r="D6" s="4">
        <f>"Balance + interest: "&amp;IF('Your debts'!$B$8="","Debt 3",'Your debts'!$B$8)</f>
      </c>
      <c r="E6" s="4">
        <f>"Balance + interest: "&amp;IF('Your debts'!$B$9="","Debt 4",'Your debts'!$B$9)</f>
      </c>
      <c r="F6" s="4">
        <f>"Balance + interest: "&amp;IF('Your debts'!$B$10="","Debt 5",'Your debts'!$B$10)</f>
      </c>
      <c r="G6" s="4">
        <f>"Balance + interest: "&amp;IF('Your debts'!$B$11="","Debt 6",'Your debts'!$B$11)</f>
      </c>
      <c r="H6" s="4">
        <f>"Balance + interest: "&amp;IF('Your debts'!$B$12="","Debt 7",'Your debts'!$B$12)</f>
      </c>
      <c r="I6" s="4">
        <f>"Balance + interest: "&amp;IF('Your debts'!$B$13="","Debt 8",'Your debts'!$B$13)</f>
      </c>
      <c r="J6" s="4">
        <f>"Balance + interest: "&amp;IF('Your debts'!$B$14="","Debt 9",'Your debts'!$B$14)</f>
      </c>
      <c r="K6" s="4">
        <f>"Balance + interest: "&amp;IF('Your debts'!$B$15="","Debt 10",'Your debts'!$B$15)</f>
      </c>
      <c r="L6" s="4">
        <f>"Minimum paid: "&amp;IF('Your debts'!$B$6="","Debt 1",'Your debts'!$B$6)</f>
      </c>
      <c r="M6" s="4">
        <f>"Minimum paid: "&amp;IF('Your debts'!$B$7="","Debt 2",'Your debts'!$B$7)</f>
      </c>
      <c r="N6" s="4">
        <f>"Minimum paid: "&amp;IF('Your debts'!$B$8="","Debt 3",'Your debts'!$B$8)</f>
      </c>
      <c r="O6" s="4">
        <f>"Minimum paid: "&amp;IF('Your debts'!$B$9="","Debt 4",'Your debts'!$B$9)</f>
      </c>
      <c r="P6" s="4">
        <f>"Minimum paid: "&amp;IF('Your debts'!$B$10="","Debt 5",'Your debts'!$B$10)</f>
      </c>
      <c r="Q6" s="4">
        <f>"Minimum paid: "&amp;IF('Your debts'!$B$11="","Debt 6",'Your debts'!$B$11)</f>
      </c>
      <c r="R6" s="4">
        <f>"Minimum paid: "&amp;IF('Your debts'!$B$12="","Debt 7",'Your debts'!$B$12)</f>
      </c>
      <c r="S6" s="4">
        <f>"Minimum paid: "&amp;IF('Your debts'!$B$13="","Debt 8",'Your debts'!$B$13)</f>
      </c>
      <c r="T6" s="4">
        <f>"Minimum paid: "&amp;IF('Your debts'!$B$14="","Debt 9",'Your debts'!$B$14)</f>
      </c>
      <c r="U6" s="4">
        <f>"Minimum paid: "&amp;IF('Your debts'!$B$15="","Debt 10",'Your debts'!$B$15)</f>
      </c>
      <c r="V6" s="4">
        <f>"After minimums: "&amp;IF('Your debts'!$B$6="","Debt 1",'Your debts'!$B$6)</f>
      </c>
      <c r="W6" s="4">
        <f>"After minimums: "&amp;IF('Your debts'!$B$7="","Debt 2",'Your debts'!$B$7)</f>
      </c>
      <c r="X6" s="4">
        <f>"After minimums: "&amp;IF('Your debts'!$B$8="","Debt 3",'Your debts'!$B$8)</f>
      </c>
      <c r="Y6" s="4">
        <f>"After minimums: "&amp;IF('Your debts'!$B$9="","Debt 4",'Your debts'!$B$9)</f>
      </c>
      <c r="Z6" s="4">
        <f>"After minimums: "&amp;IF('Your debts'!$B$10="","Debt 5",'Your debts'!$B$10)</f>
      </c>
      <c r="AA6" s="4">
        <f>"After minimums: "&amp;IF('Your debts'!$B$11="","Debt 6",'Your debts'!$B$11)</f>
      </c>
      <c r="AB6" s="4">
        <f>"After minimums: "&amp;IF('Your debts'!$B$12="","Debt 7",'Your debts'!$B$12)</f>
      </c>
      <c r="AC6" s="4">
        <f>"After minimums: "&amp;IF('Your debts'!$B$13="","Debt 8",'Your debts'!$B$13)</f>
      </c>
      <c r="AD6" s="4">
        <f>"After minimums: "&amp;IF('Your debts'!$B$14="","Debt 9",'Your debts'!$B$14)</f>
      </c>
      <c r="AE6" s="4">
        <f>"After minimums: "&amp;IF('Your debts'!$B$15="","Debt 10",'Your debts'!$B$15)</f>
      </c>
      <c r="AF6" s="4">
        <f>"Extra paid: "&amp;IF('Your debts'!$B$6="","Debt 1",'Your debts'!$B$6)</f>
      </c>
      <c r="AG6" s="4">
        <f>"Extra paid: "&amp;IF('Your debts'!$B$7="","Debt 2",'Your debts'!$B$7)</f>
      </c>
      <c r="AH6" s="4">
        <f>"Extra paid: "&amp;IF('Your debts'!$B$8="","Debt 3",'Your debts'!$B$8)</f>
      </c>
      <c r="AI6" s="4">
        <f>"Extra paid: "&amp;IF('Your debts'!$B$9="","Debt 4",'Your debts'!$B$9)</f>
      </c>
      <c r="AJ6" s="4">
        <f>"Extra paid: "&amp;IF('Your debts'!$B$10="","Debt 5",'Your debts'!$B$10)</f>
      </c>
      <c r="AK6" s="4">
        <f>"Extra paid: "&amp;IF('Your debts'!$B$11="","Debt 6",'Your debts'!$B$11)</f>
      </c>
      <c r="AL6" s="4">
        <f>"Extra paid: "&amp;IF('Your debts'!$B$12="","Debt 7",'Your debts'!$B$12)</f>
      </c>
      <c r="AM6" s="4">
        <f>"Extra paid: "&amp;IF('Your debts'!$B$13="","Debt 8",'Your debts'!$B$13)</f>
      </c>
      <c r="AN6" s="4">
        <f>"Extra paid: "&amp;IF('Your debts'!$B$14="","Debt 9",'Your debts'!$B$14)</f>
      </c>
      <c r="AO6" s="4">
        <f>"Extra paid: "&amp;IF('Your debts'!$B$15="","Debt 10",'Your debts'!$B$15)</f>
      </c>
      <c r="AP6" s="4">
        <f>"Closing balance: "&amp;IF('Your debts'!$B$6="","Debt 1",'Your debts'!$B$6)</f>
      </c>
      <c r="AQ6" s="4">
        <f>"Closing balance: "&amp;IF('Your debts'!$B$7="","Debt 2",'Your debts'!$B$7)</f>
      </c>
      <c r="AR6" s="4">
        <f>"Closing balance: "&amp;IF('Your debts'!$B$8="","Debt 3",'Your debts'!$B$8)</f>
      </c>
      <c r="AS6" s="4">
        <f>"Closing balance: "&amp;IF('Your debts'!$B$9="","Debt 4",'Your debts'!$B$9)</f>
      </c>
      <c r="AT6" s="4">
        <f>"Closing balance: "&amp;IF('Your debts'!$B$10="","Debt 5",'Your debts'!$B$10)</f>
      </c>
      <c r="AU6" s="4">
        <f>"Closing balance: "&amp;IF('Your debts'!$B$11="","Debt 6",'Your debts'!$B$11)</f>
      </c>
      <c r="AV6" s="4">
        <f>"Closing balance: "&amp;IF('Your debts'!$B$12="","Debt 7",'Your debts'!$B$12)</f>
      </c>
      <c r="AW6" s="4">
        <f>"Closing balance: "&amp;IF('Your debts'!$B$13="","Debt 8",'Your debts'!$B$13)</f>
      </c>
      <c r="AX6" s="4">
        <f>"Closing balance: "&amp;IF('Your debts'!$B$14="","Debt 9",'Your debts'!$B$14)</f>
      </c>
      <c r="AY6" s="4">
        <f>"Closing balance: "&amp;IF('Your debts'!$B$15="","Debt 10",'Your debts'!$B$15)</f>
      </c>
      <c r="AZ6" s="4" t="s">
        <v>49</v>
      </c>
      <c r="BA6" s="4" t="s">
        <v>50</v>
      </c>
      <c r="BB6" s="4" t="s">
        <v>51</v>
      </c>
      <c r="BC6" s="4" t="s">
        <v>52</v>
      </c>
      <c r="BG6" s="31" t="s">
        <v>53</v>
      </c>
      <c r="BH6">
        <f>BB607&gt;0.005</f>
      </c>
    </row>
    <row r="7" spans="1:54" x14ac:dyDescent="0.25">
      <c r="A7">
        <v>0</v>
      </c>
      <c r="AP7" s="33">
        <f>ROUND(MAX(0,N('Your debts'!$C$6)),2)</f>
      </c>
      <c r="AQ7" s="33">
        <f>ROUND(MAX(0,N('Your debts'!$C$7)),2)</f>
      </c>
      <c r="AR7" s="33">
        <f>ROUND(MAX(0,N('Your debts'!$C$8)),2)</f>
      </c>
      <c r="AS7" s="33">
        <f>ROUND(MAX(0,N('Your debts'!$C$9)),2)</f>
      </c>
      <c r="AT7" s="33">
        <f>ROUND(MAX(0,N('Your debts'!$C$10)),2)</f>
      </c>
      <c r="AU7" s="33">
        <f>ROUND(MAX(0,N('Your debts'!$C$11)),2)</f>
      </c>
      <c r="AV7" s="33">
        <f>ROUND(MAX(0,N('Your debts'!$C$12)),2)</f>
      </c>
      <c r="AW7" s="33">
        <f>ROUND(MAX(0,N('Your debts'!$C$13)),2)</f>
      </c>
      <c r="AX7" s="33">
        <f>ROUND(MAX(0,N('Your debts'!$C$14)),2)</f>
      </c>
      <c r="AY7" s="33">
        <f>ROUND(MAX(0,N('Your debts'!$C$15)),2)</f>
      </c>
      <c r="BB7" s="33">
        <f>SUM($AP7:$AY7)</f>
      </c>
    </row>
    <row r="8" spans="1:55" x14ac:dyDescent="0.25">
      <c r="A8">
        <v>1</v>
      </c>
      <c r="B8" s="33">
        <f>IF(AP7&lt;=0,0,ROUND(AP7+ROUND(AP7*V$3/12,2),2))</f>
      </c>
      <c r="C8" s="33">
        <f>IF(AQ7&lt;=0,0,ROUND(AQ7+ROUND(AQ7*W$3/12,2),2))</f>
      </c>
      <c r="D8" s="33">
        <f>IF(AR7&lt;=0,0,ROUND(AR7+ROUND(AR7*X$3/12,2),2))</f>
      </c>
      <c r="E8" s="33">
        <f>IF(AS7&lt;=0,0,ROUND(AS7+ROUND(AS7*Y$3/12,2),2))</f>
      </c>
      <c r="F8" s="33">
        <f>IF(AT7&lt;=0,0,ROUND(AT7+ROUND(AT7*Z$3/12,2),2))</f>
      </c>
      <c r="G8" s="33">
        <f>IF(AU7&lt;=0,0,ROUND(AU7+ROUND(AU7*AA$3/12,2),2))</f>
      </c>
      <c r="H8" s="33">
        <f>IF(AV7&lt;=0,0,ROUND(AV7+ROUND(AV7*AB$3/12,2),2))</f>
      </c>
      <c r="I8" s="33">
        <f>IF(AW7&lt;=0,0,ROUND(AW7+ROUND(AW7*AC$3/12,2),2))</f>
      </c>
      <c r="J8" s="33">
        <f>IF(AX7&lt;=0,0,ROUND(AX7+ROUND(AX7*AD$3/12,2),2))</f>
      </c>
      <c r="K8" s="33">
        <f>IF(AY7&lt;=0,0,ROUND(AY7+ROUND(AY7*AE$3/12,2),2))</f>
      </c>
      <c r="L8" s="33">
        <f>ROUND(MIN(MAX(0,N('Your debts'!$E$6)),B8),2)</f>
      </c>
      <c r="M8" s="33">
        <f>ROUND(MIN(MAX(0,N('Your debts'!$E$7)),C8),2)</f>
      </c>
      <c r="N8" s="33">
        <f>ROUND(MIN(MAX(0,N('Your debts'!$E$8)),D8),2)</f>
      </c>
      <c r="O8" s="33">
        <f>ROUND(MIN(MAX(0,N('Your debts'!$E$9)),E8),2)</f>
      </c>
      <c r="P8" s="33">
        <f>ROUND(MIN(MAX(0,N('Your debts'!$E$10)),F8),2)</f>
      </c>
      <c r="Q8" s="33">
        <f>ROUND(MIN(MAX(0,N('Your debts'!$E$11)),G8),2)</f>
      </c>
      <c r="R8" s="33">
        <f>ROUND(MIN(MAX(0,N('Your debts'!$E$12)),H8),2)</f>
      </c>
      <c r="S8" s="33">
        <f>ROUND(MIN(MAX(0,N('Your debts'!$E$13)),I8),2)</f>
      </c>
      <c r="T8" s="33">
        <f>ROUND(MIN(MAX(0,N('Your debts'!$E$14)),J8),2)</f>
      </c>
      <c r="U8" s="33">
        <f>ROUND(MIN(MAX(0,N('Your debts'!$E$15)),K8),2)</f>
      </c>
      <c r="V8" s="33">
        <f>ROUND(B8-L8,2)</f>
      </c>
      <c r="W8" s="33">
        <f>ROUND(C8-M8,2)</f>
      </c>
      <c r="X8" s="33">
        <f>ROUND(D8-N8,2)</f>
      </c>
      <c r="Y8" s="33">
        <f>ROUND(E8-O8,2)</f>
      </c>
      <c r="Z8" s="33">
        <f>ROUND(F8-P8,2)</f>
      </c>
      <c r="AA8" s="33">
        <f>ROUND(G8-Q8,2)</f>
      </c>
      <c r="AB8" s="33">
        <f>ROUND(H8-R8,2)</f>
      </c>
      <c r="AC8" s="33">
        <f>ROUND(I8-S8,2)</f>
      </c>
      <c r="AD8" s="33">
        <f>ROUND(J8-T8,2)</f>
      </c>
      <c r="AE8" s="33">
        <f>ROUND(K8-U8,2)</f>
      </c>
      <c r="AF8" s="33">
        <f>IF(V8&lt;=0,0,MAX(0,MIN(V8,ROUND($AZ8-SUMPRODUCT($V8:$AE8*($V8:$AE8&gt;0)*(($V$3:$AE$3&gt;V$3)+($V$3:$AE$3=V$3)*($V8:$AE8&lt;V8)+($V$3:$AE$3=V$3)*($V8:$AE8=V8)*($V$2:$AE$2&lt;V$2))),2))))</f>
      </c>
      <c r="AG8" s="33">
        <f>IF(W8&lt;=0,0,MAX(0,MIN(W8,ROUND($AZ8-SUMPRODUCT($V8:$AE8*($V8:$AE8&gt;0)*(($V$3:$AE$3&gt;W$3)+($V$3:$AE$3=W$3)*($V8:$AE8&lt;W8)+($V$3:$AE$3=W$3)*($V8:$AE8=W8)*($V$2:$AE$2&lt;W$2))),2))))</f>
      </c>
      <c r="AH8" s="33">
        <f>IF(X8&lt;=0,0,MAX(0,MIN(X8,ROUND($AZ8-SUMPRODUCT($V8:$AE8*($V8:$AE8&gt;0)*(($V$3:$AE$3&gt;X$3)+($V$3:$AE$3=X$3)*($V8:$AE8&lt;X8)+($V$3:$AE$3=X$3)*($V8:$AE8=X8)*($V$2:$AE$2&lt;X$2))),2))))</f>
      </c>
      <c r="AI8" s="33">
        <f>IF(Y8&lt;=0,0,MAX(0,MIN(Y8,ROUND($AZ8-SUMPRODUCT($V8:$AE8*($V8:$AE8&gt;0)*(($V$3:$AE$3&gt;Y$3)+($V$3:$AE$3=Y$3)*($V8:$AE8&lt;Y8)+($V$3:$AE$3=Y$3)*($V8:$AE8=Y8)*($V$2:$AE$2&lt;Y$2))),2))))</f>
      </c>
      <c r="AJ8" s="33">
        <f>IF(Z8&lt;=0,0,MAX(0,MIN(Z8,ROUND($AZ8-SUMPRODUCT($V8:$AE8*($V8:$AE8&gt;0)*(($V$3:$AE$3&gt;Z$3)+($V$3:$AE$3=Z$3)*($V8:$AE8&lt;Z8)+($V$3:$AE$3=Z$3)*($V8:$AE8=Z8)*($V$2:$AE$2&lt;Z$2))),2))))</f>
      </c>
      <c r="AK8" s="33">
        <f>IF(AA8&lt;=0,0,MAX(0,MIN(AA8,ROUND($AZ8-SUMPRODUCT($V8:$AE8*($V8:$AE8&gt;0)*(($V$3:$AE$3&gt;AA$3)+($V$3:$AE$3=AA$3)*($V8:$AE8&lt;AA8)+($V$3:$AE$3=AA$3)*($V8:$AE8=AA8)*($V$2:$AE$2&lt;AA$2))),2))))</f>
      </c>
      <c r="AL8" s="33">
        <f>IF(AB8&lt;=0,0,MAX(0,MIN(AB8,ROUND($AZ8-SUMPRODUCT($V8:$AE8*($V8:$AE8&gt;0)*(($V$3:$AE$3&gt;AB$3)+($V$3:$AE$3=AB$3)*($V8:$AE8&lt;AB8)+($V$3:$AE$3=AB$3)*($V8:$AE8=AB8)*($V$2:$AE$2&lt;AB$2))),2))))</f>
      </c>
      <c r="AM8" s="33">
        <f>IF(AC8&lt;=0,0,MAX(0,MIN(AC8,ROUND($AZ8-SUMPRODUCT($V8:$AE8*($V8:$AE8&gt;0)*(($V$3:$AE$3&gt;AC$3)+($V$3:$AE$3=AC$3)*($V8:$AE8&lt;AC8)+($V$3:$AE$3=AC$3)*($V8:$AE8=AC8)*($V$2:$AE$2&lt;AC$2))),2))))</f>
      </c>
      <c r="AN8" s="33">
        <f>IF(AD8&lt;=0,0,MAX(0,MIN(AD8,ROUND($AZ8-SUMPRODUCT($V8:$AE8*($V8:$AE8&gt;0)*(($V$3:$AE$3&gt;AD$3)+($V$3:$AE$3=AD$3)*($V8:$AE8&lt;AD8)+($V$3:$AE$3=AD$3)*($V8:$AE8=AD8)*($V$2:$AE$2&lt;AD$2))),2))))</f>
      </c>
      <c r="AO8" s="33">
        <f>IF(AE8&lt;=0,0,MAX(0,MIN(AE8,ROUND($AZ8-SUMPRODUCT($V8:$AE8*($V8:$AE8&gt;0)*(($V$3:$AE$3&gt;AE$3)+($V$3:$AE$3=AE$3)*($V8:$AE8&lt;AE8)+($V$3:$AE$3=AE$3)*($V8:$AE8=AE8)*($V$2:$AE$2&lt;AE$2))),2))))</f>
      </c>
      <c r="AP8" s="33">
        <f>ROUND(V8-AF8,2)</f>
      </c>
      <c r="AQ8" s="33">
        <f>ROUND(W8-AG8,2)</f>
      </c>
      <c r="AR8" s="33">
        <f>ROUND(X8-AH8,2)</f>
      </c>
      <c r="AS8" s="33">
        <f>ROUND(Y8-AI8,2)</f>
      </c>
      <c r="AT8" s="33">
        <f>ROUND(Z8-AJ8,2)</f>
      </c>
      <c r="AU8" s="33">
        <f>ROUND(AA8-AK8,2)</f>
      </c>
      <c r="AV8" s="33">
        <f>ROUND(AB8-AL8,2)</f>
      </c>
      <c r="AW8" s="33">
        <f>ROUND(AC8-AM8,2)</f>
      </c>
      <c r="AX8" s="33">
        <f>ROUND(AD8-AN8,2)</f>
      </c>
      <c r="AY8" s="33">
        <f>ROUND(AE8-AO8,2)</f>
      </c>
      <c r="AZ8" s="33">
        <f>ROUND(MAX(0,'Your debts'!$D$22-SUM($L8:$U8)),2)</f>
      </c>
      <c r="BA8" s="33">
        <f>ROUND(SUM($B8:$K8)-SUM($AP7:$AY7),2)</f>
      </c>
      <c r="BB8" s="33">
        <f>SUM($AP8:$AY8)</f>
      </c>
      <c r="BC8" s="33">
        <f>ROUND(SUM($L8:$U8)+SUM($AF8:$AO8),2)</f>
      </c>
    </row>
    <row r="9" spans="1:55" x14ac:dyDescent="0.25">
      <c r="A9">
        <v>2</v>
      </c>
      <c r="B9" s="33">
        <f>IF(AP8&lt;=0,0,ROUND(AP8+ROUND(AP8*V$3/12,2),2))</f>
      </c>
      <c r="C9" s="33">
        <f>IF(AQ8&lt;=0,0,ROUND(AQ8+ROUND(AQ8*W$3/12,2),2))</f>
      </c>
      <c r="D9" s="33">
        <f>IF(AR8&lt;=0,0,ROUND(AR8+ROUND(AR8*X$3/12,2),2))</f>
      </c>
      <c r="E9" s="33">
        <f>IF(AS8&lt;=0,0,ROUND(AS8+ROUND(AS8*Y$3/12,2),2))</f>
      </c>
      <c r="F9" s="33">
        <f>IF(AT8&lt;=0,0,ROUND(AT8+ROUND(AT8*Z$3/12,2),2))</f>
      </c>
      <c r="G9" s="33">
        <f>IF(AU8&lt;=0,0,ROUND(AU8+ROUND(AU8*AA$3/12,2),2))</f>
      </c>
      <c r="H9" s="33">
        <f>IF(AV8&lt;=0,0,ROUND(AV8+ROUND(AV8*AB$3/12,2),2))</f>
      </c>
      <c r="I9" s="33">
        <f>IF(AW8&lt;=0,0,ROUND(AW8+ROUND(AW8*AC$3/12,2),2))</f>
      </c>
      <c r="J9" s="33">
        <f>IF(AX8&lt;=0,0,ROUND(AX8+ROUND(AX8*AD$3/12,2),2))</f>
      </c>
      <c r="K9" s="33">
        <f>IF(AY8&lt;=0,0,ROUND(AY8+ROUND(AY8*AE$3/12,2),2))</f>
      </c>
      <c r="L9" s="33">
        <f>ROUND(MIN(MAX(0,N('Your debts'!$E$6)),B9),2)</f>
      </c>
      <c r="M9" s="33">
        <f>ROUND(MIN(MAX(0,N('Your debts'!$E$7)),C9),2)</f>
      </c>
      <c r="N9" s="33">
        <f>ROUND(MIN(MAX(0,N('Your debts'!$E$8)),D9),2)</f>
      </c>
      <c r="O9" s="33">
        <f>ROUND(MIN(MAX(0,N('Your debts'!$E$9)),E9),2)</f>
      </c>
      <c r="P9" s="33">
        <f>ROUND(MIN(MAX(0,N('Your debts'!$E$10)),F9),2)</f>
      </c>
      <c r="Q9" s="33">
        <f>ROUND(MIN(MAX(0,N('Your debts'!$E$11)),G9),2)</f>
      </c>
      <c r="R9" s="33">
        <f>ROUND(MIN(MAX(0,N('Your debts'!$E$12)),H9),2)</f>
      </c>
      <c r="S9" s="33">
        <f>ROUND(MIN(MAX(0,N('Your debts'!$E$13)),I9),2)</f>
      </c>
      <c r="T9" s="33">
        <f>ROUND(MIN(MAX(0,N('Your debts'!$E$14)),J9),2)</f>
      </c>
      <c r="U9" s="33">
        <f>ROUND(MIN(MAX(0,N('Your debts'!$E$15)),K9),2)</f>
      </c>
      <c r="V9" s="33">
        <f>ROUND(B9-L9,2)</f>
      </c>
      <c r="W9" s="33">
        <f>ROUND(C9-M9,2)</f>
      </c>
      <c r="X9" s="33">
        <f>ROUND(D9-N9,2)</f>
      </c>
      <c r="Y9" s="33">
        <f>ROUND(E9-O9,2)</f>
      </c>
      <c r="Z9" s="33">
        <f>ROUND(F9-P9,2)</f>
      </c>
      <c r="AA9" s="33">
        <f>ROUND(G9-Q9,2)</f>
      </c>
      <c r="AB9" s="33">
        <f>ROUND(H9-R9,2)</f>
      </c>
      <c r="AC9" s="33">
        <f>ROUND(I9-S9,2)</f>
      </c>
      <c r="AD9" s="33">
        <f>ROUND(J9-T9,2)</f>
      </c>
      <c r="AE9" s="33">
        <f>ROUND(K9-U9,2)</f>
      </c>
      <c r="AF9" s="33">
        <f>IF(V9&lt;=0,0,MAX(0,MIN(V9,ROUND($AZ9-SUMPRODUCT($V9:$AE9*($V9:$AE9&gt;0)*(($V$3:$AE$3&gt;V$3)+($V$3:$AE$3=V$3)*($V9:$AE9&lt;V9)+($V$3:$AE$3=V$3)*($V9:$AE9=V9)*($V$2:$AE$2&lt;V$2))),2))))</f>
      </c>
      <c r="AG9" s="33">
        <f>IF(W9&lt;=0,0,MAX(0,MIN(W9,ROUND($AZ9-SUMPRODUCT($V9:$AE9*($V9:$AE9&gt;0)*(($V$3:$AE$3&gt;W$3)+($V$3:$AE$3=W$3)*($V9:$AE9&lt;W9)+($V$3:$AE$3=W$3)*($V9:$AE9=W9)*($V$2:$AE$2&lt;W$2))),2))))</f>
      </c>
      <c r="AH9" s="33">
        <f>IF(X9&lt;=0,0,MAX(0,MIN(X9,ROUND($AZ9-SUMPRODUCT($V9:$AE9*($V9:$AE9&gt;0)*(($V$3:$AE$3&gt;X$3)+($V$3:$AE$3=X$3)*($V9:$AE9&lt;X9)+($V$3:$AE$3=X$3)*($V9:$AE9=X9)*($V$2:$AE$2&lt;X$2))),2))))</f>
      </c>
      <c r="AI9" s="33">
        <f>IF(Y9&lt;=0,0,MAX(0,MIN(Y9,ROUND($AZ9-SUMPRODUCT($V9:$AE9*($V9:$AE9&gt;0)*(($V$3:$AE$3&gt;Y$3)+($V$3:$AE$3=Y$3)*($V9:$AE9&lt;Y9)+($V$3:$AE$3=Y$3)*($V9:$AE9=Y9)*($V$2:$AE$2&lt;Y$2))),2))))</f>
      </c>
      <c r="AJ9" s="33">
        <f>IF(Z9&lt;=0,0,MAX(0,MIN(Z9,ROUND($AZ9-SUMPRODUCT($V9:$AE9*($V9:$AE9&gt;0)*(($V$3:$AE$3&gt;Z$3)+($V$3:$AE$3=Z$3)*($V9:$AE9&lt;Z9)+($V$3:$AE$3=Z$3)*($V9:$AE9=Z9)*($V$2:$AE$2&lt;Z$2))),2))))</f>
      </c>
      <c r="AK9" s="33">
        <f>IF(AA9&lt;=0,0,MAX(0,MIN(AA9,ROUND($AZ9-SUMPRODUCT($V9:$AE9*($V9:$AE9&gt;0)*(($V$3:$AE$3&gt;AA$3)+($V$3:$AE$3=AA$3)*($V9:$AE9&lt;AA9)+($V$3:$AE$3=AA$3)*($V9:$AE9=AA9)*($V$2:$AE$2&lt;AA$2))),2))))</f>
      </c>
      <c r="AL9" s="33">
        <f>IF(AB9&lt;=0,0,MAX(0,MIN(AB9,ROUND($AZ9-SUMPRODUCT($V9:$AE9*($V9:$AE9&gt;0)*(($V$3:$AE$3&gt;AB$3)+($V$3:$AE$3=AB$3)*($V9:$AE9&lt;AB9)+($V$3:$AE$3=AB$3)*($V9:$AE9=AB9)*($V$2:$AE$2&lt;AB$2))),2))))</f>
      </c>
      <c r="AM9" s="33">
        <f>IF(AC9&lt;=0,0,MAX(0,MIN(AC9,ROUND($AZ9-SUMPRODUCT($V9:$AE9*($V9:$AE9&gt;0)*(($V$3:$AE$3&gt;AC$3)+($V$3:$AE$3=AC$3)*($V9:$AE9&lt;AC9)+($V$3:$AE$3=AC$3)*($V9:$AE9=AC9)*($V$2:$AE$2&lt;AC$2))),2))))</f>
      </c>
      <c r="AN9" s="33">
        <f>IF(AD9&lt;=0,0,MAX(0,MIN(AD9,ROUND($AZ9-SUMPRODUCT($V9:$AE9*($V9:$AE9&gt;0)*(($V$3:$AE$3&gt;AD$3)+($V$3:$AE$3=AD$3)*($V9:$AE9&lt;AD9)+($V$3:$AE$3=AD$3)*($V9:$AE9=AD9)*($V$2:$AE$2&lt;AD$2))),2))))</f>
      </c>
      <c r="AO9" s="33">
        <f>IF(AE9&lt;=0,0,MAX(0,MIN(AE9,ROUND($AZ9-SUMPRODUCT($V9:$AE9*($V9:$AE9&gt;0)*(($V$3:$AE$3&gt;AE$3)+($V$3:$AE$3=AE$3)*($V9:$AE9&lt;AE9)+($V$3:$AE$3=AE$3)*($V9:$AE9=AE9)*($V$2:$AE$2&lt;AE$2))),2))))</f>
      </c>
      <c r="AP9" s="33">
        <f>ROUND(V9-AF9,2)</f>
      </c>
      <c r="AQ9" s="33">
        <f>ROUND(W9-AG9,2)</f>
      </c>
      <c r="AR9" s="33">
        <f>ROUND(X9-AH9,2)</f>
      </c>
      <c r="AS9" s="33">
        <f>ROUND(Y9-AI9,2)</f>
      </c>
      <c r="AT9" s="33">
        <f>ROUND(Z9-AJ9,2)</f>
      </c>
      <c r="AU9" s="33">
        <f>ROUND(AA9-AK9,2)</f>
      </c>
      <c r="AV9" s="33">
        <f>ROUND(AB9-AL9,2)</f>
      </c>
      <c r="AW9" s="33">
        <f>ROUND(AC9-AM9,2)</f>
      </c>
      <c r="AX9" s="33">
        <f>ROUND(AD9-AN9,2)</f>
      </c>
      <c r="AY9" s="33">
        <f>ROUND(AE9-AO9,2)</f>
      </c>
      <c r="AZ9" s="33">
        <f>ROUND(MAX(0,'Your debts'!$D$22-SUM($L9:$U9)),2)</f>
      </c>
      <c r="BA9" s="33">
        <f>ROUND(SUM($B9:$K9)-SUM($AP8:$AY8),2)</f>
      </c>
      <c r="BB9" s="33">
        <f>SUM($AP9:$AY9)</f>
      </c>
      <c r="BC9" s="33">
        <f>ROUND(SUM($L9:$U9)+SUM($AF9:$AO9),2)</f>
      </c>
    </row>
    <row r="10" spans="1:55" x14ac:dyDescent="0.25">
      <c r="A10">
        <v>3</v>
      </c>
      <c r="B10" s="33">
        <f>IF(AP9&lt;=0,0,ROUND(AP9+ROUND(AP9*V$3/12,2),2))</f>
      </c>
      <c r="C10" s="33">
        <f>IF(AQ9&lt;=0,0,ROUND(AQ9+ROUND(AQ9*W$3/12,2),2))</f>
      </c>
      <c r="D10" s="33">
        <f>IF(AR9&lt;=0,0,ROUND(AR9+ROUND(AR9*X$3/12,2),2))</f>
      </c>
      <c r="E10" s="33">
        <f>IF(AS9&lt;=0,0,ROUND(AS9+ROUND(AS9*Y$3/12,2),2))</f>
      </c>
      <c r="F10" s="33">
        <f>IF(AT9&lt;=0,0,ROUND(AT9+ROUND(AT9*Z$3/12,2),2))</f>
      </c>
      <c r="G10" s="33">
        <f>IF(AU9&lt;=0,0,ROUND(AU9+ROUND(AU9*AA$3/12,2),2))</f>
      </c>
      <c r="H10" s="33">
        <f>IF(AV9&lt;=0,0,ROUND(AV9+ROUND(AV9*AB$3/12,2),2))</f>
      </c>
      <c r="I10" s="33">
        <f>IF(AW9&lt;=0,0,ROUND(AW9+ROUND(AW9*AC$3/12,2),2))</f>
      </c>
      <c r="J10" s="33">
        <f>IF(AX9&lt;=0,0,ROUND(AX9+ROUND(AX9*AD$3/12,2),2))</f>
      </c>
      <c r="K10" s="33">
        <f>IF(AY9&lt;=0,0,ROUND(AY9+ROUND(AY9*AE$3/12,2),2))</f>
      </c>
      <c r="L10" s="33">
        <f>ROUND(MIN(MAX(0,N('Your debts'!$E$6)),B10),2)</f>
      </c>
      <c r="M10" s="33">
        <f>ROUND(MIN(MAX(0,N('Your debts'!$E$7)),C10),2)</f>
      </c>
      <c r="N10" s="33">
        <f>ROUND(MIN(MAX(0,N('Your debts'!$E$8)),D10),2)</f>
      </c>
      <c r="O10" s="33">
        <f>ROUND(MIN(MAX(0,N('Your debts'!$E$9)),E10),2)</f>
      </c>
      <c r="P10" s="33">
        <f>ROUND(MIN(MAX(0,N('Your debts'!$E$10)),F10),2)</f>
      </c>
      <c r="Q10" s="33">
        <f>ROUND(MIN(MAX(0,N('Your debts'!$E$11)),G10),2)</f>
      </c>
      <c r="R10" s="33">
        <f>ROUND(MIN(MAX(0,N('Your debts'!$E$12)),H10),2)</f>
      </c>
      <c r="S10" s="33">
        <f>ROUND(MIN(MAX(0,N('Your debts'!$E$13)),I10),2)</f>
      </c>
      <c r="T10" s="33">
        <f>ROUND(MIN(MAX(0,N('Your debts'!$E$14)),J10),2)</f>
      </c>
      <c r="U10" s="33">
        <f>ROUND(MIN(MAX(0,N('Your debts'!$E$15)),K10),2)</f>
      </c>
      <c r="V10" s="33">
        <f>ROUND(B10-L10,2)</f>
      </c>
      <c r="W10" s="33">
        <f>ROUND(C10-M10,2)</f>
      </c>
      <c r="X10" s="33">
        <f>ROUND(D10-N10,2)</f>
      </c>
      <c r="Y10" s="33">
        <f>ROUND(E10-O10,2)</f>
      </c>
      <c r="Z10" s="33">
        <f>ROUND(F10-P10,2)</f>
      </c>
      <c r="AA10" s="33">
        <f>ROUND(G10-Q10,2)</f>
      </c>
      <c r="AB10" s="33">
        <f>ROUND(H10-R10,2)</f>
      </c>
      <c r="AC10" s="33">
        <f>ROUND(I10-S10,2)</f>
      </c>
      <c r="AD10" s="33">
        <f>ROUND(J10-T10,2)</f>
      </c>
      <c r="AE10" s="33">
        <f>ROUND(K10-U10,2)</f>
      </c>
      <c r="AF10" s="33">
        <f>IF(V10&lt;=0,0,MAX(0,MIN(V10,ROUND($AZ10-SUMPRODUCT($V10:$AE10*($V10:$AE10&gt;0)*(($V$3:$AE$3&gt;V$3)+($V$3:$AE$3=V$3)*($V10:$AE10&lt;V10)+($V$3:$AE$3=V$3)*($V10:$AE10=V10)*($V$2:$AE$2&lt;V$2))),2))))</f>
      </c>
      <c r="AG10" s="33">
        <f>IF(W10&lt;=0,0,MAX(0,MIN(W10,ROUND($AZ10-SUMPRODUCT($V10:$AE10*($V10:$AE10&gt;0)*(($V$3:$AE$3&gt;W$3)+($V$3:$AE$3=W$3)*($V10:$AE10&lt;W10)+($V$3:$AE$3=W$3)*($V10:$AE10=W10)*($V$2:$AE$2&lt;W$2))),2))))</f>
      </c>
      <c r="AH10" s="33">
        <f>IF(X10&lt;=0,0,MAX(0,MIN(X10,ROUND($AZ10-SUMPRODUCT($V10:$AE10*($V10:$AE10&gt;0)*(($V$3:$AE$3&gt;X$3)+($V$3:$AE$3=X$3)*($V10:$AE10&lt;X10)+($V$3:$AE$3=X$3)*($V10:$AE10=X10)*($V$2:$AE$2&lt;X$2))),2))))</f>
      </c>
      <c r="AI10" s="33">
        <f>IF(Y10&lt;=0,0,MAX(0,MIN(Y10,ROUND($AZ10-SUMPRODUCT($V10:$AE10*($V10:$AE10&gt;0)*(($V$3:$AE$3&gt;Y$3)+($V$3:$AE$3=Y$3)*($V10:$AE10&lt;Y10)+($V$3:$AE$3=Y$3)*($V10:$AE10=Y10)*($V$2:$AE$2&lt;Y$2))),2))))</f>
      </c>
      <c r="AJ10" s="33">
        <f>IF(Z10&lt;=0,0,MAX(0,MIN(Z10,ROUND($AZ10-SUMPRODUCT($V10:$AE10*($V10:$AE10&gt;0)*(($V$3:$AE$3&gt;Z$3)+($V$3:$AE$3=Z$3)*($V10:$AE10&lt;Z10)+($V$3:$AE$3=Z$3)*($V10:$AE10=Z10)*($V$2:$AE$2&lt;Z$2))),2))))</f>
      </c>
      <c r="AK10" s="33">
        <f>IF(AA10&lt;=0,0,MAX(0,MIN(AA10,ROUND($AZ10-SUMPRODUCT($V10:$AE10*($V10:$AE10&gt;0)*(($V$3:$AE$3&gt;AA$3)+($V$3:$AE$3=AA$3)*($V10:$AE10&lt;AA10)+($V$3:$AE$3=AA$3)*($V10:$AE10=AA10)*($V$2:$AE$2&lt;AA$2))),2))))</f>
      </c>
      <c r="AL10" s="33">
        <f>IF(AB10&lt;=0,0,MAX(0,MIN(AB10,ROUND($AZ10-SUMPRODUCT($V10:$AE10*($V10:$AE10&gt;0)*(($V$3:$AE$3&gt;AB$3)+($V$3:$AE$3=AB$3)*($V10:$AE10&lt;AB10)+($V$3:$AE$3=AB$3)*($V10:$AE10=AB10)*($V$2:$AE$2&lt;AB$2))),2))))</f>
      </c>
      <c r="AM10" s="33">
        <f>IF(AC10&lt;=0,0,MAX(0,MIN(AC10,ROUND($AZ10-SUMPRODUCT($V10:$AE10*($V10:$AE10&gt;0)*(($V$3:$AE$3&gt;AC$3)+($V$3:$AE$3=AC$3)*($V10:$AE10&lt;AC10)+($V$3:$AE$3=AC$3)*($V10:$AE10=AC10)*($V$2:$AE$2&lt;AC$2))),2))))</f>
      </c>
      <c r="AN10" s="33">
        <f>IF(AD10&lt;=0,0,MAX(0,MIN(AD10,ROUND($AZ10-SUMPRODUCT($V10:$AE10*($V10:$AE10&gt;0)*(($V$3:$AE$3&gt;AD$3)+($V$3:$AE$3=AD$3)*($V10:$AE10&lt;AD10)+($V$3:$AE$3=AD$3)*($V10:$AE10=AD10)*($V$2:$AE$2&lt;AD$2))),2))))</f>
      </c>
      <c r="AO10" s="33">
        <f>IF(AE10&lt;=0,0,MAX(0,MIN(AE10,ROUND($AZ10-SUMPRODUCT($V10:$AE10*($V10:$AE10&gt;0)*(($V$3:$AE$3&gt;AE$3)+($V$3:$AE$3=AE$3)*($V10:$AE10&lt;AE10)+($V$3:$AE$3=AE$3)*($V10:$AE10=AE10)*($V$2:$AE$2&lt;AE$2))),2))))</f>
      </c>
      <c r="AP10" s="33">
        <f>ROUND(V10-AF10,2)</f>
      </c>
      <c r="AQ10" s="33">
        <f>ROUND(W10-AG10,2)</f>
      </c>
      <c r="AR10" s="33">
        <f>ROUND(X10-AH10,2)</f>
      </c>
      <c r="AS10" s="33">
        <f>ROUND(Y10-AI10,2)</f>
      </c>
      <c r="AT10" s="33">
        <f>ROUND(Z10-AJ10,2)</f>
      </c>
      <c r="AU10" s="33">
        <f>ROUND(AA10-AK10,2)</f>
      </c>
      <c r="AV10" s="33">
        <f>ROUND(AB10-AL10,2)</f>
      </c>
      <c r="AW10" s="33">
        <f>ROUND(AC10-AM10,2)</f>
      </c>
      <c r="AX10" s="33">
        <f>ROUND(AD10-AN10,2)</f>
      </c>
      <c r="AY10" s="33">
        <f>ROUND(AE10-AO10,2)</f>
      </c>
      <c r="AZ10" s="33">
        <f>ROUND(MAX(0,'Your debts'!$D$22-SUM($L10:$U10)),2)</f>
      </c>
      <c r="BA10" s="33">
        <f>ROUND(SUM($B10:$K10)-SUM($AP9:$AY9),2)</f>
      </c>
      <c r="BB10" s="33">
        <f>SUM($AP10:$AY10)</f>
      </c>
      <c r="BC10" s="33">
        <f>ROUND(SUM($L10:$U10)+SUM($AF10:$AO10),2)</f>
      </c>
    </row>
    <row r="11" spans="1:55" x14ac:dyDescent="0.25">
      <c r="A11">
        <v>4</v>
      </c>
      <c r="B11" s="33">
        <f>IF(AP10&lt;=0,0,ROUND(AP10+ROUND(AP10*V$3/12,2),2))</f>
      </c>
      <c r="C11" s="33">
        <f>IF(AQ10&lt;=0,0,ROUND(AQ10+ROUND(AQ10*W$3/12,2),2))</f>
      </c>
      <c r="D11" s="33">
        <f>IF(AR10&lt;=0,0,ROUND(AR10+ROUND(AR10*X$3/12,2),2))</f>
      </c>
      <c r="E11" s="33">
        <f>IF(AS10&lt;=0,0,ROUND(AS10+ROUND(AS10*Y$3/12,2),2))</f>
      </c>
      <c r="F11" s="33">
        <f>IF(AT10&lt;=0,0,ROUND(AT10+ROUND(AT10*Z$3/12,2),2))</f>
      </c>
      <c r="G11" s="33">
        <f>IF(AU10&lt;=0,0,ROUND(AU10+ROUND(AU10*AA$3/12,2),2))</f>
      </c>
      <c r="H11" s="33">
        <f>IF(AV10&lt;=0,0,ROUND(AV10+ROUND(AV10*AB$3/12,2),2))</f>
      </c>
      <c r="I11" s="33">
        <f>IF(AW10&lt;=0,0,ROUND(AW10+ROUND(AW10*AC$3/12,2),2))</f>
      </c>
      <c r="J11" s="33">
        <f>IF(AX10&lt;=0,0,ROUND(AX10+ROUND(AX10*AD$3/12,2),2))</f>
      </c>
      <c r="K11" s="33">
        <f>IF(AY10&lt;=0,0,ROUND(AY10+ROUND(AY10*AE$3/12,2),2))</f>
      </c>
      <c r="L11" s="33">
        <f>ROUND(MIN(MAX(0,N('Your debts'!$E$6)),B11),2)</f>
      </c>
      <c r="M11" s="33">
        <f>ROUND(MIN(MAX(0,N('Your debts'!$E$7)),C11),2)</f>
      </c>
      <c r="N11" s="33">
        <f>ROUND(MIN(MAX(0,N('Your debts'!$E$8)),D11),2)</f>
      </c>
      <c r="O11" s="33">
        <f>ROUND(MIN(MAX(0,N('Your debts'!$E$9)),E11),2)</f>
      </c>
      <c r="P11" s="33">
        <f>ROUND(MIN(MAX(0,N('Your debts'!$E$10)),F11),2)</f>
      </c>
      <c r="Q11" s="33">
        <f>ROUND(MIN(MAX(0,N('Your debts'!$E$11)),G11),2)</f>
      </c>
      <c r="R11" s="33">
        <f>ROUND(MIN(MAX(0,N('Your debts'!$E$12)),H11),2)</f>
      </c>
      <c r="S11" s="33">
        <f>ROUND(MIN(MAX(0,N('Your debts'!$E$13)),I11),2)</f>
      </c>
      <c r="T11" s="33">
        <f>ROUND(MIN(MAX(0,N('Your debts'!$E$14)),J11),2)</f>
      </c>
      <c r="U11" s="33">
        <f>ROUND(MIN(MAX(0,N('Your debts'!$E$15)),K11),2)</f>
      </c>
      <c r="V11" s="33">
        <f>ROUND(B11-L11,2)</f>
      </c>
      <c r="W11" s="33">
        <f>ROUND(C11-M11,2)</f>
      </c>
      <c r="X11" s="33">
        <f>ROUND(D11-N11,2)</f>
      </c>
      <c r="Y11" s="33">
        <f>ROUND(E11-O11,2)</f>
      </c>
      <c r="Z11" s="33">
        <f>ROUND(F11-P11,2)</f>
      </c>
      <c r="AA11" s="33">
        <f>ROUND(G11-Q11,2)</f>
      </c>
      <c r="AB11" s="33">
        <f>ROUND(H11-R11,2)</f>
      </c>
      <c r="AC11" s="33">
        <f>ROUND(I11-S11,2)</f>
      </c>
      <c r="AD11" s="33">
        <f>ROUND(J11-T11,2)</f>
      </c>
      <c r="AE11" s="33">
        <f>ROUND(K11-U11,2)</f>
      </c>
      <c r="AF11" s="33">
        <f>IF(V11&lt;=0,0,MAX(0,MIN(V11,ROUND($AZ11-SUMPRODUCT($V11:$AE11*($V11:$AE11&gt;0)*(($V$3:$AE$3&gt;V$3)+($V$3:$AE$3=V$3)*($V11:$AE11&lt;V11)+($V$3:$AE$3=V$3)*($V11:$AE11=V11)*($V$2:$AE$2&lt;V$2))),2))))</f>
      </c>
      <c r="AG11" s="33">
        <f>IF(W11&lt;=0,0,MAX(0,MIN(W11,ROUND($AZ11-SUMPRODUCT($V11:$AE11*($V11:$AE11&gt;0)*(($V$3:$AE$3&gt;W$3)+($V$3:$AE$3=W$3)*($V11:$AE11&lt;W11)+($V$3:$AE$3=W$3)*($V11:$AE11=W11)*($V$2:$AE$2&lt;W$2))),2))))</f>
      </c>
      <c r="AH11" s="33">
        <f>IF(X11&lt;=0,0,MAX(0,MIN(X11,ROUND($AZ11-SUMPRODUCT($V11:$AE11*($V11:$AE11&gt;0)*(($V$3:$AE$3&gt;X$3)+($V$3:$AE$3=X$3)*($V11:$AE11&lt;X11)+($V$3:$AE$3=X$3)*($V11:$AE11=X11)*($V$2:$AE$2&lt;X$2))),2))))</f>
      </c>
      <c r="AI11" s="33">
        <f>IF(Y11&lt;=0,0,MAX(0,MIN(Y11,ROUND($AZ11-SUMPRODUCT($V11:$AE11*($V11:$AE11&gt;0)*(($V$3:$AE$3&gt;Y$3)+($V$3:$AE$3=Y$3)*($V11:$AE11&lt;Y11)+($V$3:$AE$3=Y$3)*($V11:$AE11=Y11)*($V$2:$AE$2&lt;Y$2))),2))))</f>
      </c>
      <c r="AJ11" s="33">
        <f>IF(Z11&lt;=0,0,MAX(0,MIN(Z11,ROUND($AZ11-SUMPRODUCT($V11:$AE11*($V11:$AE11&gt;0)*(($V$3:$AE$3&gt;Z$3)+($V$3:$AE$3=Z$3)*($V11:$AE11&lt;Z11)+($V$3:$AE$3=Z$3)*($V11:$AE11=Z11)*($V$2:$AE$2&lt;Z$2))),2))))</f>
      </c>
      <c r="AK11" s="33">
        <f>IF(AA11&lt;=0,0,MAX(0,MIN(AA11,ROUND($AZ11-SUMPRODUCT($V11:$AE11*($V11:$AE11&gt;0)*(($V$3:$AE$3&gt;AA$3)+($V$3:$AE$3=AA$3)*($V11:$AE11&lt;AA11)+($V$3:$AE$3=AA$3)*($V11:$AE11=AA11)*($V$2:$AE$2&lt;AA$2))),2))))</f>
      </c>
      <c r="AL11" s="33">
        <f>IF(AB11&lt;=0,0,MAX(0,MIN(AB11,ROUND($AZ11-SUMPRODUCT($V11:$AE11*($V11:$AE11&gt;0)*(($V$3:$AE$3&gt;AB$3)+($V$3:$AE$3=AB$3)*($V11:$AE11&lt;AB11)+($V$3:$AE$3=AB$3)*($V11:$AE11=AB11)*($V$2:$AE$2&lt;AB$2))),2))))</f>
      </c>
      <c r="AM11" s="33">
        <f>IF(AC11&lt;=0,0,MAX(0,MIN(AC11,ROUND($AZ11-SUMPRODUCT($V11:$AE11*($V11:$AE11&gt;0)*(($V$3:$AE$3&gt;AC$3)+($V$3:$AE$3=AC$3)*($V11:$AE11&lt;AC11)+($V$3:$AE$3=AC$3)*($V11:$AE11=AC11)*($V$2:$AE$2&lt;AC$2))),2))))</f>
      </c>
      <c r="AN11" s="33">
        <f>IF(AD11&lt;=0,0,MAX(0,MIN(AD11,ROUND($AZ11-SUMPRODUCT($V11:$AE11*($V11:$AE11&gt;0)*(($V$3:$AE$3&gt;AD$3)+($V$3:$AE$3=AD$3)*($V11:$AE11&lt;AD11)+($V$3:$AE$3=AD$3)*($V11:$AE11=AD11)*($V$2:$AE$2&lt;AD$2))),2))))</f>
      </c>
      <c r="AO11" s="33">
        <f>IF(AE11&lt;=0,0,MAX(0,MIN(AE11,ROUND($AZ11-SUMPRODUCT($V11:$AE11*($V11:$AE11&gt;0)*(($V$3:$AE$3&gt;AE$3)+($V$3:$AE$3=AE$3)*($V11:$AE11&lt;AE11)+($V$3:$AE$3=AE$3)*($V11:$AE11=AE11)*($V$2:$AE$2&lt;AE$2))),2))))</f>
      </c>
      <c r="AP11" s="33">
        <f>ROUND(V11-AF11,2)</f>
      </c>
      <c r="AQ11" s="33">
        <f>ROUND(W11-AG11,2)</f>
      </c>
      <c r="AR11" s="33">
        <f>ROUND(X11-AH11,2)</f>
      </c>
      <c r="AS11" s="33">
        <f>ROUND(Y11-AI11,2)</f>
      </c>
      <c r="AT11" s="33">
        <f>ROUND(Z11-AJ11,2)</f>
      </c>
      <c r="AU11" s="33">
        <f>ROUND(AA11-AK11,2)</f>
      </c>
      <c r="AV11" s="33">
        <f>ROUND(AB11-AL11,2)</f>
      </c>
      <c r="AW11" s="33">
        <f>ROUND(AC11-AM11,2)</f>
      </c>
      <c r="AX11" s="33">
        <f>ROUND(AD11-AN11,2)</f>
      </c>
      <c r="AY11" s="33">
        <f>ROUND(AE11-AO11,2)</f>
      </c>
      <c r="AZ11" s="33">
        <f>ROUND(MAX(0,'Your debts'!$D$22-SUM($L11:$U11)),2)</f>
      </c>
      <c r="BA11" s="33">
        <f>ROUND(SUM($B11:$K11)-SUM($AP10:$AY10),2)</f>
      </c>
      <c r="BB11" s="33">
        <f>SUM($AP11:$AY11)</f>
      </c>
      <c r="BC11" s="33">
        <f>ROUND(SUM($L11:$U11)+SUM($AF11:$AO11),2)</f>
      </c>
    </row>
    <row r="12" spans="1:55" x14ac:dyDescent="0.25">
      <c r="A12">
        <v>5</v>
      </c>
      <c r="B12" s="33">
        <f>IF(AP11&lt;=0,0,ROUND(AP11+ROUND(AP11*V$3/12,2),2))</f>
      </c>
      <c r="C12" s="33">
        <f>IF(AQ11&lt;=0,0,ROUND(AQ11+ROUND(AQ11*W$3/12,2),2))</f>
      </c>
      <c r="D12" s="33">
        <f>IF(AR11&lt;=0,0,ROUND(AR11+ROUND(AR11*X$3/12,2),2))</f>
      </c>
      <c r="E12" s="33">
        <f>IF(AS11&lt;=0,0,ROUND(AS11+ROUND(AS11*Y$3/12,2),2))</f>
      </c>
      <c r="F12" s="33">
        <f>IF(AT11&lt;=0,0,ROUND(AT11+ROUND(AT11*Z$3/12,2),2))</f>
      </c>
      <c r="G12" s="33">
        <f>IF(AU11&lt;=0,0,ROUND(AU11+ROUND(AU11*AA$3/12,2),2))</f>
      </c>
      <c r="H12" s="33">
        <f>IF(AV11&lt;=0,0,ROUND(AV11+ROUND(AV11*AB$3/12,2),2))</f>
      </c>
      <c r="I12" s="33">
        <f>IF(AW11&lt;=0,0,ROUND(AW11+ROUND(AW11*AC$3/12,2),2))</f>
      </c>
      <c r="J12" s="33">
        <f>IF(AX11&lt;=0,0,ROUND(AX11+ROUND(AX11*AD$3/12,2),2))</f>
      </c>
      <c r="K12" s="33">
        <f>IF(AY11&lt;=0,0,ROUND(AY11+ROUND(AY11*AE$3/12,2),2))</f>
      </c>
      <c r="L12" s="33">
        <f>ROUND(MIN(MAX(0,N('Your debts'!$E$6)),B12),2)</f>
      </c>
      <c r="M12" s="33">
        <f>ROUND(MIN(MAX(0,N('Your debts'!$E$7)),C12),2)</f>
      </c>
      <c r="N12" s="33">
        <f>ROUND(MIN(MAX(0,N('Your debts'!$E$8)),D12),2)</f>
      </c>
      <c r="O12" s="33">
        <f>ROUND(MIN(MAX(0,N('Your debts'!$E$9)),E12),2)</f>
      </c>
      <c r="P12" s="33">
        <f>ROUND(MIN(MAX(0,N('Your debts'!$E$10)),F12),2)</f>
      </c>
      <c r="Q12" s="33">
        <f>ROUND(MIN(MAX(0,N('Your debts'!$E$11)),G12),2)</f>
      </c>
      <c r="R12" s="33">
        <f>ROUND(MIN(MAX(0,N('Your debts'!$E$12)),H12),2)</f>
      </c>
      <c r="S12" s="33">
        <f>ROUND(MIN(MAX(0,N('Your debts'!$E$13)),I12),2)</f>
      </c>
      <c r="T12" s="33">
        <f>ROUND(MIN(MAX(0,N('Your debts'!$E$14)),J12),2)</f>
      </c>
      <c r="U12" s="33">
        <f>ROUND(MIN(MAX(0,N('Your debts'!$E$15)),K12),2)</f>
      </c>
      <c r="V12" s="33">
        <f>ROUND(B12-L12,2)</f>
      </c>
      <c r="W12" s="33">
        <f>ROUND(C12-M12,2)</f>
      </c>
      <c r="X12" s="33">
        <f>ROUND(D12-N12,2)</f>
      </c>
      <c r="Y12" s="33">
        <f>ROUND(E12-O12,2)</f>
      </c>
      <c r="Z12" s="33">
        <f>ROUND(F12-P12,2)</f>
      </c>
      <c r="AA12" s="33">
        <f>ROUND(G12-Q12,2)</f>
      </c>
      <c r="AB12" s="33">
        <f>ROUND(H12-R12,2)</f>
      </c>
      <c r="AC12" s="33">
        <f>ROUND(I12-S12,2)</f>
      </c>
      <c r="AD12" s="33">
        <f>ROUND(J12-T12,2)</f>
      </c>
      <c r="AE12" s="33">
        <f>ROUND(K12-U12,2)</f>
      </c>
      <c r="AF12" s="33">
        <f>IF(V12&lt;=0,0,MAX(0,MIN(V12,ROUND($AZ12-SUMPRODUCT($V12:$AE12*($V12:$AE12&gt;0)*(($V$3:$AE$3&gt;V$3)+($V$3:$AE$3=V$3)*($V12:$AE12&lt;V12)+($V$3:$AE$3=V$3)*($V12:$AE12=V12)*($V$2:$AE$2&lt;V$2))),2))))</f>
      </c>
      <c r="AG12" s="33">
        <f>IF(W12&lt;=0,0,MAX(0,MIN(W12,ROUND($AZ12-SUMPRODUCT($V12:$AE12*($V12:$AE12&gt;0)*(($V$3:$AE$3&gt;W$3)+($V$3:$AE$3=W$3)*($V12:$AE12&lt;W12)+($V$3:$AE$3=W$3)*($V12:$AE12=W12)*($V$2:$AE$2&lt;W$2))),2))))</f>
      </c>
      <c r="AH12" s="33">
        <f>IF(X12&lt;=0,0,MAX(0,MIN(X12,ROUND($AZ12-SUMPRODUCT($V12:$AE12*($V12:$AE12&gt;0)*(($V$3:$AE$3&gt;X$3)+($V$3:$AE$3=X$3)*($V12:$AE12&lt;X12)+($V$3:$AE$3=X$3)*($V12:$AE12=X12)*($V$2:$AE$2&lt;X$2))),2))))</f>
      </c>
      <c r="AI12" s="33">
        <f>IF(Y12&lt;=0,0,MAX(0,MIN(Y12,ROUND($AZ12-SUMPRODUCT($V12:$AE12*($V12:$AE12&gt;0)*(($V$3:$AE$3&gt;Y$3)+($V$3:$AE$3=Y$3)*($V12:$AE12&lt;Y12)+($V$3:$AE$3=Y$3)*($V12:$AE12=Y12)*($V$2:$AE$2&lt;Y$2))),2))))</f>
      </c>
      <c r="AJ12" s="33">
        <f>IF(Z12&lt;=0,0,MAX(0,MIN(Z12,ROUND($AZ12-SUMPRODUCT($V12:$AE12*($V12:$AE12&gt;0)*(($V$3:$AE$3&gt;Z$3)+($V$3:$AE$3=Z$3)*($V12:$AE12&lt;Z12)+($V$3:$AE$3=Z$3)*($V12:$AE12=Z12)*($V$2:$AE$2&lt;Z$2))),2))))</f>
      </c>
      <c r="AK12" s="33">
        <f>IF(AA12&lt;=0,0,MAX(0,MIN(AA12,ROUND($AZ12-SUMPRODUCT($V12:$AE12*($V12:$AE12&gt;0)*(($V$3:$AE$3&gt;AA$3)+($V$3:$AE$3=AA$3)*($V12:$AE12&lt;AA12)+($V$3:$AE$3=AA$3)*($V12:$AE12=AA12)*($V$2:$AE$2&lt;AA$2))),2))))</f>
      </c>
      <c r="AL12" s="33">
        <f>IF(AB12&lt;=0,0,MAX(0,MIN(AB12,ROUND($AZ12-SUMPRODUCT($V12:$AE12*($V12:$AE12&gt;0)*(($V$3:$AE$3&gt;AB$3)+($V$3:$AE$3=AB$3)*($V12:$AE12&lt;AB12)+($V$3:$AE$3=AB$3)*($V12:$AE12=AB12)*($V$2:$AE$2&lt;AB$2))),2))))</f>
      </c>
      <c r="AM12" s="33">
        <f>IF(AC12&lt;=0,0,MAX(0,MIN(AC12,ROUND($AZ12-SUMPRODUCT($V12:$AE12*($V12:$AE12&gt;0)*(($V$3:$AE$3&gt;AC$3)+($V$3:$AE$3=AC$3)*($V12:$AE12&lt;AC12)+($V$3:$AE$3=AC$3)*($V12:$AE12=AC12)*($V$2:$AE$2&lt;AC$2))),2))))</f>
      </c>
      <c r="AN12" s="33">
        <f>IF(AD12&lt;=0,0,MAX(0,MIN(AD12,ROUND($AZ12-SUMPRODUCT($V12:$AE12*($V12:$AE12&gt;0)*(($V$3:$AE$3&gt;AD$3)+($V$3:$AE$3=AD$3)*($V12:$AE12&lt;AD12)+($V$3:$AE$3=AD$3)*($V12:$AE12=AD12)*($V$2:$AE$2&lt;AD$2))),2))))</f>
      </c>
      <c r="AO12" s="33">
        <f>IF(AE12&lt;=0,0,MAX(0,MIN(AE12,ROUND($AZ12-SUMPRODUCT($V12:$AE12*($V12:$AE12&gt;0)*(($V$3:$AE$3&gt;AE$3)+($V$3:$AE$3=AE$3)*($V12:$AE12&lt;AE12)+($V$3:$AE$3=AE$3)*($V12:$AE12=AE12)*($V$2:$AE$2&lt;AE$2))),2))))</f>
      </c>
      <c r="AP12" s="33">
        <f>ROUND(V12-AF12,2)</f>
      </c>
      <c r="AQ12" s="33">
        <f>ROUND(W12-AG12,2)</f>
      </c>
      <c r="AR12" s="33">
        <f>ROUND(X12-AH12,2)</f>
      </c>
      <c r="AS12" s="33">
        <f>ROUND(Y12-AI12,2)</f>
      </c>
      <c r="AT12" s="33">
        <f>ROUND(Z12-AJ12,2)</f>
      </c>
      <c r="AU12" s="33">
        <f>ROUND(AA12-AK12,2)</f>
      </c>
      <c r="AV12" s="33">
        <f>ROUND(AB12-AL12,2)</f>
      </c>
      <c r="AW12" s="33">
        <f>ROUND(AC12-AM12,2)</f>
      </c>
      <c r="AX12" s="33">
        <f>ROUND(AD12-AN12,2)</f>
      </c>
      <c r="AY12" s="33">
        <f>ROUND(AE12-AO12,2)</f>
      </c>
      <c r="AZ12" s="33">
        <f>ROUND(MAX(0,'Your debts'!$D$22-SUM($L12:$U12)),2)</f>
      </c>
      <c r="BA12" s="33">
        <f>ROUND(SUM($B12:$K12)-SUM($AP11:$AY11),2)</f>
      </c>
      <c r="BB12" s="33">
        <f>SUM($AP12:$AY12)</f>
      </c>
      <c r="BC12" s="33">
        <f>ROUND(SUM($L12:$U12)+SUM($AF12:$AO12),2)</f>
      </c>
    </row>
    <row r="13" spans="1:55" x14ac:dyDescent="0.25">
      <c r="A13">
        <v>6</v>
      </c>
      <c r="B13" s="33">
        <f>IF(AP12&lt;=0,0,ROUND(AP12+ROUND(AP12*V$3/12,2),2))</f>
      </c>
      <c r="C13" s="33">
        <f>IF(AQ12&lt;=0,0,ROUND(AQ12+ROUND(AQ12*W$3/12,2),2))</f>
      </c>
      <c r="D13" s="33">
        <f>IF(AR12&lt;=0,0,ROUND(AR12+ROUND(AR12*X$3/12,2),2))</f>
      </c>
      <c r="E13" s="33">
        <f>IF(AS12&lt;=0,0,ROUND(AS12+ROUND(AS12*Y$3/12,2),2))</f>
      </c>
      <c r="F13" s="33">
        <f>IF(AT12&lt;=0,0,ROUND(AT12+ROUND(AT12*Z$3/12,2),2))</f>
      </c>
      <c r="G13" s="33">
        <f>IF(AU12&lt;=0,0,ROUND(AU12+ROUND(AU12*AA$3/12,2),2))</f>
      </c>
      <c r="H13" s="33">
        <f>IF(AV12&lt;=0,0,ROUND(AV12+ROUND(AV12*AB$3/12,2),2))</f>
      </c>
      <c r="I13" s="33">
        <f>IF(AW12&lt;=0,0,ROUND(AW12+ROUND(AW12*AC$3/12,2),2))</f>
      </c>
      <c r="J13" s="33">
        <f>IF(AX12&lt;=0,0,ROUND(AX12+ROUND(AX12*AD$3/12,2),2))</f>
      </c>
      <c r="K13" s="33">
        <f>IF(AY12&lt;=0,0,ROUND(AY12+ROUND(AY12*AE$3/12,2),2))</f>
      </c>
      <c r="L13" s="33">
        <f>ROUND(MIN(MAX(0,N('Your debts'!$E$6)),B13),2)</f>
      </c>
      <c r="M13" s="33">
        <f>ROUND(MIN(MAX(0,N('Your debts'!$E$7)),C13),2)</f>
      </c>
      <c r="N13" s="33">
        <f>ROUND(MIN(MAX(0,N('Your debts'!$E$8)),D13),2)</f>
      </c>
      <c r="O13" s="33">
        <f>ROUND(MIN(MAX(0,N('Your debts'!$E$9)),E13),2)</f>
      </c>
      <c r="P13" s="33">
        <f>ROUND(MIN(MAX(0,N('Your debts'!$E$10)),F13),2)</f>
      </c>
      <c r="Q13" s="33">
        <f>ROUND(MIN(MAX(0,N('Your debts'!$E$11)),G13),2)</f>
      </c>
      <c r="R13" s="33">
        <f>ROUND(MIN(MAX(0,N('Your debts'!$E$12)),H13),2)</f>
      </c>
      <c r="S13" s="33">
        <f>ROUND(MIN(MAX(0,N('Your debts'!$E$13)),I13),2)</f>
      </c>
      <c r="T13" s="33">
        <f>ROUND(MIN(MAX(0,N('Your debts'!$E$14)),J13),2)</f>
      </c>
      <c r="U13" s="33">
        <f>ROUND(MIN(MAX(0,N('Your debts'!$E$15)),K13),2)</f>
      </c>
      <c r="V13" s="33">
        <f>ROUND(B13-L13,2)</f>
      </c>
      <c r="W13" s="33">
        <f>ROUND(C13-M13,2)</f>
      </c>
      <c r="X13" s="33">
        <f>ROUND(D13-N13,2)</f>
      </c>
      <c r="Y13" s="33">
        <f>ROUND(E13-O13,2)</f>
      </c>
      <c r="Z13" s="33">
        <f>ROUND(F13-P13,2)</f>
      </c>
      <c r="AA13" s="33">
        <f>ROUND(G13-Q13,2)</f>
      </c>
      <c r="AB13" s="33">
        <f>ROUND(H13-R13,2)</f>
      </c>
      <c r="AC13" s="33">
        <f>ROUND(I13-S13,2)</f>
      </c>
      <c r="AD13" s="33">
        <f>ROUND(J13-T13,2)</f>
      </c>
      <c r="AE13" s="33">
        <f>ROUND(K13-U13,2)</f>
      </c>
      <c r="AF13" s="33">
        <f>IF(V13&lt;=0,0,MAX(0,MIN(V13,ROUND($AZ13-SUMPRODUCT($V13:$AE13*($V13:$AE13&gt;0)*(($V$3:$AE$3&gt;V$3)+($V$3:$AE$3=V$3)*($V13:$AE13&lt;V13)+($V$3:$AE$3=V$3)*($V13:$AE13=V13)*($V$2:$AE$2&lt;V$2))),2))))</f>
      </c>
      <c r="AG13" s="33">
        <f>IF(W13&lt;=0,0,MAX(0,MIN(W13,ROUND($AZ13-SUMPRODUCT($V13:$AE13*($V13:$AE13&gt;0)*(($V$3:$AE$3&gt;W$3)+($V$3:$AE$3=W$3)*($V13:$AE13&lt;W13)+($V$3:$AE$3=W$3)*($V13:$AE13=W13)*($V$2:$AE$2&lt;W$2))),2))))</f>
      </c>
      <c r="AH13" s="33">
        <f>IF(X13&lt;=0,0,MAX(0,MIN(X13,ROUND($AZ13-SUMPRODUCT($V13:$AE13*($V13:$AE13&gt;0)*(($V$3:$AE$3&gt;X$3)+($V$3:$AE$3=X$3)*($V13:$AE13&lt;X13)+($V$3:$AE$3=X$3)*($V13:$AE13=X13)*($V$2:$AE$2&lt;X$2))),2))))</f>
      </c>
      <c r="AI13" s="33">
        <f>IF(Y13&lt;=0,0,MAX(0,MIN(Y13,ROUND($AZ13-SUMPRODUCT($V13:$AE13*($V13:$AE13&gt;0)*(($V$3:$AE$3&gt;Y$3)+($V$3:$AE$3=Y$3)*($V13:$AE13&lt;Y13)+($V$3:$AE$3=Y$3)*($V13:$AE13=Y13)*($V$2:$AE$2&lt;Y$2))),2))))</f>
      </c>
      <c r="AJ13" s="33">
        <f>IF(Z13&lt;=0,0,MAX(0,MIN(Z13,ROUND($AZ13-SUMPRODUCT($V13:$AE13*($V13:$AE13&gt;0)*(($V$3:$AE$3&gt;Z$3)+($V$3:$AE$3=Z$3)*($V13:$AE13&lt;Z13)+($V$3:$AE$3=Z$3)*($V13:$AE13=Z13)*($V$2:$AE$2&lt;Z$2))),2))))</f>
      </c>
      <c r="AK13" s="33">
        <f>IF(AA13&lt;=0,0,MAX(0,MIN(AA13,ROUND($AZ13-SUMPRODUCT($V13:$AE13*($V13:$AE13&gt;0)*(($V$3:$AE$3&gt;AA$3)+($V$3:$AE$3=AA$3)*($V13:$AE13&lt;AA13)+($V$3:$AE$3=AA$3)*($V13:$AE13=AA13)*($V$2:$AE$2&lt;AA$2))),2))))</f>
      </c>
      <c r="AL13" s="33">
        <f>IF(AB13&lt;=0,0,MAX(0,MIN(AB13,ROUND($AZ13-SUMPRODUCT($V13:$AE13*($V13:$AE13&gt;0)*(($V$3:$AE$3&gt;AB$3)+($V$3:$AE$3=AB$3)*($V13:$AE13&lt;AB13)+($V$3:$AE$3=AB$3)*($V13:$AE13=AB13)*($V$2:$AE$2&lt;AB$2))),2))))</f>
      </c>
      <c r="AM13" s="33">
        <f>IF(AC13&lt;=0,0,MAX(0,MIN(AC13,ROUND($AZ13-SUMPRODUCT($V13:$AE13*($V13:$AE13&gt;0)*(($V$3:$AE$3&gt;AC$3)+($V$3:$AE$3=AC$3)*($V13:$AE13&lt;AC13)+($V$3:$AE$3=AC$3)*($V13:$AE13=AC13)*($V$2:$AE$2&lt;AC$2))),2))))</f>
      </c>
      <c r="AN13" s="33">
        <f>IF(AD13&lt;=0,0,MAX(0,MIN(AD13,ROUND($AZ13-SUMPRODUCT($V13:$AE13*($V13:$AE13&gt;0)*(($V$3:$AE$3&gt;AD$3)+($V$3:$AE$3=AD$3)*($V13:$AE13&lt;AD13)+($V$3:$AE$3=AD$3)*($V13:$AE13=AD13)*($V$2:$AE$2&lt;AD$2))),2))))</f>
      </c>
      <c r="AO13" s="33">
        <f>IF(AE13&lt;=0,0,MAX(0,MIN(AE13,ROUND($AZ13-SUMPRODUCT($V13:$AE13*($V13:$AE13&gt;0)*(($V$3:$AE$3&gt;AE$3)+($V$3:$AE$3=AE$3)*($V13:$AE13&lt;AE13)+($V$3:$AE$3=AE$3)*($V13:$AE13=AE13)*($V$2:$AE$2&lt;AE$2))),2))))</f>
      </c>
      <c r="AP13" s="33">
        <f>ROUND(V13-AF13,2)</f>
      </c>
      <c r="AQ13" s="33">
        <f>ROUND(W13-AG13,2)</f>
      </c>
      <c r="AR13" s="33">
        <f>ROUND(X13-AH13,2)</f>
      </c>
      <c r="AS13" s="33">
        <f>ROUND(Y13-AI13,2)</f>
      </c>
      <c r="AT13" s="33">
        <f>ROUND(Z13-AJ13,2)</f>
      </c>
      <c r="AU13" s="33">
        <f>ROUND(AA13-AK13,2)</f>
      </c>
      <c r="AV13" s="33">
        <f>ROUND(AB13-AL13,2)</f>
      </c>
      <c r="AW13" s="33">
        <f>ROUND(AC13-AM13,2)</f>
      </c>
      <c r="AX13" s="33">
        <f>ROUND(AD13-AN13,2)</f>
      </c>
      <c r="AY13" s="33">
        <f>ROUND(AE13-AO13,2)</f>
      </c>
      <c r="AZ13" s="33">
        <f>ROUND(MAX(0,'Your debts'!$D$22-SUM($L13:$U13)),2)</f>
      </c>
      <c r="BA13" s="33">
        <f>ROUND(SUM($B13:$K13)-SUM($AP12:$AY12),2)</f>
      </c>
      <c r="BB13" s="33">
        <f>SUM($AP13:$AY13)</f>
      </c>
      <c r="BC13" s="33">
        <f>ROUND(SUM($L13:$U13)+SUM($AF13:$AO13),2)</f>
      </c>
    </row>
    <row r="14" spans="1:55" x14ac:dyDescent="0.25">
      <c r="A14">
        <v>7</v>
      </c>
      <c r="B14" s="33">
        <f>IF(AP13&lt;=0,0,ROUND(AP13+ROUND(AP13*V$3/12,2),2))</f>
      </c>
      <c r="C14" s="33">
        <f>IF(AQ13&lt;=0,0,ROUND(AQ13+ROUND(AQ13*W$3/12,2),2))</f>
      </c>
      <c r="D14" s="33">
        <f>IF(AR13&lt;=0,0,ROUND(AR13+ROUND(AR13*X$3/12,2),2))</f>
      </c>
      <c r="E14" s="33">
        <f>IF(AS13&lt;=0,0,ROUND(AS13+ROUND(AS13*Y$3/12,2),2))</f>
      </c>
      <c r="F14" s="33">
        <f>IF(AT13&lt;=0,0,ROUND(AT13+ROUND(AT13*Z$3/12,2),2))</f>
      </c>
      <c r="G14" s="33">
        <f>IF(AU13&lt;=0,0,ROUND(AU13+ROUND(AU13*AA$3/12,2),2))</f>
      </c>
      <c r="H14" s="33">
        <f>IF(AV13&lt;=0,0,ROUND(AV13+ROUND(AV13*AB$3/12,2),2))</f>
      </c>
      <c r="I14" s="33">
        <f>IF(AW13&lt;=0,0,ROUND(AW13+ROUND(AW13*AC$3/12,2),2))</f>
      </c>
      <c r="J14" s="33">
        <f>IF(AX13&lt;=0,0,ROUND(AX13+ROUND(AX13*AD$3/12,2),2))</f>
      </c>
      <c r="K14" s="33">
        <f>IF(AY13&lt;=0,0,ROUND(AY13+ROUND(AY13*AE$3/12,2),2))</f>
      </c>
      <c r="L14" s="33">
        <f>ROUND(MIN(MAX(0,N('Your debts'!$E$6)),B14),2)</f>
      </c>
      <c r="M14" s="33">
        <f>ROUND(MIN(MAX(0,N('Your debts'!$E$7)),C14),2)</f>
      </c>
      <c r="N14" s="33">
        <f>ROUND(MIN(MAX(0,N('Your debts'!$E$8)),D14),2)</f>
      </c>
      <c r="O14" s="33">
        <f>ROUND(MIN(MAX(0,N('Your debts'!$E$9)),E14),2)</f>
      </c>
      <c r="P14" s="33">
        <f>ROUND(MIN(MAX(0,N('Your debts'!$E$10)),F14),2)</f>
      </c>
      <c r="Q14" s="33">
        <f>ROUND(MIN(MAX(0,N('Your debts'!$E$11)),G14),2)</f>
      </c>
      <c r="R14" s="33">
        <f>ROUND(MIN(MAX(0,N('Your debts'!$E$12)),H14),2)</f>
      </c>
      <c r="S14" s="33">
        <f>ROUND(MIN(MAX(0,N('Your debts'!$E$13)),I14),2)</f>
      </c>
      <c r="T14" s="33">
        <f>ROUND(MIN(MAX(0,N('Your debts'!$E$14)),J14),2)</f>
      </c>
      <c r="U14" s="33">
        <f>ROUND(MIN(MAX(0,N('Your debts'!$E$15)),K14),2)</f>
      </c>
      <c r="V14" s="33">
        <f>ROUND(B14-L14,2)</f>
      </c>
      <c r="W14" s="33">
        <f>ROUND(C14-M14,2)</f>
      </c>
      <c r="X14" s="33">
        <f>ROUND(D14-N14,2)</f>
      </c>
      <c r="Y14" s="33">
        <f>ROUND(E14-O14,2)</f>
      </c>
      <c r="Z14" s="33">
        <f>ROUND(F14-P14,2)</f>
      </c>
      <c r="AA14" s="33">
        <f>ROUND(G14-Q14,2)</f>
      </c>
      <c r="AB14" s="33">
        <f>ROUND(H14-R14,2)</f>
      </c>
      <c r="AC14" s="33">
        <f>ROUND(I14-S14,2)</f>
      </c>
      <c r="AD14" s="33">
        <f>ROUND(J14-T14,2)</f>
      </c>
      <c r="AE14" s="33">
        <f>ROUND(K14-U14,2)</f>
      </c>
      <c r="AF14" s="33">
        <f>IF(V14&lt;=0,0,MAX(0,MIN(V14,ROUND($AZ14-SUMPRODUCT($V14:$AE14*($V14:$AE14&gt;0)*(($V$3:$AE$3&gt;V$3)+($V$3:$AE$3=V$3)*($V14:$AE14&lt;V14)+($V$3:$AE$3=V$3)*($V14:$AE14=V14)*($V$2:$AE$2&lt;V$2))),2))))</f>
      </c>
      <c r="AG14" s="33">
        <f>IF(W14&lt;=0,0,MAX(0,MIN(W14,ROUND($AZ14-SUMPRODUCT($V14:$AE14*($V14:$AE14&gt;0)*(($V$3:$AE$3&gt;W$3)+($V$3:$AE$3=W$3)*($V14:$AE14&lt;W14)+($V$3:$AE$3=W$3)*($V14:$AE14=W14)*($V$2:$AE$2&lt;W$2))),2))))</f>
      </c>
      <c r="AH14" s="33">
        <f>IF(X14&lt;=0,0,MAX(0,MIN(X14,ROUND($AZ14-SUMPRODUCT($V14:$AE14*($V14:$AE14&gt;0)*(($V$3:$AE$3&gt;X$3)+($V$3:$AE$3=X$3)*($V14:$AE14&lt;X14)+($V$3:$AE$3=X$3)*($V14:$AE14=X14)*($V$2:$AE$2&lt;X$2))),2))))</f>
      </c>
      <c r="AI14" s="33">
        <f>IF(Y14&lt;=0,0,MAX(0,MIN(Y14,ROUND($AZ14-SUMPRODUCT($V14:$AE14*($V14:$AE14&gt;0)*(($V$3:$AE$3&gt;Y$3)+($V$3:$AE$3=Y$3)*($V14:$AE14&lt;Y14)+($V$3:$AE$3=Y$3)*($V14:$AE14=Y14)*($V$2:$AE$2&lt;Y$2))),2))))</f>
      </c>
      <c r="AJ14" s="33">
        <f>IF(Z14&lt;=0,0,MAX(0,MIN(Z14,ROUND($AZ14-SUMPRODUCT($V14:$AE14*($V14:$AE14&gt;0)*(($V$3:$AE$3&gt;Z$3)+($V$3:$AE$3=Z$3)*($V14:$AE14&lt;Z14)+($V$3:$AE$3=Z$3)*($V14:$AE14=Z14)*($V$2:$AE$2&lt;Z$2))),2))))</f>
      </c>
      <c r="AK14" s="33">
        <f>IF(AA14&lt;=0,0,MAX(0,MIN(AA14,ROUND($AZ14-SUMPRODUCT($V14:$AE14*($V14:$AE14&gt;0)*(($V$3:$AE$3&gt;AA$3)+($V$3:$AE$3=AA$3)*($V14:$AE14&lt;AA14)+($V$3:$AE$3=AA$3)*($V14:$AE14=AA14)*($V$2:$AE$2&lt;AA$2))),2))))</f>
      </c>
      <c r="AL14" s="33">
        <f>IF(AB14&lt;=0,0,MAX(0,MIN(AB14,ROUND($AZ14-SUMPRODUCT($V14:$AE14*($V14:$AE14&gt;0)*(($V$3:$AE$3&gt;AB$3)+($V$3:$AE$3=AB$3)*($V14:$AE14&lt;AB14)+($V$3:$AE$3=AB$3)*($V14:$AE14=AB14)*($V$2:$AE$2&lt;AB$2))),2))))</f>
      </c>
      <c r="AM14" s="33">
        <f>IF(AC14&lt;=0,0,MAX(0,MIN(AC14,ROUND($AZ14-SUMPRODUCT($V14:$AE14*($V14:$AE14&gt;0)*(($V$3:$AE$3&gt;AC$3)+($V$3:$AE$3=AC$3)*($V14:$AE14&lt;AC14)+($V$3:$AE$3=AC$3)*($V14:$AE14=AC14)*($V$2:$AE$2&lt;AC$2))),2))))</f>
      </c>
      <c r="AN14" s="33">
        <f>IF(AD14&lt;=0,0,MAX(0,MIN(AD14,ROUND($AZ14-SUMPRODUCT($V14:$AE14*($V14:$AE14&gt;0)*(($V$3:$AE$3&gt;AD$3)+($V$3:$AE$3=AD$3)*($V14:$AE14&lt;AD14)+($V$3:$AE$3=AD$3)*($V14:$AE14=AD14)*($V$2:$AE$2&lt;AD$2))),2))))</f>
      </c>
      <c r="AO14" s="33">
        <f>IF(AE14&lt;=0,0,MAX(0,MIN(AE14,ROUND($AZ14-SUMPRODUCT($V14:$AE14*($V14:$AE14&gt;0)*(($V$3:$AE$3&gt;AE$3)+($V$3:$AE$3=AE$3)*($V14:$AE14&lt;AE14)+($V$3:$AE$3=AE$3)*($V14:$AE14=AE14)*($V$2:$AE$2&lt;AE$2))),2))))</f>
      </c>
      <c r="AP14" s="33">
        <f>ROUND(V14-AF14,2)</f>
      </c>
      <c r="AQ14" s="33">
        <f>ROUND(W14-AG14,2)</f>
      </c>
      <c r="AR14" s="33">
        <f>ROUND(X14-AH14,2)</f>
      </c>
      <c r="AS14" s="33">
        <f>ROUND(Y14-AI14,2)</f>
      </c>
      <c r="AT14" s="33">
        <f>ROUND(Z14-AJ14,2)</f>
      </c>
      <c r="AU14" s="33">
        <f>ROUND(AA14-AK14,2)</f>
      </c>
      <c r="AV14" s="33">
        <f>ROUND(AB14-AL14,2)</f>
      </c>
      <c r="AW14" s="33">
        <f>ROUND(AC14-AM14,2)</f>
      </c>
      <c r="AX14" s="33">
        <f>ROUND(AD14-AN14,2)</f>
      </c>
      <c r="AY14" s="33">
        <f>ROUND(AE14-AO14,2)</f>
      </c>
      <c r="AZ14" s="33">
        <f>ROUND(MAX(0,'Your debts'!$D$22-SUM($L14:$U14)),2)</f>
      </c>
      <c r="BA14" s="33">
        <f>ROUND(SUM($B14:$K14)-SUM($AP13:$AY13),2)</f>
      </c>
      <c r="BB14" s="33">
        <f>SUM($AP14:$AY14)</f>
      </c>
      <c r="BC14" s="33">
        <f>ROUND(SUM($L14:$U14)+SUM($AF14:$AO14),2)</f>
      </c>
    </row>
    <row r="15" spans="1:55" x14ac:dyDescent="0.25">
      <c r="A15">
        <v>8</v>
      </c>
      <c r="B15" s="33">
        <f>IF(AP14&lt;=0,0,ROUND(AP14+ROUND(AP14*V$3/12,2),2))</f>
      </c>
      <c r="C15" s="33">
        <f>IF(AQ14&lt;=0,0,ROUND(AQ14+ROUND(AQ14*W$3/12,2),2))</f>
      </c>
      <c r="D15" s="33">
        <f>IF(AR14&lt;=0,0,ROUND(AR14+ROUND(AR14*X$3/12,2),2))</f>
      </c>
      <c r="E15" s="33">
        <f>IF(AS14&lt;=0,0,ROUND(AS14+ROUND(AS14*Y$3/12,2),2))</f>
      </c>
      <c r="F15" s="33">
        <f>IF(AT14&lt;=0,0,ROUND(AT14+ROUND(AT14*Z$3/12,2),2))</f>
      </c>
      <c r="G15" s="33">
        <f>IF(AU14&lt;=0,0,ROUND(AU14+ROUND(AU14*AA$3/12,2),2))</f>
      </c>
      <c r="H15" s="33">
        <f>IF(AV14&lt;=0,0,ROUND(AV14+ROUND(AV14*AB$3/12,2),2))</f>
      </c>
      <c r="I15" s="33">
        <f>IF(AW14&lt;=0,0,ROUND(AW14+ROUND(AW14*AC$3/12,2),2))</f>
      </c>
      <c r="J15" s="33">
        <f>IF(AX14&lt;=0,0,ROUND(AX14+ROUND(AX14*AD$3/12,2),2))</f>
      </c>
      <c r="K15" s="33">
        <f>IF(AY14&lt;=0,0,ROUND(AY14+ROUND(AY14*AE$3/12,2),2))</f>
      </c>
      <c r="L15" s="33">
        <f>ROUND(MIN(MAX(0,N('Your debts'!$E$6)),B15),2)</f>
      </c>
      <c r="M15" s="33">
        <f>ROUND(MIN(MAX(0,N('Your debts'!$E$7)),C15),2)</f>
      </c>
      <c r="N15" s="33">
        <f>ROUND(MIN(MAX(0,N('Your debts'!$E$8)),D15),2)</f>
      </c>
      <c r="O15" s="33">
        <f>ROUND(MIN(MAX(0,N('Your debts'!$E$9)),E15),2)</f>
      </c>
      <c r="P15" s="33">
        <f>ROUND(MIN(MAX(0,N('Your debts'!$E$10)),F15),2)</f>
      </c>
      <c r="Q15" s="33">
        <f>ROUND(MIN(MAX(0,N('Your debts'!$E$11)),G15),2)</f>
      </c>
      <c r="R15" s="33">
        <f>ROUND(MIN(MAX(0,N('Your debts'!$E$12)),H15),2)</f>
      </c>
      <c r="S15" s="33">
        <f>ROUND(MIN(MAX(0,N('Your debts'!$E$13)),I15),2)</f>
      </c>
      <c r="T15" s="33">
        <f>ROUND(MIN(MAX(0,N('Your debts'!$E$14)),J15),2)</f>
      </c>
      <c r="U15" s="33">
        <f>ROUND(MIN(MAX(0,N('Your debts'!$E$15)),K15),2)</f>
      </c>
      <c r="V15" s="33">
        <f>ROUND(B15-L15,2)</f>
      </c>
      <c r="W15" s="33">
        <f>ROUND(C15-M15,2)</f>
      </c>
      <c r="X15" s="33">
        <f>ROUND(D15-N15,2)</f>
      </c>
      <c r="Y15" s="33">
        <f>ROUND(E15-O15,2)</f>
      </c>
      <c r="Z15" s="33">
        <f>ROUND(F15-P15,2)</f>
      </c>
      <c r="AA15" s="33">
        <f>ROUND(G15-Q15,2)</f>
      </c>
      <c r="AB15" s="33">
        <f>ROUND(H15-R15,2)</f>
      </c>
      <c r="AC15" s="33">
        <f>ROUND(I15-S15,2)</f>
      </c>
      <c r="AD15" s="33">
        <f>ROUND(J15-T15,2)</f>
      </c>
      <c r="AE15" s="33">
        <f>ROUND(K15-U15,2)</f>
      </c>
      <c r="AF15" s="33">
        <f>IF(V15&lt;=0,0,MAX(0,MIN(V15,ROUND($AZ15-SUMPRODUCT($V15:$AE15*($V15:$AE15&gt;0)*(($V$3:$AE$3&gt;V$3)+($V$3:$AE$3=V$3)*($V15:$AE15&lt;V15)+($V$3:$AE$3=V$3)*($V15:$AE15=V15)*($V$2:$AE$2&lt;V$2))),2))))</f>
      </c>
      <c r="AG15" s="33">
        <f>IF(W15&lt;=0,0,MAX(0,MIN(W15,ROUND($AZ15-SUMPRODUCT($V15:$AE15*($V15:$AE15&gt;0)*(($V$3:$AE$3&gt;W$3)+($V$3:$AE$3=W$3)*($V15:$AE15&lt;W15)+($V$3:$AE$3=W$3)*($V15:$AE15=W15)*($V$2:$AE$2&lt;W$2))),2))))</f>
      </c>
      <c r="AH15" s="33">
        <f>IF(X15&lt;=0,0,MAX(0,MIN(X15,ROUND($AZ15-SUMPRODUCT($V15:$AE15*($V15:$AE15&gt;0)*(($V$3:$AE$3&gt;X$3)+($V$3:$AE$3=X$3)*($V15:$AE15&lt;X15)+($V$3:$AE$3=X$3)*($V15:$AE15=X15)*($V$2:$AE$2&lt;X$2))),2))))</f>
      </c>
      <c r="AI15" s="33">
        <f>IF(Y15&lt;=0,0,MAX(0,MIN(Y15,ROUND($AZ15-SUMPRODUCT($V15:$AE15*($V15:$AE15&gt;0)*(($V$3:$AE$3&gt;Y$3)+($V$3:$AE$3=Y$3)*($V15:$AE15&lt;Y15)+($V$3:$AE$3=Y$3)*($V15:$AE15=Y15)*($V$2:$AE$2&lt;Y$2))),2))))</f>
      </c>
      <c r="AJ15" s="33">
        <f>IF(Z15&lt;=0,0,MAX(0,MIN(Z15,ROUND($AZ15-SUMPRODUCT($V15:$AE15*($V15:$AE15&gt;0)*(($V$3:$AE$3&gt;Z$3)+($V$3:$AE$3=Z$3)*($V15:$AE15&lt;Z15)+($V$3:$AE$3=Z$3)*($V15:$AE15=Z15)*($V$2:$AE$2&lt;Z$2))),2))))</f>
      </c>
      <c r="AK15" s="33">
        <f>IF(AA15&lt;=0,0,MAX(0,MIN(AA15,ROUND($AZ15-SUMPRODUCT($V15:$AE15*($V15:$AE15&gt;0)*(($V$3:$AE$3&gt;AA$3)+($V$3:$AE$3=AA$3)*($V15:$AE15&lt;AA15)+($V$3:$AE$3=AA$3)*($V15:$AE15=AA15)*($V$2:$AE$2&lt;AA$2))),2))))</f>
      </c>
      <c r="AL15" s="33">
        <f>IF(AB15&lt;=0,0,MAX(0,MIN(AB15,ROUND($AZ15-SUMPRODUCT($V15:$AE15*($V15:$AE15&gt;0)*(($V$3:$AE$3&gt;AB$3)+($V$3:$AE$3=AB$3)*($V15:$AE15&lt;AB15)+($V$3:$AE$3=AB$3)*($V15:$AE15=AB15)*($V$2:$AE$2&lt;AB$2))),2))))</f>
      </c>
      <c r="AM15" s="33">
        <f>IF(AC15&lt;=0,0,MAX(0,MIN(AC15,ROUND($AZ15-SUMPRODUCT($V15:$AE15*($V15:$AE15&gt;0)*(($V$3:$AE$3&gt;AC$3)+($V$3:$AE$3=AC$3)*($V15:$AE15&lt;AC15)+($V$3:$AE$3=AC$3)*($V15:$AE15=AC15)*($V$2:$AE$2&lt;AC$2))),2))))</f>
      </c>
      <c r="AN15" s="33">
        <f>IF(AD15&lt;=0,0,MAX(0,MIN(AD15,ROUND($AZ15-SUMPRODUCT($V15:$AE15*($V15:$AE15&gt;0)*(($V$3:$AE$3&gt;AD$3)+($V$3:$AE$3=AD$3)*($V15:$AE15&lt;AD15)+($V$3:$AE$3=AD$3)*($V15:$AE15=AD15)*($V$2:$AE$2&lt;AD$2))),2))))</f>
      </c>
      <c r="AO15" s="33">
        <f>IF(AE15&lt;=0,0,MAX(0,MIN(AE15,ROUND($AZ15-SUMPRODUCT($V15:$AE15*($V15:$AE15&gt;0)*(($V$3:$AE$3&gt;AE$3)+($V$3:$AE$3=AE$3)*($V15:$AE15&lt;AE15)+($V$3:$AE$3=AE$3)*($V15:$AE15=AE15)*($V$2:$AE$2&lt;AE$2))),2))))</f>
      </c>
      <c r="AP15" s="33">
        <f>ROUND(V15-AF15,2)</f>
      </c>
      <c r="AQ15" s="33">
        <f>ROUND(W15-AG15,2)</f>
      </c>
      <c r="AR15" s="33">
        <f>ROUND(X15-AH15,2)</f>
      </c>
      <c r="AS15" s="33">
        <f>ROUND(Y15-AI15,2)</f>
      </c>
      <c r="AT15" s="33">
        <f>ROUND(Z15-AJ15,2)</f>
      </c>
      <c r="AU15" s="33">
        <f>ROUND(AA15-AK15,2)</f>
      </c>
      <c r="AV15" s="33">
        <f>ROUND(AB15-AL15,2)</f>
      </c>
      <c r="AW15" s="33">
        <f>ROUND(AC15-AM15,2)</f>
      </c>
      <c r="AX15" s="33">
        <f>ROUND(AD15-AN15,2)</f>
      </c>
      <c r="AY15" s="33">
        <f>ROUND(AE15-AO15,2)</f>
      </c>
      <c r="AZ15" s="33">
        <f>ROUND(MAX(0,'Your debts'!$D$22-SUM($L15:$U15)),2)</f>
      </c>
      <c r="BA15" s="33">
        <f>ROUND(SUM($B15:$K15)-SUM($AP14:$AY14),2)</f>
      </c>
      <c r="BB15" s="33">
        <f>SUM($AP15:$AY15)</f>
      </c>
      <c r="BC15" s="33">
        <f>ROUND(SUM($L15:$U15)+SUM($AF15:$AO15),2)</f>
      </c>
    </row>
    <row r="16" spans="1:55" x14ac:dyDescent="0.25">
      <c r="A16">
        <v>9</v>
      </c>
      <c r="B16" s="33">
        <f>IF(AP15&lt;=0,0,ROUND(AP15+ROUND(AP15*V$3/12,2),2))</f>
      </c>
      <c r="C16" s="33">
        <f>IF(AQ15&lt;=0,0,ROUND(AQ15+ROUND(AQ15*W$3/12,2),2))</f>
      </c>
      <c r="D16" s="33">
        <f>IF(AR15&lt;=0,0,ROUND(AR15+ROUND(AR15*X$3/12,2),2))</f>
      </c>
      <c r="E16" s="33">
        <f>IF(AS15&lt;=0,0,ROUND(AS15+ROUND(AS15*Y$3/12,2),2))</f>
      </c>
      <c r="F16" s="33">
        <f>IF(AT15&lt;=0,0,ROUND(AT15+ROUND(AT15*Z$3/12,2),2))</f>
      </c>
      <c r="G16" s="33">
        <f>IF(AU15&lt;=0,0,ROUND(AU15+ROUND(AU15*AA$3/12,2),2))</f>
      </c>
      <c r="H16" s="33">
        <f>IF(AV15&lt;=0,0,ROUND(AV15+ROUND(AV15*AB$3/12,2),2))</f>
      </c>
      <c r="I16" s="33">
        <f>IF(AW15&lt;=0,0,ROUND(AW15+ROUND(AW15*AC$3/12,2),2))</f>
      </c>
      <c r="J16" s="33">
        <f>IF(AX15&lt;=0,0,ROUND(AX15+ROUND(AX15*AD$3/12,2),2))</f>
      </c>
      <c r="K16" s="33">
        <f>IF(AY15&lt;=0,0,ROUND(AY15+ROUND(AY15*AE$3/12,2),2))</f>
      </c>
      <c r="L16" s="33">
        <f>ROUND(MIN(MAX(0,N('Your debts'!$E$6)),B16),2)</f>
      </c>
      <c r="M16" s="33">
        <f>ROUND(MIN(MAX(0,N('Your debts'!$E$7)),C16),2)</f>
      </c>
      <c r="N16" s="33">
        <f>ROUND(MIN(MAX(0,N('Your debts'!$E$8)),D16),2)</f>
      </c>
      <c r="O16" s="33">
        <f>ROUND(MIN(MAX(0,N('Your debts'!$E$9)),E16),2)</f>
      </c>
      <c r="P16" s="33">
        <f>ROUND(MIN(MAX(0,N('Your debts'!$E$10)),F16),2)</f>
      </c>
      <c r="Q16" s="33">
        <f>ROUND(MIN(MAX(0,N('Your debts'!$E$11)),G16),2)</f>
      </c>
      <c r="R16" s="33">
        <f>ROUND(MIN(MAX(0,N('Your debts'!$E$12)),H16),2)</f>
      </c>
      <c r="S16" s="33">
        <f>ROUND(MIN(MAX(0,N('Your debts'!$E$13)),I16),2)</f>
      </c>
      <c r="T16" s="33">
        <f>ROUND(MIN(MAX(0,N('Your debts'!$E$14)),J16),2)</f>
      </c>
      <c r="U16" s="33">
        <f>ROUND(MIN(MAX(0,N('Your debts'!$E$15)),K16),2)</f>
      </c>
      <c r="V16" s="33">
        <f>ROUND(B16-L16,2)</f>
      </c>
      <c r="W16" s="33">
        <f>ROUND(C16-M16,2)</f>
      </c>
      <c r="X16" s="33">
        <f>ROUND(D16-N16,2)</f>
      </c>
      <c r="Y16" s="33">
        <f>ROUND(E16-O16,2)</f>
      </c>
      <c r="Z16" s="33">
        <f>ROUND(F16-P16,2)</f>
      </c>
      <c r="AA16" s="33">
        <f>ROUND(G16-Q16,2)</f>
      </c>
      <c r="AB16" s="33">
        <f>ROUND(H16-R16,2)</f>
      </c>
      <c r="AC16" s="33">
        <f>ROUND(I16-S16,2)</f>
      </c>
      <c r="AD16" s="33">
        <f>ROUND(J16-T16,2)</f>
      </c>
      <c r="AE16" s="33">
        <f>ROUND(K16-U16,2)</f>
      </c>
      <c r="AF16" s="33">
        <f>IF(V16&lt;=0,0,MAX(0,MIN(V16,ROUND($AZ16-SUMPRODUCT($V16:$AE16*($V16:$AE16&gt;0)*(($V$3:$AE$3&gt;V$3)+($V$3:$AE$3=V$3)*($V16:$AE16&lt;V16)+($V$3:$AE$3=V$3)*($V16:$AE16=V16)*($V$2:$AE$2&lt;V$2))),2))))</f>
      </c>
      <c r="AG16" s="33">
        <f>IF(W16&lt;=0,0,MAX(0,MIN(W16,ROUND($AZ16-SUMPRODUCT($V16:$AE16*($V16:$AE16&gt;0)*(($V$3:$AE$3&gt;W$3)+($V$3:$AE$3=W$3)*($V16:$AE16&lt;W16)+($V$3:$AE$3=W$3)*($V16:$AE16=W16)*($V$2:$AE$2&lt;W$2))),2))))</f>
      </c>
      <c r="AH16" s="33">
        <f>IF(X16&lt;=0,0,MAX(0,MIN(X16,ROUND($AZ16-SUMPRODUCT($V16:$AE16*($V16:$AE16&gt;0)*(($V$3:$AE$3&gt;X$3)+($V$3:$AE$3=X$3)*($V16:$AE16&lt;X16)+($V$3:$AE$3=X$3)*($V16:$AE16=X16)*($V$2:$AE$2&lt;X$2))),2))))</f>
      </c>
      <c r="AI16" s="33">
        <f>IF(Y16&lt;=0,0,MAX(0,MIN(Y16,ROUND($AZ16-SUMPRODUCT($V16:$AE16*($V16:$AE16&gt;0)*(($V$3:$AE$3&gt;Y$3)+($V$3:$AE$3=Y$3)*($V16:$AE16&lt;Y16)+($V$3:$AE$3=Y$3)*($V16:$AE16=Y16)*($V$2:$AE$2&lt;Y$2))),2))))</f>
      </c>
      <c r="AJ16" s="33">
        <f>IF(Z16&lt;=0,0,MAX(0,MIN(Z16,ROUND($AZ16-SUMPRODUCT($V16:$AE16*($V16:$AE16&gt;0)*(($V$3:$AE$3&gt;Z$3)+($V$3:$AE$3=Z$3)*($V16:$AE16&lt;Z16)+($V$3:$AE$3=Z$3)*($V16:$AE16=Z16)*($V$2:$AE$2&lt;Z$2))),2))))</f>
      </c>
      <c r="AK16" s="33">
        <f>IF(AA16&lt;=0,0,MAX(0,MIN(AA16,ROUND($AZ16-SUMPRODUCT($V16:$AE16*($V16:$AE16&gt;0)*(($V$3:$AE$3&gt;AA$3)+($V$3:$AE$3=AA$3)*($V16:$AE16&lt;AA16)+($V$3:$AE$3=AA$3)*($V16:$AE16=AA16)*($V$2:$AE$2&lt;AA$2))),2))))</f>
      </c>
      <c r="AL16" s="33">
        <f>IF(AB16&lt;=0,0,MAX(0,MIN(AB16,ROUND($AZ16-SUMPRODUCT($V16:$AE16*($V16:$AE16&gt;0)*(($V$3:$AE$3&gt;AB$3)+($V$3:$AE$3=AB$3)*($V16:$AE16&lt;AB16)+($V$3:$AE$3=AB$3)*($V16:$AE16=AB16)*($V$2:$AE$2&lt;AB$2))),2))))</f>
      </c>
      <c r="AM16" s="33">
        <f>IF(AC16&lt;=0,0,MAX(0,MIN(AC16,ROUND($AZ16-SUMPRODUCT($V16:$AE16*($V16:$AE16&gt;0)*(($V$3:$AE$3&gt;AC$3)+($V$3:$AE$3=AC$3)*($V16:$AE16&lt;AC16)+($V$3:$AE$3=AC$3)*($V16:$AE16=AC16)*($V$2:$AE$2&lt;AC$2))),2))))</f>
      </c>
      <c r="AN16" s="33">
        <f>IF(AD16&lt;=0,0,MAX(0,MIN(AD16,ROUND($AZ16-SUMPRODUCT($V16:$AE16*($V16:$AE16&gt;0)*(($V$3:$AE$3&gt;AD$3)+($V$3:$AE$3=AD$3)*($V16:$AE16&lt;AD16)+($V$3:$AE$3=AD$3)*($V16:$AE16=AD16)*($V$2:$AE$2&lt;AD$2))),2))))</f>
      </c>
      <c r="AO16" s="33">
        <f>IF(AE16&lt;=0,0,MAX(0,MIN(AE16,ROUND($AZ16-SUMPRODUCT($V16:$AE16*($V16:$AE16&gt;0)*(($V$3:$AE$3&gt;AE$3)+($V$3:$AE$3=AE$3)*($V16:$AE16&lt;AE16)+($V$3:$AE$3=AE$3)*($V16:$AE16=AE16)*($V$2:$AE$2&lt;AE$2))),2))))</f>
      </c>
      <c r="AP16" s="33">
        <f>ROUND(V16-AF16,2)</f>
      </c>
      <c r="AQ16" s="33">
        <f>ROUND(W16-AG16,2)</f>
      </c>
      <c r="AR16" s="33">
        <f>ROUND(X16-AH16,2)</f>
      </c>
      <c r="AS16" s="33">
        <f>ROUND(Y16-AI16,2)</f>
      </c>
      <c r="AT16" s="33">
        <f>ROUND(Z16-AJ16,2)</f>
      </c>
      <c r="AU16" s="33">
        <f>ROUND(AA16-AK16,2)</f>
      </c>
      <c r="AV16" s="33">
        <f>ROUND(AB16-AL16,2)</f>
      </c>
      <c r="AW16" s="33">
        <f>ROUND(AC16-AM16,2)</f>
      </c>
      <c r="AX16" s="33">
        <f>ROUND(AD16-AN16,2)</f>
      </c>
      <c r="AY16" s="33">
        <f>ROUND(AE16-AO16,2)</f>
      </c>
      <c r="AZ16" s="33">
        <f>ROUND(MAX(0,'Your debts'!$D$22-SUM($L16:$U16)),2)</f>
      </c>
      <c r="BA16" s="33">
        <f>ROUND(SUM($B16:$K16)-SUM($AP15:$AY15),2)</f>
      </c>
      <c r="BB16" s="33">
        <f>SUM($AP16:$AY16)</f>
      </c>
      <c r="BC16" s="33">
        <f>ROUND(SUM($L16:$U16)+SUM($AF16:$AO16),2)</f>
      </c>
    </row>
    <row r="17" spans="1:55" x14ac:dyDescent="0.25">
      <c r="A17">
        <v>10</v>
      </c>
      <c r="B17" s="33">
        <f>IF(AP16&lt;=0,0,ROUND(AP16+ROUND(AP16*V$3/12,2),2))</f>
      </c>
      <c r="C17" s="33">
        <f>IF(AQ16&lt;=0,0,ROUND(AQ16+ROUND(AQ16*W$3/12,2),2))</f>
      </c>
      <c r="D17" s="33">
        <f>IF(AR16&lt;=0,0,ROUND(AR16+ROUND(AR16*X$3/12,2),2))</f>
      </c>
      <c r="E17" s="33">
        <f>IF(AS16&lt;=0,0,ROUND(AS16+ROUND(AS16*Y$3/12,2),2))</f>
      </c>
      <c r="F17" s="33">
        <f>IF(AT16&lt;=0,0,ROUND(AT16+ROUND(AT16*Z$3/12,2),2))</f>
      </c>
      <c r="G17" s="33">
        <f>IF(AU16&lt;=0,0,ROUND(AU16+ROUND(AU16*AA$3/12,2),2))</f>
      </c>
      <c r="H17" s="33">
        <f>IF(AV16&lt;=0,0,ROUND(AV16+ROUND(AV16*AB$3/12,2),2))</f>
      </c>
      <c r="I17" s="33">
        <f>IF(AW16&lt;=0,0,ROUND(AW16+ROUND(AW16*AC$3/12,2),2))</f>
      </c>
      <c r="J17" s="33">
        <f>IF(AX16&lt;=0,0,ROUND(AX16+ROUND(AX16*AD$3/12,2),2))</f>
      </c>
      <c r="K17" s="33">
        <f>IF(AY16&lt;=0,0,ROUND(AY16+ROUND(AY16*AE$3/12,2),2))</f>
      </c>
      <c r="L17" s="33">
        <f>ROUND(MIN(MAX(0,N('Your debts'!$E$6)),B17),2)</f>
      </c>
      <c r="M17" s="33">
        <f>ROUND(MIN(MAX(0,N('Your debts'!$E$7)),C17),2)</f>
      </c>
      <c r="N17" s="33">
        <f>ROUND(MIN(MAX(0,N('Your debts'!$E$8)),D17),2)</f>
      </c>
      <c r="O17" s="33">
        <f>ROUND(MIN(MAX(0,N('Your debts'!$E$9)),E17),2)</f>
      </c>
      <c r="P17" s="33">
        <f>ROUND(MIN(MAX(0,N('Your debts'!$E$10)),F17),2)</f>
      </c>
      <c r="Q17" s="33">
        <f>ROUND(MIN(MAX(0,N('Your debts'!$E$11)),G17),2)</f>
      </c>
      <c r="R17" s="33">
        <f>ROUND(MIN(MAX(0,N('Your debts'!$E$12)),H17),2)</f>
      </c>
      <c r="S17" s="33">
        <f>ROUND(MIN(MAX(0,N('Your debts'!$E$13)),I17),2)</f>
      </c>
      <c r="T17" s="33">
        <f>ROUND(MIN(MAX(0,N('Your debts'!$E$14)),J17),2)</f>
      </c>
      <c r="U17" s="33">
        <f>ROUND(MIN(MAX(0,N('Your debts'!$E$15)),K17),2)</f>
      </c>
      <c r="V17" s="33">
        <f>ROUND(B17-L17,2)</f>
      </c>
      <c r="W17" s="33">
        <f>ROUND(C17-M17,2)</f>
      </c>
      <c r="X17" s="33">
        <f>ROUND(D17-N17,2)</f>
      </c>
      <c r="Y17" s="33">
        <f>ROUND(E17-O17,2)</f>
      </c>
      <c r="Z17" s="33">
        <f>ROUND(F17-P17,2)</f>
      </c>
      <c r="AA17" s="33">
        <f>ROUND(G17-Q17,2)</f>
      </c>
      <c r="AB17" s="33">
        <f>ROUND(H17-R17,2)</f>
      </c>
      <c r="AC17" s="33">
        <f>ROUND(I17-S17,2)</f>
      </c>
      <c r="AD17" s="33">
        <f>ROUND(J17-T17,2)</f>
      </c>
      <c r="AE17" s="33">
        <f>ROUND(K17-U17,2)</f>
      </c>
      <c r="AF17" s="33">
        <f>IF(V17&lt;=0,0,MAX(0,MIN(V17,ROUND($AZ17-SUMPRODUCT($V17:$AE17*($V17:$AE17&gt;0)*(($V$3:$AE$3&gt;V$3)+($V$3:$AE$3=V$3)*($V17:$AE17&lt;V17)+($V$3:$AE$3=V$3)*($V17:$AE17=V17)*($V$2:$AE$2&lt;V$2))),2))))</f>
      </c>
      <c r="AG17" s="33">
        <f>IF(W17&lt;=0,0,MAX(0,MIN(W17,ROUND($AZ17-SUMPRODUCT($V17:$AE17*($V17:$AE17&gt;0)*(($V$3:$AE$3&gt;W$3)+($V$3:$AE$3=W$3)*($V17:$AE17&lt;W17)+($V$3:$AE$3=W$3)*($V17:$AE17=W17)*($V$2:$AE$2&lt;W$2))),2))))</f>
      </c>
      <c r="AH17" s="33">
        <f>IF(X17&lt;=0,0,MAX(0,MIN(X17,ROUND($AZ17-SUMPRODUCT($V17:$AE17*($V17:$AE17&gt;0)*(($V$3:$AE$3&gt;X$3)+($V$3:$AE$3=X$3)*($V17:$AE17&lt;X17)+($V$3:$AE$3=X$3)*($V17:$AE17=X17)*($V$2:$AE$2&lt;X$2))),2))))</f>
      </c>
      <c r="AI17" s="33">
        <f>IF(Y17&lt;=0,0,MAX(0,MIN(Y17,ROUND($AZ17-SUMPRODUCT($V17:$AE17*($V17:$AE17&gt;0)*(($V$3:$AE$3&gt;Y$3)+($V$3:$AE$3=Y$3)*($V17:$AE17&lt;Y17)+($V$3:$AE$3=Y$3)*($V17:$AE17=Y17)*($V$2:$AE$2&lt;Y$2))),2))))</f>
      </c>
      <c r="AJ17" s="33">
        <f>IF(Z17&lt;=0,0,MAX(0,MIN(Z17,ROUND($AZ17-SUMPRODUCT($V17:$AE17*($V17:$AE17&gt;0)*(($V$3:$AE$3&gt;Z$3)+($V$3:$AE$3=Z$3)*($V17:$AE17&lt;Z17)+($V$3:$AE$3=Z$3)*($V17:$AE17=Z17)*($V$2:$AE$2&lt;Z$2))),2))))</f>
      </c>
      <c r="AK17" s="33">
        <f>IF(AA17&lt;=0,0,MAX(0,MIN(AA17,ROUND($AZ17-SUMPRODUCT($V17:$AE17*($V17:$AE17&gt;0)*(($V$3:$AE$3&gt;AA$3)+($V$3:$AE$3=AA$3)*($V17:$AE17&lt;AA17)+($V$3:$AE$3=AA$3)*($V17:$AE17=AA17)*($V$2:$AE$2&lt;AA$2))),2))))</f>
      </c>
      <c r="AL17" s="33">
        <f>IF(AB17&lt;=0,0,MAX(0,MIN(AB17,ROUND($AZ17-SUMPRODUCT($V17:$AE17*($V17:$AE17&gt;0)*(($V$3:$AE$3&gt;AB$3)+($V$3:$AE$3=AB$3)*($V17:$AE17&lt;AB17)+($V$3:$AE$3=AB$3)*($V17:$AE17=AB17)*($V$2:$AE$2&lt;AB$2))),2))))</f>
      </c>
      <c r="AM17" s="33">
        <f>IF(AC17&lt;=0,0,MAX(0,MIN(AC17,ROUND($AZ17-SUMPRODUCT($V17:$AE17*($V17:$AE17&gt;0)*(($V$3:$AE$3&gt;AC$3)+($V$3:$AE$3=AC$3)*($V17:$AE17&lt;AC17)+($V$3:$AE$3=AC$3)*($V17:$AE17=AC17)*($V$2:$AE$2&lt;AC$2))),2))))</f>
      </c>
      <c r="AN17" s="33">
        <f>IF(AD17&lt;=0,0,MAX(0,MIN(AD17,ROUND($AZ17-SUMPRODUCT($V17:$AE17*($V17:$AE17&gt;0)*(($V$3:$AE$3&gt;AD$3)+($V$3:$AE$3=AD$3)*($V17:$AE17&lt;AD17)+($V$3:$AE$3=AD$3)*($V17:$AE17=AD17)*($V$2:$AE$2&lt;AD$2))),2))))</f>
      </c>
      <c r="AO17" s="33">
        <f>IF(AE17&lt;=0,0,MAX(0,MIN(AE17,ROUND($AZ17-SUMPRODUCT($V17:$AE17*($V17:$AE17&gt;0)*(($V$3:$AE$3&gt;AE$3)+($V$3:$AE$3=AE$3)*($V17:$AE17&lt;AE17)+($V$3:$AE$3=AE$3)*($V17:$AE17=AE17)*($V$2:$AE$2&lt;AE$2))),2))))</f>
      </c>
      <c r="AP17" s="33">
        <f>ROUND(V17-AF17,2)</f>
      </c>
      <c r="AQ17" s="33">
        <f>ROUND(W17-AG17,2)</f>
      </c>
      <c r="AR17" s="33">
        <f>ROUND(X17-AH17,2)</f>
      </c>
      <c r="AS17" s="33">
        <f>ROUND(Y17-AI17,2)</f>
      </c>
      <c r="AT17" s="33">
        <f>ROUND(Z17-AJ17,2)</f>
      </c>
      <c r="AU17" s="33">
        <f>ROUND(AA17-AK17,2)</f>
      </c>
      <c r="AV17" s="33">
        <f>ROUND(AB17-AL17,2)</f>
      </c>
      <c r="AW17" s="33">
        <f>ROUND(AC17-AM17,2)</f>
      </c>
      <c r="AX17" s="33">
        <f>ROUND(AD17-AN17,2)</f>
      </c>
      <c r="AY17" s="33">
        <f>ROUND(AE17-AO17,2)</f>
      </c>
      <c r="AZ17" s="33">
        <f>ROUND(MAX(0,'Your debts'!$D$22-SUM($L17:$U17)),2)</f>
      </c>
      <c r="BA17" s="33">
        <f>ROUND(SUM($B17:$K17)-SUM($AP16:$AY16),2)</f>
      </c>
      <c r="BB17" s="33">
        <f>SUM($AP17:$AY17)</f>
      </c>
      <c r="BC17" s="33">
        <f>ROUND(SUM($L17:$U17)+SUM($AF17:$AO17),2)</f>
      </c>
    </row>
    <row r="18" spans="1:55" x14ac:dyDescent="0.25">
      <c r="A18">
        <v>11</v>
      </c>
      <c r="B18" s="33">
        <f>IF(AP17&lt;=0,0,ROUND(AP17+ROUND(AP17*V$3/12,2),2))</f>
      </c>
      <c r="C18" s="33">
        <f>IF(AQ17&lt;=0,0,ROUND(AQ17+ROUND(AQ17*W$3/12,2),2))</f>
      </c>
      <c r="D18" s="33">
        <f>IF(AR17&lt;=0,0,ROUND(AR17+ROUND(AR17*X$3/12,2),2))</f>
      </c>
      <c r="E18" s="33">
        <f>IF(AS17&lt;=0,0,ROUND(AS17+ROUND(AS17*Y$3/12,2),2))</f>
      </c>
      <c r="F18" s="33">
        <f>IF(AT17&lt;=0,0,ROUND(AT17+ROUND(AT17*Z$3/12,2),2))</f>
      </c>
      <c r="G18" s="33">
        <f>IF(AU17&lt;=0,0,ROUND(AU17+ROUND(AU17*AA$3/12,2),2))</f>
      </c>
      <c r="H18" s="33">
        <f>IF(AV17&lt;=0,0,ROUND(AV17+ROUND(AV17*AB$3/12,2),2))</f>
      </c>
      <c r="I18" s="33">
        <f>IF(AW17&lt;=0,0,ROUND(AW17+ROUND(AW17*AC$3/12,2),2))</f>
      </c>
      <c r="J18" s="33">
        <f>IF(AX17&lt;=0,0,ROUND(AX17+ROUND(AX17*AD$3/12,2),2))</f>
      </c>
      <c r="K18" s="33">
        <f>IF(AY17&lt;=0,0,ROUND(AY17+ROUND(AY17*AE$3/12,2),2))</f>
      </c>
      <c r="L18" s="33">
        <f>ROUND(MIN(MAX(0,N('Your debts'!$E$6)),B18),2)</f>
      </c>
      <c r="M18" s="33">
        <f>ROUND(MIN(MAX(0,N('Your debts'!$E$7)),C18),2)</f>
      </c>
      <c r="N18" s="33">
        <f>ROUND(MIN(MAX(0,N('Your debts'!$E$8)),D18),2)</f>
      </c>
      <c r="O18" s="33">
        <f>ROUND(MIN(MAX(0,N('Your debts'!$E$9)),E18),2)</f>
      </c>
      <c r="P18" s="33">
        <f>ROUND(MIN(MAX(0,N('Your debts'!$E$10)),F18),2)</f>
      </c>
      <c r="Q18" s="33">
        <f>ROUND(MIN(MAX(0,N('Your debts'!$E$11)),G18),2)</f>
      </c>
      <c r="R18" s="33">
        <f>ROUND(MIN(MAX(0,N('Your debts'!$E$12)),H18),2)</f>
      </c>
      <c r="S18" s="33">
        <f>ROUND(MIN(MAX(0,N('Your debts'!$E$13)),I18),2)</f>
      </c>
      <c r="T18" s="33">
        <f>ROUND(MIN(MAX(0,N('Your debts'!$E$14)),J18),2)</f>
      </c>
      <c r="U18" s="33">
        <f>ROUND(MIN(MAX(0,N('Your debts'!$E$15)),K18),2)</f>
      </c>
      <c r="V18" s="33">
        <f>ROUND(B18-L18,2)</f>
      </c>
      <c r="W18" s="33">
        <f>ROUND(C18-M18,2)</f>
      </c>
      <c r="X18" s="33">
        <f>ROUND(D18-N18,2)</f>
      </c>
      <c r="Y18" s="33">
        <f>ROUND(E18-O18,2)</f>
      </c>
      <c r="Z18" s="33">
        <f>ROUND(F18-P18,2)</f>
      </c>
      <c r="AA18" s="33">
        <f>ROUND(G18-Q18,2)</f>
      </c>
      <c r="AB18" s="33">
        <f>ROUND(H18-R18,2)</f>
      </c>
      <c r="AC18" s="33">
        <f>ROUND(I18-S18,2)</f>
      </c>
      <c r="AD18" s="33">
        <f>ROUND(J18-T18,2)</f>
      </c>
      <c r="AE18" s="33">
        <f>ROUND(K18-U18,2)</f>
      </c>
      <c r="AF18" s="33">
        <f>IF(V18&lt;=0,0,MAX(0,MIN(V18,ROUND($AZ18-SUMPRODUCT($V18:$AE18*($V18:$AE18&gt;0)*(($V$3:$AE$3&gt;V$3)+($V$3:$AE$3=V$3)*($V18:$AE18&lt;V18)+($V$3:$AE$3=V$3)*($V18:$AE18=V18)*($V$2:$AE$2&lt;V$2))),2))))</f>
      </c>
      <c r="AG18" s="33">
        <f>IF(W18&lt;=0,0,MAX(0,MIN(W18,ROUND($AZ18-SUMPRODUCT($V18:$AE18*($V18:$AE18&gt;0)*(($V$3:$AE$3&gt;W$3)+($V$3:$AE$3=W$3)*($V18:$AE18&lt;W18)+($V$3:$AE$3=W$3)*($V18:$AE18=W18)*($V$2:$AE$2&lt;W$2))),2))))</f>
      </c>
      <c r="AH18" s="33">
        <f>IF(X18&lt;=0,0,MAX(0,MIN(X18,ROUND($AZ18-SUMPRODUCT($V18:$AE18*($V18:$AE18&gt;0)*(($V$3:$AE$3&gt;X$3)+($V$3:$AE$3=X$3)*($V18:$AE18&lt;X18)+($V$3:$AE$3=X$3)*($V18:$AE18=X18)*($V$2:$AE$2&lt;X$2))),2))))</f>
      </c>
      <c r="AI18" s="33">
        <f>IF(Y18&lt;=0,0,MAX(0,MIN(Y18,ROUND($AZ18-SUMPRODUCT($V18:$AE18*($V18:$AE18&gt;0)*(($V$3:$AE$3&gt;Y$3)+($V$3:$AE$3=Y$3)*($V18:$AE18&lt;Y18)+($V$3:$AE$3=Y$3)*($V18:$AE18=Y18)*($V$2:$AE$2&lt;Y$2))),2))))</f>
      </c>
      <c r="AJ18" s="33">
        <f>IF(Z18&lt;=0,0,MAX(0,MIN(Z18,ROUND($AZ18-SUMPRODUCT($V18:$AE18*($V18:$AE18&gt;0)*(($V$3:$AE$3&gt;Z$3)+($V$3:$AE$3=Z$3)*($V18:$AE18&lt;Z18)+($V$3:$AE$3=Z$3)*($V18:$AE18=Z18)*($V$2:$AE$2&lt;Z$2))),2))))</f>
      </c>
      <c r="AK18" s="33">
        <f>IF(AA18&lt;=0,0,MAX(0,MIN(AA18,ROUND($AZ18-SUMPRODUCT($V18:$AE18*($V18:$AE18&gt;0)*(($V$3:$AE$3&gt;AA$3)+($V$3:$AE$3=AA$3)*($V18:$AE18&lt;AA18)+($V$3:$AE$3=AA$3)*($V18:$AE18=AA18)*($V$2:$AE$2&lt;AA$2))),2))))</f>
      </c>
      <c r="AL18" s="33">
        <f>IF(AB18&lt;=0,0,MAX(0,MIN(AB18,ROUND($AZ18-SUMPRODUCT($V18:$AE18*($V18:$AE18&gt;0)*(($V$3:$AE$3&gt;AB$3)+($V$3:$AE$3=AB$3)*($V18:$AE18&lt;AB18)+($V$3:$AE$3=AB$3)*($V18:$AE18=AB18)*($V$2:$AE$2&lt;AB$2))),2))))</f>
      </c>
      <c r="AM18" s="33">
        <f>IF(AC18&lt;=0,0,MAX(0,MIN(AC18,ROUND($AZ18-SUMPRODUCT($V18:$AE18*($V18:$AE18&gt;0)*(($V$3:$AE$3&gt;AC$3)+($V$3:$AE$3=AC$3)*($V18:$AE18&lt;AC18)+($V$3:$AE$3=AC$3)*($V18:$AE18=AC18)*($V$2:$AE$2&lt;AC$2))),2))))</f>
      </c>
      <c r="AN18" s="33">
        <f>IF(AD18&lt;=0,0,MAX(0,MIN(AD18,ROUND($AZ18-SUMPRODUCT($V18:$AE18*($V18:$AE18&gt;0)*(($V$3:$AE$3&gt;AD$3)+($V$3:$AE$3=AD$3)*($V18:$AE18&lt;AD18)+($V$3:$AE$3=AD$3)*($V18:$AE18=AD18)*($V$2:$AE$2&lt;AD$2))),2))))</f>
      </c>
      <c r="AO18" s="33">
        <f>IF(AE18&lt;=0,0,MAX(0,MIN(AE18,ROUND($AZ18-SUMPRODUCT($V18:$AE18*($V18:$AE18&gt;0)*(($V$3:$AE$3&gt;AE$3)+($V$3:$AE$3=AE$3)*($V18:$AE18&lt;AE18)+($V$3:$AE$3=AE$3)*($V18:$AE18=AE18)*($V$2:$AE$2&lt;AE$2))),2))))</f>
      </c>
      <c r="AP18" s="33">
        <f>ROUND(V18-AF18,2)</f>
      </c>
      <c r="AQ18" s="33">
        <f>ROUND(W18-AG18,2)</f>
      </c>
      <c r="AR18" s="33">
        <f>ROUND(X18-AH18,2)</f>
      </c>
      <c r="AS18" s="33">
        <f>ROUND(Y18-AI18,2)</f>
      </c>
      <c r="AT18" s="33">
        <f>ROUND(Z18-AJ18,2)</f>
      </c>
      <c r="AU18" s="33">
        <f>ROUND(AA18-AK18,2)</f>
      </c>
      <c r="AV18" s="33">
        <f>ROUND(AB18-AL18,2)</f>
      </c>
      <c r="AW18" s="33">
        <f>ROUND(AC18-AM18,2)</f>
      </c>
      <c r="AX18" s="33">
        <f>ROUND(AD18-AN18,2)</f>
      </c>
      <c r="AY18" s="33">
        <f>ROUND(AE18-AO18,2)</f>
      </c>
      <c r="AZ18" s="33">
        <f>ROUND(MAX(0,'Your debts'!$D$22-SUM($L18:$U18)),2)</f>
      </c>
      <c r="BA18" s="33">
        <f>ROUND(SUM($B18:$K18)-SUM($AP17:$AY17),2)</f>
      </c>
      <c r="BB18" s="33">
        <f>SUM($AP18:$AY18)</f>
      </c>
      <c r="BC18" s="33">
        <f>ROUND(SUM($L18:$U18)+SUM($AF18:$AO18),2)</f>
      </c>
    </row>
    <row r="19" spans="1:55" x14ac:dyDescent="0.25">
      <c r="A19">
        <v>12</v>
      </c>
      <c r="B19" s="33">
        <f>IF(AP18&lt;=0,0,ROUND(AP18+ROUND(AP18*V$3/12,2),2))</f>
      </c>
      <c r="C19" s="33">
        <f>IF(AQ18&lt;=0,0,ROUND(AQ18+ROUND(AQ18*W$3/12,2),2))</f>
      </c>
      <c r="D19" s="33">
        <f>IF(AR18&lt;=0,0,ROUND(AR18+ROUND(AR18*X$3/12,2),2))</f>
      </c>
      <c r="E19" s="33">
        <f>IF(AS18&lt;=0,0,ROUND(AS18+ROUND(AS18*Y$3/12,2),2))</f>
      </c>
      <c r="F19" s="33">
        <f>IF(AT18&lt;=0,0,ROUND(AT18+ROUND(AT18*Z$3/12,2),2))</f>
      </c>
      <c r="G19" s="33">
        <f>IF(AU18&lt;=0,0,ROUND(AU18+ROUND(AU18*AA$3/12,2),2))</f>
      </c>
      <c r="H19" s="33">
        <f>IF(AV18&lt;=0,0,ROUND(AV18+ROUND(AV18*AB$3/12,2),2))</f>
      </c>
      <c r="I19" s="33">
        <f>IF(AW18&lt;=0,0,ROUND(AW18+ROUND(AW18*AC$3/12,2),2))</f>
      </c>
      <c r="J19" s="33">
        <f>IF(AX18&lt;=0,0,ROUND(AX18+ROUND(AX18*AD$3/12,2),2))</f>
      </c>
      <c r="K19" s="33">
        <f>IF(AY18&lt;=0,0,ROUND(AY18+ROUND(AY18*AE$3/12,2),2))</f>
      </c>
      <c r="L19" s="33">
        <f>ROUND(MIN(MAX(0,N('Your debts'!$E$6)),B19),2)</f>
      </c>
      <c r="M19" s="33">
        <f>ROUND(MIN(MAX(0,N('Your debts'!$E$7)),C19),2)</f>
      </c>
      <c r="N19" s="33">
        <f>ROUND(MIN(MAX(0,N('Your debts'!$E$8)),D19),2)</f>
      </c>
      <c r="O19" s="33">
        <f>ROUND(MIN(MAX(0,N('Your debts'!$E$9)),E19),2)</f>
      </c>
      <c r="P19" s="33">
        <f>ROUND(MIN(MAX(0,N('Your debts'!$E$10)),F19),2)</f>
      </c>
      <c r="Q19" s="33">
        <f>ROUND(MIN(MAX(0,N('Your debts'!$E$11)),G19),2)</f>
      </c>
      <c r="R19" s="33">
        <f>ROUND(MIN(MAX(0,N('Your debts'!$E$12)),H19),2)</f>
      </c>
      <c r="S19" s="33">
        <f>ROUND(MIN(MAX(0,N('Your debts'!$E$13)),I19),2)</f>
      </c>
      <c r="T19" s="33">
        <f>ROUND(MIN(MAX(0,N('Your debts'!$E$14)),J19),2)</f>
      </c>
      <c r="U19" s="33">
        <f>ROUND(MIN(MAX(0,N('Your debts'!$E$15)),K19),2)</f>
      </c>
      <c r="V19" s="33">
        <f>ROUND(B19-L19,2)</f>
      </c>
      <c r="W19" s="33">
        <f>ROUND(C19-M19,2)</f>
      </c>
      <c r="X19" s="33">
        <f>ROUND(D19-N19,2)</f>
      </c>
      <c r="Y19" s="33">
        <f>ROUND(E19-O19,2)</f>
      </c>
      <c r="Z19" s="33">
        <f>ROUND(F19-P19,2)</f>
      </c>
      <c r="AA19" s="33">
        <f>ROUND(G19-Q19,2)</f>
      </c>
      <c r="AB19" s="33">
        <f>ROUND(H19-R19,2)</f>
      </c>
      <c r="AC19" s="33">
        <f>ROUND(I19-S19,2)</f>
      </c>
      <c r="AD19" s="33">
        <f>ROUND(J19-T19,2)</f>
      </c>
      <c r="AE19" s="33">
        <f>ROUND(K19-U19,2)</f>
      </c>
      <c r="AF19" s="33">
        <f>IF(V19&lt;=0,0,MAX(0,MIN(V19,ROUND($AZ19-SUMPRODUCT($V19:$AE19*($V19:$AE19&gt;0)*(($V$3:$AE$3&gt;V$3)+($V$3:$AE$3=V$3)*($V19:$AE19&lt;V19)+($V$3:$AE$3=V$3)*($V19:$AE19=V19)*($V$2:$AE$2&lt;V$2))),2))))</f>
      </c>
      <c r="AG19" s="33">
        <f>IF(W19&lt;=0,0,MAX(0,MIN(W19,ROUND($AZ19-SUMPRODUCT($V19:$AE19*($V19:$AE19&gt;0)*(($V$3:$AE$3&gt;W$3)+($V$3:$AE$3=W$3)*($V19:$AE19&lt;W19)+($V$3:$AE$3=W$3)*($V19:$AE19=W19)*($V$2:$AE$2&lt;W$2))),2))))</f>
      </c>
      <c r="AH19" s="33">
        <f>IF(X19&lt;=0,0,MAX(0,MIN(X19,ROUND($AZ19-SUMPRODUCT($V19:$AE19*($V19:$AE19&gt;0)*(($V$3:$AE$3&gt;X$3)+($V$3:$AE$3=X$3)*($V19:$AE19&lt;X19)+($V$3:$AE$3=X$3)*($V19:$AE19=X19)*($V$2:$AE$2&lt;X$2))),2))))</f>
      </c>
      <c r="AI19" s="33">
        <f>IF(Y19&lt;=0,0,MAX(0,MIN(Y19,ROUND($AZ19-SUMPRODUCT($V19:$AE19*($V19:$AE19&gt;0)*(($V$3:$AE$3&gt;Y$3)+($V$3:$AE$3=Y$3)*($V19:$AE19&lt;Y19)+($V$3:$AE$3=Y$3)*($V19:$AE19=Y19)*($V$2:$AE$2&lt;Y$2))),2))))</f>
      </c>
      <c r="AJ19" s="33">
        <f>IF(Z19&lt;=0,0,MAX(0,MIN(Z19,ROUND($AZ19-SUMPRODUCT($V19:$AE19*($V19:$AE19&gt;0)*(($V$3:$AE$3&gt;Z$3)+($V$3:$AE$3=Z$3)*($V19:$AE19&lt;Z19)+($V$3:$AE$3=Z$3)*($V19:$AE19=Z19)*($V$2:$AE$2&lt;Z$2))),2))))</f>
      </c>
      <c r="AK19" s="33">
        <f>IF(AA19&lt;=0,0,MAX(0,MIN(AA19,ROUND($AZ19-SUMPRODUCT($V19:$AE19*($V19:$AE19&gt;0)*(($V$3:$AE$3&gt;AA$3)+($V$3:$AE$3=AA$3)*($V19:$AE19&lt;AA19)+($V$3:$AE$3=AA$3)*($V19:$AE19=AA19)*($V$2:$AE$2&lt;AA$2))),2))))</f>
      </c>
      <c r="AL19" s="33">
        <f>IF(AB19&lt;=0,0,MAX(0,MIN(AB19,ROUND($AZ19-SUMPRODUCT($V19:$AE19*($V19:$AE19&gt;0)*(($V$3:$AE$3&gt;AB$3)+($V$3:$AE$3=AB$3)*($V19:$AE19&lt;AB19)+($V$3:$AE$3=AB$3)*($V19:$AE19=AB19)*($V$2:$AE$2&lt;AB$2))),2))))</f>
      </c>
      <c r="AM19" s="33">
        <f>IF(AC19&lt;=0,0,MAX(0,MIN(AC19,ROUND($AZ19-SUMPRODUCT($V19:$AE19*($V19:$AE19&gt;0)*(($V$3:$AE$3&gt;AC$3)+($V$3:$AE$3=AC$3)*($V19:$AE19&lt;AC19)+($V$3:$AE$3=AC$3)*($V19:$AE19=AC19)*($V$2:$AE$2&lt;AC$2))),2))))</f>
      </c>
      <c r="AN19" s="33">
        <f>IF(AD19&lt;=0,0,MAX(0,MIN(AD19,ROUND($AZ19-SUMPRODUCT($V19:$AE19*($V19:$AE19&gt;0)*(($V$3:$AE$3&gt;AD$3)+($V$3:$AE$3=AD$3)*($V19:$AE19&lt;AD19)+($V$3:$AE$3=AD$3)*($V19:$AE19=AD19)*($V$2:$AE$2&lt;AD$2))),2))))</f>
      </c>
      <c r="AO19" s="33">
        <f>IF(AE19&lt;=0,0,MAX(0,MIN(AE19,ROUND($AZ19-SUMPRODUCT($V19:$AE19*($V19:$AE19&gt;0)*(($V$3:$AE$3&gt;AE$3)+($V$3:$AE$3=AE$3)*($V19:$AE19&lt;AE19)+($V$3:$AE$3=AE$3)*($V19:$AE19=AE19)*($V$2:$AE$2&lt;AE$2))),2))))</f>
      </c>
      <c r="AP19" s="33">
        <f>ROUND(V19-AF19,2)</f>
      </c>
      <c r="AQ19" s="33">
        <f>ROUND(W19-AG19,2)</f>
      </c>
      <c r="AR19" s="33">
        <f>ROUND(X19-AH19,2)</f>
      </c>
      <c r="AS19" s="33">
        <f>ROUND(Y19-AI19,2)</f>
      </c>
      <c r="AT19" s="33">
        <f>ROUND(Z19-AJ19,2)</f>
      </c>
      <c r="AU19" s="33">
        <f>ROUND(AA19-AK19,2)</f>
      </c>
      <c r="AV19" s="33">
        <f>ROUND(AB19-AL19,2)</f>
      </c>
      <c r="AW19" s="33">
        <f>ROUND(AC19-AM19,2)</f>
      </c>
      <c r="AX19" s="33">
        <f>ROUND(AD19-AN19,2)</f>
      </c>
      <c r="AY19" s="33">
        <f>ROUND(AE19-AO19,2)</f>
      </c>
      <c r="AZ19" s="33">
        <f>ROUND(MAX(0,'Your debts'!$D$22-SUM($L19:$U19)),2)</f>
      </c>
      <c r="BA19" s="33">
        <f>ROUND(SUM($B19:$K19)-SUM($AP18:$AY18),2)</f>
      </c>
      <c r="BB19" s="33">
        <f>SUM($AP19:$AY19)</f>
      </c>
      <c r="BC19" s="33">
        <f>ROUND(SUM($L19:$U19)+SUM($AF19:$AO19),2)</f>
      </c>
    </row>
    <row r="20" spans="1:55" x14ac:dyDescent="0.25">
      <c r="A20">
        <v>13</v>
      </c>
      <c r="B20" s="33">
        <f>IF(AP19&lt;=0,0,ROUND(AP19+ROUND(AP19*V$3/12,2),2))</f>
      </c>
      <c r="C20" s="33">
        <f>IF(AQ19&lt;=0,0,ROUND(AQ19+ROUND(AQ19*W$3/12,2),2))</f>
      </c>
      <c r="D20" s="33">
        <f>IF(AR19&lt;=0,0,ROUND(AR19+ROUND(AR19*X$3/12,2),2))</f>
      </c>
      <c r="E20" s="33">
        <f>IF(AS19&lt;=0,0,ROUND(AS19+ROUND(AS19*Y$3/12,2),2))</f>
      </c>
      <c r="F20" s="33">
        <f>IF(AT19&lt;=0,0,ROUND(AT19+ROUND(AT19*Z$3/12,2),2))</f>
      </c>
      <c r="G20" s="33">
        <f>IF(AU19&lt;=0,0,ROUND(AU19+ROUND(AU19*AA$3/12,2),2))</f>
      </c>
      <c r="H20" s="33">
        <f>IF(AV19&lt;=0,0,ROUND(AV19+ROUND(AV19*AB$3/12,2),2))</f>
      </c>
      <c r="I20" s="33">
        <f>IF(AW19&lt;=0,0,ROUND(AW19+ROUND(AW19*AC$3/12,2),2))</f>
      </c>
      <c r="J20" s="33">
        <f>IF(AX19&lt;=0,0,ROUND(AX19+ROUND(AX19*AD$3/12,2),2))</f>
      </c>
      <c r="K20" s="33">
        <f>IF(AY19&lt;=0,0,ROUND(AY19+ROUND(AY19*AE$3/12,2),2))</f>
      </c>
      <c r="L20" s="33">
        <f>ROUND(MIN(MAX(0,N('Your debts'!$E$6)),B20),2)</f>
      </c>
      <c r="M20" s="33">
        <f>ROUND(MIN(MAX(0,N('Your debts'!$E$7)),C20),2)</f>
      </c>
      <c r="N20" s="33">
        <f>ROUND(MIN(MAX(0,N('Your debts'!$E$8)),D20),2)</f>
      </c>
      <c r="O20" s="33">
        <f>ROUND(MIN(MAX(0,N('Your debts'!$E$9)),E20),2)</f>
      </c>
      <c r="P20" s="33">
        <f>ROUND(MIN(MAX(0,N('Your debts'!$E$10)),F20),2)</f>
      </c>
      <c r="Q20" s="33">
        <f>ROUND(MIN(MAX(0,N('Your debts'!$E$11)),G20),2)</f>
      </c>
      <c r="R20" s="33">
        <f>ROUND(MIN(MAX(0,N('Your debts'!$E$12)),H20),2)</f>
      </c>
      <c r="S20" s="33">
        <f>ROUND(MIN(MAX(0,N('Your debts'!$E$13)),I20),2)</f>
      </c>
      <c r="T20" s="33">
        <f>ROUND(MIN(MAX(0,N('Your debts'!$E$14)),J20),2)</f>
      </c>
      <c r="U20" s="33">
        <f>ROUND(MIN(MAX(0,N('Your debts'!$E$15)),K20),2)</f>
      </c>
      <c r="V20" s="33">
        <f>ROUND(B20-L20,2)</f>
      </c>
      <c r="W20" s="33">
        <f>ROUND(C20-M20,2)</f>
      </c>
      <c r="X20" s="33">
        <f>ROUND(D20-N20,2)</f>
      </c>
      <c r="Y20" s="33">
        <f>ROUND(E20-O20,2)</f>
      </c>
      <c r="Z20" s="33">
        <f>ROUND(F20-P20,2)</f>
      </c>
      <c r="AA20" s="33">
        <f>ROUND(G20-Q20,2)</f>
      </c>
      <c r="AB20" s="33">
        <f>ROUND(H20-R20,2)</f>
      </c>
      <c r="AC20" s="33">
        <f>ROUND(I20-S20,2)</f>
      </c>
      <c r="AD20" s="33">
        <f>ROUND(J20-T20,2)</f>
      </c>
      <c r="AE20" s="33">
        <f>ROUND(K20-U20,2)</f>
      </c>
      <c r="AF20" s="33">
        <f>IF(V20&lt;=0,0,MAX(0,MIN(V20,ROUND($AZ20-SUMPRODUCT($V20:$AE20*($V20:$AE20&gt;0)*(($V$3:$AE$3&gt;V$3)+($V$3:$AE$3=V$3)*($V20:$AE20&lt;V20)+($V$3:$AE$3=V$3)*($V20:$AE20=V20)*($V$2:$AE$2&lt;V$2))),2))))</f>
      </c>
      <c r="AG20" s="33">
        <f>IF(W20&lt;=0,0,MAX(0,MIN(W20,ROUND($AZ20-SUMPRODUCT($V20:$AE20*($V20:$AE20&gt;0)*(($V$3:$AE$3&gt;W$3)+($V$3:$AE$3=W$3)*($V20:$AE20&lt;W20)+($V$3:$AE$3=W$3)*($V20:$AE20=W20)*($V$2:$AE$2&lt;W$2))),2))))</f>
      </c>
      <c r="AH20" s="33">
        <f>IF(X20&lt;=0,0,MAX(0,MIN(X20,ROUND($AZ20-SUMPRODUCT($V20:$AE20*($V20:$AE20&gt;0)*(($V$3:$AE$3&gt;X$3)+($V$3:$AE$3=X$3)*($V20:$AE20&lt;X20)+($V$3:$AE$3=X$3)*($V20:$AE20=X20)*($V$2:$AE$2&lt;X$2))),2))))</f>
      </c>
      <c r="AI20" s="33">
        <f>IF(Y20&lt;=0,0,MAX(0,MIN(Y20,ROUND($AZ20-SUMPRODUCT($V20:$AE20*($V20:$AE20&gt;0)*(($V$3:$AE$3&gt;Y$3)+($V$3:$AE$3=Y$3)*($V20:$AE20&lt;Y20)+($V$3:$AE$3=Y$3)*($V20:$AE20=Y20)*($V$2:$AE$2&lt;Y$2))),2))))</f>
      </c>
      <c r="AJ20" s="33">
        <f>IF(Z20&lt;=0,0,MAX(0,MIN(Z20,ROUND($AZ20-SUMPRODUCT($V20:$AE20*($V20:$AE20&gt;0)*(($V$3:$AE$3&gt;Z$3)+($V$3:$AE$3=Z$3)*($V20:$AE20&lt;Z20)+($V$3:$AE$3=Z$3)*($V20:$AE20=Z20)*($V$2:$AE$2&lt;Z$2))),2))))</f>
      </c>
      <c r="AK20" s="33">
        <f>IF(AA20&lt;=0,0,MAX(0,MIN(AA20,ROUND($AZ20-SUMPRODUCT($V20:$AE20*($V20:$AE20&gt;0)*(($V$3:$AE$3&gt;AA$3)+($V$3:$AE$3=AA$3)*($V20:$AE20&lt;AA20)+($V$3:$AE$3=AA$3)*($V20:$AE20=AA20)*($V$2:$AE$2&lt;AA$2))),2))))</f>
      </c>
      <c r="AL20" s="33">
        <f>IF(AB20&lt;=0,0,MAX(0,MIN(AB20,ROUND($AZ20-SUMPRODUCT($V20:$AE20*($V20:$AE20&gt;0)*(($V$3:$AE$3&gt;AB$3)+($V$3:$AE$3=AB$3)*($V20:$AE20&lt;AB20)+($V$3:$AE$3=AB$3)*($V20:$AE20=AB20)*($V$2:$AE$2&lt;AB$2))),2))))</f>
      </c>
      <c r="AM20" s="33">
        <f>IF(AC20&lt;=0,0,MAX(0,MIN(AC20,ROUND($AZ20-SUMPRODUCT($V20:$AE20*($V20:$AE20&gt;0)*(($V$3:$AE$3&gt;AC$3)+($V$3:$AE$3=AC$3)*($V20:$AE20&lt;AC20)+($V$3:$AE$3=AC$3)*($V20:$AE20=AC20)*($V$2:$AE$2&lt;AC$2))),2))))</f>
      </c>
      <c r="AN20" s="33">
        <f>IF(AD20&lt;=0,0,MAX(0,MIN(AD20,ROUND($AZ20-SUMPRODUCT($V20:$AE20*($V20:$AE20&gt;0)*(($V$3:$AE$3&gt;AD$3)+($V$3:$AE$3=AD$3)*($V20:$AE20&lt;AD20)+($V$3:$AE$3=AD$3)*($V20:$AE20=AD20)*($V$2:$AE$2&lt;AD$2))),2))))</f>
      </c>
      <c r="AO20" s="33">
        <f>IF(AE20&lt;=0,0,MAX(0,MIN(AE20,ROUND($AZ20-SUMPRODUCT($V20:$AE20*($V20:$AE20&gt;0)*(($V$3:$AE$3&gt;AE$3)+($V$3:$AE$3=AE$3)*($V20:$AE20&lt;AE20)+($V$3:$AE$3=AE$3)*($V20:$AE20=AE20)*($V$2:$AE$2&lt;AE$2))),2))))</f>
      </c>
      <c r="AP20" s="33">
        <f>ROUND(V20-AF20,2)</f>
      </c>
      <c r="AQ20" s="33">
        <f>ROUND(W20-AG20,2)</f>
      </c>
      <c r="AR20" s="33">
        <f>ROUND(X20-AH20,2)</f>
      </c>
      <c r="AS20" s="33">
        <f>ROUND(Y20-AI20,2)</f>
      </c>
      <c r="AT20" s="33">
        <f>ROUND(Z20-AJ20,2)</f>
      </c>
      <c r="AU20" s="33">
        <f>ROUND(AA20-AK20,2)</f>
      </c>
      <c r="AV20" s="33">
        <f>ROUND(AB20-AL20,2)</f>
      </c>
      <c r="AW20" s="33">
        <f>ROUND(AC20-AM20,2)</f>
      </c>
      <c r="AX20" s="33">
        <f>ROUND(AD20-AN20,2)</f>
      </c>
      <c r="AY20" s="33">
        <f>ROUND(AE20-AO20,2)</f>
      </c>
      <c r="AZ20" s="33">
        <f>ROUND(MAX(0,'Your debts'!$D$22-SUM($L20:$U20)),2)</f>
      </c>
      <c r="BA20" s="33">
        <f>ROUND(SUM($B20:$K20)-SUM($AP19:$AY19),2)</f>
      </c>
      <c r="BB20" s="33">
        <f>SUM($AP20:$AY20)</f>
      </c>
      <c r="BC20" s="33">
        <f>ROUND(SUM($L20:$U20)+SUM($AF20:$AO20),2)</f>
      </c>
    </row>
    <row r="21" spans="1:55" x14ac:dyDescent="0.25">
      <c r="A21">
        <v>14</v>
      </c>
      <c r="B21" s="33">
        <f>IF(AP20&lt;=0,0,ROUND(AP20+ROUND(AP20*V$3/12,2),2))</f>
      </c>
      <c r="C21" s="33">
        <f>IF(AQ20&lt;=0,0,ROUND(AQ20+ROUND(AQ20*W$3/12,2),2))</f>
      </c>
      <c r="D21" s="33">
        <f>IF(AR20&lt;=0,0,ROUND(AR20+ROUND(AR20*X$3/12,2),2))</f>
      </c>
      <c r="E21" s="33">
        <f>IF(AS20&lt;=0,0,ROUND(AS20+ROUND(AS20*Y$3/12,2),2))</f>
      </c>
      <c r="F21" s="33">
        <f>IF(AT20&lt;=0,0,ROUND(AT20+ROUND(AT20*Z$3/12,2),2))</f>
      </c>
      <c r="G21" s="33">
        <f>IF(AU20&lt;=0,0,ROUND(AU20+ROUND(AU20*AA$3/12,2),2))</f>
      </c>
      <c r="H21" s="33">
        <f>IF(AV20&lt;=0,0,ROUND(AV20+ROUND(AV20*AB$3/12,2),2))</f>
      </c>
      <c r="I21" s="33">
        <f>IF(AW20&lt;=0,0,ROUND(AW20+ROUND(AW20*AC$3/12,2),2))</f>
      </c>
      <c r="J21" s="33">
        <f>IF(AX20&lt;=0,0,ROUND(AX20+ROUND(AX20*AD$3/12,2),2))</f>
      </c>
      <c r="K21" s="33">
        <f>IF(AY20&lt;=0,0,ROUND(AY20+ROUND(AY20*AE$3/12,2),2))</f>
      </c>
      <c r="L21" s="33">
        <f>ROUND(MIN(MAX(0,N('Your debts'!$E$6)),B21),2)</f>
      </c>
      <c r="M21" s="33">
        <f>ROUND(MIN(MAX(0,N('Your debts'!$E$7)),C21),2)</f>
      </c>
      <c r="N21" s="33">
        <f>ROUND(MIN(MAX(0,N('Your debts'!$E$8)),D21),2)</f>
      </c>
      <c r="O21" s="33">
        <f>ROUND(MIN(MAX(0,N('Your debts'!$E$9)),E21),2)</f>
      </c>
      <c r="P21" s="33">
        <f>ROUND(MIN(MAX(0,N('Your debts'!$E$10)),F21),2)</f>
      </c>
      <c r="Q21" s="33">
        <f>ROUND(MIN(MAX(0,N('Your debts'!$E$11)),G21),2)</f>
      </c>
      <c r="R21" s="33">
        <f>ROUND(MIN(MAX(0,N('Your debts'!$E$12)),H21),2)</f>
      </c>
      <c r="S21" s="33">
        <f>ROUND(MIN(MAX(0,N('Your debts'!$E$13)),I21),2)</f>
      </c>
      <c r="T21" s="33">
        <f>ROUND(MIN(MAX(0,N('Your debts'!$E$14)),J21),2)</f>
      </c>
      <c r="U21" s="33">
        <f>ROUND(MIN(MAX(0,N('Your debts'!$E$15)),K21),2)</f>
      </c>
      <c r="V21" s="33">
        <f>ROUND(B21-L21,2)</f>
      </c>
      <c r="W21" s="33">
        <f>ROUND(C21-M21,2)</f>
      </c>
      <c r="X21" s="33">
        <f>ROUND(D21-N21,2)</f>
      </c>
      <c r="Y21" s="33">
        <f>ROUND(E21-O21,2)</f>
      </c>
      <c r="Z21" s="33">
        <f>ROUND(F21-P21,2)</f>
      </c>
      <c r="AA21" s="33">
        <f>ROUND(G21-Q21,2)</f>
      </c>
      <c r="AB21" s="33">
        <f>ROUND(H21-R21,2)</f>
      </c>
      <c r="AC21" s="33">
        <f>ROUND(I21-S21,2)</f>
      </c>
      <c r="AD21" s="33">
        <f>ROUND(J21-T21,2)</f>
      </c>
      <c r="AE21" s="33">
        <f>ROUND(K21-U21,2)</f>
      </c>
      <c r="AF21" s="33">
        <f>IF(V21&lt;=0,0,MAX(0,MIN(V21,ROUND($AZ21-SUMPRODUCT($V21:$AE21*($V21:$AE21&gt;0)*(($V$3:$AE$3&gt;V$3)+($V$3:$AE$3=V$3)*($V21:$AE21&lt;V21)+($V$3:$AE$3=V$3)*($V21:$AE21=V21)*($V$2:$AE$2&lt;V$2))),2))))</f>
      </c>
      <c r="AG21" s="33">
        <f>IF(W21&lt;=0,0,MAX(0,MIN(W21,ROUND($AZ21-SUMPRODUCT($V21:$AE21*($V21:$AE21&gt;0)*(($V$3:$AE$3&gt;W$3)+($V$3:$AE$3=W$3)*($V21:$AE21&lt;W21)+($V$3:$AE$3=W$3)*($V21:$AE21=W21)*($V$2:$AE$2&lt;W$2))),2))))</f>
      </c>
      <c r="AH21" s="33">
        <f>IF(X21&lt;=0,0,MAX(0,MIN(X21,ROUND($AZ21-SUMPRODUCT($V21:$AE21*($V21:$AE21&gt;0)*(($V$3:$AE$3&gt;X$3)+($V$3:$AE$3=X$3)*($V21:$AE21&lt;X21)+($V$3:$AE$3=X$3)*($V21:$AE21=X21)*($V$2:$AE$2&lt;X$2))),2))))</f>
      </c>
      <c r="AI21" s="33">
        <f>IF(Y21&lt;=0,0,MAX(0,MIN(Y21,ROUND($AZ21-SUMPRODUCT($V21:$AE21*($V21:$AE21&gt;0)*(($V$3:$AE$3&gt;Y$3)+($V$3:$AE$3=Y$3)*($V21:$AE21&lt;Y21)+($V$3:$AE$3=Y$3)*($V21:$AE21=Y21)*($V$2:$AE$2&lt;Y$2))),2))))</f>
      </c>
      <c r="AJ21" s="33">
        <f>IF(Z21&lt;=0,0,MAX(0,MIN(Z21,ROUND($AZ21-SUMPRODUCT($V21:$AE21*($V21:$AE21&gt;0)*(($V$3:$AE$3&gt;Z$3)+($V$3:$AE$3=Z$3)*($V21:$AE21&lt;Z21)+($V$3:$AE$3=Z$3)*($V21:$AE21=Z21)*($V$2:$AE$2&lt;Z$2))),2))))</f>
      </c>
      <c r="AK21" s="33">
        <f>IF(AA21&lt;=0,0,MAX(0,MIN(AA21,ROUND($AZ21-SUMPRODUCT($V21:$AE21*($V21:$AE21&gt;0)*(($V$3:$AE$3&gt;AA$3)+($V$3:$AE$3=AA$3)*($V21:$AE21&lt;AA21)+($V$3:$AE$3=AA$3)*($V21:$AE21=AA21)*($V$2:$AE$2&lt;AA$2))),2))))</f>
      </c>
      <c r="AL21" s="33">
        <f>IF(AB21&lt;=0,0,MAX(0,MIN(AB21,ROUND($AZ21-SUMPRODUCT($V21:$AE21*($V21:$AE21&gt;0)*(($V$3:$AE$3&gt;AB$3)+($V$3:$AE$3=AB$3)*($V21:$AE21&lt;AB21)+($V$3:$AE$3=AB$3)*($V21:$AE21=AB21)*($V$2:$AE$2&lt;AB$2))),2))))</f>
      </c>
      <c r="AM21" s="33">
        <f>IF(AC21&lt;=0,0,MAX(0,MIN(AC21,ROUND($AZ21-SUMPRODUCT($V21:$AE21*($V21:$AE21&gt;0)*(($V$3:$AE$3&gt;AC$3)+($V$3:$AE$3=AC$3)*($V21:$AE21&lt;AC21)+($V$3:$AE$3=AC$3)*($V21:$AE21=AC21)*($V$2:$AE$2&lt;AC$2))),2))))</f>
      </c>
      <c r="AN21" s="33">
        <f>IF(AD21&lt;=0,0,MAX(0,MIN(AD21,ROUND($AZ21-SUMPRODUCT($V21:$AE21*($V21:$AE21&gt;0)*(($V$3:$AE$3&gt;AD$3)+($V$3:$AE$3=AD$3)*($V21:$AE21&lt;AD21)+($V$3:$AE$3=AD$3)*($V21:$AE21=AD21)*($V$2:$AE$2&lt;AD$2))),2))))</f>
      </c>
      <c r="AO21" s="33">
        <f>IF(AE21&lt;=0,0,MAX(0,MIN(AE21,ROUND($AZ21-SUMPRODUCT($V21:$AE21*($V21:$AE21&gt;0)*(($V$3:$AE$3&gt;AE$3)+($V$3:$AE$3=AE$3)*($V21:$AE21&lt;AE21)+($V$3:$AE$3=AE$3)*($V21:$AE21=AE21)*($V$2:$AE$2&lt;AE$2))),2))))</f>
      </c>
      <c r="AP21" s="33">
        <f>ROUND(V21-AF21,2)</f>
      </c>
      <c r="AQ21" s="33">
        <f>ROUND(W21-AG21,2)</f>
      </c>
      <c r="AR21" s="33">
        <f>ROUND(X21-AH21,2)</f>
      </c>
      <c r="AS21" s="33">
        <f>ROUND(Y21-AI21,2)</f>
      </c>
      <c r="AT21" s="33">
        <f>ROUND(Z21-AJ21,2)</f>
      </c>
      <c r="AU21" s="33">
        <f>ROUND(AA21-AK21,2)</f>
      </c>
      <c r="AV21" s="33">
        <f>ROUND(AB21-AL21,2)</f>
      </c>
      <c r="AW21" s="33">
        <f>ROUND(AC21-AM21,2)</f>
      </c>
      <c r="AX21" s="33">
        <f>ROUND(AD21-AN21,2)</f>
      </c>
      <c r="AY21" s="33">
        <f>ROUND(AE21-AO21,2)</f>
      </c>
      <c r="AZ21" s="33">
        <f>ROUND(MAX(0,'Your debts'!$D$22-SUM($L21:$U21)),2)</f>
      </c>
      <c r="BA21" s="33">
        <f>ROUND(SUM($B21:$K21)-SUM($AP20:$AY20),2)</f>
      </c>
      <c r="BB21" s="33">
        <f>SUM($AP21:$AY21)</f>
      </c>
      <c r="BC21" s="33">
        <f>ROUND(SUM($L21:$U21)+SUM($AF21:$AO21),2)</f>
      </c>
    </row>
    <row r="22" spans="1:55" x14ac:dyDescent="0.25">
      <c r="A22">
        <v>15</v>
      </c>
      <c r="B22" s="33">
        <f>IF(AP21&lt;=0,0,ROUND(AP21+ROUND(AP21*V$3/12,2),2))</f>
      </c>
      <c r="C22" s="33">
        <f>IF(AQ21&lt;=0,0,ROUND(AQ21+ROUND(AQ21*W$3/12,2),2))</f>
      </c>
      <c r="D22" s="33">
        <f>IF(AR21&lt;=0,0,ROUND(AR21+ROUND(AR21*X$3/12,2),2))</f>
      </c>
      <c r="E22" s="33">
        <f>IF(AS21&lt;=0,0,ROUND(AS21+ROUND(AS21*Y$3/12,2),2))</f>
      </c>
      <c r="F22" s="33">
        <f>IF(AT21&lt;=0,0,ROUND(AT21+ROUND(AT21*Z$3/12,2),2))</f>
      </c>
      <c r="G22" s="33">
        <f>IF(AU21&lt;=0,0,ROUND(AU21+ROUND(AU21*AA$3/12,2),2))</f>
      </c>
      <c r="H22" s="33">
        <f>IF(AV21&lt;=0,0,ROUND(AV21+ROUND(AV21*AB$3/12,2),2))</f>
      </c>
      <c r="I22" s="33">
        <f>IF(AW21&lt;=0,0,ROUND(AW21+ROUND(AW21*AC$3/12,2),2))</f>
      </c>
      <c r="J22" s="33">
        <f>IF(AX21&lt;=0,0,ROUND(AX21+ROUND(AX21*AD$3/12,2),2))</f>
      </c>
      <c r="K22" s="33">
        <f>IF(AY21&lt;=0,0,ROUND(AY21+ROUND(AY21*AE$3/12,2),2))</f>
      </c>
      <c r="L22" s="33">
        <f>ROUND(MIN(MAX(0,N('Your debts'!$E$6)),B22),2)</f>
      </c>
      <c r="M22" s="33">
        <f>ROUND(MIN(MAX(0,N('Your debts'!$E$7)),C22),2)</f>
      </c>
      <c r="N22" s="33">
        <f>ROUND(MIN(MAX(0,N('Your debts'!$E$8)),D22),2)</f>
      </c>
      <c r="O22" s="33">
        <f>ROUND(MIN(MAX(0,N('Your debts'!$E$9)),E22),2)</f>
      </c>
      <c r="P22" s="33">
        <f>ROUND(MIN(MAX(0,N('Your debts'!$E$10)),F22),2)</f>
      </c>
      <c r="Q22" s="33">
        <f>ROUND(MIN(MAX(0,N('Your debts'!$E$11)),G22),2)</f>
      </c>
      <c r="R22" s="33">
        <f>ROUND(MIN(MAX(0,N('Your debts'!$E$12)),H22),2)</f>
      </c>
      <c r="S22" s="33">
        <f>ROUND(MIN(MAX(0,N('Your debts'!$E$13)),I22),2)</f>
      </c>
      <c r="T22" s="33">
        <f>ROUND(MIN(MAX(0,N('Your debts'!$E$14)),J22),2)</f>
      </c>
      <c r="U22" s="33">
        <f>ROUND(MIN(MAX(0,N('Your debts'!$E$15)),K22),2)</f>
      </c>
      <c r="V22" s="33">
        <f>ROUND(B22-L22,2)</f>
      </c>
      <c r="W22" s="33">
        <f>ROUND(C22-M22,2)</f>
      </c>
      <c r="X22" s="33">
        <f>ROUND(D22-N22,2)</f>
      </c>
      <c r="Y22" s="33">
        <f>ROUND(E22-O22,2)</f>
      </c>
      <c r="Z22" s="33">
        <f>ROUND(F22-P22,2)</f>
      </c>
      <c r="AA22" s="33">
        <f>ROUND(G22-Q22,2)</f>
      </c>
      <c r="AB22" s="33">
        <f>ROUND(H22-R22,2)</f>
      </c>
      <c r="AC22" s="33">
        <f>ROUND(I22-S22,2)</f>
      </c>
      <c r="AD22" s="33">
        <f>ROUND(J22-T22,2)</f>
      </c>
      <c r="AE22" s="33">
        <f>ROUND(K22-U22,2)</f>
      </c>
      <c r="AF22" s="33">
        <f>IF(V22&lt;=0,0,MAX(0,MIN(V22,ROUND($AZ22-SUMPRODUCT($V22:$AE22*($V22:$AE22&gt;0)*(($V$3:$AE$3&gt;V$3)+($V$3:$AE$3=V$3)*($V22:$AE22&lt;V22)+($V$3:$AE$3=V$3)*($V22:$AE22=V22)*($V$2:$AE$2&lt;V$2))),2))))</f>
      </c>
      <c r="AG22" s="33">
        <f>IF(W22&lt;=0,0,MAX(0,MIN(W22,ROUND($AZ22-SUMPRODUCT($V22:$AE22*($V22:$AE22&gt;0)*(($V$3:$AE$3&gt;W$3)+($V$3:$AE$3=W$3)*($V22:$AE22&lt;W22)+($V$3:$AE$3=W$3)*($V22:$AE22=W22)*($V$2:$AE$2&lt;W$2))),2))))</f>
      </c>
      <c r="AH22" s="33">
        <f>IF(X22&lt;=0,0,MAX(0,MIN(X22,ROUND($AZ22-SUMPRODUCT($V22:$AE22*($V22:$AE22&gt;0)*(($V$3:$AE$3&gt;X$3)+($V$3:$AE$3=X$3)*($V22:$AE22&lt;X22)+($V$3:$AE$3=X$3)*($V22:$AE22=X22)*($V$2:$AE$2&lt;X$2))),2))))</f>
      </c>
      <c r="AI22" s="33">
        <f>IF(Y22&lt;=0,0,MAX(0,MIN(Y22,ROUND($AZ22-SUMPRODUCT($V22:$AE22*($V22:$AE22&gt;0)*(($V$3:$AE$3&gt;Y$3)+($V$3:$AE$3=Y$3)*($V22:$AE22&lt;Y22)+($V$3:$AE$3=Y$3)*($V22:$AE22=Y22)*($V$2:$AE$2&lt;Y$2))),2))))</f>
      </c>
      <c r="AJ22" s="33">
        <f>IF(Z22&lt;=0,0,MAX(0,MIN(Z22,ROUND($AZ22-SUMPRODUCT($V22:$AE22*($V22:$AE22&gt;0)*(($V$3:$AE$3&gt;Z$3)+($V$3:$AE$3=Z$3)*($V22:$AE22&lt;Z22)+($V$3:$AE$3=Z$3)*($V22:$AE22=Z22)*($V$2:$AE$2&lt;Z$2))),2))))</f>
      </c>
      <c r="AK22" s="33">
        <f>IF(AA22&lt;=0,0,MAX(0,MIN(AA22,ROUND($AZ22-SUMPRODUCT($V22:$AE22*($V22:$AE22&gt;0)*(($V$3:$AE$3&gt;AA$3)+($V$3:$AE$3=AA$3)*($V22:$AE22&lt;AA22)+($V$3:$AE$3=AA$3)*($V22:$AE22=AA22)*($V$2:$AE$2&lt;AA$2))),2))))</f>
      </c>
      <c r="AL22" s="33">
        <f>IF(AB22&lt;=0,0,MAX(0,MIN(AB22,ROUND($AZ22-SUMPRODUCT($V22:$AE22*($V22:$AE22&gt;0)*(($V$3:$AE$3&gt;AB$3)+($V$3:$AE$3=AB$3)*($V22:$AE22&lt;AB22)+($V$3:$AE$3=AB$3)*($V22:$AE22=AB22)*($V$2:$AE$2&lt;AB$2))),2))))</f>
      </c>
      <c r="AM22" s="33">
        <f>IF(AC22&lt;=0,0,MAX(0,MIN(AC22,ROUND($AZ22-SUMPRODUCT($V22:$AE22*($V22:$AE22&gt;0)*(($V$3:$AE$3&gt;AC$3)+($V$3:$AE$3=AC$3)*($V22:$AE22&lt;AC22)+($V$3:$AE$3=AC$3)*($V22:$AE22=AC22)*($V$2:$AE$2&lt;AC$2))),2))))</f>
      </c>
      <c r="AN22" s="33">
        <f>IF(AD22&lt;=0,0,MAX(0,MIN(AD22,ROUND($AZ22-SUMPRODUCT($V22:$AE22*($V22:$AE22&gt;0)*(($V$3:$AE$3&gt;AD$3)+($V$3:$AE$3=AD$3)*($V22:$AE22&lt;AD22)+($V$3:$AE$3=AD$3)*($V22:$AE22=AD22)*($V$2:$AE$2&lt;AD$2))),2))))</f>
      </c>
      <c r="AO22" s="33">
        <f>IF(AE22&lt;=0,0,MAX(0,MIN(AE22,ROUND($AZ22-SUMPRODUCT($V22:$AE22*($V22:$AE22&gt;0)*(($V$3:$AE$3&gt;AE$3)+($V$3:$AE$3=AE$3)*($V22:$AE22&lt;AE22)+($V$3:$AE$3=AE$3)*($V22:$AE22=AE22)*($V$2:$AE$2&lt;AE$2))),2))))</f>
      </c>
      <c r="AP22" s="33">
        <f>ROUND(V22-AF22,2)</f>
      </c>
      <c r="AQ22" s="33">
        <f>ROUND(W22-AG22,2)</f>
      </c>
      <c r="AR22" s="33">
        <f>ROUND(X22-AH22,2)</f>
      </c>
      <c r="AS22" s="33">
        <f>ROUND(Y22-AI22,2)</f>
      </c>
      <c r="AT22" s="33">
        <f>ROUND(Z22-AJ22,2)</f>
      </c>
      <c r="AU22" s="33">
        <f>ROUND(AA22-AK22,2)</f>
      </c>
      <c r="AV22" s="33">
        <f>ROUND(AB22-AL22,2)</f>
      </c>
      <c r="AW22" s="33">
        <f>ROUND(AC22-AM22,2)</f>
      </c>
      <c r="AX22" s="33">
        <f>ROUND(AD22-AN22,2)</f>
      </c>
      <c r="AY22" s="33">
        <f>ROUND(AE22-AO22,2)</f>
      </c>
      <c r="AZ22" s="33">
        <f>ROUND(MAX(0,'Your debts'!$D$22-SUM($L22:$U22)),2)</f>
      </c>
      <c r="BA22" s="33">
        <f>ROUND(SUM($B22:$K22)-SUM($AP21:$AY21),2)</f>
      </c>
      <c r="BB22" s="33">
        <f>SUM($AP22:$AY22)</f>
      </c>
      <c r="BC22" s="33">
        <f>ROUND(SUM($L22:$U22)+SUM($AF22:$AO22),2)</f>
      </c>
    </row>
    <row r="23" spans="1:55" x14ac:dyDescent="0.25">
      <c r="A23">
        <v>16</v>
      </c>
      <c r="B23" s="33">
        <f>IF(AP22&lt;=0,0,ROUND(AP22+ROUND(AP22*V$3/12,2),2))</f>
      </c>
      <c r="C23" s="33">
        <f>IF(AQ22&lt;=0,0,ROUND(AQ22+ROUND(AQ22*W$3/12,2),2))</f>
      </c>
      <c r="D23" s="33">
        <f>IF(AR22&lt;=0,0,ROUND(AR22+ROUND(AR22*X$3/12,2),2))</f>
      </c>
      <c r="E23" s="33">
        <f>IF(AS22&lt;=0,0,ROUND(AS22+ROUND(AS22*Y$3/12,2),2))</f>
      </c>
      <c r="F23" s="33">
        <f>IF(AT22&lt;=0,0,ROUND(AT22+ROUND(AT22*Z$3/12,2),2))</f>
      </c>
      <c r="G23" s="33">
        <f>IF(AU22&lt;=0,0,ROUND(AU22+ROUND(AU22*AA$3/12,2),2))</f>
      </c>
      <c r="H23" s="33">
        <f>IF(AV22&lt;=0,0,ROUND(AV22+ROUND(AV22*AB$3/12,2),2))</f>
      </c>
      <c r="I23" s="33">
        <f>IF(AW22&lt;=0,0,ROUND(AW22+ROUND(AW22*AC$3/12,2),2))</f>
      </c>
      <c r="J23" s="33">
        <f>IF(AX22&lt;=0,0,ROUND(AX22+ROUND(AX22*AD$3/12,2),2))</f>
      </c>
      <c r="K23" s="33">
        <f>IF(AY22&lt;=0,0,ROUND(AY22+ROUND(AY22*AE$3/12,2),2))</f>
      </c>
      <c r="L23" s="33">
        <f>ROUND(MIN(MAX(0,N('Your debts'!$E$6)),B23),2)</f>
      </c>
      <c r="M23" s="33">
        <f>ROUND(MIN(MAX(0,N('Your debts'!$E$7)),C23),2)</f>
      </c>
      <c r="N23" s="33">
        <f>ROUND(MIN(MAX(0,N('Your debts'!$E$8)),D23),2)</f>
      </c>
      <c r="O23" s="33">
        <f>ROUND(MIN(MAX(0,N('Your debts'!$E$9)),E23),2)</f>
      </c>
      <c r="P23" s="33">
        <f>ROUND(MIN(MAX(0,N('Your debts'!$E$10)),F23),2)</f>
      </c>
      <c r="Q23" s="33">
        <f>ROUND(MIN(MAX(0,N('Your debts'!$E$11)),G23),2)</f>
      </c>
      <c r="R23" s="33">
        <f>ROUND(MIN(MAX(0,N('Your debts'!$E$12)),H23),2)</f>
      </c>
      <c r="S23" s="33">
        <f>ROUND(MIN(MAX(0,N('Your debts'!$E$13)),I23),2)</f>
      </c>
      <c r="T23" s="33">
        <f>ROUND(MIN(MAX(0,N('Your debts'!$E$14)),J23),2)</f>
      </c>
      <c r="U23" s="33">
        <f>ROUND(MIN(MAX(0,N('Your debts'!$E$15)),K23),2)</f>
      </c>
      <c r="V23" s="33">
        <f>ROUND(B23-L23,2)</f>
      </c>
      <c r="W23" s="33">
        <f>ROUND(C23-M23,2)</f>
      </c>
      <c r="X23" s="33">
        <f>ROUND(D23-N23,2)</f>
      </c>
      <c r="Y23" s="33">
        <f>ROUND(E23-O23,2)</f>
      </c>
      <c r="Z23" s="33">
        <f>ROUND(F23-P23,2)</f>
      </c>
      <c r="AA23" s="33">
        <f>ROUND(G23-Q23,2)</f>
      </c>
      <c r="AB23" s="33">
        <f>ROUND(H23-R23,2)</f>
      </c>
      <c r="AC23" s="33">
        <f>ROUND(I23-S23,2)</f>
      </c>
      <c r="AD23" s="33">
        <f>ROUND(J23-T23,2)</f>
      </c>
      <c r="AE23" s="33">
        <f>ROUND(K23-U23,2)</f>
      </c>
      <c r="AF23" s="33">
        <f>IF(V23&lt;=0,0,MAX(0,MIN(V23,ROUND($AZ23-SUMPRODUCT($V23:$AE23*($V23:$AE23&gt;0)*(($V$3:$AE$3&gt;V$3)+($V$3:$AE$3=V$3)*($V23:$AE23&lt;V23)+($V$3:$AE$3=V$3)*($V23:$AE23=V23)*($V$2:$AE$2&lt;V$2))),2))))</f>
      </c>
      <c r="AG23" s="33">
        <f>IF(W23&lt;=0,0,MAX(0,MIN(W23,ROUND($AZ23-SUMPRODUCT($V23:$AE23*($V23:$AE23&gt;0)*(($V$3:$AE$3&gt;W$3)+($V$3:$AE$3=W$3)*($V23:$AE23&lt;W23)+($V$3:$AE$3=W$3)*($V23:$AE23=W23)*($V$2:$AE$2&lt;W$2))),2))))</f>
      </c>
      <c r="AH23" s="33">
        <f>IF(X23&lt;=0,0,MAX(0,MIN(X23,ROUND($AZ23-SUMPRODUCT($V23:$AE23*($V23:$AE23&gt;0)*(($V$3:$AE$3&gt;X$3)+($V$3:$AE$3=X$3)*($V23:$AE23&lt;X23)+($V$3:$AE$3=X$3)*($V23:$AE23=X23)*($V$2:$AE$2&lt;X$2))),2))))</f>
      </c>
      <c r="AI23" s="33">
        <f>IF(Y23&lt;=0,0,MAX(0,MIN(Y23,ROUND($AZ23-SUMPRODUCT($V23:$AE23*($V23:$AE23&gt;0)*(($V$3:$AE$3&gt;Y$3)+($V$3:$AE$3=Y$3)*($V23:$AE23&lt;Y23)+($V$3:$AE$3=Y$3)*($V23:$AE23=Y23)*($V$2:$AE$2&lt;Y$2))),2))))</f>
      </c>
      <c r="AJ23" s="33">
        <f>IF(Z23&lt;=0,0,MAX(0,MIN(Z23,ROUND($AZ23-SUMPRODUCT($V23:$AE23*($V23:$AE23&gt;0)*(($V$3:$AE$3&gt;Z$3)+($V$3:$AE$3=Z$3)*($V23:$AE23&lt;Z23)+($V$3:$AE$3=Z$3)*($V23:$AE23=Z23)*($V$2:$AE$2&lt;Z$2))),2))))</f>
      </c>
      <c r="AK23" s="33">
        <f>IF(AA23&lt;=0,0,MAX(0,MIN(AA23,ROUND($AZ23-SUMPRODUCT($V23:$AE23*($V23:$AE23&gt;0)*(($V$3:$AE$3&gt;AA$3)+($V$3:$AE$3=AA$3)*($V23:$AE23&lt;AA23)+($V$3:$AE$3=AA$3)*($V23:$AE23=AA23)*($V$2:$AE$2&lt;AA$2))),2))))</f>
      </c>
      <c r="AL23" s="33">
        <f>IF(AB23&lt;=0,0,MAX(0,MIN(AB23,ROUND($AZ23-SUMPRODUCT($V23:$AE23*($V23:$AE23&gt;0)*(($V$3:$AE$3&gt;AB$3)+($V$3:$AE$3=AB$3)*($V23:$AE23&lt;AB23)+($V$3:$AE$3=AB$3)*($V23:$AE23=AB23)*($V$2:$AE$2&lt;AB$2))),2))))</f>
      </c>
      <c r="AM23" s="33">
        <f>IF(AC23&lt;=0,0,MAX(0,MIN(AC23,ROUND($AZ23-SUMPRODUCT($V23:$AE23*($V23:$AE23&gt;0)*(($V$3:$AE$3&gt;AC$3)+($V$3:$AE$3=AC$3)*($V23:$AE23&lt;AC23)+($V$3:$AE$3=AC$3)*($V23:$AE23=AC23)*($V$2:$AE$2&lt;AC$2))),2))))</f>
      </c>
      <c r="AN23" s="33">
        <f>IF(AD23&lt;=0,0,MAX(0,MIN(AD23,ROUND($AZ23-SUMPRODUCT($V23:$AE23*($V23:$AE23&gt;0)*(($V$3:$AE$3&gt;AD$3)+($V$3:$AE$3=AD$3)*($V23:$AE23&lt;AD23)+($V$3:$AE$3=AD$3)*($V23:$AE23=AD23)*($V$2:$AE$2&lt;AD$2))),2))))</f>
      </c>
      <c r="AO23" s="33">
        <f>IF(AE23&lt;=0,0,MAX(0,MIN(AE23,ROUND($AZ23-SUMPRODUCT($V23:$AE23*($V23:$AE23&gt;0)*(($V$3:$AE$3&gt;AE$3)+($V$3:$AE$3=AE$3)*($V23:$AE23&lt;AE23)+($V$3:$AE$3=AE$3)*($V23:$AE23=AE23)*($V$2:$AE$2&lt;AE$2))),2))))</f>
      </c>
      <c r="AP23" s="33">
        <f>ROUND(V23-AF23,2)</f>
      </c>
      <c r="AQ23" s="33">
        <f>ROUND(W23-AG23,2)</f>
      </c>
      <c r="AR23" s="33">
        <f>ROUND(X23-AH23,2)</f>
      </c>
      <c r="AS23" s="33">
        <f>ROUND(Y23-AI23,2)</f>
      </c>
      <c r="AT23" s="33">
        <f>ROUND(Z23-AJ23,2)</f>
      </c>
      <c r="AU23" s="33">
        <f>ROUND(AA23-AK23,2)</f>
      </c>
      <c r="AV23" s="33">
        <f>ROUND(AB23-AL23,2)</f>
      </c>
      <c r="AW23" s="33">
        <f>ROUND(AC23-AM23,2)</f>
      </c>
      <c r="AX23" s="33">
        <f>ROUND(AD23-AN23,2)</f>
      </c>
      <c r="AY23" s="33">
        <f>ROUND(AE23-AO23,2)</f>
      </c>
      <c r="AZ23" s="33">
        <f>ROUND(MAX(0,'Your debts'!$D$22-SUM($L23:$U23)),2)</f>
      </c>
      <c r="BA23" s="33">
        <f>ROUND(SUM($B23:$K23)-SUM($AP22:$AY22),2)</f>
      </c>
      <c r="BB23" s="33">
        <f>SUM($AP23:$AY23)</f>
      </c>
      <c r="BC23" s="33">
        <f>ROUND(SUM($L23:$U23)+SUM($AF23:$AO23),2)</f>
      </c>
    </row>
    <row r="24" spans="1:55" x14ac:dyDescent="0.25">
      <c r="A24">
        <v>17</v>
      </c>
      <c r="B24" s="33">
        <f>IF(AP23&lt;=0,0,ROUND(AP23+ROUND(AP23*V$3/12,2),2))</f>
      </c>
      <c r="C24" s="33">
        <f>IF(AQ23&lt;=0,0,ROUND(AQ23+ROUND(AQ23*W$3/12,2),2))</f>
      </c>
      <c r="D24" s="33">
        <f>IF(AR23&lt;=0,0,ROUND(AR23+ROUND(AR23*X$3/12,2),2))</f>
      </c>
      <c r="E24" s="33">
        <f>IF(AS23&lt;=0,0,ROUND(AS23+ROUND(AS23*Y$3/12,2),2))</f>
      </c>
      <c r="F24" s="33">
        <f>IF(AT23&lt;=0,0,ROUND(AT23+ROUND(AT23*Z$3/12,2),2))</f>
      </c>
      <c r="G24" s="33">
        <f>IF(AU23&lt;=0,0,ROUND(AU23+ROUND(AU23*AA$3/12,2),2))</f>
      </c>
      <c r="H24" s="33">
        <f>IF(AV23&lt;=0,0,ROUND(AV23+ROUND(AV23*AB$3/12,2),2))</f>
      </c>
      <c r="I24" s="33">
        <f>IF(AW23&lt;=0,0,ROUND(AW23+ROUND(AW23*AC$3/12,2),2))</f>
      </c>
      <c r="J24" s="33">
        <f>IF(AX23&lt;=0,0,ROUND(AX23+ROUND(AX23*AD$3/12,2),2))</f>
      </c>
      <c r="K24" s="33">
        <f>IF(AY23&lt;=0,0,ROUND(AY23+ROUND(AY23*AE$3/12,2),2))</f>
      </c>
      <c r="L24" s="33">
        <f>ROUND(MIN(MAX(0,N('Your debts'!$E$6)),B24),2)</f>
      </c>
      <c r="M24" s="33">
        <f>ROUND(MIN(MAX(0,N('Your debts'!$E$7)),C24),2)</f>
      </c>
      <c r="N24" s="33">
        <f>ROUND(MIN(MAX(0,N('Your debts'!$E$8)),D24),2)</f>
      </c>
      <c r="O24" s="33">
        <f>ROUND(MIN(MAX(0,N('Your debts'!$E$9)),E24),2)</f>
      </c>
      <c r="P24" s="33">
        <f>ROUND(MIN(MAX(0,N('Your debts'!$E$10)),F24),2)</f>
      </c>
      <c r="Q24" s="33">
        <f>ROUND(MIN(MAX(0,N('Your debts'!$E$11)),G24),2)</f>
      </c>
      <c r="R24" s="33">
        <f>ROUND(MIN(MAX(0,N('Your debts'!$E$12)),H24),2)</f>
      </c>
      <c r="S24" s="33">
        <f>ROUND(MIN(MAX(0,N('Your debts'!$E$13)),I24),2)</f>
      </c>
      <c r="T24" s="33">
        <f>ROUND(MIN(MAX(0,N('Your debts'!$E$14)),J24),2)</f>
      </c>
      <c r="U24" s="33">
        <f>ROUND(MIN(MAX(0,N('Your debts'!$E$15)),K24),2)</f>
      </c>
      <c r="V24" s="33">
        <f>ROUND(B24-L24,2)</f>
      </c>
      <c r="W24" s="33">
        <f>ROUND(C24-M24,2)</f>
      </c>
      <c r="X24" s="33">
        <f>ROUND(D24-N24,2)</f>
      </c>
      <c r="Y24" s="33">
        <f>ROUND(E24-O24,2)</f>
      </c>
      <c r="Z24" s="33">
        <f>ROUND(F24-P24,2)</f>
      </c>
      <c r="AA24" s="33">
        <f>ROUND(G24-Q24,2)</f>
      </c>
      <c r="AB24" s="33">
        <f>ROUND(H24-R24,2)</f>
      </c>
      <c r="AC24" s="33">
        <f>ROUND(I24-S24,2)</f>
      </c>
      <c r="AD24" s="33">
        <f>ROUND(J24-T24,2)</f>
      </c>
      <c r="AE24" s="33">
        <f>ROUND(K24-U24,2)</f>
      </c>
      <c r="AF24" s="33">
        <f>IF(V24&lt;=0,0,MAX(0,MIN(V24,ROUND($AZ24-SUMPRODUCT($V24:$AE24*($V24:$AE24&gt;0)*(($V$3:$AE$3&gt;V$3)+($V$3:$AE$3=V$3)*($V24:$AE24&lt;V24)+($V$3:$AE$3=V$3)*($V24:$AE24=V24)*($V$2:$AE$2&lt;V$2))),2))))</f>
      </c>
      <c r="AG24" s="33">
        <f>IF(W24&lt;=0,0,MAX(0,MIN(W24,ROUND($AZ24-SUMPRODUCT($V24:$AE24*($V24:$AE24&gt;0)*(($V$3:$AE$3&gt;W$3)+($V$3:$AE$3=W$3)*($V24:$AE24&lt;W24)+($V$3:$AE$3=W$3)*($V24:$AE24=W24)*($V$2:$AE$2&lt;W$2))),2))))</f>
      </c>
      <c r="AH24" s="33">
        <f>IF(X24&lt;=0,0,MAX(0,MIN(X24,ROUND($AZ24-SUMPRODUCT($V24:$AE24*($V24:$AE24&gt;0)*(($V$3:$AE$3&gt;X$3)+($V$3:$AE$3=X$3)*($V24:$AE24&lt;X24)+($V$3:$AE$3=X$3)*($V24:$AE24=X24)*($V$2:$AE$2&lt;X$2))),2))))</f>
      </c>
      <c r="AI24" s="33">
        <f>IF(Y24&lt;=0,0,MAX(0,MIN(Y24,ROUND($AZ24-SUMPRODUCT($V24:$AE24*($V24:$AE24&gt;0)*(($V$3:$AE$3&gt;Y$3)+($V$3:$AE$3=Y$3)*($V24:$AE24&lt;Y24)+($V$3:$AE$3=Y$3)*($V24:$AE24=Y24)*($V$2:$AE$2&lt;Y$2))),2))))</f>
      </c>
      <c r="AJ24" s="33">
        <f>IF(Z24&lt;=0,0,MAX(0,MIN(Z24,ROUND($AZ24-SUMPRODUCT($V24:$AE24*($V24:$AE24&gt;0)*(($V$3:$AE$3&gt;Z$3)+($V$3:$AE$3=Z$3)*($V24:$AE24&lt;Z24)+($V$3:$AE$3=Z$3)*($V24:$AE24=Z24)*($V$2:$AE$2&lt;Z$2))),2))))</f>
      </c>
      <c r="AK24" s="33">
        <f>IF(AA24&lt;=0,0,MAX(0,MIN(AA24,ROUND($AZ24-SUMPRODUCT($V24:$AE24*($V24:$AE24&gt;0)*(($V$3:$AE$3&gt;AA$3)+($V$3:$AE$3=AA$3)*($V24:$AE24&lt;AA24)+($V$3:$AE$3=AA$3)*($V24:$AE24=AA24)*($V$2:$AE$2&lt;AA$2))),2))))</f>
      </c>
      <c r="AL24" s="33">
        <f>IF(AB24&lt;=0,0,MAX(0,MIN(AB24,ROUND($AZ24-SUMPRODUCT($V24:$AE24*($V24:$AE24&gt;0)*(($V$3:$AE$3&gt;AB$3)+($V$3:$AE$3=AB$3)*($V24:$AE24&lt;AB24)+($V$3:$AE$3=AB$3)*($V24:$AE24=AB24)*($V$2:$AE$2&lt;AB$2))),2))))</f>
      </c>
      <c r="AM24" s="33">
        <f>IF(AC24&lt;=0,0,MAX(0,MIN(AC24,ROUND($AZ24-SUMPRODUCT($V24:$AE24*($V24:$AE24&gt;0)*(($V$3:$AE$3&gt;AC$3)+($V$3:$AE$3=AC$3)*($V24:$AE24&lt;AC24)+($V$3:$AE$3=AC$3)*($V24:$AE24=AC24)*($V$2:$AE$2&lt;AC$2))),2))))</f>
      </c>
      <c r="AN24" s="33">
        <f>IF(AD24&lt;=0,0,MAX(0,MIN(AD24,ROUND($AZ24-SUMPRODUCT($V24:$AE24*($V24:$AE24&gt;0)*(($V$3:$AE$3&gt;AD$3)+($V$3:$AE$3=AD$3)*($V24:$AE24&lt;AD24)+($V$3:$AE$3=AD$3)*($V24:$AE24=AD24)*($V$2:$AE$2&lt;AD$2))),2))))</f>
      </c>
      <c r="AO24" s="33">
        <f>IF(AE24&lt;=0,0,MAX(0,MIN(AE24,ROUND($AZ24-SUMPRODUCT($V24:$AE24*($V24:$AE24&gt;0)*(($V$3:$AE$3&gt;AE$3)+($V$3:$AE$3=AE$3)*($V24:$AE24&lt;AE24)+($V$3:$AE$3=AE$3)*($V24:$AE24=AE24)*($V$2:$AE$2&lt;AE$2))),2))))</f>
      </c>
      <c r="AP24" s="33">
        <f>ROUND(V24-AF24,2)</f>
      </c>
      <c r="AQ24" s="33">
        <f>ROUND(W24-AG24,2)</f>
      </c>
      <c r="AR24" s="33">
        <f>ROUND(X24-AH24,2)</f>
      </c>
      <c r="AS24" s="33">
        <f>ROUND(Y24-AI24,2)</f>
      </c>
      <c r="AT24" s="33">
        <f>ROUND(Z24-AJ24,2)</f>
      </c>
      <c r="AU24" s="33">
        <f>ROUND(AA24-AK24,2)</f>
      </c>
      <c r="AV24" s="33">
        <f>ROUND(AB24-AL24,2)</f>
      </c>
      <c r="AW24" s="33">
        <f>ROUND(AC24-AM24,2)</f>
      </c>
      <c r="AX24" s="33">
        <f>ROUND(AD24-AN24,2)</f>
      </c>
      <c r="AY24" s="33">
        <f>ROUND(AE24-AO24,2)</f>
      </c>
      <c r="AZ24" s="33">
        <f>ROUND(MAX(0,'Your debts'!$D$22-SUM($L24:$U24)),2)</f>
      </c>
      <c r="BA24" s="33">
        <f>ROUND(SUM($B24:$K24)-SUM($AP23:$AY23),2)</f>
      </c>
      <c r="BB24" s="33">
        <f>SUM($AP24:$AY24)</f>
      </c>
      <c r="BC24" s="33">
        <f>ROUND(SUM($L24:$U24)+SUM($AF24:$AO24),2)</f>
      </c>
    </row>
    <row r="25" spans="1:55" x14ac:dyDescent="0.25">
      <c r="A25">
        <v>18</v>
      </c>
      <c r="B25" s="33">
        <f>IF(AP24&lt;=0,0,ROUND(AP24+ROUND(AP24*V$3/12,2),2))</f>
      </c>
      <c r="C25" s="33">
        <f>IF(AQ24&lt;=0,0,ROUND(AQ24+ROUND(AQ24*W$3/12,2),2))</f>
      </c>
      <c r="D25" s="33">
        <f>IF(AR24&lt;=0,0,ROUND(AR24+ROUND(AR24*X$3/12,2),2))</f>
      </c>
      <c r="E25" s="33">
        <f>IF(AS24&lt;=0,0,ROUND(AS24+ROUND(AS24*Y$3/12,2),2))</f>
      </c>
      <c r="F25" s="33">
        <f>IF(AT24&lt;=0,0,ROUND(AT24+ROUND(AT24*Z$3/12,2),2))</f>
      </c>
      <c r="G25" s="33">
        <f>IF(AU24&lt;=0,0,ROUND(AU24+ROUND(AU24*AA$3/12,2),2))</f>
      </c>
      <c r="H25" s="33">
        <f>IF(AV24&lt;=0,0,ROUND(AV24+ROUND(AV24*AB$3/12,2),2))</f>
      </c>
      <c r="I25" s="33">
        <f>IF(AW24&lt;=0,0,ROUND(AW24+ROUND(AW24*AC$3/12,2),2))</f>
      </c>
      <c r="J25" s="33">
        <f>IF(AX24&lt;=0,0,ROUND(AX24+ROUND(AX24*AD$3/12,2),2))</f>
      </c>
      <c r="K25" s="33">
        <f>IF(AY24&lt;=0,0,ROUND(AY24+ROUND(AY24*AE$3/12,2),2))</f>
      </c>
      <c r="L25" s="33">
        <f>ROUND(MIN(MAX(0,N('Your debts'!$E$6)),B25),2)</f>
      </c>
      <c r="M25" s="33">
        <f>ROUND(MIN(MAX(0,N('Your debts'!$E$7)),C25),2)</f>
      </c>
      <c r="N25" s="33">
        <f>ROUND(MIN(MAX(0,N('Your debts'!$E$8)),D25),2)</f>
      </c>
      <c r="O25" s="33">
        <f>ROUND(MIN(MAX(0,N('Your debts'!$E$9)),E25),2)</f>
      </c>
      <c r="P25" s="33">
        <f>ROUND(MIN(MAX(0,N('Your debts'!$E$10)),F25),2)</f>
      </c>
      <c r="Q25" s="33">
        <f>ROUND(MIN(MAX(0,N('Your debts'!$E$11)),G25),2)</f>
      </c>
      <c r="R25" s="33">
        <f>ROUND(MIN(MAX(0,N('Your debts'!$E$12)),H25),2)</f>
      </c>
      <c r="S25" s="33">
        <f>ROUND(MIN(MAX(0,N('Your debts'!$E$13)),I25),2)</f>
      </c>
      <c r="T25" s="33">
        <f>ROUND(MIN(MAX(0,N('Your debts'!$E$14)),J25),2)</f>
      </c>
      <c r="U25" s="33">
        <f>ROUND(MIN(MAX(0,N('Your debts'!$E$15)),K25),2)</f>
      </c>
      <c r="V25" s="33">
        <f>ROUND(B25-L25,2)</f>
      </c>
      <c r="W25" s="33">
        <f>ROUND(C25-M25,2)</f>
      </c>
      <c r="X25" s="33">
        <f>ROUND(D25-N25,2)</f>
      </c>
      <c r="Y25" s="33">
        <f>ROUND(E25-O25,2)</f>
      </c>
      <c r="Z25" s="33">
        <f>ROUND(F25-P25,2)</f>
      </c>
      <c r="AA25" s="33">
        <f>ROUND(G25-Q25,2)</f>
      </c>
      <c r="AB25" s="33">
        <f>ROUND(H25-R25,2)</f>
      </c>
      <c r="AC25" s="33">
        <f>ROUND(I25-S25,2)</f>
      </c>
      <c r="AD25" s="33">
        <f>ROUND(J25-T25,2)</f>
      </c>
      <c r="AE25" s="33">
        <f>ROUND(K25-U25,2)</f>
      </c>
      <c r="AF25" s="33">
        <f>IF(V25&lt;=0,0,MAX(0,MIN(V25,ROUND($AZ25-SUMPRODUCT($V25:$AE25*($V25:$AE25&gt;0)*(($V$3:$AE$3&gt;V$3)+($V$3:$AE$3=V$3)*($V25:$AE25&lt;V25)+($V$3:$AE$3=V$3)*($V25:$AE25=V25)*($V$2:$AE$2&lt;V$2))),2))))</f>
      </c>
      <c r="AG25" s="33">
        <f>IF(W25&lt;=0,0,MAX(0,MIN(W25,ROUND($AZ25-SUMPRODUCT($V25:$AE25*($V25:$AE25&gt;0)*(($V$3:$AE$3&gt;W$3)+($V$3:$AE$3=W$3)*($V25:$AE25&lt;W25)+($V$3:$AE$3=W$3)*($V25:$AE25=W25)*($V$2:$AE$2&lt;W$2))),2))))</f>
      </c>
      <c r="AH25" s="33">
        <f>IF(X25&lt;=0,0,MAX(0,MIN(X25,ROUND($AZ25-SUMPRODUCT($V25:$AE25*($V25:$AE25&gt;0)*(($V$3:$AE$3&gt;X$3)+($V$3:$AE$3=X$3)*($V25:$AE25&lt;X25)+($V$3:$AE$3=X$3)*($V25:$AE25=X25)*($V$2:$AE$2&lt;X$2))),2))))</f>
      </c>
      <c r="AI25" s="33">
        <f>IF(Y25&lt;=0,0,MAX(0,MIN(Y25,ROUND($AZ25-SUMPRODUCT($V25:$AE25*($V25:$AE25&gt;0)*(($V$3:$AE$3&gt;Y$3)+($V$3:$AE$3=Y$3)*($V25:$AE25&lt;Y25)+($V$3:$AE$3=Y$3)*($V25:$AE25=Y25)*($V$2:$AE$2&lt;Y$2))),2))))</f>
      </c>
      <c r="AJ25" s="33">
        <f>IF(Z25&lt;=0,0,MAX(0,MIN(Z25,ROUND($AZ25-SUMPRODUCT($V25:$AE25*($V25:$AE25&gt;0)*(($V$3:$AE$3&gt;Z$3)+($V$3:$AE$3=Z$3)*($V25:$AE25&lt;Z25)+($V$3:$AE$3=Z$3)*($V25:$AE25=Z25)*($V$2:$AE$2&lt;Z$2))),2))))</f>
      </c>
      <c r="AK25" s="33">
        <f>IF(AA25&lt;=0,0,MAX(0,MIN(AA25,ROUND($AZ25-SUMPRODUCT($V25:$AE25*($V25:$AE25&gt;0)*(($V$3:$AE$3&gt;AA$3)+($V$3:$AE$3=AA$3)*($V25:$AE25&lt;AA25)+($V$3:$AE$3=AA$3)*($V25:$AE25=AA25)*($V$2:$AE$2&lt;AA$2))),2))))</f>
      </c>
      <c r="AL25" s="33">
        <f>IF(AB25&lt;=0,0,MAX(0,MIN(AB25,ROUND($AZ25-SUMPRODUCT($V25:$AE25*($V25:$AE25&gt;0)*(($V$3:$AE$3&gt;AB$3)+($V$3:$AE$3=AB$3)*($V25:$AE25&lt;AB25)+($V$3:$AE$3=AB$3)*($V25:$AE25=AB25)*($V$2:$AE$2&lt;AB$2))),2))))</f>
      </c>
      <c r="AM25" s="33">
        <f>IF(AC25&lt;=0,0,MAX(0,MIN(AC25,ROUND($AZ25-SUMPRODUCT($V25:$AE25*($V25:$AE25&gt;0)*(($V$3:$AE$3&gt;AC$3)+($V$3:$AE$3=AC$3)*($V25:$AE25&lt;AC25)+($V$3:$AE$3=AC$3)*($V25:$AE25=AC25)*($V$2:$AE$2&lt;AC$2))),2))))</f>
      </c>
      <c r="AN25" s="33">
        <f>IF(AD25&lt;=0,0,MAX(0,MIN(AD25,ROUND($AZ25-SUMPRODUCT($V25:$AE25*($V25:$AE25&gt;0)*(($V$3:$AE$3&gt;AD$3)+($V$3:$AE$3=AD$3)*($V25:$AE25&lt;AD25)+($V$3:$AE$3=AD$3)*($V25:$AE25=AD25)*($V$2:$AE$2&lt;AD$2))),2))))</f>
      </c>
      <c r="AO25" s="33">
        <f>IF(AE25&lt;=0,0,MAX(0,MIN(AE25,ROUND($AZ25-SUMPRODUCT($V25:$AE25*($V25:$AE25&gt;0)*(($V$3:$AE$3&gt;AE$3)+($V$3:$AE$3=AE$3)*($V25:$AE25&lt;AE25)+($V$3:$AE$3=AE$3)*($V25:$AE25=AE25)*($V$2:$AE$2&lt;AE$2))),2))))</f>
      </c>
      <c r="AP25" s="33">
        <f>ROUND(V25-AF25,2)</f>
      </c>
      <c r="AQ25" s="33">
        <f>ROUND(W25-AG25,2)</f>
      </c>
      <c r="AR25" s="33">
        <f>ROUND(X25-AH25,2)</f>
      </c>
      <c r="AS25" s="33">
        <f>ROUND(Y25-AI25,2)</f>
      </c>
      <c r="AT25" s="33">
        <f>ROUND(Z25-AJ25,2)</f>
      </c>
      <c r="AU25" s="33">
        <f>ROUND(AA25-AK25,2)</f>
      </c>
      <c r="AV25" s="33">
        <f>ROUND(AB25-AL25,2)</f>
      </c>
      <c r="AW25" s="33">
        <f>ROUND(AC25-AM25,2)</f>
      </c>
      <c r="AX25" s="33">
        <f>ROUND(AD25-AN25,2)</f>
      </c>
      <c r="AY25" s="33">
        <f>ROUND(AE25-AO25,2)</f>
      </c>
      <c r="AZ25" s="33">
        <f>ROUND(MAX(0,'Your debts'!$D$22-SUM($L25:$U25)),2)</f>
      </c>
      <c r="BA25" s="33">
        <f>ROUND(SUM($B25:$K25)-SUM($AP24:$AY24),2)</f>
      </c>
      <c r="BB25" s="33">
        <f>SUM($AP25:$AY25)</f>
      </c>
      <c r="BC25" s="33">
        <f>ROUND(SUM($L25:$U25)+SUM($AF25:$AO25),2)</f>
      </c>
    </row>
    <row r="26" spans="1:55" x14ac:dyDescent="0.25">
      <c r="A26">
        <v>19</v>
      </c>
      <c r="B26" s="33">
        <f>IF(AP25&lt;=0,0,ROUND(AP25+ROUND(AP25*V$3/12,2),2))</f>
      </c>
      <c r="C26" s="33">
        <f>IF(AQ25&lt;=0,0,ROUND(AQ25+ROUND(AQ25*W$3/12,2),2))</f>
      </c>
      <c r="D26" s="33">
        <f>IF(AR25&lt;=0,0,ROUND(AR25+ROUND(AR25*X$3/12,2),2))</f>
      </c>
      <c r="E26" s="33">
        <f>IF(AS25&lt;=0,0,ROUND(AS25+ROUND(AS25*Y$3/12,2),2))</f>
      </c>
      <c r="F26" s="33">
        <f>IF(AT25&lt;=0,0,ROUND(AT25+ROUND(AT25*Z$3/12,2),2))</f>
      </c>
      <c r="G26" s="33">
        <f>IF(AU25&lt;=0,0,ROUND(AU25+ROUND(AU25*AA$3/12,2),2))</f>
      </c>
      <c r="H26" s="33">
        <f>IF(AV25&lt;=0,0,ROUND(AV25+ROUND(AV25*AB$3/12,2),2))</f>
      </c>
      <c r="I26" s="33">
        <f>IF(AW25&lt;=0,0,ROUND(AW25+ROUND(AW25*AC$3/12,2),2))</f>
      </c>
      <c r="J26" s="33">
        <f>IF(AX25&lt;=0,0,ROUND(AX25+ROUND(AX25*AD$3/12,2),2))</f>
      </c>
      <c r="K26" s="33">
        <f>IF(AY25&lt;=0,0,ROUND(AY25+ROUND(AY25*AE$3/12,2),2))</f>
      </c>
      <c r="L26" s="33">
        <f>ROUND(MIN(MAX(0,N('Your debts'!$E$6)),B26),2)</f>
      </c>
      <c r="M26" s="33">
        <f>ROUND(MIN(MAX(0,N('Your debts'!$E$7)),C26),2)</f>
      </c>
      <c r="N26" s="33">
        <f>ROUND(MIN(MAX(0,N('Your debts'!$E$8)),D26),2)</f>
      </c>
      <c r="O26" s="33">
        <f>ROUND(MIN(MAX(0,N('Your debts'!$E$9)),E26),2)</f>
      </c>
      <c r="P26" s="33">
        <f>ROUND(MIN(MAX(0,N('Your debts'!$E$10)),F26),2)</f>
      </c>
      <c r="Q26" s="33">
        <f>ROUND(MIN(MAX(0,N('Your debts'!$E$11)),G26),2)</f>
      </c>
      <c r="R26" s="33">
        <f>ROUND(MIN(MAX(0,N('Your debts'!$E$12)),H26),2)</f>
      </c>
      <c r="S26" s="33">
        <f>ROUND(MIN(MAX(0,N('Your debts'!$E$13)),I26),2)</f>
      </c>
      <c r="T26" s="33">
        <f>ROUND(MIN(MAX(0,N('Your debts'!$E$14)),J26),2)</f>
      </c>
      <c r="U26" s="33">
        <f>ROUND(MIN(MAX(0,N('Your debts'!$E$15)),K26),2)</f>
      </c>
      <c r="V26" s="33">
        <f>ROUND(B26-L26,2)</f>
      </c>
      <c r="W26" s="33">
        <f>ROUND(C26-M26,2)</f>
      </c>
      <c r="X26" s="33">
        <f>ROUND(D26-N26,2)</f>
      </c>
      <c r="Y26" s="33">
        <f>ROUND(E26-O26,2)</f>
      </c>
      <c r="Z26" s="33">
        <f>ROUND(F26-P26,2)</f>
      </c>
      <c r="AA26" s="33">
        <f>ROUND(G26-Q26,2)</f>
      </c>
      <c r="AB26" s="33">
        <f>ROUND(H26-R26,2)</f>
      </c>
      <c r="AC26" s="33">
        <f>ROUND(I26-S26,2)</f>
      </c>
      <c r="AD26" s="33">
        <f>ROUND(J26-T26,2)</f>
      </c>
      <c r="AE26" s="33">
        <f>ROUND(K26-U26,2)</f>
      </c>
      <c r="AF26" s="33">
        <f>IF(V26&lt;=0,0,MAX(0,MIN(V26,ROUND($AZ26-SUMPRODUCT($V26:$AE26*($V26:$AE26&gt;0)*(($V$3:$AE$3&gt;V$3)+($V$3:$AE$3=V$3)*($V26:$AE26&lt;V26)+($V$3:$AE$3=V$3)*($V26:$AE26=V26)*($V$2:$AE$2&lt;V$2))),2))))</f>
      </c>
      <c r="AG26" s="33">
        <f>IF(W26&lt;=0,0,MAX(0,MIN(W26,ROUND($AZ26-SUMPRODUCT($V26:$AE26*($V26:$AE26&gt;0)*(($V$3:$AE$3&gt;W$3)+($V$3:$AE$3=W$3)*($V26:$AE26&lt;W26)+($V$3:$AE$3=W$3)*($V26:$AE26=W26)*($V$2:$AE$2&lt;W$2))),2))))</f>
      </c>
      <c r="AH26" s="33">
        <f>IF(X26&lt;=0,0,MAX(0,MIN(X26,ROUND($AZ26-SUMPRODUCT($V26:$AE26*($V26:$AE26&gt;0)*(($V$3:$AE$3&gt;X$3)+($V$3:$AE$3=X$3)*($V26:$AE26&lt;X26)+($V$3:$AE$3=X$3)*($V26:$AE26=X26)*($V$2:$AE$2&lt;X$2))),2))))</f>
      </c>
      <c r="AI26" s="33">
        <f>IF(Y26&lt;=0,0,MAX(0,MIN(Y26,ROUND($AZ26-SUMPRODUCT($V26:$AE26*($V26:$AE26&gt;0)*(($V$3:$AE$3&gt;Y$3)+($V$3:$AE$3=Y$3)*($V26:$AE26&lt;Y26)+($V$3:$AE$3=Y$3)*($V26:$AE26=Y26)*($V$2:$AE$2&lt;Y$2))),2))))</f>
      </c>
      <c r="AJ26" s="33">
        <f>IF(Z26&lt;=0,0,MAX(0,MIN(Z26,ROUND($AZ26-SUMPRODUCT($V26:$AE26*($V26:$AE26&gt;0)*(($V$3:$AE$3&gt;Z$3)+($V$3:$AE$3=Z$3)*($V26:$AE26&lt;Z26)+($V$3:$AE$3=Z$3)*($V26:$AE26=Z26)*($V$2:$AE$2&lt;Z$2))),2))))</f>
      </c>
      <c r="AK26" s="33">
        <f>IF(AA26&lt;=0,0,MAX(0,MIN(AA26,ROUND($AZ26-SUMPRODUCT($V26:$AE26*($V26:$AE26&gt;0)*(($V$3:$AE$3&gt;AA$3)+($V$3:$AE$3=AA$3)*($V26:$AE26&lt;AA26)+($V$3:$AE$3=AA$3)*($V26:$AE26=AA26)*($V$2:$AE$2&lt;AA$2))),2))))</f>
      </c>
      <c r="AL26" s="33">
        <f>IF(AB26&lt;=0,0,MAX(0,MIN(AB26,ROUND($AZ26-SUMPRODUCT($V26:$AE26*($V26:$AE26&gt;0)*(($V$3:$AE$3&gt;AB$3)+($V$3:$AE$3=AB$3)*($V26:$AE26&lt;AB26)+($V$3:$AE$3=AB$3)*($V26:$AE26=AB26)*($V$2:$AE$2&lt;AB$2))),2))))</f>
      </c>
      <c r="AM26" s="33">
        <f>IF(AC26&lt;=0,0,MAX(0,MIN(AC26,ROUND($AZ26-SUMPRODUCT($V26:$AE26*($V26:$AE26&gt;0)*(($V$3:$AE$3&gt;AC$3)+($V$3:$AE$3=AC$3)*($V26:$AE26&lt;AC26)+($V$3:$AE$3=AC$3)*($V26:$AE26=AC26)*($V$2:$AE$2&lt;AC$2))),2))))</f>
      </c>
      <c r="AN26" s="33">
        <f>IF(AD26&lt;=0,0,MAX(0,MIN(AD26,ROUND($AZ26-SUMPRODUCT($V26:$AE26*($V26:$AE26&gt;0)*(($V$3:$AE$3&gt;AD$3)+($V$3:$AE$3=AD$3)*($V26:$AE26&lt;AD26)+($V$3:$AE$3=AD$3)*($V26:$AE26=AD26)*($V$2:$AE$2&lt;AD$2))),2))))</f>
      </c>
      <c r="AO26" s="33">
        <f>IF(AE26&lt;=0,0,MAX(0,MIN(AE26,ROUND($AZ26-SUMPRODUCT($V26:$AE26*($V26:$AE26&gt;0)*(($V$3:$AE$3&gt;AE$3)+($V$3:$AE$3=AE$3)*($V26:$AE26&lt;AE26)+($V$3:$AE$3=AE$3)*($V26:$AE26=AE26)*($V$2:$AE$2&lt;AE$2))),2))))</f>
      </c>
      <c r="AP26" s="33">
        <f>ROUND(V26-AF26,2)</f>
      </c>
      <c r="AQ26" s="33">
        <f>ROUND(W26-AG26,2)</f>
      </c>
      <c r="AR26" s="33">
        <f>ROUND(X26-AH26,2)</f>
      </c>
      <c r="AS26" s="33">
        <f>ROUND(Y26-AI26,2)</f>
      </c>
      <c r="AT26" s="33">
        <f>ROUND(Z26-AJ26,2)</f>
      </c>
      <c r="AU26" s="33">
        <f>ROUND(AA26-AK26,2)</f>
      </c>
      <c r="AV26" s="33">
        <f>ROUND(AB26-AL26,2)</f>
      </c>
      <c r="AW26" s="33">
        <f>ROUND(AC26-AM26,2)</f>
      </c>
      <c r="AX26" s="33">
        <f>ROUND(AD26-AN26,2)</f>
      </c>
      <c r="AY26" s="33">
        <f>ROUND(AE26-AO26,2)</f>
      </c>
      <c r="AZ26" s="33">
        <f>ROUND(MAX(0,'Your debts'!$D$22-SUM($L26:$U26)),2)</f>
      </c>
      <c r="BA26" s="33">
        <f>ROUND(SUM($B26:$K26)-SUM($AP25:$AY25),2)</f>
      </c>
      <c r="BB26" s="33">
        <f>SUM($AP26:$AY26)</f>
      </c>
      <c r="BC26" s="33">
        <f>ROUND(SUM($L26:$U26)+SUM($AF26:$AO26),2)</f>
      </c>
    </row>
    <row r="27" spans="1:55" x14ac:dyDescent="0.25">
      <c r="A27">
        <v>20</v>
      </c>
      <c r="B27" s="33">
        <f>IF(AP26&lt;=0,0,ROUND(AP26+ROUND(AP26*V$3/12,2),2))</f>
      </c>
      <c r="C27" s="33">
        <f>IF(AQ26&lt;=0,0,ROUND(AQ26+ROUND(AQ26*W$3/12,2),2))</f>
      </c>
      <c r="D27" s="33">
        <f>IF(AR26&lt;=0,0,ROUND(AR26+ROUND(AR26*X$3/12,2),2))</f>
      </c>
      <c r="E27" s="33">
        <f>IF(AS26&lt;=0,0,ROUND(AS26+ROUND(AS26*Y$3/12,2),2))</f>
      </c>
      <c r="F27" s="33">
        <f>IF(AT26&lt;=0,0,ROUND(AT26+ROUND(AT26*Z$3/12,2),2))</f>
      </c>
      <c r="G27" s="33">
        <f>IF(AU26&lt;=0,0,ROUND(AU26+ROUND(AU26*AA$3/12,2),2))</f>
      </c>
      <c r="H27" s="33">
        <f>IF(AV26&lt;=0,0,ROUND(AV26+ROUND(AV26*AB$3/12,2),2))</f>
      </c>
      <c r="I27" s="33">
        <f>IF(AW26&lt;=0,0,ROUND(AW26+ROUND(AW26*AC$3/12,2),2))</f>
      </c>
      <c r="J27" s="33">
        <f>IF(AX26&lt;=0,0,ROUND(AX26+ROUND(AX26*AD$3/12,2),2))</f>
      </c>
      <c r="K27" s="33">
        <f>IF(AY26&lt;=0,0,ROUND(AY26+ROUND(AY26*AE$3/12,2),2))</f>
      </c>
      <c r="L27" s="33">
        <f>ROUND(MIN(MAX(0,N('Your debts'!$E$6)),B27),2)</f>
      </c>
      <c r="M27" s="33">
        <f>ROUND(MIN(MAX(0,N('Your debts'!$E$7)),C27),2)</f>
      </c>
      <c r="N27" s="33">
        <f>ROUND(MIN(MAX(0,N('Your debts'!$E$8)),D27),2)</f>
      </c>
      <c r="O27" s="33">
        <f>ROUND(MIN(MAX(0,N('Your debts'!$E$9)),E27),2)</f>
      </c>
      <c r="P27" s="33">
        <f>ROUND(MIN(MAX(0,N('Your debts'!$E$10)),F27),2)</f>
      </c>
      <c r="Q27" s="33">
        <f>ROUND(MIN(MAX(0,N('Your debts'!$E$11)),G27),2)</f>
      </c>
      <c r="R27" s="33">
        <f>ROUND(MIN(MAX(0,N('Your debts'!$E$12)),H27),2)</f>
      </c>
      <c r="S27" s="33">
        <f>ROUND(MIN(MAX(0,N('Your debts'!$E$13)),I27),2)</f>
      </c>
      <c r="T27" s="33">
        <f>ROUND(MIN(MAX(0,N('Your debts'!$E$14)),J27),2)</f>
      </c>
      <c r="U27" s="33">
        <f>ROUND(MIN(MAX(0,N('Your debts'!$E$15)),K27),2)</f>
      </c>
      <c r="V27" s="33">
        <f>ROUND(B27-L27,2)</f>
      </c>
      <c r="W27" s="33">
        <f>ROUND(C27-M27,2)</f>
      </c>
      <c r="X27" s="33">
        <f>ROUND(D27-N27,2)</f>
      </c>
      <c r="Y27" s="33">
        <f>ROUND(E27-O27,2)</f>
      </c>
      <c r="Z27" s="33">
        <f>ROUND(F27-P27,2)</f>
      </c>
      <c r="AA27" s="33">
        <f>ROUND(G27-Q27,2)</f>
      </c>
      <c r="AB27" s="33">
        <f>ROUND(H27-R27,2)</f>
      </c>
      <c r="AC27" s="33">
        <f>ROUND(I27-S27,2)</f>
      </c>
      <c r="AD27" s="33">
        <f>ROUND(J27-T27,2)</f>
      </c>
      <c r="AE27" s="33">
        <f>ROUND(K27-U27,2)</f>
      </c>
      <c r="AF27" s="33">
        <f>IF(V27&lt;=0,0,MAX(0,MIN(V27,ROUND($AZ27-SUMPRODUCT($V27:$AE27*($V27:$AE27&gt;0)*(($V$3:$AE$3&gt;V$3)+($V$3:$AE$3=V$3)*($V27:$AE27&lt;V27)+($V$3:$AE$3=V$3)*($V27:$AE27=V27)*($V$2:$AE$2&lt;V$2))),2))))</f>
      </c>
      <c r="AG27" s="33">
        <f>IF(W27&lt;=0,0,MAX(0,MIN(W27,ROUND($AZ27-SUMPRODUCT($V27:$AE27*($V27:$AE27&gt;0)*(($V$3:$AE$3&gt;W$3)+($V$3:$AE$3=W$3)*($V27:$AE27&lt;W27)+($V$3:$AE$3=W$3)*($V27:$AE27=W27)*($V$2:$AE$2&lt;W$2))),2))))</f>
      </c>
      <c r="AH27" s="33">
        <f>IF(X27&lt;=0,0,MAX(0,MIN(X27,ROUND($AZ27-SUMPRODUCT($V27:$AE27*($V27:$AE27&gt;0)*(($V$3:$AE$3&gt;X$3)+($V$3:$AE$3=X$3)*($V27:$AE27&lt;X27)+($V$3:$AE$3=X$3)*($V27:$AE27=X27)*($V$2:$AE$2&lt;X$2))),2))))</f>
      </c>
      <c r="AI27" s="33">
        <f>IF(Y27&lt;=0,0,MAX(0,MIN(Y27,ROUND($AZ27-SUMPRODUCT($V27:$AE27*($V27:$AE27&gt;0)*(($V$3:$AE$3&gt;Y$3)+($V$3:$AE$3=Y$3)*($V27:$AE27&lt;Y27)+($V$3:$AE$3=Y$3)*($V27:$AE27=Y27)*($V$2:$AE$2&lt;Y$2))),2))))</f>
      </c>
      <c r="AJ27" s="33">
        <f>IF(Z27&lt;=0,0,MAX(0,MIN(Z27,ROUND($AZ27-SUMPRODUCT($V27:$AE27*($V27:$AE27&gt;0)*(($V$3:$AE$3&gt;Z$3)+($V$3:$AE$3=Z$3)*($V27:$AE27&lt;Z27)+($V$3:$AE$3=Z$3)*($V27:$AE27=Z27)*($V$2:$AE$2&lt;Z$2))),2))))</f>
      </c>
      <c r="AK27" s="33">
        <f>IF(AA27&lt;=0,0,MAX(0,MIN(AA27,ROUND($AZ27-SUMPRODUCT($V27:$AE27*($V27:$AE27&gt;0)*(($V$3:$AE$3&gt;AA$3)+($V$3:$AE$3=AA$3)*($V27:$AE27&lt;AA27)+($V$3:$AE$3=AA$3)*($V27:$AE27=AA27)*($V$2:$AE$2&lt;AA$2))),2))))</f>
      </c>
      <c r="AL27" s="33">
        <f>IF(AB27&lt;=0,0,MAX(0,MIN(AB27,ROUND($AZ27-SUMPRODUCT($V27:$AE27*($V27:$AE27&gt;0)*(($V$3:$AE$3&gt;AB$3)+($V$3:$AE$3=AB$3)*($V27:$AE27&lt;AB27)+($V$3:$AE$3=AB$3)*($V27:$AE27=AB27)*($V$2:$AE$2&lt;AB$2))),2))))</f>
      </c>
      <c r="AM27" s="33">
        <f>IF(AC27&lt;=0,0,MAX(0,MIN(AC27,ROUND($AZ27-SUMPRODUCT($V27:$AE27*($V27:$AE27&gt;0)*(($V$3:$AE$3&gt;AC$3)+($V$3:$AE$3=AC$3)*($V27:$AE27&lt;AC27)+($V$3:$AE$3=AC$3)*($V27:$AE27=AC27)*($V$2:$AE$2&lt;AC$2))),2))))</f>
      </c>
      <c r="AN27" s="33">
        <f>IF(AD27&lt;=0,0,MAX(0,MIN(AD27,ROUND($AZ27-SUMPRODUCT($V27:$AE27*($V27:$AE27&gt;0)*(($V$3:$AE$3&gt;AD$3)+($V$3:$AE$3=AD$3)*($V27:$AE27&lt;AD27)+($V$3:$AE$3=AD$3)*($V27:$AE27=AD27)*($V$2:$AE$2&lt;AD$2))),2))))</f>
      </c>
      <c r="AO27" s="33">
        <f>IF(AE27&lt;=0,0,MAX(0,MIN(AE27,ROUND($AZ27-SUMPRODUCT($V27:$AE27*($V27:$AE27&gt;0)*(($V$3:$AE$3&gt;AE$3)+($V$3:$AE$3=AE$3)*($V27:$AE27&lt;AE27)+($V$3:$AE$3=AE$3)*($V27:$AE27=AE27)*($V$2:$AE$2&lt;AE$2))),2))))</f>
      </c>
      <c r="AP27" s="33">
        <f>ROUND(V27-AF27,2)</f>
      </c>
      <c r="AQ27" s="33">
        <f>ROUND(W27-AG27,2)</f>
      </c>
      <c r="AR27" s="33">
        <f>ROUND(X27-AH27,2)</f>
      </c>
      <c r="AS27" s="33">
        <f>ROUND(Y27-AI27,2)</f>
      </c>
      <c r="AT27" s="33">
        <f>ROUND(Z27-AJ27,2)</f>
      </c>
      <c r="AU27" s="33">
        <f>ROUND(AA27-AK27,2)</f>
      </c>
      <c r="AV27" s="33">
        <f>ROUND(AB27-AL27,2)</f>
      </c>
      <c r="AW27" s="33">
        <f>ROUND(AC27-AM27,2)</f>
      </c>
      <c r="AX27" s="33">
        <f>ROUND(AD27-AN27,2)</f>
      </c>
      <c r="AY27" s="33">
        <f>ROUND(AE27-AO27,2)</f>
      </c>
      <c r="AZ27" s="33">
        <f>ROUND(MAX(0,'Your debts'!$D$22-SUM($L27:$U27)),2)</f>
      </c>
      <c r="BA27" s="33">
        <f>ROUND(SUM($B27:$K27)-SUM($AP26:$AY26),2)</f>
      </c>
      <c r="BB27" s="33">
        <f>SUM($AP27:$AY27)</f>
      </c>
      <c r="BC27" s="33">
        <f>ROUND(SUM($L27:$U27)+SUM($AF27:$AO27),2)</f>
      </c>
    </row>
    <row r="28" spans="1:55" x14ac:dyDescent="0.25">
      <c r="A28">
        <v>21</v>
      </c>
      <c r="B28" s="33">
        <f>IF(AP27&lt;=0,0,ROUND(AP27+ROUND(AP27*V$3/12,2),2))</f>
      </c>
      <c r="C28" s="33">
        <f>IF(AQ27&lt;=0,0,ROUND(AQ27+ROUND(AQ27*W$3/12,2),2))</f>
      </c>
      <c r="D28" s="33">
        <f>IF(AR27&lt;=0,0,ROUND(AR27+ROUND(AR27*X$3/12,2),2))</f>
      </c>
      <c r="E28" s="33">
        <f>IF(AS27&lt;=0,0,ROUND(AS27+ROUND(AS27*Y$3/12,2),2))</f>
      </c>
      <c r="F28" s="33">
        <f>IF(AT27&lt;=0,0,ROUND(AT27+ROUND(AT27*Z$3/12,2),2))</f>
      </c>
      <c r="G28" s="33">
        <f>IF(AU27&lt;=0,0,ROUND(AU27+ROUND(AU27*AA$3/12,2),2))</f>
      </c>
      <c r="H28" s="33">
        <f>IF(AV27&lt;=0,0,ROUND(AV27+ROUND(AV27*AB$3/12,2),2))</f>
      </c>
      <c r="I28" s="33">
        <f>IF(AW27&lt;=0,0,ROUND(AW27+ROUND(AW27*AC$3/12,2),2))</f>
      </c>
      <c r="J28" s="33">
        <f>IF(AX27&lt;=0,0,ROUND(AX27+ROUND(AX27*AD$3/12,2),2))</f>
      </c>
      <c r="K28" s="33">
        <f>IF(AY27&lt;=0,0,ROUND(AY27+ROUND(AY27*AE$3/12,2),2))</f>
      </c>
      <c r="L28" s="33">
        <f>ROUND(MIN(MAX(0,N('Your debts'!$E$6)),B28),2)</f>
      </c>
      <c r="M28" s="33">
        <f>ROUND(MIN(MAX(0,N('Your debts'!$E$7)),C28),2)</f>
      </c>
      <c r="N28" s="33">
        <f>ROUND(MIN(MAX(0,N('Your debts'!$E$8)),D28),2)</f>
      </c>
      <c r="O28" s="33">
        <f>ROUND(MIN(MAX(0,N('Your debts'!$E$9)),E28),2)</f>
      </c>
      <c r="P28" s="33">
        <f>ROUND(MIN(MAX(0,N('Your debts'!$E$10)),F28),2)</f>
      </c>
      <c r="Q28" s="33">
        <f>ROUND(MIN(MAX(0,N('Your debts'!$E$11)),G28),2)</f>
      </c>
      <c r="R28" s="33">
        <f>ROUND(MIN(MAX(0,N('Your debts'!$E$12)),H28),2)</f>
      </c>
      <c r="S28" s="33">
        <f>ROUND(MIN(MAX(0,N('Your debts'!$E$13)),I28),2)</f>
      </c>
      <c r="T28" s="33">
        <f>ROUND(MIN(MAX(0,N('Your debts'!$E$14)),J28),2)</f>
      </c>
      <c r="U28" s="33">
        <f>ROUND(MIN(MAX(0,N('Your debts'!$E$15)),K28),2)</f>
      </c>
      <c r="V28" s="33">
        <f>ROUND(B28-L28,2)</f>
      </c>
      <c r="W28" s="33">
        <f>ROUND(C28-M28,2)</f>
      </c>
      <c r="X28" s="33">
        <f>ROUND(D28-N28,2)</f>
      </c>
      <c r="Y28" s="33">
        <f>ROUND(E28-O28,2)</f>
      </c>
      <c r="Z28" s="33">
        <f>ROUND(F28-P28,2)</f>
      </c>
      <c r="AA28" s="33">
        <f>ROUND(G28-Q28,2)</f>
      </c>
      <c r="AB28" s="33">
        <f>ROUND(H28-R28,2)</f>
      </c>
      <c r="AC28" s="33">
        <f>ROUND(I28-S28,2)</f>
      </c>
      <c r="AD28" s="33">
        <f>ROUND(J28-T28,2)</f>
      </c>
      <c r="AE28" s="33">
        <f>ROUND(K28-U28,2)</f>
      </c>
      <c r="AF28" s="33">
        <f>IF(V28&lt;=0,0,MAX(0,MIN(V28,ROUND($AZ28-SUMPRODUCT($V28:$AE28*($V28:$AE28&gt;0)*(($V$3:$AE$3&gt;V$3)+($V$3:$AE$3=V$3)*($V28:$AE28&lt;V28)+($V$3:$AE$3=V$3)*($V28:$AE28=V28)*($V$2:$AE$2&lt;V$2))),2))))</f>
      </c>
      <c r="AG28" s="33">
        <f>IF(W28&lt;=0,0,MAX(0,MIN(W28,ROUND($AZ28-SUMPRODUCT($V28:$AE28*($V28:$AE28&gt;0)*(($V$3:$AE$3&gt;W$3)+($V$3:$AE$3=W$3)*($V28:$AE28&lt;W28)+($V$3:$AE$3=W$3)*($V28:$AE28=W28)*($V$2:$AE$2&lt;W$2))),2))))</f>
      </c>
      <c r="AH28" s="33">
        <f>IF(X28&lt;=0,0,MAX(0,MIN(X28,ROUND($AZ28-SUMPRODUCT($V28:$AE28*($V28:$AE28&gt;0)*(($V$3:$AE$3&gt;X$3)+($V$3:$AE$3=X$3)*($V28:$AE28&lt;X28)+($V$3:$AE$3=X$3)*($V28:$AE28=X28)*($V$2:$AE$2&lt;X$2))),2))))</f>
      </c>
      <c r="AI28" s="33">
        <f>IF(Y28&lt;=0,0,MAX(0,MIN(Y28,ROUND($AZ28-SUMPRODUCT($V28:$AE28*($V28:$AE28&gt;0)*(($V$3:$AE$3&gt;Y$3)+($V$3:$AE$3=Y$3)*($V28:$AE28&lt;Y28)+($V$3:$AE$3=Y$3)*($V28:$AE28=Y28)*($V$2:$AE$2&lt;Y$2))),2))))</f>
      </c>
      <c r="AJ28" s="33">
        <f>IF(Z28&lt;=0,0,MAX(0,MIN(Z28,ROUND($AZ28-SUMPRODUCT($V28:$AE28*($V28:$AE28&gt;0)*(($V$3:$AE$3&gt;Z$3)+($V$3:$AE$3=Z$3)*($V28:$AE28&lt;Z28)+($V$3:$AE$3=Z$3)*($V28:$AE28=Z28)*($V$2:$AE$2&lt;Z$2))),2))))</f>
      </c>
      <c r="AK28" s="33">
        <f>IF(AA28&lt;=0,0,MAX(0,MIN(AA28,ROUND($AZ28-SUMPRODUCT($V28:$AE28*($V28:$AE28&gt;0)*(($V$3:$AE$3&gt;AA$3)+($V$3:$AE$3=AA$3)*($V28:$AE28&lt;AA28)+($V$3:$AE$3=AA$3)*($V28:$AE28=AA28)*($V$2:$AE$2&lt;AA$2))),2))))</f>
      </c>
      <c r="AL28" s="33">
        <f>IF(AB28&lt;=0,0,MAX(0,MIN(AB28,ROUND($AZ28-SUMPRODUCT($V28:$AE28*($V28:$AE28&gt;0)*(($V$3:$AE$3&gt;AB$3)+($V$3:$AE$3=AB$3)*($V28:$AE28&lt;AB28)+($V$3:$AE$3=AB$3)*($V28:$AE28=AB28)*($V$2:$AE$2&lt;AB$2))),2))))</f>
      </c>
      <c r="AM28" s="33">
        <f>IF(AC28&lt;=0,0,MAX(0,MIN(AC28,ROUND($AZ28-SUMPRODUCT($V28:$AE28*($V28:$AE28&gt;0)*(($V$3:$AE$3&gt;AC$3)+($V$3:$AE$3=AC$3)*($V28:$AE28&lt;AC28)+($V$3:$AE$3=AC$3)*($V28:$AE28=AC28)*($V$2:$AE$2&lt;AC$2))),2))))</f>
      </c>
      <c r="AN28" s="33">
        <f>IF(AD28&lt;=0,0,MAX(0,MIN(AD28,ROUND($AZ28-SUMPRODUCT($V28:$AE28*($V28:$AE28&gt;0)*(($V$3:$AE$3&gt;AD$3)+($V$3:$AE$3=AD$3)*($V28:$AE28&lt;AD28)+($V$3:$AE$3=AD$3)*($V28:$AE28=AD28)*($V$2:$AE$2&lt;AD$2))),2))))</f>
      </c>
      <c r="AO28" s="33">
        <f>IF(AE28&lt;=0,0,MAX(0,MIN(AE28,ROUND($AZ28-SUMPRODUCT($V28:$AE28*($V28:$AE28&gt;0)*(($V$3:$AE$3&gt;AE$3)+($V$3:$AE$3=AE$3)*($V28:$AE28&lt;AE28)+($V$3:$AE$3=AE$3)*($V28:$AE28=AE28)*($V$2:$AE$2&lt;AE$2))),2))))</f>
      </c>
      <c r="AP28" s="33">
        <f>ROUND(V28-AF28,2)</f>
      </c>
      <c r="AQ28" s="33">
        <f>ROUND(W28-AG28,2)</f>
      </c>
      <c r="AR28" s="33">
        <f>ROUND(X28-AH28,2)</f>
      </c>
      <c r="AS28" s="33">
        <f>ROUND(Y28-AI28,2)</f>
      </c>
      <c r="AT28" s="33">
        <f>ROUND(Z28-AJ28,2)</f>
      </c>
      <c r="AU28" s="33">
        <f>ROUND(AA28-AK28,2)</f>
      </c>
      <c r="AV28" s="33">
        <f>ROUND(AB28-AL28,2)</f>
      </c>
      <c r="AW28" s="33">
        <f>ROUND(AC28-AM28,2)</f>
      </c>
      <c r="AX28" s="33">
        <f>ROUND(AD28-AN28,2)</f>
      </c>
      <c r="AY28" s="33">
        <f>ROUND(AE28-AO28,2)</f>
      </c>
      <c r="AZ28" s="33">
        <f>ROUND(MAX(0,'Your debts'!$D$22-SUM($L28:$U28)),2)</f>
      </c>
      <c r="BA28" s="33">
        <f>ROUND(SUM($B28:$K28)-SUM($AP27:$AY27),2)</f>
      </c>
      <c r="BB28" s="33">
        <f>SUM($AP28:$AY28)</f>
      </c>
      <c r="BC28" s="33">
        <f>ROUND(SUM($L28:$U28)+SUM($AF28:$AO28),2)</f>
      </c>
    </row>
    <row r="29" spans="1:55" x14ac:dyDescent="0.25">
      <c r="A29">
        <v>22</v>
      </c>
      <c r="B29" s="33">
        <f>IF(AP28&lt;=0,0,ROUND(AP28+ROUND(AP28*V$3/12,2),2))</f>
      </c>
      <c r="C29" s="33">
        <f>IF(AQ28&lt;=0,0,ROUND(AQ28+ROUND(AQ28*W$3/12,2),2))</f>
      </c>
      <c r="D29" s="33">
        <f>IF(AR28&lt;=0,0,ROUND(AR28+ROUND(AR28*X$3/12,2),2))</f>
      </c>
      <c r="E29" s="33">
        <f>IF(AS28&lt;=0,0,ROUND(AS28+ROUND(AS28*Y$3/12,2),2))</f>
      </c>
      <c r="F29" s="33">
        <f>IF(AT28&lt;=0,0,ROUND(AT28+ROUND(AT28*Z$3/12,2),2))</f>
      </c>
      <c r="G29" s="33">
        <f>IF(AU28&lt;=0,0,ROUND(AU28+ROUND(AU28*AA$3/12,2),2))</f>
      </c>
      <c r="H29" s="33">
        <f>IF(AV28&lt;=0,0,ROUND(AV28+ROUND(AV28*AB$3/12,2),2))</f>
      </c>
      <c r="I29" s="33">
        <f>IF(AW28&lt;=0,0,ROUND(AW28+ROUND(AW28*AC$3/12,2),2))</f>
      </c>
      <c r="J29" s="33">
        <f>IF(AX28&lt;=0,0,ROUND(AX28+ROUND(AX28*AD$3/12,2),2))</f>
      </c>
      <c r="K29" s="33">
        <f>IF(AY28&lt;=0,0,ROUND(AY28+ROUND(AY28*AE$3/12,2),2))</f>
      </c>
      <c r="L29" s="33">
        <f>ROUND(MIN(MAX(0,N('Your debts'!$E$6)),B29),2)</f>
      </c>
      <c r="M29" s="33">
        <f>ROUND(MIN(MAX(0,N('Your debts'!$E$7)),C29),2)</f>
      </c>
      <c r="N29" s="33">
        <f>ROUND(MIN(MAX(0,N('Your debts'!$E$8)),D29),2)</f>
      </c>
      <c r="O29" s="33">
        <f>ROUND(MIN(MAX(0,N('Your debts'!$E$9)),E29),2)</f>
      </c>
      <c r="P29" s="33">
        <f>ROUND(MIN(MAX(0,N('Your debts'!$E$10)),F29),2)</f>
      </c>
      <c r="Q29" s="33">
        <f>ROUND(MIN(MAX(0,N('Your debts'!$E$11)),G29),2)</f>
      </c>
      <c r="R29" s="33">
        <f>ROUND(MIN(MAX(0,N('Your debts'!$E$12)),H29),2)</f>
      </c>
      <c r="S29" s="33">
        <f>ROUND(MIN(MAX(0,N('Your debts'!$E$13)),I29),2)</f>
      </c>
      <c r="T29" s="33">
        <f>ROUND(MIN(MAX(0,N('Your debts'!$E$14)),J29),2)</f>
      </c>
      <c r="U29" s="33">
        <f>ROUND(MIN(MAX(0,N('Your debts'!$E$15)),K29),2)</f>
      </c>
      <c r="V29" s="33">
        <f>ROUND(B29-L29,2)</f>
      </c>
      <c r="W29" s="33">
        <f>ROUND(C29-M29,2)</f>
      </c>
      <c r="X29" s="33">
        <f>ROUND(D29-N29,2)</f>
      </c>
      <c r="Y29" s="33">
        <f>ROUND(E29-O29,2)</f>
      </c>
      <c r="Z29" s="33">
        <f>ROUND(F29-P29,2)</f>
      </c>
      <c r="AA29" s="33">
        <f>ROUND(G29-Q29,2)</f>
      </c>
      <c r="AB29" s="33">
        <f>ROUND(H29-R29,2)</f>
      </c>
      <c r="AC29" s="33">
        <f>ROUND(I29-S29,2)</f>
      </c>
      <c r="AD29" s="33">
        <f>ROUND(J29-T29,2)</f>
      </c>
      <c r="AE29" s="33">
        <f>ROUND(K29-U29,2)</f>
      </c>
      <c r="AF29" s="33">
        <f>IF(V29&lt;=0,0,MAX(0,MIN(V29,ROUND($AZ29-SUMPRODUCT($V29:$AE29*($V29:$AE29&gt;0)*(($V$3:$AE$3&gt;V$3)+($V$3:$AE$3=V$3)*($V29:$AE29&lt;V29)+($V$3:$AE$3=V$3)*($V29:$AE29=V29)*($V$2:$AE$2&lt;V$2))),2))))</f>
      </c>
      <c r="AG29" s="33">
        <f>IF(W29&lt;=0,0,MAX(0,MIN(W29,ROUND($AZ29-SUMPRODUCT($V29:$AE29*($V29:$AE29&gt;0)*(($V$3:$AE$3&gt;W$3)+($V$3:$AE$3=W$3)*($V29:$AE29&lt;W29)+($V$3:$AE$3=W$3)*($V29:$AE29=W29)*($V$2:$AE$2&lt;W$2))),2))))</f>
      </c>
      <c r="AH29" s="33">
        <f>IF(X29&lt;=0,0,MAX(0,MIN(X29,ROUND($AZ29-SUMPRODUCT($V29:$AE29*($V29:$AE29&gt;0)*(($V$3:$AE$3&gt;X$3)+($V$3:$AE$3=X$3)*($V29:$AE29&lt;X29)+($V$3:$AE$3=X$3)*($V29:$AE29=X29)*($V$2:$AE$2&lt;X$2))),2))))</f>
      </c>
      <c r="AI29" s="33">
        <f>IF(Y29&lt;=0,0,MAX(0,MIN(Y29,ROUND($AZ29-SUMPRODUCT($V29:$AE29*($V29:$AE29&gt;0)*(($V$3:$AE$3&gt;Y$3)+($V$3:$AE$3=Y$3)*($V29:$AE29&lt;Y29)+($V$3:$AE$3=Y$3)*($V29:$AE29=Y29)*($V$2:$AE$2&lt;Y$2))),2))))</f>
      </c>
      <c r="AJ29" s="33">
        <f>IF(Z29&lt;=0,0,MAX(0,MIN(Z29,ROUND($AZ29-SUMPRODUCT($V29:$AE29*($V29:$AE29&gt;0)*(($V$3:$AE$3&gt;Z$3)+($V$3:$AE$3=Z$3)*($V29:$AE29&lt;Z29)+($V$3:$AE$3=Z$3)*($V29:$AE29=Z29)*($V$2:$AE$2&lt;Z$2))),2))))</f>
      </c>
      <c r="AK29" s="33">
        <f>IF(AA29&lt;=0,0,MAX(0,MIN(AA29,ROUND($AZ29-SUMPRODUCT($V29:$AE29*($V29:$AE29&gt;0)*(($V$3:$AE$3&gt;AA$3)+($V$3:$AE$3=AA$3)*($V29:$AE29&lt;AA29)+($V$3:$AE$3=AA$3)*($V29:$AE29=AA29)*($V$2:$AE$2&lt;AA$2))),2))))</f>
      </c>
      <c r="AL29" s="33">
        <f>IF(AB29&lt;=0,0,MAX(0,MIN(AB29,ROUND($AZ29-SUMPRODUCT($V29:$AE29*($V29:$AE29&gt;0)*(($V$3:$AE$3&gt;AB$3)+($V$3:$AE$3=AB$3)*($V29:$AE29&lt;AB29)+($V$3:$AE$3=AB$3)*($V29:$AE29=AB29)*($V$2:$AE$2&lt;AB$2))),2))))</f>
      </c>
      <c r="AM29" s="33">
        <f>IF(AC29&lt;=0,0,MAX(0,MIN(AC29,ROUND($AZ29-SUMPRODUCT($V29:$AE29*($V29:$AE29&gt;0)*(($V$3:$AE$3&gt;AC$3)+($V$3:$AE$3=AC$3)*($V29:$AE29&lt;AC29)+($V$3:$AE$3=AC$3)*($V29:$AE29=AC29)*($V$2:$AE$2&lt;AC$2))),2))))</f>
      </c>
      <c r="AN29" s="33">
        <f>IF(AD29&lt;=0,0,MAX(0,MIN(AD29,ROUND($AZ29-SUMPRODUCT($V29:$AE29*($V29:$AE29&gt;0)*(($V$3:$AE$3&gt;AD$3)+($V$3:$AE$3=AD$3)*($V29:$AE29&lt;AD29)+($V$3:$AE$3=AD$3)*($V29:$AE29=AD29)*($V$2:$AE$2&lt;AD$2))),2))))</f>
      </c>
      <c r="AO29" s="33">
        <f>IF(AE29&lt;=0,0,MAX(0,MIN(AE29,ROUND($AZ29-SUMPRODUCT($V29:$AE29*($V29:$AE29&gt;0)*(($V$3:$AE$3&gt;AE$3)+($V$3:$AE$3=AE$3)*($V29:$AE29&lt;AE29)+($V$3:$AE$3=AE$3)*($V29:$AE29=AE29)*($V$2:$AE$2&lt;AE$2))),2))))</f>
      </c>
      <c r="AP29" s="33">
        <f>ROUND(V29-AF29,2)</f>
      </c>
      <c r="AQ29" s="33">
        <f>ROUND(W29-AG29,2)</f>
      </c>
      <c r="AR29" s="33">
        <f>ROUND(X29-AH29,2)</f>
      </c>
      <c r="AS29" s="33">
        <f>ROUND(Y29-AI29,2)</f>
      </c>
      <c r="AT29" s="33">
        <f>ROUND(Z29-AJ29,2)</f>
      </c>
      <c r="AU29" s="33">
        <f>ROUND(AA29-AK29,2)</f>
      </c>
      <c r="AV29" s="33">
        <f>ROUND(AB29-AL29,2)</f>
      </c>
      <c r="AW29" s="33">
        <f>ROUND(AC29-AM29,2)</f>
      </c>
      <c r="AX29" s="33">
        <f>ROUND(AD29-AN29,2)</f>
      </c>
      <c r="AY29" s="33">
        <f>ROUND(AE29-AO29,2)</f>
      </c>
      <c r="AZ29" s="33">
        <f>ROUND(MAX(0,'Your debts'!$D$22-SUM($L29:$U29)),2)</f>
      </c>
      <c r="BA29" s="33">
        <f>ROUND(SUM($B29:$K29)-SUM($AP28:$AY28),2)</f>
      </c>
      <c r="BB29" s="33">
        <f>SUM($AP29:$AY29)</f>
      </c>
      <c r="BC29" s="33">
        <f>ROUND(SUM($L29:$U29)+SUM($AF29:$AO29),2)</f>
      </c>
    </row>
    <row r="30" spans="1:55" x14ac:dyDescent="0.25">
      <c r="A30">
        <v>23</v>
      </c>
      <c r="B30" s="33">
        <f>IF(AP29&lt;=0,0,ROUND(AP29+ROUND(AP29*V$3/12,2),2))</f>
      </c>
      <c r="C30" s="33">
        <f>IF(AQ29&lt;=0,0,ROUND(AQ29+ROUND(AQ29*W$3/12,2),2))</f>
      </c>
      <c r="D30" s="33">
        <f>IF(AR29&lt;=0,0,ROUND(AR29+ROUND(AR29*X$3/12,2),2))</f>
      </c>
      <c r="E30" s="33">
        <f>IF(AS29&lt;=0,0,ROUND(AS29+ROUND(AS29*Y$3/12,2),2))</f>
      </c>
      <c r="F30" s="33">
        <f>IF(AT29&lt;=0,0,ROUND(AT29+ROUND(AT29*Z$3/12,2),2))</f>
      </c>
      <c r="G30" s="33">
        <f>IF(AU29&lt;=0,0,ROUND(AU29+ROUND(AU29*AA$3/12,2),2))</f>
      </c>
      <c r="H30" s="33">
        <f>IF(AV29&lt;=0,0,ROUND(AV29+ROUND(AV29*AB$3/12,2),2))</f>
      </c>
      <c r="I30" s="33">
        <f>IF(AW29&lt;=0,0,ROUND(AW29+ROUND(AW29*AC$3/12,2),2))</f>
      </c>
      <c r="J30" s="33">
        <f>IF(AX29&lt;=0,0,ROUND(AX29+ROUND(AX29*AD$3/12,2),2))</f>
      </c>
      <c r="K30" s="33">
        <f>IF(AY29&lt;=0,0,ROUND(AY29+ROUND(AY29*AE$3/12,2),2))</f>
      </c>
      <c r="L30" s="33">
        <f>ROUND(MIN(MAX(0,N('Your debts'!$E$6)),B30),2)</f>
      </c>
      <c r="M30" s="33">
        <f>ROUND(MIN(MAX(0,N('Your debts'!$E$7)),C30),2)</f>
      </c>
      <c r="N30" s="33">
        <f>ROUND(MIN(MAX(0,N('Your debts'!$E$8)),D30),2)</f>
      </c>
      <c r="O30" s="33">
        <f>ROUND(MIN(MAX(0,N('Your debts'!$E$9)),E30),2)</f>
      </c>
      <c r="P30" s="33">
        <f>ROUND(MIN(MAX(0,N('Your debts'!$E$10)),F30),2)</f>
      </c>
      <c r="Q30" s="33">
        <f>ROUND(MIN(MAX(0,N('Your debts'!$E$11)),G30),2)</f>
      </c>
      <c r="R30" s="33">
        <f>ROUND(MIN(MAX(0,N('Your debts'!$E$12)),H30),2)</f>
      </c>
      <c r="S30" s="33">
        <f>ROUND(MIN(MAX(0,N('Your debts'!$E$13)),I30),2)</f>
      </c>
      <c r="T30" s="33">
        <f>ROUND(MIN(MAX(0,N('Your debts'!$E$14)),J30),2)</f>
      </c>
      <c r="U30" s="33">
        <f>ROUND(MIN(MAX(0,N('Your debts'!$E$15)),K30),2)</f>
      </c>
      <c r="V30" s="33">
        <f>ROUND(B30-L30,2)</f>
      </c>
      <c r="W30" s="33">
        <f>ROUND(C30-M30,2)</f>
      </c>
      <c r="X30" s="33">
        <f>ROUND(D30-N30,2)</f>
      </c>
      <c r="Y30" s="33">
        <f>ROUND(E30-O30,2)</f>
      </c>
      <c r="Z30" s="33">
        <f>ROUND(F30-P30,2)</f>
      </c>
      <c r="AA30" s="33">
        <f>ROUND(G30-Q30,2)</f>
      </c>
      <c r="AB30" s="33">
        <f>ROUND(H30-R30,2)</f>
      </c>
      <c r="AC30" s="33">
        <f>ROUND(I30-S30,2)</f>
      </c>
      <c r="AD30" s="33">
        <f>ROUND(J30-T30,2)</f>
      </c>
      <c r="AE30" s="33">
        <f>ROUND(K30-U30,2)</f>
      </c>
      <c r="AF30" s="33">
        <f>IF(V30&lt;=0,0,MAX(0,MIN(V30,ROUND($AZ30-SUMPRODUCT($V30:$AE30*($V30:$AE30&gt;0)*(($V$3:$AE$3&gt;V$3)+($V$3:$AE$3=V$3)*($V30:$AE30&lt;V30)+($V$3:$AE$3=V$3)*($V30:$AE30=V30)*($V$2:$AE$2&lt;V$2))),2))))</f>
      </c>
      <c r="AG30" s="33">
        <f>IF(W30&lt;=0,0,MAX(0,MIN(W30,ROUND($AZ30-SUMPRODUCT($V30:$AE30*($V30:$AE30&gt;0)*(($V$3:$AE$3&gt;W$3)+($V$3:$AE$3=W$3)*($V30:$AE30&lt;W30)+($V$3:$AE$3=W$3)*($V30:$AE30=W30)*($V$2:$AE$2&lt;W$2))),2))))</f>
      </c>
      <c r="AH30" s="33">
        <f>IF(X30&lt;=0,0,MAX(0,MIN(X30,ROUND($AZ30-SUMPRODUCT($V30:$AE30*($V30:$AE30&gt;0)*(($V$3:$AE$3&gt;X$3)+($V$3:$AE$3=X$3)*($V30:$AE30&lt;X30)+($V$3:$AE$3=X$3)*($V30:$AE30=X30)*($V$2:$AE$2&lt;X$2))),2))))</f>
      </c>
      <c r="AI30" s="33">
        <f>IF(Y30&lt;=0,0,MAX(0,MIN(Y30,ROUND($AZ30-SUMPRODUCT($V30:$AE30*($V30:$AE30&gt;0)*(($V$3:$AE$3&gt;Y$3)+($V$3:$AE$3=Y$3)*($V30:$AE30&lt;Y30)+($V$3:$AE$3=Y$3)*($V30:$AE30=Y30)*($V$2:$AE$2&lt;Y$2))),2))))</f>
      </c>
      <c r="AJ30" s="33">
        <f>IF(Z30&lt;=0,0,MAX(0,MIN(Z30,ROUND($AZ30-SUMPRODUCT($V30:$AE30*($V30:$AE30&gt;0)*(($V$3:$AE$3&gt;Z$3)+($V$3:$AE$3=Z$3)*($V30:$AE30&lt;Z30)+($V$3:$AE$3=Z$3)*($V30:$AE30=Z30)*($V$2:$AE$2&lt;Z$2))),2))))</f>
      </c>
      <c r="AK30" s="33">
        <f>IF(AA30&lt;=0,0,MAX(0,MIN(AA30,ROUND($AZ30-SUMPRODUCT($V30:$AE30*($V30:$AE30&gt;0)*(($V$3:$AE$3&gt;AA$3)+($V$3:$AE$3=AA$3)*($V30:$AE30&lt;AA30)+($V$3:$AE$3=AA$3)*($V30:$AE30=AA30)*($V$2:$AE$2&lt;AA$2))),2))))</f>
      </c>
      <c r="AL30" s="33">
        <f>IF(AB30&lt;=0,0,MAX(0,MIN(AB30,ROUND($AZ30-SUMPRODUCT($V30:$AE30*($V30:$AE30&gt;0)*(($V$3:$AE$3&gt;AB$3)+($V$3:$AE$3=AB$3)*($V30:$AE30&lt;AB30)+($V$3:$AE$3=AB$3)*($V30:$AE30=AB30)*($V$2:$AE$2&lt;AB$2))),2))))</f>
      </c>
      <c r="AM30" s="33">
        <f>IF(AC30&lt;=0,0,MAX(0,MIN(AC30,ROUND($AZ30-SUMPRODUCT($V30:$AE30*($V30:$AE30&gt;0)*(($V$3:$AE$3&gt;AC$3)+($V$3:$AE$3=AC$3)*($V30:$AE30&lt;AC30)+($V$3:$AE$3=AC$3)*($V30:$AE30=AC30)*($V$2:$AE$2&lt;AC$2))),2))))</f>
      </c>
      <c r="AN30" s="33">
        <f>IF(AD30&lt;=0,0,MAX(0,MIN(AD30,ROUND($AZ30-SUMPRODUCT($V30:$AE30*($V30:$AE30&gt;0)*(($V$3:$AE$3&gt;AD$3)+($V$3:$AE$3=AD$3)*($V30:$AE30&lt;AD30)+($V$3:$AE$3=AD$3)*($V30:$AE30=AD30)*($V$2:$AE$2&lt;AD$2))),2))))</f>
      </c>
      <c r="AO30" s="33">
        <f>IF(AE30&lt;=0,0,MAX(0,MIN(AE30,ROUND($AZ30-SUMPRODUCT($V30:$AE30*($V30:$AE30&gt;0)*(($V$3:$AE$3&gt;AE$3)+($V$3:$AE$3=AE$3)*($V30:$AE30&lt;AE30)+($V$3:$AE$3=AE$3)*($V30:$AE30=AE30)*($V$2:$AE$2&lt;AE$2))),2))))</f>
      </c>
      <c r="AP30" s="33">
        <f>ROUND(V30-AF30,2)</f>
      </c>
      <c r="AQ30" s="33">
        <f>ROUND(W30-AG30,2)</f>
      </c>
      <c r="AR30" s="33">
        <f>ROUND(X30-AH30,2)</f>
      </c>
      <c r="AS30" s="33">
        <f>ROUND(Y30-AI30,2)</f>
      </c>
      <c r="AT30" s="33">
        <f>ROUND(Z30-AJ30,2)</f>
      </c>
      <c r="AU30" s="33">
        <f>ROUND(AA30-AK30,2)</f>
      </c>
      <c r="AV30" s="33">
        <f>ROUND(AB30-AL30,2)</f>
      </c>
      <c r="AW30" s="33">
        <f>ROUND(AC30-AM30,2)</f>
      </c>
      <c r="AX30" s="33">
        <f>ROUND(AD30-AN30,2)</f>
      </c>
      <c r="AY30" s="33">
        <f>ROUND(AE30-AO30,2)</f>
      </c>
      <c r="AZ30" s="33">
        <f>ROUND(MAX(0,'Your debts'!$D$22-SUM($L30:$U30)),2)</f>
      </c>
      <c r="BA30" s="33">
        <f>ROUND(SUM($B30:$K30)-SUM($AP29:$AY29),2)</f>
      </c>
      <c r="BB30" s="33">
        <f>SUM($AP30:$AY30)</f>
      </c>
      <c r="BC30" s="33">
        <f>ROUND(SUM($L30:$U30)+SUM($AF30:$AO30),2)</f>
      </c>
    </row>
    <row r="31" spans="1:55" x14ac:dyDescent="0.25">
      <c r="A31">
        <v>24</v>
      </c>
      <c r="B31" s="33">
        <f>IF(AP30&lt;=0,0,ROUND(AP30+ROUND(AP30*V$3/12,2),2))</f>
      </c>
      <c r="C31" s="33">
        <f>IF(AQ30&lt;=0,0,ROUND(AQ30+ROUND(AQ30*W$3/12,2),2))</f>
      </c>
      <c r="D31" s="33">
        <f>IF(AR30&lt;=0,0,ROUND(AR30+ROUND(AR30*X$3/12,2),2))</f>
      </c>
      <c r="E31" s="33">
        <f>IF(AS30&lt;=0,0,ROUND(AS30+ROUND(AS30*Y$3/12,2),2))</f>
      </c>
      <c r="F31" s="33">
        <f>IF(AT30&lt;=0,0,ROUND(AT30+ROUND(AT30*Z$3/12,2),2))</f>
      </c>
      <c r="G31" s="33">
        <f>IF(AU30&lt;=0,0,ROUND(AU30+ROUND(AU30*AA$3/12,2),2))</f>
      </c>
      <c r="H31" s="33">
        <f>IF(AV30&lt;=0,0,ROUND(AV30+ROUND(AV30*AB$3/12,2),2))</f>
      </c>
      <c r="I31" s="33">
        <f>IF(AW30&lt;=0,0,ROUND(AW30+ROUND(AW30*AC$3/12,2),2))</f>
      </c>
      <c r="J31" s="33">
        <f>IF(AX30&lt;=0,0,ROUND(AX30+ROUND(AX30*AD$3/12,2),2))</f>
      </c>
      <c r="K31" s="33">
        <f>IF(AY30&lt;=0,0,ROUND(AY30+ROUND(AY30*AE$3/12,2),2))</f>
      </c>
      <c r="L31" s="33">
        <f>ROUND(MIN(MAX(0,N('Your debts'!$E$6)),B31),2)</f>
      </c>
      <c r="M31" s="33">
        <f>ROUND(MIN(MAX(0,N('Your debts'!$E$7)),C31),2)</f>
      </c>
      <c r="N31" s="33">
        <f>ROUND(MIN(MAX(0,N('Your debts'!$E$8)),D31),2)</f>
      </c>
      <c r="O31" s="33">
        <f>ROUND(MIN(MAX(0,N('Your debts'!$E$9)),E31),2)</f>
      </c>
      <c r="P31" s="33">
        <f>ROUND(MIN(MAX(0,N('Your debts'!$E$10)),F31),2)</f>
      </c>
      <c r="Q31" s="33">
        <f>ROUND(MIN(MAX(0,N('Your debts'!$E$11)),G31),2)</f>
      </c>
      <c r="R31" s="33">
        <f>ROUND(MIN(MAX(0,N('Your debts'!$E$12)),H31),2)</f>
      </c>
      <c r="S31" s="33">
        <f>ROUND(MIN(MAX(0,N('Your debts'!$E$13)),I31),2)</f>
      </c>
      <c r="T31" s="33">
        <f>ROUND(MIN(MAX(0,N('Your debts'!$E$14)),J31),2)</f>
      </c>
      <c r="U31" s="33">
        <f>ROUND(MIN(MAX(0,N('Your debts'!$E$15)),K31),2)</f>
      </c>
      <c r="V31" s="33">
        <f>ROUND(B31-L31,2)</f>
      </c>
      <c r="W31" s="33">
        <f>ROUND(C31-M31,2)</f>
      </c>
      <c r="X31" s="33">
        <f>ROUND(D31-N31,2)</f>
      </c>
      <c r="Y31" s="33">
        <f>ROUND(E31-O31,2)</f>
      </c>
      <c r="Z31" s="33">
        <f>ROUND(F31-P31,2)</f>
      </c>
      <c r="AA31" s="33">
        <f>ROUND(G31-Q31,2)</f>
      </c>
      <c r="AB31" s="33">
        <f>ROUND(H31-R31,2)</f>
      </c>
      <c r="AC31" s="33">
        <f>ROUND(I31-S31,2)</f>
      </c>
      <c r="AD31" s="33">
        <f>ROUND(J31-T31,2)</f>
      </c>
      <c r="AE31" s="33">
        <f>ROUND(K31-U31,2)</f>
      </c>
      <c r="AF31" s="33">
        <f>IF(V31&lt;=0,0,MAX(0,MIN(V31,ROUND($AZ31-SUMPRODUCT($V31:$AE31*($V31:$AE31&gt;0)*(($V$3:$AE$3&gt;V$3)+($V$3:$AE$3=V$3)*($V31:$AE31&lt;V31)+($V$3:$AE$3=V$3)*($V31:$AE31=V31)*($V$2:$AE$2&lt;V$2))),2))))</f>
      </c>
      <c r="AG31" s="33">
        <f>IF(W31&lt;=0,0,MAX(0,MIN(W31,ROUND($AZ31-SUMPRODUCT($V31:$AE31*($V31:$AE31&gt;0)*(($V$3:$AE$3&gt;W$3)+($V$3:$AE$3=W$3)*($V31:$AE31&lt;W31)+($V$3:$AE$3=W$3)*($V31:$AE31=W31)*($V$2:$AE$2&lt;W$2))),2))))</f>
      </c>
      <c r="AH31" s="33">
        <f>IF(X31&lt;=0,0,MAX(0,MIN(X31,ROUND($AZ31-SUMPRODUCT($V31:$AE31*($V31:$AE31&gt;0)*(($V$3:$AE$3&gt;X$3)+($V$3:$AE$3=X$3)*($V31:$AE31&lt;X31)+($V$3:$AE$3=X$3)*($V31:$AE31=X31)*($V$2:$AE$2&lt;X$2))),2))))</f>
      </c>
      <c r="AI31" s="33">
        <f>IF(Y31&lt;=0,0,MAX(0,MIN(Y31,ROUND($AZ31-SUMPRODUCT($V31:$AE31*($V31:$AE31&gt;0)*(($V$3:$AE$3&gt;Y$3)+($V$3:$AE$3=Y$3)*($V31:$AE31&lt;Y31)+($V$3:$AE$3=Y$3)*($V31:$AE31=Y31)*($V$2:$AE$2&lt;Y$2))),2))))</f>
      </c>
      <c r="AJ31" s="33">
        <f>IF(Z31&lt;=0,0,MAX(0,MIN(Z31,ROUND($AZ31-SUMPRODUCT($V31:$AE31*($V31:$AE31&gt;0)*(($V$3:$AE$3&gt;Z$3)+($V$3:$AE$3=Z$3)*($V31:$AE31&lt;Z31)+($V$3:$AE$3=Z$3)*($V31:$AE31=Z31)*($V$2:$AE$2&lt;Z$2))),2))))</f>
      </c>
      <c r="AK31" s="33">
        <f>IF(AA31&lt;=0,0,MAX(0,MIN(AA31,ROUND($AZ31-SUMPRODUCT($V31:$AE31*($V31:$AE31&gt;0)*(($V$3:$AE$3&gt;AA$3)+($V$3:$AE$3=AA$3)*($V31:$AE31&lt;AA31)+($V$3:$AE$3=AA$3)*($V31:$AE31=AA31)*($V$2:$AE$2&lt;AA$2))),2))))</f>
      </c>
      <c r="AL31" s="33">
        <f>IF(AB31&lt;=0,0,MAX(0,MIN(AB31,ROUND($AZ31-SUMPRODUCT($V31:$AE31*($V31:$AE31&gt;0)*(($V$3:$AE$3&gt;AB$3)+($V$3:$AE$3=AB$3)*($V31:$AE31&lt;AB31)+($V$3:$AE$3=AB$3)*($V31:$AE31=AB31)*($V$2:$AE$2&lt;AB$2))),2))))</f>
      </c>
      <c r="AM31" s="33">
        <f>IF(AC31&lt;=0,0,MAX(0,MIN(AC31,ROUND($AZ31-SUMPRODUCT($V31:$AE31*($V31:$AE31&gt;0)*(($V$3:$AE$3&gt;AC$3)+($V$3:$AE$3=AC$3)*($V31:$AE31&lt;AC31)+($V$3:$AE$3=AC$3)*($V31:$AE31=AC31)*($V$2:$AE$2&lt;AC$2))),2))))</f>
      </c>
      <c r="AN31" s="33">
        <f>IF(AD31&lt;=0,0,MAX(0,MIN(AD31,ROUND($AZ31-SUMPRODUCT($V31:$AE31*($V31:$AE31&gt;0)*(($V$3:$AE$3&gt;AD$3)+($V$3:$AE$3=AD$3)*($V31:$AE31&lt;AD31)+($V$3:$AE$3=AD$3)*($V31:$AE31=AD31)*($V$2:$AE$2&lt;AD$2))),2))))</f>
      </c>
      <c r="AO31" s="33">
        <f>IF(AE31&lt;=0,0,MAX(0,MIN(AE31,ROUND($AZ31-SUMPRODUCT($V31:$AE31*($V31:$AE31&gt;0)*(($V$3:$AE$3&gt;AE$3)+($V$3:$AE$3=AE$3)*($V31:$AE31&lt;AE31)+($V$3:$AE$3=AE$3)*($V31:$AE31=AE31)*($V$2:$AE$2&lt;AE$2))),2))))</f>
      </c>
      <c r="AP31" s="33">
        <f>ROUND(V31-AF31,2)</f>
      </c>
      <c r="AQ31" s="33">
        <f>ROUND(W31-AG31,2)</f>
      </c>
      <c r="AR31" s="33">
        <f>ROUND(X31-AH31,2)</f>
      </c>
      <c r="AS31" s="33">
        <f>ROUND(Y31-AI31,2)</f>
      </c>
      <c r="AT31" s="33">
        <f>ROUND(Z31-AJ31,2)</f>
      </c>
      <c r="AU31" s="33">
        <f>ROUND(AA31-AK31,2)</f>
      </c>
      <c r="AV31" s="33">
        <f>ROUND(AB31-AL31,2)</f>
      </c>
      <c r="AW31" s="33">
        <f>ROUND(AC31-AM31,2)</f>
      </c>
      <c r="AX31" s="33">
        <f>ROUND(AD31-AN31,2)</f>
      </c>
      <c r="AY31" s="33">
        <f>ROUND(AE31-AO31,2)</f>
      </c>
      <c r="AZ31" s="33">
        <f>ROUND(MAX(0,'Your debts'!$D$22-SUM($L31:$U31)),2)</f>
      </c>
      <c r="BA31" s="33">
        <f>ROUND(SUM($B31:$K31)-SUM($AP30:$AY30),2)</f>
      </c>
      <c r="BB31" s="33">
        <f>SUM($AP31:$AY31)</f>
      </c>
      <c r="BC31" s="33">
        <f>ROUND(SUM($L31:$U31)+SUM($AF31:$AO31),2)</f>
      </c>
    </row>
    <row r="32" spans="1:55" x14ac:dyDescent="0.25">
      <c r="A32">
        <v>25</v>
      </c>
      <c r="B32" s="33">
        <f>IF(AP31&lt;=0,0,ROUND(AP31+ROUND(AP31*V$3/12,2),2))</f>
      </c>
      <c r="C32" s="33">
        <f>IF(AQ31&lt;=0,0,ROUND(AQ31+ROUND(AQ31*W$3/12,2),2))</f>
      </c>
      <c r="D32" s="33">
        <f>IF(AR31&lt;=0,0,ROUND(AR31+ROUND(AR31*X$3/12,2),2))</f>
      </c>
      <c r="E32" s="33">
        <f>IF(AS31&lt;=0,0,ROUND(AS31+ROUND(AS31*Y$3/12,2),2))</f>
      </c>
      <c r="F32" s="33">
        <f>IF(AT31&lt;=0,0,ROUND(AT31+ROUND(AT31*Z$3/12,2),2))</f>
      </c>
      <c r="G32" s="33">
        <f>IF(AU31&lt;=0,0,ROUND(AU31+ROUND(AU31*AA$3/12,2),2))</f>
      </c>
      <c r="H32" s="33">
        <f>IF(AV31&lt;=0,0,ROUND(AV31+ROUND(AV31*AB$3/12,2),2))</f>
      </c>
      <c r="I32" s="33">
        <f>IF(AW31&lt;=0,0,ROUND(AW31+ROUND(AW31*AC$3/12,2),2))</f>
      </c>
      <c r="J32" s="33">
        <f>IF(AX31&lt;=0,0,ROUND(AX31+ROUND(AX31*AD$3/12,2),2))</f>
      </c>
      <c r="K32" s="33">
        <f>IF(AY31&lt;=0,0,ROUND(AY31+ROUND(AY31*AE$3/12,2),2))</f>
      </c>
      <c r="L32" s="33">
        <f>ROUND(MIN(MAX(0,N('Your debts'!$E$6)),B32),2)</f>
      </c>
      <c r="M32" s="33">
        <f>ROUND(MIN(MAX(0,N('Your debts'!$E$7)),C32),2)</f>
      </c>
      <c r="N32" s="33">
        <f>ROUND(MIN(MAX(0,N('Your debts'!$E$8)),D32),2)</f>
      </c>
      <c r="O32" s="33">
        <f>ROUND(MIN(MAX(0,N('Your debts'!$E$9)),E32),2)</f>
      </c>
      <c r="P32" s="33">
        <f>ROUND(MIN(MAX(0,N('Your debts'!$E$10)),F32),2)</f>
      </c>
      <c r="Q32" s="33">
        <f>ROUND(MIN(MAX(0,N('Your debts'!$E$11)),G32),2)</f>
      </c>
      <c r="R32" s="33">
        <f>ROUND(MIN(MAX(0,N('Your debts'!$E$12)),H32),2)</f>
      </c>
      <c r="S32" s="33">
        <f>ROUND(MIN(MAX(0,N('Your debts'!$E$13)),I32),2)</f>
      </c>
      <c r="T32" s="33">
        <f>ROUND(MIN(MAX(0,N('Your debts'!$E$14)),J32),2)</f>
      </c>
      <c r="U32" s="33">
        <f>ROUND(MIN(MAX(0,N('Your debts'!$E$15)),K32),2)</f>
      </c>
      <c r="V32" s="33">
        <f>ROUND(B32-L32,2)</f>
      </c>
      <c r="W32" s="33">
        <f>ROUND(C32-M32,2)</f>
      </c>
      <c r="X32" s="33">
        <f>ROUND(D32-N32,2)</f>
      </c>
      <c r="Y32" s="33">
        <f>ROUND(E32-O32,2)</f>
      </c>
      <c r="Z32" s="33">
        <f>ROUND(F32-P32,2)</f>
      </c>
      <c r="AA32" s="33">
        <f>ROUND(G32-Q32,2)</f>
      </c>
      <c r="AB32" s="33">
        <f>ROUND(H32-R32,2)</f>
      </c>
      <c r="AC32" s="33">
        <f>ROUND(I32-S32,2)</f>
      </c>
      <c r="AD32" s="33">
        <f>ROUND(J32-T32,2)</f>
      </c>
      <c r="AE32" s="33">
        <f>ROUND(K32-U32,2)</f>
      </c>
      <c r="AF32" s="33">
        <f>IF(V32&lt;=0,0,MAX(0,MIN(V32,ROUND($AZ32-SUMPRODUCT($V32:$AE32*($V32:$AE32&gt;0)*(($V$3:$AE$3&gt;V$3)+($V$3:$AE$3=V$3)*($V32:$AE32&lt;V32)+($V$3:$AE$3=V$3)*($V32:$AE32=V32)*($V$2:$AE$2&lt;V$2))),2))))</f>
      </c>
      <c r="AG32" s="33">
        <f>IF(W32&lt;=0,0,MAX(0,MIN(W32,ROUND($AZ32-SUMPRODUCT($V32:$AE32*($V32:$AE32&gt;0)*(($V$3:$AE$3&gt;W$3)+($V$3:$AE$3=W$3)*($V32:$AE32&lt;W32)+($V$3:$AE$3=W$3)*($V32:$AE32=W32)*($V$2:$AE$2&lt;W$2))),2))))</f>
      </c>
      <c r="AH32" s="33">
        <f>IF(X32&lt;=0,0,MAX(0,MIN(X32,ROUND($AZ32-SUMPRODUCT($V32:$AE32*($V32:$AE32&gt;0)*(($V$3:$AE$3&gt;X$3)+($V$3:$AE$3=X$3)*($V32:$AE32&lt;X32)+($V$3:$AE$3=X$3)*($V32:$AE32=X32)*($V$2:$AE$2&lt;X$2))),2))))</f>
      </c>
      <c r="AI32" s="33">
        <f>IF(Y32&lt;=0,0,MAX(0,MIN(Y32,ROUND($AZ32-SUMPRODUCT($V32:$AE32*($V32:$AE32&gt;0)*(($V$3:$AE$3&gt;Y$3)+($V$3:$AE$3=Y$3)*($V32:$AE32&lt;Y32)+($V$3:$AE$3=Y$3)*($V32:$AE32=Y32)*($V$2:$AE$2&lt;Y$2))),2))))</f>
      </c>
      <c r="AJ32" s="33">
        <f>IF(Z32&lt;=0,0,MAX(0,MIN(Z32,ROUND($AZ32-SUMPRODUCT($V32:$AE32*($V32:$AE32&gt;0)*(($V$3:$AE$3&gt;Z$3)+($V$3:$AE$3=Z$3)*($V32:$AE32&lt;Z32)+($V$3:$AE$3=Z$3)*($V32:$AE32=Z32)*($V$2:$AE$2&lt;Z$2))),2))))</f>
      </c>
      <c r="AK32" s="33">
        <f>IF(AA32&lt;=0,0,MAX(0,MIN(AA32,ROUND($AZ32-SUMPRODUCT($V32:$AE32*($V32:$AE32&gt;0)*(($V$3:$AE$3&gt;AA$3)+($V$3:$AE$3=AA$3)*($V32:$AE32&lt;AA32)+($V$3:$AE$3=AA$3)*($V32:$AE32=AA32)*($V$2:$AE$2&lt;AA$2))),2))))</f>
      </c>
      <c r="AL32" s="33">
        <f>IF(AB32&lt;=0,0,MAX(0,MIN(AB32,ROUND($AZ32-SUMPRODUCT($V32:$AE32*($V32:$AE32&gt;0)*(($V$3:$AE$3&gt;AB$3)+($V$3:$AE$3=AB$3)*($V32:$AE32&lt;AB32)+($V$3:$AE$3=AB$3)*($V32:$AE32=AB32)*($V$2:$AE$2&lt;AB$2))),2))))</f>
      </c>
      <c r="AM32" s="33">
        <f>IF(AC32&lt;=0,0,MAX(0,MIN(AC32,ROUND($AZ32-SUMPRODUCT($V32:$AE32*($V32:$AE32&gt;0)*(($V$3:$AE$3&gt;AC$3)+($V$3:$AE$3=AC$3)*($V32:$AE32&lt;AC32)+($V$3:$AE$3=AC$3)*($V32:$AE32=AC32)*($V$2:$AE$2&lt;AC$2))),2))))</f>
      </c>
      <c r="AN32" s="33">
        <f>IF(AD32&lt;=0,0,MAX(0,MIN(AD32,ROUND($AZ32-SUMPRODUCT($V32:$AE32*($V32:$AE32&gt;0)*(($V$3:$AE$3&gt;AD$3)+($V$3:$AE$3=AD$3)*($V32:$AE32&lt;AD32)+($V$3:$AE$3=AD$3)*($V32:$AE32=AD32)*($V$2:$AE$2&lt;AD$2))),2))))</f>
      </c>
      <c r="AO32" s="33">
        <f>IF(AE32&lt;=0,0,MAX(0,MIN(AE32,ROUND($AZ32-SUMPRODUCT($V32:$AE32*($V32:$AE32&gt;0)*(($V$3:$AE$3&gt;AE$3)+($V$3:$AE$3=AE$3)*($V32:$AE32&lt;AE32)+($V$3:$AE$3=AE$3)*($V32:$AE32=AE32)*($V$2:$AE$2&lt;AE$2))),2))))</f>
      </c>
      <c r="AP32" s="33">
        <f>ROUND(V32-AF32,2)</f>
      </c>
      <c r="AQ32" s="33">
        <f>ROUND(W32-AG32,2)</f>
      </c>
      <c r="AR32" s="33">
        <f>ROUND(X32-AH32,2)</f>
      </c>
      <c r="AS32" s="33">
        <f>ROUND(Y32-AI32,2)</f>
      </c>
      <c r="AT32" s="33">
        <f>ROUND(Z32-AJ32,2)</f>
      </c>
      <c r="AU32" s="33">
        <f>ROUND(AA32-AK32,2)</f>
      </c>
      <c r="AV32" s="33">
        <f>ROUND(AB32-AL32,2)</f>
      </c>
      <c r="AW32" s="33">
        <f>ROUND(AC32-AM32,2)</f>
      </c>
      <c r="AX32" s="33">
        <f>ROUND(AD32-AN32,2)</f>
      </c>
      <c r="AY32" s="33">
        <f>ROUND(AE32-AO32,2)</f>
      </c>
      <c r="AZ32" s="33">
        <f>ROUND(MAX(0,'Your debts'!$D$22-SUM($L32:$U32)),2)</f>
      </c>
      <c r="BA32" s="33">
        <f>ROUND(SUM($B32:$K32)-SUM($AP31:$AY31),2)</f>
      </c>
      <c r="BB32" s="33">
        <f>SUM($AP32:$AY32)</f>
      </c>
      <c r="BC32" s="33">
        <f>ROUND(SUM($L32:$U32)+SUM($AF32:$AO32),2)</f>
      </c>
    </row>
    <row r="33" spans="1:55" x14ac:dyDescent="0.25">
      <c r="A33">
        <v>26</v>
      </c>
      <c r="B33" s="33">
        <f>IF(AP32&lt;=0,0,ROUND(AP32+ROUND(AP32*V$3/12,2),2))</f>
      </c>
      <c r="C33" s="33">
        <f>IF(AQ32&lt;=0,0,ROUND(AQ32+ROUND(AQ32*W$3/12,2),2))</f>
      </c>
      <c r="D33" s="33">
        <f>IF(AR32&lt;=0,0,ROUND(AR32+ROUND(AR32*X$3/12,2),2))</f>
      </c>
      <c r="E33" s="33">
        <f>IF(AS32&lt;=0,0,ROUND(AS32+ROUND(AS32*Y$3/12,2),2))</f>
      </c>
      <c r="F33" s="33">
        <f>IF(AT32&lt;=0,0,ROUND(AT32+ROUND(AT32*Z$3/12,2),2))</f>
      </c>
      <c r="G33" s="33">
        <f>IF(AU32&lt;=0,0,ROUND(AU32+ROUND(AU32*AA$3/12,2),2))</f>
      </c>
      <c r="H33" s="33">
        <f>IF(AV32&lt;=0,0,ROUND(AV32+ROUND(AV32*AB$3/12,2),2))</f>
      </c>
      <c r="I33" s="33">
        <f>IF(AW32&lt;=0,0,ROUND(AW32+ROUND(AW32*AC$3/12,2),2))</f>
      </c>
      <c r="J33" s="33">
        <f>IF(AX32&lt;=0,0,ROUND(AX32+ROUND(AX32*AD$3/12,2),2))</f>
      </c>
      <c r="K33" s="33">
        <f>IF(AY32&lt;=0,0,ROUND(AY32+ROUND(AY32*AE$3/12,2),2))</f>
      </c>
      <c r="L33" s="33">
        <f>ROUND(MIN(MAX(0,N('Your debts'!$E$6)),B33),2)</f>
      </c>
      <c r="M33" s="33">
        <f>ROUND(MIN(MAX(0,N('Your debts'!$E$7)),C33),2)</f>
      </c>
      <c r="N33" s="33">
        <f>ROUND(MIN(MAX(0,N('Your debts'!$E$8)),D33),2)</f>
      </c>
      <c r="O33" s="33">
        <f>ROUND(MIN(MAX(0,N('Your debts'!$E$9)),E33),2)</f>
      </c>
      <c r="P33" s="33">
        <f>ROUND(MIN(MAX(0,N('Your debts'!$E$10)),F33),2)</f>
      </c>
      <c r="Q33" s="33">
        <f>ROUND(MIN(MAX(0,N('Your debts'!$E$11)),G33),2)</f>
      </c>
      <c r="R33" s="33">
        <f>ROUND(MIN(MAX(0,N('Your debts'!$E$12)),H33),2)</f>
      </c>
      <c r="S33" s="33">
        <f>ROUND(MIN(MAX(0,N('Your debts'!$E$13)),I33),2)</f>
      </c>
      <c r="T33" s="33">
        <f>ROUND(MIN(MAX(0,N('Your debts'!$E$14)),J33),2)</f>
      </c>
      <c r="U33" s="33">
        <f>ROUND(MIN(MAX(0,N('Your debts'!$E$15)),K33),2)</f>
      </c>
      <c r="V33" s="33">
        <f>ROUND(B33-L33,2)</f>
      </c>
      <c r="W33" s="33">
        <f>ROUND(C33-M33,2)</f>
      </c>
      <c r="X33" s="33">
        <f>ROUND(D33-N33,2)</f>
      </c>
      <c r="Y33" s="33">
        <f>ROUND(E33-O33,2)</f>
      </c>
      <c r="Z33" s="33">
        <f>ROUND(F33-P33,2)</f>
      </c>
      <c r="AA33" s="33">
        <f>ROUND(G33-Q33,2)</f>
      </c>
      <c r="AB33" s="33">
        <f>ROUND(H33-R33,2)</f>
      </c>
      <c r="AC33" s="33">
        <f>ROUND(I33-S33,2)</f>
      </c>
      <c r="AD33" s="33">
        <f>ROUND(J33-T33,2)</f>
      </c>
      <c r="AE33" s="33">
        <f>ROUND(K33-U33,2)</f>
      </c>
      <c r="AF33" s="33">
        <f>IF(V33&lt;=0,0,MAX(0,MIN(V33,ROUND($AZ33-SUMPRODUCT($V33:$AE33*($V33:$AE33&gt;0)*(($V$3:$AE$3&gt;V$3)+($V$3:$AE$3=V$3)*($V33:$AE33&lt;V33)+($V$3:$AE$3=V$3)*($V33:$AE33=V33)*($V$2:$AE$2&lt;V$2))),2))))</f>
      </c>
      <c r="AG33" s="33">
        <f>IF(W33&lt;=0,0,MAX(0,MIN(W33,ROUND($AZ33-SUMPRODUCT($V33:$AE33*($V33:$AE33&gt;0)*(($V$3:$AE$3&gt;W$3)+($V$3:$AE$3=W$3)*($V33:$AE33&lt;W33)+($V$3:$AE$3=W$3)*($V33:$AE33=W33)*($V$2:$AE$2&lt;W$2))),2))))</f>
      </c>
      <c r="AH33" s="33">
        <f>IF(X33&lt;=0,0,MAX(0,MIN(X33,ROUND($AZ33-SUMPRODUCT($V33:$AE33*($V33:$AE33&gt;0)*(($V$3:$AE$3&gt;X$3)+($V$3:$AE$3=X$3)*($V33:$AE33&lt;X33)+($V$3:$AE$3=X$3)*($V33:$AE33=X33)*($V$2:$AE$2&lt;X$2))),2))))</f>
      </c>
      <c r="AI33" s="33">
        <f>IF(Y33&lt;=0,0,MAX(0,MIN(Y33,ROUND($AZ33-SUMPRODUCT($V33:$AE33*($V33:$AE33&gt;0)*(($V$3:$AE$3&gt;Y$3)+($V$3:$AE$3=Y$3)*($V33:$AE33&lt;Y33)+($V$3:$AE$3=Y$3)*($V33:$AE33=Y33)*($V$2:$AE$2&lt;Y$2))),2))))</f>
      </c>
      <c r="AJ33" s="33">
        <f>IF(Z33&lt;=0,0,MAX(0,MIN(Z33,ROUND($AZ33-SUMPRODUCT($V33:$AE33*($V33:$AE33&gt;0)*(($V$3:$AE$3&gt;Z$3)+($V$3:$AE$3=Z$3)*($V33:$AE33&lt;Z33)+($V$3:$AE$3=Z$3)*($V33:$AE33=Z33)*($V$2:$AE$2&lt;Z$2))),2))))</f>
      </c>
      <c r="AK33" s="33">
        <f>IF(AA33&lt;=0,0,MAX(0,MIN(AA33,ROUND($AZ33-SUMPRODUCT($V33:$AE33*($V33:$AE33&gt;0)*(($V$3:$AE$3&gt;AA$3)+($V$3:$AE$3=AA$3)*($V33:$AE33&lt;AA33)+($V$3:$AE$3=AA$3)*($V33:$AE33=AA33)*($V$2:$AE$2&lt;AA$2))),2))))</f>
      </c>
      <c r="AL33" s="33">
        <f>IF(AB33&lt;=0,0,MAX(0,MIN(AB33,ROUND($AZ33-SUMPRODUCT($V33:$AE33*($V33:$AE33&gt;0)*(($V$3:$AE$3&gt;AB$3)+($V$3:$AE$3=AB$3)*($V33:$AE33&lt;AB33)+($V$3:$AE$3=AB$3)*($V33:$AE33=AB33)*($V$2:$AE$2&lt;AB$2))),2))))</f>
      </c>
      <c r="AM33" s="33">
        <f>IF(AC33&lt;=0,0,MAX(0,MIN(AC33,ROUND($AZ33-SUMPRODUCT($V33:$AE33*($V33:$AE33&gt;0)*(($V$3:$AE$3&gt;AC$3)+($V$3:$AE$3=AC$3)*($V33:$AE33&lt;AC33)+($V$3:$AE$3=AC$3)*($V33:$AE33=AC33)*($V$2:$AE$2&lt;AC$2))),2))))</f>
      </c>
      <c r="AN33" s="33">
        <f>IF(AD33&lt;=0,0,MAX(0,MIN(AD33,ROUND($AZ33-SUMPRODUCT($V33:$AE33*($V33:$AE33&gt;0)*(($V$3:$AE$3&gt;AD$3)+($V$3:$AE$3=AD$3)*($V33:$AE33&lt;AD33)+($V$3:$AE$3=AD$3)*($V33:$AE33=AD33)*($V$2:$AE$2&lt;AD$2))),2))))</f>
      </c>
      <c r="AO33" s="33">
        <f>IF(AE33&lt;=0,0,MAX(0,MIN(AE33,ROUND($AZ33-SUMPRODUCT($V33:$AE33*($V33:$AE33&gt;0)*(($V$3:$AE$3&gt;AE$3)+($V$3:$AE$3=AE$3)*($V33:$AE33&lt;AE33)+($V$3:$AE$3=AE$3)*($V33:$AE33=AE33)*($V$2:$AE$2&lt;AE$2))),2))))</f>
      </c>
      <c r="AP33" s="33">
        <f>ROUND(V33-AF33,2)</f>
      </c>
      <c r="AQ33" s="33">
        <f>ROUND(W33-AG33,2)</f>
      </c>
      <c r="AR33" s="33">
        <f>ROUND(X33-AH33,2)</f>
      </c>
      <c r="AS33" s="33">
        <f>ROUND(Y33-AI33,2)</f>
      </c>
      <c r="AT33" s="33">
        <f>ROUND(Z33-AJ33,2)</f>
      </c>
      <c r="AU33" s="33">
        <f>ROUND(AA33-AK33,2)</f>
      </c>
      <c r="AV33" s="33">
        <f>ROUND(AB33-AL33,2)</f>
      </c>
      <c r="AW33" s="33">
        <f>ROUND(AC33-AM33,2)</f>
      </c>
      <c r="AX33" s="33">
        <f>ROUND(AD33-AN33,2)</f>
      </c>
      <c r="AY33" s="33">
        <f>ROUND(AE33-AO33,2)</f>
      </c>
      <c r="AZ33" s="33">
        <f>ROUND(MAX(0,'Your debts'!$D$22-SUM($L33:$U33)),2)</f>
      </c>
      <c r="BA33" s="33">
        <f>ROUND(SUM($B33:$K33)-SUM($AP32:$AY32),2)</f>
      </c>
      <c r="BB33" s="33">
        <f>SUM($AP33:$AY33)</f>
      </c>
      <c r="BC33" s="33">
        <f>ROUND(SUM($L33:$U33)+SUM($AF33:$AO33),2)</f>
      </c>
    </row>
    <row r="34" spans="1:55" x14ac:dyDescent="0.25">
      <c r="A34">
        <v>27</v>
      </c>
      <c r="B34" s="33">
        <f>IF(AP33&lt;=0,0,ROUND(AP33+ROUND(AP33*V$3/12,2),2))</f>
      </c>
      <c r="C34" s="33">
        <f>IF(AQ33&lt;=0,0,ROUND(AQ33+ROUND(AQ33*W$3/12,2),2))</f>
      </c>
      <c r="D34" s="33">
        <f>IF(AR33&lt;=0,0,ROUND(AR33+ROUND(AR33*X$3/12,2),2))</f>
      </c>
      <c r="E34" s="33">
        <f>IF(AS33&lt;=0,0,ROUND(AS33+ROUND(AS33*Y$3/12,2),2))</f>
      </c>
      <c r="F34" s="33">
        <f>IF(AT33&lt;=0,0,ROUND(AT33+ROUND(AT33*Z$3/12,2),2))</f>
      </c>
      <c r="G34" s="33">
        <f>IF(AU33&lt;=0,0,ROUND(AU33+ROUND(AU33*AA$3/12,2),2))</f>
      </c>
      <c r="H34" s="33">
        <f>IF(AV33&lt;=0,0,ROUND(AV33+ROUND(AV33*AB$3/12,2),2))</f>
      </c>
      <c r="I34" s="33">
        <f>IF(AW33&lt;=0,0,ROUND(AW33+ROUND(AW33*AC$3/12,2),2))</f>
      </c>
      <c r="J34" s="33">
        <f>IF(AX33&lt;=0,0,ROUND(AX33+ROUND(AX33*AD$3/12,2),2))</f>
      </c>
      <c r="K34" s="33">
        <f>IF(AY33&lt;=0,0,ROUND(AY33+ROUND(AY33*AE$3/12,2),2))</f>
      </c>
      <c r="L34" s="33">
        <f>ROUND(MIN(MAX(0,N('Your debts'!$E$6)),B34),2)</f>
      </c>
      <c r="M34" s="33">
        <f>ROUND(MIN(MAX(0,N('Your debts'!$E$7)),C34),2)</f>
      </c>
      <c r="N34" s="33">
        <f>ROUND(MIN(MAX(0,N('Your debts'!$E$8)),D34),2)</f>
      </c>
      <c r="O34" s="33">
        <f>ROUND(MIN(MAX(0,N('Your debts'!$E$9)),E34),2)</f>
      </c>
      <c r="P34" s="33">
        <f>ROUND(MIN(MAX(0,N('Your debts'!$E$10)),F34),2)</f>
      </c>
      <c r="Q34" s="33">
        <f>ROUND(MIN(MAX(0,N('Your debts'!$E$11)),G34),2)</f>
      </c>
      <c r="R34" s="33">
        <f>ROUND(MIN(MAX(0,N('Your debts'!$E$12)),H34),2)</f>
      </c>
      <c r="S34" s="33">
        <f>ROUND(MIN(MAX(0,N('Your debts'!$E$13)),I34),2)</f>
      </c>
      <c r="T34" s="33">
        <f>ROUND(MIN(MAX(0,N('Your debts'!$E$14)),J34),2)</f>
      </c>
      <c r="U34" s="33">
        <f>ROUND(MIN(MAX(0,N('Your debts'!$E$15)),K34),2)</f>
      </c>
      <c r="V34" s="33">
        <f>ROUND(B34-L34,2)</f>
      </c>
      <c r="W34" s="33">
        <f>ROUND(C34-M34,2)</f>
      </c>
      <c r="X34" s="33">
        <f>ROUND(D34-N34,2)</f>
      </c>
      <c r="Y34" s="33">
        <f>ROUND(E34-O34,2)</f>
      </c>
      <c r="Z34" s="33">
        <f>ROUND(F34-P34,2)</f>
      </c>
      <c r="AA34" s="33">
        <f>ROUND(G34-Q34,2)</f>
      </c>
      <c r="AB34" s="33">
        <f>ROUND(H34-R34,2)</f>
      </c>
      <c r="AC34" s="33">
        <f>ROUND(I34-S34,2)</f>
      </c>
      <c r="AD34" s="33">
        <f>ROUND(J34-T34,2)</f>
      </c>
      <c r="AE34" s="33">
        <f>ROUND(K34-U34,2)</f>
      </c>
      <c r="AF34" s="33">
        <f>IF(V34&lt;=0,0,MAX(0,MIN(V34,ROUND($AZ34-SUMPRODUCT($V34:$AE34*($V34:$AE34&gt;0)*(($V$3:$AE$3&gt;V$3)+($V$3:$AE$3=V$3)*($V34:$AE34&lt;V34)+($V$3:$AE$3=V$3)*($V34:$AE34=V34)*($V$2:$AE$2&lt;V$2))),2))))</f>
      </c>
      <c r="AG34" s="33">
        <f>IF(W34&lt;=0,0,MAX(0,MIN(W34,ROUND($AZ34-SUMPRODUCT($V34:$AE34*($V34:$AE34&gt;0)*(($V$3:$AE$3&gt;W$3)+($V$3:$AE$3=W$3)*($V34:$AE34&lt;W34)+($V$3:$AE$3=W$3)*($V34:$AE34=W34)*($V$2:$AE$2&lt;W$2))),2))))</f>
      </c>
      <c r="AH34" s="33">
        <f>IF(X34&lt;=0,0,MAX(0,MIN(X34,ROUND($AZ34-SUMPRODUCT($V34:$AE34*($V34:$AE34&gt;0)*(($V$3:$AE$3&gt;X$3)+($V$3:$AE$3=X$3)*($V34:$AE34&lt;X34)+($V$3:$AE$3=X$3)*($V34:$AE34=X34)*($V$2:$AE$2&lt;X$2))),2))))</f>
      </c>
      <c r="AI34" s="33">
        <f>IF(Y34&lt;=0,0,MAX(0,MIN(Y34,ROUND($AZ34-SUMPRODUCT($V34:$AE34*($V34:$AE34&gt;0)*(($V$3:$AE$3&gt;Y$3)+($V$3:$AE$3=Y$3)*($V34:$AE34&lt;Y34)+($V$3:$AE$3=Y$3)*($V34:$AE34=Y34)*($V$2:$AE$2&lt;Y$2))),2))))</f>
      </c>
      <c r="AJ34" s="33">
        <f>IF(Z34&lt;=0,0,MAX(0,MIN(Z34,ROUND($AZ34-SUMPRODUCT($V34:$AE34*($V34:$AE34&gt;0)*(($V$3:$AE$3&gt;Z$3)+($V$3:$AE$3=Z$3)*($V34:$AE34&lt;Z34)+($V$3:$AE$3=Z$3)*($V34:$AE34=Z34)*($V$2:$AE$2&lt;Z$2))),2))))</f>
      </c>
      <c r="AK34" s="33">
        <f>IF(AA34&lt;=0,0,MAX(0,MIN(AA34,ROUND($AZ34-SUMPRODUCT($V34:$AE34*($V34:$AE34&gt;0)*(($V$3:$AE$3&gt;AA$3)+($V$3:$AE$3=AA$3)*($V34:$AE34&lt;AA34)+($V$3:$AE$3=AA$3)*($V34:$AE34=AA34)*($V$2:$AE$2&lt;AA$2))),2))))</f>
      </c>
      <c r="AL34" s="33">
        <f>IF(AB34&lt;=0,0,MAX(0,MIN(AB34,ROUND($AZ34-SUMPRODUCT($V34:$AE34*($V34:$AE34&gt;0)*(($V$3:$AE$3&gt;AB$3)+($V$3:$AE$3=AB$3)*($V34:$AE34&lt;AB34)+($V$3:$AE$3=AB$3)*($V34:$AE34=AB34)*($V$2:$AE$2&lt;AB$2))),2))))</f>
      </c>
      <c r="AM34" s="33">
        <f>IF(AC34&lt;=0,0,MAX(0,MIN(AC34,ROUND($AZ34-SUMPRODUCT($V34:$AE34*($V34:$AE34&gt;0)*(($V$3:$AE$3&gt;AC$3)+($V$3:$AE$3=AC$3)*($V34:$AE34&lt;AC34)+($V$3:$AE$3=AC$3)*($V34:$AE34=AC34)*($V$2:$AE$2&lt;AC$2))),2))))</f>
      </c>
      <c r="AN34" s="33">
        <f>IF(AD34&lt;=0,0,MAX(0,MIN(AD34,ROUND($AZ34-SUMPRODUCT($V34:$AE34*($V34:$AE34&gt;0)*(($V$3:$AE$3&gt;AD$3)+($V$3:$AE$3=AD$3)*($V34:$AE34&lt;AD34)+($V$3:$AE$3=AD$3)*($V34:$AE34=AD34)*($V$2:$AE$2&lt;AD$2))),2))))</f>
      </c>
      <c r="AO34" s="33">
        <f>IF(AE34&lt;=0,0,MAX(0,MIN(AE34,ROUND($AZ34-SUMPRODUCT($V34:$AE34*($V34:$AE34&gt;0)*(($V$3:$AE$3&gt;AE$3)+($V$3:$AE$3=AE$3)*($V34:$AE34&lt;AE34)+($V$3:$AE$3=AE$3)*($V34:$AE34=AE34)*($V$2:$AE$2&lt;AE$2))),2))))</f>
      </c>
      <c r="AP34" s="33">
        <f>ROUND(V34-AF34,2)</f>
      </c>
      <c r="AQ34" s="33">
        <f>ROUND(W34-AG34,2)</f>
      </c>
      <c r="AR34" s="33">
        <f>ROUND(X34-AH34,2)</f>
      </c>
      <c r="AS34" s="33">
        <f>ROUND(Y34-AI34,2)</f>
      </c>
      <c r="AT34" s="33">
        <f>ROUND(Z34-AJ34,2)</f>
      </c>
      <c r="AU34" s="33">
        <f>ROUND(AA34-AK34,2)</f>
      </c>
      <c r="AV34" s="33">
        <f>ROUND(AB34-AL34,2)</f>
      </c>
      <c r="AW34" s="33">
        <f>ROUND(AC34-AM34,2)</f>
      </c>
      <c r="AX34" s="33">
        <f>ROUND(AD34-AN34,2)</f>
      </c>
      <c r="AY34" s="33">
        <f>ROUND(AE34-AO34,2)</f>
      </c>
      <c r="AZ34" s="33">
        <f>ROUND(MAX(0,'Your debts'!$D$22-SUM($L34:$U34)),2)</f>
      </c>
      <c r="BA34" s="33">
        <f>ROUND(SUM($B34:$K34)-SUM($AP33:$AY33),2)</f>
      </c>
      <c r="BB34" s="33">
        <f>SUM($AP34:$AY34)</f>
      </c>
      <c r="BC34" s="33">
        <f>ROUND(SUM($L34:$U34)+SUM($AF34:$AO34),2)</f>
      </c>
    </row>
    <row r="35" spans="1:55" x14ac:dyDescent="0.25">
      <c r="A35">
        <v>28</v>
      </c>
      <c r="B35" s="33">
        <f>IF(AP34&lt;=0,0,ROUND(AP34+ROUND(AP34*V$3/12,2),2))</f>
      </c>
      <c r="C35" s="33">
        <f>IF(AQ34&lt;=0,0,ROUND(AQ34+ROUND(AQ34*W$3/12,2),2))</f>
      </c>
      <c r="D35" s="33">
        <f>IF(AR34&lt;=0,0,ROUND(AR34+ROUND(AR34*X$3/12,2),2))</f>
      </c>
      <c r="E35" s="33">
        <f>IF(AS34&lt;=0,0,ROUND(AS34+ROUND(AS34*Y$3/12,2),2))</f>
      </c>
      <c r="F35" s="33">
        <f>IF(AT34&lt;=0,0,ROUND(AT34+ROUND(AT34*Z$3/12,2),2))</f>
      </c>
      <c r="G35" s="33">
        <f>IF(AU34&lt;=0,0,ROUND(AU34+ROUND(AU34*AA$3/12,2),2))</f>
      </c>
      <c r="H35" s="33">
        <f>IF(AV34&lt;=0,0,ROUND(AV34+ROUND(AV34*AB$3/12,2),2))</f>
      </c>
      <c r="I35" s="33">
        <f>IF(AW34&lt;=0,0,ROUND(AW34+ROUND(AW34*AC$3/12,2),2))</f>
      </c>
      <c r="J35" s="33">
        <f>IF(AX34&lt;=0,0,ROUND(AX34+ROUND(AX34*AD$3/12,2),2))</f>
      </c>
      <c r="K35" s="33">
        <f>IF(AY34&lt;=0,0,ROUND(AY34+ROUND(AY34*AE$3/12,2),2))</f>
      </c>
      <c r="L35" s="33">
        <f>ROUND(MIN(MAX(0,N('Your debts'!$E$6)),B35),2)</f>
      </c>
      <c r="M35" s="33">
        <f>ROUND(MIN(MAX(0,N('Your debts'!$E$7)),C35),2)</f>
      </c>
      <c r="N35" s="33">
        <f>ROUND(MIN(MAX(0,N('Your debts'!$E$8)),D35),2)</f>
      </c>
      <c r="O35" s="33">
        <f>ROUND(MIN(MAX(0,N('Your debts'!$E$9)),E35),2)</f>
      </c>
      <c r="P35" s="33">
        <f>ROUND(MIN(MAX(0,N('Your debts'!$E$10)),F35),2)</f>
      </c>
      <c r="Q35" s="33">
        <f>ROUND(MIN(MAX(0,N('Your debts'!$E$11)),G35),2)</f>
      </c>
      <c r="R35" s="33">
        <f>ROUND(MIN(MAX(0,N('Your debts'!$E$12)),H35),2)</f>
      </c>
      <c r="S35" s="33">
        <f>ROUND(MIN(MAX(0,N('Your debts'!$E$13)),I35),2)</f>
      </c>
      <c r="T35" s="33">
        <f>ROUND(MIN(MAX(0,N('Your debts'!$E$14)),J35),2)</f>
      </c>
      <c r="U35" s="33">
        <f>ROUND(MIN(MAX(0,N('Your debts'!$E$15)),K35),2)</f>
      </c>
      <c r="V35" s="33">
        <f>ROUND(B35-L35,2)</f>
      </c>
      <c r="W35" s="33">
        <f>ROUND(C35-M35,2)</f>
      </c>
      <c r="X35" s="33">
        <f>ROUND(D35-N35,2)</f>
      </c>
      <c r="Y35" s="33">
        <f>ROUND(E35-O35,2)</f>
      </c>
      <c r="Z35" s="33">
        <f>ROUND(F35-P35,2)</f>
      </c>
      <c r="AA35" s="33">
        <f>ROUND(G35-Q35,2)</f>
      </c>
      <c r="AB35" s="33">
        <f>ROUND(H35-R35,2)</f>
      </c>
      <c r="AC35" s="33">
        <f>ROUND(I35-S35,2)</f>
      </c>
      <c r="AD35" s="33">
        <f>ROUND(J35-T35,2)</f>
      </c>
      <c r="AE35" s="33">
        <f>ROUND(K35-U35,2)</f>
      </c>
      <c r="AF35" s="33">
        <f>IF(V35&lt;=0,0,MAX(0,MIN(V35,ROUND($AZ35-SUMPRODUCT($V35:$AE35*($V35:$AE35&gt;0)*(($V$3:$AE$3&gt;V$3)+($V$3:$AE$3=V$3)*($V35:$AE35&lt;V35)+($V$3:$AE$3=V$3)*($V35:$AE35=V35)*($V$2:$AE$2&lt;V$2))),2))))</f>
      </c>
      <c r="AG35" s="33">
        <f>IF(W35&lt;=0,0,MAX(0,MIN(W35,ROUND($AZ35-SUMPRODUCT($V35:$AE35*($V35:$AE35&gt;0)*(($V$3:$AE$3&gt;W$3)+($V$3:$AE$3=W$3)*($V35:$AE35&lt;W35)+($V$3:$AE$3=W$3)*($V35:$AE35=W35)*($V$2:$AE$2&lt;W$2))),2))))</f>
      </c>
      <c r="AH35" s="33">
        <f>IF(X35&lt;=0,0,MAX(0,MIN(X35,ROUND($AZ35-SUMPRODUCT($V35:$AE35*($V35:$AE35&gt;0)*(($V$3:$AE$3&gt;X$3)+($V$3:$AE$3=X$3)*($V35:$AE35&lt;X35)+($V$3:$AE$3=X$3)*($V35:$AE35=X35)*($V$2:$AE$2&lt;X$2))),2))))</f>
      </c>
      <c r="AI35" s="33">
        <f>IF(Y35&lt;=0,0,MAX(0,MIN(Y35,ROUND($AZ35-SUMPRODUCT($V35:$AE35*($V35:$AE35&gt;0)*(($V$3:$AE$3&gt;Y$3)+($V$3:$AE$3=Y$3)*($V35:$AE35&lt;Y35)+($V$3:$AE$3=Y$3)*($V35:$AE35=Y35)*($V$2:$AE$2&lt;Y$2))),2))))</f>
      </c>
      <c r="AJ35" s="33">
        <f>IF(Z35&lt;=0,0,MAX(0,MIN(Z35,ROUND($AZ35-SUMPRODUCT($V35:$AE35*($V35:$AE35&gt;0)*(($V$3:$AE$3&gt;Z$3)+($V$3:$AE$3=Z$3)*($V35:$AE35&lt;Z35)+($V$3:$AE$3=Z$3)*($V35:$AE35=Z35)*($V$2:$AE$2&lt;Z$2))),2))))</f>
      </c>
      <c r="AK35" s="33">
        <f>IF(AA35&lt;=0,0,MAX(0,MIN(AA35,ROUND($AZ35-SUMPRODUCT($V35:$AE35*($V35:$AE35&gt;0)*(($V$3:$AE$3&gt;AA$3)+($V$3:$AE$3=AA$3)*($V35:$AE35&lt;AA35)+($V$3:$AE$3=AA$3)*($V35:$AE35=AA35)*($V$2:$AE$2&lt;AA$2))),2))))</f>
      </c>
      <c r="AL35" s="33">
        <f>IF(AB35&lt;=0,0,MAX(0,MIN(AB35,ROUND($AZ35-SUMPRODUCT($V35:$AE35*($V35:$AE35&gt;0)*(($V$3:$AE$3&gt;AB$3)+($V$3:$AE$3=AB$3)*($V35:$AE35&lt;AB35)+($V$3:$AE$3=AB$3)*($V35:$AE35=AB35)*($V$2:$AE$2&lt;AB$2))),2))))</f>
      </c>
      <c r="AM35" s="33">
        <f>IF(AC35&lt;=0,0,MAX(0,MIN(AC35,ROUND($AZ35-SUMPRODUCT($V35:$AE35*($V35:$AE35&gt;0)*(($V$3:$AE$3&gt;AC$3)+($V$3:$AE$3=AC$3)*($V35:$AE35&lt;AC35)+($V$3:$AE$3=AC$3)*($V35:$AE35=AC35)*($V$2:$AE$2&lt;AC$2))),2))))</f>
      </c>
      <c r="AN35" s="33">
        <f>IF(AD35&lt;=0,0,MAX(0,MIN(AD35,ROUND($AZ35-SUMPRODUCT($V35:$AE35*($V35:$AE35&gt;0)*(($V$3:$AE$3&gt;AD$3)+($V$3:$AE$3=AD$3)*($V35:$AE35&lt;AD35)+($V$3:$AE$3=AD$3)*($V35:$AE35=AD35)*($V$2:$AE$2&lt;AD$2))),2))))</f>
      </c>
      <c r="AO35" s="33">
        <f>IF(AE35&lt;=0,0,MAX(0,MIN(AE35,ROUND($AZ35-SUMPRODUCT($V35:$AE35*($V35:$AE35&gt;0)*(($V$3:$AE$3&gt;AE$3)+($V$3:$AE$3=AE$3)*($V35:$AE35&lt;AE35)+($V$3:$AE$3=AE$3)*($V35:$AE35=AE35)*($V$2:$AE$2&lt;AE$2))),2))))</f>
      </c>
      <c r="AP35" s="33">
        <f>ROUND(V35-AF35,2)</f>
      </c>
      <c r="AQ35" s="33">
        <f>ROUND(W35-AG35,2)</f>
      </c>
      <c r="AR35" s="33">
        <f>ROUND(X35-AH35,2)</f>
      </c>
      <c r="AS35" s="33">
        <f>ROUND(Y35-AI35,2)</f>
      </c>
      <c r="AT35" s="33">
        <f>ROUND(Z35-AJ35,2)</f>
      </c>
      <c r="AU35" s="33">
        <f>ROUND(AA35-AK35,2)</f>
      </c>
      <c r="AV35" s="33">
        <f>ROUND(AB35-AL35,2)</f>
      </c>
      <c r="AW35" s="33">
        <f>ROUND(AC35-AM35,2)</f>
      </c>
      <c r="AX35" s="33">
        <f>ROUND(AD35-AN35,2)</f>
      </c>
      <c r="AY35" s="33">
        <f>ROUND(AE35-AO35,2)</f>
      </c>
      <c r="AZ35" s="33">
        <f>ROUND(MAX(0,'Your debts'!$D$22-SUM($L35:$U35)),2)</f>
      </c>
      <c r="BA35" s="33">
        <f>ROUND(SUM($B35:$K35)-SUM($AP34:$AY34),2)</f>
      </c>
      <c r="BB35" s="33">
        <f>SUM($AP35:$AY35)</f>
      </c>
      <c r="BC35" s="33">
        <f>ROUND(SUM($L35:$U35)+SUM($AF35:$AO35),2)</f>
      </c>
    </row>
    <row r="36" spans="1:55" x14ac:dyDescent="0.25">
      <c r="A36">
        <v>29</v>
      </c>
      <c r="B36" s="33">
        <f>IF(AP35&lt;=0,0,ROUND(AP35+ROUND(AP35*V$3/12,2),2))</f>
      </c>
      <c r="C36" s="33">
        <f>IF(AQ35&lt;=0,0,ROUND(AQ35+ROUND(AQ35*W$3/12,2),2))</f>
      </c>
      <c r="D36" s="33">
        <f>IF(AR35&lt;=0,0,ROUND(AR35+ROUND(AR35*X$3/12,2),2))</f>
      </c>
      <c r="E36" s="33">
        <f>IF(AS35&lt;=0,0,ROUND(AS35+ROUND(AS35*Y$3/12,2),2))</f>
      </c>
      <c r="F36" s="33">
        <f>IF(AT35&lt;=0,0,ROUND(AT35+ROUND(AT35*Z$3/12,2),2))</f>
      </c>
      <c r="G36" s="33">
        <f>IF(AU35&lt;=0,0,ROUND(AU35+ROUND(AU35*AA$3/12,2),2))</f>
      </c>
      <c r="H36" s="33">
        <f>IF(AV35&lt;=0,0,ROUND(AV35+ROUND(AV35*AB$3/12,2),2))</f>
      </c>
      <c r="I36" s="33">
        <f>IF(AW35&lt;=0,0,ROUND(AW35+ROUND(AW35*AC$3/12,2),2))</f>
      </c>
      <c r="J36" s="33">
        <f>IF(AX35&lt;=0,0,ROUND(AX35+ROUND(AX35*AD$3/12,2),2))</f>
      </c>
      <c r="K36" s="33">
        <f>IF(AY35&lt;=0,0,ROUND(AY35+ROUND(AY35*AE$3/12,2),2))</f>
      </c>
      <c r="L36" s="33">
        <f>ROUND(MIN(MAX(0,N('Your debts'!$E$6)),B36),2)</f>
      </c>
      <c r="M36" s="33">
        <f>ROUND(MIN(MAX(0,N('Your debts'!$E$7)),C36),2)</f>
      </c>
      <c r="N36" s="33">
        <f>ROUND(MIN(MAX(0,N('Your debts'!$E$8)),D36),2)</f>
      </c>
      <c r="O36" s="33">
        <f>ROUND(MIN(MAX(0,N('Your debts'!$E$9)),E36),2)</f>
      </c>
      <c r="P36" s="33">
        <f>ROUND(MIN(MAX(0,N('Your debts'!$E$10)),F36),2)</f>
      </c>
      <c r="Q36" s="33">
        <f>ROUND(MIN(MAX(0,N('Your debts'!$E$11)),G36),2)</f>
      </c>
      <c r="R36" s="33">
        <f>ROUND(MIN(MAX(0,N('Your debts'!$E$12)),H36),2)</f>
      </c>
      <c r="S36" s="33">
        <f>ROUND(MIN(MAX(0,N('Your debts'!$E$13)),I36),2)</f>
      </c>
      <c r="T36" s="33">
        <f>ROUND(MIN(MAX(0,N('Your debts'!$E$14)),J36),2)</f>
      </c>
      <c r="U36" s="33">
        <f>ROUND(MIN(MAX(0,N('Your debts'!$E$15)),K36),2)</f>
      </c>
      <c r="V36" s="33">
        <f>ROUND(B36-L36,2)</f>
      </c>
      <c r="W36" s="33">
        <f>ROUND(C36-M36,2)</f>
      </c>
      <c r="X36" s="33">
        <f>ROUND(D36-N36,2)</f>
      </c>
      <c r="Y36" s="33">
        <f>ROUND(E36-O36,2)</f>
      </c>
      <c r="Z36" s="33">
        <f>ROUND(F36-P36,2)</f>
      </c>
      <c r="AA36" s="33">
        <f>ROUND(G36-Q36,2)</f>
      </c>
      <c r="AB36" s="33">
        <f>ROUND(H36-R36,2)</f>
      </c>
      <c r="AC36" s="33">
        <f>ROUND(I36-S36,2)</f>
      </c>
      <c r="AD36" s="33">
        <f>ROUND(J36-T36,2)</f>
      </c>
      <c r="AE36" s="33">
        <f>ROUND(K36-U36,2)</f>
      </c>
      <c r="AF36" s="33">
        <f>IF(V36&lt;=0,0,MAX(0,MIN(V36,ROUND($AZ36-SUMPRODUCT($V36:$AE36*($V36:$AE36&gt;0)*(($V$3:$AE$3&gt;V$3)+($V$3:$AE$3=V$3)*($V36:$AE36&lt;V36)+($V$3:$AE$3=V$3)*($V36:$AE36=V36)*($V$2:$AE$2&lt;V$2))),2))))</f>
      </c>
      <c r="AG36" s="33">
        <f>IF(W36&lt;=0,0,MAX(0,MIN(W36,ROUND($AZ36-SUMPRODUCT($V36:$AE36*($V36:$AE36&gt;0)*(($V$3:$AE$3&gt;W$3)+($V$3:$AE$3=W$3)*($V36:$AE36&lt;W36)+($V$3:$AE$3=W$3)*($V36:$AE36=W36)*($V$2:$AE$2&lt;W$2))),2))))</f>
      </c>
      <c r="AH36" s="33">
        <f>IF(X36&lt;=0,0,MAX(0,MIN(X36,ROUND($AZ36-SUMPRODUCT($V36:$AE36*($V36:$AE36&gt;0)*(($V$3:$AE$3&gt;X$3)+($V$3:$AE$3=X$3)*($V36:$AE36&lt;X36)+($V$3:$AE$3=X$3)*($V36:$AE36=X36)*($V$2:$AE$2&lt;X$2))),2))))</f>
      </c>
      <c r="AI36" s="33">
        <f>IF(Y36&lt;=0,0,MAX(0,MIN(Y36,ROUND($AZ36-SUMPRODUCT($V36:$AE36*($V36:$AE36&gt;0)*(($V$3:$AE$3&gt;Y$3)+($V$3:$AE$3=Y$3)*($V36:$AE36&lt;Y36)+($V$3:$AE$3=Y$3)*($V36:$AE36=Y36)*($V$2:$AE$2&lt;Y$2))),2))))</f>
      </c>
      <c r="AJ36" s="33">
        <f>IF(Z36&lt;=0,0,MAX(0,MIN(Z36,ROUND($AZ36-SUMPRODUCT($V36:$AE36*($V36:$AE36&gt;0)*(($V$3:$AE$3&gt;Z$3)+($V$3:$AE$3=Z$3)*($V36:$AE36&lt;Z36)+($V$3:$AE$3=Z$3)*($V36:$AE36=Z36)*($V$2:$AE$2&lt;Z$2))),2))))</f>
      </c>
      <c r="AK36" s="33">
        <f>IF(AA36&lt;=0,0,MAX(0,MIN(AA36,ROUND($AZ36-SUMPRODUCT($V36:$AE36*($V36:$AE36&gt;0)*(($V$3:$AE$3&gt;AA$3)+($V$3:$AE$3=AA$3)*($V36:$AE36&lt;AA36)+($V$3:$AE$3=AA$3)*($V36:$AE36=AA36)*($V$2:$AE$2&lt;AA$2))),2))))</f>
      </c>
      <c r="AL36" s="33">
        <f>IF(AB36&lt;=0,0,MAX(0,MIN(AB36,ROUND($AZ36-SUMPRODUCT($V36:$AE36*($V36:$AE36&gt;0)*(($V$3:$AE$3&gt;AB$3)+($V$3:$AE$3=AB$3)*($V36:$AE36&lt;AB36)+($V$3:$AE$3=AB$3)*($V36:$AE36=AB36)*($V$2:$AE$2&lt;AB$2))),2))))</f>
      </c>
      <c r="AM36" s="33">
        <f>IF(AC36&lt;=0,0,MAX(0,MIN(AC36,ROUND($AZ36-SUMPRODUCT($V36:$AE36*($V36:$AE36&gt;0)*(($V$3:$AE$3&gt;AC$3)+($V$3:$AE$3=AC$3)*($V36:$AE36&lt;AC36)+($V$3:$AE$3=AC$3)*($V36:$AE36=AC36)*($V$2:$AE$2&lt;AC$2))),2))))</f>
      </c>
      <c r="AN36" s="33">
        <f>IF(AD36&lt;=0,0,MAX(0,MIN(AD36,ROUND($AZ36-SUMPRODUCT($V36:$AE36*($V36:$AE36&gt;0)*(($V$3:$AE$3&gt;AD$3)+($V$3:$AE$3=AD$3)*($V36:$AE36&lt;AD36)+($V$3:$AE$3=AD$3)*($V36:$AE36=AD36)*($V$2:$AE$2&lt;AD$2))),2))))</f>
      </c>
      <c r="AO36" s="33">
        <f>IF(AE36&lt;=0,0,MAX(0,MIN(AE36,ROUND($AZ36-SUMPRODUCT($V36:$AE36*($V36:$AE36&gt;0)*(($V$3:$AE$3&gt;AE$3)+($V$3:$AE$3=AE$3)*($V36:$AE36&lt;AE36)+($V$3:$AE$3=AE$3)*($V36:$AE36=AE36)*($V$2:$AE$2&lt;AE$2))),2))))</f>
      </c>
      <c r="AP36" s="33">
        <f>ROUND(V36-AF36,2)</f>
      </c>
      <c r="AQ36" s="33">
        <f>ROUND(W36-AG36,2)</f>
      </c>
      <c r="AR36" s="33">
        <f>ROUND(X36-AH36,2)</f>
      </c>
      <c r="AS36" s="33">
        <f>ROUND(Y36-AI36,2)</f>
      </c>
      <c r="AT36" s="33">
        <f>ROUND(Z36-AJ36,2)</f>
      </c>
      <c r="AU36" s="33">
        <f>ROUND(AA36-AK36,2)</f>
      </c>
      <c r="AV36" s="33">
        <f>ROUND(AB36-AL36,2)</f>
      </c>
      <c r="AW36" s="33">
        <f>ROUND(AC36-AM36,2)</f>
      </c>
      <c r="AX36" s="33">
        <f>ROUND(AD36-AN36,2)</f>
      </c>
      <c r="AY36" s="33">
        <f>ROUND(AE36-AO36,2)</f>
      </c>
      <c r="AZ36" s="33">
        <f>ROUND(MAX(0,'Your debts'!$D$22-SUM($L36:$U36)),2)</f>
      </c>
      <c r="BA36" s="33">
        <f>ROUND(SUM($B36:$K36)-SUM($AP35:$AY35),2)</f>
      </c>
      <c r="BB36" s="33">
        <f>SUM($AP36:$AY36)</f>
      </c>
      <c r="BC36" s="33">
        <f>ROUND(SUM($L36:$U36)+SUM($AF36:$AO36),2)</f>
      </c>
    </row>
    <row r="37" spans="1:55" x14ac:dyDescent="0.25">
      <c r="A37">
        <v>30</v>
      </c>
      <c r="B37" s="33">
        <f>IF(AP36&lt;=0,0,ROUND(AP36+ROUND(AP36*V$3/12,2),2))</f>
      </c>
      <c r="C37" s="33">
        <f>IF(AQ36&lt;=0,0,ROUND(AQ36+ROUND(AQ36*W$3/12,2),2))</f>
      </c>
      <c r="D37" s="33">
        <f>IF(AR36&lt;=0,0,ROUND(AR36+ROUND(AR36*X$3/12,2),2))</f>
      </c>
      <c r="E37" s="33">
        <f>IF(AS36&lt;=0,0,ROUND(AS36+ROUND(AS36*Y$3/12,2),2))</f>
      </c>
      <c r="F37" s="33">
        <f>IF(AT36&lt;=0,0,ROUND(AT36+ROUND(AT36*Z$3/12,2),2))</f>
      </c>
      <c r="G37" s="33">
        <f>IF(AU36&lt;=0,0,ROUND(AU36+ROUND(AU36*AA$3/12,2),2))</f>
      </c>
      <c r="H37" s="33">
        <f>IF(AV36&lt;=0,0,ROUND(AV36+ROUND(AV36*AB$3/12,2),2))</f>
      </c>
      <c r="I37" s="33">
        <f>IF(AW36&lt;=0,0,ROUND(AW36+ROUND(AW36*AC$3/12,2),2))</f>
      </c>
      <c r="J37" s="33">
        <f>IF(AX36&lt;=0,0,ROUND(AX36+ROUND(AX36*AD$3/12,2),2))</f>
      </c>
      <c r="K37" s="33">
        <f>IF(AY36&lt;=0,0,ROUND(AY36+ROUND(AY36*AE$3/12,2),2))</f>
      </c>
      <c r="L37" s="33">
        <f>ROUND(MIN(MAX(0,N('Your debts'!$E$6)),B37),2)</f>
      </c>
      <c r="M37" s="33">
        <f>ROUND(MIN(MAX(0,N('Your debts'!$E$7)),C37),2)</f>
      </c>
      <c r="N37" s="33">
        <f>ROUND(MIN(MAX(0,N('Your debts'!$E$8)),D37),2)</f>
      </c>
      <c r="O37" s="33">
        <f>ROUND(MIN(MAX(0,N('Your debts'!$E$9)),E37),2)</f>
      </c>
      <c r="P37" s="33">
        <f>ROUND(MIN(MAX(0,N('Your debts'!$E$10)),F37),2)</f>
      </c>
      <c r="Q37" s="33">
        <f>ROUND(MIN(MAX(0,N('Your debts'!$E$11)),G37),2)</f>
      </c>
      <c r="R37" s="33">
        <f>ROUND(MIN(MAX(0,N('Your debts'!$E$12)),H37),2)</f>
      </c>
      <c r="S37" s="33">
        <f>ROUND(MIN(MAX(0,N('Your debts'!$E$13)),I37),2)</f>
      </c>
      <c r="T37" s="33">
        <f>ROUND(MIN(MAX(0,N('Your debts'!$E$14)),J37),2)</f>
      </c>
      <c r="U37" s="33">
        <f>ROUND(MIN(MAX(0,N('Your debts'!$E$15)),K37),2)</f>
      </c>
      <c r="V37" s="33">
        <f>ROUND(B37-L37,2)</f>
      </c>
      <c r="W37" s="33">
        <f>ROUND(C37-M37,2)</f>
      </c>
      <c r="X37" s="33">
        <f>ROUND(D37-N37,2)</f>
      </c>
      <c r="Y37" s="33">
        <f>ROUND(E37-O37,2)</f>
      </c>
      <c r="Z37" s="33">
        <f>ROUND(F37-P37,2)</f>
      </c>
      <c r="AA37" s="33">
        <f>ROUND(G37-Q37,2)</f>
      </c>
      <c r="AB37" s="33">
        <f>ROUND(H37-R37,2)</f>
      </c>
      <c r="AC37" s="33">
        <f>ROUND(I37-S37,2)</f>
      </c>
      <c r="AD37" s="33">
        <f>ROUND(J37-T37,2)</f>
      </c>
      <c r="AE37" s="33">
        <f>ROUND(K37-U37,2)</f>
      </c>
      <c r="AF37" s="33">
        <f>IF(V37&lt;=0,0,MAX(0,MIN(V37,ROUND($AZ37-SUMPRODUCT($V37:$AE37*($V37:$AE37&gt;0)*(($V$3:$AE$3&gt;V$3)+($V$3:$AE$3=V$3)*($V37:$AE37&lt;V37)+($V$3:$AE$3=V$3)*($V37:$AE37=V37)*($V$2:$AE$2&lt;V$2))),2))))</f>
      </c>
      <c r="AG37" s="33">
        <f>IF(W37&lt;=0,0,MAX(0,MIN(W37,ROUND($AZ37-SUMPRODUCT($V37:$AE37*($V37:$AE37&gt;0)*(($V$3:$AE$3&gt;W$3)+($V$3:$AE$3=W$3)*($V37:$AE37&lt;W37)+($V$3:$AE$3=W$3)*($V37:$AE37=W37)*($V$2:$AE$2&lt;W$2))),2))))</f>
      </c>
      <c r="AH37" s="33">
        <f>IF(X37&lt;=0,0,MAX(0,MIN(X37,ROUND($AZ37-SUMPRODUCT($V37:$AE37*($V37:$AE37&gt;0)*(($V$3:$AE$3&gt;X$3)+($V$3:$AE$3=X$3)*($V37:$AE37&lt;X37)+($V$3:$AE$3=X$3)*($V37:$AE37=X37)*($V$2:$AE$2&lt;X$2))),2))))</f>
      </c>
      <c r="AI37" s="33">
        <f>IF(Y37&lt;=0,0,MAX(0,MIN(Y37,ROUND($AZ37-SUMPRODUCT($V37:$AE37*($V37:$AE37&gt;0)*(($V$3:$AE$3&gt;Y$3)+($V$3:$AE$3=Y$3)*($V37:$AE37&lt;Y37)+($V$3:$AE$3=Y$3)*($V37:$AE37=Y37)*($V$2:$AE$2&lt;Y$2))),2))))</f>
      </c>
      <c r="AJ37" s="33">
        <f>IF(Z37&lt;=0,0,MAX(0,MIN(Z37,ROUND($AZ37-SUMPRODUCT($V37:$AE37*($V37:$AE37&gt;0)*(($V$3:$AE$3&gt;Z$3)+($V$3:$AE$3=Z$3)*($V37:$AE37&lt;Z37)+($V$3:$AE$3=Z$3)*($V37:$AE37=Z37)*($V$2:$AE$2&lt;Z$2))),2))))</f>
      </c>
      <c r="AK37" s="33">
        <f>IF(AA37&lt;=0,0,MAX(0,MIN(AA37,ROUND($AZ37-SUMPRODUCT($V37:$AE37*($V37:$AE37&gt;0)*(($V$3:$AE$3&gt;AA$3)+($V$3:$AE$3=AA$3)*($V37:$AE37&lt;AA37)+($V$3:$AE$3=AA$3)*($V37:$AE37=AA37)*($V$2:$AE$2&lt;AA$2))),2))))</f>
      </c>
      <c r="AL37" s="33">
        <f>IF(AB37&lt;=0,0,MAX(0,MIN(AB37,ROUND($AZ37-SUMPRODUCT($V37:$AE37*($V37:$AE37&gt;0)*(($V$3:$AE$3&gt;AB$3)+($V$3:$AE$3=AB$3)*($V37:$AE37&lt;AB37)+($V$3:$AE$3=AB$3)*($V37:$AE37=AB37)*($V$2:$AE$2&lt;AB$2))),2))))</f>
      </c>
      <c r="AM37" s="33">
        <f>IF(AC37&lt;=0,0,MAX(0,MIN(AC37,ROUND($AZ37-SUMPRODUCT($V37:$AE37*($V37:$AE37&gt;0)*(($V$3:$AE$3&gt;AC$3)+($V$3:$AE$3=AC$3)*($V37:$AE37&lt;AC37)+($V$3:$AE$3=AC$3)*($V37:$AE37=AC37)*($V$2:$AE$2&lt;AC$2))),2))))</f>
      </c>
      <c r="AN37" s="33">
        <f>IF(AD37&lt;=0,0,MAX(0,MIN(AD37,ROUND($AZ37-SUMPRODUCT($V37:$AE37*($V37:$AE37&gt;0)*(($V$3:$AE$3&gt;AD$3)+($V$3:$AE$3=AD$3)*($V37:$AE37&lt;AD37)+($V$3:$AE$3=AD$3)*($V37:$AE37=AD37)*($V$2:$AE$2&lt;AD$2))),2))))</f>
      </c>
      <c r="AO37" s="33">
        <f>IF(AE37&lt;=0,0,MAX(0,MIN(AE37,ROUND($AZ37-SUMPRODUCT($V37:$AE37*($V37:$AE37&gt;0)*(($V$3:$AE$3&gt;AE$3)+($V$3:$AE$3=AE$3)*($V37:$AE37&lt;AE37)+($V$3:$AE$3=AE$3)*($V37:$AE37=AE37)*($V$2:$AE$2&lt;AE$2))),2))))</f>
      </c>
      <c r="AP37" s="33">
        <f>ROUND(V37-AF37,2)</f>
      </c>
      <c r="AQ37" s="33">
        <f>ROUND(W37-AG37,2)</f>
      </c>
      <c r="AR37" s="33">
        <f>ROUND(X37-AH37,2)</f>
      </c>
      <c r="AS37" s="33">
        <f>ROUND(Y37-AI37,2)</f>
      </c>
      <c r="AT37" s="33">
        <f>ROUND(Z37-AJ37,2)</f>
      </c>
      <c r="AU37" s="33">
        <f>ROUND(AA37-AK37,2)</f>
      </c>
      <c r="AV37" s="33">
        <f>ROUND(AB37-AL37,2)</f>
      </c>
      <c r="AW37" s="33">
        <f>ROUND(AC37-AM37,2)</f>
      </c>
      <c r="AX37" s="33">
        <f>ROUND(AD37-AN37,2)</f>
      </c>
      <c r="AY37" s="33">
        <f>ROUND(AE37-AO37,2)</f>
      </c>
      <c r="AZ37" s="33">
        <f>ROUND(MAX(0,'Your debts'!$D$22-SUM($L37:$U37)),2)</f>
      </c>
      <c r="BA37" s="33">
        <f>ROUND(SUM($B37:$K37)-SUM($AP36:$AY36),2)</f>
      </c>
      <c r="BB37" s="33">
        <f>SUM($AP37:$AY37)</f>
      </c>
      <c r="BC37" s="33">
        <f>ROUND(SUM($L37:$U37)+SUM($AF37:$AO37),2)</f>
      </c>
    </row>
    <row r="38" spans="1:55" x14ac:dyDescent="0.25">
      <c r="A38">
        <v>31</v>
      </c>
      <c r="B38" s="33">
        <f>IF(AP37&lt;=0,0,ROUND(AP37+ROUND(AP37*V$3/12,2),2))</f>
      </c>
      <c r="C38" s="33">
        <f>IF(AQ37&lt;=0,0,ROUND(AQ37+ROUND(AQ37*W$3/12,2),2))</f>
      </c>
      <c r="D38" s="33">
        <f>IF(AR37&lt;=0,0,ROUND(AR37+ROUND(AR37*X$3/12,2),2))</f>
      </c>
      <c r="E38" s="33">
        <f>IF(AS37&lt;=0,0,ROUND(AS37+ROUND(AS37*Y$3/12,2),2))</f>
      </c>
      <c r="F38" s="33">
        <f>IF(AT37&lt;=0,0,ROUND(AT37+ROUND(AT37*Z$3/12,2),2))</f>
      </c>
      <c r="G38" s="33">
        <f>IF(AU37&lt;=0,0,ROUND(AU37+ROUND(AU37*AA$3/12,2),2))</f>
      </c>
      <c r="H38" s="33">
        <f>IF(AV37&lt;=0,0,ROUND(AV37+ROUND(AV37*AB$3/12,2),2))</f>
      </c>
      <c r="I38" s="33">
        <f>IF(AW37&lt;=0,0,ROUND(AW37+ROUND(AW37*AC$3/12,2),2))</f>
      </c>
      <c r="J38" s="33">
        <f>IF(AX37&lt;=0,0,ROUND(AX37+ROUND(AX37*AD$3/12,2),2))</f>
      </c>
      <c r="K38" s="33">
        <f>IF(AY37&lt;=0,0,ROUND(AY37+ROUND(AY37*AE$3/12,2),2))</f>
      </c>
      <c r="L38" s="33">
        <f>ROUND(MIN(MAX(0,N('Your debts'!$E$6)),B38),2)</f>
      </c>
      <c r="M38" s="33">
        <f>ROUND(MIN(MAX(0,N('Your debts'!$E$7)),C38),2)</f>
      </c>
      <c r="N38" s="33">
        <f>ROUND(MIN(MAX(0,N('Your debts'!$E$8)),D38),2)</f>
      </c>
      <c r="O38" s="33">
        <f>ROUND(MIN(MAX(0,N('Your debts'!$E$9)),E38),2)</f>
      </c>
      <c r="P38" s="33">
        <f>ROUND(MIN(MAX(0,N('Your debts'!$E$10)),F38),2)</f>
      </c>
      <c r="Q38" s="33">
        <f>ROUND(MIN(MAX(0,N('Your debts'!$E$11)),G38),2)</f>
      </c>
      <c r="R38" s="33">
        <f>ROUND(MIN(MAX(0,N('Your debts'!$E$12)),H38),2)</f>
      </c>
      <c r="S38" s="33">
        <f>ROUND(MIN(MAX(0,N('Your debts'!$E$13)),I38),2)</f>
      </c>
      <c r="T38" s="33">
        <f>ROUND(MIN(MAX(0,N('Your debts'!$E$14)),J38),2)</f>
      </c>
      <c r="U38" s="33">
        <f>ROUND(MIN(MAX(0,N('Your debts'!$E$15)),K38),2)</f>
      </c>
      <c r="V38" s="33">
        <f>ROUND(B38-L38,2)</f>
      </c>
      <c r="W38" s="33">
        <f>ROUND(C38-M38,2)</f>
      </c>
      <c r="X38" s="33">
        <f>ROUND(D38-N38,2)</f>
      </c>
      <c r="Y38" s="33">
        <f>ROUND(E38-O38,2)</f>
      </c>
      <c r="Z38" s="33">
        <f>ROUND(F38-P38,2)</f>
      </c>
      <c r="AA38" s="33">
        <f>ROUND(G38-Q38,2)</f>
      </c>
      <c r="AB38" s="33">
        <f>ROUND(H38-R38,2)</f>
      </c>
      <c r="AC38" s="33">
        <f>ROUND(I38-S38,2)</f>
      </c>
      <c r="AD38" s="33">
        <f>ROUND(J38-T38,2)</f>
      </c>
      <c r="AE38" s="33">
        <f>ROUND(K38-U38,2)</f>
      </c>
      <c r="AF38" s="33">
        <f>IF(V38&lt;=0,0,MAX(0,MIN(V38,ROUND($AZ38-SUMPRODUCT($V38:$AE38*($V38:$AE38&gt;0)*(($V$3:$AE$3&gt;V$3)+($V$3:$AE$3=V$3)*($V38:$AE38&lt;V38)+($V$3:$AE$3=V$3)*($V38:$AE38=V38)*($V$2:$AE$2&lt;V$2))),2))))</f>
      </c>
      <c r="AG38" s="33">
        <f>IF(W38&lt;=0,0,MAX(0,MIN(W38,ROUND($AZ38-SUMPRODUCT($V38:$AE38*($V38:$AE38&gt;0)*(($V$3:$AE$3&gt;W$3)+($V$3:$AE$3=W$3)*($V38:$AE38&lt;W38)+($V$3:$AE$3=W$3)*($V38:$AE38=W38)*($V$2:$AE$2&lt;W$2))),2))))</f>
      </c>
      <c r="AH38" s="33">
        <f>IF(X38&lt;=0,0,MAX(0,MIN(X38,ROUND($AZ38-SUMPRODUCT($V38:$AE38*($V38:$AE38&gt;0)*(($V$3:$AE$3&gt;X$3)+($V$3:$AE$3=X$3)*($V38:$AE38&lt;X38)+($V$3:$AE$3=X$3)*($V38:$AE38=X38)*($V$2:$AE$2&lt;X$2))),2))))</f>
      </c>
      <c r="AI38" s="33">
        <f>IF(Y38&lt;=0,0,MAX(0,MIN(Y38,ROUND($AZ38-SUMPRODUCT($V38:$AE38*($V38:$AE38&gt;0)*(($V$3:$AE$3&gt;Y$3)+($V$3:$AE$3=Y$3)*($V38:$AE38&lt;Y38)+($V$3:$AE$3=Y$3)*($V38:$AE38=Y38)*($V$2:$AE$2&lt;Y$2))),2))))</f>
      </c>
      <c r="AJ38" s="33">
        <f>IF(Z38&lt;=0,0,MAX(0,MIN(Z38,ROUND($AZ38-SUMPRODUCT($V38:$AE38*($V38:$AE38&gt;0)*(($V$3:$AE$3&gt;Z$3)+($V$3:$AE$3=Z$3)*($V38:$AE38&lt;Z38)+($V$3:$AE$3=Z$3)*($V38:$AE38=Z38)*($V$2:$AE$2&lt;Z$2))),2))))</f>
      </c>
      <c r="AK38" s="33">
        <f>IF(AA38&lt;=0,0,MAX(0,MIN(AA38,ROUND($AZ38-SUMPRODUCT($V38:$AE38*($V38:$AE38&gt;0)*(($V$3:$AE$3&gt;AA$3)+($V$3:$AE$3=AA$3)*($V38:$AE38&lt;AA38)+($V$3:$AE$3=AA$3)*($V38:$AE38=AA38)*($V$2:$AE$2&lt;AA$2))),2))))</f>
      </c>
      <c r="AL38" s="33">
        <f>IF(AB38&lt;=0,0,MAX(0,MIN(AB38,ROUND($AZ38-SUMPRODUCT($V38:$AE38*($V38:$AE38&gt;0)*(($V$3:$AE$3&gt;AB$3)+($V$3:$AE$3=AB$3)*($V38:$AE38&lt;AB38)+($V$3:$AE$3=AB$3)*($V38:$AE38=AB38)*($V$2:$AE$2&lt;AB$2))),2))))</f>
      </c>
      <c r="AM38" s="33">
        <f>IF(AC38&lt;=0,0,MAX(0,MIN(AC38,ROUND($AZ38-SUMPRODUCT($V38:$AE38*($V38:$AE38&gt;0)*(($V$3:$AE$3&gt;AC$3)+($V$3:$AE$3=AC$3)*($V38:$AE38&lt;AC38)+($V$3:$AE$3=AC$3)*($V38:$AE38=AC38)*($V$2:$AE$2&lt;AC$2))),2))))</f>
      </c>
      <c r="AN38" s="33">
        <f>IF(AD38&lt;=0,0,MAX(0,MIN(AD38,ROUND($AZ38-SUMPRODUCT($V38:$AE38*($V38:$AE38&gt;0)*(($V$3:$AE$3&gt;AD$3)+($V$3:$AE$3=AD$3)*($V38:$AE38&lt;AD38)+($V$3:$AE$3=AD$3)*($V38:$AE38=AD38)*($V$2:$AE$2&lt;AD$2))),2))))</f>
      </c>
      <c r="AO38" s="33">
        <f>IF(AE38&lt;=0,0,MAX(0,MIN(AE38,ROUND($AZ38-SUMPRODUCT($V38:$AE38*($V38:$AE38&gt;0)*(($V$3:$AE$3&gt;AE$3)+($V$3:$AE$3=AE$3)*($V38:$AE38&lt;AE38)+($V$3:$AE$3=AE$3)*($V38:$AE38=AE38)*($V$2:$AE$2&lt;AE$2))),2))))</f>
      </c>
      <c r="AP38" s="33">
        <f>ROUND(V38-AF38,2)</f>
      </c>
      <c r="AQ38" s="33">
        <f>ROUND(W38-AG38,2)</f>
      </c>
      <c r="AR38" s="33">
        <f>ROUND(X38-AH38,2)</f>
      </c>
      <c r="AS38" s="33">
        <f>ROUND(Y38-AI38,2)</f>
      </c>
      <c r="AT38" s="33">
        <f>ROUND(Z38-AJ38,2)</f>
      </c>
      <c r="AU38" s="33">
        <f>ROUND(AA38-AK38,2)</f>
      </c>
      <c r="AV38" s="33">
        <f>ROUND(AB38-AL38,2)</f>
      </c>
      <c r="AW38" s="33">
        <f>ROUND(AC38-AM38,2)</f>
      </c>
      <c r="AX38" s="33">
        <f>ROUND(AD38-AN38,2)</f>
      </c>
      <c r="AY38" s="33">
        <f>ROUND(AE38-AO38,2)</f>
      </c>
      <c r="AZ38" s="33">
        <f>ROUND(MAX(0,'Your debts'!$D$22-SUM($L38:$U38)),2)</f>
      </c>
      <c r="BA38" s="33">
        <f>ROUND(SUM($B38:$K38)-SUM($AP37:$AY37),2)</f>
      </c>
      <c r="BB38" s="33">
        <f>SUM($AP38:$AY38)</f>
      </c>
      <c r="BC38" s="33">
        <f>ROUND(SUM($L38:$U38)+SUM($AF38:$AO38),2)</f>
      </c>
    </row>
    <row r="39" spans="1:55" x14ac:dyDescent="0.25">
      <c r="A39">
        <v>32</v>
      </c>
      <c r="B39" s="33">
        <f>IF(AP38&lt;=0,0,ROUND(AP38+ROUND(AP38*V$3/12,2),2))</f>
      </c>
      <c r="C39" s="33">
        <f>IF(AQ38&lt;=0,0,ROUND(AQ38+ROUND(AQ38*W$3/12,2),2))</f>
      </c>
      <c r="D39" s="33">
        <f>IF(AR38&lt;=0,0,ROUND(AR38+ROUND(AR38*X$3/12,2),2))</f>
      </c>
      <c r="E39" s="33">
        <f>IF(AS38&lt;=0,0,ROUND(AS38+ROUND(AS38*Y$3/12,2),2))</f>
      </c>
      <c r="F39" s="33">
        <f>IF(AT38&lt;=0,0,ROUND(AT38+ROUND(AT38*Z$3/12,2),2))</f>
      </c>
      <c r="G39" s="33">
        <f>IF(AU38&lt;=0,0,ROUND(AU38+ROUND(AU38*AA$3/12,2),2))</f>
      </c>
      <c r="H39" s="33">
        <f>IF(AV38&lt;=0,0,ROUND(AV38+ROUND(AV38*AB$3/12,2),2))</f>
      </c>
      <c r="I39" s="33">
        <f>IF(AW38&lt;=0,0,ROUND(AW38+ROUND(AW38*AC$3/12,2),2))</f>
      </c>
      <c r="J39" s="33">
        <f>IF(AX38&lt;=0,0,ROUND(AX38+ROUND(AX38*AD$3/12,2),2))</f>
      </c>
      <c r="K39" s="33">
        <f>IF(AY38&lt;=0,0,ROUND(AY38+ROUND(AY38*AE$3/12,2),2))</f>
      </c>
      <c r="L39" s="33">
        <f>ROUND(MIN(MAX(0,N('Your debts'!$E$6)),B39),2)</f>
      </c>
      <c r="M39" s="33">
        <f>ROUND(MIN(MAX(0,N('Your debts'!$E$7)),C39),2)</f>
      </c>
      <c r="N39" s="33">
        <f>ROUND(MIN(MAX(0,N('Your debts'!$E$8)),D39),2)</f>
      </c>
      <c r="O39" s="33">
        <f>ROUND(MIN(MAX(0,N('Your debts'!$E$9)),E39),2)</f>
      </c>
      <c r="P39" s="33">
        <f>ROUND(MIN(MAX(0,N('Your debts'!$E$10)),F39),2)</f>
      </c>
      <c r="Q39" s="33">
        <f>ROUND(MIN(MAX(0,N('Your debts'!$E$11)),G39),2)</f>
      </c>
      <c r="R39" s="33">
        <f>ROUND(MIN(MAX(0,N('Your debts'!$E$12)),H39),2)</f>
      </c>
      <c r="S39" s="33">
        <f>ROUND(MIN(MAX(0,N('Your debts'!$E$13)),I39),2)</f>
      </c>
      <c r="T39" s="33">
        <f>ROUND(MIN(MAX(0,N('Your debts'!$E$14)),J39),2)</f>
      </c>
      <c r="U39" s="33">
        <f>ROUND(MIN(MAX(0,N('Your debts'!$E$15)),K39),2)</f>
      </c>
      <c r="V39" s="33">
        <f>ROUND(B39-L39,2)</f>
      </c>
      <c r="W39" s="33">
        <f>ROUND(C39-M39,2)</f>
      </c>
      <c r="X39" s="33">
        <f>ROUND(D39-N39,2)</f>
      </c>
      <c r="Y39" s="33">
        <f>ROUND(E39-O39,2)</f>
      </c>
      <c r="Z39" s="33">
        <f>ROUND(F39-P39,2)</f>
      </c>
      <c r="AA39" s="33">
        <f>ROUND(G39-Q39,2)</f>
      </c>
      <c r="AB39" s="33">
        <f>ROUND(H39-R39,2)</f>
      </c>
      <c r="AC39" s="33">
        <f>ROUND(I39-S39,2)</f>
      </c>
      <c r="AD39" s="33">
        <f>ROUND(J39-T39,2)</f>
      </c>
      <c r="AE39" s="33">
        <f>ROUND(K39-U39,2)</f>
      </c>
      <c r="AF39" s="33">
        <f>IF(V39&lt;=0,0,MAX(0,MIN(V39,ROUND($AZ39-SUMPRODUCT($V39:$AE39*($V39:$AE39&gt;0)*(($V$3:$AE$3&gt;V$3)+($V$3:$AE$3=V$3)*($V39:$AE39&lt;V39)+($V$3:$AE$3=V$3)*($V39:$AE39=V39)*($V$2:$AE$2&lt;V$2))),2))))</f>
      </c>
      <c r="AG39" s="33">
        <f>IF(W39&lt;=0,0,MAX(0,MIN(W39,ROUND($AZ39-SUMPRODUCT($V39:$AE39*($V39:$AE39&gt;0)*(($V$3:$AE$3&gt;W$3)+($V$3:$AE$3=W$3)*($V39:$AE39&lt;W39)+($V$3:$AE$3=W$3)*($V39:$AE39=W39)*($V$2:$AE$2&lt;W$2))),2))))</f>
      </c>
      <c r="AH39" s="33">
        <f>IF(X39&lt;=0,0,MAX(0,MIN(X39,ROUND($AZ39-SUMPRODUCT($V39:$AE39*($V39:$AE39&gt;0)*(($V$3:$AE$3&gt;X$3)+($V$3:$AE$3=X$3)*($V39:$AE39&lt;X39)+($V$3:$AE$3=X$3)*($V39:$AE39=X39)*($V$2:$AE$2&lt;X$2))),2))))</f>
      </c>
      <c r="AI39" s="33">
        <f>IF(Y39&lt;=0,0,MAX(0,MIN(Y39,ROUND($AZ39-SUMPRODUCT($V39:$AE39*($V39:$AE39&gt;0)*(($V$3:$AE$3&gt;Y$3)+($V$3:$AE$3=Y$3)*($V39:$AE39&lt;Y39)+($V$3:$AE$3=Y$3)*($V39:$AE39=Y39)*($V$2:$AE$2&lt;Y$2))),2))))</f>
      </c>
      <c r="AJ39" s="33">
        <f>IF(Z39&lt;=0,0,MAX(0,MIN(Z39,ROUND($AZ39-SUMPRODUCT($V39:$AE39*($V39:$AE39&gt;0)*(($V$3:$AE$3&gt;Z$3)+($V$3:$AE$3=Z$3)*($V39:$AE39&lt;Z39)+($V$3:$AE$3=Z$3)*($V39:$AE39=Z39)*($V$2:$AE$2&lt;Z$2))),2))))</f>
      </c>
      <c r="AK39" s="33">
        <f>IF(AA39&lt;=0,0,MAX(0,MIN(AA39,ROUND($AZ39-SUMPRODUCT($V39:$AE39*($V39:$AE39&gt;0)*(($V$3:$AE$3&gt;AA$3)+($V$3:$AE$3=AA$3)*($V39:$AE39&lt;AA39)+($V$3:$AE$3=AA$3)*($V39:$AE39=AA39)*($V$2:$AE$2&lt;AA$2))),2))))</f>
      </c>
      <c r="AL39" s="33">
        <f>IF(AB39&lt;=0,0,MAX(0,MIN(AB39,ROUND($AZ39-SUMPRODUCT($V39:$AE39*($V39:$AE39&gt;0)*(($V$3:$AE$3&gt;AB$3)+($V$3:$AE$3=AB$3)*($V39:$AE39&lt;AB39)+($V$3:$AE$3=AB$3)*($V39:$AE39=AB39)*($V$2:$AE$2&lt;AB$2))),2))))</f>
      </c>
      <c r="AM39" s="33">
        <f>IF(AC39&lt;=0,0,MAX(0,MIN(AC39,ROUND($AZ39-SUMPRODUCT($V39:$AE39*($V39:$AE39&gt;0)*(($V$3:$AE$3&gt;AC$3)+($V$3:$AE$3=AC$3)*($V39:$AE39&lt;AC39)+($V$3:$AE$3=AC$3)*($V39:$AE39=AC39)*($V$2:$AE$2&lt;AC$2))),2))))</f>
      </c>
      <c r="AN39" s="33">
        <f>IF(AD39&lt;=0,0,MAX(0,MIN(AD39,ROUND($AZ39-SUMPRODUCT($V39:$AE39*($V39:$AE39&gt;0)*(($V$3:$AE$3&gt;AD$3)+($V$3:$AE$3=AD$3)*($V39:$AE39&lt;AD39)+($V$3:$AE$3=AD$3)*($V39:$AE39=AD39)*($V$2:$AE$2&lt;AD$2))),2))))</f>
      </c>
      <c r="AO39" s="33">
        <f>IF(AE39&lt;=0,0,MAX(0,MIN(AE39,ROUND($AZ39-SUMPRODUCT($V39:$AE39*($V39:$AE39&gt;0)*(($V$3:$AE$3&gt;AE$3)+($V$3:$AE$3=AE$3)*($V39:$AE39&lt;AE39)+($V$3:$AE$3=AE$3)*($V39:$AE39=AE39)*($V$2:$AE$2&lt;AE$2))),2))))</f>
      </c>
      <c r="AP39" s="33">
        <f>ROUND(V39-AF39,2)</f>
      </c>
      <c r="AQ39" s="33">
        <f>ROUND(W39-AG39,2)</f>
      </c>
      <c r="AR39" s="33">
        <f>ROUND(X39-AH39,2)</f>
      </c>
      <c r="AS39" s="33">
        <f>ROUND(Y39-AI39,2)</f>
      </c>
      <c r="AT39" s="33">
        <f>ROUND(Z39-AJ39,2)</f>
      </c>
      <c r="AU39" s="33">
        <f>ROUND(AA39-AK39,2)</f>
      </c>
      <c r="AV39" s="33">
        <f>ROUND(AB39-AL39,2)</f>
      </c>
      <c r="AW39" s="33">
        <f>ROUND(AC39-AM39,2)</f>
      </c>
      <c r="AX39" s="33">
        <f>ROUND(AD39-AN39,2)</f>
      </c>
      <c r="AY39" s="33">
        <f>ROUND(AE39-AO39,2)</f>
      </c>
      <c r="AZ39" s="33">
        <f>ROUND(MAX(0,'Your debts'!$D$22-SUM($L39:$U39)),2)</f>
      </c>
      <c r="BA39" s="33">
        <f>ROUND(SUM($B39:$K39)-SUM($AP38:$AY38),2)</f>
      </c>
      <c r="BB39" s="33">
        <f>SUM($AP39:$AY39)</f>
      </c>
      <c r="BC39" s="33">
        <f>ROUND(SUM($L39:$U39)+SUM($AF39:$AO39),2)</f>
      </c>
    </row>
    <row r="40" spans="1:55" x14ac:dyDescent="0.25">
      <c r="A40">
        <v>33</v>
      </c>
      <c r="B40" s="33">
        <f>IF(AP39&lt;=0,0,ROUND(AP39+ROUND(AP39*V$3/12,2),2))</f>
      </c>
      <c r="C40" s="33">
        <f>IF(AQ39&lt;=0,0,ROUND(AQ39+ROUND(AQ39*W$3/12,2),2))</f>
      </c>
      <c r="D40" s="33">
        <f>IF(AR39&lt;=0,0,ROUND(AR39+ROUND(AR39*X$3/12,2),2))</f>
      </c>
      <c r="E40" s="33">
        <f>IF(AS39&lt;=0,0,ROUND(AS39+ROUND(AS39*Y$3/12,2),2))</f>
      </c>
      <c r="F40" s="33">
        <f>IF(AT39&lt;=0,0,ROUND(AT39+ROUND(AT39*Z$3/12,2),2))</f>
      </c>
      <c r="G40" s="33">
        <f>IF(AU39&lt;=0,0,ROUND(AU39+ROUND(AU39*AA$3/12,2),2))</f>
      </c>
      <c r="H40" s="33">
        <f>IF(AV39&lt;=0,0,ROUND(AV39+ROUND(AV39*AB$3/12,2),2))</f>
      </c>
      <c r="I40" s="33">
        <f>IF(AW39&lt;=0,0,ROUND(AW39+ROUND(AW39*AC$3/12,2),2))</f>
      </c>
      <c r="J40" s="33">
        <f>IF(AX39&lt;=0,0,ROUND(AX39+ROUND(AX39*AD$3/12,2),2))</f>
      </c>
      <c r="K40" s="33">
        <f>IF(AY39&lt;=0,0,ROUND(AY39+ROUND(AY39*AE$3/12,2),2))</f>
      </c>
      <c r="L40" s="33">
        <f>ROUND(MIN(MAX(0,N('Your debts'!$E$6)),B40),2)</f>
      </c>
      <c r="M40" s="33">
        <f>ROUND(MIN(MAX(0,N('Your debts'!$E$7)),C40),2)</f>
      </c>
      <c r="N40" s="33">
        <f>ROUND(MIN(MAX(0,N('Your debts'!$E$8)),D40),2)</f>
      </c>
      <c r="O40" s="33">
        <f>ROUND(MIN(MAX(0,N('Your debts'!$E$9)),E40),2)</f>
      </c>
      <c r="P40" s="33">
        <f>ROUND(MIN(MAX(0,N('Your debts'!$E$10)),F40),2)</f>
      </c>
      <c r="Q40" s="33">
        <f>ROUND(MIN(MAX(0,N('Your debts'!$E$11)),G40),2)</f>
      </c>
      <c r="R40" s="33">
        <f>ROUND(MIN(MAX(0,N('Your debts'!$E$12)),H40),2)</f>
      </c>
      <c r="S40" s="33">
        <f>ROUND(MIN(MAX(0,N('Your debts'!$E$13)),I40),2)</f>
      </c>
      <c r="T40" s="33">
        <f>ROUND(MIN(MAX(0,N('Your debts'!$E$14)),J40),2)</f>
      </c>
      <c r="U40" s="33">
        <f>ROUND(MIN(MAX(0,N('Your debts'!$E$15)),K40),2)</f>
      </c>
      <c r="V40" s="33">
        <f>ROUND(B40-L40,2)</f>
      </c>
      <c r="W40" s="33">
        <f>ROUND(C40-M40,2)</f>
      </c>
      <c r="X40" s="33">
        <f>ROUND(D40-N40,2)</f>
      </c>
      <c r="Y40" s="33">
        <f>ROUND(E40-O40,2)</f>
      </c>
      <c r="Z40" s="33">
        <f>ROUND(F40-P40,2)</f>
      </c>
      <c r="AA40" s="33">
        <f>ROUND(G40-Q40,2)</f>
      </c>
      <c r="AB40" s="33">
        <f>ROUND(H40-R40,2)</f>
      </c>
      <c r="AC40" s="33">
        <f>ROUND(I40-S40,2)</f>
      </c>
      <c r="AD40" s="33">
        <f>ROUND(J40-T40,2)</f>
      </c>
      <c r="AE40" s="33">
        <f>ROUND(K40-U40,2)</f>
      </c>
      <c r="AF40" s="33">
        <f>IF(V40&lt;=0,0,MAX(0,MIN(V40,ROUND($AZ40-SUMPRODUCT($V40:$AE40*($V40:$AE40&gt;0)*(($V$3:$AE$3&gt;V$3)+($V$3:$AE$3=V$3)*($V40:$AE40&lt;V40)+($V$3:$AE$3=V$3)*($V40:$AE40=V40)*($V$2:$AE$2&lt;V$2))),2))))</f>
      </c>
      <c r="AG40" s="33">
        <f>IF(W40&lt;=0,0,MAX(0,MIN(W40,ROUND($AZ40-SUMPRODUCT($V40:$AE40*($V40:$AE40&gt;0)*(($V$3:$AE$3&gt;W$3)+($V$3:$AE$3=W$3)*($V40:$AE40&lt;W40)+($V$3:$AE$3=W$3)*($V40:$AE40=W40)*($V$2:$AE$2&lt;W$2))),2))))</f>
      </c>
      <c r="AH40" s="33">
        <f>IF(X40&lt;=0,0,MAX(0,MIN(X40,ROUND($AZ40-SUMPRODUCT($V40:$AE40*($V40:$AE40&gt;0)*(($V$3:$AE$3&gt;X$3)+($V$3:$AE$3=X$3)*($V40:$AE40&lt;X40)+($V$3:$AE$3=X$3)*($V40:$AE40=X40)*($V$2:$AE$2&lt;X$2))),2))))</f>
      </c>
      <c r="AI40" s="33">
        <f>IF(Y40&lt;=0,0,MAX(0,MIN(Y40,ROUND($AZ40-SUMPRODUCT($V40:$AE40*($V40:$AE40&gt;0)*(($V$3:$AE$3&gt;Y$3)+($V$3:$AE$3=Y$3)*($V40:$AE40&lt;Y40)+($V$3:$AE$3=Y$3)*($V40:$AE40=Y40)*($V$2:$AE$2&lt;Y$2))),2))))</f>
      </c>
      <c r="AJ40" s="33">
        <f>IF(Z40&lt;=0,0,MAX(0,MIN(Z40,ROUND($AZ40-SUMPRODUCT($V40:$AE40*($V40:$AE40&gt;0)*(($V$3:$AE$3&gt;Z$3)+($V$3:$AE$3=Z$3)*($V40:$AE40&lt;Z40)+($V$3:$AE$3=Z$3)*($V40:$AE40=Z40)*($V$2:$AE$2&lt;Z$2))),2))))</f>
      </c>
      <c r="AK40" s="33">
        <f>IF(AA40&lt;=0,0,MAX(0,MIN(AA40,ROUND($AZ40-SUMPRODUCT($V40:$AE40*($V40:$AE40&gt;0)*(($V$3:$AE$3&gt;AA$3)+($V$3:$AE$3=AA$3)*($V40:$AE40&lt;AA40)+($V$3:$AE$3=AA$3)*($V40:$AE40=AA40)*($V$2:$AE$2&lt;AA$2))),2))))</f>
      </c>
      <c r="AL40" s="33">
        <f>IF(AB40&lt;=0,0,MAX(0,MIN(AB40,ROUND($AZ40-SUMPRODUCT($V40:$AE40*($V40:$AE40&gt;0)*(($V$3:$AE$3&gt;AB$3)+($V$3:$AE$3=AB$3)*($V40:$AE40&lt;AB40)+($V$3:$AE$3=AB$3)*($V40:$AE40=AB40)*($V$2:$AE$2&lt;AB$2))),2))))</f>
      </c>
      <c r="AM40" s="33">
        <f>IF(AC40&lt;=0,0,MAX(0,MIN(AC40,ROUND($AZ40-SUMPRODUCT($V40:$AE40*($V40:$AE40&gt;0)*(($V$3:$AE$3&gt;AC$3)+($V$3:$AE$3=AC$3)*($V40:$AE40&lt;AC40)+($V$3:$AE$3=AC$3)*($V40:$AE40=AC40)*($V$2:$AE$2&lt;AC$2))),2))))</f>
      </c>
      <c r="AN40" s="33">
        <f>IF(AD40&lt;=0,0,MAX(0,MIN(AD40,ROUND($AZ40-SUMPRODUCT($V40:$AE40*($V40:$AE40&gt;0)*(($V$3:$AE$3&gt;AD$3)+($V$3:$AE$3=AD$3)*($V40:$AE40&lt;AD40)+($V$3:$AE$3=AD$3)*($V40:$AE40=AD40)*($V$2:$AE$2&lt;AD$2))),2))))</f>
      </c>
      <c r="AO40" s="33">
        <f>IF(AE40&lt;=0,0,MAX(0,MIN(AE40,ROUND($AZ40-SUMPRODUCT($V40:$AE40*($V40:$AE40&gt;0)*(($V$3:$AE$3&gt;AE$3)+($V$3:$AE$3=AE$3)*($V40:$AE40&lt;AE40)+($V$3:$AE$3=AE$3)*($V40:$AE40=AE40)*($V$2:$AE$2&lt;AE$2))),2))))</f>
      </c>
      <c r="AP40" s="33">
        <f>ROUND(V40-AF40,2)</f>
      </c>
      <c r="AQ40" s="33">
        <f>ROUND(W40-AG40,2)</f>
      </c>
      <c r="AR40" s="33">
        <f>ROUND(X40-AH40,2)</f>
      </c>
      <c r="AS40" s="33">
        <f>ROUND(Y40-AI40,2)</f>
      </c>
      <c r="AT40" s="33">
        <f>ROUND(Z40-AJ40,2)</f>
      </c>
      <c r="AU40" s="33">
        <f>ROUND(AA40-AK40,2)</f>
      </c>
      <c r="AV40" s="33">
        <f>ROUND(AB40-AL40,2)</f>
      </c>
      <c r="AW40" s="33">
        <f>ROUND(AC40-AM40,2)</f>
      </c>
      <c r="AX40" s="33">
        <f>ROUND(AD40-AN40,2)</f>
      </c>
      <c r="AY40" s="33">
        <f>ROUND(AE40-AO40,2)</f>
      </c>
      <c r="AZ40" s="33">
        <f>ROUND(MAX(0,'Your debts'!$D$22-SUM($L40:$U40)),2)</f>
      </c>
      <c r="BA40" s="33">
        <f>ROUND(SUM($B40:$K40)-SUM($AP39:$AY39),2)</f>
      </c>
      <c r="BB40" s="33">
        <f>SUM($AP40:$AY40)</f>
      </c>
      <c r="BC40" s="33">
        <f>ROUND(SUM($L40:$U40)+SUM($AF40:$AO40),2)</f>
      </c>
    </row>
    <row r="41" spans="1:55" x14ac:dyDescent="0.25">
      <c r="A41">
        <v>34</v>
      </c>
      <c r="B41" s="33">
        <f>IF(AP40&lt;=0,0,ROUND(AP40+ROUND(AP40*V$3/12,2),2))</f>
      </c>
      <c r="C41" s="33">
        <f>IF(AQ40&lt;=0,0,ROUND(AQ40+ROUND(AQ40*W$3/12,2),2))</f>
      </c>
      <c r="D41" s="33">
        <f>IF(AR40&lt;=0,0,ROUND(AR40+ROUND(AR40*X$3/12,2),2))</f>
      </c>
      <c r="E41" s="33">
        <f>IF(AS40&lt;=0,0,ROUND(AS40+ROUND(AS40*Y$3/12,2),2))</f>
      </c>
      <c r="F41" s="33">
        <f>IF(AT40&lt;=0,0,ROUND(AT40+ROUND(AT40*Z$3/12,2),2))</f>
      </c>
      <c r="G41" s="33">
        <f>IF(AU40&lt;=0,0,ROUND(AU40+ROUND(AU40*AA$3/12,2),2))</f>
      </c>
      <c r="H41" s="33">
        <f>IF(AV40&lt;=0,0,ROUND(AV40+ROUND(AV40*AB$3/12,2),2))</f>
      </c>
      <c r="I41" s="33">
        <f>IF(AW40&lt;=0,0,ROUND(AW40+ROUND(AW40*AC$3/12,2),2))</f>
      </c>
      <c r="J41" s="33">
        <f>IF(AX40&lt;=0,0,ROUND(AX40+ROUND(AX40*AD$3/12,2),2))</f>
      </c>
      <c r="K41" s="33">
        <f>IF(AY40&lt;=0,0,ROUND(AY40+ROUND(AY40*AE$3/12,2),2))</f>
      </c>
      <c r="L41" s="33">
        <f>ROUND(MIN(MAX(0,N('Your debts'!$E$6)),B41),2)</f>
      </c>
      <c r="M41" s="33">
        <f>ROUND(MIN(MAX(0,N('Your debts'!$E$7)),C41),2)</f>
      </c>
      <c r="N41" s="33">
        <f>ROUND(MIN(MAX(0,N('Your debts'!$E$8)),D41),2)</f>
      </c>
      <c r="O41" s="33">
        <f>ROUND(MIN(MAX(0,N('Your debts'!$E$9)),E41),2)</f>
      </c>
      <c r="P41" s="33">
        <f>ROUND(MIN(MAX(0,N('Your debts'!$E$10)),F41),2)</f>
      </c>
      <c r="Q41" s="33">
        <f>ROUND(MIN(MAX(0,N('Your debts'!$E$11)),G41),2)</f>
      </c>
      <c r="R41" s="33">
        <f>ROUND(MIN(MAX(0,N('Your debts'!$E$12)),H41),2)</f>
      </c>
      <c r="S41" s="33">
        <f>ROUND(MIN(MAX(0,N('Your debts'!$E$13)),I41),2)</f>
      </c>
      <c r="T41" s="33">
        <f>ROUND(MIN(MAX(0,N('Your debts'!$E$14)),J41),2)</f>
      </c>
      <c r="U41" s="33">
        <f>ROUND(MIN(MAX(0,N('Your debts'!$E$15)),K41),2)</f>
      </c>
      <c r="V41" s="33">
        <f>ROUND(B41-L41,2)</f>
      </c>
      <c r="W41" s="33">
        <f>ROUND(C41-M41,2)</f>
      </c>
      <c r="X41" s="33">
        <f>ROUND(D41-N41,2)</f>
      </c>
      <c r="Y41" s="33">
        <f>ROUND(E41-O41,2)</f>
      </c>
      <c r="Z41" s="33">
        <f>ROUND(F41-P41,2)</f>
      </c>
      <c r="AA41" s="33">
        <f>ROUND(G41-Q41,2)</f>
      </c>
      <c r="AB41" s="33">
        <f>ROUND(H41-R41,2)</f>
      </c>
      <c r="AC41" s="33">
        <f>ROUND(I41-S41,2)</f>
      </c>
      <c r="AD41" s="33">
        <f>ROUND(J41-T41,2)</f>
      </c>
      <c r="AE41" s="33">
        <f>ROUND(K41-U41,2)</f>
      </c>
      <c r="AF41" s="33">
        <f>IF(V41&lt;=0,0,MAX(0,MIN(V41,ROUND($AZ41-SUMPRODUCT($V41:$AE41*($V41:$AE41&gt;0)*(($V$3:$AE$3&gt;V$3)+($V$3:$AE$3=V$3)*($V41:$AE41&lt;V41)+($V$3:$AE$3=V$3)*($V41:$AE41=V41)*($V$2:$AE$2&lt;V$2))),2))))</f>
      </c>
      <c r="AG41" s="33">
        <f>IF(W41&lt;=0,0,MAX(0,MIN(W41,ROUND($AZ41-SUMPRODUCT($V41:$AE41*($V41:$AE41&gt;0)*(($V$3:$AE$3&gt;W$3)+($V$3:$AE$3=W$3)*($V41:$AE41&lt;W41)+($V$3:$AE$3=W$3)*($V41:$AE41=W41)*($V$2:$AE$2&lt;W$2))),2))))</f>
      </c>
      <c r="AH41" s="33">
        <f>IF(X41&lt;=0,0,MAX(0,MIN(X41,ROUND($AZ41-SUMPRODUCT($V41:$AE41*($V41:$AE41&gt;0)*(($V$3:$AE$3&gt;X$3)+($V$3:$AE$3=X$3)*($V41:$AE41&lt;X41)+($V$3:$AE$3=X$3)*($V41:$AE41=X41)*($V$2:$AE$2&lt;X$2))),2))))</f>
      </c>
      <c r="AI41" s="33">
        <f>IF(Y41&lt;=0,0,MAX(0,MIN(Y41,ROUND($AZ41-SUMPRODUCT($V41:$AE41*($V41:$AE41&gt;0)*(($V$3:$AE$3&gt;Y$3)+($V$3:$AE$3=Y$3)*($V41:$AE41&lt;Y41)+($V$3:$AE$3=Y$3)*($V41:$AE41=Y41)*($V$2:$AE$2&lt;Y$2))),2))))</f>
      </c>
      <c r="AJ41" s="33">
        <f>IF(Z41&lt;=0,0,MAX(0,MIN(Z41,ROUND($AZ41-SUMPRODUCT($V41:$AE41*($V41:$AE41&gt;0)*(($V$3:$AE$3&gt;Z$3)+($V$3:$AE$3=Z$3)*($V41:$AE41&lt;Z41)+($V$3:$AE$3=Z$3)*($V41:$AE41=Z41)*($V$2:$AE$2&lt;Z$2))),2))))</f>
      </c>
      <c r="AK41" s="33">
        <f>IF(AA41&lt;=0,0,MAX(0,MIN(AA41,ROUND($AZ41-SUMPRODUCT($V41:$AE41*($V41:$AE41&gt;0)*(($V$3:$AE$3&gt;AA$3)+($V$3:$AE$3=AA$3)*($V41:$AE41&lt;AA41)+($V$3:$AE$3=AA$3)*($V41:$AE41=AA41)*($V$2:$AE$2&lt;AA$2))),2))))</f>
      </c>
      <c r="AL41" s="33">
        <f>IF(AB41&lt;=0,0,MAX(0,MIN(AB41,ROUND($AZ41-SUMPRODUCT($V41:$AE41*($V41:$AE41&gt;0)*(($V$3:$AE$3&gt;AB$3)+($V$3:$AE$3=AB$3)*($V41:$AE41&lt;AB41)+($V$3:$AE$3=AB$3)*($V41:$AE41=AB41)*($V$2:$AE$2&lt;AB$2))),2))))</f>
      </c>
      <c r="AM41" s="33">
        <f>IF(AC41&lt;=0,0,MAX(0,MIN(AC41,ROUND($AZ41-SUMPRODUCT($V41:$AE41*($V41:$AE41&gt;0)*(($V$3:$AE$3&gt;AC$3)+($V$3:$AE$3=AC$3)*($V41:$AE41&lt;AC41)+($V$3:$AE$3=AC$3)*($V41:$AE41=AC41)*($V$2:$AE$2&lt;AC$2))),2))))</f>
      </c>
      <c r="AN41" s="33">
        <f>IF(AD41&lt;=0,0,MAX(0,MIN(AD41,ROUND($AZ41-SUMPRODUCT($V41:$AE41*($V41:$AE41&gt;0)*(($V$3:$AE$3&gt;AD$3)+($V$3:$AE$3=AD$3)*($V41:$AE41&lt;AD41)+($V$3:$AE$3=AD$3)*($V41:$AE41=AD41)*($V$2:$AE$2&lt;AD$2))),2))))</f>
      </c>
      <c r="AO41" s="33">
        <f>IF(AE41&lt;=0,0,MAX(0,MIN(AE41,ROUND($AZ41-SUMPRODUCT($V41:$AE41*($V41:$AE41&gt;0)*(($V$3:$AE$3&gt;AE$3)+($V$3:$AE$3=AE$3)*($V41:$AE41&lt;AE41)+($V$3:$AE$3=AE$3)*($V41:$AE41=AE41)*($V$2:$AE$2&lt;AE$2))),2))))</f>
      </c>
      <c r="AP41" s="33">
        <f>ROUND(V41-AF41,2)</f>
      </c>
      <c r="AQ41" s="33">
        <f>ROUND(W41-AG41,2)</f>
      </c>
      <c r="AR41" s="33">
        <f>ROUND(X41-AH41,2)</f>
      </c>
      <c r="AS41" s="33">
        <f>ROUND(Y41-AI41,2)</f>
      </c>
      <c r="AT41" s="33">
        <f>ROUND(Z41-AJ41,2)</f>
      </c>
      <c r="AU41" s="33">
        <f>ROUND(AA41-AK41,2)</f>
      </c>
      <c r="AV41" s="33">
        <f>ROUND(AB41-AL41,2)</f>
      </c>
      <c r="AW41" s="33">
        <f>ROUND(AC41-AM41,2)</f>
      </c>
      <c r="AX41" s="33">
        <f>ROUND(AD41-AN41,2)</f>
      </c>
      <c r="AY41" s="33">
        <f>ROUND(AE41-AO41,2)</f>
      </c>
      <c r="AZ41" s="33">
        <f>ROUND(MAX(0,'Your debts'!$D$22-SUM($L41:$U41)),2)</f>
      </c>
      <c r="BA41" s="33">
        <f>ROUND(SUM($B41:$K41)-SUM($AP40:$AY40),2)</f>
      </c>
      <c r="BB41" s="33">
        <f>SUM($AP41:$AY41)</f>
      </c>
      <c r="BC41" s="33">
        <f>ROUND(SUM($L41:$U41)+SUM($AF41:$AO41),2)</f>
      </c>
    </row>
    <row r="42" spans="1:55" x14ac:dyDescent="0.25">
      <c r="A42">
        <v>35</v>
      </c>
      <c r="B42" s="33">
        <f>IF(AP41&lt;=0,0,ROUND(AP41+ROUND(AP41*V$3/12,2),2))</f>
      </c>
      <c r="C42" s="33">
        <f>IF(AQ41&lt;=0,0,ROUND(AQ41+ROUND(AQ41*W$3/12,2),2))</f>
      </c>
      <c r="D42" s="33">
        <f>IF(AR41&lt;=0,0,ROUND(AR41+ROUND(AR41*X$3/12,2),2))</f>
      </c>
      <c r="E42" s="33">
        <f>IF(AS41&lt;=0,0,ROUND(AS41+ROUND(AS41*Y$3/12,2),2))</f>
      </c>
      <c r="F42" s="33">
        <f>IF(AT41&lt;=0,0,ROUND(AT41+ROUND(AT41*Z$3/12,2),2))</f>
      </c>
      <c r="G42" s="33">
        <f>IF(AU41&lt;=0,0,ROUND(AU41+ROUND(AU41*AA$3/12,2),2))</f>
      </c>
      <c r="H42" s="33">
        <f>IF(AV41&lt;=0,0,ROUND(AV41+ROUND(AV41*AB$3/12,2),2))</f>
      </c>
      <c r="I42" s="33">
        <f>IF(AW41&lt;=0,0,ROUND(AW41+ROUND(AW41*AC$3/12,2),2))</f>
      </c>
      <c r="J42" s="33">
        <f>IF(AX41&lt;=0,0,ROUND(AX41+ROUND(AX41*AD$3/12,2),2))</f>
      </c>
      <c r="K42" s="33">
        <f>IF(AY41&lt;=0,0,ROUND(AY41+ROUND(AY41*AE$3/12,2),2))</f>
      </c>
      <c r="L42" s="33">
        <f>ROUND(MIN(MAX(0,N('Your debts'!$E$6)),B42),2)</f>
      </c>
      <c r="M42" s="33">
        <f>ROUND(MIN(MAX(0,N('Your debts'!$E$7)),C42),2)</f>
      </c>
      <c r="N42" s="33">
        <f>ROUND(MIN(MAX(0,N('Your debts'!$E$8)),D42),2)</f>
      </c>
      <c r="O42" s="33">
        <f>ROUND(MIN(MAX(0,N('Your debts'!$E$9)),E42),2)</f>
      </c>
      <c r="P42" s="33">
        <f>ROUND(MIN(MAX(0,N('Your debts'!$E$10)),F42),2)</f>
      </c>
      <c r="Q42" s="33">
        <f>ROUND(MIN(MAX(0,N('Your debts'!$E$11)),G42),2)</f>
      </c>
      <c r="R42" s="33">
        <f>ROUND(MIN(MAX(0,N('Your debts'!$E$12)),H42),2)</f>
      </c>
      <c r="S42" s="33">
        <f>ROUND(MIN(MAX(0,N('Your debts'!$E$13)),I42),2)</f>
      </c>
      <c r="T42" s="33">
        <f>ROUND(MIN(MAX(0,N('Your debts'!$E$14)),J42),2)</f>
      </c>
      <c r="U42" s="33">
        <f>ROUND(MIN(MAX(0,N('Your debts'!$E$15)),K42),2)</f>
      </c>
      <c r="V42" s="33">
        <f>ROUND(B42-L42,2)</f>
      </c>
      <c r="W42" s="33">
        <f>ROUND(C42-M42,2)</f>
      </c>
      <c r="X42" s="33">
        <f>ROUND(D42-N42,2)</f>
      </c>
      <c r="Y42" s="33">
        <f>ROUND(E42-O42,2)</f>
      </c>
      <c r="Z42" s="33">
        <f>ROUND(F42-P42,2)</f>
      </c>
      <c r="AA42" s="33">
        <f>ROUND(G42-Q42,2)</f>
      </c>
      <c r="AB42" s="33">
        <f>ROUND(H42-R42,2)</f>
      </c>
      <c r="AC42" s="33">
        <f>ROUND(I42-S42,2)</f>
      </c>
      <c r="AD42" s="33">
        <f>ROUND(J42-T42,2)</f>
      </c>
      <c r="AE42" s="33">
        <f>ROUND(K42-U42,2)</f>
      </c>
      <c r="AF42" s="33">
        <f>IF(V42&lt;=0,0,MAX(0,MIN(V42,ROUND($AZ42-SUMPRODUCT($V42:$AE42*($V42:$AE42&gt;0)*(($V$3:$AE$3&gt;V$3)+($V$3:$AE$3=V$3)*($V42:$AE42&lt;V42)+($V$3:$AE$3=V$3)*($V42:$AE42=V42)*($V$2:$AE$2&lt;V$2))),2))))</f>
      </c>
      <c r="AG42" s="33">
        <f>IF(W42&lt;=0,0,MAX(0,MIN(W42,ROUND($AZ42-SUMPRODUCT($V42:$AE42*($V42:$AE42&gt;0)*(($V$3:$AE$3&gt;W$3)+($V$3:$AE$3=W$3)*($V42:$AE42&lt;W42)+($V$3:$AE$3=W$3)*($V42:$AE42=W42)*($V$2:$AE$2&lt;W$2))),2))))</f>
      </c>
      <c r="AH42" s="33">
        <f>IF(X42&lt;=0,0,MAX(0,MIN(X42,ROUND($AZ42-SUMPRODUCT($V42:$AE42*($V42:$AE42&gt;0)*(($V$3:$AE$3&gt;X$3)+($V$3:$AE$3=X$3)*($V42:$AE42&lt;X42)+($V$3:$AE$3=X$3)*($V42:$AE42=X42)*($V$2:$AE$2&lt;X$2))),2))))</f>
      </c>
      <c r="AI42" s="33">
        <f>IF(Y42&lt;=0,0,MAX(0,MIN(Y42,ROUND($AZ42-SUMPRODUCT($V42:$AE42*($V42:$AE42&gt;0)*(($V$3:$AE$3&gt;Y$3)+($V$3:$AE$3=Y$3)*($V42:$AE42&lt;Y42)+($V$3:$AE$3=Y$3)*($V42:$AE42=Y42)*($V$2:$AE$2&lt;Y$2))),2))))</f>
      </c>
      <c r="AJ42" s="33">
        <f>IF(Z42&lt;=0,0,MAX(0,MIN(Z42,ROUND($AZ42-SUMPRODUCT($V42:$AE42*($V42:$AE42&gt;0)*(($V$3:$AE$3&gt;Z$3)+($V$3:$AE$3=Z$3)*($V42:$AE42&lt;Z42)+($V$3:$AE$3=Z$3)*($V42:$AE42=Z42)*($V$2:$AE$2&lt;Z$2))),2))))</f>
      </c>
      <c r="AK42" s="33">
        <f>IF(AA42&lt;=0,0,MAX(0,MIN(AA42,ROUND($AZ42-SUMPRODUCT($V42:$AE42*($V42:$AE42&gt;0)*(($V$3:$AE$3&gt;AA$3)+($V$3:$AE$3=AA$3)*($V42:$AE42&lt;AA42)+($V$3:$AE$3=AA$3)*($V42:$AE42=AA42)*($V$2:$AE$2&lt;AA$2))),2))))</f>
      </c>
      <c r="AL42" s="33">
        <f>IF(AB42&lt;=0,0,MAX(0,MIN(AB42,ROUND($AZ42-SUMPRODUCT($V42:$AE42*($V42:$AE42&gt;0)*(($V$3:$AE$3&gt;AB$3)+($V$3:$AE$3=AB$3)*($V42:$AE42&lt;AB42)+($V$3:$AE$3=AB$3)*($V42:$AE42=AB42)*($V$2:$AE$2&lt;AB$2))),2))))</f>
      </c>
      <c r="AM42" s="33">
        <f>IF(AC42&lt;=0,0,MAX(0,MIN(AC42,ROUND($AZ42-SUMPRODUCT($V42:$AE42*($V42:$AE42&gt;0)*(($V$3:$AE$3&gt;AC$3)+($V$3:$AE$3=AC$3)*($V42:$AE42&lt;AC42)+($V$3:$AE$3=AC$3)*($V42:$AE42=AC42)*($V$2:$AE$2&lt;AC$2))),2))))</f>
      </c>
      <c r="AN42" s="33">
        <f>IF(AD42&lt;=0,0,MAX(0,MIN(AD42,ROUND($AZ42-SUMPRODUCT($V42:$AE42*($V42:$AE42&gt;0)*(($V$3:$AE$3&gt;AD$3)+($V$3:$AE$3=AD$3)*($V42:$AE42&lt;AD42)+($V$3:$AE$3=AD$3)*($V42:$AE42=AD42)*($V$2:$AE$2&lt;AD$2))),2))))</f>
      </c>
      <c r="AO42" s="33">
        <f>IF(AE42&lt;=0,0,MAX(0,MIN(AE42,ROUND($AZ42-SUMPRODUCT($V42:$AE42*($V42:$AE42&gt;0)*(($V$3:$AE$3&gt;AE$3)+($V$3:$AE$3=AE$3)*($V42:$AE42&lt;AE42)+($V$3:$AE$3=AE$3)*($V42:$AE42=AE42)*($V$2:$AE$2&lt;AE$2))),2))))</f>
      </c>
      <c r="AP42" s="33">
        <f>ROUND(V42-AF42,2)</f>
      </c>
      <c r="AQ42" s="33">
        <f>ROUND(W42-AG42,2)</f>
      </c>
      <c r="AR42" s="33">
        <f>ROUND(X42-AH42,2)</f>
      </c>
      <c r="AS42" s="33">
        <f>ROUND(Y42-AI42,2)</f>
      </c>
      <c r="AT42" s="33">
        <f>ROUND(Z42-AJ42,2)</f>
      </c>
      <c r="AU42" s="33">
        <f>ROUND(AA42-AK42,2)</f>
      </c>
      <c r="AV42" s="33">
        <f>ROUND(AB42-AL42,2)</f>
      </c>
      <c r="AW42" s="33">
        <f>ROUND(AC42-AM42,2)</f>
      </c>
      <c r="AX42" s="33">
        <f>ROUND(AD42-AN42,2)</f>
      </c>
      <c r="AY42" s="33">
        <f>ROUND(AE42-AO42,2)</f>
      </c>
      <c r="AZ42" s="33">
        <f>ROUND(MAX(0,'Your debts'!$D$22-SUM($L42:$U42)),2)</f>
      </c>
      <c r="BA42" s="33">
        <f>ROUND(SUM($B42:$K42)-SUM($AP41:$AY41),2)</f>
      </c>
      <c r="BB42" s="33">
        <f>SUM($AP42:$AY42)</f>
      </c>
      <c r="BC42" s="33">
        <f>ROUND(SUM($L42:$U42)+SUM($AF42:$AO42),2)</f>
      </c>
    </row>
    <row r="43" spans="1:55" x14ac:dyDescent="0.25">
      <c r="A43">
        <v>36</v>
      </c>
      <c r="B43" s="33">
        <f>IF(AP42&lt;=0,0,ROUND(AP42+ROUND(AP42*V$3/12,2),2))</f>
      </c>
      <c r="C43" s="33">
        <f>IF(AQ42&lt;=0,0,ROUND(AQ42+ROUND(AQ42*W$3/12,2),2))</f>
      </c>
      <c r="D43" s="33">
        <f>IF(AR42&lt;=0,0,ROUND(AR42+ROUND(AR42*X$3/12,2),2))</f>
      </c>
      <c r="E43" s="33">
        <f>IF(AS42&lt;=0,0,ROUND(AS42+ROUND(AS42*Y$3/12,2),2))</f>
      </c>
      <c r="F43" s="33">
        <f>IF(AT42&lt;=0,0,ROUND(AT42+ROUND(AT42*Z$3/12,2),2))</f>
      </c>
      <c r="G43" s="33">
        <f>IF(AU42&lt;=0,0,ROUND(AU42+ROUND(AU42*AA$3/12,2),2))</f>
      </c>
      <c r="H43" s="33">
        <f>IF(AV42&lt;=0,0,ROUND(AV42+ROUND(AV42*AB$3/12,2),2))</f>
      </c>
      <c r="I43" s="33">
        <f>IF(AW42&lt;=0,0,ROUND(AW42+ROUND(AW42*AC$3/12,2),2))</f>
      </c>
      <c r="J43" s="33">
        <f>IF(AX42&lt;=0,0,ROUND(AX42+ROUND(AX42*AD$3/12,2),2))</f>
      </c>
      <c r="K43" s="33">
        <f>IF(AY42&lt;=0,0,ROUND(AY42+ROUND(AY42*AE$3/12,2),2))</f>
      </c>
      <c r="L43" s="33">
        <f>ROUND(MIN(MAX(0,N('Your debts'!$E$6)),B43),2)</f>
      </c>
      <c r="M43" s="33">
        <f>ROUND(MIN(MAX(0,N('Your debts'!$E$7)),C43),2)</f>
      </c>
      <c r="N43" s="33">
        <f>ROUND(MIN(MAX(0,N('Your debts'!$E$8)),D43),2)</f>
      </c>
      <c r="O43" s="33">
        <f>ROUND(MIN(MAX(0,N('Your debts'!$E$9)),E43),2)</f>
      </c>
      <c r="P43" s="33">
        <f>ROUND(MIN(MAX(0,N('Your debts'!$E$10)),F43),2)</f>
      </c>
      <c r="Q43" s="33">
        <f>ROUND(MIN(MAX(0,N('Your debts'!$E$11)),G43),2)</f>
      </c>
      <c r="R43" s="33">
        <f>ROUND(MIN(MAX(0,N('Your debts'!$E$12)),H43),2)</f>
      </c>
      <c r="S43" s="33">
        <f>ROUND(MIN(MAX(0,N('Your debts'!$E$13)),I43),2)</f>
      </c>
      <c r="T43" s="33">
        <f>ROUND(MIN(MAX(0,N('Your debts'!$E$14)),J43),2)</f>
      </c>
      <c r="U43" s="33">
        <f>ROUND(MIN(MAX(0,N('Your debts'!$E$15)),K43),2)</f>
      </c>
      <c r="V43" s="33">
        <f>ROUND(B43-L43,2)</f>
      </c>
      <c r="W43" s="33">
        <f>ROUND(C43-M43,2)</f>
      </c>
      <c r="X43" s="33">
        <f>ROUND(D43-N43,2)</f>
      </c>
      <c r="Y43" s="33">
        <f>ROUND(E43-O43,2)</f>
      </c>
      <c r="Z43" s="33">
        <f>ROUND(F43-P43,2)</f>
      </c>
      <c r="AA43" s="33">
        <f>ROUND(G43-Q43,2)</f>
      </c>
      <c r="AB43" s="33">
        <f>ROUND(H43-R43,2)</f>
      </c>
      <c r="AC43" s="33">
        <f>ROUND(I43-S43,2)</f>
      </c>
      <c r="AD43" s="33">
        <f>ROUND(J43-T43,2)</f>
      </c>
      <c r="AE43" s="33">
        <f>ROUND(K43-U43,2)</f>
      </c>
      <c r="AF43" s="33">
        <f>IF(V43&lt;=0,0,MAX(0,MIN(V43,ROUND($AZ43-SUMPRODUCT($V43:$AE43*($V43:$AE43&gt;0)*(($V$3:$AE$3&gt;V$3)+($V$3:$AE$3=V$3)*($V43:$AE43&lt;V43)+($V$3:$AE$3=V$3)*($V43:$AE43=V43)*($V$2:$AE$2&lt;V$2))),2))))</f>
      </c>
      <c r="AG43" s="33">
        <f>IF(W43&lt;=0,0,MAX(0,MIN(W43,ROUND($AZ43-SUMPRODUCT($V43:$AE43*($V43:$AE43&gt;0)*(($V$3:$AE$3&gt;W$3)+($V$3:$AE$3=W$3)*($V43:$AE43&lt;W43)+($V$3:$AE$3=W$3)*($V43:$AE43=W43)*($V$2:$AE$2&lt;W$2))),2))))</f>
      </c>
      <c r="AH43" s="33">
        <f>IF(X43&lt;=0,0,MAX(0,MIN(X43,ROUND($AZ43-SUMPRODUCT($V43:$AE43*($V43:$AE43&gt;0)*(($V$3:$AE$3&gt;X$3)+($V$3:$AE$3=X$3)*($V43:$AE43&lt;X43)+($V$3:$AE$3=X$3)*($V43:$AE43=X43)*($V$2:$AE$2&lt;X$2))),2))))</f>
      </c>
      <c r="AI43" s="33">
        <f>IF(Y43&lt;=0,0,MAX(0,MIN(Y43,ROUND($AZ43-SUMPRODUCT($V43:$AE43*($V43:$AE43&gt;0)*(($V$3:$AE$3&gt;Y$3)+($V$3:$AE$3=Y$3)*($V43:$AE43&lt;Y43)+($V$3:$AE$3=Y$3)*($V43:$AE43=Y43)*($V$2:$AE$2&lt;Y$2))),2))))</f>
      </c>
      <c r="AJ43" s="33">
        <f>IF(Z43&lt;=0,0,MAX(0,MIN(Z43,ROUND($AZ43-SUMPRODUCT($V43:$AE43*($V43:$AE43&gt;0)*(($V$3:$AE$3&gt;Z$3)+($V$3:$AE$3=Z$3)*($V43:$AE43&lt;Z43)+($V$3:$AE$3=Z$3)*($V43:$AE43=Z43)*($V$2:$AE$2&lt;Z$2))),2))))</f>
      </c>
      <c r="AK43" s="33">
        <f>IF(AA43&lt;=0,0,MAX(0,MIN(AA43,ROUND($AZ43-SUMPRODUCT($V43:$AE43*($V43:$AE43&gt;0)*(($V$3:$AE$3&gt;AA$3)+($V$3:$AE$3=AA$3)*($V43:$AE43&lt;AA43)+($V$3:$AE$3=AA$3)*($V43:$AE43=AA43)*($V$2:$AE$2&lt;AA$2))),2))))</f>
      </c>
      <c r="AL43" s="33">
        <f>IF(AB43&lt;=0,0,MAX(0,MIN(AB43,ROUND($AZ43-SUMPRODUCT($V43:$AE43*($V43:$AE43&gt;0)*(($V$3:$AE$3&gt;AB$3)+($V$3:$AE$3=AB$3)*($V43:$AE43&lt;AB43)+($V$3:$AE$3=AB$3)*($V43:$AE43=AB43)*($V$2:$AE$2&lt;AB$2))),2))))</f>
      </c>
      <c r="AM43" s="33">
        <f>IF(AC43&lt;=0,0,MAX(0,MIN(AC43,ROUND($AZ43-SUMPRODUCT($V43:$AE43*($V43:$AE43&gt;0)*(($V$3:$AE$3&gt;AC$3)+($V$3:$AE$3=AC$3)*($V43:$AE43&lt;AC43)+($V$3:$AE$3=AC$3)*($V43:$AE43=AC43)*($V$2:$AE$2&lt;AC$2))),2))))</f>
      </c>
      <c r="AN43" s="33">
        <f>IF(AD43&lt;=0,0,MAX(0,MIN(AD43,ROUND($AZ43-SUMPRODUCT($V43:$AE43*($V43:$AE43&gt;0)*(($V$3:$AE$3&gt;AD$3)+($V$3:$AE$3=AD$3)*($V43:$AE43&lt;AD43)+($V$3:$AE$3=AD$3)*($V43:$AE43=AD43)*($V$2:$AE$2&lt;AD$2))),2))))</f>
      </c>
      <c r="AO43" s="33">
        <f>IF(AE43&lt;=0,0,MAX(0,MIN(AE43,ROUND($AZ43-SUMPRODUCT($V43:$AE43*($V43:$AE43&gt;0)*(($V$3:$AE$3&gt;AE$3)+($V$3:$AE$3=AE$3)*($V43:$AE43&lt;AE43)+($V$3:$AE$3=AE$3)*($V43:$AE43=AE43)*($V$2:$AE$2&lt;AE$2))),2))))</f>
      </c>
      <c r="AP43" s="33">
        <f>ROUND(V43-AF43,2)</f>
      </c>
      <c r="AQ43" s="33">
        <f>ROUND(W43-AG43,2)</f>
      </c>
      <c r="AR43" s="33">
        <f>ROUND(X43-AH43,2)</f>
      </c>
      <c r="AS43" s="33">
        <f>ROUND(Y43-AI43,2)</f>
      </c>
      <c r="AT43" s="33">
        <f>ROUND(Z43-AJ43,2)</f>
      </c>
      <c r="AU43" s="33">
        <f>ROUND(AA43-AK43,2)</f>
      </c>
      <c r="AV43" s="33">
        <f>ROUND(AB43-AL43,2)</f>
      </c>
      <c r="AW43" s="33">
        <f>ROUND(AC43-AM43,2)</f>
      </c>
      <c r="AX43" s="33">
        <f>ROUND(AD43-AN43,2)</f>
      </c>
      <c r="AY43" s="33">
        <f>ROUND(AE43-AO43,2)</f>
      </c>
      <c r="AZ43" s="33">
        <f>ROUND(MAX(0,'Your debts'!$D$22-SUM($L43:$U43)),2)</f>
      </c>
      <c r="BA43" s="33">
        <f>ROUND(SUM($B43:$K43)-SUM($AP42:$AY42),2)</f>
      </c>
      <c r="BB43" s="33">
        <f>SUM($AP43:$AY43)</f>
      </c>
      <c r="BC43" s="33">
        <f>ROUND(SUM($L43:$U43)+SUM($AF43:$AO43),2)</f>
      </c>
    </row>
    <row r="44" spans="1:55" x14ac:dyDescent="0.25">
      <c r="A44">
        <v>37</v>
      </c>
      <c r="B44" s="33">
        <f>IF(AP43&lt;=0,0,ROUND(AP43+ROUND(AP43*V$3/12,2),2))</f>
      </c>
      <c r="C44" s="33">
        <f>IF(AQ43&lt;=0,0,ROUND(AQ43+ROUND(AQ43*W$3/12,2),2))</f>
      </c>
      <c r="D44" s="33">
        <f>IF(AR43&lt;=0,0,ROUND(AR43+ROUND(AR43*X$3/12,2),2))</f>
      </c>
      <c r="E44" s="33">
        <f>IF(AS43&lt;=0,0,ROUND(AS43+ROUND(AS43*Y$3/12,2),2))</f>
      </c>
      <c r="F44" s="33">
        <f>IF(AT43&lt;=0,0,ROUND(AT43+ROUND(AT43*Z$3/12,2),2))</f>
      </c>
      <c r="G44" s="33">
        <f>IF(AU43&lt;=0,0,ROUND(AU43+ROUND(AU43*AA$3/12,2),2))</f>
      </c>
      <c r="H44" s="33">
        <f>IF(AV43&lt;=0,0,ROUND(AV43+ROUND(AV43*AB$3/12,2),2))</f>
      </c>
      <c r="I44" s="33">
        <f>IF(AW43&lt;=0,0,ROUND(AW43+ROUND(AW43*AC$3/12,2),2))</f>
      </c>
      <c r="J44" s="33">
        <f>IF(AX43&lt;=0,0,ROUND(AX43+ROUND(AX43*AD$3/12,2),2))</f>
      </c>
      <c r="K44" s="33">
        <f>IF(AY43&lt;=0,0,ROUND(AY43+ROUND(AY43*AE$3/12,2),2))</f>
      </c>
      <c r="L44" s="33">
        <f>ROUND(MIN(MAX(0,N('Your debts'!$E$6)),B44),2)</f>
      </c>
      <c r="M44" s="33">
        <f>ROUND(MIN(MAX(0,N('Your debts'!$E$7)),C44),2)</f>
      </c>
      <c r="N44" s="33">
        <f>ROUND(MIN(MAX(0,N('Your debts'!$E$8)),D44),2)</f>
      </c>
      <c r="O44" s="33">
        <f>ROUND(MIN(MAX(0,N('Your debts'!$E$9)),E44),2)</f>
      </c>
      <c r="P44" s="33">
        <f>ROUND(MIN(MAX(0,N('Your debts'!$E$10)),F44),2)</f>
      </c>
      <c r="Q44" s="33">
        <f>ROUND(MIN(MAX(0,N('Your debts'!$E$11)),G44),2)</f>
      </c>
      <c r="R44" s="33">
        <f>ROUND(MIN(MAX(0,N('Your debts'!$E$12)),H44),2)</f>
      </c>
      <c r="S44" s="33">
        <f>ROUND(MIN(MAX(0,N('Your debts'!$E$13)),I44),2)</f>
      </c>
      <c r="T44" s="33">
        <f>ROUND(MIN(MAX(0,N('Your debts'!$E$14)),J44),2)</f>
      </c>
      <c r="U44" s="33">
        <f>ROUND(MIN(MAX(0,N('Your debts'!$E$15)),K44),2)</f>
      </c>
      <c r="V44" s="33">
        <f>ROUND(B44-L44,2)</f>
      </c>
      <c r="W44" s="33">
        <f>ROUND(C44-M44,2)</f>
      </c>
      <c r="X44" s="33">
        <f>ROUND(D44-N44,2)</f>
      </c>
      <c r="Y44" s="33">
        <f>ROUND(E44-O44,2)</f>
      </c>
      <c r="Z44" s="33">
        <f>ROUND(F44-P44,2)</f>
      </c>
      <c r="AA44" s="33">
        <f>ROUND(G44-Q44,2)</f>
      </c>
      <c r="AB44" s="33">
        <f>ROUND(H44-R44,2)</f>
      </c>
      <c r="AC44" s="33">
        <f>ROUND(I44-S44,2)</f>
      </c>
      <c r="AD44" s="33">
        <f>ROUND(J44-T44,2)</f>
      </c>
      <c r="AE44" s="33">
        <f>ROUND(K44-U44,2)</f>
      </c>
      <c r="AF44" s="33">
        <f>IF(V44&lt;=0,0,MAX(0,MIN(V44,ROUND($AZ44-SUMPRODUCT($V44:$AE44*($V44:$AE44&gt;0)*(($V$3:$AE$3&gt;V$3)+($V$3:$AE$3=V$3)*($V44:$AE44&lt;V44)+($V$3:$AE$3=V$3)*($V44:$AE44=V44)*($V$2:$AE$2&lt;V$2))),2))))</f>
      </c>
      <c r="AG44" s="33">
        <f>IF(W44&lt;=0,0,MAX(0,MIN(W44,ROUND($AZ44-SUMPRODUCT($V44:$AE44*($V44:$AE44&gt;0)*(($V$3:$AE$3&gt;W$3)+($V$3:$AE$3=W$3)*($V44:$AE44&lt;W44)+($V$3:$AE$3=W$3)*($V44:$AE44=W44)*($V$2:$AE$2&lt;W$2))),2))))</f>
      </c>
      <c r="AH44" s="33">
        <f>IF(X44&lt;=0,0,MAX(0,MIN(X44,ROUND($AZ44-SUMPRODUCT($V44:$AE44*($V44:$AE44&gt;0)*(($V$3:$AE$3&gt;X$3)+($V$3:$AE$3=X$3)*($V44:$AE44&lt;X44)+($V$3:$AE$3=X$3)*($V44:$AE44=X44)*($V$2:$AE$2&lt;X$2))),2))))</f>
      </c>
      <c r="AI44" s="33">
        <f>IF(Y44&lt;=0,0,MAX(0,MIN(Y44,ROUND($AZ44-SUMPRODUCT($V44:$AE44*($V44:$AE44&gt;0)*(($V$3:$AE$3&gt;Y$3)+($V$3:$AE$3=Y$3)*($V44:$AE44&lt;Y44)+($V$3:$AE$3=Y$3)*($V44:$AE44=Y44)*($V$2:$AE$2&lt;Y$2))),2))))</f>
      </c>
      <c r="AJ44" s="33">
        <f>IF(Z44&lt;=0,0,MAX(0,MIN(Z44,ROUND($AZ44-SUMPRODUCT($V44:$AE44*($V44:$AE44&gt;0)*(($V$3:$AE$3&gt;Z$3)+($V$3:$AE$3=Z$3)*($V44:$AE44&lt;Z44)+($V$3:$AE$3=Z$3)*($V44:$AE44=Z44)*($V$2:$AE$2&lt;Z$2))),2))))</f>
      </c>
      <c r="AK44" s="33">
        <f>IF(AA44&lt;=0,0,MAX(0,MIN(AA44,ROUND($AZ44-SUMPRODUCT($V44:$AE44*($V44:$AE44&gt;0)*(($V$3:$AE$3&gt;AA$3)+($V$3:$AE$3=AA$3)*($V44:$AE44&lt;AA44)+($V$3:$AE$3=AA$3)*($V44:$AE44=AA44)*($V$2:$AE$2&lt;AA$2))),2))))</f>
      </c>
      <c r="AL44" s="33">
        <f>IF(AB44&lt;=0,0,MAX(0,MIN(AB44,ROUND($AZ44-SUMPRODUCT($V44:$AE44*($V44:$AE44&gt;0)*(($V$3:$AE$3&gt;AB$3)+($V$3:$AE$3=AB$3)*($V44:$AE44&lt;AB44)+($V$3:$AE$3=AB$3)*($V44:$AE44=AB44)*($V$2:$AE$2&lt;AB$2))),2))))</f>
      </c>
      <c r="AM44" s="33">
        <f>IF(AC44&lt;=0,0,MAX(0,MIN(AC44,ROUND($AZ44-SUMPRODUCT($V44:$AE44*($V44:$AE44&gt;0)*(($V$3:$AE$3&gt;AC$3)+($V$3:$AE$3=AC$3)*($V44:$AE44&lt;AC44)+($V$3:$AE$3=AC$3)*($V44:$AE44=AC44)*($V$2:$AE$2&lt;AC$2))),2))))</f>
      </c>
      <c r="AN44" s="33">
        <f>IF(AD44&lt;=0,0,MAX(0,MIN(AD44,ROUND($AZ44-SUMPRODUCT($V44:$AE44*($V44:$AE44&gt;0)*(($V$3:$AE$3&gt;AD$3)+($V$3:$AE$3=AD$3)*($V44:$AE44&lt;AD44)+($V$3:$AE$3=AD$3)*($V44:$AE44=AD44)*($V$2:$AE$2&lt;AD$2))),2))))</f>
      </c>
      <c r="AO44" s="33">
        <f>IF(AE44&lt;=0,0,MAX(0,MIN(AE44,ROUND($AZ44-SUMPRODUCT($V44:$AE44*($V44:$AE44&gt;0)*(($V$3:$AE$3&gt;AE$3)+($V$3:$AE$3=AE$3)*($V44:$AE44&lt;AE44)+($V$3:$AE$3=AE$3)*($V44:$AE44=AE44)*($V$2:$AE$2&lt;AE$2))),2))))</f>
      </c>
      <c r="AP44" s="33">
        <f>ROUND(V44-AF44,2)</f>
      </c>
      <c r="AQ44" s="33">
        <f>ROUND(W44-AG44,2)</f>
      </c>
      <c r="AR44" s="33">
        <f>ROUND(X44-AH44,2)</f>
      </c>
      <c r="AS44" s="33">
        <f>ROUND(Y44-AI44,2)</f>
      </c>
      <c r="AT44" s="33">
        <f>ROUND(Z44-AJ44,2)</f>
      </c>
      <c r="AU44" s="33">
        <f>ROUND(AA44-AK44,2)</f>
      </c>
      <c r="AV44" s="33">
        <f>ROUND(AB44-AL44,2)</f>
      </c>
      <c r="AW44" s="33">
        <f>ROUND(AC44-AM44,2)</f>
      </c>
      <c r="AX44" s="33">
        <f>ROUND(AD44-AN44,2)</f>
      </c>
      <c r="AY44" s="33">
        <f>ROUND(AE44-AO44,2)</f>
      </c>
      <c r="AZ44" s="33">
        <f>ROUND(MAX(0,'Your debts'!$D$22-SUM($L44:$U44)),2)</f>
      </c>
      <c r="BA44" s="33">
        <f>ROUND(SUM($B44:$K44)-SUM($AP43:$AY43),2)</f>
      </c>
      <c r="BB44" s="33">
        <f>SUM($AP44:$AY44)</f>
      </c>
      <c r="BC44" s="33">
        <f>ROUND(SUM($L44:$U44)+SUM($AF44:$AO44),2)</f>
      </c>
    </row>
    <row r="45" spans="1:55" x14ac:dyDescent="0.25">
      <c r="A45">
        <v>38</v>
      </c>
      <c r="B45" s="33">
        <f>IF(AP44&lt;=0,0,ROUND(AP44+ROUND(AP44*V$3/12,2),2))</f>
      </c>
      <c r="C45" s="33">
        <f>IF(AQ44&lt;=0,0,ROUND(AQ44+ROUND(AQ44*W$3/12,2),2))</f>
      </c>
      <c r="D45" s="33">
        <f>IF(AR44&lt;=0,0,ROUND(AR44+ROUND(AR44*X$3/12,2),2))</f>
      </c>
      <c r="E45" s="33">
        <f>IF(AS44&lt;=0,0,ROUND(AS44+ROUND(AS44*Y$3/12,2),2))</f>
      </c>
      <c r="F45" s="33">
        <f>IF(AT44&lt;=0,0,ROUND(AT44+ROUND(AT44*Z$3/12,2),2))</f>
      </c>
      <c r="G45" s="33">
        <f>IF(AU44&lt;=0,0,ROUND(AU44+ROUND(AU44*AA$3/12,2),2))</f>
      </c>
      <c r="H45" s="33">
        <f>IF(AV44&lt;=0,0,ROUND(AV44+ROUND(AV44*AB$3/12,2),2))</f>
      </c>
      <c r="I45" s="33">
        <f>IF(AW44&lt;=0,0,ROUND(AW44+ROUND(AW44*AC$3/12,2),2))</f>
      </c>
      <c r="J45" s="33">
        <f>IF(AX44&lt;=0,0,ROUND(AX44+ROUND(AX44*AD$3/12,2),2))</f>
      </c>
      <c r="K45" s="33">
        <f>IF(AY44&lt;=0,0,ROUND(AY44+ROUND(AY44*AE$3/12,2),2))</f>
      </c>
      <c r="L45" s="33">
        <f>ROUND(MIN(MAX(0,N('Your debts'!$E$6)),B45),2)</f>
      </c>
      <c r="M45" s="33">
        <f>ROUND(MIN(MAX(0,N('Your debts'!$E$7)),C45),2)</f>
      </c>
      <c r="N45" s="33">
        <f>ROUND(MIN(MAX(0,N('Your debts'!$E$8)),D45),2)</f>
      </c>
      <c r="O45" s="33">
        <f>ROUND(MIN(MAX(0,N('Your debts'!$E$9)),E45),2)</f>
      </c>
      <c r="P45" s="33">
        <f>ROUND(MIN(MAX(0,N('Your debts'!$E$10)),F45),2)</f>
      </c>
      <c r="Q45" s="33">
        <f>ROUND(MIN(MAX(0,N('Your debts'!$E$11)),G45),2)</f>
      </c>
      <c r="R45" s="33">
        <f>ROUND(MIN(MAX(0,N('Your debts'!$E$12)),H45),2)</f>
      </c>
      <c r="S45" s="33">
        <f>ROUND(MIN(MAX(0,N('Your debts'!$E$13)),I45),2)</f>
      </c>
      <c r="T45" s="33">
        <f>ROUND(MIN(MAX(0,N('Your debts'!$E$14)),J45),2)</f>
      </c>
      <c r="U45" s="33">
        <f>ROUND(MIN(MAX(0,N('Your debts'!$E$15)),K45),2)</f>
      </c>
      <c r="V45" s="33">
        <f>ROUND(B45-L45,2)</f>
      </c>
      <c r="W45" s="33">
        <f>ROUND(C45-M45,2)</f>
      </c>
      <c r="X45" s="33">
        <f>ROUND(D45-N45,2)</f>
      </c>
      <c r="Y45" s="33">
        <f>ROUND(E45-O45,2)</f>
      </c>
      <c r="Z45" s="33">
        <f>ROUND(F45-P45,2)</f>
      </c>
      <c r="AA45" s="33">
        <f>ROUND(G45-Q45,2)</f>
      </c>
      <c r="AB45" s="33">
        <f>ROUND(H45-R45,2)</f>
      </c>
      <c r="AC45" s="33">
        <f>ROUND(I45-S45,2)</f>
      </c>
      <c r="AD45" s="33">
        <f>ROUND(J45-T45,2)</f>
      </c>
      <c r="AE45" s="33">
        <f>ROUND(K45-U45,2)</f>
      </c>
      <c r="AF45" s="33">
        <f>IF(V45&lt;=0,0,MAX(0,MIN(V45,ROUND($AZ45-SUMPRODUCT($V45:$AE45*($V45:$AE45&gt;0)*(($V$3:$AE$3&gt;V$3)+($V$3:$AE$3=V$3)*($V45:$AE45&lt;V45)+($V$3:$AE$3=V$3)*($V45:$AE45=V45)*($V$2:$AE$2&lt;V$2))),2))))</f>
      </c>
      <c r="AG45" s="33">
        <f>IF(W45&lt;=0,0,MAX(0,MIN(W45,ROUND($AZ45-SUMPRODUCT($V45:$AE45*($V45:$AE45&gt;0)*(($V$3:$AE$3&gt;W$3)+($V$3:$AE$3=W$3)*($V45:$AE45&lt;W45)+($V$3:$AE$3=W$3)*($V45:$AE45=W45)*($V$2:$AE$2&lt;W$2))),2))))</f>
      </c>
      <c r="AH45" s="33">
        <f>IF(X45&lt;=0,0,MAX(0,MIN(X45,ROUND($AZ45-SUMPRODUCT($V45:$AE45*($V45:$AE45&gt;0)*(($V$3:$AE$3&gt;X$3)+($V$3:$AE$3=X$3)*($V45:$AE45&lt;X45)+($V$3:$AE$3=X$3)*($V45:$AE45=X45)*($V$2:$AE$2&lt;X$2))),2))))</f>
      </c>
      <c r="AI45" s="33">
        <f>IF(Y45&lt;=0,0,MAX(0,MIN(Y45,ROUND($AZ45-SUMPRODUCT($V45:$AE45*($V45:$AE45&gt;0)*(($V$3:$AE$3&gt;Y$3)+($V$3:$AE$3=Y$3)*($V45:$AE45&lt;Y45)+($V$3:$AE$3=Y$3)*($V45:$AE45=Y45)*($V$2:$AE$2&lt;Y$2))),2))))</f>
      </c>
      <c r="AJ45" s="33">
        <f>IF(Z45&lt;=0,0,MAX(0,MIN(Z45,ROUND($AZ45-SUMPRODUCT($V45:$AE45*($V45:$AE45&gt;0)*(($V$3:$AE$3&gt;Z$3)+($V$3:$AE$3=Z$3)*($V45:$AE45&lt;Z45)+($V$3:$AE$3=Z$3)*($V45:$AE45=Z45)*($V$2:$AE$2&lt;Z$2))),2))))</f>
      </c>
      <c r="AK45" s="33">
        <f>IF(AA45&lt;=0,0,MAX(0,MIN(AA45,ROUND($AZ45-SUMPRODUCT($V45:$AE45*($V45:$AE45&gt;0)*(($V$3:$AE$3&gt;AA$3)+($V$3:$AE$3=AA$3)*($V45:$AE45&lt;AA45)+($V$3:$AE$3=AA$3)*($V45:$AE45=AA45)*($V$2:$AE$2&lt;AA$2))),2))))</f>
      </c>
      <c r="AL45" s="33">
        <f>IF(AB45&lt;=0,0,MAX(0,MIN(AB45,ROUND($AZ45-SUMPRODUCT($V45:$AE45*($V45:$AE45&gt;0)*(($V$3:$AE$3&gt;AB$3)+($V$3:$AE$3=AB$3)*($V45:$AE45&lt;AB45)+($V$3:$AE$3=AB$3)*($V45:$AE45=AB45)*($V$2:$AE$2&lt;AB$2))),2))))</f>
      </c>
      <c r="AM45" s="33">
        <f>IF(AC45&lt;=0,0,MAX(0,MIN(AC45,ROUND($AZ45-SUMPRODUCT($V45:$AE45*($V45:$AE45&gt;0)*(($V$3:$AE$3&gt;AC$3)+($V$3:$AE$3=AC$3)*($V45:$AE45&lt;AC45)+($V$3:$AE$3=AC$3)*($V45:$AE45=AC45)*($V$2:$AE$2&lt;AC$2))),2))))</f>
      </c>
      <c r="AN45" s="33">
        <f>IF(AD45&lt;=0,0,MAX(0,MIN(AD45,ROUND($AZ45-SUMPRODUCT($V45:$AE45*($V45:$AE45&gt;0)*(($V$3:$AE$3&gt;AD$3)+($V$3:$AE$3=AD$3)*($V45:$AE45&lt;AD45)+($V$3:$AE$3=AD$3)*($V45:$AE45=AD45)*($V$2:$AE$2&lt;AD$2))),2))))</f>
      </c>
      <c r="AO45" s="33">
        <f>IF(AE45&lt;=0,0,MAX(0,MIN(AE45,ROUND($AZ45-SUMPRODUCT($V45:$AE45*($V45:$AE45&gt;0)*(($V$3:$AE$3&gt;AE$3)+($V$3:$AE$3=AE$3)*($V45:$AE45&lt;AE45)+($V$3:$AE$3=AE$3)*($V45:$AE45=AE45)*($V$2:$AE$2&lt;AE$2))),2))))</f>
      </c>
      <c r="AP45" s="33">
        <f>ROUND(V45-AF45,2)</f>
      </c>
      <c r="AQ45" s="33">
        <f>ROUND(W45-AG45,2)</f>
      </c>
      <c r="AR45" s="33">
        <f>ROUND(X45-AH45,2)</f>
      </c>
      <c r="AS45" s="33">
        <f>ROUND(Y45-AI45,2)</f>
      </c>
      <c r="AT45" s="33">
        <f>ROUND(Z45-AJ45,2)</f>
      </c>
      <c r="AU45" s="33">
        <f>ROUND(AA45-AK45,2)</f>
      </c>
      <c r="AV45" s="33">
        <f>ROUND(AB45-AL45,2)</f>
      </c>
      <c r="AW45" s="33">
        <f>ROUND(AC45-AM45,2)</f>
      </c>
      <c r="AX45" s="33">
        <f>ROUND(AD45-AN45,2)</f>
      </c>
      <c r="AY45" s="33">
        <f>ROUND(AE45-AO45,2)</f>
      </c>
      <c r="AZ45" s="33">
        <f>ROUND(MAX(0,'Your debts'!$D$22-SUM($L45:$U45)),2)</f>
      </c>
      <c r="BA45" s="33">
        <f>ROUND(SUM($B45:$K45)-SUM($AP44:$AY44),2)</f>
      </c>
      <c r="BB45" s="33">
        <f>SUM($AP45:$AY45)</f>
      </c>
      <c r="BC45" s="33">
        <f>ROUND(SUM($L45:$U45)+SUM($AF45:$AO45),2)</f>
      </c>
    </row>
    <row r="46" spans="1:55" x14ac:dyDescent="0.25">
      <c r="A46">
        <v>39</v>
      </c>
      <c r="B46" s="33">
        <f>IF(AP45&lt;=0,0,ROUND(AP45+ROUND(AP45*V$3/12,2),2))</f>
      </c>
      <c r="C46" s="33">
        <f>IF(AQ45&lt;=0,0,ROUND(AQ45+ROUND(AQ45*W$3/12,2),2))</f>
      </c>
      <c r="D46" s="33">
        <f>IF(AR45&lt;=0,0,ROUND(AR45+ROUND(AR45*X$3/12,2),2))</f>
      </c>
      <c r="E46" s="33">
        <f>IF(AS45&lt;=0,0,ROUND(AS45+ROUND(AS45*Y$3/12,2),2))</f>
      </c>
      <c r="F46" s="33">
        <f>IF(AT45&lt;=0,0,ROUND(AT45+ROUND(AT45*Z$3/12,2),2))</f>
      </c>
      <c r="G46" s="33">
        <f>IF(AU45&lt;=0,0,ROUND(AU45+ROUND(AU45*AA$3/12,2),2))</f>
      </c>
      <c r="H46" s="33">
        <f>IF(AV45&lt;=0,0,ROUND(AV45+ROUND(AV45*AB$3/12,2),2))</f>
      </c>
      <c r="I46" s="33">
        <f>IF(AW45&lt;=0,0,ROUND(AW45+ROUND(AW45*AC$3/12,2),2))</f>
      </c>
      <c r="J46" s="33">
        <f>IF(AX45&lt;=0,0,ROUND(AX45+ROUND(AX45*AD$3/12,2),2))</f>
      </c>
      <c r="K46" s="33">
        <f>IF(AY45&lt;=0,0,ROUND(AY45+ROUND(AY45*AE$3/12,2),2))</f>
      </c>
      <c r="L46" s="33">
        <f>ROUND(MIN(MAX(0,N('Your debts'!$E$6)),B46),2)</f>
      </c>
      <c r="M46" s="33">
        <f>ROUND(MIN(MAX(0,N('Your debts'!$E$7)),C46),2)</f>
      </c>
      <c r="N46" s="33">
        <f>ROUND(MIN(MAX(0,N('Your debts'!$E$8)),D46),2)</f>
      </c>
      <c r="O46" s="33">
        <f>ROUND(MIN(MAX(0,N('Your debts'!$E$9)),E46),2)</f>
      </c>
      <c r="P46" s="33">
        <f>ROUND(MIN(MAX(0,N('Your debts'!$E$10)),F46),2)</f>
      </c>
      <c r="Q46" s="33">
        <f>ROUND(MIN(MAX(0,N('Your debts'!$E$11)),G46),2)</f>
      </c>
      <c r="R46" s="33">
        <f>ROUND(MIN(MAX(0,N('Your debts'!$E$12)),H46),2)</f>
      </c>
      <c r="S46" s="33">
        <f>ROUND(MIN(MAX(0,N('Your debts'!$E$13)),I46),2)</f>
      </c>
      <c r="T46" s="33">
        <f>ROUND(MIN(MAX(0,N('Your debts'!$E$14)),J46),2)</f>
      </c>
      <c r="U46" s="33">
        <f>ROUND(MIN(MAX(0,N('Your debts'!$E$15)),K46),2)</f>
      </c>
      <c r="V46" s="33">
        <f>ROUND(B46-L46,2)</f>
      </c>
      <c r="W46" s="33">
        <f>ROUND(C46-M46,2)</f>
      </c>
      <c r="X46" s="33">
        <f>ROUND(D46-N46,2)</f>
      </c>
      <c r="Y46" s="33">
        <f>ROUND(E46-O46,2)</f>
      </c>
      <c r="Z46" s="33">
        <f>ROUND(F46-P46,2)</f>
      </c>
      <c r="AA46" s="33">
        <f>ROUND(G46-Q46,2)</f>
      </c>
      <c r="AB46" s="33">
        <f>ROUND(H46-R46,2)</f>
      </c>
      <c r="AC46" s="33">
        <f>ROUND(I46-S46,2)</f>
      </c>
      <c r="AD46" s="33">
        <f>ROUND(J46-T46,2)</f>
      </c>
      <c r="AE46" s="33">
        <f>ROUND(K46-U46,2)</f>
      </c>
      <c r="AF46" s="33">
        <f>IF(V46&lt;=0,0,MAX(0,MIN(V46,ROUND($AZ46-SUMPRODUCT($V46:$AE46*($V46:$AE46&gt;0)*(($V$3:$AE$3&gt;V$3)+($V$3:$AE$3=V$3)*($V46:$AE46&lt;V46)+($V$3:$AE$3=V$3)*($V46:$AE46=V46)*($V$2:$AE$2&lt;V$2))),2))))</f>
      </c>
      <c r="AG46" s="33">
        <f>IF(W46&lt;=0,0,MAX(0,MIN(W46,ROUND($AZ46-SUMPRODUCT($V46:$AE46*($V46:$AE46&gt;0)*(($V$3:$AE$3&gt;W$3)+($V$3:$AE$3=W$3)*($V46:$AE46&lt;W46)+($V$3:$AE$3=W$3)*($V46:$AE46=W46)*($V$2:$AE$2&lt;W$2))),2))))</f>
      </c>
      <c r="AH46" s="33">
        <f>IF(X46&lt;=0,0,MAX(0,MIN(X46,ROUND($AZ46-SUMPRODUCT($V46:$AE46*($V46:$AE46&gt;0)*(($V$3:$AE$3&gt;X$3)+($V$3:$AE$3=X$3)*($V46:$AE46&lt;X46)+($V$3:$AE$3=X$3)*($V46:$AE46=X46)*($V$2:$AE$2&lt;X$2))),2))))</f>
      </c>
      <c r="AI46" s="33">
        <f>IF(Y46&lt;=0,0,MAX(0,MIN(Y46,ROUND($AZ46-SUMPRODUCT($V46:$AE46*($V46:$AE46&gt;0)*(($V$3:$AE$3&gt;Y$3)+($V$3:$AE$3=Y$3)*($V46:$AE46&lt;Y46)+($V$3:$AE$3=Y$3)*($V46:$AE46=Y46)*($V$2:$AE$2&lt;Y$2))),2))))</f>
      </c>
      <c r="AJ46" s="33">
        <f>IF(Z46&lt;=0,0,MAX(0,MIN(Z46,ROUND($AZ46-SUMPRODUCT($V46:$AE46*($V46:$AE46&gt;0)*(($V$3:$AE$3&gt;Z$3)+($V$3:$AE$3=Z$3)*($V46:$AE46&lt;Z46)+($V$3:$AE$3=Z$3)*($V46:$AE46=Z46)*($V$2:$AE$2&lt;Z$2))),2))))</f>
      </c>
      <c r="AK46" s="33">
        <f>IF(AA46&lt;=0,0,MAX(0,MIN(AA46,ROUND($AZ46-SUMPRODUCT($V46:$AE46*($V46:$AE46&gt;0)*(($V$3:$AE$3&gt;AA$3)+($V$3:$AE$3=AA$3)*($V46:$AE46&lt;AA46)+($V$3:$AE$3=AA$3)*($V46:$AE46=AA46)*($V$2:$AE$2&lt;AA$2))),2))))</f>
      </c>
      <c r="AL46" s="33">
        <f>IF(AB46&lt;=0,0,MAX(0,MIN(AB46,ROUND($AZ46-SUMPRODUCT($V46:$AE46*($V46:$AE46&gt;0)*(($V$3:$AE$3&gt;AB$3)+($V$3:$AE$3=AB$3)*($V46:$AE46&lt;AB46)+($V$3:$AE$3=AB$3)*($V46:$AE46=AB46)*($V$2:$AE$2&lt;AB$2))),2))))</f>
      </c>
      <c r="AM46" s="33">
        <f>IF(AC46&lt;=0,0,MAX(0,MIN(AC46,ROUND($AZ46-SUMPRODUCT($V46:$AE46*($V46:$AE46&gt;0)*(($V$3:$AE$3&gt;AC$3)+($V$3:$AE$3=AC$3)*($V46:$AE46&lt;AC46)+($V$3:$AE$3=AC$3)*($V46:$AE46=AC46)*($V$2:$AE$2&lt;AC$2))),2))))</f>
      </c>
      <c r="AN46" s="33">
        <f>IF(AD46&lt;=0,0,MAX(0,MIN(AD46,ROUND($AZ46-SUMPRODUCT($V46:$AE46*($V46:$AE46&gt;0)*(($V$3:$AE$3&gt;AD$3)+($V$3:$AE$3=AD$3)*($V46:$AE46&lt;AD46)+($V$3:$AE$3=AD$3)*($V46:$AE46=AD46)*($V$2:$AE$2&lt;AD$2))),2))))</f>
      </c>
      <c r="AO46" s="33">
        <f>IF(AE46&lt;=0,0,MAX(0,MIN(AE46,ROUND($AZ46-SUMPRODUCT($V46:$AE46*($V46:$AE46&gt;0)*(($V$3:$AE$3&gt;AE$3)+($V$3:$AE$3=AE$3)*($V46:$AE46&lt;AE46)+($V$3:$AE$3=AE$3)*($V46:$AE46=AE46)*($V$2:$AE$2&lt;AE$2))),2))))</f>
      </c>
      <c r="AP46" s="33">
        <f>ROUND(V46-AF46,2)</f>
      </c>
      <c r="AQ46" s="33">
        <f>ROUND(W46-AG46,2)</f>
      </c>
      <c r="AR46" s="33">
        <f>ROUND(X46-AH46,2)</f>
      </c>
      <c r="AS46" s="33">
        <f>ROUND(Y46-AI46,2)</f>
      </c>
      <c r="AT46" s="33">
        <f>ROUND(Z46-AJ46,2)</f>
      </c>
      <c r="AU46" s="33">
        <f>ROUND(AA46-AK46,2)</f>
      </c>
      <c r="AV46" s="33">
        <f>ROUND(AB46-AL46,2)</f>
      </c>
      <c r="AW46" s="33">
        <f>ROUND(AC46-AM46,2)</f>
      </c>
      <c r="AX46" s="33">
        <f>ROUND(AD46-AN46,2)</f>
      </c>
      <c r="AY46" s="33">
        <f>ROUND(AE46-AO46,2)</f>
      </c>
      <c r="AZ46" s="33">
        <f>ROUND(MAX(0,'Your debts'!$D$22-SUM($L46:$U46)),2)</f>
      </c>
      <c r="BA46" s="33">
        <f>ROUND(SUM($B46:$K46)-SUM($AP45:$AY45),2)</f>
      </c>
      <c r="BB46" s="33">
        <f>SUM($AP46:$AY46)</f>
      </c>
      <c r="BC46" s="33">
        <f>ROUND(SUM($L46:$U46)+SUM($AF46:$AO46),2)</f>
      </c>
    </row>
    <row r="47" spans="1:55" x14ac:dyDescent="0.25">
      <c r="A47">
        <v>40</v>
      </c>
      <c r="B47" s="33">
        <f>IF(AP46&lt;=0,0,ROUND(AP46+ROUND(AP46*V$3/12,2),2))</f>
      </c>
      <c r="C47" s="33">
        <f>IF(AQ46&lt;=0,0,ROUND(AQ46+ROUND(AQ46*W$3/12,2),2))</f>
      </c>
      <c r="D47" s="33">
        <f>IF(AR46&lt;=0,0,ROUND(AR46+ROUND(AR46*X$3/12,2),2))</f>
      </c>
      <c r="E47" s="33">
        <f>IF(AS46&lt;=0,0,ROUND(AS46+ROUND(AS46*Y$3/12,2),2))</f>
      </c>
      <c r="F47" s="33">
        <f>IF(AT46&lt;=0,0,ROUND(AT46+ROUND(AT46*Z$3/12,2),2))</f>
      </c>
      <c r="G47" s="33">
        <f>IF(AU46&lt;=0,0,ROUND(AU46+ROUND(AU46*AA$3/12,2),2))</f>
      </c>
      <c r="H47" s="33">
        <f>IF(AV46&lt;=0,0,ROUND(AV46+ROUND(AV46*AB$3/12,2),2))</f>
      </c>
      <c r="I47" s="33">
        <f>IF(AW46&lt;=0,0,ROUND(AW46+ROUND(AW46*AC$3/12,2),2))</f>
      </c>
      <c r="J47" s="33">
        <f>IF(AX46&lt;=0,0,ROUND(AX46+ROUND(AX46*AD$3/12,2),2))</f>
      </c>
      <c r="K47" s="33">
        <f>IF(AY46&lt;=0,0,ROUND(AY46+ROUND(AY46*AE$3/12,2),2))</f>
      </c>
      <c r="L47" s="33">
        <f>ROUND(MIN(MAX(0,N('Your debts'!$E$6)),B47),2)</f>
      </c>
      <c r="M47" s="33">
        <f>ROUND(MIN(MAX(0,N('Your debts'!$E$7)),C47),2)</f>
      </c>
      <c r="N47" s="33">
        <f>ROUND(MIN(MAX(0,N('Your debts'!$E$8)),D47),2)</f>
      </c>
      <c r="O47" s="33">
        <f>ROUND(MIN(MAX(0,N('Your debts'!$E$9)),E47),2)</f>
      </c>
      <c r="P47" s="33">
        <f>ROUND(MIN(MAX(0,N('Your debts'!$E$10)),F47),2)</f>
      </c>
      <c r="Q47" s="33">
        <f>ROUND(MIN(MAX(0,N('Your debts'!$E$11)),G47),2)</f>
      </c>
      <c r="R47" s="33">
        <f>ROUND(MIN(MAX(0,N('Your debts'!$E$12)),H47),2)</f>
      </c>
      <c r="S47" s="33">
        <f>ROUND(MIN(MAX(0,N('Your debts'!$E$13)),I47),2)</f>
      </c>
      <c r="T47" s="33">
        <f>ROUND(MIN(MAX(0,N('Your debts'!$E$14)),J47),2)</f>
      </c>
      <c r="U47" s="33">
        <f>ROUND(MIN(MAX(0,N('Your debts'!$E$15)),K47),2)</f>
      </c>
      <c r="V47" s="33">
        <f>ROUND(B47-L47,2)</f>
      </c>
      <c r="W47" s="33">
        <f>ROUND(C47-M47,2)</f>
      </c>
      <c r="X47" s="33">
        <f>ROUND(D47-N47,2)</f>
      </c>
      <c r="Y47" s="33">
        <f>ROUND(E47-O47,2)</f>
      </c>
      <c r="Z47" s="33">
        <f>ROUND(F47-P47,2)</f>
      </c>
      <c r="AA47" s="33">
        <f>ROUND(G47-Q47,2)</f>
      </c>
      <c r="AB47" s="33">
        <f>ROUND(H47-R47,2)</f>
      </c>
      <c r="AC47" s="33">
        <f>ROUND(I47-S47,2)</f>
      </c>
      <c r="AD47" s="33">
        <f>ROUND(J47-T47,2)</f>
      </c>
      <c r="AE47" s="33">
        <f>ROUND(K47-U47,2)</f>
      </c>
      <c r="AF47" s="33">
        <f>IF(V47&lt;=0,0,MAX(0,MIN(V47,ROUND($AZ47-SUMPRODUCT($V47:$AE47*($V47:$AE47&gt;0)*(($V$3:$AE$3&gt;V$3)+($V$3:$AE$3=V$3)*($V47:$AE47&lt;V47)+($V$3:$AE$3=V$3)*($V47:$AE47=V47)*($V$2:$AE$2&lt;V$2))),2))))</f>
      </c>
      <c r="AG47" s="33">
        <f>IF(W47&lt;=0,0,MAX(0,MIN(W47,ROUND($AZ47-SUMPRODUCT($V47:$AE47*($V47:$AE47&gt;0)*(($V$3:$AE$3&gt;W$3)+($V$3:$AE$3=W$3)*($V47:$AE47&lt;W47)+($V$3:$AE$3=W$3)*($V47:$AE47=W47)*($V$2:$AE$2&lt;W$2))),2))))</f>
      </c>
      <c r="AH47" s="33">
        <f>IF(X47&lt;=0,0,MAX(0,MIN(X47,ROUND($AZ47-SUMPRODUCT($V47:$AE47*($V47:$AE47&gt;0)*(($V$3:$AE$3&gt;X$3)+($V$3:$AE$3=X$3)*($V47:$AE47&lt;X47)+($V$3:$AE$3=X$3)*($V47:$AE47=X47)*($V$2:$AE$2&lt;X$2))),2))))</f>
      </c>
      <c r="AI47" s="33">
        <f>IF(Y47&lt;=0,0,MAX(0,MIN(Y47,ROUND($AZ47-SUMPRODUCT($V47:$AE47*($V47:$AE47&gt;0)*(($V$3:$AE$3&gt;Y$3)+($V$3:$AE$3=Y$3)*($V47:$AE47&lt;Y47)+($V$3:$AE$3=Y$3)*($V47:$AE47=Y47)*($V$2:$AE$2&lt;Y$2))),2))))</f>
      </c>
      <c r="AJ47" s="33">
        <f>IF(Z47&lt;=0,0,MAX(0,MIN(Z47,ROUND($AZ47-SUMPRODUCT($V47:$AE47*($V47:$AE47&gt;0)*(($V$3:$AE$3&gt;Z$3)+($V$3:$AE$3=Z$3)*($V47:$AE47&lt;Z47)+($V$3:$AE$3=Z$3)*($V47:$AE47=Z47)*($V$2:$AE$2&lt;Z$2))),2))))</f>
      </c>
      <c r="AK47" s="33">
        <f>IF(AA47&lt;=0,0,MAX(0,MIN(AA47,ROUND($AZ47-SUMPRODUCT($V47:$AE47*($V47:$AE47&gt;0)*(($V$3:$AE$3&gt;AA$3)+($V$3:$AE$3=AA$3)*($V47:$AE47&lt;AA47)+($V$3:$AE$3=AA$3)*($V47:$AE47=AA47)*($V$2:$AE$2&lt;AA$2))),2))))</f>
      </c>
      <c r="AL47" s="33">
        <f>IF(AB47&lt;=0,0,MAX(0,MIN(AB47,ROUND($AZ47-SUMPRODUCT($V47:$AE47*($V47:$AE47&gt;0)*(($V$3:$AE$3&gt;AB$3)+($V$3:$AE$3=AB$3)*($V47:$AE47&lt;AB47)+($V$3:$AE$3=AB$3)*($V47:$AE47=AB47)*($V$2:$AE$2&lt;AB$2))),2))))</f>
      </c>
      <c r="AM47" s="33">
        <f>IF(AC47&lt;=0,0,MAX(0,MIN(AC47,ROUND($AZ47-SUMPRODUCT($V47:$AE47*($V47:$AE47&gt;0)*(($V$3:$AE$3&gt;AC$3)+($V$3:$AE$3=AC$3)*($V47:$AE47&lt;AC47)+($V$3:$AE$3=AC$3)*($V47:$AE47=AC47)*($V$2:$AE$2&lt;AC$2))),2))))</f>
      </c>
      <c r="AN47" s="33">
        <f>IF(AD47&lt;=0,0,MAX(0,MIN(AD47,ROUND($AZ47-SUMPRODUCT($V47:$AE47*($V47:$AE47&gt;0)*(($V$3:$AE$3&gt;AD$3)+($V$3:$AE$3=AD$3)*($V47:$AE47&lt;AD47)+($V$3:$AE$3=AD$3)*($V47:$AE47=AD47)*($V$2:$AE$2&lt;AD$2))),2))))</f>
      </c>
      <c r="AO47" s="33">
        <f>IF(AE47&lt;=0,0,MAX(0,MIN(AE47,ROUND($AZ47-SUMPRODUCT($V47:$AE47*($V47:$AE47&gt;0)*(($V$3:$AE$3&gt;AE$3)+($V$3:$AE$3=AE$3)*($V47:$AE47&lt;AE47)+($V$3:$AE$3=AE$3)*($V47:$AE47=AE47)*($V$2:$AE$2&lt;AE$2))),2))))</f>
      </c>
      <c r="AP47" s="33">
        <f>ROUND(V47-AF47,2)</f>
      </c>
      <c r="AQ47" s="33">
        <f>ROUND(W47-AG47,2)</f>
      </c>
      <c r="AR47" s="33">
        <f>ROUND(X47-AH47,2)</f>
      </c>
      <c r="AS47" s="33">
        <f>ROUND(Y47-AI47,2)</f>
      </c>
      <c r="AT47" s="33">
        <f>ROUND(Z47-AJ47,2)</f>
      </c>
      <c r="AU47" s="33">
        <f>ROUND(AA47-AK47,2)</f>
      </c>
      <c r="AV47" s="33">
        <f>ROUND(AB47-AL47,2)</f>
      </c>
      <c r="AW47" s="33">
        <f>ROUND(AC47-AM47,2)</f>
      </c>
      <c r="AX47" s="33">
        <f>ROUND(AD47-AN47,2)</f>
      </c>
      <c r="AY47" s="33">
        <f>ROUND(AE47-AO47,2)</f>
      </c>
      <c r="AZ47" s="33">
        <f>ROUND(MAX(0,'Your debts'!$D$22-SUM($L47:$U47)),2)</f>
      </c>
      <c r="BA47" s="33">
        <f>ROUND(SUM($B47:$K47)-SUM($AP46:$AY46),2)</f>
      </c>
      <c r="BB47" s="33">
        <f>SUM($AP47:$AY47)</f>
      </c>
      <c r="BC47" s="33">
        <f>ROUND(SUM($L47:$U47)+SUM($AF47:$AO47),2)</f>
      </c>
    </row>
    <row r="48" spans="1:55" x14ac:dyDescent="0.25">
      <c r="A48">
        <v>41</v>
      </c>
      <c r="B48" s="33">
        <f>IF(AP47&lt;=0,0,ROUND(AP47+ROUND(AP47*V$3/12,2),2))</f>
      </c>
      <c r="C48" s="33">
        <f>IF(AQ47&lt;=0,0,ROUND(AQ47+ROUND(AQ47*W$3/12,2),2))</f>
      </c>
      <c r="D48" s="33">
        <f>IF(AR47&lt;=0,0,ROUND(AR47+ROUND(AR47*X$3/12,2),2))</f>
      </c>
      <c r="E48" s="33">
        <f>IF(AS47&lt;=0,0,ROUND(AS47+ROUND(AS47*Y$3/12,2),2))</f>
      </c>
      <c r="F48" s="33">
        <f>IF(AT47&lt;=0,0,ROUND(AT47+ROUND(AT47*Z$3/12,2),2))</f>
      </c>
      <c r="G48" s="33">
        <f>IF(AU47&lt;=0,0,ROUND(AU47+ROUND(AU47*AA$3/12,2),2))</f>
      </c>
      <c r="H48" s="33">
        <f>IF(AV47&lt;=0,0,ROUND(AV47+ROUND(AV47*AB$3/12,2),2))</f>
      </c>
      <c r="I48" s="33">
        <f>IF(AW47&lt;=0,0,ROUND(AW47+ROUND(AW47*AC$3/12,2),2))</f>
      </c>
      <c r="J48" s="33">
        <f>IF(AX47&lt;=0,0,ROUND(AX47+ROUND(AX47*AD$3/12,2),2))</f>
      </c>
      <c r="K48" s="33">
        <f>IF(AY47&lt;=0,0,ROUND(AY47+ROUND(AY47*AE$3/12,2),2))</f>
      </c>
      <c r="L48" s="33">
        <f>ROUND(MIN(MAX(0,N('Your debts'!$E$6)),B48),2)</f>
      </c>
      <c r="M48" s="33">
        <f>ROUND(MIN(MAX(0,N('Your debts'!$E$7)),C48),2)</f>
      </c>
      <c r="N48" s="33">
        <f>ROUND(MIN(MAX(0,N('Your debts'!$E$8)),D48),2)</f>
      </c>
      <c r="O48" s="33">
        <f>ROUND(MIN(MAX(0,N('Your debts'!$E$9)),E48),2)</f>
      </c>
      <c r="P48" s="33">
        <f>ROUND(MIN(MAX(0,N('Your debts'!$E$10)),F48),2)</f>
      </c>
      <c r="Q48" s="33">
        <f>ROUND(MIN(MAX(0,N('Your debts'!$E$11)),G48),2)</f>
      </c>
      <c r="R48" s="33">
        <f>ROUND(MIN(MAX(0,N('Your debts'!$E$12)),H48),2)</f>
      </c>
      <c r="S48" s="33">
        <f>ROUND(MIN(MAX(0,N('Your debts'!$E$13)),I48),2)</f>
      </c>
      <c r="T48" s="33">
        <f>ROUND(MIN(MAX(0,N('Your debts'!$E$14)),J48),2)</f>
      </c>
      <c r="U48" s="33">
        <f>ROUND(MIN(MAX(0,N('Your debts'!$E$15)),K48),2)</f>
      </c>
      <c r="V48" s="33">
        <f>ROUND(B48-L48,2)</f>
      </c>
      <c r="W48" s="33">
        <f>ROUND(C48-M48,2)</f>
      </c>
      <c r="X48" s="33">
        <f>ROUND(D48-N48,2)</f>
      </c>
      <c r="Y48" s="33">
        <f>ROUND(E48-O48,2)</f>
      </c>
      <c r="Z48" s="33">
        <f>ROUND(F48-P48,2)</f>
      </c>
      <c r="AA48" s="33">
        <f>ROUND(G48-Q48,2)</f>
      </c>
      <c r="AB48" s="33">
        <f>ROUND(H48-R48,2)</f>
      </c>
      <c r="AC48" s="33">
        <f>ROUND(I48-S48,2)</f>
      </c>
      <c r="AD48" s="33">
        <f>ROUND(J48-T48,2)</f>
      </c>
      <c r="AE48" s="33">
        <f>ROUND(K48-U48,2)</f>
      </c>
      <c r="AF48" s="33">
        <f>IF(V48&lt;=0,0,MAX(0,MIN(V48,ROUND($AZ48-SUMPRODUCT($V48:$AE48*($V48:$AE48&gt;0)*(($V$3:$AE$3&gt;V$3)+($V$3:$AE$3=V$3)*($V48:$AE48&lt;V48)+($V$3:$AE$3=V$3)*($V48:$AE48=V48)*($V$2:$AE$2&lt;V$2))),2))))</f>
      </c>
      <c r="AG48" s="33">
        <f>IF(W48&lt;=0,0,MAX(0,MIN(W48,ROUND($AZ48-SUMPRODUCT($V48:$AE48*($V48:$AE48&gt;0)*(($V$3:$AE$3&gt;W$3)+($V$3:$AE$3=W$3)*($V48:$AE48&lt;W48)+($V$3:$AE$3=W$3)*($V48:$AE48=W48)*($V$2:$AE$2&lt;W$2))),2))))</f>
      </c>
      <c r="AH48" s="33">
        <f>IF(X48&lt;=0,0,MAX(0,MIN(X48,ROUND($AZ48-SUMPRODUCT($V48:$AE48*($V48:$AE48&gt;0)*(($V$3:$AE$3&gt;X$3)+($V$3:$AE$3=X$3)*($V48:$AE48&lt;X48)+($V$3:$AE$3=X$3)*($V48:$AE48=X48)*($V$2:$AE$2&lt;X$2))),2))))</f>
      </c>
      <c r="AI48" s="33">
        <f>IF(Y48&lt;=0,0,MAX(0,MIN(Y48,ROUND($AZ48-SUMPRODUCT($V48:$AE48*($V48:$AE48&gt;0)*(($V$3:$AE$3&gt;Y$3)+($V$3:$AE$3=Y$3)*($V48:$AE48&lt;Y48)+($V$3:$AE$3=Y$3)*($V48:$AE48=Y48)*($V$2:$AE$2&lt;Y$2))),2))))</f>
      </c>
      <c r="AJ48" s="33">
        <f>IF(Z48&lt;=0,0,MAX(0,MIN(Z48,ROUND($AZ48-SUMPRODUCT($V48:$AE48*($V48:$AE48&gt;0)*(($V$3:$AE$3&gt;Z$3)+($V$3:$AE$3=Z$3)*($V48:$AE48&lt;Z48)+($V$3:$AE$3=Z$3)*($V48:$AE48=Z48)*($V$2:$AE$2&lt;Z$2))),2))))</f>
      </c>
      <c r="AK48" s="33">
        <f>IF(AA48&lt;=0,0,MAX(0,MIN(AA48,ROUND($AZ48-SUMPRODUCT($V48:$AE48*($V48:$AE48&gt;0)*(($V$3:$AE$3&gt;AA$3)+($V$3:$AE$3=AA$3)*($V48:$AE48&lt;AA48)+($V$3:$AE$3=AA$3)*($V48:$AE48=AA48)*($V$2:$AE$2&lt;AA$2))),2))))</f>
      </c>
      <c r="AL48" s="33">
        <f>IF(AB48&lt;=0,0,MAX(0,MIN(AB48,ROUND($AZ48-SUMPRODUCT($V48:$AE48*($V48:$AE48&gt;0)*(($V$3:$AE$3&gt;AB$3)+($V$3:$AE$3=AB$3)*($V48:$AE48&lt;AB48)+($V$3:$AE$3=AB$3)*($V48:$AE48=AB48)*($V$2:$AE$2&lt;AB$2))),2))))</f>
      </c>
      <c r="AM48" s="33">
        <f>IF(AC48&lt;=0,0,MAX(0,MIN(AC48,ROUND($AZ48-SUMPRODUCT($V48:$AE48*($V48:$AE48&gt;0)*(($V$3:$AE$3&gt;AC$3)+($V$3:$AE$3=AC$3)*($V48:$AE48&lt;AC48)+($V$3:$AE$3=AC$3)*($V48:$AE48=AC48)*($V$2:$AE$2&lt;AC$2))),2))))</f>
      </c>
      <c r="AN48" s="33">
        <f>IF(AD48&lt;=0,0,MAX(0,MIN(AD48,ROUND($AZ48-SUMPRODUCT($V48:$AE48*($V48:$AE48&gt;0)*(($V$3:$AE$3&gt;AD$3)+($V$3:$AE$3=AD$3)*($V48:$AE48&lt;AD48)+($V$3:$AE$3=AD$3)*($V48:$AE48=AD48)*($V$2:$AE$2&lt;AD$2))),2))))</f>
      </c>
      <c r="AO48" s="33">
        <f>IF(AE48&lt;=0,0,MAX(0,MIN(AE48,ROUND($AZ48-SUMPRODUCT($V48:$AE48*($V48:$AE48&gt;0)*(($V$3:$AE$3&gt;AE$3)+($V$3:$AE$3=AE$3)*($V48:$AE48&lt;AE48)+($V$3:$AE$3=AE$3)*($V48:$AE48=AE48)*($V$2:$AE$2&lt;AE$2))),2))))</f>
      </c>
      <c r="AP48" s="33">
        <f>ROUND(V48-AF48,2)</f>
      </c>
      <c r="AQ48" s="33">
        <f>ROUND(W48-AG48,2)</f>
      </c>
      <c r="AR48" s="33">
        <f>ROUND(X48-AH48,2)</f>
      </c>
      <c r="AS48" s="33">
        <f>ROUND(Y48-AI48,2)</f>
      </c>
      <c r="AT48" s="33">
        <f>ROUND(Z48-AJ48,2)</f>
      </c>
      <c r="AU48" s="33">
        <f>ROUND(AA48-AK48,2)</f>
      </c>
      <c r="AV48" s="33">
        <f>ROUND(AB48-AL48,2)</f>
      </c>
      <c r="AW48" s="33">
        <f>ROUND(AC48-AM48,2)</f>
      </c>
      <c r="AX48" s="33">
        <f>ROUND(AD48-AN48,2)</f>
      </c>
      <c r="AY48" s="33">
        <f>ROUND(AE48-AO48,2)</f>
      </c>
      <c r="AZ48" s="33">
        <f>ROUND(MAX(0,'Your debts'!$D$22-SUM($L48:$U48)),2)</f>
      </c>
      <c r="BA48" s="33">
        <f>ROUND(SUM($B48:$K48)-SUM($AP47:$AY47),2)</f>
      </c>
      <c r="BB48" s="33">
        <f>SUM($AP48:$AY48)</f>
      </c>
      <c r="BC48" s="33">
        <f>ROUND(SUM($L48:$U48)+SUM($AF48:$AO48),2)</f>
      </c>
    </row>
    <row r="49" spans="1:55" x14ac:dyDescent="0.25">
      <c r="A49">
        <v>42</v>
      </c>
      <c r="B49" s="33">
        <f>IF(AP48&lt;=0,0,ROUND(AP48+ROUND(AP48*V$3/12,2),2))</f>
      </c>
      <c r="C49" s="33">
        <f>IF(AQ48&lt;=0,0,ROUND(AQ48+ROUND(AQ48*W$3/12,2),2))</f>
      </c>
      <c r="D49" s="33">
        <f>IF(AR48&lt;=0,0,ROUND(AR48+ROUND(AR48*X$3/12,2),2))</f>
      </c>
      <c r="E49" s="33">
        <f>IF(AS48&lt;=0,0,ROUND(AS48+ROUND(AS48*Y$3/12,2),2))</f>
      </c>
      <c r="F49" s="33">
        <f>IF(AT48&lt;=0,0,ROUND(AT48+ROUND(AT48*Z$3/12,2),2))</f>
      </c>
      <c r="G49" s="33">
        <f>IF(AU48&lt;=0,0,ROUND(AU48+ROUND(AU48*AA$3/12,2),2))</f>
      </c>
      <c r="H49" s="33">
        <f>IF(AV48&lt;=0,0,ROUND(AV48+ROUND(AV48*AB$3/12,2),2))</f>
      </c>
      <c r="I49" s="33">
        <f>IF(AW48&lt;=0,0,ROUND(AW48+ROUND(AW48*AC$3/12,2),2))</f>
      </c>
      <c r="J49" s="33">
        <f>IF(AX48&lt;=0,0,ROUND(AX48+ROUND(AX48*AD$3/12,2),2))</f>
      </c>
      <c r="K49" s="33">
        <f>IF(AY48&lt;=0,0,ROUND(AY48+ROUND(AY48*AE$3/12,2),2))</f>
      </c>
      <c r="L49" s="33">
        <f>ROUND(MIN(MAX(0,N('Your debts'!$E$6)),B49),2)</f>
      </c>
      <c r="M49" s="33">
        <f>ROUND(MIN(MAX(0,N('Your debts'!$E$7)),C49),2)</f>
      </c>
      <c r="N49" s="33">
        <f>ROUND(MIN(MAX(0,N('Your debts'!$E$8)),D49),2)</f>
      </c>
      <c r="O49" s="33">
        <f>ROUND(MIN(MAX(0,N('Your debts'!$E$9)),E49),2)</f>
      </c>
      <c r="P49" s="33">
        <f>ROUND(MIN(MAX(0,N('Your debts'!$E$10)),F49),2)</f>
      </c>
      <c r="Q49" s="33">
        <f>ROUND(MIN(MAX(0,N('Your debts'!$E$11)),G49),2)</f>
      </c>
      <c r="R49" s="33">
        <f>ROUND(MIN(MAX(0,N('Your debts'!$E$12)),H49),2)</f>
      </c>
      <c r="S49" s="33">
        <f>ROUND(MIN(MAX(0,N('Your debts'!$E$13)),I49),2)</f>
      </c>
      <c r="T49" s="33">
        <f>ROUND(MIN(MAX(0,N('Your debts'!$E$14)),J49),2)</f>
      </c>
      <c r="U49" s="33">
        <f>ROUND(MIN(MAX(0,N('Your debts'!$E$15)),K49),2)</f>
      </c>
      <c r="V49" s="33">
        <f>ROUND(B49-L49,2)</f>
      </c>
      <c r="W49" s="33">
        <f>ROUND(C49-M49,2)</f>
      </c>
      <c r="X49" s="33">
        <f>ROUND(D49-N49,2)</f>
      </c>
      <c r="Y49" s="33">
        <f>ROUND(E49-O49,2)</f>
      </c>
      <c r="Z49" s="33">
        <f>ROUND(F49-P49,2)</f>
      </c>
      <c r="AA49" s="33">
        <f>ROUND(G49-Q49,2)</f>
      </c>
      <c r="AB49" s="33">
        <f>ROUND(H49-R49,2)</f>
      </c>
      <c r="AC49" s="33">
        <f>ROUND(I49-S49,2)</f>
      </c>
      <c r="AD49" s="33">
        <f>ROUND(J49-T49,2)</f>
      </c>
      <c r="AE49" s="33">
        <f>ROUND(K49-U49,2)</f>
      </c>
      <c r="AF49" s="33">
        <f>IF(V49&lt;=0,0,MAX(0,MIN(V49,ROUND($AZ49-SUMPRODUCT($V49:$AE49*($V49:$AE49&gt;0)*(($V$3:$AE$3&gt;V$3)+($V$3:$AE$3=V$3)*($V49:$AE49&lt;V49)+($V$3:$AE$3=V$3)*($V49:$AE49=V49)*($V$2:$AE$2&lt;V$2))),2))))</f>
      </c>
      <c r="AG49" s="33">
        <f>IF(W49&lt;=0,0,MAX(0,MIN(W49,ROUND($AZ49-SUMPRODUCT($V49:$AE49*($V49:$AE49&gt;0)*(($V$3:$AE$3&gt;W$3)+($V$3:$AE$3=W$3)*($V49:$AE49&lt;W49)+($V$3:$AE$3=W$3)*($V49:$AE49=W49)*($V$2:$AE$2&lt;W$2))),2))))</f>
      </c>
      <c r="AH49" s="33">
        <f>IF(X49&lt;=0,0,MAX(0,MIN(X49,ROUND($AZ49-SUMPRODUCT($V49:$AE49*($V49:$AE49&gt;0)*(($V$3:$AE$3&gt;X$3)+($V$3:$AE$3=X$3)*($V49:$AE49&lt;X49)+($V$3:$AE$3=X$3)*($V49:$AE49=X49)*($V$2:$AE$2&lt;X$2))),2))))</f>
      </c>
      <c r="AI49" s="33">
        <f>IF(Y49&lt;=0,0,MAX(0,MIN(Y49,ROUND($AZ49-SUMPRODUCT($V49:$AE49*($V49:$AE49&gt;0)*(($V$3:$AE$3&gt;Y$3)+($V$3:$AE$3=Y$3)*($V49:$AE49&lt;Y49)+($V$3:$AE$3=Y$3)*($V49:$AE49=Y49)*($V$2:$AE$2&lt;Y$2))),2))))</f>
      </c>
      <c r="AJ49" s="33">
        <f>IF(Z49&lt;=0,0,MAX(0,MIN(Z49,ROUND($AZ49-SUMPRODUCT($V49:$AE49*($V49:$AE49&gt;0)*(($V$3:$AE$3&gt;Z$3)+($V$3:$AE$3=Z$3)*($V49:$AE49&lt;Z49)+($V$3:$AE$3=Z$3)*($V49:$AE49=Z49)*($V$2:$AE$2&lt;Z$2))),2))))</f>
      </c>
      <c r="AK49" s="33">
        <f>IF(AA49&lt;=0,0,MAX(0,MIN(AA49,ROUND($AZ49-SUMPRODUCT($V49:$AE49*($V49:$AE49&gt;0)*(($V$3:$AE$3&gt;AA$3)+($V$3:$AE$3=AA$3)*($V49:$AE49&lt;AA49)+($V$3:$AE$3=AA$3)*($V49:$AE49=AA49)*($V$2:$AE$2&lt;AA$2))),2))))</f>
      </c>
      <c r="AL49" s="33">
        <f>IF(AB49&lt;=0,0,MAX(0,MIN(AB49,ROUND($AZ49-SUMPRODUCT($V49:$AE49*($V49:$AE49&gt;0)*(($V$3:$AE$3&gt;AB$3)+($V$3:$AE$3=AB$3)*($V49:$AE49&lt;AB49)+($V$3:$AE$3=AB$3)*($V49:$AE49=AB49)*($V$2:$AE$2&lt;AB$2))),2))))</f>
      </c>
      <c r="AM49" s="33">
        <f>IF(AC49&lt;=0,0,MAX(0,MIN(AC49,ROUND($AZ49-SUMPRODUCT($V49:$AE49*($V49:$AE49&gt;0)*(($V$3:$AE$3&gt;AC$3)+($V$3:$AE$3=AC$3)*($V49:$AE49&lt;AC49)+($V$3:$AE$3=AC$3)*($V49:$AE49=AC49)*($V$2:$AE$2&lt;AC$2))),2))))</f>
      </c>
      <c r="AN49" s="33">
        <f>IF(AD49&lt;=0,0,MAX(0,MIN(AD49,ROUND($AZ49-SUMPRODUCT($V49:$AE49*($V49:$AE49&gt;0)*(($V$3:$AE$3&gt;AD$3)+($V$3:$AE$3=AD$3)*($V49:$AE49&lt;AD49)+($V$3:$AE$3=AD$3)*($V49:$AE49=AD49)*($V$2:$AE$2&lt;AD$2))),2))))</f>
      </c>
      <c r="AO49" s="33">
        <f>IF(AE49&lt;=0,0,MAX(0,MIN(AE49,ROUND($AZ49-SUMPRODUCT($V49:$AE49*($V49:$AE49&gt;0)*(($V$3:$AE$3&gt;AE$3)+($V$3:$AE$3=AE$3)*($V49:$AE49&lt;AE49)+($V$3:$AE$3=AE$3)*($V49:$AE49=AE49)*($V$2:$AE$2&lt;AE$2))),2))))</f>
      </c>
      <c r="AP49" s="33">
        <f>ROUND(V49-AF49,2)</f>
      </c>
      <c r="AQ49" s="33">
        <f>ROUND(W49-AG49,2)</f>
      </c>
      <c r="AR49" s="33">
        <f>ROUND(X49-AH49,2)</f>
      </c>
      <c r="AS49" s="33">
        <f>ROUND(Y49-AI49,2)</f>
      </c>
      <c r="AT49" s="33">
        <f>ROUND(Z49-AJ49,2)</f>
      </c>
      <c r="AU49" s="33">
        <f>ROUND(AA49-AK49,2)</f>
      </c>
      <c r="AV49" s="33">
        <f>ROUND(AB49-AL49,2)</f>
      </c>
      <c r="AW49" s="33">
        <f>ROUND(AC49-AM49,2)</f>
      </c>
      <c r="AX49" s="33">
        <f>ROUND(AD49-AN49,2)</f>
      </c>
      <c r="AY49" s="33">
        <f>ROUND(AE49-AO49,2)</f>
      </c>
      <c r="AZ49" s="33">
        <f>ROUND(MAX(0,'Your debts'!$D$22-SUM($L49:$U49)),2)</f>
      </c>
      <c r="BA49" s="33">
        <f>ROUND(SUM($B49:$K49)-SUM($AP48:$AY48),2)</f>
      </c>
      <c r="BB49" s="33">
        <f>SUM($AP49:$AY49)</f>
      </c>
      <c r="BC49" s="33">
        <f>ROUND(SUM($L49:$U49)+SUM($AF49:$AO49),2)</f>
      </c>
    </row>
    <row r="50" spans="1:55" x14ac:dyDescent="0.25">
      <c r="A50">
        <v>43</v>
      </c>
      <c r="B50" s="33">
        <f>IF(AP49&lt;=0,0,ROUND(AP49+ROUND(AP49*V$3/12,2),2))</f>
      </c>
      <c r="C50" s="33">
        <f>IF(AQ49&lt;=0,0,ROUND(AQ49+ROUND(AQ49*W$3/12,2),2))</f>
      </c>
      <c r="D50" s="33">
        <f>IF(AR49&lt;=0,0,ROUND(AR49+ROUND(AR49*X$3/12,2),2))</f>
      </c>
      <c r="E50" s="33">
        <f>IF(AS49&lt;=0,0,ROUND(AS49+ROUND(AS49*Y$3/12,2),2))</f>
      </c>
      <c r="F50" s="33">
        <f>IF(AT49&lt;=0,0,ROUND(AT49+ROUND(AT49*Z$3/12,2),2))</f>
      </c>
      <c r="G50" s="33">
        <f>IF(AU49&lt;=0,0,ROUND(AU49+ROUND(AU49*AA$3/12,2),2))</f>
      </c>
      <c r="H50" s="33">
        <f>IF(AV49&lt;=0,0,ROUND(AV49+ROUND(AV49*AB$3/12,2),2))</f>
      </c>
      <c r="I50" s="33">
        <f>IF(AW49&lt;=0,0,ROUND(AW49+ROUND(AW49*AC$3/12,2),2))</f>
      </c>
      <c r="J50" s="33">
        <f>IF(AX49&lt;=0,0,ROUND(AX49+ROUND(AX49*AD$3/12,2),2))</f>
      </c>
      <c r="K50" s="33">
        <f>IF(AY49&lt;=0,0,ROUND(AY49+ROUND(AY49*AE$3/12,2),2))</f>
      </c>
      <c r="L50" s="33">
        <f>ROUND(MIN(MAX(0,N('Your debts'!$E$6)),B50),2)</f>
      </c>
      <c r="M50" s="33">
        <f>ROUND(MIN(MAX(0,N('Your debts'!$E$7)),C50),2)</f>
      </c>
      <c r="N50" s="33">
        <f>ROUND(MIN(MAX(0,N('Your debts'!$E$8)),D50),2)</f>
      </c>
      <c r="O50" s="33">
        <f>ROUND(MIN(MAX(0,N('Your debts'!$E$9)),E50),2)</f>
      </c>
      <c r="P50" s="33">
        <f>ROUND(MIN(MAX(0,N('Your debts'!$E$10)),F50),2)</f>
      </c>
      <c r="Q50" s="33">
        <f>ROUND(MIN(MAX(0,N('Your debts'!$E$11)),G50),2)</f>
      </c>
      <c r="R50" s="33">
        <f>ROUND(MIN(MAX(0,N('Your debts'!$E$12)),H50),2)</f>
      </c>
      <c r="S50" s="33">
        <f>ROUND(MIN(MAX(0,N('Your debts'!$E$13)),I50),2)</f>
      </c>
      <c r="T50" s="33">
        <f>ROUND(MIN(MAX(0,N('Your debts'!$E$14)),J50),2)</f>
      </c>
      <c r="U50" s="33">
        <f>ROUND(MIN(MAX(0,N('Your debts'!$E$15)),K50),2)</f>
      </c>
      <c r="V50" s="33">
        <f>ROUND(B50-L50,2)</f>
      </c>
      <c r="W50" s="33">
        <f>ROUND(C50-M50,2)</f>
      </c>
      <c r="X50" s="33">
        <f>ROUND(D50-N50,2)</f>
      </c>
      <c r="Y50" s="33">
        <f>ROUND(E50-O50,2)</f>
      </c>
      <c r="Z50" s="33">
        <f>ROUND(F50-P50,2)</f>
      </c>
      <c r="AA50" s="33">
        <f>ROUND(G50-Q50,2)</f>
      </c>
      <c r="AB50" s="33">
        <f>ROUND(H50-R50,2)</f>
      </c>
      <c r="AC50" s="33">
        <f>ROUND(I50-S50,2)</f>
      </c>
      <c r="AD50" s="33">
        <f>ROUND(J50-T50,2)</f>
      </c>
      <c r="AE50" s="33">
        <f>ROUND(K50-U50,2)</f>
      </c>
      <c r="AF50" s="33">
        <f>IF(V50&lt;=0,0,MAX(0,MIN(V50,ROUND($AZ50-SUMPRODUCT($V50:$AE50*($V50:$AE50&gt;0)*(($V$3:$AE$3&gt;V$3)+($V$3:$AE$3=V$3)*($V50:$AE50&lt;V50)+($V$3:$AE$3=V$3)*($V50:$AE50=V50)*($V$2:$AE$2&lt;V$2))),2))))</f>
      </c>
      <c r="AG50" s="33">
        <f>IF(W50&lt;=0,0,MAX(0,MIN(W50,ROUND($AZ50-SUMPRODUCT($V50:$AE50*($V50:$AE50&gt;0)*(($V$3:$AE$3&gt;W$3)+($V$3:$AE$3=W$3)*($V50:$AE50&lt;W50)+($V$3:$AE$3=W$3)*($V50:$AE50=W50)*($V$2:$AE$2&lt;W$2))),2))))</f>
      </c>
      <c r="AH50" s="33">
        <f>IF(X50&lt;=0,0,MAX(0,MIN(X50,ROUND($AZ50-SUMPRODUCT($V50:$AE50*($V50:$AE50&gt;0)*(($V$3:$AE$3&gt;X$3)+($V$3:$AE$3=X$3)*($V50:$AE50&lt;X50)+($V$3:$AE$3=X$3)*($V50:$AE50=X50)*($V$2:$AE$2&lt;X$2))),2))))</f>
      </c>
      <c r="AI50" s="33">
        <f>IF(Y50&lt;=0,0,MAX(0,MIN(Y50,ROUND($AZ50-SUMPRODUCT($V50:$AE50*($V50:$AE50&gt;0)*(($V$3:$AE$3&gt;Y$3)+($V$3:$AE$3=Y$3)*($V50:$AE50&lt;Y50)+($V$3:$AE$3=Y$3)*($V50:$AE50=Y50)*($V$2:$AE$2&lt;Y$2))),2))))</f>
      </c>
      <c r="AJ50" s="33">
        <f>IF(Z50&lt;=0,0,MAX(0,MIN(Z50,ROUND($AZ50-SUMPRODUCT($V50:$AE50*($V50:$AE50&gt;0)*(($V$3:$AE$3&gt;Z$3)+($V$3:$AE$3=Z$3)*($V50:$AE50&lt;Z50)+($V$3:$AE$3=Z$3)*($V50:$AE50=Z50)*($V$2:$AE$2&lt;Z$2))),2))))</f>
      </c>
      <c r="AK50" s="33">
        <f>IF(AA50&lt;=0,0,MAX(0,MIN(AA50,ROUND($AZ50-SUMPRODUCT($V50:$AE50*($V50:$AE50&gt;0)*(($V$3:$AE$3&gt;AA$3)+($V$3:$AE$3=AA$3)*($V50:$AE50&lt;AA50)+($V$3:$AE$3=AA$3)*($V50:$AE50=AA50)*($V$2:$AE$2&lt;AA$2))),2))))</f>
      </c>
      <c r="AL50" s="33">
        <f>IF(AB50&lt;=0,0,MAX(0,MIN(AB50,ROUND($AZ50-SUMPRODUCT($V50:$AE50*($V50:$AE50&gt;0)*(($V$3:$AE$3&gt;AB$3)+($V$3:$AE$3=AB$3)*($V50:$AE50&lt;AB50)+($V$3:$AE$3=AB$3)*($V50:$AE50=AB50)*($V$2:$AE$2&lt;AB$2))),2))))</f>
      </c>
      <c r="AM50" s="33">
        <f>IF(AC50&lt;=0,0,MAX(0,MIN(AC50,ROUND($AZ50-SUMPRODUCT($V50:$AE50*($V50:$AE50&gt;0)*(($V$3:$AE$3&gt;AC$3)+($V$3:$AE$3=AC$3)*($V50:$AE50&lt;AC50)+($V$3:$AE$3=AC$3)*($V50:$AE50=AC50)*($V$2:$AE$2&lt;AC$2))),2))))</f>
      </c>
      <c r="AN50" s="33">
        <f>IF(AD50&lt;=0,0,MAX(0,MIN(AD50,ROUND($AZ50-SUMPRODUCT($V50:$AE50*($V50:$AE50&gt;0)*(($V$3:$AE$3&gt;AD$3)+($V$3:$AE$3=AD$3)*($V50:$AE50&lt;AD50)+($V$3:$AE$3=AD$3)*($V50:$AE50=AD50)*($V$2:$AE$2&lt;AD$2))),2))))</f>
      </c>
      <c r="AO50" s="33">
        <f>IF(AE50&lt;=0,0,MAX(0,MIN(AE50,ROUND($AZ50-SUMPRODUCT($V50:$AE50*($V50:$AE50&gt;0)*(($V$3:$AE$3&gt;AE$3)+($V$3:$AE$3=AE$3)*($V50:$AE50&lt;AE50)+($V$3:$AE$3=AE$3)*($V50:$AE50=AE50)*($V$2:$AE$2&lt;AE$2))),2))))</f>
      </c>
      <c r="AP50" s="33">
        <f>ROUND(V50-AF50,2)</f>
      </c>
      <c r="AQ50" s="33">
        <f>ROUND(W50-AG50,2)</f>
      </c>
      <c r="AR50" s="33">
        <f>ROUND(X50-AH50,2)</f>
      </c>
      <c r="AS50" s="33">
        <f>ROUND(Y50-AI50,2)</f>
      </c>
      <c r="AT50" s="33">
        <f>ROUND(Z50-AJ50,2)</f>
      </c>
      <c r="AU50" s="33">
        <f>ROUND(AA50-AK50,2)</f>
      </c>
      <c r="AV50" s="33">
        <f>ROUND(AB50-AL50,2)</f>
      </c>
      <c r="AW50" s="33">
        <f>ROUND(AC50-AM50,2)</f>
      </c>
      <c r="AX50" s="33">
        <f>ROUND(AD50-AN50,2)</f>
      </c>
      <c r="AY50" s="33">
        <f>ROUND(AE50-AO50,2)</f>
      </c>
      <c r="AZ50" s="33">
        <f>ROUND(MAX(0,'Your debts'!$D$22-SUM($L50:$U50)),2)</f>
      </c>
      <c r="BA50" s="33">
        <f>ROUND(SUM($B50:$K50)-SUM($AP49:$AY49),2)</f>
      </c>
      <c r="BB50" s="33">
        <f>SUM($AP50:$AY50)</f>
      </c>
      <c r="BC50" s="33">
        <f>ROUND(SUM($L50:$U50)+SUM($AF50:$AO50),2)</f>
      </c>
    </row>
    <row r="51" spans="1:55" x14ac:dyDescent="0.25">
      <c r="A51">
        <v>44</v>
      </c>
      <c r="B51" s="33">
        <f>IF(AP50&lt;=0,0,ROUND(AP50+ROUND(AP50*V$3/12,2),2))</f>
      </c>
      <c r="C51" s="33">
        <f>IF(AQ50&lt;=0,0,ROUND(AQ50+ROUND(AQ50*W$3/12,2),2))</f>
      </c>
      <c r="D51" s="33">
        <f>IF(AR50&lt;=0,0,ROUND(AR50+ROUND(AR50*X$3/12,2),2))</f>
      </c>
      <c r="E51" s="33">
        <f>IF(AS50&lt;=0,0,ROUND(AS50+ROUND(AS50*Y$3/12,2),2))</f>
      </c>
      <c r="F51" s="33">
        <f>IF(AT50&lt;=0,0,ROUND(AT50+ROUND(AT50*Z$3/12,2),2))</f>
      </c>
      <c r="G51" s="33">
        <f>IF(AU50&lt;=0,0,ROUND(AU50+ROUND(AU50*AA$3/12,2),2))</f>
      </c>
      <c r="H51" s="33">
        <f>IF(AV50&lt;=0,0,ROUND(AV50+ROUND(AV50*AB$3/12,2),2))</f>
      </c>
      <c r="I51" s="33">
        <f>IF(AW50&lt;=0,0,ROUND(AW50+ROUND(AW50*AC$3/12,2),2))</f>
      </c>
      <c r="J51" s="33">
        <f>IF(AX50&lt;=0,0,ROUND(AX50+ROUND(AX50*AD$3/12,2),2))</f>
      </c>
      <c r="K51" s="33">
        <f>IF(AY50&lt;=0,0,ROUND(AY50+ROUND(AY50*AE$3/12,2),2))</f>
      </c>
      <c r="L51" s="33">
        <f>ROUND(MIN(MAX(0,N('Your debts'!$E$6)),B51),2)</f>
      </c>
      <c r="M51" s="33">
        <f>ROUND(MIN(MAX(0,N('Your debts'!$E$7)),C51),2)</f>
      </c>
      <c r="N51" s="33">
        <f>ROUND(MIN(MAX(0,N('Your debts'!$E$8)),D51),2)</f>
      </c>
      <c r="O51" s="33">
        <f>ROUND(MIN(MAX(0,N('Your debts'!$E$9)),E51),2)</f>
      </c>
      <c r="P51" s="33">
        <f>ROUND(MIN(MAX(0,N('Your debts'!$E$10)),F51),2)</f>
      </c>
      <c r="Q51" s="33">
        <f>ROUND(MIN(MAX(0,N('Your debts'!$E$11)),G51),2)</f>
      </c>
      <c r="R51" s="33">
        <f>ROUND(MIN(MAX(0,N('Your debts'!$E$12)),H51),2)</f>
      </c>
      <c r="S51" s="33">
        <f>ROUND(MIN(MAX(0,N('Your debts'!$E$13)),I51),2)</f>
      </c>
      <c r="T51" s="33">
        <f>ROUND(MIN(MAX(0,N('Your debts'!$E$14)),J51),2)</f>
      </c>
      <c r="U51" s="33">
        <f>ROUND(MIN(MAX(0,N('Your debts'!$E$15)),K51),2)</f>
      </c>
      <c r="V51" s="33">
        <f>ROUND(B51-L51,2)</f>
      </c>
      <c r="W51" s="33">
        <f>ROUND(C51-M51,2)</f>
      </c>
      <c r="X51" s="33">
        <f>ROUND(D51-N51,2)</f>
      </c>
      <c r="Y51" s="33">
        <f>ROUND(E51-O51,2)</f>
      </c>
      <c r="Z51" s="33">
        <f>ROUND(F51-P51,2)</f>
      </c>
      <c r="AA51" s="33">
        <f>ROUND(G51-Q51,2)</f>
      </c>
      <c r="AB51" s="33">
        <f>ROUND(H51-R51,2)</f>
      </c>
      <c r="AC51" s="33">
        <f>ROUND(I51-S51,2)</f>
      </c>
      <c r="AD51" s="33">
        <f>ROUND(J51-T51,2)</f>
      </c>
      <c r="AE51" s="33">
        <f>ROUND(K51-U51,2)</f>
      </c>
      <c r="AF51" s="33">
        <f>IF(V51&lt;=0,0,MAX(0,MIN(V51,ROUND($AZ51-SUMPRODUCT($V51:$AE51*($V51:$AE51&gt;0)*(($V$3:$AE$3&gt;V$3)+($V$3:$AE$3=V$3)*($V51:$AE51&lt;V51)+($V$3:$AE$3=V$3)*($V51:$AE51=V51)*($V$2:$AE$2&lt;V$2))),2))))</f>
      </c>
      <c r="AG51" s="33">
        <f>IF(W51&lt;=0,0,MAX(0,MIN(W51,ROUND($AZ51-SUMPRODUCT($V51:$AE51*($V51:$AE51&gt;0)*(($V$3:$AE$3&gt;W$3)+($V$3:$AE$3=W$3)*($V51:$AE51&lt;W51)+($V$3:$AE$3=W$3)*($V51:$AE51=W51)*($V$2:$AE$2&lt;W$2))),2))))</f>
      </c>
      <c r="AH51" s="33">
        <f>IF(X51&lt;=0,0,MAX(0,MIN(X51,ROUND($AZ51-SUMPRODUCT($V51:$AE51*($V51:$AE51&gt;0)*(($V$3:$AE$3&gt;X$3)+($V$3:$AE$3=X$3)*($V51:$AE51&lt;X51)+($V$3:$AE$3=X$3)*($V51:$AE51=X51)*($V$2:$AE$2&lt;X$2))),2))))</f>
      </c>
      <c r="AI51" s="33">
        <f>IF(Y51&lt;=0,0,MAX(0,MIN(Y51,ROUND($AZ51-SUMPRODUCT($V51:$AE51*($V51:$AE51&gt;0)*(($V$3:$AE$3&gt;Y$3)+($V$3:$AE$3=Y$3)*($V51:$AE51&lt;Y51)+($V$3:$AE$3=Y$3)*($V51:$AE51=Y51)*($V$2:$AE$2&lt;Y$2))),2))))</f>
      </c>
      <c r="AJ51" s="33">
        <f>IF(Z51&lt;=0,0,MAX(0,MIN(Z51,ROUND($AZ51-SUMPRODUCT($V51:$AE51*($V51:$AE51&gt;0)*(($V$3:$AE$3&gt;Z$3)+($V$3:$AE$3=Z$3)*($V51:$AE51&lt;Z51)+($V$3:$AE$3=Z$3)*($V51:$AE51=Z51)*($V$2:$AE$2&lt;Z$2))),2))))</f>
      </c>
      <c r="AK51" s="33">
        <f>IF(AA51&lt;=0,0,MAX(0,MIN(AA51,ROUND($AZ51-SUMPRODUCT($V51:$AE51*($V51:$AE51&gt;0)*(($V$3:$AE$3&gt;AA$3)+($V$3:$AE$3=AA$3)*($V51:$AE51&lt;AA51)+($V$3:$AE$3=AA$3)*($V51:$AE51=AA51)*($V$2:$AE$2&lt;AA$2))),2))))</f>
      </c>
      <c r="AL51" s="33">
        <f>IF(AB51&lt;=0,0,MAX(0,MIN(AB51,ROUND($AZ51-SUMPRODUCT($V51:$AE51*($V51:$AE51&gt;0)*(($V$3:$AE$3&gt;AB$3)+($V$3:$AE$3=AB$3)*($V51:$AE51&lt;AB51)+($V$3:$AE$3=AB$3)*($V51:$AE51=AB51)*($V$2:$AE$2&lt;AB$2))),2))))</f>
      </c>
      <c r="AM51" s="33">
        <f>IF(AC51&lt;=0,0,MAX(0,MIN(AC51,ROUND($AZ51-SUMPRODUCT($V51:$AE51*($V51:$AE51&gt;0)*(($V$3:$AE$3&gt;AC$3)+($V$3:$AE$3=AC$3)*($V51:$AE51&lt;AC51)+($V$3:$AE$3=AC$3)*($V51:$AE51=AC51)*($V$2:$AE$2&lt;AC$2))),2))))</f>
      </c>
      <c r="AN51" s="33">
        <f>IF(AD51&lt;=0,0,MAX(0,MIN(AD51,ROUND($AZ51-SUMPRODUCT($V51:$AE51*($V51:$AE51&gt;0)*(($V$3:$AE$3&gt;AD$3)+($V$3:$AE$3=AD$3)*($V51:$AE51&lt;AD51)+($V$3:$AE$3=AD$3)*($V51:$AE51=AD51)*($V$2:$AE$2&lt;AD$2))),2))))</f>
      </c>
      <c r="AO51" s="33">
        <f>IF(AE51&lt;=0,0,MAX(0,MIN(AE51,ROUND($AZ51-SUMPRODUCT($V51:$AE51*($V51:$AE51&gt;0)*(($V$3:$AE$3&gt;AE$3)+($V$3:$AE$3=AE$3)*($V51:$AE51&lt;AE51)+($V$3:$AE$3=AE$3)*($V51:$AE51=AE51)*($V$2:$AE$2&lt;AE$2))),2))))</f>
      </c>
      <c r="AP51" s="33">
        <f>ROUND(V51-AF51,2)</f>
      </c>
      <c r="AQ51" s="33">
        <f>ROUND(W51-AG51,2)</f>
      </c>
      <c r="AR51" s="33">
        <f>ROUND(X51-AH51,2)</f>
      </c>
      <c r="AS51" s="33">
        <f>ROUND(Y51-AI51,2)</f>
      </c>
      <c r="AT51" s="33">
        <f>ROUND(Z51-AJ51,2)</f>
      </c>
      <c r="AU51" s="33">
        <f>ROUND(AA51-AK51,2)</f>
      </c>
      <c r="AV51" s="33">
        <f>ROUND(AB51-AL51,2)</f>
      </c>
      <c r="AW51" s="33">
        <f>ROUND(AC51-AM51,2)</f>
      </c>
      <c r="AX51" s="33">
        <f>ROUND(AD51-AN51,2)</f>
      </c>
      <c r="AY51" s="33">
        <f>ROUND(AE51-AO51,2)</f>
      </c>
      <c r="AZ51" s="33">
        <f>ROUND(MAX(0,'Your debts'!$D$22-SUM($L51:$U51)),2)</f>
      </c>
      <c r="BA51" s="33">
        <f>ROUND(SUM($B51:$K51)-SUM($AP50:$AY50),2)</f>
      </c>
      <c r="BB51" s="33">
        <f>SUM($AP51:$AY51)</f>
      </c>
      <c r="BC51" s="33">
        <f>ROUND(SUM($L51:$U51)+SUM($AF51:$AO51),2)</f>
      </c>
    </row>
    <row r="52" spans="1:55" x14ac:dyDescent="0.25">
      <c r="A52">
        <v>45</v>
      </c>
      <c r="B52" s="33">
        <f>IF(AP51&lt;=0,0,ROUND(AP51+ROUND(AP51*V$3/12,2),2))</f>
      </c>
      <c r="C52" s="33">
        <f>IF(AQ51&lt;=0,0,ROUND(AQ51+ROUND(AQ51*W$3/12,2),2))</f>
      </c>
      <c r="D52" s="33">
        <f>IF(AR51&lt;=0,0,ROUND(AR51+ROUND(AR51*X$3/12,2),2))</f>
      </c>
      <c r="E52" s="33">
        <f>IF(AS51&lt;=0,0,ROUND(AS51+ROUND(AS51*Y$3/12,2),2))</f>
      </c>
      <c r="F52" s="33">
        <f>IF(AT51&lt;=0,0,ROUND(AT51+ROUND(AT51*Z$3/12,2),2))</f>
      </c>
      <c r="G52" s="33">
        <f>IF(AU51&lt;=0,0,ROUND(AU51+ROUND(AU51*AA$3/12,2),2))</f>
      </c>
      <c r="H52" s="33">
        <f>IF(AV51&lt;=0,0,ROUND(AV51+ROUND(AV51*AB$3/12,2),2))</f>
      </c>
      <c r="I52" s="33">
        <f>IF(AW51&lt;=0,0,ROUND(AW51+ROUND(AW51*AC$3/12,2),2))</f>
      </c>
      <c r="J52" s="33">
        <f>IF(AX51&lt;=0,0,ROUND(AX51+ROUND(AX51*AD$3/12,2),2))</f>
      </c>
      <c r="K52" s="33">
        <f>IF(AY51&lt;=0,0,ROUND(AY51+ROUND(AY51*AE$3/12,2),2))</f>
      </c>
      <c r="L52" s="33">
        <f>ROUND(MIN(MAX(0,N('Your debts'!$E$6)),B52),2)</f>
      </c>
      <c r="M52" s="33">
        <f>ROUND(MIN(MAX(0,N('Your debts'!$E$7)),C52),2)</f>
      </c>
      <c r="N52" s="33">
        <f>ROUND(MIN(MAX(0,N('Your debts'!$E$8)),D52),2)</f>
      </c>
      <c r="O52" s="33">
        <f>ROUND(MIN(MAX(0,N('Your debts'!$E$9)),E52),2)</f>
      </c>
      <c r="P52" s="33">
        <f>ROUND(MIN(MAX(0,N('Your debts'!$E$10)),F52),2)</f>
      </c>
      <c r="Q52" s="33">
        <f>ROUND(MIN(MAX(0,N('Your debts'!$E$11)),G52),2)</f>
      </c>
      <c r="R52" s="33">
        <f>ROUND(MIN(MAX(0,N('Your debts'!$E$12)),H52),2)</f>
      </c>
      <c r="S52" s="33">
        <f>ROUND(MIN(MAX(0,N('Your debts'!$E$13)),I52),2)</f>
      </c>
      <c r="T52" s="33">
        <f>ROUND(MIN(MAX(0,N('Your debts'!$E$14)),J52),2)</f>
      </c>
      <c r="U52" s="33">
        <f>ROUND(MIN(MAX(0,N('Your debts'!$E$15)),K52),2)</f>
      </c>
      <c r="V52" s="33">
        <f>ROUND(B52-L52,2)</f>
      </c>
      <c r="W52" s="33">
        <f>ROUND(C52-M52,2)</f>
      </c>
      <c r="X52" s="33">
        <f>ROUND(D52-N52,2)</f>
      </c>
      <c r="Y52" s="33">
        <f>ROUND(E52-O52,2)</f>
      </c>
      <c r="Z52" s="33">
        <f>ROUND(F52-P52,2)</f>
      </c>
      <c r="AA52" s="33">
        <f>ROUND(G52-Q52,2)</f>
      </c>
      <c r="AB52" s="33">
        <f>ROUND(H52-R52,2)</f>
      </c>
      <c r="AC52" s="33">
        <f>ROUND(I52-S52,2)</f>
      </c>
      <c r="AD52" s="33">
        <f>ROUND(J52-T52,2)</f>
      </c>
      <c r="AE52" s="33">
        <f>ROUND(K52-U52,2)</f>
      </c>
      <c r="AF52" s="33">
        <f>IF(V52&lt;=0,0,MAX(0,MIN(V52,ROUND($AZ52-SUMPRODUCT($V52:$AE52*($V52:$AE52&gt;0)*(($V$3:$AE$3&gt;V$3)+($V$3:$AE$3=V$3)*($V52:$AE52&lt;V52)+($V$3:$AE$3=V$3)*($V52:$AE52=V52)*($V$2:$AE$2&lt;V$2))),2))))</f>
      </c>
      <c r="AG52" s="33">
        <f>IF(W52&lt;=0,0,MAX(0,MIN(W52,ROUND($AZ52-SUMPRODUCT($V52:$AE52*($V52:$AE52&gt;0)*(($V$3:$AE$3&gt;W$3)+($V$3:$AE$3=W$3)*($V52:$AE52&lt;W52)+($V$3:$AE$3=W$3)*($V52:$AE52=W52)*($V$2:$AE$2&lt;W$2))),2))))</f>
      </c>
      <c r="AH52" s="33">
        <f>IF(X52&lt;=0,0,MAX(0,MIN(X52,ROUND($AZ52-SUMPRODUCT($V52:$AE52*($V52:$AE52&gt;0)*(($V$3:$AE$3&gt;X$3)+($V$3:$AE$3=X$3)*($V52:$AE52&lt;X52)+($V$3:$AE$3=X$3)*($V52:$AE52=X52)*($V$2:$AE$2&lt;X$2))),2))))</f>
      </c>
      <c r="AI52" s="33">
        <f>IF(Y52&lt;=0,0,MAX(0,MIN(Y52,ROUND($AZ52-SUMPRODUCT($V52:$AE52*($V52:$AE52&gt;0)*(($V$3:$AE$3&gt;Y$3)+($V$3:$AE$3=Y$3)*($V52:$AE52&lt;Y52)+($V$3:$AE$3=Y$3)*($V52:$AE52=Y52)*($V$2:$AE$2&lt;Y$2))),2))))</f>
      </c>
      <c r="AJ52" s="33">
        <f>IF(Z52&lt;=0,0,MAX(0,MIN(Z52,ROUND($AZ52-SUMPRODUCT($V52:$AE52*($V52:$AE52&gt;0)*(($V$3:$AE$3&gt;Z$3)+($V$3:$AE$3=Z$3)*($V52:$AE52&lt;Z52)+($V$3:$AE$3=Z$3)*($V52:$AE52=Z52)*($V$2:$AE$2&lt;Z$2))),2))))</f>
      </c>
      <c r="AK52" s="33">
        <f>IF(AA52&lt;=0,0,MAX(0,MIN(AA52,ROUND($AZ52-SUMPRODUCT($V52:$AE52*($V52:$AE52&gt;0)*(($V$3:$AE$3&gt;AA$3)+($V$3:$AE$3=AA$3)*($V52:$AE52&lt;AA52)+($V$3:$AE$3=AA$3)*($V52:$AE52=AA52)*($V$2:$AE$2&lt;AA$2))),2))))</f>
      </c>
      <c r="AL52" s="33">
        <f>IF(AB52&lt;=0,0,MAX(0,MIN(AB52,ROUND($AZ52-SUMPRODUCT($V52:$AE52*($V52:$AE52&gt;0)*(($V$3:$AE$3&gt;AB$3)+($V$3:$AE$3=AB$3)*($V52:$AE52&lt;AB52)+($V$3:$AE$3=AB$3)*($V52:$AE52=AB52)*($V$2:$AE$2&lt;AB$2))),2))))</f>
      </c>
      <c r="AM52" s="33">
        <f>IF(AC52&lt;=0,0,MAX(0,MIN(AC52,ROUND($AZ52-SUMPRODUCT($V52:$AE52*($V52:$AE52&gt;0)*(($V$3:$AE$3&gt;AC$3)+($V$3:$AE$3=AC$3)*($V52:$AE52&lt;AC52)+($V$3:$AE$3=AC$3)*($V52:$AE52=AC52)*($V$2:$AE$2&lt;AC$2))),2))))</f>
      </c>
      <c r="AN52" s="33">
        <f>IF(AD52&lt;=0,0,MAX(0,MIN(AD52,ROUND($AZ52-SUMPRODUCT($V52:$AE52*($V52:$AE52&gt;0)*(($V$3:$AE$3&gt;AD$3)+($V$3:$AE$3=AD$3)*($V52:$AE52&lt;AD52)+($V$3:$AE$3=AD$3)*($V52:$AE52=AD52)*($V$2:$AE$2&lt;AD$2))),2))))</f>
      </c>
      <c r="AO52" s="33">
        <f>IF(AE52&lt;=0,0,MAX(0,MIN(AE52,ROUND($AZ52-SUMPRODUCT($V52:$AE52*($V52:$AE52&gt;0)*(($V$3:$AE$3&gt;AE$3)+($V$3:$AE$3=AE$3)*($V52:$AE52&lt;AE52)+($V$3:$AE$3=AE$3)*($V52:$AE52=AE52)*($V$2:$AE$2&lt;AE$2))),2))))</f>
      </c>
      <c r="AP52" s="33">
        <f>ROUND(V52-AF52,2)</f>
      </c>
      <c r="AQ52" s="33">
        <f>ROUND(W52-AG52,2)</f>
      </c>
      <c r="AR52" s="33">
        <f>ROUND(X52-AH52,2)</f>
      </c>
      <c r="AS52" s="33">
        <f>ROUND(Y52-AI52,2)</f>
      </c>
      <c r="AT52" s="33">
        <f>ROUND(Z52-AJ52,2)</f>
      </c>
      <c r="AU52" s="33">
        <f>ROUND(AA52-AK52,2)</f>
      </c>
      <c r="AV52" s="33">
        <f>ROUND(AB52-AL52,2)</f>
      </c>
      <c r="AW52" s="33">
        <f>ROUND(AC52-AM52,2)</f>
      </c>
      <c r="AX52" s="33">
        <f>ROUND(AD52-AN52,2)</f>
      </c>
      <c r="AY52" s="33">
        <f>ROUND(AE52-AO52,2)</f>
      </c>
      <c r="AZ52" s="33">
        <f>ROUND(MAX(0,'Your debts'!$D$22-SUM($L52:$U52)),2)</f>
      </c>
      <c r="BA52" s="33">
        <f>ROUND(SUM($B52:$K52)-SUM($AP51:$AY51),2)</f>
      </c>
      <c r="BB52" s="33">
        <f>SUM($AP52:$AY52)</f>
      </c>
      <c r="BC52" s="33">
        <f>ROUND(SUM($L52:$U52)+SUM($AF52:$AO52),2)</f>
      </c>
    </row>
    <row r="53" spans="1:55" x14ac:dyDescent="0.25">
      <c r="A53">
        <v>46</v>
      </c>
      <c r="B53" s="33">
        <f>IF(AP52&lt;=0,0,ROUND(AP52+ROUND(AP52*V$3/12,2),2))</f>
      </c>
      <c r="C53" s="33">
        <f>IF(AQ52&lt;=0,0,ROUND(AQ52+ROUND(AQ52*W$3/12,2),2))</f>
      </c>
      <c r="D53" s="33">
        <f>IF(AR52&lt;=0,0,ROUND(AR52+ROUND(AR52*X$3/12,2),2))</f>
      </c>
      <c r="E53" s="33">
        <f>IF(AS52&lt;=0,0,ROUND(AS52+ROUND(AS52*Y$3/12,2),2))</f>
      </c>
      <c r="F53" s="33">
        <f>IF(AT52&lt;=0,0,ROUND(AT52+ROUND(AT52*Z$3/12,2),2))</f>
      </c>
      <c r="G53" s="33">
        <f>IF(AU52&lt;=0,0,ROUND(AU52+ROUND(AU52*AA$3/12,2),2))</f>
      </c>
      <c r="H53" s="33">
        <f>IF(AV52&lt;=0,0,ROUND(AV52+ROUND(AV52*AB$3/12,2),2))</f>
      </c>
      <c r="I53" s="33">
        <f>IF(AW52&lt;=0,0,ROUND(AW52+ROUND(AW52*AC$3/12,2),2))</f>
      </c>
      <c r="J53" s="33">
        <f>IF(AX52&lt;=0,0,ROUND(AX52+ROUND(AX52*AD$3/12,2),2))</f>
      </c>
      <c r="K53" s="33">
        <f>IF(AY52&lt;=0,0,ROUND(AY52+ROUND(AY52*AE$3/12,2),2))</f>
      </c>
      <c r="L53" s="33">
        <f>ROUND(MIN(MAX(0,N('Your debts'!$E$6)),B53),2)</f>
      </c>
      <c r="M53" s="33">
        <f>ROUND(MIN(MAX(0,N('Your debts'!$E$7)),C53),2)</f>
      </c>
      <c r="N53" s="33">
        <f>ROUND(MIN(MAX(0,N('Your debts'!$E$8)),D53),2)</f>
      </c>
      <c r="O53" s="33">
        <f>ROUND(MIN(MAX(0,N('Your debts'!$E$9)),E53),2)</f>
      </c>
      <c r="P53" s="33">
        <f>ROUND(MIN(MAX(0,N('Your debts'!$E$10)),F53),2)</f>
      </c>
      <c r="Q53" s="33">
        <f>ROUND(MIN(MAX(0,N('Your debts'!$E$11)),G53),2)</f>
      </c>
      <c r="R53" s="33">
        <f>ROUND(MIN(MAX(0,N('Your debts'!$E$12)),H53),2)</f>
      </c>
      <c r="S53" s="33">
        <f>ROUND(MIN(MAX(0,N('Your debts'!$E$13)),I53),2)</f>
      </c>
      <c r="T53" s="33">
        <f>ROUND(MIN(MAX(0,N('Your debts'!$E$14)),J53),2)</f>
      </c>
      <c r="U53" s="33">
        <f>ROUND(MIN(MAX(0,N('Your debts'!$E$15)),K53),2)</f>
      </c>
      <c r="V53" s="33">
        <f>ROUND(B53-L53,2)</f>
      </c>
      <c r="W53" s="33">
        <f>ROUND(C53-M53,2)</f>
      </c>
      <c r="X53" s="33">
        <f>ROUND(D53-N53,2)</f>
      </c>
      <c r="Y53" s="33">
        <f>ROUND(E53-O53,2)</f>
      </c>
      <c r="Z53" s="33">
        <f>ROUND(F53-P53,2)</f>
      </c>
      <c r="AA53" s="33">
        <f>ROUND(G53-Q53,2)</f>
      </c>
      <c r="AB53" s="33">
        <f>ROUND(H53-R53,2)</f>
      </c>
      <c r="AC53" s="33">
        <f>ROUND(I53-S53,2)</f>
      </c>
      <c r="AD53" s="33">
        <f>ROUND(J53-T53,2)</f>
      </c>
      <c r="AE53" s="33">
        <f>ROUND(K53-U53,2)</f>
      </c>
      <c r="AF53" s="33">
        <f>IF(V53&lt;=0,0,MAX(0,MIN(V53,ROUND($AZ53-SUMPRODUCT($V53:$AE53*($V53:$AE53&gt;0)*(($V$3:$AE$3&gt;V$3)+($V$3:$AE$3=V$3)*($V53:$AE53&lt;V53)+($V$3:$AE$3=V$3)*($V53:$AE53=V53)*($V$2:$AE$2&lt;V$2))),2))))</f>
      </c>
      <c r="AG53" s="33">
        <f>IF(W53&lt;=0,0,MAX(0,MIN(W53,ROUND($AZ53-SUMPRODUCT($V53:$AE53*($V53:$AE53&gt;0)*(($V$3:$AE$3&gt;W$3)+($V$3:$AE$3=W$3)*($V53:$AE53&lt;W53)+($V$3:$AE$3=W$3)*($V53:$AE53=W53)*($V$2:$AE$2&lt;W$2))),2))))</f>
      </c>
      <c r="AH53" s="33">
        <f>IF(X53&lt;=0,0,MAX(0,MIN(X53,ROUND($AZ53-SUMPRODUCT($V53:$AE53*($V53:$AE53&gt;0)*(($V$3:$AE$3&gt;X$3)+($V$3:$AE$3=X$3)*($V53:$AE53&lt;X53)+($V$3:$AE$3=X$3)*($V53:$AE53=X53)*($V$2:$AE$2&lt;X$2))),2))))</f>
      </c>
      <c r="AI53" s="33">
        <f>IF(Y53&lt;=0,0,MAX(0,MIN(Y53,ROUND($AZ53-SUMPRODUCT($V53:$AE53*($V53:$AE53&gt;0)*(($V$3:$AE$3&gt;Y$3)+($V$3:$AE$3=Y$3)*($V53:$AE53&lt;Y53)+($V$3:$AE$3=Y$3)*($V53:$AE53=Y53)*($V$2:$AE$2&lt;Y$2))),2))))</f>
      </c>
      <c r="AJ53" s="33">
        <f>IF(Z53&lt;=0,0,MAX(0,MIN(Z53,ROUND($AZ53-SUMPRODUCT($V53:$AE53*($V53:$AE53&gt;0)*(($V$3:$AE$3&gt;Z$3)+($V$3:$AE$3=Z$3)*($V53:$AE53&lt;Z53)+($V$3:$AE$3=Z$3)*($V53:$AE53=Z53)*($V$2:$AE$2&lt;Z$2))),2))))</f>
      </c>
      <c r="AK53" s="33">
        <f>IF(AA53&lt;=0,0,MAX(0,MIN(AA53,ROUND($AZ53-SUMPRODUCT($V53:$AE53*($V53:$AE53&gt;0)*(($V$3:$AE$3&gt;AA$3)+($V$3:$AE$3=AA$3)*($V53:$AE53&lt;AA53)+($V$3:$AE$3=AA$3)*($V53:$AE53=AA53)*($V$2:$AE$2&lt;AA$2))),2))))</f>
      </c>
      <c r="AL53" s="33">
        <f>IF(AB53&lt;=0,0,MAX(0,MIN(AB53,ROUND($AZ53-SUMPRODUCT($V53:$AE53*($V53:$AE53&gt;0)*(($V$3:$AE$3&gt;AB$3)+($V$3:$AE$3=AB$3)*($V53:$AE53&lt;AB53)+($V$3:$AE$3=AB$3)*($V53:$AE53=AB53)*($V$2:$AE$2&lt;AB$2))),2))))</f>
      </c>
      <c r="AM53" s="33">
        <f>IF(AC53&lt;=0,0,MAX(0,MIN(AC53,ROUND($AZ53-SUMPRODUCT($V53:$AE53*($V53:$AE53&gt;0)*(($V$3:$AE$3&gt;AC$3)+($V$3:$AE$3=AC$3)*($V53:$AE53&lt;AC53)+($V$3:$AE$3=AC$3)*($V53:$AE53=AC53)*($V$2:$AE$2&lt;AC$2))),2))))</f>
      </c>
      <c r="AN53" s="33">
        <f>IF(AD53&lt;=0,0,MAX(0,MIN(AD53,ROUND($AZ53-SUMPRODUCT($V53:$AE53*($V53:$AE53&gt;0)*(($V$3:$AE$3&gt;AD$3)+($V$3:$AE$3=AD$3)*($V53:$AE53&lt;AD53)+($V$3:$AE$3=AD$3)*($V53:$AE53=AD53)*($V$2:$AE$2&lt;AD$2))),2))))</f>
      </c>
      <c r="AO53" s="33">
        <f>IF(AE53&lt;=0,0,MAX(0,MIN(AE53,ROUND($AZ53-SUMPRODUCT($V53:$AE53*($V53:$AE53&gt;0)*(($V$3:$AE$3&gt;AE$3)+($V$3:$AE$3=AE$3)*($V53:$AE53&lt;AE53)+($V$3:$AE$3=AE$3)*($V53:$AE53=AE53)*($V$2:$AE$2&lt;AE$2))),2))))</f>
      </c>
      <c r="AP53" s="33">
        <f>ROUND(V53-AF53,2)</f>
      </c>
      <c r="AQ53" s="33">
        <f>ROUND(W53-AG53,2)</f>
      </c>
      <c r="AR53" s="33">
        <f>ROUND(X53-AH53,2)</f>
      </c>
      <c r="AS53" s="33">
        <f>ROUND(Y53-AI53,2)</f>
      </c>
      <c r="AT53" s="33">
        <f>ROUND(Z53-AJ53,2)</f>
      </c>
      <c r="AU53" s="33">
        <f>ROUND(AA53-AK53,2)</f>
      </c>
      <c r="AV53" s="33">
        <f>ROUND(AB53-AL53,2)</f>
      </c>
      <c r="AW53" s="33">
        <f>ROUND(AC53-AM53,2)</f>
      </c>
      <c r="AX53" s="33">
        <f>ROUND(AD53-AN53,2)</f>
      </c>
      <c r="AY53" s="33">
        <f>ROUND(AE53-AO53,2)</f>
      </c>
      <c r="AZ53" s="33">
        <f>ROUND(MAX(0,'Your debts'!$D$22-SUM($L53:$U53)),2)</f>
      </c>
      <c r="BA53" s="33">
        <f>ROUND(SUM($B53:$K53)-SUM($AP52:$AY52),2)</f>
      </c>
      <c r="BB53" s="33">
        <f>SUM($AP53:$AY53)</f>
      </c>
      <c r="BC53" s="33">
        <f>ROUND(SUM($L53:$U53)+SUM($AF53:$AO53),2)</f>
      </c>
    </row>
    <row r="54" spans="1:55" x14ac:dyDescent="0.25">
      <c r="A54">
        <v>47</v>
      </c>
      <c r="B54" s="33">
        <f>IF(AP53&lt;=0,0,ROUND(AP53+ROUND(AP53*V$3/12,2),2))</f>
      </c>
      <c r="C54" s="33">
        <f>IF(AQ53&lt;=0,0,ROUND(AQ53+ROUND(AQ53*W$3/12,2),2))</f>
      </c>
      <c r="D54" s="33">
        <f>IF(AR53&lt;=0,0,ROUND(AR53+ROUND(AR53*X$3/12,2),2))</f>
      </c>
      <c r="E54" s="33">
        <f>IF(AS53&lt;=0,0,ROUND(AS53+ROUND(AS53*Y$3/12,2),2))</f>
      </c>
      <c r="F54" s="33">
        <f>IF(AT53&lt;=0,0,ROUND(AT53+ROUND(AT53*Z$3/12,2),2))</f>
      </c>
      <c r="G54" s="33">
        <f>IF(AU53&lt;=0,0,ROUND(AU53+ROUND(AU53*AA$3/12,2),2))</f>
      </c>
      <c r="H54" s="33">
        <f>IF(AV53&lt;=0,0,ROUND(AV53+ROUND(AV53*AB$3/12,2),2))</f>
      </c>
      <c r="I54" s="33">
        <f>IF(AW53&lt;=0,0,ROUND(AW53+ROUND(AW53*AC$3/12,2),2))</f>
      </c>
      <c r="J54" s="33">
        <f>IF(AX53&lt;=0,0,ROUND(AX53+ROUND(AX53*AD$3/12,2),2))</f>
      </c>
      <c r="K54" s="33">
        <f>IF(AY53&lt;=0,0,ROUND(AY53+ROUND(AY53*AE$3/12,2),2))</f>
      </c>
      <c r="L54" s="33">
        <f>ROUND(MIN(MAX(0,N('Your debts'!$E$6)),B54),2)</f>
      </c>
      <c r="M54" s="33">
        <f>ROUND(MIN(MAX(0,N('Your debts'!$E$7)),C54),2)</f>
      </c>
      <c r="N54" s="33">
        <f>ROUND(MIN(MAX(0,N('Your debts'!$E$8)),D54),2)</f>
      </c>
      <c r="O54" s="33">
        <f>ROUND(MIN(MAX(0,N('Your debts'!$E$9)),E54),2)</f>
      </c>
      <c r="P54" s="33">
        <f>ROUND(MIN(MAX(0,N('Your debts'!$E$10)),F54),2)</f>
      </c>
      <c r="Q54" s="33">
        <f>ROUND(MIN(MAX(0,N('Your debts'!$E$11)),G54),2)</f>
      </c>
      <c r="R54" s="33">
        <f>ROUND(MIN(MAX(0,N('Your debts'!$E$12)),H54),2)</f>
      </c>
      <c r="S54" s="33">
        <f>ROUND(MIN(MAX(0,N('Your debts'!$E$13)),I54),2)</f>
      </c>
      <c r="T54" s="33">
        <f>ROUND(MIN(MAX(0,N('Your debts'!$E$14)),J54),2)</f>
      </c>
      <c r="U54" s="33">
        <f>ROUND(MIN(MAX(0,N('Your debts'!$E$15)),K54),2)</f>
      </c>
      <c r="V54" s="33">
        <f>ROUND(B54-L54,2)</f>
      </c>
      <c r="W54" s="33">
        <f>ROUND(C54-M54,2)</f>
      </c>
      <c r="X54" s="33">
        <f>ROUND(D54-N54,2)</f>
      </c>
      <c r="Y54" s="33">
        <f>ROUND(E54-O54,2)</f>
      </c>
      <c r="Z54" s="33">
        <f>ROUND(F54-P54,2)</f>
      </c>
      <c r="AA54" s="33">
        <f>ROUND(G54-Q54,2)</f>
      </c>
      <c r="AB54" s="33">
        <f>ROUND(H54-R54,2)</f>
      </c>
      <c r="AC54" s="33">
        <f>ROUND(I54-S54,2)</f>
      </c>
      <c r="AD54" s="33">
        <f>ROUND(J54-T54,2)</f>
      </c>
      <c r="AE54" s="33">
        <f>ROUND(K54-U54,2)</f>
      </c>
      <c r="AF54" s="33">
        <f>IF(V54&lt;=0,0,MAX(0,MIN(V54,ROUND($AZ54-SUMPRODUCT($V54:$AE54*($V54:$AE54&gt;0)*(($V$3:$AE$3&gt;V$3)+($V$3:$AE$3=V$3)*($V54:$AE54&lt;V54)+($V$3:$AE$3=V$3)*($V54:$AE54=V54)*($V$2:$AE$2&lt;V$2))),2))))</f>
      </c>
      <c r="AG54" s="33">
        <f>IF(W54&lt;=0,0,MAX(0,MIN(W54,ROUND($AZ54-SUMPRODUCT($V54:$AE54*($V54:$AE54&gt;0)*(($V$3:$AE$3&gt;W$3)+($V$3:$AE$3=W$3)*($V54:$AE54&lt;W54)+($V$3:$AE$3=W$3)*($V54:$AE54=W54)*($V$2:$AE$2&lt;W$2))),2))))</f>
      </c>
      <c r="AH54" s="33">
        <f>IF(X54&lt;=0,0,MAX(0,MIN(X54,ROUND($AZ54-SUMPRODUCT($V54:$AE54*($V54:$AE54&gt;0)*(($V$3:$AE$3&gt;X$3)+($V$3:$AE$3=X$3)*($V54:$AE54&lt;X54)+($V$3:$AE$3=X$3)*($V54:$AE54=X54)*($V$2:$AE$2&lt;X$2))),2))))</f>
      </c>
      <c r="AI54" s="33">
        <f>IF(Y54&lt;=0,0,MAX(0,MIN(Y54,ROUND($AZ54-SUMPRODUCT($V54:$AE54*($V54:$AE54&gt;0)*(($V$3:$AE$3&gt;Y$3)+($V$3:$AE$3=Y$3)*($V54:$AE54&lt;Y54)+($V$3:$AE$3=Y$3)*($V54:$AE54=Y54)*($V$2:$AE$2&lt;Y$2))),2))))</f>
      </c>
      <c r="AJ54" s="33">
        <f>IF(Z54&lt;=0,0,MAX(0,MIN(Z54,ROUND($AZ54-SUMPRODUCT($V54:$AE54*($V54:$AE54&gt;0)*(($V$3:$AE$3&gt;Z$3)+($V$3:$AE$3=Z$3)*($V54:$AE54&lt;Z54)+($V$3:$AE$3=Z$3)*($V54:$AE54=Z54)*($V$2:$AE$2&lt;Z$2))),2))))</f>
      </c>
      <c r="AK54" s="33">
        <f>IF(AA54&lt;=0,0,MAX(0,MIN(AA54,ROUND($AZ54-SUMPRODUCT($V54:$AE54*($V54:$AE54&gt;0)*(($V$3:$AE$3&gt;AA$3)+($V$3:$AE$3=AA$3)*($V54:$AE54&lt;AA54)+($V$3:$AE$3=AA$3)*($V54:$AE54=AA54)*($V$2:$AE$2&lt;AA$2))),2))))</f>
      </c>
      <c r="AL54" s="33">
        <f>IF(AB54&lt;=0,0,MAX(0,MIN(AB54,ROUND($AZ54-SUMPRODUCT($V54:$AE54*($V54:$AE54&gt;0)*(($V$3:$AE$3&gt;AB$3)+($V$3:$AE$3=AB$3)*($V54:$AE54&lt;AB54)+($V$3:$AE$3=AB$3)*($V54:$AE54=AB54)*($V$2:$AE$2&lt;AB$2))),2))))</f>
      </c>
      <c r="AM54" s="33">
        <f>IF(AC54&lt;=0,0,MAX(0,MIN(AC54,ROUND($AZ54-SUMPRODUCT($V54:$AE54*($V54:$AE54&gt;0)*(($V$3:$AE$3&gt;AC$3)+($V$3:$AE$3=AC$3)*($V54:$AE54&lt;AC54)+($V$3:$AE$3=AC$3)*($V54:$AE54=AC54)*($V$2:$AE$2&lt;AC$2))),2))))</f>
      </c>
      <c r="AN54" s="33">
        <f>IF(AD54&lt;=0,0,MAX(0,MIN(AD54,ROUND($AZ54-SUMPRODUCT($V54:$AE54*($V54:$AE54&gt;0)*(($V$3:$AE$3&gt;AD$3)+($V$3:$AE$3=AD$3)*($V54:$AE54&lt;AD54)+($V$3:$AE$3=AD$3)*($V54:$AE54=AD54)*($V$2:$AE$2&lt;AD$2))),2))))</f>
      </c>
      <c r="AO54" s="33">
        <f>IF(AE54&lt;=0,0,MAX(0,MIN(AE54,ROUND($AZ54-SUMPRODUCT($V54:$AE54*($V54:$AE54&gt;0)*(($V$3:$AE$3&gt;AE$3)+($V$3:$AE$3=AE$3)*($V54:$AE54&lt;AE54)+($V$3:$AE$3=AE$3)*($V54:$AE54=AE54)*($V$2:$AE$2&lt;AE$2))),2))))</f>
      </c>
      <c r="AP54" s="33">
        <f>ROUND(V54-AF54,2)</f>
      </c>
      <c r="AQ54" s="33">
        <f>ROUND(W54-AG54,2)</f>
      </c>
      <c r="AR54" s="33">
        <f>ROUND(X54-AH54,2)</f>
      </c>
      <c r="AS54" s="33">
        <f>ROUND(Y54-AI54,2)</f>
      </c>
      <c r="AT54" s="33">
        <f>ROUND(Z54-AJ54,2)</f>
      </c>
      <c r="AU54" s="33">
        <f>ROUND(AA54-AK54,2)</f>
      </c>
      <c r="AV54" s="33">
        <f>ROUND(AB54-AL54,2)</f>
      </c>
      <c r="AW54" s="33">
        <f>ROUND(AC54-AM54,2)</f>
      </c>
      <c r="AX54" s="33">
        <f>ROUND(AD54-AN54,2)</f>
      </c>
      <c r="AY54" s="33">
        <f>ROUND(AE54-AO54,2)</f>
      </c>
      <c r="AZ54" s="33">
        <f>ROUND(MAX(0,'Your debts'!$D$22-SUM($L54:$U54)),2)</f>
      </c>
      <c r="BA54" s="33">
        <f>ROUND(SUM($B54:$K54)-SUM($AP53:$AY53),2)</f>
      </c>
      <c r="BB54" s="33">
        <f>SUM($AP54:$AY54)</f>
      </c>
      <c r="BC54" s="33">
        <f>ROUND(SUM($L54:$U54)+SUM($AF54:$AO54),2)</f>
      </c>
    </row>
    <row r="55" spans="1:55" x14ac:dyDescent="0.25">
      <c r="A55">
        <v>48</v>
      </c>
      <c r="B55" s="33">
        <f>IF(AP54&lt;=0,0,ROUND(AP54+ROUND(AP54*V$3/12,2),2))</f>
      </c>
      <c r="C55" s="33">
        <f>IF(AQ54&lt;=0,0,ROUND(AQ54+ROUND(AQ54*W$3/12,2),2))</f>
      </c>
      <c r="D55" s="33">
        <f>IF(AR54&lt;=0,0,ROUND(AR54+ROUND(AR54*X$3/12,2),2))</f>
      </c>
      <c r="E55" s="33">
        <f>IF(AS54&lt;=0,0,ROUND(AS54+ROUND(AS54*Y$3/12,2),2))</f>
      </c>
      <c r="F55" s="33">
        <f>IF(AT54&lt;=0,0,ROUND(AT54+ROUND(AT54*Z$3/12,2),2))</f>
      </c>
      <c r="G55" s="33">
        <f>IF(AU54&lt;=0,0,ROUND(AU54+ROUND(AU54*AA$3/12,2),2))</f>
      </c>
      <c r="H55" s="33">
        <f>IF(AV54&lt;=0,0,ROUND(AV54+ROUND(AV54*AB$3/12,2),2))</f>
      </c>
      <c r="I55" s="33">
        <f>IF(AW54&lt;=0,0,ROUND(AW54+ROUND(AW54*AC$3/12,2),2))</f>
      </c>
      <c r="J55" s="33">
        <f>IF(AX54&lt;=0,0,ROUND(AX54+ROUND(AX54*AD$3/12,2),2))</f>
      </c>
      <c r="K55" s="33">
        <f>IF(AY54&lt;=0,0,ROUND(AY54+ROUND(AY54*AE$3/12,2),2))</f>
      </c>
      <c r="L55" s="33">
        <f>ROUND(MIN(MAX(0,N('Your debts'!$E$6)),B55),2)</f>
      </c>
      <c r="M55" s="33">
        <f>ROUND(MIN(MAX(0,N('Your debts'!$E$7)),C55),2)</f>
      </c>
      <c r="N55" s="33">
        <f>ROUND(MIN(MAX(0,N('Your debts'!$E$8)),D55),2)</f>
      </c>
      <c r="O55" s="33">
        <f>ROUND(MIN(MAX(0,N('Your debts'!$E$9)),E55),2)</f>
      </c>
      <c r="P55" s="33">
        <f>ROUND(MIN(MAX(0,N('Your debts'!$E$10)),F55),2)</f>
      </c>
      <c r="Q55" s="33">
        <f>ROUND(MIN(MAX(0,N('Your debts'!$E$11)),G55),2)</f>
      </c>
      <c r="R55" s="33">
        <f>ROUND(MIN(MAX(0,N('Your debts'!$E$12)),H55),2)</f>
      </c>
      <c r="S55" s="33">
        <f>ROUND(MIN(MAX(0,N('Your debts'!$E$13)),I55),2)</f>
      </c>
      <c r="T55" s="33">
        <f>ROUND(MIN(MAX(0,N('Your debts'!$E$14)),J55),2)</f>
      </c>
      <c r="U55" s="33">
        <f>ROUND(MIN(MAX(0,N('Your debts'!$E$15)),K55),2)</f>
      </c>
      <c r="V55" s="33">
        <f>ROUND(B55-L55,2)</f>
      </c>
      <c r="W55" s="33">
        <f>ROUND(C55-M55,2)</f>
      </c>
      <c r="X55" s="33">
        <f>ROUND(D55-N55,2)</f>
      </c>
      <c r="Y55" s="33">
        <f>ROUND(E55-O55,2)</f>
      </c>
      <c r="Z55" s="33">
        <f>ROUND(F55-P55,2)</f>
      </c>
      <c r="AA55" s="33">
        <f>ROUND(G55-Q55,2)</f>
      </c>
      <c r="AB55" s="33">
        <f>ROUND(H55-R55,2)</f>
      </c>
      <c r="AC55" s="33">
        <f>ROUND(I55-S55,2)</f>
      </c>
      <c r="AD55" s="33">
        <f>ROUND(J55-T55,2)</f>
      </c>
      <c r="AE55" s="33">
        <f>ROUND(K55-U55,2)</f>
      </c>
      <c r="AF55" s="33">
        <f>IF(V55&lt;=0,0,MAX(0,MIN(V55,ROUND($AZ55-SUMPRODUCT($V55:$AE55*($V55:$AE55&gt;0)*(($V$3:$AE$3&gt;V$3)+($V$3:$AE$3=V$3)*($V55:$AE55&lt;V55)+($V$3:$AE$3=V$3)*($V55:$AE55=V55)*($V$2:$AE$2&lt;V$2))),2))))</f>
      </c>
      <c r="AG55" s="33">
        <f>IF(W55&lt;=0,0,MAX(0,MIN(W55,ROUND($AZ55-SUMPRODUCT($V55:$AE55*($V55:$AE55&gt;0)*(($V$3:$AE$3&gt;W$3)+($V$3:$AE$3=W$3)*($V55:$AE55&lt;W55)+($V$3:$AE$3=W$3)*($V55:$AE55=W55)*($V$2:$AE$2&lt;W$2))),2))))</f>
      </c>
      <c r="AH55" s="33">
        <f>IF(X55&lt;=0,0,MAX(0,MIN(X55,ROUND($AZ55-SUMPRODUCT($V55:$AE55*($V55:$AE55&gt;0)*(($V$3:$AE$3&gt;X$3)+($V$3:$AE$3=X$3)*($V55:$AE55&lt;X55)+($V$3:$AE$3=X$3)*($V55:$AE55=X55)*($V$2:$AE$2&lt;X$2))),2))))</f>
      </c>
      <c r="AI55" s="33">
        <f>IF(Y55&lt;=0,0,MAX(0,MIN(Y55,ROUND($AZ55-SUMPRODUCT($V55:$AE55*($V55:$AE55&gt;0)*(($V$3:$AE$3&gt;Y$3)+($V$3:$AE$3=Y$3)*($V55:$AE55&lt;Y55)+($V$3:$AE$3=Y$3)*($V55:$AE55=Y55)*($V$2:$AE$2&lt;Y$2))),2))))</f>
      </c>
      <c r="AJ55" s="33">
        <f>IF(Z55&lt;=0,0,MAX(0,MIN(Z55,ROUND($AZ55-SUMPRODUCT($V55:$AE55*($V55:$AE55&gt;0)*(($V$3:$AE$3&gt;Z$3)+($V$3:$AE$3=Z$3)*($V55:$AE55&lt;Z55)+($V$3:$AE$3=Z$3)*($V55:$AE55=Z55)*($V$2:$AE$2&lt;Z$2))),2))))</f>
      </c>
      <c r="AK55" s="33">
        <f>IF(AA55&lt;=0,0,MAX(0,MIN(AA55,ROUND($AZ55-SUMPRODUCT($V55:$AE55*($V55:$AE55&gt;0)*(($V$3:$AE$3&gt;AA$3)+($V$3:$AE$3=AA$3)*($V55:$AE55&lt;AA55)+($V$3:$AE$3=AA$3)*($V55:$AE55=AA55)*($V$2:$AE$2&lt;AA$2))),2))))</f>
      </c>
      <c r="AL55" s="33">
        <f>IF(AB55&lt;=0,0,MAX(0,MIN(AB55,ROUND($AZ55-SUMPRODUCT($V55:$AE55*($V55:$AE55&gt;0)*(($V$3:$AE$3&gt;AB$3)+($V$3:$AE$3=AB$3)*($V55:$AE55&lt;AB55)+($V$3:$AE$3=AB$3)*($V55:$AE55=AB55)*($V$2:$AE$2&lt;AB$2))),2))))</f>
      </c>
      <c r="AM55" s="33">
        <f>IF(AC55&lt;=0,0,MAX(0,MIN(AC55,ROUND($AZ55-SUMPRODUCT($V55:$AE55*($V55:$AE55&gt;0)*(($V$3:$AE$3&gt;AC$3)+($V$3:$AE$3=AC$3)*($V55:$AE55&lt;AC55)+($V$3:$AE$3=AC$3)*($V55:$AE55=AC55)*($V$2:$AE$2&lt;AC$2))),2))))</f>
      </c>
      <c r="AN55" s="33">
        <f>IF(AD55&lt;=0,0,MAX(0,MIN(AD55,ROUND($AZ55-SUMPRODUCT($V55:$AE55*($V55:$AE55&gt;0)*(($V$3:$AE$3&gt;AD$3)+($V$3:$AE$3=AD$3)*($V55:$AE55&lt;AD55)+($V$3:$AE$3=AD$3)*($V55:$AE55=AD55)*($V$2:$AE$2&lt;AD$2))),2))))</f>
      </c>
      <c r="AO55" s="33">
        <f>IF(AE55&lt;=0,0,MAX(0,MIN(AE55,ROUND($AZ55-SUMPRODUCT($V55:$AE55*($V55:$AE55&gt;0)*(($V$3:$AE$3&gt;AE$3)+($V$3:$AE$3=AE$3)*($V55:$AE55&lt;AE55)+($V$3:$AE$3=AE$3)*($V55:$AE55=AE55)*($V$2:$AE$2&lt;AE$2))),2))))</f>
      </c>
      <c r="AP55" s="33">
        <f>ROUND(V55-AF55,2)</f>
      </c>
      <c r="AQ55" s="33">
        <f>ROUND(W55-AG55,2)</f>
      </c>
      <c r="AR55" s="33">
        <f>ROUND(X55-AH55,2)</f>
      </c>
      <c r="AS55" s="33">
        <f>ROUND(Y55-AI55,2)</f>
      </c>
      <c r="AT55" s="33">
        <f>ROUND(Z55-AJ55,2)</f>
      </c>
      <c r="AU55" s="33">
        <f>ROUND(AA55-AK55,2)</f>
      </c>
      <c r="AV55" s="33">
        <f>ROUND(AB55-AL55,2)</f>
      </c>
      <c r="AW55" s="33">
        <f>ROUND(AC55-AM55,2)</f>
      </c>
      <c r="AX55" s="33">
        <f>ROUND(AD55-AN55,2)</f>
      </c>
      <c r="AY55" s="33">
        <f>ROUND(AE55-AO55,2)</f>
      </c>
      <c r="AZ55" s="33">
        <f>ROUND(MAX(0,'Your debts'!$D$22-SUM($L55:$U55)),2)</f>
      </c>
      <c r="BA55" s="33">
        <f>ROUND(SUM($B55:$K55)-SUM($AP54:$AY54),2)</f>
      </c>
      <c r="BB55" s="33">
        <f>SUM($AP55:$AY55)</f>
      </c>
      <c r="BC55" s="33">
        <f>ROUND(SUM($L55:$U55)+SUM($AF55:$AO55),2)</f>
      </c>
    </row>
    <row r="56" spans="1:55" x14ac:dyDescent="0.25">
      <c r="A56">
        <v>49</v>
      </c>
      <c r="B56" s="33">
        <f>IF(AP55&lt;=0,0,ROUND(AP55+ROUND(AP55*V$3/12,2),2))</f>
      </c>
      <c r="C56" s="33">
        <f>IF(AQ55&lt;=0,0,ROUND(AQ55+ROUND(AQ55*W$3/12,2),2))</f>
      </c>
      <c r="D56" s="33">
        <f>IF(AR55&lt;=0,0,ROUND(AR55+ROUND(AR55*X$3/12,2),2))</f>
      </c>
      <c r="E56" s="33">
        <f>IF(AS55&lt;=0,0,ROUND(AS55+ROUND(AS55*Y$3/12,2),2))</f>
      </c>
      <c r="F56" s="33">
        <f>IF(AT55&lt;=0,0,ROUND(AT55+ROUND(AT55*Z$3/12,2),2))</f>
      </c>
      <c r="G56" s="33">
        <f>IF(AU55&lt;=0,0,ROUND(AU55+ROUND(AU55*AA$3/12,2),2))</f>
      </c>
      <c r="H56" s="33">
        <f>IF(AV55&lt;=0,0,ROUND(AV55+ROUND(AV55*AB$3/12,2),2))</f>
      </c>
      <c r="I56" s="33">
        <f>IF(AW55&lt;=0,0,ROUND(AW55+ROUND(AW55*AC$3/12,2),2))</f>
      </c>
      <c r="J56" s="33">
        <f>IF(AX55&lt;=0,0,ROUND(AX55+ROUND(AX55*AD$3/12,2),2))</f>
      </c>
      <c r="K56" s="33">
        <f>IF(AY55&lt;=0,0,ROUND(AY55+ROUND(AY55*AE$3/12,2),2))</f>
      </c>
      <c r="L56" s="33">
        <f>ROUND(MIN(MAX(0,N('Your debts'!$E$6)),B56),2)</f>
      </c>
      <c r="M56" s="33">
        <f>ROUND(MIN(MAX(0,N('Your debts'!$E$7)),C56),2)</f>
      </c>
      <c r="N56" s="33">
        <f>ROUND(MIN(MAX(0,N('Your debts'!$E$8)),D56),2)</f>
      </c>
      <c r="O56" s="33">
        <f>ROUND(MIN(MAX(0,N('Your debts'!$E$9)),E56),2)</f>
      </c>
      <c r="P56" s="33">
        <f>ROUND(MIN(MAX(0,N('Your debts'!$E$10)),F56),2)</f>
      </c>
      <c r="Q56" s="33">
        <f>ROUND(MIN(MAX(0,N('Your debts'!$E$11)),G56),2)</f>
      </c>
      <c r="R56" s="33">
        <f>ROUND(MIN(MAX(0,N('Your debts'!$E$12)),H56),2)</f>
      </c>
      <c r="S56" s="33">
        <f>ROUND(MIN(MAX(0,N('Your debts'!$E$13)),I56),2)</f>
      </c>
      <c r="T56" s="33">
        <f>ROUND(MIN(MAX(0,N('Your debts'!$E$14)),J56),2)</f>
      </c>
      <c r="U56" s="33">
        <f>ROUND(MIN(MAX(0,N('Your debts'!$E$15)),K56),2)</f>
      </c>
      <c r="V56" s="33">
        <f>ROUND(B56-L56,2)</f>
      </c>
      <c r="W56" s="33">
        <f>ROUND(C56-M56,2)</f>
      </c>
      <c r="X56" s="33">
        <f>ROUND(D56-N56,2)</f>
      </c>
      <c r="Y56" s="33">
        <f>ROUND(E56-O56,2)</f>
      </c>
      <c r="Z56" s="33">
        <f>ROUND(F56-P56,2)</f>
      </c>
      <c r="AA56" s="33">
        <f>ROUND(G56-Q56,2)</f>
      </c>
      <c r="AB56" s="33">
        <f>ROUND(H56-R56,2)</f>
      </c>
      <c r="AC56" s="33">
        <f>ROUND(I56-S56,2)</f>
      </c>
      <c r="AD56" s="33">
        <f>ROUND(J56-T56,2)</f>
      </c>
      <c r="AE56" s="33">
        <f>ROUND(K56-U56,2)</f>
      </c>
      <c r="AF56" s="33">
        <f>IF(V56&lt;=0,0,MAX(0,MIN(V56,ROUND($AZ56-SUMPRODUCT($V56:$AE56*($V56:$AE56&gt;0)*(($V$3:$AE$3&gt;V$3)+($V$3:$AE$3=V$3)*($V56:$AE56&lt;V56)+($V$3:$AE$3=V$3)*($V56:$AE56=V56)*($V$2:$AE$2&lt;V$2))),2))))</f>
      </c>
      <c r="AG56" s="33">
        <f>IF(W56&lt;=0,0,MAX(0,MIN(W56,ROUND($AZ56-SUMPRODUCT($V56:$AE56*($V56:$AE56&gt;0)*(($V$3:$AE$3&gt;W$3)+($V$3:$AE$3=W$3)*($V56:$AE56&lt;W56)+($V$3:$AE$3=W$3)*($V56:$AE56=W56)*($V$2:$AE$2&lt;W$2))),2))))</f>
      </c>
      <c r="AH56" s="33">
        <f>IF(X56&lt;=0,0,MAX(0,MIN(X56,ROUND($AZ56-SUMPRODUCT($V56:$AE56*($V56:$AE56&gt;0)*(($V$3:$AE$3&gt;X$3)+($V$3:$AE$3=X$3)*($V56:$AE56&lt;X56)+($V$3:$AE$3=X$3)*($V56:$AE56=X56)*($V$2:$AE$2&lt;X$2))),2))))</f>
      </c>
      <c r="AI56" s="33">
        <f>IF(Y56&lt;=0,0,MAX(0,MIN(Y56,ROUND($AZ56-SUMPRODUCT($V56:$AE56*($V56:$AE56&gt;0)*(($V$3:$AE$3&gt;Y$3)+($V$3:$AE$3=Y$3)*($V56:$AE56&lt;Y56)+($V$3:$AE$3=Y$3)*($V56:$AE56=Y56)*($V$2:$AE$2&lt;Y$2))),2))))</f>
      </c>
      <c r="AJ56" s="33">
        <f>IF(Z56&lt;=0,0,MAX(0,MIN(Z56,ROUND($AZ56-SUMPRODUCT($V56:$AE56*($V56:$AE56&gt;0)*(($V$3:$AE$3&gt;Z$3)+($V$3:$AE$3=Z$3)*($V56:$AE56&lt;Z56)+($V$3:$AE$3=Z$3)*($V56:$AE56=Z56)*($V$2:$AE$2&lt;Z$2))),2))))</f>
      </c>
      <c r="AK56" s="33">
        <f>IF(AA56&lt;=0,0,MAX(0,MIN(AA56,ROUND($AZ56-SUMPRODUCT($V56:$AE56*($V56:$AE56&gt;0)*(($V$3:$AE$3&gt;AA$3)+($V$3:$AE$3=AA$3)*($V56:$AE56&lt;AA56)+($V$3:$AE$3=AA$3)*($V56:$AE56=AA56)*($V$2:$AE$2&lt;AA$2))),2))))</f>
      </c>
      <c r="AL56" s="33">
        <f>IF(AB56&lt;=0,0,MAX(0,MIN(AB56,ROUND($AZ56-SUMPRODUCT($V56:$AE56*($V56:$AE56&gt;0)*(($V$3:$AE$3&gt;AB$3)+($V$3:$AE$3=AB$3)*($V56:$AE56&lt;AB56)+($V$3:$AE$3=AB$3)*($V56:$AE56=AB56)*($V$2:$AE$2&lt;AB$2))),2))))</f>
      </c>
      <c r="AM56" s="33">
        <f>IF(AC56&lt;=0,0,MAX(0,MIN(AC56,ROUND($AZ56-SUMPRODUCT($V56:$AE56*($V56:$AE56&gt;0)*(($V$3:$AE$3&gt;AC$3)+($V$3:$AE$3=AC$3)*($V56:$AE56&lt;AC56)+($V$3:$AE$3=AC$3)*($V56:$AE56=AC56)*($V$2:$AE$2&lt;AC$2))),2))))</f>
      </c>
      <c r="AN56" s="33">
        <f>IF(AD56&lt;=0,0,MAX(0,MIN(AD56,ROUND($AZ56-SUMPRODUCT($V56:$AE56*($V56:$AE56&gt;0)*(($V$3:$AE$3&gt;AD$3)+($V$3:$AE$3=AD$3)*($V56:$AE56&lt;AD56)+($V$3:$AE$3=AD$3)*($V56:$AE56=AD56)*($V$2:$AE$2&lt;AD$2))),2))))</f>
      </c>
      <c r="AO56" s="33">
        <f>IF(AE56&lt;=0,0,MAX(0,MIN(AE56,ROUND($AZ56-SUMPRODUCT($V56:$AE56*($V56:$AE56&gt;0)*(($V$3:$AE$3&gt;AE$3)+($V$3:$AE$3=AE$3)*($V56:$AE56&lt;AE56)+($V$3:$AE$3=AE$3)*($V56:$AE56=AE56)*($V$2:$AE$2&lt;AE$2))),2))))</f>
      </c>
      <c r="AP56" s="33">
        <f>ROUND(V56-AF56,2)</f>
      </c>
      <c r="AQ56" s="33">
        <f>ROUND(W56-AG56,2)</f>
      </c>
      <c r="AR56" s="33">
        <f>ROUND(X56-AH56,2)</f>
      </c>
      <c r="AS56" s="33">
        <f>ROUND(Y56-AI56,2)</f>
      </c>
      <c r="AT56" s="33">
        <f>ROUND(Z56-AJ56,2)</f>
      </c>
      <c r="AU56" s="33">
        <f>ROUND(AA56-AK56,2)</f>
      </c>
      <c r="AV56" s="33">
        <f>ROUND(AB56-AL56,2)</f>
      </c>
      <c r="AW56" s="33">
        <f>ROUND(AC56-AM56,2)</f>
      </c>
      <c r="AX56" s="33">
        <f>ROUND(AD56-AN56,2)</f>
      </c>
      <c r="AY56" s="33">
        <f>ROUND(AE56-AO56,2)</f>
      </c>
      <c r="AZ56" s="33">
        <f>ROUND(MAX(0,'Your debts'!$D$22-SUM($L56:$U56)),2)</f>
      </c>
      <c r="BA56" s="33">
        <f>ROUND(SUM($B56:$K56)-SUM($AP55:$AY55),2)</f>
      </c>
      <c r="BB56" s="33">
        <f>SUM($AP56:$AY56)</f>
      </c>
      <c r="BC56" s="33">
        <f>ROUND(SUM($L56:$U56)+SUM($AF56:$AO56),2)</f>
      </c>
    </row>
    <row r="57" spans="1:55" x14ac:dyDescent="0.25">
      <c r="A57">
        <v>50</v>
      </c>
      <c r="B57" s="33">
        <f>IF(AP56&lt;=0,0,ROUND(AP56+ROUND(AP56*V$3/12,2),2))</f>
      </c>
      <c r="C57" s="33">
        <f>IF(AQ56&lt;=0,0,ROUND(AQ56+ROUND(AQ56*W$3/12,2),2))</f>
      </c>
      <c r="D57" s="33">
        <f>IF(AR56&lt;=0,0,ROUND(AR56+ROUND(AR56*X$3/12,2),2))</f>
      </c>
      <c r="E57" s="33">
        <f>IF(AS56&lt;=0,0,ROUND(AS56+ROUND(AS56*Y$3/12,2),2))</f>
      </c>
      <c r="F57" s="33">
        <f>IF(AT56&lt;=0,0,ROUND(AT56+ROUND(AT56*Z$3/12,2),2))</f>
      </c>
      <c r="G57" s="33">
        <f>IF(AU56&lt;=0,0,ROUND(AU56+ROUND(AU56*AA$3/12,2),2))</f>
      </c>
      <c r="H57" s="33">
        <f>IF(AV56&lt;=0,0,ROUND(AV56+ROUND(AV56*AB$3/12,2),2))</f>
      </c>
      <c r="I57" s="33">
        <f>IF(AW56&lt;=0,0,ROUND(AW56+ROUND(AW56*AC$3/12,2),2))</f>
      </c>
      <c r="J57" s="33">
        <f>IF(AX56&lt;=0,0,ROUND(AX56+ROUND(AX56*AD$3/12,2),2))</f>
      </c>
      <c r="K57" s="33">
        <f>IF(AY56&lt;=0,0,ROUND(AY56+ROUND(AY56*AE$3/12,2),2))</f>
      </c>
      <c r="L57" s="33">
        <f>ROUND(MIN(MAX(0,N('Your debts'!$E$6)),B57),2)</f>
      </c>
      <c r="M57" s="33">
        <f>ROUND(MIN(MAX(0,N('Your debts'!$E$7)),C57),2)</f>
      </c>
      <c r="N57" s="33">
        <f>ROUND(MIN(MAX(0,N('Your debts'!$E$8)),D57),2)</f>
      </c>
      <c r="O57" s="33">
        <f>ROUND(MIN(MAX(0,N('Your debts'!$E$9)),E57),2)</f>
      </c>
      <c r="P57" s="33">
        <f>ROUND(MIN(MAX(0,N('Your debts'!$E$10)),F57),2)</f>
      </c>
      <c r="Q57" s="33">
        <f>ROUND(MIN(MAX(0,N('Your debts'!$E$11)),G57),2)</f>
      </c>
      <c r="R57" s="33">
        <f>ROUND(MIN(MAX(0,N('Your debts'!$E$12)),H57),2)</f>
      </c>
      <c r="S57" s="33">
        <f>ROUND(MIN(MAX(0,N('Your debts'!$E$13)),I57),2)</f>
      </c>
      <c r="T57" s="33">
        <f>ROUND(MIN(MAX(0,N('Your debts'!$E$14)),J57),2)</f>
      </c>
      <c r="U57" s="33">
        <f>ROUND(MIN(MAX(0,N('Your debts'!$E$15)),K57),2)</f>
      </c>
      <c r="V57" s="33">
        <f>ROUND(B57-L57,2)</f>
      </c>
      <c r="W57" s="33">
        <f>ROUND(C57-M57,2)</f>
      </c>
      <c r="X57" s="33">
        <f>ROUND(D57-N57,2)</f>
      </c>
      <c r="Y57" s="33">
        <f>ROUND(E57-O57,2)</f>
      </c>
      <c r="Z57" s="33">
        <f>ROUND(F57-P57,2)</f>
      </c>
      <c r="AA57" s="33">
        <f>ROUND(G57-Q57,2)</f>
      </c>
      <c r="AB57" s="33">
        <f>ROUND(H57-R57,2)</f>
      </c>
      <c r="AC57" s="33">
        <f>ROUND(I57-S57,2)</f>
      </c>
      <c r="AD57" s="33">
        <f>ROUND(J57-T57,2)</f>
      </c>
      <c r="AE57" s="33">
        <f>ROUND(K57-U57,2)</f>
      </c>
      <c r="AF57" s="33">
        <f>IF(V57&lt;=0,0,MAX(0,MIN(V57,ROUND($AZ57-SUMPRODUCT($V57:$AE57*($V57:$AE57&gt;0)*(($V$3:$AE$3&gt;V$3)+($V$3:$AE$3=V$3)*($V57:$AE57&lt;V57)+($V$3:$AE$3=V$3)*($V57:$AE57=V57)*($V$2:$AE$2&lt;V$2))),2))))</f>
      </c>
      <c r="AG57" s="33">
        <f>IF(W57&lt;=0,0,MAX(0,MIN(W57,ROUND($AZ57-SUMPRODUCT($V57:$AE57*($V57:$AE57&gt;0)*(($V$3:$AE$3&gt;W$3)+($V$3:$AE$3=W$3)*($V57:$AE57&lt;W57)+($V$3:$AE$3=W$3)*($V57:$AE57=W57)*($V$2:$AE$2&lt;W$2))),2))))</f>
      </c>
      <c r="AH57" s="33">
        <f>IF(X57&lt;=0,0,MAX(0,MIN(X57,ROUND($AZ57-SUMPRODUCT($V57:$AE57*($V57:$AE57&gt;0)*(($V$3:$AE$3&gt;X$3)+($V$3:$AE$3=X$3)*($V57:$AE57&lt;X57)+($V$3:$AE$3=X$3)*($V57:$AE57=X57)*($V$2:$AE$2&lt;X$2))),2))))</f>
      </c>
      <c r="AI57" s="33">
        <f>IF(Y57&lt;=0,0,MAX(0,MIN(Y57,ROUND($AZ57-SUMPRODUCT($V57:$AE57*($V57:$AE57&gt;0)*(($V$3:$AE$3&gt;Y$3)+($V$3:$AE$3=Y$3)*($V57:$AE57&lt;Y57)+($V$3:$AE$3=Y$3)*($V57:$AE57=Y57)*($V$2:$AE$2&lt;Y$2))),2))))</f>
      </c>
      <c r="AJ57" s="33">
        <f>IF(Z57&lt;=0,0,MAX(0,MIN(Z57,ROUND($AZ57-SUMPRODUCT($V57:$AE57*($V57:$AE57&gt;0)*(($V$3:$AE$3&gt;Z$3)+($V$3:$AE$3=Z$3)*($V57:$AE57&lt;Z57)+($V$3:$AE$3=Z$3)*($V57:$AE57=Z57)*($V$2:$AE$2&lt;Z$2))),2))))</f>
      </c>
      <c r="AK57" s="33">
        <f>IF(AA57&lt;=0,0,MAX(0,MIN(AA57,ROUND($AZ57-SUMPRODUCT($V57:$AE57*($V57:$AE57&gt;0)*(($V$3:$AE$3&gt;AA$3)+($V$3:$AE$3=AA$3)*($V57:$AE57&lt;AA57)+($V$3:$AE$3=AA$3)*($V57:$AE57=AA57)*($V$2:$AE$2&lt;AA$2))),2))))</f>
      </c>
      <c r="AL57" s="33">
        <f>IF(AB57&lt;=0,0,MAX(0,MIN(AB57,ROUND($AZ57-SUMPRODUCT($V57:$AE57*($V57:$AE57&gt;0)*(($V$3:$AE$3&gt;AB$3)+($V$3:$AE$3=AB$3)*($V57:$AE57&lt;AB57)+($V$3:$AE$3=AB$3)*($V57:$AE57=AB57)*($V$2:$AE$2&lt;AB$2))),2))))</f>
      </c>
      <c r="AM57" s="33">
        <f>IF(AC57&lt;=0,0,MAX(0,MIN(AC57,ROUND($AZ57-SUMPRODUCT($V57:$AE57*($V57:$AE57&gt;0)*(($V$3:$AE$3&gt;AC$3)+($V$3:$AE$3=AC$3)*($V57:$AE57&lt;AC57)+($V$3:$AE$3=AC$3)*($V57:$AE57=AC57)*($V$2:$AE$2&lt;AC$2))),2))))</f>
      </c>
      <c r="AN57" s="33">
        <f>IF(AD57&lt;=0,0,MAX(0,MIN(AD57,ROUND($AZ57-SUMPRODUCT($V57:$AE57*($V57:$AE57&gt;0)*(($V$3:$AE$3&gt;AD$3)+($V$3:$AE$3=AD$3)*($V57:$AE57&lt;AD57)+($V$3:$AE$3=AD$3)*($V57:$AE57=AD57)*($V$2:$AE$2&lt;AD$2))),2))))</f>
      </c>
      <c r="AO57" s="33">
        <f>IF(AE57&lt;=0,0,MAX(0,MIN(AE57,ROUND($AZ57-SUMPRODUCT($V57:$AE57*($V57:$AE57&gt;0)*(($V$3:$AE$3&gt;AE$3)+($V$3:$AE$3=AE$3)*($V57:$AE57&lt;AE57)+($V$3:$AE$3=AE$3)*($V57:$AE57=AE57)*($V$2:$AE$2&lt;AE$2))),2))))</f>
      </c>
      <c r="AP57" s="33">
        <f>ROUND(V57-AF57,2)</f>
      </c>
      <c r="AQ57" s="33">
        <f>ROUND(W57-AG57,2)</f>
      </c>
      <c r="AR57" s="33">
        <f>ROUND(X57-AH57,2)</f>
      </c>
      <c r="AS57" s="33">
        <f>ROUND(Y57-AI57,2)</f>
      </c>
      <c r="AT57" s="33">
        <f>ROUND(Z57-AJ57,2)</f>
      </c>
      <c r="AU57" s="33">
        <f>ROUND(AA57-AK57,2)</f>
      </c>
      <c r="AV57" s="33">
        <f>ROUND(AB57-AL57,2)</f>
      </c>
      <c r="AW57" s="33">
        <f>ROUND(AC57-AM57,2)</f>
      </c>
      <c r="AX57" s="33">
        <f>ROUND(AD57-AN57,2)</f>
      </c>
      <c r="AY57" s="33">
        <f>ROUND(AE57-AO57,2)</f>
      </c>
      <c r="AZ57" s="33">
        <f>ROUND(MAX(0,'Your debts'!$D$22-SUM($L57:$U57)),2)</f>
      </c>
      <c r="BA57" s="33">
        <f>ROUND(SUM($B57:$K57)-SUM($AP56:$AY56),2)</f>
      </c>
      <c r="BB57" s="33">
        <f>SUM($AP57:$AY57)</f>
      </c>
      <c r="BC57" s="33">
        <f>ROUND(SUM($L57:$U57)+SUM($AF57:$AO57),2)</f>
      </c>
    </row>
    <row r="58" spans="1:55" x14ac:dyDescent="0.25">
      <c r="A58">
        <v>51</v>
      </c>
      <c r="B58" s="33">
        <f>IF(AP57&lt;=0,0,ROUND(AP57+ROUND(AP57*V$3/12,2),2))</f>
      </c>
      <c r="C58" s="33">
        <f>IF(AQ57&lt;=0,0,ROUND(AQ57+ROUND(AQ57*W$3/12,2),2))</f>
      </c>
      <c r="D58" s="33">
        <f>IF(AR57&lt;=0,0,ROUND(AR57+ROUND(AR57*X$3/12,2),2))</f>
      </c>
      <c r="E58" s="33">
        <f>IF(AS57&lt;=0,0,ROUND(AS57+ROUND(AS57*Y$3/12,2),2))</f>
      </c>
      <c r="F58" s="33">
        <f>IF(AT57&lt;=0,0,ROUND(AT57+ROUND(AT57*Z$3/12,2),2))</f>
      </c>
      <c r="G58" s="33">
        <f>IF(AU57&lt;=0,0,ROUND(AU57+ROUND(AU57*AA$3/12,2),2))</f>
      </c>
      <c r="H58" s="33">
        <f>IF(AV57&lt;=0,0,ROUND(AV57+ROUND(AV57*AB$3/12,2),2))</f>
      </c>
      <c r="I58" s="33">
        <f>IF(AW57&lt;=0,0,ROUND(AW57+ROUND(AW57*AC$3/12,2),2))</f>
      </c>
      <c r="J58" s="33">
        <f>IF(AX57&lt;=0,0,ROUND(AX57+ROUND(AX57*AD$3/12,2),2))</f>
      </c>
      <c r="K58" s="33">
        <f>IF(AY57&lt;=0,0,ROUND(AY57+ROUND(AY57*AE$3/12,2),2))</f>
      </c>
      <c r="L58" s="33">
        <f>ROUND(MIN(MAX(0,N('Your debts'!$E$6)),B58),2)</f>
      </c>
      <c r="M58" s="33">
        <f>ROUND(MIN(MAX(0,N('Your debts'!$E$7)),C58),2)</f>
      </c>
      <c r="N58" s="33">
        <f>ROUND(MIN(MAX(0,N('Your debts'!$E$8)),D58),2)</f>
      </c>
      <c r="O58" s="33">
        <f>ROUND(MIN(MAX(0,N('Your debts'!$E$9)),E58),2)</f>
      </c>
      <c r="P58" s="33">
        <f>ROUND(MIN(MAX(0,N('Your debts'!$E$10)),F58),2)</f>
      </c>
      <c r="Q58" s="33">
        <f>ROUND(MIN(MAX(0,N('Your debts'!$E$11)),G58),2)</f>
      </c>
      <c r="R58" s="33">
        <f>ROUND(MIN(MAX(0,N('Your debts'!$E$12)),H58),2)</f>
      </c>
      <c r="S58" s="33">
        <f>ROUND(MIN(MAX(0,N('Your debts'!$E$13)),I58),2)</f>
      </c>
      <c r="T58" s="33">
        <f>ROUND(MIN(MAX(0,N('Your debts'!$E$14)),J58),2)</f>
      </c>
      <c r="U58" s="33">
        <f>ROUND(MIN(MAX(0,N('Your debts'!$E$15)),K58),2)</f>
      </c>
      <c r="V58" s="33">
        <f>ROUND(B58-L58,2)</f>
      </c>
      <c r="W58" s="33">
        <f>ROUND(C58-M58,2)</f>
      </c>
      <c r="X58" s="33">
        <f>ROUND(D58-N58,2)</f>
      </c>
      <c r="Y58" s="33">
        <f>ROUND(E58-O58,2)</f>
      </c>
      <c r="Z58" s="33">
        <f>ROUND(F58-P58,2)</f>
      </c>
      <c r="AA58" s="33">
        <f>ROUND(G58-Q58,2)</f>
      </c>
      <c r="AB58" s="33">
        <f>ROUND(H58-R58,2)</f>
      </c>
      <c r="AC58" s="33">
        <f>ROUND(I58-S58,2)</f>
      </c>
      <c r="AD58" s="33">
        <f>ROUND(J58-T58,2)</f>
      </c>
      <c r="AE58" s="33">
        <f>ROUND(K58-U58,2)</f>
      </c>
      <c r="AF58" s="33">
        <f>IF(V58&lt;=0,0,MAX(0,MIN(V58,ROUND($AZ58-SUMPRODUCT($V58:$AE58*($V58:$AE58&gt;0)*(($V$3:$AE$3&gt;V$3)+($V$3:$AE$3=V$3)*($V58:$AE58&lt;V58)+($V$3:$AE$3=V$3)*($V58:$AE58=V58)*($V$2:$AE$2&lt;V$2))),2))))</f>
      </c>
      <c r="AG58" s="33">
        <f>IF(W58&lt;=0,0,MAX(0,MIN(W58,ROUND($AZ58-SUMPRODUCT($V58:$AE58*($V58:$AE58&gt;0)*(($V$3:$AE$3&gt;W$3)+($V$3:$AE$3=W$3)*($V58:$AE58&lt;W58)+($V$3:$AE$3=W$3)*($V58:$AE58=W58)*($V$2:$AE$2&lt;W$2))),2))))</f>
      </c>
      <c r="AH58" s="33">
        <f>IF(X58&lt;=0,0,MAX(0,MIN(X58,ROUND($AZ58-SUMPRODUCT($V58:$AE58*($V58:$AE58&gt;0)*(($V$3:$AE$3&gt;X$3)+($V$3:$AE$3=X$3)*($V58:$AE58&lt;X58)+($V$3:$AE$3=X$3)*($V58:$AE58=X58)*($V$2:$AE$2&lt;X$2))),2))))</f>
      </c>
      <c r="AI58" s="33">
        <f>IF(Y58&lt;=0,0,MAX(0,MIN(Y58,ROUND($AZ58-SUMPRODUCT($V58:$AE58*($V58:$AE58&gt;0)*(($V$3:$AE$3&gt;Y$3)+($V$3:$AE$3=Y$3)*($V58:$AE58&lt;Y58)+($V$3:$AE$3=Y$3)*($V58:$AE58=Y58)*($V$2:$AE$2&lt;Y$2))),2))))</f>
      </c>
      <c r="AJ58" s="33">
        <f>IF(Z58&lt;=0,0,MAX(0,MIN(Z58,ROUND($AZ58-SUMPRODUCT($V58:$AE58*($V58:$AE58&gt;0)*(($V$3:$AE$3&gt;Z$3)+($V$3:$AE$3=Z$3)*($V58:$AE58&lt;Z58)+($V$3:$AE$3=Z$3)*($V58:$AE58=Z58)*($V$2:$AE$2&lt;Z$2))),2))))</f>
      </c>
      <c r="AK58" s="33">
        <f>IF(AA58&lt;=0,0,MAX(0,MIN(AA58,ROUND($AZ58-SUMPRODUCT($V58:$AE58*($V58:$AE58&gt;0)*(($V$3:$AE$3&gt;AA$3)+($V$3:$AE$3=AA$3)*($V58:$AE58&lt;AA58)+($V$3:$AE$3=AA$3)*($V58:$AE58=AA58)*($V$2:$AE$2&lt;AA$2))),2))))</f>
      </c>
      <c r="AL58" s="33">
        <f>IF(AB58&lt;=0,0,MAX(0,MIN(AB58,ROUND($AZ58-SUMPRODUCT($V58:$AE58*($V58:$AE58&gt;0)*(($V$3:$AE$3&gt;AB$3)+($V$3:$AE$3=AB$3)*($V58:$AE58&lt;AB58)+($V$3:$AE$3=AB$3)*($V58:$AE58=AB58)*($V$2:$AE$2&lt;AB$2))),2))))</f>
      </c>
      <c r="AM58" s="33">
        <f>IF(AC58&lt;=0,0,MAX(0,MIN(AC58,ROUND($AZ58-SUMPRODUCT($V58:$AE58*($V58:$AE58&gt;0)*(($V$3:$AE$3&gt;AC$3)+($V$3:$AE$3=AC$3)*($V58:$AE58&lt;AC58)+($V$3:$AE$3=AC$3)*($V58:$AE58=AC58)*($V$2:$AE$2&lt;AC$2))),2))))</f>
      </c>
      <c r="AN58" s="33">
        <f>IF(AD58&lt;=0,0,MAX(0,MIN(AD58,ROUND($AZ58-SUMPRODUCT($V58:$AE58*($V58:$AE58&gt;0)*(($V$3:$AE$3&gt;AD$3)+($V$3:$AE$3=AD$3)*($V58:$AE58&lt;AD58)+($V$3:$AE$3=AD$3)*($V58:$AE58=AD58)*($V$2:$AE$2&lt;AD$2))),2))))</f>
      </c>
      <c r="AO58" s="33">
        <f>IF(AE58&lt;=0,0,MAX(0,MIN(AE58,ROUND($AZ58-SUMPRODUCT($V58:$AE58*($V58:$AE58&gt;0)*(($V$3:$AE$3&gt;AE$3)+($V$3:$AE$3=AE$3)*($V58:$AE58&lt;AE58)+($V$3:$AE$3=AE$3)*($V58:$AE58=AE58)*($V$2:$AE$2&lt;AE$2))),2))))</f>
      </c>
      <c r="AP58" s="33">
        <f>ROUND(V58-AF58,2)</f>
      </c>
      <c r="AQ58" s="33">
        <f>ROUND(W58-AG58,2)</f>
      </c>
      <c r="AR58" s="33">
        <f>ROUND(X58-AH58,2)</f>
      </c>
      <c r="AS58" s="33">
        <f>ROUND(Y58-AI58,2)</f>
      </c>
      <c r="AT58" s="33">
        <f>ROUND(Z58-AJ58,2)</f>
      </c>
      <c r="AU58" s="33">
        <f>ROUND(AA58-AK58,2)</f>
      </c>
      <c r="AV58" s="33">
        <f>ROUND(AB58-AL58,2)</f>
      </c>
      <c r="AW58" s="33">
        <f>ROUND(AC58-AM58,2)</f>
      </c>
      <c r="AX58" s="33">
        <f>ROUND(AD58-AN58,2)</f>
      </c>
      <c r="AY58" s="33">
        <f>ROUND(AE58-AO58,2)</f>
      </c>
      <c r="AZ58" s="33">
        <f>ROUND(MAX(0,'Your debts'!$D$22-SUM($L58:$U58)),2)</f>
      </c>
      <c r="BA58" s="33">
        <f>ROUND(SUM($B58:$K58)-SUM($AP57:$AY57),2)</f>
      </c>
      <c r="BB58" s="33">
        <f>SUM($AP58:$AY58)</f>
      </c>
      <c r="BC58" s="33">
        <f>ROUND(SUM($L58:$U58)+SUM($AF58:$AO58),2)</f>
      </c>
    </row>
    <row r="59" spans="1:55" x14ac:dyDescent="0.25">
      <c r="A59">
        <v>52</v>
      </c>
      <c r="B59" s="33">
        <f>IF(AP58&lt;=0,0,ROUND(AP58+ROUND(AP58*V$3/12,2),2))</f>
      </c>
      <c r="C59" s="33">
        <f>IF(AQ58&lt;=0,0,ROUND(AQ58+ROUND(AQ58*W$3/12,2),2))</f>
      </c>
      <c r="D59" s="33">
        <f>IF(AR58&lt;=0,0,ROUND(AR58+ROUND(AR58*X$3/12,2),2))</f>
      </c>
      <c r="E59" s="33">
        <f>IF(AS58&lt;=0,0,ROUND(AS58+ROUND(AS58*Y$3/12,2),2))</f>
      </c>
      <c r="F59" s="33">
        <f>IF(AT58&lt;=0,0,ROUND(AT58+ROUND(AT58*Z$3/12,2),2))</f>
      </c>
      <c r="G59" s="33">
        <f>IF(AU58&lt;=0,0,ROUND(AU58+ROUND(AU58*AA$3/12,2),2))</f>
      </c>
      <c r="H59" s="33">
        <f>IF(AV58&lt;=0,0,ROUND(AV58+ROUND(AV58*AB$3/12,2),2))</f>
      </c>
      <c r="I59" s="33">
        <f>IF(AW58&lt;=0,0,ROUND(AW58+ROUND(AW58*AC$3/12,2),2))</f>
      </c>
      <c r="J59" s="33">
        <f>IF(AX58&lt;=0,0,ROUND(AX58+ROUND(AX58*AD$3/12,2),2))</f>
      </c>
      <c r="K59" s="33">
        <f>IF(AY58&lt;=0,0,ROUND(AY58+ROUND(AY58*AE$3/12,2),2))</f>
      </c>
      <c r="L59" s="33">
        <f>ROUND(MIN(MAX(0,N('Your debts'!$E$6)),B59),2)</f>
      </c>
      <c r="M59" s="33">
        <f>ROUND(MIN(MAX(0,N('Your debts'!$E$7)),C59),2)</f>
      </c>
      <c r="N59" s="33">
        <f>ROUND(MIN(MAX(0,N('Your debts'!$E$8)),D59),2)</f>
      </c>
      <c r="O59" s="33">
        <f>ROUND(MIN(MAX(0,N('Your debts'!$E$9)),E59),2)</f>
      </c>
      <c r="P59" s="33">
        <f>ROUND(MIN(MAX(0,N('Your debts'!$E$10)),F59),2)</f>
      </c>
      <c r="Q59" s="33">
        <f>ROUND(MIN(MAX(0,N('Your debts'!$E$11)),G59),2)</f>
      </c>
      <c r="R59" s="33">
        <f>ROUND(MIN(MAX(0,N('Your debts'!$E$12)),H59),2)</f>
      </c>
      <c r="S59" s="33">
        <f>ROUND(MIN(MAX(0,N('Your debts'!$E$13)),I59),2)</f>
      </c>
      <c r="T59" s="33">
        <f>ROUND(MIN(MAX(0,N('Your debts'!$E$14)),J59),2)</f>
      </c>
      <c r="U59" s="33">
        <f>ROUND(MIN(MAX(0,N('Your debts'!$E$15)),K59),2)</f>
      </c>
      <c r="V59" s="33">
        <f>ROUND(B59-L59,2)</f>
      </c>
      <c r="W59" s="33">
        <f>ROUND(C59-M59,2)</f>
      </c>
      <c r="X59" s="33">
        <f>ROUND(D59-N59,2)</f>
      </c>
      <c r="Y59" s="33">
        <f>ROUND(E59-O59,2)</f>
      </c>
      <c r="Z59" s="33">
        <f>ROUND(F59-P59,2)</f>
      </c>
      <c r="AA59" s="33">
        <f>ROUND(G59-Q59,2)</f>
      </c>
      <c r="AB59" s="33">
        <f>ROUND(H59-R59,2)</f>
      </c>
      <c r="AC59" s="33">
        <f>ROUND(I59-S59,2)</f>
      </c>
      <c r="AD59" s="33">
        <f>ROUND(J59-T59,2)</f>
      </c>
      <c r="AE59" s="33">
        <f>ROUND(K59-U59,2)</f>
      </c>
      <c r="AF59" s="33">
        <f>IF(V59&lt;=0,0,MAX(0,MIN(V59,ROUND($AZ59-SUMPRODUCT($V59:$AE59*($V59:$AE59&gt;0)*(($V$3:$AE$3&gt;V$3)+($V$3:$AE$3=V$3)*($V59:$AE59&lt;V59)+($V$3:$AE$3=V$3)*($V59:$AE59=V59)*($V$2:$AE$2&lt;V$2))),2))))</f>
      </c>
      <c r="AG59" s="33">
        <f>IF(W59&lt;=0,0,MAX(0,MIN(W59,ROUND($AZ59-SUMPRODUCT($V59:$AE59*($V59:$AE59&gt;0)*(($V$3:$AE$3&gt;W$3)+($V$3:$AE$3=W$3)*($V59:$AE59&lt;W59)+($V$3:$AE$3=W$3)*($V59:$AE59=W59)*($V$2:$AE$2&lt;W$2))),2))))</f>
      </c>
      <c r="AH59" s="33">
        <f>IF(X59&lt;=0,0,MAX(0,MIN(X59,ROUND($AZ59-SUMPRODUCT($V59:$AE59*($V59:$AE59&gt;0)*(($V$3:$AE$3&gt;X$3)+($V$3:$AE$3=X$3)*($V59:$AE59&lt;X59)+($V$3:$AE$3=X$3)*($V59:$AE59=X59)*($V$2:$AE$2&lt;X$2))),2))))</f>
      </c>
      <c r="AI59" s="33">
        <f>IF(Y59&lt;=0,0,MAX(0,MIN(Y59,ROUND($AZ59-SUMPRODUCT($V59:$AE59*($V59:$AE59&gt;0)*(($V$3:$AE$3&gt;Y$3)+($V$3:$AE$3=Y$3)*($V59:$AE59&lt;Y59)+($V$3:$AE$3=Y$3)*($V59:$AE59=Y59)*($V$2:$AE$2&lt;Y$2))),2))))</f>
      </c>
      <c r="AJ59" s="33">
        <f>IF(Z59&lt;=0,0,MAX(0,MIN(Z59,ROUND($AZ59-SUMPRODUCT($V59:$AE59*($V59:$AE59&gt;0)*(($V$3:$AE$3&gt;Z$3)+($V$3:$AE$3=Z$3)*($V59:$AE59&lt;Z59)+($V$3:$AE$3=Z$3)*($V59:$AE59=Z59)*($V$2:$AE$2&lt;Z$2))),2))))</f>
      </c>
      <c r="AK59" s="33">
        <f>IF(AA59&lt;=0,0,MAX(0,MIN(AA59,ROUND($AZ59-SUMPRODUCT($V59:$AE59*($V59:$AE59&gt;0)*(($V$3:$AE$3&gt;AA$3)+($V$3:$AE$3=AA$3)*($V59:$AE59&lt;AA59)+($V$3:$AE$3=AA$3)*($V59:$AE59=AA59)*($V$2:$AE$2&lt;AA$2))),2))))</f>
      </c>
      <c r="AL59" s="33">
        <f>IF(AB59&lt;=0,0,MAX(0,MIN(AB59,ROUND($AZ59-SUMPRODUCT($V59:$AE59*($V59:$AE59&gt;0)*(($V$3:$AE$3&gt;AB$3)+($V$3:$AE$3=AB$3)*($V59:$AE59&lt;AB59)+($V$3:$AE$3=AB$3)*($V59:$AE59=AB59)*($V$2:$AE$2&lt;AB$2))),2))))</f>
      </c>
      <c r="AM59" s="33">
        <f>IF(AC59&lt;=0,0,MAX(0,MIN(AC59,ROUND($AZ59-SUMPRODUCT($V59:$AE59*($V59:$AE59&gt;0)*(($V$3:$AE$3&gt;AC$3)+($V$3:$AE$3=AC$3)*($V59:$AE59&lt;AC59)+($V$3:$AE$3=AC$3)*($V59:$AE59=AC59)*($V$2:$AE$2&lt;AC$2))),2))))</f>
      </c>
      <c r="AN59" s="33">
        <f>IF(AD59&lt;=0,0,MAX(0,MIN(AD59,ROUND($AZ59-SUMPRODUCT($V59:$AE59*($V59:$AE59&gt;0)*(($V$3:$AE$3&gt;AD$3)+($V$3:$AE$3=AD$3)*($V59:$AE59&lt;AD59)+($V$3:$AE$3=AD$3)*($V59:$AE59=AD59)*($V$2:$AE$2&lt;AD$2))),2))))</f>
      </c>
      <c r="AO59" s="33">
        <f>IF(AE59&lt;=0,0,MAX(0,MIN(AE59,ROUND($AZ59-SUMPRODUCT($V59:$AE59*($V59:$AE59&gt;0)*(($V$3:$AE$3&gt;AE$3)+($V$3:$AE$3=AE$3)*($V59:$AE59&lt;AE59)+($V$3:$AE$3=AE$3)*($V59:$AE59=AE59)*($V$2:$AE$2&lt;AE$2))),2))))</f>
      </c>
      <c r="AP59" s="33">
        <f>ROUND(V59-AF59,2)</f>
      </c>
      <c r="AQ59" s="33">
        <f>ROUND(W59-AG59,2)</f>
      </c>
      <c r="AR59" s="33">
        <f>ROUND(X59-AH59,2)</f>
      </c>
      <c r="AS59" s="33">
        <f>ROUND(Y59-AI59,2)</f>
      </c>
      <c r="AT59" s="33">
        <f>ROUND(Z59-AJ59,2)</f>
      </c>
      <c r="AU59" s="33">
        <f>ROUND(AA59-AK59,2)</f>
      </c>
      <c r="AV59" s="33">
        <f>ROUND(AB59-AL59,2)</f>
      </c>
      <c r="AW59" s="33">
        <f>ROUND(AC59-AM59,2)</f>
      </c>
      <c r="AX59" s="33">
        <f>ROUND(AD59-AN59,2)</f>
      </c>
      <c r="AY59" s="33">
        <f>ROUND(AE59-AO59,2)</f>
      </c>
      <c r="AZ59" s="33">
        <f>ROUND(MAX(0,'Your debts'!$D$22-SUM($L59:$U59)),2)</f>
      </c>
      <c r="BA59" s="33">
        <f>ROUND(SUM($B59:$K59)-SUM($AP58:$AY58),2)</f>
      </c>
      <c r="BB59" s="33">
        <f>SUM($AP59:$AY59)</f>
      </c>
      <c r="BC59" s="33">
        <f>ROUND(SUM($L59:$U59)+SUM($AF59:$AO59),2)</f>
      </c>
    </row>
    <row r="60" spans="1:55" x14ac:dyDescent="0.25">
      <c r="A60">
        <v>53</v>
      </c>
      <c r="B60" s="33">
        <f>IF(AP59&lt;=0,0,ROUND(AP59+ROUND(AP59*V$3/12,2),2))</f>
      </c>
      <c r="C60" s="33">
        <f>IF(AQ59&lt;=0,0,ROUND(AQ59+ROUND(AQ59*W$3/12,2),2))</f>
      </c>
      <c r="D60" s="33">
        <f>IF(AR59&lt;=0,0,ROUND(AR59+ROUND(AR59*X$3/12,2),2))</f>
      </c>
      <c r="E60" s="33">
        <f>IF(AS59&lt;=0,0,ROUND(AS59+ROUND(AS59*Y$3/12,2),2))</f>
      </c>
      <c r="F60" s="33">
        <f>IF(AT59&lt;=0,0,ROUND(AT59+ROUND(AT59*Z$3/12,2),2))</f>
      </c>
      <c r="G60" s="33">
        <f>IF(AU59&lt;=0,0,ROUND(AU59+ROUND(AU59*AA$3/12,2),2))</f>
      </c>
      <c r="H60" s="33">
        <f>IF(AV59&lt;=0,0,ROUND(AV59+ROUND(AV59*AB$3/12,2),2))</f>
      </c>
      <c r="I60" s="33">
        <f>IF(AW59&lt;=0,0,ROUND(AW59+ROUND(AW59*AC$3/12,2),2))</f>
      </c>
      <c r="J60" s="33">
        <f>IF(AX59&lt;=0,0,ROUND(AX59+ROUND(AX59*AD$3/12,2),2))</f>
      </c>
      <c r="K60" s="33">
        <f>IF(AY59&lt;=0,0,ROUND(AY59+ROUND(AY59*AE$3/12,2),2))</f>
      </c>
      <c r="L60" s="33">
        <f>ROUND(MIN(MAX(0,N('Your debts'!$E$6)),B60),2)</f>
      </c>
      <c r="M60" s="33">
        <f>ROUND(MIN(MAX(0,N('Your debts'!$E$7)),C60),2)</f>
      </c>
      <c r="N60" s="33">
        <f>ROUND(MIN(MAX(0,N('Your debts'!$E$8)),D60),2)</f>
      </c>
      <c r="O60" s="33">
        <f>ROUND(MIN(MAX(0,N('Your debts'!$E$9)),E60),2)</f>
      </c>
      <c r="P60" s="33">
        <f>ROUND(MIN(MAX(0,N('Your debts'!$E$10)),F60),2)</f>
      </c>
      <c r="Q60" s="33">
        <f>ROUND(MIN(MAX(0,N('Your debts'!$E$11)),G60),2)</f>
      </c>
      <c r="R60" s="33">
        <f>ROUND(MIN(MAX(0,N('Your debts'!$E$12)),H60),2)</f>
      </c>
      <c r="S60" s="33">
        <f>ROUND(MIN(MAX(0,N('Your debts'!$E$13)),I60),2)</f>
      </c>
      <c r="T60" s="33">
        <f>ROUND(MIN(MAX(0,N('Your debts'!$E$14)),J60),2)</f>
      </c>
      <c r="U60" s="33">
        <f>ROUND(MIN(MAX(0,N('Your debts'!$E$15)),K60),2)</f>
      </c>
      <c r="V60" s="33">
        <f>ROUND(B60-L60,2)</f>
      </c>
      <c r="W60" s="33">
        <f>ROUND(C60-M60,2)</f>
      </c>
      <c r="X60" s="33">
        <f>ROUND(D60-N60,2)</f>
      </c>
      <c r="Y60" s="33">
        <f>ROUND(E60-O60,2)</f>
      </c>
      <c r="Z60" s="33">
        <f>ROUND(F60-P60,2)</f>
      </c>
      <c r="AA60" s="33">
        <f>ROUND(G60-Q60,2)</f>
      </c>
      <c r="AB60" s="33">
        <f>ROUND(H60-R60,2)</f>
      </c>
      <c r="AC60" s="33">
        <f>ROUND(I60-S60,2)</f>
      </c>
      <c r="AD60" s="33">
        <f>ROUND(J60-T60,2)</f>
      </c>
      <c r="AE60" s="33">
        <f>ROUND(K60-U60,2)</f>
      </c>
      <c r="AF60" s="33">
        <f>IF(V60&lt;=0,0,MAX(0,MIN(V60,ROUND($AZ60-SUMPRODUCT($V60:$AE60*($V60:$AE60&gt;0)*(($V$3:$AE$3&gt;V$3)+($V$3:$AE$3=V$3)*($V60:$AE60&lt;V60)+($V$3:$AE$3=V$3)*($V60:$AE60=V60)*($V$2:$AE$2&lt;V$2))),2))))</f>
      </c>
      <c r="AG60" s="33">
        <f>IF(W60&lt;=0,0,MAX(0,MIN(W60,ROUND($AZ60-SUMPRODUCT($V60:$AE60*($V60:$AE60&gt;0)*(($V$3:$AE$3&gt;W$3)+($V$3:$AE$3=W$3)*($V60:$AE60&lt;W60)+($V$3:$AE$3=W$3)*($V60:$AE60=W60)*($V$2:$AE$2&lt;W$2))),2))))</f>
      </c>
      <c r="AH60" s="33">
        <f>IF(X60&lt;=0,0,MAX(0,MIN(X60,ROUND($AZ60-SUMPRODUCT($V60:$AE60*($V60:$AE60&gt;0)*(($V$3:$AE$3&gt;X$3)+($V$3:$AE$3=X$3)*($V60:$AE60&lt;X60)+($V$3:$AE$3=X$3)*($V60:$AE60=X60)*($V$2:$AE$2&lt;X$2))),2))))</f>
      </c>
      <c r="AI60" s="33">
        <f>IF(Y60&lt;=0,0,MAX(0,MIN(Y60,ROUND($AZ60-SUMPRODUCT($V60:$AE60*($V60:$AE60&gt;0)*(($V$3:$AE$3&gt;Y$3)+($V$3:$AE$3=Y$3)*($V60:$AE60&lt;Y60)+($V$3:$AE$3=Y$3)*($V60:$AE60=Y60)*($V$2:$AE$2&lt;Y$2))),2))))</f>
      </c>
      <c r="AJ60" s="33">
        <f>IF(Z60&lt;=0,0,MAX(0,MIN(Z60,ROUND($AZ60-SUMPRODUCT($V60:$AE60*($V60:$AE60&gt;0)*(($V$3:$AE$3&gt;Z$3)+($V$3:$AE$3=Z$3)*($V60:$AE60&lt;Z60)+($V$3:$AE$3=Z$3)*($V60:$AE60=Z60)*($V$2:$AE$2&lt;Z$2))),2))))</f>
      </c>
      <c r="AK60" s="33">
        <f>IF(AA60&lt;=0,0,MAX(0,MIN(AA60,ROUND($AZ60-SUMPRODUCT($V60:$AE60*($V60:$AE60&gt;0)*(($V$3:$AE$3&gt;AA$3)+($V$3:$AE$3=AA$3)*($V60:$AE60&lt;AA60)+($V$3:$AE$3=AA$3)*($V60:$AE60=AA60)*($V$2:$AE$2&lt;AA$2))),2))))</f>
      </c>
      <c r="AL60" s="33">
        <f>IF(AB60&lt;=0,0,MAX(0,MIN(AB60,ROUND($AZ60-SUMPRODUCT($V60:$AE60*($V60:$AE60&gt;0)*(($V$3:$AE$3&gt;AB$3)+($V$3:$AE$3=AB$3)*($V60:$AE60&lt;AB60)+($V$3:$AE$3=AB$3)*($V60:$AE60=AB60)*($V$2:$AE$2&lt;AB$2))),2))))</f>
      </c>
      <c r="AM60" s="33">
        <f>IF(AC60&lt;=0,0,MAX(0,MIN(AC60,ROUND($AZ60-SUMPRODUCT($V60:$AE60*($V60:$AE60&gt;0)*(($V$3:$AE$3&gt;AC$3)+($V$3:$AE$3=AC$3)*($V60:$AE60&lt;AC60)+($V$3:$AE$3=AC$3)*($V60:$AE60=AC60)*($V$2:$AE$2&lt;AC$2))),2))))</f>
      </c>
      <c r="AN60" s="33">
        <f>IF(AD60&lt;=0,0,MAX(0,MIN(AD60,ROUND($AZ60-SUMPRODUCT($V60:$AE60*($V60:$AE60&gt;0)*(($V$3:$AE$3&gt;AD$3)+($V$3:$AE$3=AD$3)*($V60:$AE60&lt;AD60)+($V$3:$AE$3=AD$3)*($V60:$AE60=AD60)*($V$2:$AE$2&lt;AD$2))),2))))</f>
      </c>
      <c r="AO60" s="33">
        <f>IF(AE60&lt;=0,0,MAX(0,MIN(AE60,ROUND($AZ60-SUMPRODUCT($V60:$AE60*($V60:$AE60&gt;0)*(($V$3:$AE$3&gt;AE$3)+($V$3:$AE$3=AE$3)*($V60:$AE60&lt;AE60)+($V$3:$AE$3=AE$3)*($V60:$AE60=AE60)*($V$2:$AE$2&lt;AE$2))),2))))</f>
      </c>
      <c r="AP60" s="33">
        <f>ROUND(V60-AF60,2)</f>
      </c>
      <c r="AQ60" s="33">
        <f>ROUND(W60-AG60,2)</f>
      </c>
      <c r="AR60" s="33">
        <f>ROUND(X60-AH60,2)</f>
      </c>
      <c r="AS60" s="33">
        <f>ROUND(Y60-AI60,2)</f>
      </c>
      <c r="AT60" s="33">
        <f>ROUND(Z60-AJ60,2)</f>
      </c>
      <c r="AU60" s="33">
        <f>ROUND(AA60-AK60,2)</f>
      </c>
      <c r="AV60" s="33">
        <f>ROUND(AB60-AL60,2)</f>
      </c>
      <c r="AW60" s="33">
        <f>ROUND(AC60-AM60,2)</f>
      </c>
      <c r="AX60" s="33">
        <f>ROUND(AD60-AN60,2)</f>
      </c>
      <c r="AY60" s="33">
        <f>ROUND(AE60-AO60,2)</f>
      </c>
      <c r="AZ60" s="33">
        <f>ROUND(MAX(0,'Your debts'!$D$22-SUM($L60:$U60)),2)</f>
      </c>
      <c r="BA60" s="33">
        <f>ROUND(SUM($B60:$K60)-SUM($AP59:$AY59),2)</f>
      </c>
      <c r="BB60" s="33">
        <f>SUM($AP60:$AY60)</f>
      </c>
      <c r="BC60" s="33">
        <f>ROUND(SUM($L60:$U60)+SUM($AF60:$AO60),2)</f>
      </c>
    </row>
    <row r="61" spans="1:55" x14ac:dyDescent="0.25">
      <c r="A61">
        <v>54</v>
      </c>
      <c r="B61" s="33">
        <f>IF(AP60&lt;=0,0,ROUND(AP60+ROUND(AP60*V$3/12,2),2))</f>
      </c>
      <c r="C61" s="33">
        <f>IF(AQ60&lt;=0,0,ROUND(AQ60+ROUND(AQ60*W$3/12,2),2))</f>
      </c>
      <c r="D61" s="33">
        <f>IF(AR60&lt;=0,0,ROUND(AR60+ROUND(AR60*X$3/12,2),2))</f>
      </c>
      <c r="E61" s="33">
        <f>IF(AS60&lt;=0,0,ROUND(AS60+ROUND(AS60*Y$3/12,2),2))</f>
      </c>
      <c r="F61" s="33">
        <f>IF(AT60&lt;=0,0,ROUND(AT60+ROUND(AT60*Z$3/12,2),2))</f>
      </c>
      <c r="G61" s="33">
        <f>IF(AU60&lt;=0,0,ROUND(AU60+ROUND(AU60*AA$3/12,2),2))</f>
      </c>
      <c r="H61" s="33">
        <f>IF(AV60&lt;=0,0,ROUND(AV60+ROUND(AV60*AB$3/12,2),2))</f>
      </c>
      <c r="I61" s="33">
        <f>IF(AW60&lt;=0,0,ROUND(AW60+ROUND(AW60*AC$3/12,2),2))</f>
      </c>
      <c r="J61" s="33">
        <f>IF(AX60&lt;=0,0,ROUND(AX60+ROUND(AX60*AD$3/12,2),2))</f>
      </c>
      <c r="K61" s="33">
        <f>IF(AY60&lt;=0,0,ROUND(AY60+ROUND(AY60*AE$3/12,2),2))</f>
      </c>
      <c r="L61" s="33">
        <f>ROUND(MIN(MAX(0,N('Your debts'!$E$6)),B61),2)</f>
      </c>
      <c r="M61" s="33">
        <f>ROUND(MIN(MAX(0,N('Your debts'!$E$7)),C61),2)</f>
      </c>
      <c r="N61" s="33">
        <f>ROUND(MIN(MAX(0,N('Your debts'!$E$8)),D61),2)</f>
      </c>
      <c r="O61" s="33">
        <f>ROUND(MIN(MAX(0,N('Your debts'!$E$9)),E61),2)</f>
      </c>
      <c r="P61" s="33">
        <f>ROUND(MIN(MAX(0,N('Your debts'!$E$10)),F61),2)</f>
      </c>
      <c r="Q61" s="33">
        <f>ROUND(MIN(MAX(0,N('Your debts'!$E$11)),G61),2)</f>
      </c>
      <c r="R61" s="33">
        <f>ROUND(MIN(MAX(0,N('Your debts'!$E$12)),H61),2)</f>
      </c>
      <c r="S61" s="33">
        <f>ROUND(MIN(MAX(0,N('Your debts'!$E$13)),I61),2)</f>
      </c>
      <c r="T61" s="33">
        <f>ROUND(MIN(MAX(0,N('Your debts'!$E$14)),J61),2)</f>
      </c>
      <c r="U61" s="33">
        <f>ROUND(MIN(MAX(0,N('Your debts'!$E$15)),K61),2)</f>
      </c>
      <c r="V61" s="33">
        <f>ROUND(B61-L61,2)</f>
      </c>
      <c r="W61" s="33">
        <f>ROUND(C61-M61,2)</f>
      </c>
      <c r="X61" s="33">
        <f>ROUND(D61-N61,2)</f>
      </c>
      <c r="Y61" s="33">
        <f>ROUND(E61-O61,2)</f>
      </c>
      <c r="Z61" s="33">
        <f>ROUND(F61-P61,2)</f>
      </c>
      <c r="AA61" s="33">
        <f>ROUND(G61-Q61,2)</f>
      </c>
      <c r="AB61" s="33">
        <f>ROUND(H61-R61,2)</f>
      </c>
      <c r="AC61" s="33">
        <f>ROUND(I61-S61,2)</f>
      </c>
      <c r="AD61" s="33">
        <f>ROUND(J61-T61,2)</f>
      </c>
      <c r="AE61" s="33">
        <f>ROUND(K61-U61,2)</f>
      </c>
      <c r="AF61" s="33">
        <f>IF(V61&lt;=0,0,MAX(0,MIN(V61,ROUND($AZ61-SUMPRODUCT($V61:$AE61*($V61:$AE61&gt;0)*(($V$3:$AE$3&gt;V$3)+($V$3:$AE$3=V$3)*($V61:$AE61&lt;V61)+($V$3:$AE$3=V$3)*($V61:$AE61=V61)*($V$2:$AE$2&lt;V$2))),2))))</f>
      </c>
      <c r="AG61" s="33">
        <f>IF(W61&lt;=0,0,MAX(0,MIN(W61,ROUND($AZ61-SUMPRODUCT($V61:$AE61*($V61:$AE61&gt;0)*(($V$3:$AE$3&gt;W$3)+($V$3:$AE$3=W$3)*($V61:$AE61&lt;W61)+($V$3:$AE$3=W$3)*($V61:$AE61=W61)*($V$2:$AE$2&lt;W$2))),2))))</f>
      </c>
      <c r="AH61" s="33">
        <f>IF(X61&lt;=0,0,MAX(0,MIN(X61,ROUND($AZ61-SUMPRODUCT($V61:$AE61*($V61:$AE61&gt;0)*(($V$3:$AE$3&gt;X$3)+($V$3:$AE$3=X$3)*($V61:$AE61&lt;X61)+($V$3:$AE$3=X$3)*($V61:$AE61=X61)*($V$2:$AE$2&lt;X$2))),2))))</f>
      </c>
      <c r="AI61" s="33">
        <f>IF(Y61&lt;=0,0,MAX(0,MIN(Y61,ROUND($AZ61-SUMPRODUCT($V61:$AE61*($V61:$AE61&gt;0)*(($V$3:$AE$3&gt;Y$3)+($V$3:$AE$3=Y$3)*($V61:$AE61&lt;Y61)+($V$3:$AE$3=Y$3)*($V61:$AE61=Y61)*($V$2:$AE$2&lt;Y$2))),2))))</f>
      </c>
      <c r="AJ61" s="33">
        <f>IF(Z61&lt;=0,0,MAX(0,MIN(Z61,ROUND($AZ61-SUMPRODUCT($V61:$AE61*($V61:$AE61&gt;0)*(($V$3:$AE$3&gt;Z$3)+($V$3:$AE$3=Z$3)*($V61:$AE61&lt;Z61)+($V$3:$AE$3=Z$3)*($V61:$AE61=Z61)*($V$2:$AE$2&lt;Z$2))),2))))</f>
      </c>
      <c r="AK61" s="33">
        <f>IF(AA61&lt;=0,0,MAX(0,MIN(AA61,ROUND($AZ61-SUMPRODUCT($V61:$AE61*($V61:$AE61&gt;0)*(($V$3:$AE$3&gt;AA$3)+($V$3:$AE$3=AA$3)*($V61:$AE61&lt;AA61)+($V$3:$AE$3=AA$3)*($V61:$AE61=AA61)*($V$2:$AE$2&lt;AA$2))),2))))</f>
      </c>
      <c r="AL61" s="33">
        <f>IF(AB61&lt;=0,0,MAX(0,MIN(AB61,ROUND($AZ61-SUMPRODUCT($V61:$AE61*($V61:$AE61&gt;0)*(($V$3:$AE$3&gt;AB$3)+($V$3:$AE$3=AB$3)*($V61:$AE61&lt;AB61)+($V$3:$AE$3=AB$3)*($V61:$AE61=AB61)*($V$2:$AE$2&lt;AB$2))),2))))</f>
      </c>
      <c r="AM61" s="33">
        <f>IF(AC61&lt;=0,0,MAX(0,MIN(AC61,ROUND($AZ61-SUMPRODUCT($V61:$AE61*($V61:$AE61&gt;0)*(($V$3:$AE$3&gt;AC$3)+($V$3:$AE$3=AC$3)*($V61:$AE61&lt;AC61)+($V$3:$AE$3=AC$3)*($V61:$AE61=AC61)*($V$2:$AE$2&lt;AC$2))),2))))</f>
      </c>
      <c r="AN61" s="33">
        <f>IF(AD61&lt;=0,0,MAX(0,MIN(AD61,ROUND($AZ61-SUMPRODUCT($V61:$AE61*($V61:$AE61&gt;0)*(($V$3:$AE$3&gt;AD$3)+($V$3:$AE$3=AD$3)*($V61:$AE61&lt;AD61)+($V$3:$AE$3=AD$3)*($V61:$AE61=AD61)*($V$2:$AE$2&lt;AD$2))),2))))</f>
      </c>
      <c r="AO61" s="33">
        <f>IF(AE61&lt;=0,0,MAX(0,MIN(AE61,ROUND($AZ61-SUMPRODUCT($V61:$AE61*($V61:$AE61&gt;0)*(($V$3:$AE$3&gt;AE$3)+($V$3:$AE$3=AE$3)*($V61:$AE61&lt;AE61)+($V$3:$AE$3=AE$3)*($V61:$AE61=AE61)*($V$2:$AE$2&lt;AE$2))),2))))</f>
      </c>
      <c r="AP61" s="33">
        <f>ROUND(V61-AF61,2)</f>
      </c>
      <c r="AQ61" s="33">
        <f>ROUND(W61-AG61,2)</f>
      </c>
      <c r="AR61" s="33">
        <f>ROUND(X61-AH61,2)</f>
      </c>
      <c r="AS61" s="33">
        <f>ROUND(Y61-AI61,2)</f>
      </c>
      <c r="AT61" s="33">
        <f>ROUND(Z61-AJ61,2)</f>
      </c>
      <c r="AU61" s="33">
        <f>ROUND(AA61-AK61,2)</f>
      </c>
      <c r="AV61" s="33">
        <f>ROUND(AB61-AL61,2)</f>
      </c>
      <c r="AW61" s="33">
        <f>ROUND(AC61-AM61,2)</f>
      </c>
      <c r="AX61" s="33">
        <f>ROUND(AD61-AN61,2)</f>
      </c>
      <c r="AY61" s="33">
        <f>ROUND(AE61-AO61,2)</f>
      </c>
      <c r="AZ61" s="33">
        <f>ROUND(MAX(0,'Your debts'!$D$22-SUM($L61:$U61)),2)</f>
      </c>
      <c r="BA61" s="33">
        <f>ROUND(SUM($B61:$K61)-SUM($AP60:$AY60),2)</f>
      </c>
      <c r="BB61" s="33">
        <f>SUM($AP61:$AY61)</f>
      </c>
      <c r="BC61" s="33">
        <f>ROUND(SUM($L61:$U61)+SUM($AF61:$AO61),2)</f>
      </c>
    </row>
    <row r="62" spans="1:55" x14ac:dyDescent="0.25">
      <c r="A62">
        <v>55</v>
      </c>
      <c r="B62" s="33">
        <f>IF(AP61&lt;=0,0,ROUND(AP61+ROUND(AP61*V$3/12,2),2))</f>
      </c>
      <c r="C62" s="33">
        <f>IF(AQ61&lt;=0,0,ROUND(AQ61+ROUND(AQ61*W$3/12,2),2))</f>
      </c>
      <c r="D62" s="33">
        <f>IF(AR61&lt;=0,0,ROUND(AR61+ROUND(AR61*X$3/12,2),2))</f>
      </c>
      <c r="E62" s="33">
        <f>IF(AS61&lt;=0,0,ROUND(AS61+ROUND(AS61*Y$3/12,2),2))</f>
      </c>
      <c r="F62" s="33">
        <f>IF(AT61&lt;=0,0,ROUND(AT61+ROUND(AT61*Z$3/12,2),2))</f>
      </c>
      <c r="G62" s="33">
        <f>IF(AU61&lt;=0,0,ROUND(AU61+ROUND(AU61*AA$3/12,2),2))</f>
      </c>
      <c r="H62" s="33">
        <f>IF(AV61&lt;=0,0,ROUND(AV61+ROUND(AV61*AB$3/12,2),2))</f>
      </c>
      <c r="I62" s="33">
        <f>IF(AW61&lt;=0,0,ROUND(AW61+ROUND(AW61*AC$3/12,2),2))</f>
      </c>
      <c r="J62" s="33">
        <f>IF(AX61&lt;=0,0,ROUND(AX61+ROUND(AX61*AD$3/12,2),2))</f>
      </c>
      <c r="K62" s="33">
        <f>IF(AY61&lt;=0,0,ROUND(AY61+ROUND(AY61*AE$3/12,2),2))</f>
      </c>
      <c r="L62" s="33">
        <f>ROUND(MIN(MAX(0,N('Your debts'!$E$6)),B62),2)</f>
      </c>
      <c r="M62" s="33">
        <f>ROUND(MIN(MAX(0,N('Your debts'!$E$7)),C62),2)</f>
      </c>
      <c r="N62" s="33">
        <f>ROUND(MIN(MAX(0,N('Your debts'!$E$8)),D62),2)</f>
      </c>
      <c r="O62" s="33">
        <f>ROUND(MIN(MAX(0,N('Your debts'!$E$9)),E62),2)</f>
      </c>
      <c r="P62" s="33">
        <f>ROUND(MIN(MAX(0,N('Your debts'!$E$10)),F62),2)</f>
      </c>
      <c r="Q62" s="33">
        <f>ROUND(MIN(MAX(0,N('Your debts'!$E$11)),G62),2)</f>
      </c>
      <c r="R62" s="33">
        <f>ROUND(MIN(MAX(0,N('Your debts'!$E$12)),H62),2)</f>
      </c>
      <c r="S62" s="33">
        <f>ROUND(MIN(MAX(0,N('Your debts'!$E$13)),I62),2)</f>
      </c>
      <c r="T62" s="33">
        <f>ROUND(MIN(MAX(0,N('Your debts'!$E$14)),J62),2)</f>
      </c>
      <c r="U62" s="33">
        <f>ROUND(MIN(MAX(0,N('Your debts'!$E$15)),K62),2)</f>
      </c>
      <c r="V62" s="33">
        <f>ROUND(B62-L62,2)</f>
      </c>
      <c r="W62" s="33">
        <f>ROUND(C62-M62,2)</f>
      </c>
      <c r="X62" s="33">
        <f>ROUND(D62-N62,2)</f>
      </c>
      <c r="Y62" s="33">
        <f>ROUND(E62-O62,2)</f>
      </c>
      <c r="Z62" s="33">
        <f>ROUND(F62-P62,2)</f>
      </c>
      <c r="AA62" s="33">
        <f>ROUND(G62-Q62,2)</f>
      </c>
      <c r="AB62" s="33">
        <f>ROUND(H62-R62,2)</f>
      </c>
      <c r="AC62" s="33">
        <f>ROUND(I62-S62,2)</f>
      </c>
      <c r="AD62" s="33">
        <f>ROUND(J62-T62,2)</f>
      </c>
      <c r="AE62" s="33">
        <f>ROUND(K62-U62,2)</f>
      </c>
      <c r="AF62" s="33">
        <f>IF(V62&lt;=0,0,MAX(0,MIN(V62,ROUND($AZ62-SUMPRODUCT($V62:$AE62*($V62:$AE62&gt;0)*(($V$3:$AE$3&gt;V$3)+($V$3:$AE$3=V$3)*($V62:$AE62&lt;V62)+($V$3:$AE$3=V$3)*($V62:$AE62=V62)*($V$2:$AE$2&lt;V$2))),2))))</f>
      </c>
      <c r="AG62" s="33">
        <f>IF(W62&lt;=0,0,MAX(0,MIN(W62,ROUND($AZ62-SUMPRODUCT($V62:$AE62*($V62:$AE62&gt;0)*(($V$3:$AE$3&gt;W$3)+($V$3:$AE$3=W$3)*($V62:$AE62&lt;W62)+($V$3:$AE$3=W$3)*($V62:$AE62=W62)*($V$2:$AE$2&lt;W$2))),2))))</f>
      </c>
      <c r="AH62" s="33">
        <f>IF(X62&lt;=0,0,MAX(0,MIN(X62,ROUND($AZ62-SUMPRODUCT($V62:$AE62*($V62:$AE62&gt;0)*(($V$3:$AE$3&gt;X$3)+($V$3:$AE$3=X$3)*($V62:$AE62&lt;X62)+($V$3:$AE$3=X$3)*($V62:$AE62=X62)*($V$2:$AE$2&lt;X$2))),2))))</f>
      </c>
      <c r="AI62" s="33">
        <f>IF(Y62&lt;=0,0,MAX(0,MIN(Y62,ROUND($AZ62-SUMPRODUCT($V62:$AE62*($V62:$AE62&gt;0)*(($V$3:$AE$3&gt;Y$3)+($V$3:$AE$3=Y$3)*($V62:$AE62&lt;Y62)+($V$3:$AE$3=Y$3)*($V62:$AE62=Y62)*($V$2:$AE$2&lt;Y$2))),2))))</f>
      </c>
      <c r="AJ62" s="33">
        <f>IF(Z62&lt;=0,0,MAX(0,MIN(Z62,ROUND($AZ62-SUMPRODUCT($V62:$AE62*($V62:$AE62&gt;0)*(($V$3:$AE$3&gt;Z$3)+($V$3:$AE$3=Z$3)*($V62:$AE62&lt;Z62)+($V$3:$AE$3=Z$3)*($V62:$AE62=Z62)*($V$2:$AE$2&lt;Z$2))),2))))</f>
      </c>
      <c r="AK62" s="33">
        <f>IF(AA62&lt;=0,0,MAX(0,MIN(AA62,ROUND($AZ62-SUMPRODUCT($V62:$AE62*($V62:$AE62&gt;0)*(($V$3:$AE$3&gt;AA$3)+($V$3:$AE$3=AA$3)*($V62:$AE62&lt;AA62)+($V$3:$AE$3=AA$3)*($V62:$AE62=AA62)*($V$2:$AE$2&lt;AA$2))),2))))</f>
      </c>
      <c r="AL62" s="33">
        <f>IF(AB62&lt;=0,0,MAX(0,MIN(AB62,ROUND($AZ62-SUMPRODUCT($V62:$AE62*($V62:$AE62&gt;0)*(($V$3:$AE$3&gt;AB$3)+($V$3:$AE$3=AB$3)*($V62:$AE62&lt;AB62)+($V$3:$AE$3=AB$3)*($V62:$AE62=AB62)*($V$2:$AE$2&lt;AB$2))),2))))</f>
      </c>
      <c r="AM62" s="33">
        <f>IF(AC62&lt;=0,0,MAX(0,MIN(AC62,ROUND($AZ62-SUMPRODUCT($V62:$AE62*($V62:$AE62&gt;0)*(($V$3:$AE$3&gt;AC$3)+($V$3:$AE$3=AC$3)*($V62:$AE62&lt;AC62)+($V$3:$AE$3=AC$3)*($V62:$AE62=AC62)*($V$2:$AE$2&lt;AC$2))),2))))</f>
      </c>
      <c r="AN62" s="33">
        <f>IF(AD62&lt;=0,0,MAX(0,MIN(AD62,ROUND($AZ62-SUMPRODUCT($V62:$AE62*($V62:$AE62&gt;0)*(($V$3:$AE$3&gt;AD$3)+($V$3:$AE$3=AD$3)*($V62:$AE62&lt;AD62)+($V$3:$AE$3=AD$3)*($V62:$AE62=AD62)*($V$2:$AE$2&lt;AD$2))),2))))</f>
      </c>
      <c r="AO62" s="33">
        <f>IF(AE62&lt;=0,0,MAX(0,MIN(AE62,ROUND($AZ62-SUMPRODUCT($V62:$AE62*($V62:$AE62&gt;0)*(($V$3:$AE$3&gt;AE$3)+($V$3:$AE$3=AE$3)*($V62:$AE62&lt;AE62)+($V$3:$AE$3=AE$3)*($V62:$AE62=AE62)*($V$2:$AE$2&lt;AE$2))),2))))</f>
      </c>
      <c r="AP62" s="33">
        <f>ROUND(V62-AF62,2)</f>
      </c>
      <c r="AQ62" s="33">
        <f>ROUND(W62-AG62,2)</f>
      </c>
      <c r="AR62" s="33">
        <f>ROUND(X62-AH62,2)</f>
      </c>
      <c r="AS62" s="33">
        <f>ROUND(Y62-AI62,2)</f>
      </c>
      <c r="AT62" s="33">
        <f>ROUND(Z62-AJ62,2)</f>
      </c>
      <c r="AU62" s="33">
        <f>ROUND(AA62-AK62,2)</f>
      </c>
      <c r="AV62" s="33">
        <f>ROUND(AB62-AL62,2)</f>
      </c>
      <c r="AW62" s="33">
        <f>ROUND(AC62-AM62,2)</f>
      </c>
      <c r="AX62" s="33">
        <f>ROUND(AD62-AN62,2)</f>
      </c>
      <c r="AY62" s="33">
        <f>ROUND(AE62-AO62,2)</f>
      </c>
      <c r="AZ62" s="33">
        <f>ROUND(MAX(0,'Your debts'!$D$22-SUM($L62:$U62)),2)</f>
      </c>
      <c r="BA62" s="33">
        <f>ROUND(SUM($B62:$K62)-SUM($AP61:$AY61),2)</f>
      </c>
      <c r="BB62" s="33">
        <f>SUM($AP62:$AY62)</f>
      </c>
      <c r="BC62" s="33">
        <f>ROUND(SUM($L62:$U62)+SUM($AF62:$AO62),2)</f>
      </c>
    </row>
    <row r="63" spans="1:55" x14ac:dyDescent="0.25">
      <c r="A63">
        <v>56</v>
      </c>
      <c r="B63" s="33">
        <f>IF(AP62&lt;=0,0,ROUND(AP62+ROUND(AP62*V$3/12,2),2))</f>
      </c>
      <c r="C63" s="33">
        <f>IF(AQ62&lt;=0,0,ROUND(AQ62+ROUND(AQ62*W$3/12,2),2))</f>
      </c>
      <c r="D63" s="33">
        <f>IF(AR62&lt;=0,0,ROUND(AR62+ROUND(AR62*X$3/12,2),2))</f>
      </c>
      <c r="E63" s="33">
        <f>IF(AS62&lt;=0,0,ROUND(AS62+ROUND(AS62*Y$3/12,2),2))</f>
      </c>
      <c r="F63" s="33">
        <f>IF(AT62&lt;=0,0,ROUND(AT62+ROUND(AT62*Z$3/12,2),2))</f>
      </c>
      <c r="G63" s="33">
        <f>IF(AU62&lt;=0,0,ROUND(AU62+ROUND(AU62*AA$3/12,2),2))</f>
      </c>
      <c r="H63" s="33">
        <f>IF(AV62&lt;=0,0,ROUND(AV62+ROUND(AV62*AB$3/12,2),2))</f>
      </c>
      <c r="I63" s="33">
        <f>IF(AW62&lt;=0,0,ROUND(AW62+ROUND(AW62*AC$3/12,2),2))</f>
      </c>
      <c r="J63" s="33">
        <f>IF(AX62&lt;=0,0,ROUND(AX62+ROUND(AX62*AD$3/12,2),2))</f>
      </c>
      <c r="K63" s="33">
        <f>IF(AY62&lt;=0,0,ROUND(AY62+ROUND(AY62*AE$3/12,2),2))</f>
      </c>
      <c r="L63" s="33">
        <f>ROUND(MIN(MAX(0,N('Your debts'!$E$6)),B63),2)</f>
      </c>
      <c r="M63" s="33">
        <f>ROUND(MIN(MAX(0,N('Your debts'!$E$7)),C63),2)</f>
      </c>
      <c r="N63" s="33">
        <f>ROUND(MIN(MAX(0,N('Your debts'!$E$8)),D63),2)</f>
      </c>
      <c r="O63" s="33">
        <f>ROUND(MIN(MAX(0,N('Your debts'!$E$9)),E63),2)</f>
      </c>
      <c r="P63" s="33">
        <f>ROUND(MIN(MAX(0,N('Your debts'!$E$10)),F63),2)</f>
      </c>
      <c r="Q63" s="33">
        <f>ROUND(MIN(MAX(0,N('Your debts'!$E$11)),G63),2)</f>
      </c>
      <c r="R63" s="33">
        <f>ROUND(MIN(MAX(0,N('Your debts'!$E$12)),H63),2)</f>
      </c>
      <c r="S63" s="33">
        <f>ROUND(MIN(MAX(0,N('Your debts'!$E$13)),I63),2)</f>
      </c>
      <c r="T63" s="33">
        <f>ROUND(MIN(MAX(0,N('Your debts'!$E$14)),J63),2)</f>
      </c>
      <c r="U63" s="33">
        <f>ROUND(MIN(MAX(0,N('Your debts'!$E$15)),K63),2)</f>
      </c>
      <c r="V63" s="33">
        <f>ROUND(B63-L63,2)</f>
      </c>
      <c r="W63" s="33">
        <f>ROUND(C63-M63,2)</f>
      </c>
      <c r="X63" s="33">
        <f>ROUND(D63-N63,2)</f>
      </c>
      <c r="Y63" s="33">
        <f>ROUND(E63-O63,2)</f>
      </c>
      <c r="Z63" s="33">
        <f>ROUND(F63-P63,2)</f>
      </c>
      <c r="AA63" s="33">
        <f>ROUND(G63-Q63,2)</f>
      </c>
      <c r="AB63" s="33">
        <f>ROUND(H63-R63,2)</f>
      </c>
      <c r="AC63" s="33">
        <f>ROUND(I63-S63,2)</f>
      </c>
      <c r="AD63" s="33">
        <f>ROUND(J63-T63,2)</f>
      </c>
      <c r="AE63" s="33">
        <f>ROUND(K63-U63,2)</f>
      </c>
      <c r="AF63" s="33">
        <f>IF(V63&lt;=0,0,MAX(0,MIN(V63,ROUND($AZ63-SUMPRODUCT($V63:$AE63*($V63:$AE63&gt;0)*(($V$3:$AE$3&gt;V$3)+($V$3:$AE$3=V$3)*($V63:$AE63&lt;V63)+($V$3:$AE$3=V$3)*($V63:$AE63=V63)*($V$2:$AE$2&lt;V$2))),2))))</f>
      </c>
      <c r="AG63" s="33">
        <f>IF(W63&lt;=0,0,MAX(0,MIN(W63,ROUND($AZ63-SUMPRODUCT($V63:$AE63*($V63:$AE63&gt;0)*(($V$3:$AE$3&gt;W$3)+($V$3:$AE$3=W$3)*($V63:$AE63&lt;W63)+($V$3:$AE$3=W$3)*($V63:$AE63=W63)*($V$2:$AE$2&lt;W$2))),2))))</f>
      </c>
      <c r="AH63" s="33">
        <f>IF(X63&lt;=0,0,MAX(0,MIN(X63,ROUND($AZ63-SUMPRODUCT($V63:$AE63*($V63:$AE63&gt;0)*(($V$3:$AE$3&gt;X$3)+($V$3:$AE$3=X$3)*($V63:$AE63&lt;X63)+($V$3:$AE$3=X$3)*($V63:$AE63=X63)*($V$2:$AE$2&lt;X$2))),2))))</f>
      </c>
      <c r="AI63" s="33">
        <f>IF(Y63&lt;=0,0,MAX(0,MIN(Y63,ROUND($AZ63-SUMPRODUCT($V63:$AE63*($V63:$AE63&gt;0)*(($V$3:$AE$3&gt;Y$3)+($V$3:$AE$3=Y$3)*($V63:$AE63&lt;Y63)+($V$3:$AE$3=Y$3)*($V63:$AE63=Y63)*($V$2:$AE$2&lt;Y$2))),2))))</f>
      </c>
      <c r="AJ63" s="33">
        <f>IF(Z63&lt;=0,0,MAX(0,MIN(Z63,ROUND($AZ63-SUMPRODUCT($V63:$AE63*($V63:$AE63&gt;0)*(($V$3:$AE$3&gt;Z$3)+($V$3:$AE$3=Z$3)*($V63:$AE63&lt;Z63)+($V$3:$AE$3=Z$3)*($V63:$AE63=Z63)*($V$2:$AE$2&lt;Z$2))),2))))</f>
      </c>
      <c r="AK63" s="33">
        <f>IF(AA63&lt;=0,0,MAX(0,MIN(AA63,ROUND($AZ63-SUMPRODUCT($V63:$AE63*($V63:$AE63&gt;0)*(($V$3:$AE$3&gt;AA$3)+($V$3:$AE$3=AA$3)*($V63:$AE63&lt;AA63)+($V$3:$AE$3=AA$3)*($V63:$AE63=AA63)*($V$2:$AE$2&lt;AA$2))),2))))</f>
      </c>
      <c r="AL63" s="33">
        <f>IF(AB63&lt;=0,0,MAX(0,MIN(AB63,ROUND($AZ63-SUMPRODUCT($V63:$AE63*($V63:$AE63&gt;0)*(($V$3:$AE$3&gt;AB$3)+($V$3:$AE$3=AB$3)*($V63:$AE63&lt;AB63)+($V$3:$AE$3=AB$3)*($V63:$AE63=AB63)*($V$2:$AE$2&lt;AB$2))),2))))</f>
      </c>
      <c r="AM63" s="33">
        <f>IF(AC63&lt;=0,0,MAX(0,MIN(AC63,ROUND($AZ63-SUMPRODUCT($V63:$AE63*($V63:$AE63&gt;0)*(($V$3:$AE$3&gt;AC$3)+($V$3:$AE$3=AC$3)*($V63:$AE63&lt;AC63)+($V$3:$AE$3=AC$3)*($V63:$AE63=AC63)*($V$2:$AE$2&lt;AC$2))),2))))</f>
      </c>
      <c r="AN63" s="33">
        <f>IF(AD63&lt;=0,0,MAX(0,MIN(AD63,ROUND($AZ63-SUMPRODUCT($V63:$AE63*($V63:$AE63&gt;0)*(($V$3:$AE$3&gt;AD$3)+($V$3:$AE$3=AD$3)*($V63:$AE63&lt;AD63)+($V$3:$AE$3=AD$3)*($V63:$AE63=AD63)*($V$2:$AE$2&lt;AD$2))),2))))</f>
      </c>
      <c r="AO63" s="33">
        <f>IF(AE63&lt;=0,0,MAX(0,MIN(AE63,ROUND($AZ63-SUMPRODUCT($V63:$AE63*($V63:$AE63&gt;0)*(($V$3:$AE$3&gt;AE$3)+($V$3:$AE$3=AE$3)*($V63:$AE63&lt;AE63)+($V$3:$AE$3=AE$3)*($V63:$AE63=AE63)*($V$2:$AE$2&lt;AE$2))),2))))</f>
      </c>
      <c r="AP63" s="33">
        <f>ROUND(V63-AF63,2)</f>
      </c>
      <c r="AQ63" s="33">
        <f>ROUND(W63-AG63,2)</f>
      </c>
      <c r="AR63" s="33">
        <f>ROUND(X63-AH63,2)</f>
      </c>
      <c r="AS63" s="33">
        <f>ROUND(Y63-AI63,2)</f>
      </c>
      <c r="AT63" s="33">
        <f>ROUND(Z63-AJ63,2)</f>
      </c>
      <c r="AU63" s="33">
        <f>ROUND(AA63-AK63,2)</f>
      </c>
      <c r="AV63" s="33">
        <f>ROUND(AB63-AL63,2)</f>
      </c>
      <c r="AW63" s="33">
        <f>ROUND(AC63-AM63,2)</f>
      </c>
      <c r="AX63" s="33">
        <f>ROUND(AD63-AN63,2)</f>
      </c>
      <c r="AY63" s="33">
        <f>ROUND(AE63-AO63,2)</f>
      </c>
      <c r="AZ63" s="33">
        <f>ROUND(MAX(0,'Your debts'!$D$22-SUM($L63:$U63)),2)</f>
      </c>
      <c r="BA63" s="33">
        <f>ROUND(SUM($B63:$K63)-SUM($AP62:$AY62),2)</f>
      </c>
      <c r="BB63" s="33">
        <f>SUM($AP63:$AY63)</f>
      </c>
      <c r="BC63" s="33">
        <f>ROUND(SUM($L63:$U63)+SUM($AF63:$AO63),2)</f>
      </c>
    </row>
    <row r="64" spans="1:55" x14ac:dyDescent="0.25">
      <c r="A64">
        <v>57</v>
      </c>
      <c r="B64" s="33">
        <f>IF(AP63&lt;=0,0,ROUND(AP63+ROUND(AP63*V$3/12,2),2))</f>
      </c>
      <c r="C64" s="33">
        <f>IF(AQ63&lt;=0,0,ROUND(AQ63+ROUND(AQ63*W$3/12,2),2))</f>
      </c>
      <c r="D64" s="33">
        <f>IF(AR63&lt;=0,0,ROUND(AR63+ROUND(AR63*X$3/12,2),2))</f>
      </c>
      <c r="E64" s="33">
        <f>IF(AS63&lt;=0,0,ROUND(AS63+ROUND(AS63*Y$3/12,2),2))</f>
      </c>
      <c r="F64" s="33">
        <f>IF(AT63&lt;=0,0,ROUND(AT63+ROUND(AT63*Z$3/12,2),2))</f>
      </c>
      <c r="G64" s="33">
        <f>IF(AU63&lt;=0,0,ROUND(AU63+ROUND(AU63*AA$3/12,2),2))</f>
      </c>
      <c r="H64" s="33">
        <f>IF(AV63&lt;=0,0,ROUND(AV63+ROUND(AV63*AB$3/12,2),2))</f>
      </c>
      <c r="I64" s="33">
        <f>IF(AW63&lt;=0,0,ROUND(AW63+ROUND(AW63*AC$3/12,2),2))</f>
      </c>
      <c r="J64" s="33">
        <f>IF(AX63&lt;=0,0,ROUND(AX63+ROUND(AX63*AD$3/12,2),2))</f>
      </c>
      <c r="K64" s="33">
        <f>IF(AY63&lt;=0,0,ROUND(AY63+ROUND(AY63*AE$3/12,2),2))</f>
      </c>
      <c r="L64" s="33">
        <f>ROUND(MIN(MAX(0,N('Your debts'!$E$6)),B64),2)</f>
      </c>
      <c r="M64" s="33">
        <f>ROUND(MIN(MAX(0,N('Your debts'!$E$7)),C64),2)</f>
      </c>
      <c r="N64" s="33">
        <f>ROUND(MIN(MAX(0,N('Your debts'!$E$8)),D64),2)</f>
      </c>
      <c r="O64" s="33">
        <f>ROUND(MIN(MAX(0,N('Your debts'!$E$9)),E64),2)</f>
      </c>
      <c r="P64" s="33">
        <f>ROUND(MIN(MAX(0,N('Your debts'!$E$10)),F64),2)</f>
      </c>
      <c r="Q64" s="33">
        <f>ROUND(MIN(MAX(0,N('Your debts'!$E$11)),G64),2)</f>
      </c>
      <c r="R64" s="33">
        <f>ROUND(MIN(MAX(0,N('Your debts'!$E$12)),H64),2)</f>
      </c>
      <c r="S64" s="33">
        <f>ROUND(MIN(MAX(0,N('Your debts'!$E$13)),I64),2)</f>
      </c>
      <c r="T64" s="33">
        <f>ROUND(MIN(MAX(0,N('Your debts'!$E$14)),J64),2)</f>
      </c>
      <c r="U64" s="33">
        <f>ROUND(MIN(MAX(0,N('Your debts'!$E$15)),K64),2)</f>
      </c>
      <c r="V64" s="33">
        <f>ROUND(B64-L64,2)</f>
      </c>
      <c r="W64" s="33">
        <f>ROUND(C64-M64,2)</f>
      </c>
      <c r="X64" s="33">
        <f>ROUND(D64-N64,2)</f>
      </c>
      <c r="Y64" s="33">
        <f>ROUND(E64-O64,2)</f>
      </c>
      <c r="Z64" s="33">
        <f>ROUND(F64-P64,2)</f>
      </c>
      <c r="AA64" s="33">
        <f>ROUND(G64-Q64,2)</f>
      </c>
      <c r="AB64" s="33">
        <f>ROUND(H64-R64,2)</f>
      </c>
      <c r="AC64" s="33">
        <f>ROUND(I64-S64,2)</f>
      </c>
      <c r="AD64" s="33">
        <f>ROUND(J64-T64,2)</f>
      </c>
      <c r="AE64" s="33">
        <f>ROUND(K64-U64,2)</f>
      </c>
      <c r="AF64" s="33">
        <f>IF(V64&lt;=0,0,MAX(0,MIN(V64,ROUND($AZ64-SUMPRODUCT($V64:$AE64*($V64:$AE64&gt;0)*(($V$3:$AE$3&gt;V$3)+($V$3:$AE$3=V$3)*($V64:$AE64&lt;V64)+($V$3:$AE$3=V$3)*($V64:$AE64=V64)*($V$2:$AE$2&lt;V$2))),2))))</f>
      </c>
      <c r="AG64" s="33">
        <f>IF(W64&lt;=0,0,MAX(0,MIN(W64,ROUND($AZ64-SUMPRODUCT($V64:$AE64*($V64:$AE64&gt;0)*(($V$3:$AE$3&gt;W$3)+($V$3:$AE$3=W$3)*($V64:$AE64&lt;W64)+($V$3:$AE$3=W$3)*($V64:$AE64=W64)*($V$2:$AE$2&lt;W$2))),2))))</f>
      </c>
      <c r="AH64" s="33">
        <f>IF(X64&lt;=0,0,MAX(0,MIN(X64,ROUND($AZ64-SUMPRODUCT($V64:$AE64*($V64:$AE64&gt;0)*(($V$3:$AE$3&gt;X$3)+($V$3:$AE$3=X$3)*($V64:$AE64&lt;X64)+($V$3:$AE$3=X$3)*($V64:$AE64=X64)*($V$2:$AE$2&lt;X$2))),2))))</f>
      </c>
      <c r="AI64" s="33">
        <f>IF(Y64&lt;=0,0,MAX(0,MIN(Y64,ROUND($AZ64-SUMPRODUCT($V64:$AE64*($V64:$AE64&gt;0)*(($V$3:$AE$3&gt;Y$3)+($V$3:$AE$3=Y$3)*($V64:$AE64&lt;Y64)+($V$3:$AE$3=Y$3)*($V64:$AE64=Y64)*($V$2:$AE$2&lt;Y$2))),2))))</f>
      </c>
      <c r="AJ64" s="33">
        <f>IF(Z64&lt;=0,0,MAX(0,MIN(Z64,ROUND($AZ64-SUMPRODUCT($V64:$AE64*($V64:$AE64&gt;0)*(($V$3:$AE$3&gt;Z$3)+($V$3:$AE$3=Z$3)*($V64:$AE64&lt;Z64)+($V$3:$AE$3=Z$3)*($V64:$AE64=Z64)*($V$2:$AE$2&lt;Z$2))),2))))</f>
      </c>
      <c r="AK64" s="33">
        <f>IF(AA64&lt;=0,0,MAX(0,MIN(AA64,ROUND($AZ64-SUMPRODUCT($V64:$AE64*($V64:$AE64&gt;0)*(($V$3:$AE$3&gt;AA$3)+($V$3:$AE$3=AA$3)*($V64:$AE64&lt;AA64)+($V$3:$AE$3=AA$3)*($V64:$AE64=AA64)*($V$2:$AE$2&lt;AA$2))),2))))</f>
      </c>
      <c r="AL64" s="33">
        <f>IF(AB64&lt;=0,0,MAX(0,MIN(AB64,ROUND($AZ64-SUMPRODUCT($V64:$AE64*($V64:$AE64&gt;0)*(($V$3:$AE$3&gt;AB$3)+($V$3:$AE$3=AB$3)*($V64:$AE64&lt;AB64)+($V$3:$AE$3=AB$3)*($V64:$AE64=AB64)*($V$2:$AE$2&lt;AB$2))),2))))</f>
      </c>
      <c r="AM64" s="33">
        <f>IF(AC64&lt;=0,0,MAX(0,MIN(AC64,ROUND($AZ64-SUMPRODUCT($V64:$AE64*($V64:$AE64&gt;0)*(($V$3:$AE$3&gt;AC$3)+($V$3:$AE$3=AC$3)*($V64:$AE64&lt;AC64)+($V$3:$AE$3=AC$3)*($V64:$AE64=AC64)*($V$2:$AE$2&lt;AC$2))),2))))</f>
      </c>
      <c r="AN64" s="33">
        <f>IF(AD64&lt;=0,0,MAX(0,MIN(AD64,ROUND($AZ64-SUMPRODUCT($V64:$AE64*($V64:$AE64&gt;0)*(($V$3:$AE$3&gt;AD$3)+($V$3:$AE$3=AD$3)*($V64:$AE64&lt;AD64)+($V$3:$AE$3=AD$3)*($V64:$AE64=AD64)*($V$2:$AE$2&lt;AD$2))),2))))</f>
      </c>
      <c r="AO64" s="33">
        <f>IF(AE64&lt;=0,0,MAX(0,MIN(AE64,ROUND($AZ64-SUMPRODUCT($V64:$AE64*($V64:$AE64&gt;0)*(($V$3:$AE$3&gt;AE$3)+($V$3:$AE$3=AE$3)*($V64:$AE64&lt;AE64)+($V$3:$AE$3=AE$3)*($V64:$AE64=AE64)*($V$2:$AE$2&lt;AE$2))),2))))</f>
      </c>
      <c r="AP64" s="33">
        <f>ROUND(V64-AF64,2)</f>
      </c>
      <c r="AQ64" s="33">
        <f>ROUND(W64-AG64,2)</f>
      </c>
      <c r="AR64" s="33">
        <f>ROUND(X64-AH64,2)</f>
      </c>
      <c r="AS64" s="33">
        <f>ROUND(Y64-AI64,2)</f>
      </c>
      <c r="AT64" s="33">
        <f>ROUND(Z64-AJ64,2)</f>
      </c>
      <c r="AU64" s="33">
        <f>ROUND(AA64-AK64,2)</f>
      </c>
      <c r="AV64" s="33">
        <f>ROUND(AB64-AL64,2)</f>
      </c>
      <c r="AW64" s="33">
        <f>ROUND(AC64-AM64,2)</f>
      </c>
      <c r="AX64" s="33">
        <f>ROUND(AD64-AN64,2)</f>
      </c>
      <c r="AY64" s="33">
        <f>ROUND(AE64-AO64,2)</f>
      </c>
      <c r="AZ64" s="33">
        <f>ROUND(MAX(0,'Your debts'!$D$22-SUM($L64:$U64)),2)</f>
      </c>
      <c r="BA64" s="33">
        <f>ROUND(SUM($B64:$K64)-SUM($AP63:$AY63),2)</f>
      </c>
      <c r="BB64" s="33">
        <f>SUM($AP64:$AY64)</f>
      </c>
      <c r="BC64" s="33">
        <f>ROUND(SUM($L64:$U64)+SUM($AF64:$AO64),2)</f>
      </c>
    </row>
    <row r="65" spans="1:55" x14ac:dyDescent="0.25">
      <c r="A65">
        <v>58</v>
      </c>
      <c r="B65" s="33">
        <f>IF(AP64&lt;=0,0,ROUND(AP64+ROUND(AP64*V$3/12,2),2))</f>
      </c>
      <c r="C65" s="33">
        <f>IF(AQ64&lt;=0,0,ROUND(AQ64+ROUND(AQ64*W$3/12,2),2))</f>
      </c>
      <c r="D65" s="33">
        <f>IF(AR64&lt;=0,0,ROUND(AR64+ROUND(AR64*X$3/12,2),2))</f>
      </c>
      <c r="E65" s="33">
        <f>IF(AS64&lt;=0,0,ROUND(AS64+ROUND(AS64*Y$3/12,2),2))</f>
      </c>
      <c r="F65" s="33">
        <f>IF(AT64&lt;=0,0,ROUND(AT64+ROUND(AT64*Z$3/12,2),2))</f>
      </c>
      <c r="G65" s="33">
        <f>IF(AU64&lt;=0,0,ROUND(AU64+ROUND(AU64*AA$3/12,2),2))</f>
      </c>
      <c r="H65" s="33">
        <f>IF(AV64&lt;=0,0,ROUND(AV64+ROUND(AV64*AB$3/12,2),2))</f>
      </c>
      <c r="I65" s="33">
        <f>IF(AW64&lt;=0,0,ROUND(AW64+ROUND(AW64*AC$3/12,2),2))</f>
      </c>
      <c r="J65" s="33">
        <f>IF(AX64&lt;=0,0,ROUND(AX64+ROUND(AX64*AD$3/12,2),2))</f>
      </c>
      <c r="K65" s="33">
        <f>IF(AY64&lt;=0,0,ROUND(AY64+ROUND(AY64*AE$3/12,2),2))</f>
      </c>
      <c r="L65" s="33">
        <f>ROUND(MIN(MAX(0,N('Your debts'!$E$6)),B65),2)</f>
      </c>
      <c r="M65" s="33">
        <f>ROUND(MIN(MAX(0,N('Your debts'!$E$7)),C65),2)</f>
      </c>
      <c r="N65" s="33">
        <f>ROUND(MIN(MAX(0,N('Your debts'!$E$8)),D65),2)</f>
      </c>
      <c r="O65" s="33">
        <f>ROUND(MIN(MAX(0,N('Your debts'!$E$9)),E65),2)</f>
      </c>
      <c r="P65" s="33">
        <f>ROUND(MIN(MAX(0,N('Your debts'!$E$10)),F65),2)</f>
      </c>
      <c r="Q65" s="33">
        <f>ROUND(MIN(MAX(0,N('Your debts'!$E$11)),G65),2)</f>
      </c>
      <c r="R65" s="33">
        <f>ROUND(MIN(MAX(0,N('Your debts'!$E$12)),H65),2)</f>
      </c>
      <c r="S65" s="33">
        <f>ROUND(MIN(MAX(0,N('Your debts'!$E$13)),I65),2)</f>
      </c>
      <c r="T65" s="33">
        <f>ROUND(MIN(MAX(0,N('Your debts'!$E$14)),J65),2)</f>
      </c>
      <c r="U65" s="33">
        <f>ROUND(MIN(MAX(0,N('Your debts'!$E$15)),K65),2)</f>
      </c>
      <c r="V65" s="33">
        <f>ROUND(B65-L65,2)</f>
      </c>
      <c r="W65" s="33">
        <f>ROUND(C65-M65,2)</f>
      </c>
      <c r="X65" s="33">
        <f>ROUND(D65-N65,2)</f>
      </c>
      <c r="Y65" s="33">
        <f>ROUND(E65-O65,2)</f>
      </c>
      <c r="Z65" s="33">
        <f>ROUND(F65-P65,2)</f>
      </c>
      <c r="AA65" s="33">
        <f>ROUND(G65-Q65,2)</f>
      </c>
      <c r="AB65" s="33">
        <f>ROUND(H65-R65,2)</f>
      </c>
      <c r="AC65" s="33">
        <f>ROUND(I65-S65,2)</f>
      </c>
      <c r="AD65" s="33">
        <f>ROUND(J65-T65,2)</f>
      </c>
      <c r="AE65" s="33">
        <f>ROUND(K65-U65,2)</f>
      </c>
      <c r="AF65" s="33">
        <f>IF(V65&lt;=0,0,MAX(0,MIN(V65,ROUND($AZ65-SUMPRODUCT($V65:$AE65*($V65:$AE65&gt;0)*(($V$3:$AE$3&gt;V$3)+($V$3:$AE$3=V$3)*($V65:$AE65&lt;V65)+($V$3:$AE$3=V$3)*($V65:$AE65=V65)*($V$2:$AE$2&lt;V$2))),2))))</f>
      </c>
      <c r="AG65" s="33">
        <f>IF(W65&lt;=0,0,MAX(0,MIN(W65,ROUND($AZ65-SUMPRODUCT($V65:$AE65*($V65:$AE65&gt;0)*(($V$3:$AE$3&gt;W$3)+($V$3:$AE$3=W$3)*($V65:$AE65&lt;W65)+($V$3:$AE$3=W$3)*($V65:$AE65=W65)*($V$2:$AE$2&lt;W$2))),2))))</f>
      </c>
      <c r="AH65" s="33">
        <f>IF(X65&lt;=0,0,MAX(0,MIN(X65,ROUND($AZ65-SUMPRODUCT($V65:$AE65*($V65:$AE65&gt;0)*(($V$3:$AE$3&gt;X$3)+($V$3:$AE$3=X$3)*($V65:$AE65&lt;X65)+($V$3:$AE$3=X$3)*($V65:$AE65=X65)*($V$2:$AE$2&lt;X$2))),2))))</f>
      </c>
      <c r="AI65" s="33">
        <f>IF(Y65&lt;=0,0,MAX(0,MIN(Y65,ROUND($AZ65-SUMPRODUCT($V65:$AE65*($V65:$AE65&gt;0)*(($V$3:$AE$3&gt;Y$3)+($V$3:$AE$3=Y$3)*($V65:$AE65&lt;Y65)+($V$3:$AE$3=Y$3)*($V65:$AE65=Y65)*($V$2:$AE$2&lt;Y$2))),2))))</f>
      </c>
      <c r="AJ65" s="33">
        <f>IF(Z65&lt;=0,0,MAX(0,MIN(Z65,ROUND($AZ65-SUMPRODUCT($V65:$AE65*($V65:$AE65&gt;0)*(($V$3:$AE$3&gt;Z$3)+($V$3:$AE$3=Z$3)*($V65:$AE65&lt;Z65)+($V$3:$AE$3=Z$3)*($V65:$AE65=Z65)*($V$2:$AE$2&lt;Z$2))),2))))</f>
      </c>
      <c r="AK65" s="33">
        <f>IF(AA65&lt;=0,0,MAX(0,MIN(AA65,ROUND($AZ65-SUMPRODUCT($V65:$AE65*($V65:$AE65&gt;0)*(($V$3:$AE$3&gt;AA$3)+($V$3:$AE$3=AA$3)*($V65:$AE65&lt;AA65)+($V$3:$AE$3=AA$3)*($V65:$AE65=AA65)*($V$2:$AE$2&lt;AA$2))),2))))</f>
      </c>
      <c r="AL65" s="33">
        <f>IF(AB65&lt;=0,0,MAX(0,MIN(AB65,ROUND($AZ65-SUMPRODUCT($V65:$AE65*($V65:$AE65&gt;0)*(($V$3:$AE$3&gt;AB$3)+($V$3:$AE$3=AB$3)*($V65:$AE65&lt;AB65)+($V$3:$AE$3=AB$3)*($V65:$AE65=AB65)*($V$2:$AE$2&lt;AB$2))),2))))</f>
      </c>
      <c r="AM65" s="33">
        <f>IF(AC65&lt;=0,0,MAX(0,MIN(AC65,ROUND($AZ65-SUMPRODUCT($V65:$AE65*($V65:$AE65&gt;0)*(($V$3:$AE$3&gt;AC$3)+($V$3:$AE$3=AC$3)*($V65:$AE65&lt;AC65)+($V$3:$AE$3=AC$3)*($V65:$AE65=AC65)*($V$2:$AE$2&lt;AC$2))),2))))</f>
      </c>
      <c r="AN65" s="33">
        <f>IF(AD65&lt;=0,0,MAX(0,MIN(AD65,ROUND($AZ65-SUMPRODUCT($V65:$AE65*($V65:$AE65&gt;0)*(($V$3:$AE$3&gt;AD$3)+($V$3:$AE$3=AD$3)*($V65:$AE65&lt;AD65)+($V$3:$AE$3=AD$3)*($V65:$AE65=AD65)*($V$2:$AE$2&lt;AD$2))),2))))</f>
      </c>
      <c r="AO65" s="33">
        <f>IF(AE65&lt;=0,0,MAX(0,MIN(AE65,ROUND($AZ65-SUMPRODUCT($V65:$AE65*($V65:$AE65&gt;0)*(($V$3:$AE$3&gt;AE$3)+($V$3:$AE$3=AE$3)*($V65:$AE65&lt;AE65)+($V$3:$AE$3=AE$3)*($V65:$AE65=AE65)*($V$2:$AE$2&lt;AE$2))),2))))</f>
      </c>
      <c r="AP65" s="33">
        <f>ROUND(V65-AF65,2)</f>
      </c>
      <c r="AQ65" s="33">
        <f>ROUND(W65-AG65,2)</f>
      </c>
      <c r="AR65" s="33">
        <f>ROUND(X65-AH65,2)</f>
      </c>
      <c r="AS65" s="33">
        <f>ROUND(Y65-AI65,2)</f>
      </c>
      <c r="AT65" s="33">
        <f>ROUND(Z65-AJ65,2)</f>
      </c>
      <c r="AU65" s="33">
        <f>ROUND(AA65-AK65,2)</f>
      </c>
      <c r="AV65" s="33">
        <f>ROUND(AB65-AL65,2)</f>
      </c>
      <c r="AW65" s="33">
        <f>ROUND(AC65-AM65,2)</f>
      </c>
      <c r="AX65" s="33">
        <f>ROUND(AD65-AN65,2)</f>
      </c>
      <c r="AY65" s="33">
        <f>ROUND(AE65-AO65,2)</f>
      </c>
      <c r="AZ65" s="33">
        <f>ROUND(MAX(0,'Your debts'!$D$22-SUM($L65:$U65)),2)</f>
      </c>
      <c r="BA65" s="33">
        <f>ROUND(SUM($B65:$K65)-SUM($AP64:$AY64),2)</f>
      </c>
      <c r="BB65" s="33">
        <f>SUM($AP65:$AY65)</f>
      </c>
      <c r="BC65" s="33">
        <f>ROUND(SUM($L65:$U65)+SUM($AF65:$AO65),2)</f>
      </c>
    </row>
    <row r="66" spans="1:55" x14ac:dyDescent="0.25">
      <c r="A66">
        <v>59</v>
      </c>
      <c r="B66" s="33">
        <f>IF(AP65&lt;=0,0,ROUND(AP65+ROUND(AP65*V$3/12,2),2))</f>
      </c>
      <c r="C66" s="33">
        <f>IF(AQ65&lt;=0,0,ROUND(AQ65+ROUND(AQ65*W$3/12,2),2))</f>
      </c>
      <c r="D66" s="33">
        <f>IF(AR65&lt;=0,0,ROUND(AR65+ROUND(AR65*X$3/12,2),2))</f>
      </c>
      <c r="E66" s="33">
        <f>IF(AS65&lt;=0,0,ROUND(AS65+ROUND(AS65*Y$3/12,2),2))</f>
      </c>
      <c r="F66" s="33">
        <f>IF(AT65&lt;=0,0,ROUND(AT65+ROUND(AT65*Z$3/12,2),2))</f>
      </c>
      <c r="G66" s="33">
        <f>IF(AU65&lt;=0,0,ROUND(AU65+ROUND(AU65*AA$3/12,2),2))</f>
      </c>
      <c r="H66" s="33">
        <f>IF(AV65&lt;=0,0,ROUND(AV65+ROUND(AV65*AB$3/12,2),2))</f>
      </c>
      <c r="I66" s="33">
        <f>IF(AW65&lt;=0,0,ROUND(AW65+ROUND(AW65*AC$3/12,2),2))</f>
      </c>
      <c r="J66" s="33">
        <f>IF(AX65&lt;=0,0,ROUND(AX65+ROUND(AX65*AD$3/12,2),2))</f>
      </c>
      <c r="K66" s="33">
        <f>IF(AY65&lt;=0,0,ROUND(AY65+ROUND(AY65*AE$3/12,2),2))</f>
      </c>
      <c r="L66" s="33">
        <f>ROUND(MIN(MAX(0,N('Your debts'!$E$6)),B66),2)</f>
      </c>
      <c r="M66" s="33">
        <f>ROUND(MIN(MAX(0,N('Your debts'!$E$7)),C66),2)</f>
      </c>
      <c r="N66" s="33">
        <f>ROUND(MIN(MAX(0,N('Your debts'!$E$8)),D66),2)</f>
      </c>
      <c r="O66" s="33">
        <f>ROUND(MIN(MAX(0,N('Your debts'!$E$9)),E66),2)</f>
      </c>
      <c r="P66" s="33">
        <f>ROUND(MIN(MAX(0,N('Your debts'!$E$10)),F66),2)</f>
      </c>
      <c r="Q66" s="33">
        <f>ROUND(MIN(MAX(0,N('Your debts'!$E$11)),G66),2)</f>
      </c>
      <c r="R66" s="33">
        <f>ROUND(MIN(MAX(0,N('Your debts'!$E$12)),H66),2)</f>
      </c>
      <c r="S66" s="33">
        <f>ROUND(MIN(MAX(0,N('Your debts'!$E$13)),I66),2)</f>
      </c>
      <c r="T66" s="33">
        <f>ROUND(MIN(MAX(0,N('Your debts'!$E$14)),J66),2)</f>
      </c>
      <c r="U66" s="33">
        <f>ROUND(MIN(MAX(0,N('Your debts'!$E$15)),K66),2)</f>
      </c>
      <c r="V66" s="33">
        <f>ROUND(B66-L66,2)</f>
      </c>
      <c r="W66" s="33">
        <f>ROUND(C66-M66,2)</f>
      </c>
      <c r="X66" s="33">
        <f>ROUND(D66-N66,2)</f>
      </c>
      <c r="Y66" s="33">
        <f>ROUND(E66-O66,2)</f>
      </c>
      <c r="Z66" s="33">
        <f>ROUND(F66-P66,2)</f>
      </c>
      <c r="AA66" s="33">
        <f>ROUND(G66-Q66,2)</f>
      </c>
      <c r="AB66" s="33">
        <f>ROUND(H66-R66,2)</f>
      </c>
      <c r="AC66" s="33">
        <f>ROUND(I66-S66,2)</f>
      </c>
      <c r="AD66" s="33">
        <f>ROUND(J66-T66,2)</f>
      </c>
      <c r="AE66" s="33">
        <f>ROUND(K66-U66,2)</f>
      </c>
      <c r="AF66" s="33">
        <f>IF(V66&lt;=0,0,MAX(0,MIN(V66,ROUND($AZ66-SUMPRODUCT($V66:$AE66*($V66:$AE66&gt;0)*(($V$3:$AE$3&gt;V$3)+($V$3:$AE$3=V$3)*($V66:$AE66&lt;V66)+($V$3:$AE$3=V$3)*($V66:$AE66=V66)*($V$2:$AE$2&lt;V$2))),2))))</f>
      </c>
      <c r="AG66" s="33">
        <f>IF(W66&lt;=0,0,MAX(0,MIN(W66,ROUND($AZ66-SUMPRODUCT($V66:$AE66*($V66:$AE66&gt;0)*(($V$3:$AE$3&gt;W$3)+($V$3:$AE$3=W$3)*($V66:$AE66&lt;W66)+($V$3:$AE$3=W$3)*($V66:$AE66=W66)*($V$2:$AE$2&lt;W$2))),2))))</f>
      </c>
      <c r="AH66" s="33">
        <f>IF(X66&lt;=0,0,MAX(0,MIN(X66,ROUND($AZ66-SUMPRODUCT($V66:$AE66*($V66:$AE66&gt;0)*(($V$3:$AE$3&gt;X$3)+($V$3:$AE$3=X$3)*($V66:$AE66&lt;X66)+($V$3:$AE$3=X$3)*($V66:$AE66=X66)*($V$2:$AE$2&lt;X$2))),2))))</f>
      </c>
      <c r="AI66" s="33">
        <f>IF(Y66&lt;=0,0,MAX(0,MIN(Y66,ROUND($AZ66-SUMPRODUCT($V66:$AE66*($V66:$AE66&gt;0)*(($V$3:$AE$3&gt;Y$3)+($V$3:$AE$3=Y$3)*($V66:$AE66&lt;Y66)+($V$3:$AE$3=Y$3)*($V66:$AE66=Y66)*($V$2:$AE$2&lt;Y$2))),2))))</f>
      </c>
      <c r="AJ66" s="33">
        <f>IF(Z66&lt;=0,0,MAX(0,MIN(Z66,ROUND($AZ66-SUMPRODUCT($V66:$AE66*($V66:$AE66&gt;0)*(($V$3:$AE$3&gt;Z$3)+($V$3:$AE$3=Z$3)*($V66:$AE66&lt;Z66)+($V$3:$AE$3=Z$3)*($V66:$AE66=Z66)*($V$2:$AE$2&lt;Z$2))),2))))</f>
      </c>
      <c r="AK66" s="33">
        <f>IF(AA66&lt;=0,0,MAX(0,MIN(AA66,ROUND($AZ66-SUMPRODUCT($V66:$AE66*($V66:$AE66&gt;0)*(($V$3:$AE$3&gt;AA$3)+($V$3:$AE$3=AA$3)*($V66:$AE66&lt;AA66)+($V$3:$AE$3=AA$3)*($V66:$AE66=AA66)*($V$2:$AE$2&lt;AA$2))),2))))</f>
      </c>
      <c r="AL66" s="33">
        <f>IF(AB66&lt;=0,0,MAX(0,MIN(AB66,ROUND($AZ66-SUMPRODUCT($V66:$AE66*($V66:$AE66&gt;0)*(($V$3:$AE$3&gt;AB$3)+($V$3:$AE$3=AB$3)*($V66:$AE66&lt;AB66)+($V$3:$AE$3=AB$3)*($V66:$AE66=AB66)*($V$2:$AE$2&lt;AB$2))),2))))</f>
      </c>
      <c r="AM66" s="33">
        <f>IF(AC66&lt;=0,0,MAX(0,MIN(AC66,ROUND($AZ66-SUMPRODUCT($V66:$AE66*($V66:$AE66&gt;0)*(($V$3:$AE$3&gt;AC$3)+($V$3:$AE$3=AC$3)*($V66:$AE66&lt;AC66)+($V$3:$AE$3=AC$3)*($V66:$AE66=AC66)*($V$2:$AE$2&lt;AC$2))),2))))</f>
      </c>
      <c r="AN66" s="33">
        <f>IF(AD66&lt;=0,0,MAX(0,MIN(AD66,ROUND($AZ66-SUMPRODUCT($V66:$AE66*($V66:$AE66&gt;0)*(($V$3:$AE$3&gt;AD$3)+($V$3:$AE$3=AD$3)*($V66:$AE66&lt;AD66)+($V$3:$AE$3=AD$3)*($V66:$AE66=AD66)*($V$2:$AE$2&lt;AD$2))),2))))</f>
      </c>
      <c r="AO66" s="33">
        <f>IF(AE66&lt;=0,0,MAX(0,MIN(AE66,ROUND($AZ66-SUMPRODUCT($V66:$AE66*($V66:$AE66&gt;0)*(($V$3:$AE$3&gt;AE$3)+($V$3:$AE$3=AE$3)*($V66:$AE66&lt;AE66)+($V$3:$AE$3=AE$3)*($V66:$AE66=AE66)*($V$2:$AE$2&lt;AE$2))),2))))</f>
      </c>
      <c r="AP66" s="33">
        <f>ROUND(V66-AF66,2)</f>
      </c>
      <c r="AQ66" s="33">
        <f>ROUND(W66-AG66,2)</f>
      </c>
      <c r="AR66" s="33">
        <f>ROUND(X66-AH66,2)</f>
      </c>
      <c r="AS66" s="33">
        <f>ROUND(Y66-AI66,2)</f>
      </c>
      <c r="AT66" s="33">
        <f>ROUND(Z66-AJ66,2)</f>
      </c>
      <c r="AU66" s="33">
        <f>ROUND(AA66-AK66,2)</f>
      </c>
      <c r="AV66" s="33">
        <f>ROUND(AB66-AL66,2)</f>
      </c>
      <c r="AW66" s="33">
        <f>ROUND(AC66-AM66,2)</f>
      </c>
      <c r="AX66" s="33">
        <f>ROUND(AD66-AN66,2)</f>
      </c>
      <c r="AY66" s="33">
        <f>ROUND(AE66-AO66,2)</f>
      </c>
      <c r="AZ66" s="33">
        <f>ROUND(MAX(0,'Your debts'!$D$22-SUM($L66:$U66)),2)</f>
      </c>
      <c r="BA66" s="33">
        <f>ROUND(SUM($B66:$K66)-SUM($AP65:$AY65),2)</f>
      </c>
      <c r="BB66" s="33">
        <f>SUM($AP66:$AY66)</f>
      </c>
      <c r="BC66" s="33">
        <f>ROUND(SUM($L66:$U66)+SUM($AF66:$AO66),2)</f>
      </c>
    </row>
    <row r="67" spans="1:55" x14ac:dyDescent="0.25">
      <c r="A67">
        <v>60</v>
      </c>
      <c r="B67" s="33">
        <f>IF(AP66&lt;=0,0,ROUND(AP66+ROUND(AP66*V$3/12,2),2))</f>
      </c>
      <c r="C67" s="33">
        <f>IF(AQ66&lt;=0,0,ROUND(AQ66+ROUND(AQ66*W$3/12,2),2))</f>
      </c>
      <c r="D67" s="33">
        <f>IF(AR66&lt;=0,0,ROUND(AR66+ROUND(AR66*X$3/12,2),2))</f>
      </c>
      <c r="E67" s="33">
        <f>IF(AS66&lt;=0,0,ROUND(AS66+ROUND(AS66*Y$3/12,2),2))</f>
      </c>
      <c r="F67" s="33">
        <f>IF(AT66&lt;=0,0,ROUND(AT66+ROUND(AT66*Z$3/12,2),2))</f>
      </c>
      <c r="G67" s="33">
        <f>IF(AU66&lt;=0,0,ROUND(AU66+ROUND(AU66*AA$3/12,2),2))</f>
      </c>
      <c r="H67" s="33">
        <f>IF(AV66&lt;=0,0,ROUND(AV66+ROUND(AV66*AB$3/12,2),2))</f>
      </c>
      <c r="I67" s="33">
        <f>IF(AW66&lt;=0,0,ROUND(AW66+ROUND(AW66*AC$3/12,2),2))</f>
      </c>
      <c r="J67" s="33">
        <f>IF(AX66&lt;=0,0,ROUND(AX66+ROUND(AX66*AD$3/12,2),2))</f>
      </c>
      <c r="K67" s="33">
        <f>IF(AY66&lt;=0,0,ROUND(AY66+ROUND(AY66*AE$3/12,2),2))</f>
      </c>
      <c r="L67" s="33">
        <f>ROUND(MIN(MAX(0,N('Your debts'!$E$6)),B67),2)</f>
      </c>
      <c r="M67" s="33">
        <f>ROUND(MIN(MAX(0,N('Your debts'!$E$7)),C67),2)</f>
      </c>
      <c r="N67" s="33">
        <f>ROUND(MIN(MAX(0,N('Your debts'!$E$8)),D67),2)</f>
      </c>
      <c r="O67" s="33">
        <f>ROUND(MIN(MAX(0,N('Your debts'!$E$9)),E67),2)</f>
      </c>
      <c r="P67" s="33">
        <f>ROUND(MIN(MAX(0,N('Your debts'!$E$10)),F67),2)</f>
      </c>
      <c r="Q67" s="33">
        <f>ROUND(MIN(MAX(0,N('Your debts'!$E$11)),G67),2)</f>
      </c>
      <c r="R67" s="33">
        <f>ROUND(MIN(MAX(0,N('Your debts'!$E$12)),H67),2)</f>
      </c>
      <c r="S67" s="33">
        <f>ROUND(MIN(MAX(0,N('Your debts'!$E$13)),I67),2)</f>
      </c>
      <c r="T67" s="33">
        <f>ROUND(MIN(MAX(0,N('Your debts'!$E$14)),J67),2)</f>
      </c>
      <c r="U67" s="33">
        <f>ROUND(MIN(MAX(0,N('Your debts'!$E$15)),K67),2)</f>
      </c>
      <c r="V67" s="33">
        <f>ROUND(B67-L67,2)</f>
      </c>
      <c r="W67" s="33">
        <f>ROUND(C67-M67,2)</f>
      </c>
      <c r="X67" s="33">
        <f>ROUND(D67-N67,2)</f>
      </c>
      <c r="Y67" s="33">
        <f>ROUND(E67-O67,2)</f>
      </c>
      <c r="Z67" s="33">
        <f>ROUND(F67-P67,2)</f>
      </c>
      <c r="AA67" s="33">
        <f>ROUND(G67-Q67,2)</f>
      </c>
      <c r="AB67" s="33">
        <f>ROUND(H67-R67,2)</f>
      </c>
      <c r="AC67" s="33">
        <f>ROUND(I67-S67,2)</f>
      </c>
      <c r="AD67" s="33">
        <f>ROUND(J67-T67,2)</f>
      </c>
      <c r="AE67" s="33">
        <f>ROUND(K67-U67,2)</f>
      </c>
      <c r="AF67" s="33">
        <f>IF(V67&lt;=0,0,MAX(0,MIN(V67,ROUND($AZ67-SUMPRODUCT($V67:$AE67*($V67:$AE67&gt;0)*(($V$3:$AE$3&gt;V$3)+($V$3:$AE$3=V$3)*($V67:$AE67&lt;V67)+($V$3:$AE$3=V$3)*($V67:$AE67=V67)*($V$2:$AE$2&lt;V$2))),2))))</f>
      </c>
      <c r="AG67" s="33">
        <f>IF(W67&lt;=0,0,MAX(0,MIN(W67,ROUND($AZ67-SUMPRODUCT($V67:$AE67*($V67:$AE67&gt;0)*(($V$3:$AE$3&gt;W$3)+($V$3:$AE$3=W$3)*($V67:$AE67&lt;W67)+($V$3:$AE$3=W$3)*($V67:$AE67=W67)*($V$2:$AE$2&lt;W$2))),2))))</f>
      </c>
      <c r="AH67" s="33">
        <f>IF(X67&lt;=0,0,MAX(0,MIN(X67,ROUND($AZ67-SUMPRODUCT($V67:$AE67*($V67:$AE67&gt;0)*(($V$3:$AE$3&gt;X$3)+($V$3:$AE$3=X$3)*($V67:$AE67&lt;X67)+($V$3:$AE$3=X$3)*($V67:$AE67=X67)*($V$2:$AE$2&lt;X$2))),2))))</f>
      </c>
      <c r="AI67" s="33">
        <f>IF(Y67&lt;=0,0,MAX(0,MIN(Y67,ROUND($AZ67-SUMPRODUCT($V67:$AE67*($V67:$AE67&gt;0)*(($V$3:$AE$3&gt;Y$3)+($V$3:$AE$3=Y$3)*($V67:$AE67&lt;Y67)+($V$3:$AE$3=Y$3)*($V67:$AE67=Y67)*($V$2:$AE$2&lt;Y$2))),2))))</f>
      </c>
      <c r="AJ67" s="33">
        <f>IF(Z67&lt;=0,0,MAX(0,MIN(Z67,ROUND($AZ67-SUMPRODUCT($V67:$AE67*($V67:$AE67&gt;0)*(($V$3:$AE$3&gt;Z$3)+($V$3:$AE$3=Z$3)*($V67:$AE67&lt;Z67)+($V$3:$AE$3=Z$3)*($V67:$AE67=Z67)*($V$2:$AE$2&lt;Z$2))),2))))</f>
      </c>
      <c r="AK67" s="33">
        <f>IF(AA67&lt;=0,0,MAX(0,MIN(AA67,ROUND($AZ67-SUMPRODUCT($V67:$AE67*($V67:$AE67&gt;0)*(($V$3:$AE$3&gt;AA$3)+($V$3:$AE$3=AA$3)*($V67:$AE67&lt;AA67)+($V$3:$AE$3=AA$3)*($V67:$AE67=AA67)*($V$2:$AE$2&lt;AA$2))),2))))</f>
      </c>
      <c r="AL67" s="33">
        <f>IF(AB67&lt;=0,0,MAX(0,MIN(AB67,ROUND($AZ67-SUMPRODUCT($V67:$AE67*($V67:$AE67&gt;0)*(($V$3:$AE$3&gt;AB$3)+($V$3:$AE$3=AB$3)*($V67:$AE67&lt;AB67)+($V$3:$AE$3=AB$3)*($V67:$AE67=AB67)*($V$2:$AE$2&lt;AB$2))),2))))</f>
      </c>
      <c r="AM67" s="33">
        <f>IF(AC67&lt;=0,0,MAX(0,MIN(AC67,ROUND($AZ67-SUMPRODUCT($V67:$AE67*($V67:$AE67&gt;0)*(($V$3:$AE$3&gt;AC$3)+($V$3:$AE$3=AC$3)*($V67:$AE67&lt;AC67)+($V$3:$AE$3=AC$3)*($V67:$AE67=AC67)*($V$2:$AE$2&lt;AC$2))),2))))</f>
      </c>
      <c r="AN67" s="33">
        <f>IF(AD67&lt;=0,0,MAX(0,MIN(AD67,ROUND($AZ67-SUMPRODUCT($V67:$AE67*($V67:$AE67&gt;0)*(($V$3:$AE$3&gt;AD$3)+($V$3:$AE$3=AD$3)*($V67:$AE67&lt;AD67)+($V$3:$AE$3=AD$3)*($V67:$AE67=AD67)*($V$2:$AE$2&lt;AD$2))),2))))</f>
      </c>
      <c r="AO67" s="33">
        <f>IF(AE67&lt;=0,0,MAX(0,MIN(AE67,ROUND($AZ67-SUMPRODUCT($V67:$AE67*($V67:$AE67&gt;0)*(($V$3:$AE$3&gt;AE$3)+($V$3:$AE$3=AE$3)*($V67:$AE67&lt;AE67)+($V$3:$AE$3=AE$3)*($V67:$AE67=AE67)*($V$2:$AE$2&lt;AE$2))),2))))</f>
      </c>
      <c r="AP67" s="33">
        <f>ROUND(V67-AF67,2)</f>
      </c>
      <c r="AQ67" s="33">
        <f>ROUND(W67-AG67,2)</f>
      </c>
      <c r="AR67" s="33">
        <f>ROUND(X67-AH67,2)</f>
      </c>
      <c r="AS67" s="33">
        <f>ROUND(Y67-AI67,2)</f>
      </c>
      <c r="AT67" s="33">
        <f>ROUND(Z67-AJ67,2)</f>
      </c>
      <c r="AU67" s="33">
        <f>ROUND(AA67-AK67,2)</f>
      </c>
      <c r="AV67" s="33">
        <f>ROUND(AB67-AL67,2)</f>
      </c>
      <c r="AW67" s="33">
        <f>ROUND(AC67-AM67,2)</f>
      </c>
      <c r="AX67" s="33">
        <f>ROUND(AD67-AN67,2)</f>
      </c>
      <c r="AY67" s="33">
        <f>ROUND(AE67-AO67,2)</f>
      </c>
      <c r="AZ67" s="33">
        <f>ROUND(MAX(0,'Your debts'!$D$22-SUM($L67:$U67)),2)</f>
      </c>
      <c r="BA67" s="33">
        <f>ROUND(SUM($B67:$K67)-SUM($AP66:$AY66),2)</f>
      </c>
      <c r="BB67" s="33">
        <f>SUM($AP67:$AY67)</f>
      </c>
      <c r="BC67" s="33">
        <f>ROUND(SUM($L67:$U67)+SUM($AF67:$AO67),2)</f>
      </c>
    </row>
    <row r="68" spans="1:55" x14ac:dyDescent="0.25">
      <c r="A68">
        <v>61</v>
      </c>
      <c r="B68" s="33">
        <f>IF(AP67&lt;=0,0,ROUND(AP67+ROUND(AP67*V$3/12,2),2))</f>
      </c>
      <c r="C68" s="33">
        <f>IF(AQ67&lt;=0,0,ROUND(AQ67+ROUND(AQ67*W$3/12,2),2))</f>
      </c>
      <c r="D68" s="33">
        <f>IF(AR67&lt;=0,0,ROUND(AR67+ROUND(AR67*X$3/12,2),2))</f>
      </c>
      <c r="E68" s="33">
        <f>IF(AS67&lt;=0,0,ROUND(AS67+ROUND(AS67*Y$3/12,2),2))</f>
      </c>
      <c r="F68" s="33">
        <f>IF(AT67&lt;=0,0,ROUND(AT67+ROUND(AT67*Z$3/12,2),2))</f>
      </c>
      <c r="G68" s="33">
        <f>IF(AU67&lt;=0,0,ROUND(AU67+ROUND(AU67*AA$3/12,2),2))</f>
      </c>
      <c r="H68" s="33">
        <f>IF(AV67&lt;=0,0,ROUND(AV67+ROUND(AV67*AB$3/12,2),2))</f>
      </c>
      <c r="I68" s="33">
        <f>IF(AW67&lt;=0,0,ROUND(AW67+ROUND(AW67*AC$3/12,2),2))</f>
      </c>
      <c r="J68" s="33">
        <f>IF(AX67&lt;=0,0,ROUND(AX67+ROUND(AX67*AD$3/12,2),2))</f>
      </c>
      <c r="K68" s="33">
        <f>IF(AY67&lt;=0,0,ROUND(AY67+ROUND(AY67*AE$3/12,2),2))</f>
      </c>
      <c r="L68" s="33">
        <f>ROUND(MIN(MAX(0,N('Your debts'!$E$6)),B68),2)</f>
      </c>
      <c r="M68" s="33">
        <f>ROUND(MIN(MAX(0,N('Your debts'!$E$7)),C68),2)</f>
      </c>
      <c r="N68" s="33">
        <f>ROUND(MIN(MAX(0,N('Your debts'!$E$8)),D68),2)</f>
      </c>
      <c r="O68" s="33">
        <f>ROUND(MIN(MAX(0,N('Your debts'!$E$9)),E68),2)</f>
      </c>
      <c r="P68" s="33">
        <f>ROUND(MIN(MAX(0,N('Your debts'!$E$10)),F68),2)</f>
      </c>
      <c r="Q68" s="33">
        <f>ROUND(MIN(MAX(0,N('Your debts'!$E$11)),G68),2)</f>
      </c>
      <c r="R68" s="33">
        <f>ROUND(MIN(MAX(0,N('Your debts'!$E$12)),H68),2)</f>
      </c>
      <c r="S68" s="33">
        <f>ROUND(MIN(MAX(0,N('Your debts'!$E$13)),I68),2)</f>
      </c>
      <c r="T68" s="33">
        <f>ROUND(MIN(MAX(0,N('Your debts'!$E$14)),J68),2)</f>
      </c>
      <c r="U68" s="33">
        <f>ROUND(MIN(MAX(0,N('Your debts'!$E$15)),K68),2)</f>
      </c>
      <c r="V68" s="33">
        <f>ROUND(B68-L68,2)</f>
      </c>
      <c r="W68" s="33">
        <f>ROUND(C68-M68,2)</f>
      </c>
      <c r="X68" s="33">
        <f>ROUND(D68-N68,2)</f>
      </c>
      <c r="Y68" s="33">
        <f>ROUND(E68-O68,2)</f>
      </c>
      <c r="Z68" s="33">
        <f>ROUND(F68-P68,2)</f>
      </c>
      <c r="AA68" s="33">
        <f>ROUND(G68-Q68,2)</f>
      </c>
      <c r="AB68" s="33">
        <f>ROUND(H68-R68,2)</f>
      </c>
      <c r="AC68" s="33">
        <f>ROUND(I68-S68,2)</f>
      </c>
      <c r="AD68" s="33">
        <f>ROUND(J68-T68,2)</f>
      </c>
      <c r="AE68" s="33">
        <f>ROUND(K68-U68,2)</f>
      </c>
      <c r="AF68" s="33">
        <f>IF(V68&lt;=0,0,MAX(0,MIN(V68,ROUND($AZ68-SUMPRODUCT($V68:$AE68*($V68:$AE68&gt;0)*(($V$3:$AE$3&gt;V$3)+($V$3:$AE$3=V$3)*($V68:$AE68&lt;V68)+($V$3:$AE$3=V$3)*($V68:$AE68=V68)*($V$2:$AE$2&lt;V$2))),2))))</f>
      </c>
      <c r="AG68" s="33">
        <f>IF(W68&lt;=0,0,MAX(0,MIN(W68,ROUND($AZ68-SUMPRODUCT($V68:$AE68*($V68:$AE68&gt;0)*(($V$3:$AE$3&gt;W$3)+($V$3:$AE$3=W$3)*($V68:$AE68&lt;W68)+($V$3:$AE$3=W$3)*($V68:$AE68=W68)*($V$2:$AE$2&lt;W$2))),2))))</f>
      </c>
      <c r="AH68" s="33">
        <f>IF(X68&lt;=0,0,MAX(0,MIN(X68,ROUND($AZ68-SUMPRODUCT($V68:$AE68*($V68:$AE68&gt;0)*(($V$3:$AE$3&gt;X$3)+($V$3:$AE$3=X$3)*($V68:$AE68&lt;X68)+($V$3:$AE$3=X$3)*($V68:$AE68=X68)*($V$2:$AE$2&lt;X$2))),2))))</f>
      </c>
      <c r="AI68" s="33">
        <f>IF(Y68&lt;=0,0,MAX(0,MIN(Y68,ROUND($AZ68-SUMPRODUCT($V68:$AE68*($V68:$AE68&gt;0)*(($V$3:$AE$3&gt;Y$3)+($V$3:$AE$3=Y$3)*($V68:$AE68&lt;Y68)+($V$3:$AE$3=Y$3)*($V68:$AE68=Y68)*($V$2:$AE$2&lt;Y$2))),2))))</f>
      </c>
      <c r="AJ68" s="33">
        <f>IF(Z68&lt;=0,0,MAX(0,MIN(Z68,ROUND($AZ68-SUMPRODUCT($V68:$AE68*($V68:$AE68&gt;0)*(($V$3:$AE$3&gt;Z$3)+($V$3:$AE$3=Z$3)*($V68:$AE68&lt;Z68)+($V$3:$AE$3=Z$3)*($V68:$AE68=Z68)*($V$2:$AE$2&lt;Z$2))),2))))</f>
      </c>
      <c r="AK68" s="33">
        <f>IF(AA68&lt;=0,0,MAX(0,MIN(AA68,ROUND($AZ68-SUMPRODUCT($V68:$AE68*($V68:$AE68&gt;0)*(($V$3:$AE$3&gt;AA$3)+($V$3:$AE$3=AA$3)*($V68:$AE68&lt;AA68)+($V$3:$AE$3=AA$3)*($V68:$AE68=AA68)*($V$2:$AE$2&lt;AA$2))),2))))</f>
      </c>
      <c r="AL68" s="33">
        <f>IF(AB68&lt;=0,0,MAX(0,MIN(AB68,ROUND($AZ68-SUMPRODUCT($V68:$AE68*($V68:$AE68&gt;0)*(($V$3:$AE$3&gt;AB$3)+($V$3:$AE$3=AB$3)*($V68:$AE68&lt;AB68)+($V$3:$AE$3=AB$3)*($V68:$AE68=AB68)*($V$2:$AE$2&lt;AB$2))),2))))</f>
      </c>
      <c r="AM68" s="33">
        <f>IF(AC68&lt;=0,0,MAX(0,MIN(AC68,ROUND($AZ68-SUMPRODUCT($V68:$AE68*($V68:$AE68&gt;0)*(($V$3:$AE$3&gt;AC$3)+($V$3:$AE$3=AC$3)*($V68:$AE68&lt;AC68)+($V$3:$AE$3=AC$3)*($V68:$AE68=AC68)*($V$2:$AE$2&lt;AC$2))),2))))</f>
      </c>
      <c r="AN68" s="33">
        <f>IF(AD68&lt;=0,0,MAX(0,MIN(AD68,ROUND($AZ68-SUMPRODUCT($V68:$AE68*($V68:$AE68&gt;0)*(($V$3:$AE$3&gt;AD$3)+($V$3:$AE$3=AD$3)*($V68:$AE68&lt;AD68)+($V$3:$AE$3=AD$3)*($V68:$AE68=AD68)*($V$2:$AE$2&lt;AD$2))),2))))</f>
      </c>
      <c r="AO68" s="33">
        <f>IF(AE68&lt;=0,0,MAX(0,MIN(AE68,ROUND($AZ68-SUMPRODUCT($V68:$AE68*($V68:$AE68&gt;0)*(($V$3:$AE$3&gt;AE$3)+($V$3:$AE$3=AE$3)*($V68:$AE68&lt;AE68)+($V$3:$AE$3=AE$3)*($V68:$AE68=AE68)*($V$2:$AE$2&lt;AE$2))),2))))</f>
      </c>
      <c r="AP68" s="33">
        <f>ROUND(V68-AF68,2)</f>
      </c>
      <c r="AQ68" s="33">
        <f>ROUND(W68-AG68,2)</f>
      </c>
      <c r="AR68" s="33">
        <f>ROUND(X68-AH68,2)</f>
      </c>
      <c r="AS68" s="33">
        <f>ROUND(Y68-AI68,2)</f>
      </c>
      <c r="AT68" s="33">
        <f>ROUND(Z68-AJ68,2)</f>
      </c>
      <c r="AU68" s="33">
        <f>ROUND(AA68-AK68,2)</f>
      </c>
      <c r="AV68" s="33">
        <f>ROUND(AB68-AL68,2)</f>
      </c>
      <c r="AW68" s="33">
        <f>ROUND(AC68-AM68,2)</f>
      </c>
      <c r="AX68" s="33">
        <f>ROUND(AD68-AN68,2)</f>
      </c>
      <c r="AY68" s="33">
        <f>ROUND(AE68-AO68,2)</f>
      </c>
      <c r="AZ68" s="33">
        <f>ROUND(MAX(0,'Your debts'!$D$22-SUM($L68:$U68)),2)</f>
      </c>
      <c r="BA68" s="33">
        <f>ROUND(SUM($B68:$K68)-SUM($AP67:$AY67),2)</f>
      </c>
      <c r="BB68" s="33">
        <f>SUM($AP68:$AY68)</f>
      </c>
      <c r="BC68" s="33">
        <f>ROUND(SUM($L68:$U68)+SUM($AF68:$AO68),2)</f>
      </c>
    </row>
    <row r="69" spans="1:55" x14ac:dyDescent="0.25">
      <c r="A69">
        <v>62</v>
      </c>
      <c r="B69" s="33">
        <f>IF(AP68&lt;=0,0,ROUND(AP68+ROUND(AP68*V$3/12,2),2))</f>
      </c>
      <c r="C69" s="33">
        <f>IF(AQ68&lt;=0,0,ROUND(AQ68+ROUND(AQ68*W$3/12,2),2))</f>
      </c>
      <c r="D69" s="33">
        <f>IF(AR68&lt;=0,0,ROUND(AR68+ROUND(AR68*X$3/12,2),2))</f>
      </c>
      <c r="E69" s="33">
        <f>IF(AS68&lt;=0,0,ROUND(AS68+ROUND(AS68*Y$3/12,2),2))</f>
      </c>
      <c r="F69" s="33">
        <f>IF(AT68&lt;=0,0,ROUND(AT68+ROUND(AT68*Z$3/12,2),2))</f>
      </c>
      <c r="G69" s="33">
        <f>IF(AU68&lt;=0,0,ROUND(AU68+ROUND(AU68*AA$3/12,2),2))</f>
      </c>
      <c r="H69" s="33">
        <f>IF(AV68&lt;=0,0,ROUND(AV68+ROUND(AV68*AB$3/12,2),2))</f>
      </c>
      <c r="I69" s="33">
        <f>IF(AW68&lt;=0,0,ROUND(AW68+ROUND(AW68*AC$3/12,2),2))</f>
      </c>
      <c r="J69" s="33">
        <f>IF(AX68&lt;=0,0,ROUND(AX68+ROUND(AX68*AD$3/12,2),2))</f>
      </c>
      <c r="K69" s="33">
        <f>IF(AY68&lt;=0,0,ROUND(AY68+ROUND(AY68*AE$3/12,2),2))</f>
      </c>
      <c r="L69" s="33">
        <f>ROUND(MIN(MAX(0,N('Your debts'!$E$6)),B69),2)</f>
      </c>
      <c r="M69" s="33">
        <f>ROUND(MIN(MAX(0,N('Your debts'!$E$7)),C69),2)</f>
      </c>
      <c r="N69" s="33">
        <f>ROUND(MIN(MAX(0,N('Your debts'!$E$8)),D69),2)</f>
      </c>
      <c r="O69" s="33">
        <f>ROUND(MIN(MAX(0,N('Your debts'!$E$9)),E69),2)</f>
      </c>
      <c r="P69" s="33">
        <f>ROUND(MIN(MAX(0,N('Your debts'!$E$10)),F69),2)</f>
      </c>
      <c r="Q69" s="33">
        <f>ROUND(MIN(MAX(0,N('Your debts'!$E$11)),G69),2)</f>
      </c>
      <c r="R69" s="33">
        <f>ROUND(MIN(MAX(0,N('Your debts'!$E$12)),H69),2)</f>
      </c>
      <c r="S69" s="33">
        <f>ROUND(MIN(MAX(0,N('Your debts'!$E$13)),I69),2)</f>
      </c>
      <c r="T69" s="33">
        <f>ROUND(MIN(MAX(0,N('Your debts'!$E$14)),J69),2)</f>
      </c>
      <c r="U69" s="33">
        <f>ROUND(MIN(MAX(0,N('Your debts'!$E$15)),K69),2)</f>
      </c>
      <c r="V69" s="33">
        <f>ROUND(B69-L69,2)</f>
      </c>
      <c r="W69" s="33">
        <f>ROUND(C69-M69,2)</f>
      </c>
      <c r="X69" s="33">
        <f>ROUND(D69-N69,2)</f>
      </c>
      <c r="Y69" s="33">
        <f>ROUND(E69-O69,2)</f>
      </c>
      <c r="Z69" s="33">
        <f>ROUND(F69-P69,2)</f>
      </c>
      <c r="AA69" s="33">
        <f>ROUND(G69-Q69,2)</f>
      </c>
      <c r="AB69" s="33">
        <f>ROUND(H69-R69,2)</f>
      </c>
      <c r="AC69" s="33">
        <f>ROUND(I69-S69,2)</f>
      </c>
      <c r="AD69" s="33">
        <f>ROUND(J69-T69,2)</f>
      </c>
      <c r="AE69" s="33">
        <f>ROUND(K69-U69,2)</f>
      </c>
      <c r="AF69" s="33">
        <f>IF(V69&lt;=0,0,MAX(0,MIN(V69,ROUND($AZ69-SUMPRODUCT($V69:$AE69*($V69:$AE69&gt;0)*(($V$3:$AE$3&gt;V$3)+($V$3:$AE$3=V$3)*($V69:$AE69&lt;V69)+($V$3:$AE$3=V$3)*($V69:$AE69=V69)*($V$2:$AE$2&lt;V$2))),2))))</f>
      </c>
      <c r="AG69" s="33">
        <f>IF(W69&lt;=0,0,MAX(0,MIN(W69,ROUND($AZ69-SUMPRODUCT($V69:$AE69*($V69:$AE69&gt;0)*(($V$3:$AE$3&gt;W$3)+($V$3:$AE$3=W$3)*($V69:$AE69&lt;W69)+($V$3:$AE$3=W$3)*($V69:$AE69=W69)*($V$2:$AE$2&lt;W$2))),2))))</f>
      </c>
      <c r="AH69" s="33">
        <f>IF(X69&lt;=0,0,MAX(0,MIN(X69,ROUND($AZ69-SUMPRODUCT($V69:$AE69*($V69:$AE69&gt;0)*(($V$3:$AE$3&gt;X$3)+($V$3:$AE$3=X$3)*($V69:$AE69&lt;X69)+($V$3:$AE$3=X$3)*($V69:$AE69=X69)*($V$2:$AE$2&lt;X$2))),2))))</f>
      </c>
      <c r="AI69" s="33">
        <f>IF(Y69&lt;=0,0,MAX(0,MIN(Y69,ROUND($AZ69-SUMPRODUCT($V69:$AE69*($V69:$AE69&gt;0)*(($V$3:$AE$3&gt;Y$3)+($V$3:$AE$3=Y$3)*($V69:$AE69&lt;Y69)+($V$3:$AE$3=Y$3)*($V69:$AE69=Y69)*($V$2:$AE$2&lt;Y$2))),2))))</f>
      </c>
      <c r="AJ69" s="33">
        <f>IF(Z69&lt;=0,0,MAX(0,MIN(Z69,ROUND($AZ69-SUMPRODUCT($V69:$AE69*($V69:$AE69&gt;0)*(($V$3:$AE$3&gt;Z$3)+($V$3:$AE$3=Z$3)*($V69:$AE69&lt;Z69)+($V$3:$AE$3=Z$3)*($V69:$AE69=Z69)*($V$2:$AE$2&lt;Z$2))),2))))</f>
      </c>
      <c r="AK69" s="33">
        <f>IF(AA69&lt;=0,0,MAX(0,MIN(AA69,ROUND($AZ69-SUMPRODUCT($V69:$AE69*($V69:$AE69&gt;0)*(($V$3:$AE$3&gt;AA$3)+($V$3:$AE$3=AA$3)*($V69:$AE69&lt;AA69)+($V$3:$AE$3=AA$3)*($V69:$AE69=AA69)*($V$2:$AE$2&lt;AA$2))),2))))</f>
      </c>
      <c r="AL69" s="33">
        <f>IF(AB69&lt;=0,0,MAX(0,MIN(AB69,ROUND($AZ69-SUMPRODUCT($V69:$AE69*($V69:$AE69&gt;0)*(($V$3:$AE$3&gt;AB$3)+($V$3:$AE$3=AB$3)*($V69:$AE69&lt;AB69)+($V$3:$AE$3=AB$3)*($V69:$AE69=AB69)*($V$2:$AE$2&lt;AB$2))),2))))</f>
      </c>
      <c r="AM69" s="33">
        <f>IF(AC69&lt;=0,0,MAX(0,MIN(AC69,ROUND($AZ69-SUMPRODUCT($V69:$AE69*($V69:$AE69&gt;0)*(($V$3:$AE$3&gt;AC$3)+($V$3:$AE$3=AC$3)*($V69:$AE69&lt;AC69)+($V$3:$AE$3=AC$3)*($V69:$AE69=AC69)*($V$2:$AE$2&lt;AC$2))),2))))</f>
      </c>
      <c r="AN69" s="33">
        <f>IF(AD69&lt;=0,0,MAX(0,MIN(AD69,ROUND($AZ69-SUMPRODUCT($V69:$AE69*($V69:$AE69&gt;0)*(($V$3:$AE$3&gt;AD$3)+($V$3:$AE$3=AD$3)*($V69:$AE69&lt;AD69)+($V$3:$AE$3=AD$3)*($V69:$AE69=AD69)*($V$2:$AE$2&lt;AD$2))),2))))</f>
      </c>
      <c r="AO69" s="33">
        <f>IF(AE69&lt;=0,0,MAX(0,MIN(AE69,ROUND($AZ69-SUMPRODUCT($V69:$AE69*($V69:$AE69&gt;0)*(($V$3:$AE$3&gt;AE$3)+($V$3:$AE$3=AE$3)*($V69:$AE69&lt;AE69)+($V$3:$AE$3=AE$3)*($V69:$AE69=AE69)*($V$2:$AE$2&lt;AE$2))),2))))</f>
      </c>
      <c r="AP69" s="33">
        <f>ROUND(V69-AF69,2)</f>
      </c>
      <c r="AQ69" s="33">
        <f>ROUND(W69-AG69,2)</f>
      </c>
      <c r="AR69" s="33">
        <f>ROUND(X69-AH69,2)</f>
      </c>
      <c r="AS69" s="33">
        <f>ROUND(Y69-AI69,2)</f>
      </c>
      <c r="AT69" s="33">
        <f>ROUND(Z69-AJ69,2)</f>
      </c>
      <c r="AU69" s="33">
        <f>ROUND(AA69-AK69,2)</f>
      </c>
      <c r="AV69" s="33">
        <f>ROUND(AB69-AL69,2)</f>
      </c>
      <c r="AW69" s="33">
        <f>ROUND(AC69-AM69,2)</f>
      </c>
      <c r="AX69" s="33">
        <f>ROUND(AD69-AN69,2)</f>
      </c>
      <c r="AY69" s="33">
        <f>ROUND(AE69-AO69,2)</f>
      </c>
      <c r="AZ69" s="33">
        <f>ROUND(MAX(0,'Your debts'!$D$22-SUM($L69:$U69)),2)</f>
      </c>
      <c r="BA69" s="33">
        <f>ROUND(SUM($B69:$K69)-SUM($AP68:$AY68),2)</f>
      </c>
      <c r="BB69" s="33">
        <f>SUM($AP69:$AY69)</f>
      </c>
      <c r="BC69" s="33">
        <f>ROUND(SUM($L69:$U69)+SUM($AF69:$AO69),2)</f>
      </c>
    </row>
    <row r="70" spans="1:55" x14ac:dyDescent="0.25">
      <c r="A70">
        <v>63</v>
      </c>
      <c r="B70" s="33">
        <f>IF(AP69&lt;=0,0,ROUND(AP69+ROUND(AP69*V$3/12,2),2))</f>
      </c>
      <c r="C70" s="33">
        <f>IF(AQ69&lt;=0,0,ROUND(AQ69+ROUND(AQ69*W$3/12,2),2))</f>
      </c>
      <c r="D70" s="33">
        <f>IF(AR69&lt;=0,0,ROUND(AR69+ROUND(AR69*X$3/12,2),2))</f>
      </c>
      <c r="E70" s="33">
        <f>IF(AS69&lt;=0,0,ROUND(AS69+ROUND(AS69*Y$3/12,2),2))</f>
      </c>
      <c r="F70" s="33">
        <f>IF(AT69&lt;=0,0,ROUND(AT69+ROUND(AT69*Z$3/12,2),2))</f>
      </c>
      <c r="G70" s="33">
        <f>IF(AU69&lt;=0,0,ROUND(AU69+ROUND(AU69*AA$3/12,2),2))</f>
      </c>
      <c r="H70" s="33">
        <f>IF(AV69&lt;=0,0,ROUND(AV69+ROUND(AV69*AB$3/12,2),2))</f>
      </c>
      <c r="I70" s="33">
        <f>IF(AW69&lt;=0,0,ROUND(AW69+ROUND(AW69*AC$3/12,2),2))</f>
      </c>
      <c r="J70" s="33">
        <f>IF(AX69&lt;=0,0,ROUND(AX69+ROUND(AX69*AD$3/12,2),2))</f>
      </c>
      <c r="K70" s="33">
        <f>IF(AY69&lt;=0,0,ROUND(AY69+ROUND(AY69*AE$3/12,2),2))</f>
      </c>
      <c r="L70" s="33">
        <f>ROUND(MIN(MAX(0,N('Your debts'!$E$6)),B70),2)</f>
      </c>
      <c r="M70" s="33">
        <f>ROUND(MIN(MAX(0,N('Your debts'!$E$7)),C70),2)</f>
      </c>
      <c r="N70" s="33">
        <f>ROUND(MIN(MAX(0,N('Your debts'!$E$8)),D70),2)</f>
      </c>
      <c r="O70" s="33">
        <f>ROUND(MIN(MAX(0,N('Your debts'!$E$9)),E70),2)</f>
      </c>
      <c r="P70" s="33">
        <f>ROUND(MIN(MAX(0,N('Your debts'!$E$10)),F70),2)</f>
      </c>
      <c r="Q70" s="33">
        <f>ROUND(MIN(MAX(0,N('Your debts'!$E$11)),G70),2)</f>
      </c>
      <c r="R70" s="33">
        <f>ROUND(MIN(MAX(0,N('Your debts'!$E$12)),H70),2)</f>
      </c>
      <c r="S70" s="33">
        <f>ROUND(MIN(MAX(0,N('Your debts'!$E$13)),I70),2)</f>
      </c>
      <c r="T70" s="33">
        <f>ROUND(MIN(MAX(0,N('Your debts'!$E$14)),J70),2)</f>
      </c>
      <c r="U70" s="33">
        <f>ROUND(MIN(MAX(0,N('Your debts'!$E$15)),K70),2)</f>
      </c>
      <c r="V70" s="33">
        <f>ROUND(B70-L70,2)</f>
      </c>
      <c r="W70" s="33">
        <f>ROUND(C70-M70,2)</f>
      </c>
      <c r="X70" s="33">
        <f>ROUND(D70-N70,2)</f>
      </c>
      <c r="Y70" s="33">
        <f>ROUND(E70-O70,2)</f>
      </c>
      <c r="Z70" s="33">
        <f>ROUND(F70-P70,2)</f>
      </c>
      <c r="AA70" s="33">
        <f>ROUND(G70-Q70,2)</f>
      </c>
      <c r="AB70" s="33">
        <f>ROUND(H70-R70,2)</f>
      </c>
      <c r="AC70" s="33">
        <f>ROUND(I70-S70,2)</f>
      </c>
      <c r="AD70" s="33">
        <f>ROUND(J70-T70,2)</f>
      </c>
      <c r="AE70" s="33">
        <f>ROUND(K70-U70,2)</f>
      </c>
      <c r="AF70" s="33">
        <f>IF(V70&lt;=0,0,MAX(0,MIN(V70,ROUND($AZ70-SUMPRODUCT($V70:$AE70*($V70:$AE70&gt;0)*(($V$3:$AE$3&gt;V$3)+($V$3:$AE$3=V$3)*($V70:$AE70&lt;V70)+($V$3:$AE$3=V$3)*($V70:$AE70=V70)*($V$2:$AE$2&lt;V$2))),2))))</f>
      </c>
      <c r="AG70" s="33">
        <f>IF(W70&lt;=0,0,MAX(0,MIN(W70,ROUND($AZ70-SUMPRODUCT($V70:$AE70*($V70:$AE70&gt;0)*(($V$3:$AE$3&gt;W$3)+($V$3:$AE$3=W$3)*($V70:$AE70&lt;W70)+($V$3:$AE$3=W$3)*($V70:$AE70=W70)*($V$2:$AE$2&lt;W$2))),2))))</f>
      </c>
      <c r="AH70" s="33">
        <f>IF(X70&lt;=0,0,MAX(0,MIN(X70,ROUND($AZ70-SUMPRODUCT($V70:$AE70*($V70:$AE70&gt;0)*(($V$3:$AE$3&gt;X$3)+($V$3:$AE$3=X$3)*($V70:$AE70&lt;X70)+($V$3:$AE$3=X$3)*($V70:$AE70=X70)*($V$2:$AE$2&lt;X$2))),2))))</f>
      </c>
      <c r="AI70" s="33">
        <f>IF(Y70&lt;=0,0,MAX(0,MIN(Y70,ROUND($AZ70-SUMPRODUCT($V70:$AE70*($V70:$AE70&gt;0)*(($V$3:$AE$3&gt;Y$3)+($V$3:$AE$3=Y$3)*($V70:$AE70&lt;Y70)+($V$3:$AE$3=Y$3)*($V70:$AE70=Y70)*($V$2:$AE$2&lt;Y$2))),2))))</f>
      </c>
      <c r="AJ70" s="33">
        <f>IF(Z70&lt;=0,0,MAX(0,MIN(Z70,ROUND($AZ70-SUMPRODUCT($V70:$AE70*($V70:$AE70&gt;0)*(($V$3:$AE$3&gt;Z$3)+($V$3:$AE$3=Z$3)*($V70:$AE70&lt;Z70)+($V$3:$AE$3=Z$3)*($V70:$AE70=Z70)*($V$2:$AE$2&lt;Z$2))),2))))</f>
      </c>
      <c r="AK70" s="33">
        <f>IF(AA70&lt;=0,0,MAX(0,MIN(AA70,ROUND($AZ70-SUMPRODUCT($V70:$AE70*($V70:$AE70&gt;0)*(($V$3:$AE$3&gt;AA$3)+($V$3:$AE$3=AA$3)*($V70:$AE70&lt;AA70)+($V$3:$AE$3=AA$3)*($V70:$AE70=AA70)*($V$2:$AE$2&lt;AA$2))),2))))</f>
      </c>
      <c r="AL70" s="33">
        <f>IF(AB70&lt;=0,0,MAX(0,MIN(AB70,ROUND($AZ70-SUMPRODUCT($V70:$AE70*($V70:$AE70&gt;0)*(($V$3:$AE$3&gt;AB$3)+($V$3:$AE$3=AB$3)*($V70:$AE70&lt;AB70)+($V$3:$AE$3=AB$3)*($V70:$AE70=AB70)*($V$2:$AE$2&lt;AB$2))),2))))</f>
      </c>
      <c r="AM70" s="33">
        <f>IF(AC70&lt;=0,0,MAX(0,MIN(AC70,ROUND($AZ70-SUMPRODUCT($V70:$AE70*($V70:$AE70&gt;0)*(($V$3:$AE$3&gt;AC$3)+($V$3:$AE$3=AC$3)*($V70:$AE70&lt;AC70)+($V$3:$AE$3=AC$3)*($V70:$AE70=AC70)*($V$2:$AE$2&lt;AC$2))),2))))</f>
      </c>
      <c r="AN70" s="33">
        <f>IF(AD70&lt;=0,0,MAX(0,MIN(AD70,ROUND($AZ70-SUMPRODUCT($V70:$AE70*($V70:$AE70&gt;0)*(($V$3:$AE$3&gt;AD$3)+($V$3:$AE$3=AD$3)*($V70:$AE70&lt;AD70)+($V$3:$AE$3=AD$3)*($V70:$AE70=AD70)*($V$2:$AE$2&lt;AD$2))),2))))</f>
      </c>
      <c r="AO70" s="33">
        <f>IF(AE70&lt;=0,0,MAX(0,MIN(AE70,ROUND($AZ70-SUMPRODUCT($V70:$AE70*($V70:$AE70&gt;0)*(($V$3:$AE$3&gt;AE$3)+($V$3:$AE$3=AE$3)*($V70:$AE70&lt;AE70)+($V$3:$AE$3=AE$3)*($V70:$AE70=AE70)*($V$2:$AE$2&lt;AE$2))),2))))</f>
      </c>
      <c r="AP70" s="33">
        <f>ROUND(V70-AF70,2)</f>
      </c>
      <c r="AQ70" s="33">
        <f>ROUND(W70-AG70,2)</f>
      </c>
      <c r="AR70" s="33">
        <f>ROUND(X70-AH70,2)</f>
      </c>
      <c r="AS70" s="33">
        <f>ROUND(Y70-AI70,2)</f>
      </c>
      <c r="AT70" s="33">
        <f>ROUND(Z70-AJ70,2)</f>
      </c>
      <c r="AU70" s="33">
        <f>ROUND(AA70-AK70,2)</f>
      </c>
      <c r="AV70" s="33">
        <f>ROUND(AB70-AL70,2)</f>
      </c>
      <c r="AW70" s="33">
        <f>ROUND(AC70-AM70,2)</f>
      </c>
      <c r="AX70" s="33">
        <f>ROUND(AD70-AN70,2)</f>
      </c>
      <c r="AY70" s="33">
        <f>ROUND(AE70-AO70,2)</f>
      </c>
      <c r="AZ70" s="33">
        <f>ROUND(MAX(0,'Your debts'!$D$22-SUM($L70:$U70)),2)</f>
      </c>
      <c r="BA70" s="33">
        <f>ROUND(SUM($B70:$K70)-SUM($AP69:$AY69),2)</f>
      </c>
      <c r="BB70" s="33">
        <f>SUM($AP70:$AY70)</f>
      </c>
      <c r="BC70" s="33">
        <f>ROUND(SUM($L70:$U70)+SUM($AF70:$AO70),2)</f>
      </c>
    </row>
    <row r="71" spans="1:55" x14ac:dyDescent="0.25">
      <c r="A71">
        <v>64</v>
      </c>
      <c r="B71" s="33">
        <f>IF(AP70&lt;=0,0,ROUND(AP70+ROUND(AP70*V$3/12,2),2))</f>
      </c>
      <c r="C71" s="33">
        <f>IF(AQ70&lt;=0,0,ROUND(AQ70+ROUND(AQ70*W$3/12,2),2))</f>
      </c>
      <c r="D71" s="33">
        <f>IF(AR70&lt;=0,0,ROUND(AR70+ROUND(AR70*X$3/12,2),2))</f>
      </c>
      <c r="E71" s="33">
        <f>IF(AS70&lt;=0,0,ROUND(AS70+ROUND(AS70*Y$3/12,2),2))</f>
      </c>
      <c r="F71" s="33">
        <f>IF(AT70&lt;=0,0,ROUND(AT70+ROUND(AT70*Z$3/12,2),2))</f>
      </c>
      <c r="G71" s="33">
        <f>IF(AU70&lt;=0,0,ROUND(AU70+ROUND(AU70*AA$3/12,2),2))</f>
      </c>
      <c r="H71" s="33">
        <f>IF(AV70&lt;=0,0,ROUND(AV70+ROUND(AV70*AB$3/12,2),2))</f>
      </c>
      <c r="I71" s="33">
        <f>IF(AW70&lt;=0,0,ROUND(AW70+ROUND(AW70*AC$3/12,2),2))</f>
      </c>
      <c r="J71" s="33">
        <f>IF(AX70&lt;=0,0,ROUND(AX70+ROUND(AX70*AD$3/12,2),2))</f>
      </c>
      <c r="K71" s="33">
        <f>IF(AY70&lt;=0,0,ROUND(AY70+ROUND(AY70*AE$3/12,2),2))</f>
      </c>
      <c r="L71" s="33">
        <f>ROUND(MIN(MAX(0,N('Your debts'!$E$6)),B71),2)</f>
      </c>
      <c r="M71" s="33">
        <f>ROUND(MIN(MAX(0,N('Your debts'!$E$7)),C71),2)</f>
      </c>
      <c r="N71" s="33">
        <f>ROUND(MIN(MAX(0,N('Your debts'!$E$8)),D71),2)</f>
      </c>
      <c r="O71" s="33">
        <f>ROUND(MIN(MAX(0,N('Your debts'!$E$9)),E71),2)</f>
      </c>
      <c r="P71" s="33">
        <f>ROUND(MIN(MAX(0,N('Your debts'!$E$10)),F71),2)</f>
      </c>
      <c r="Q71" s="33">
        <f>ROUND(MIN(MAX(0,N('Your debts'!$E$11)),G71),2)</f>
      </c>
      <c r="R71" s="33">
        <f>ROUND(MIN(MAX(0,N('Your debts'!$E$12)),H71),2)</f>
      </c>
      <c r="S71" s="33">
        <f>ROUND(MIN(MAX(0,N('Your debts'!$E$13)),I71),2)</f>
      </c>
      <c r="T71" s="33">
        <f>ROUND(MIN(MAX(0,N('Your debts'!$E$14)),J71),2)</f>
      </c>
      <c r="U71" s="33">
        <f>ROUND(MIN(MAX(0,N('Your debts'!$E$15)),K71),2)</f>
      </c>
      <c r="V71" s="33">
        <f>ROUND(B71-L71,2)</f>
      </c>
      <c r="W71" s="33">
        <f>ROUND(C71-M71,2)</f>
      </c>
      <c r="X71" s="33">
        <f>ROUND(D71-N71,2)</f>
      </c>
      <c r="Y71" s="33">
        <f>ROUND(E71-O71,2)</f>
      </c>
      <c r="Z71" s="33">
        <f>ROUND(F71-P71,2)</f>
      </c>
      <c r="AA71" s="33">
        <f>ROUND(G71-Q71,2)</f>
      </c>
      <c r="AB71" s="33">
        <f>ROUND(H71-R71,2)</f>
      </c>
      <c r="AC71" s="33">
        <f>ROUND(I71-S71,2)</f>
      </c>
      <c r="AD71" s="33">
        <f>ROUND(J71-T71,2)</f>
      </c>
      <c r="AE71" s="33">
        <f>ROUND(K71-U71,2)</f>
      </c>
      <c r="AF71" s="33">
        <f>IF(V71&lt;=0,0,MAX(0,MIN(V71,ROUND($AZ71-SUMPRODUCT($V71:$AE71*($V71:$AE71&gt;0)*(($V$3:$AE$3&gt;V$3)+($V$3:$AE$3=V$3)*($V71:$AE71&lt;V71)+($V$3:$AE$3=V$3)*($V71:$AE71=V71)*($V$2:$AE$2&lt;V$2))),2))))</f>
      </c>
      <c r="AG71" s="33">
        <f>IF(W71&lt;=0,0,MAX(0,MIN(W71,ROUND($AZ71-SUMPRODUCT($V71:$AE71*($V71:$AE71&gt;0)*(($V$3:$AE$3&gt;W$3)+($V$3:$AE$3=W$3)*($V71:$AE71&lt;W71)+($V$3:$AE$3=W$3)*($V71:$AE71=W71)*($V$2:$AE$2&lt;W$2))),2))))</f>
      </c>
      <c r="AH71" s="33">
        <f>IF(X71&lt;=0,0,MAX(0,MIN(X71,ROUND($AZ71-SUMPRODUCT($V71:$AE71*($V71:$AE71&gt;0)*(($V$3:$AE$3&gt;X$3)+($V$3:$AE$3=X$3)*($V71:$AE71&lt;X71)+($V$3:$AE$3=X$3)*($V71:$AE71=X71)*($V$2:$AE$2&lt;X$2))),2))))</f>
      </c>
      <c r="AI71" s="33">
        <f>IF(Y71&lt;=0,0,MAX(0,MIN(Y71,ROUND($AZ71-SUMPRODUCT($V71:$AE71*($V71:$AE71&gt;0)*(($V$3:$AE$3&gt;Y$3)+($V$3:$AE$3=Y$3)*($V71:$AE71&lt;Y71)+($V$3:$AE$3=Y$3)*($V71:$AE71=Y71)*($V$2:$AE$2&lt;Y$2))),2))))</f>
      </c>
      <c r="AJ71" s="33">
        <f>IF(Z71&lt;=0,0,MAX(0,MIN(Z71,ROUND($AZ71-SUMPRODUCT($V71:$AE71*($V71:$AE71&gt;0)*(($V$3:$AE$3&gt;Z$3)+($V$3:$AE$3=Z$3)*($V71:$AE71&lt;Z71)+($V$3:$AE$3=Z$3)*($V71:$AE71=Z71)*($V$2:$AE$2&lt;Z$2))),2))))</f>
      </c>
      <c r="AK71" s="33">
        <f>IF(AA71&lt;=0,0,MAX(0,MIN(AA71,ROUND($AZ71-SUMPRODUCT($V71:$AE71*($V71:$AE71&gt;0)*(($V$3:$AE$3&gt;AA$3)+($V$3:$AE$3=AA$3)*($V71:$AE71&lt;AA71)+($V$3:$AE$3=AA$3)*($V71:$AE71=AA71)*($V$2:$AE$2&lt;AA$2))),2))))</f>
      </c>
      <c r="AL71" s="33">
        <f>IF(AB71&lt;=0,0,MAX(0,MIN(AB71,ROUND($AZ71-SUMPRODUCT($V71:$AE71*($V71:$AE71&gt;0)*(($V$3:$AE$3&gt;AB$3)+($V$3:$AE$3=AB$3)*($V71:$AE71&lt;AB71)+($V$3:$AE$3=AB$3)*($V71:$AE71=AB71)*($V$2:$AE$2&lt;AB$2))),2))))</f>
      </c>
      <c r="AM71" s="33">
        <f>IF(AC71&lt;=0,0,MAX(0,MIN(AC71,ROUND($AZ71-SUMPRODUCT($V71:$AE71*($V71:$AE71&gt;0)*(($V$3:$AE$3&gt;AC$3)+($V$3:$AE$3=AC$3)*($V71:$AE71&lt;AC71)+($V$3:$AE$3=AC$3)*($V71:$AE71=AC71)*($V$2:$AE$2&lt;AC$2))),2))))</f>
      </c>
      <c r="AN71" s="33">
        <f>IF(AD71&lt;=0,0,MAX(0,MIN(AD71,ROUND($AZ71-SUMPRODUCT($V71:$AE71*($V71:$AE71&gt;0)*(($V$3:$AE$3&gt;AD$3)+($V$3:$AE$3=AD$3)*($V71:$AE71&lt;AD71)+($V$3:$AE$3=AD$3)*($V71:$AE71=AD71)*($V$2:$AE$2&lt;AD$2))),2))))</f>
      </c>
      <c r="AO71" s="33">
        <f>IF(AE71&lt;=0,0,MAX(0,MIN(AE71,ROUND($AZ71-SUMPRODUCT($V71:$AE71*($V71:$AE71&gt;0)*(($V$3:$AE$3&gt;AE$3)+($V$3:$AE$3=AE$3)*($V71:$AE71&lt;AE71)+($V$3:$AE$3=AE$3)*($V71:$AE71=AE71)*($V$2:$AE$2&lt;AE$2))),2))))</f>
      </c>
      <c r="AP71" s="33">
        <f>ROUND(V71-AF71,2)</f>
      </c>
      <c r="AQ71" s="33">
        <f>ROUND(W71-AG71,2)</f>
      </c>
      <c r="AR71" s="33">
        <f>ROUND(X71-AH71,2)</f>
      </c>
      <c r="AS71" s="33">
        <f>ROUND(Y71-AI71,2)</f>
      </c>
      <c r="AT71" s="33">
        <f>ROUND(Z71-AJ71,2)</f>
      </c>
      <c r="AU71" s="33">
        <f>ROUND(AA71-AK71,2)</f>
      </c>
      <c r="AV71" s="33">
        <f>ROUND(AB71-AL71,2)</f>
      </c>
      <c r="AW71" s="33">
        <f>ROUND(AC71-AM71,2)</f>
      </c>
      <c r="AX71" s="33">
        <f>ROUND(AD71-AN71,2)</f>
      </c>
      <c r="AY71" s="33">
        <f>ROUND(AE71-AO71,2)</f>
      </c>
      <c r="AZ71" s="33">
        <f>ROUND(MAX(0,'Your debts'!$D$22-SUM($L71:$U71)),2)</f>
      </c>
      <c r="BA71" s="33">
        <f>ROUND(SUM($B71:$K71)-SUM($AP70:$AY70),2)</f>
      </c>
      <c r="BB71" s="33">
        <f>SUM($AP71:$AY71)</f>
      </c>
      <c r="BC71" s="33">
        <f>ROUND(SUM($L71:$U71)+SUM($AF71:$AO71),2)</f>
      </c>
    </row>
    <row r="72" spans="1:55" x14ac:dyDescent="0.25">
      <c r="A72">
        <v>65</v>
      </c>
      <c r="B72" s="33">
        <f>IF(AP71&lt;=0,0,ROUND(AP71+ROUND(AP71*V$3/12,2),2))</f>
      </c>
      <c r="C72" s="33">
        <f>IF(AQ71&lt;=0,0,ROUND(AQ71+ROUND(AQ71*W$3/12,2),2))</f>
      </c>
      <c r="D72" s="33">
        <f>IF(AR71&lt;=0,0,ROUND(AR71+ROUND(AR71*X$3/12,2),2))</f>
      </c>
      <c r="E72" s="33">
        <f>IF(AS71&lt;=0,0,ROUND(AS71+ROUND(AS71*Y$3/12,2),2))</f>
      </c>
      <c r="F72" s="33">
        <f>IF(AT71&lt;=0,0,ROUND(AT71+ROUND(AT71*Z$3/12,2),2))</f>
      </c>
      <c r="G72" s="33">
        <f>IF(AU71&lt;=0,0,ROUND(AU71+ROUND(AU71*AA$3/12,2),2))</f>
      </c>
      <c r="H72" s="33">
        <f>IF(AV71&lt;=0,0,ROUND(AV71+ROUND(AV71*AB$3/12,2),2))</f>
      </c>
      <c r="I72" s="33">
        <f>IF(AW71&lt;=0,0,ROUND(AW71+ROUND(AW71*AC$3/12,2),2))</f>
      </c>
      <c r="J72" s="33">
        <f>IF(AX71&lt;=0,0,ROUND(AX71+ROUND(AX71*AD$3/12,2),2))</f>
      </c>
      <c r="K72" s="33">
        <f>IF(AY71&lt;=0,0,ROUND(AY71+ROUND(AY71*AE$3/12,2),2))</f>
      </c>
      <c r="L72" s="33">
        <f>ROUND(MIN(MAX(0,N('Your debts'!$E$6)),B72),2)</f>
      </c>
      <c r="M72" s="33">
        <f>ROUND(MIN(MAX(0,N('Your debts'!$E$7)),C72),2)</f>
      </c>
      <c r="N72" s="33">
        <f>ROUND(MIN(MAX(0,N('Your debts'!$E$8)),D72),2)</f>
      </c>
      <c r="O72" s="33">
        <f>ROUND(MIN(MAX(0,N('Your debts'!$E$9)),E72),2)</f>
      </c>
      <c r="P72" s="33">
        <f>ROUND(MIN(MAX(0,N('Your debts'!$E$10)),F72),2)</f>
      </c>
      <c r="Q72" s="33">
        <f>ROUND(MIN(MAX(0,N('Your debts'!$E$11)),G72),2)</f>
      </c>
      <c r="R72" s="33">
        <f>ROUND(MIN(MAX(0,N('Your debts'!$E$12)),H72),2)</f>
      </c>
      <c r="S72" s="33">
        <f>ROUND(MIN(MAX(0,N('Your debts'!$E$13)),I72),2)</f>
      </c>
      <c r="T72" s="33">
        <f>ROUND(MIN(MAX(0,N('Your debts'!$E$14)),J72),2)</f>
      </c>
      <c r="U72" s="33">
        <f>ROUND(MIN(MAX(0,N('Your debts'!$E$15)),K72),2)</f>
      </c>
      <c r="V72" s="33">
        <f>ROUND(B72-L72,2)</f>
      </c>
      <c r="W72" s="33">
        <f>ROUND(C72-M72,2)</f>
      </c>
      <c r="X72" s="33">
        <f>ROUND(D72-N72,2)</f>
      </c>
      <c r="Y72" s="33">
        <f>ROUND(E72-O72,2)</f>
      </c>
      <c r="Z72" s="33">
        <f>ROUND(F72-P72,2)</f>
      </c>
      <c r="AA72" s="33">
        <f>ROUND(G72-Q72,2)</f>
      </c>
      <c r="AB72" s="33">
        <f>ROUND(H72-R72,2)</f>
      </c>
      <c r="AC72" s="33">
        <f>ROUND(I72-S72,2)</f>
      </c>
      <c r="AD72" s="33">
        <f>ROUND(J72-T72,2)</f>
      </c>
      <c r="AE72" s="33">
        <f>ROUND(K72-U72,2)</f>
      </c>
      <c r="AF72" s="33">
        <f>IF(V72&lt;=0,0,MAX(0,MIN(V72,ROUND($AZ72-SUMPRODUCT($V72:$AE72*($V72:$AE72&gt;0)*(($V$3:$AE$3&gt;V$3)+($V$3:$AE$3=V$3)*($V72:$AE72&lt;V72)+($V$3:$AE$3=V$3)*($V72:$AE72=V72)*($V$2:$AE$2&lt;V$2))),2))))</f>
      </c>
      <c r="AG72" s="33">
        <f>IF(W72&lt;=0,0,MAX(0,MIN(W72,ROUND($AZ72-SUMPRODUCT($V72:$AE72*($V72:$AE72&gt;0)*(($V$3:$AE$3&gt;W$3)+($V$3:$AE$3=W$3)*($V72:$AE72&lt;W72)+($V$3:$AE$3=W$3)*($V72:$AE72=W72)*($V$2:$AE$2&lt;W$2))),2))))</f>
      </c>
      <c r="AH72" s="33">
        <f>IF(X72&lt;=0,0,MAX(0,MIN(X72,ROUND($AZ72-SUMPRODUCT($V72:$AE72*($V72:$AE72&gt;0)*(($V$3:$AE$3&gt;X$3)+($V$3:$AE$3=X$3)*($V72:$AE72&lt;X72)+($V$3:$AE$3=X$3)*($V72:$AE72=X72)*($V$2:$AE$2&lt;X$2))),2))))</f>
      </c>
      <c r="AI72" s="33">
        <f>IF(Y72&lt;=0,0,MAX(0,MIN(Y72,ROUND($AZ72-SUMPRODUCT($V72:$AE72*($V72:$AE72&gt;0)*(($V$3:$AE$3&gt;Y$3)+($V$3:$AE$3=Y$3)*($V72:$AE72&lt;Y72)+($V$3:$AE$3=Y$3)*($V72:$AE72=Y72)*($V$2:$AE$2&lt;Y$2))),2))))</f>
      </c>
      <c r="AJ72" s="33">
        <f>IF(Z72&lt;=0,0,MAX(0,MIN(Z72,ROUND($AZ72-SUMPRODUCT($V72:$AE72*($V72:$AE72&gt;0)*(($V$3:$AE$3&gt;Z$3)+($V$3:$AE$3=Z$3)*($V72:$AE72&lt;Z72)+($V$3:$AE$3=Z$3)*($V72:$AE72=Z72)*($V$2:$AE$2&lt;Z$2))),2))))</f>
      </c>
      <c r="AK72" s="33">
        <f>IF(AA72&lt;=0,0,MAX(0,MIN(AA72,ROUND($AZ72-SUMPRODUCT($V72:$AE72*($V72:$AE72&gt;0)*(($V$3:$AE$3&gt;AA$3)+($V$3:$AE$3=AA$3)*($V72:$AE72&lt;AA72)+($V$3:$AE$3=AA$3)*($V72:$AE72=AA72)*($V$2:$AE$2&lt;AA$2))),2))))</f>
      </c>
      <c r="AL72" s="33">
        <f>IF(AB72&lt;=0,0,MAX(0,MIN(AB72,ROUND($AZ72-SUMPRODUCT($V72:$AE72*($V72:$AE72&gt;0)*(($V$3:$AE$3&gt;AB$3)+($V$3:$AE$3=AB$3)*($V72:$AE72&lt;AB72)+($V$3:$AE$3=AB$3)*($V72:$AE72=AB72)*($V$2:$AE$2&lt;AB$2))),2))))</f>
      </c>
      <c r="AM72" s="33">
        <f>IF(AC72&lt;=0,0,MAX(0,MIN(AC72,ROUND($AZ72-SUMPRODUCT($V72:$AE72*($V72:$AE72&gt;0)*(($V$3:$AE$3&gt;AC$3)+($V$3:$AE$3=AC$3)*($V72:$AE72&lt;AC72)+($V$3:$AE$3=AC$3)*($V72:$AE72=AC72)*($V$2:$AE$2&lt;AC$2))),2))))</f>
      </c>
      <c r="AN72" s="33">
        <f>IF(AD72&lt;=0,0,MAX(0,MIN(AD72,ROUND($AZ72-SUMPRODUCT($V72:$AE72*($V72:$AE72&gt;0)*(($V$3:$AE$3&gt;AD$3)+($V$3:$AE$3=AD$3)*($V72:$AE72&lt;AD72)+($V$3:$AE$3=AD$3)*($V72:$AE72=AD72)*($V$2:$AE$2&lt;AD$2))),2))))</f>
      </c>
      <c r="AO72" s="33">
        <f>IF(AE72&lt;=0,0,MAX(0,MIN(AE72,ROUND($AZ72-SUMPRODUCT($V72:$AE72*($V72:$AE72&gt;0)*(($V$3:$AE$3&gt;AE$3)+($V$3:$AE$3=AE$3)*($V72:$AE72&lt;AE72)+($V$3:$AE$3=AE$3)*($V72:$AE72=AE72)*($V$2:$AE$2&lt;AE$2))),2))))</f>
      </c>
      <c r="AP72" s="33">
        <f>ROUND(V72-AF72,2)</f>
      </c>
      <c r="AQ72" s="33">
        <f>ROUND(W72-AG72,2)</f>
      </c>
      <c r="AR72" s="33">
        <f>ROUND(X72-AH72,2)</f>
      </c>
      <c r="AS72" s="33">
        <f>ROUND(Y72-AI72,2)</f>
      </c>
      <c r="AT72" s="33">
        <f>ROUND(Z72-AJ72,2)</f>
      </c>
      <c r="AU72" s="33">
        <f>ROUND(AA72-AK72,2)</f>
      </c>
      <c r="AV72" s="33">
        <f>ROUND(AB72-AL72,2)</f>
      </c>
      <c r="AW72" s="33">
        <f>ROUND(AC72-AM72,2)</f>
      </c>
      <c r="AX72" s="33">
        <f>ROUND(AD72-AN72,2)</f>
      </c>
      <c r="AY72" s="33">
        <f>ROUND(AE72-AO72,2)</f>
      </c>
      <c r="AZ72" s="33">
        <f>ROUND(MAX(0,'Your debts'!$D$22-SUM($L72:$U72)),2)</f>
      </c>
      <c r="BA72" s="33">
        <f>ROUND(SUM($B72:$K72)-SUM($AP71:$AY71),2)</f>
      </c>
      <c r="BB72" s="33">
        <f>SUM($AP72:$AY72)</f>
      </c>
      <c r="BC72" s="33">
        <f>ROUND(SUM($L72:$U72)+SUM($AF72:$AO72),2)</f>
      </c>
    </row>
    <row r="73" spans="1:55" x14ac:dyDescent="0.25">
      <c r="A73">
        <v>66</v>
      </c>
      <c r="B73" s="33">
        <f>IF(AP72&lt;=0,0,ROUND(AP72+ROUND(AP72*V$3/12,2),2))</f>
      </c>
      <c r="C73" s="33">
        <f>IF(AQ72&lt;=0,0,ROUND(AQ72+ROUND(AQ72*W$3/12,2),2))</f>
      </c>
      <c r="D73" s="33">
        <f>IF(AR72&lt;=0,0,ROUND(AR72+ROUND(AR72*X$3/12,2),2))</f>
      </c>
      <c r="E73" s="33">
        <f>IF(AS72&lt;=0,0,ROUND(AS72+ROUND(AS72*Y$3/12,2),2))</f>
      </c>
      <c r="F73" s="33">
        <f>IF(AT72&lt;=0,0,ROUND(AT72+ROUND(AT72*Z$3/12,2),2))</f>
      </c>
      <c r="G73" s="33">
        <f>IF(AU72&lt;=0,0,ROUND(AU72+ROUND(AU72*AA$3/12,2),2))</f>
      </c>
      <c r="H73" s="33">
        <f>IF(AV72&lt;=0,0,ROUND(AV72+ROUND(AV72*AB$3/12,2),2))</f>
      </c>
      <c r="I73" s="33">
        <f>IF(AW72&lt;=0,0,ROUND(AW72+ROUND(AW72*AC$3/12,2),2))</f>
      </c>
      <c r="J73" s="33">
        <f>IF(AX72&lt;=0,0,ROUND(AX72+ROUND(AX72*AD$3/12,2),2))</f>
      </c>
      <c r="K73" s="33">
        <f>IF(AY72&lt;=0,0,ROUND(AY72+ROUND(AY72*AE$3/12,2),2))</f>
      </c>
      <c r="L73" s="33">
        <f>ROUND(MIN(MAX(0,N('Your debts'!$E$6)),B73),2)</f>
      </c>
      <c r="M73" s="33">
        <f>ROUND(MIN(MAX(0,N('Your debts'!$E$7)),C73),2)</f>
      </c>
      <c r="N73" s="33">
        <f>ROUND(MIN(MAX(0,N('Your debts'!$E$8)),D73),2)</f>
      </c>
      <c r="O73" s="33">
        <f>ROUND(MIN(MAX(0,N('Your debts'!$E$9)),E73),2)</f>
      </c>
      <c r="P73" s="33">
        <f>ROUND(MIN(MAX(0,N('Your debts'!$E$10)),F73),2)</f>
      </c>
      <c r="Q73" s="33">
        <f>ROUND(MIN(MAX(0,N('Your debts'!$E$11)),G73),2)</f>
      </c>
      <c r="R73" s="33">
        <f>ROUND(MIN(MAX(0,N('Your debts'!$E$12)),H73),2)</f>
      </c>
      <c r="S73" s="33">
        <f>ROUND(MIN(MAX(0,N('Your debts'!$E$13)),I73),2)</f>
      </c>
      <c r="T73" s="33">
        <f>ROUND(MIN(MAX(0,N('Your debts'!$E$14)),J73),2)</f>
      </c>
      <c r="U73" s="33">
        <f>ROUND(MIN(MAX(0,N('Your debts'!$E$15)),K73),2)</f>
      </c>
      <c r="V73" s="33">
        <f>ROUND(B73-L73,2)</f>
      </c>
      <c r="W73" s="33">
        <f>ROUND(C73-M73,2)</f>
      </c>
      <c r="X73" s="33">
        <f>ROUND(D73-N73,2)</f>
      </c>
      <c r="Y73" s="33">
        <f>ROUND(E73-O73,2)</f>
      </c>
      <c r="Z73" s="33">
        <f>ROUND(F73-P73,2)</f>
      </c>
      <c r="AA73" s="33">
        <f>ROUND(G73-Q73,2)</f>
      </c>
      <c r="AB73" s="33">
        <f>ROUND(H73-R73,2)</f>
      </c>
      <c r="AC73" s="33">
        <f>ROUND(I73-S73,2)</f>
      </c>
      <c r="AD73" s="33">
        <f>ROUND(J73-T73,2)</f>
      </c>
      <c r="AE73" s="33">
        <f>ROUND(K73-U73,2)</f>
      </c>
      <c r="AF73" s="33">
        <f>IF(V73&lt;=0,0,MAX(0,MIN(V73,ROUND($AZ73-SUMPRODUCT($V73:$AE73*($V73:$AE73&gt;0)*(($V$3:$AE$3&gt;V$3)+($V$3:$AE$3=V$3)*($V73:$AE73&lt;V73)+($V$3:$AE$3=V$3)*($V73:$AE73=V73)*($V$2:$AE$2&lt;V$2))),2))))</f>
      </c>
      <c r="AG73" s="33">
        <f>IF(W73&lt;=0,0,MAX(0,MIN(W73,ROUND($AZ73-SUMPRODUCT($V73:$AE73*($V73:$AE73&gt;0)*(($V$3:$AE$3&gt;W$3)+($V$3:$AE$3=W$3)*($V73:$AE73&lt;W73)+($V$3:$AE$3=W$3)*($V73:$AE73=W73)*($V$2:$AE$2&lt;W$2))),2))))</f>
      </c>
      <c r="AH73" s="33">
        <f>IF(X73&lt;=0,0,MAX(0,MIN(X73,ROUND($AZ73-SUMPRODUCT($V73:$AE73*($V73:$AE73&gt;0)*(($V$3:$AE$3&gt;X$3)+($V$3:$AE$3=X$3)*($V73:$AE73&lt;X73)+($V$3:$AE$3=X$3)*($V73:$AE73=X73)*($V$2:$AE$2&lt;X$2))),2))))</f>
      </c>
      <c r="AI73" s="33">
        <f>IF(Y73&lt;=0,0,MAX(0,MIN(Y73,ROUND($AZ73-SUMPRODUCT($V73:$AE73*($V73:$AE73&gt;0)*(($V$3:$AE$3&gt;Y$3)+($V$3:$AE$3=Y$3)*($V73:$AE73&lt;Y73)+($V$3:$AE$3=Y$3)*($V73:$AE73=Y73)*($V$2:$AE$2&lt;Y$2))),2))))</f>
      </c>
      <c r="AJ73" s="33">
        <f>IF(Z73&lt;=0,0,MAX(0,MIN(Z73,ROUND($AZ73-SUMPRODUCT($V73:$AE73*($V73:$AE73&gt;0)*(($V$3:$AE$3&gt;Z$3)+($V$3:$AE$3=Z$3)*($V73:$AE73&lt;Z73)+($V$3:$AE$3=Z$3)*($V73:$AE73=Z73)*($V$2:$AE$2&lt;Z$2))),2))))</f>
      </c>
      <c r="AK73" s="33">
        <f>IF(AA73&lt;=0,0,MAX(0,MIN(AA73,ROUND($AZ73-SUMPRODUCT($V73:$AE73*($V73:$AE73&gt;0)*(($V$3:$AE$3&gt;AA$3)+($V$3:$AE$3=AA$3)*($V73:$AE73&lt;AA73)+($V$3:$AE$3=AA$3)*($V73:$AE73=AA73)*($V$2:$AE$2&lt;AA$2))),2))))</f>
      </c>
      <c r="AL73" s="33">
        <f>IF(AB73&lt;=0,0,MAX(0,MIN(AB73,ROUND($AZ73-SUMPRODUCT($V73:$AE73*($V73:$AE73&gt;0)*(($V$3:$AE$3&gt;AB$3)+($V$3:$AE$3=AB$3)*($V73:$AE73&lt;AB73)+($V$3:$AE$3=AB$3)*($V73:$AE73=AB73)*($V$2:$AE$2&lt;AB$2))),2))))</f>
      </c>
      <c r="AM73" s="33">
        <f>IF(AC73&lt;=0,0,MAX(0,MIN(AC73,ROUND($AZ73-SUMPRODUCT($V73:$AE73*($V73:$AE73&gt;0)*(($V$3:$AE$3&gt;AC$3)+($V$3:$AE$3=AC$3)*($V73:$AE73&lt;AC73)+($V$3:$AE$3=AC$3)*($V73:$AE73=AC73)*($V$2:$AE$2&lt;AC$2))),2))))</f>
      </c>
      <c r="AN73" s="33">
        <f>IF(AD73&lt;=0,0,MAX(0,MIN(AD73,ROUND($AZ73-SUMPRODUCT($V73:$AE73*($V73:$AE73&gt;0)*(($V$3:$AE$3&gt;AD$3)+($V$3:$AE$3=AD$3)*($V73:$AE73&lt;AD73)+($V$3:$AE$3=AD$3)*($V73:$AE73=AD73)*($V$2:$AE$2&lt;AD$2))),2))))</f>
      </c>
      <c r="AO73" s="33">
        <f>IF(AE73&lt;=0,0,MAX(0,MIN(AE73,ROUND($AZ73-SUMPRODUCT($V73:$AE73*($V73:$AE73&gt;0)*(($V$3:$AE$3&gt;AE$3)+($V$3:$AE$3=AE$3)*($V73:$AE73&lt;AE73)+($V$3:$AE$3=AE$3)*($V73:$AE73=AE73)*($V$2:$AE$2&lt;AE$2))),2))))</f>
      </c>
      <c r="AP73" s="33">
        <f>ROUND(V73-AF73,2)</f>
      </c>
      <c r="AQ73" s="33">
        <f>ROUND(W73-AG73,2)</f>
      </c>
      <c r="AR73" s="33">
        <f>ROUND(X73-AH73,2)</f>
      </c>
      <c r="AS73" s="33">
        <f>ROUND(Y73-AI73,2)</f>
      </c>
      <c r="AT73" s="33">
        <f>ROUND(Z73-AJ73,2)</f>
      </c>
      <c r="AU73" s="33">
        <f>ROUND(AA73-AK73,2)</f>
      </c>
      <c r="AV73" s="33">
        <f>ROUND(AB73-AL73,2)</f>
      </c>
      <c r="AW73" s="33">
        <f>ROUND(AC73-AM73,2)</f>
      </c>
      <c r="AX73" s="33">
        <f>ROUND(AD73-AN73,2)</f>
      </c>
      <c r="AY73" s="33">
        <f>ROUND(AE73-AO73,2)</f>
      </c>
      <c r="AZ73" s="33">
        <f>ROUND(MAX(0,'Your debts'!$D$22-SUM($L73:$U73)),2)</f>
      </c>
      <c r="BA73" s="33">
        <f>ROUND(SUM($B73:$K73)-SUM($AP72:$AY72),2)</f>
      </c>
      <c r="BB73" s="33">
        <f>SUM($AP73:$AY73)</f>
      </c>
      <c r="BC73" s="33">
        <f>ROUND(SUM($L73:$U73)+SUM($AF73:$AO73),2)</f>
      </c>
    </row>
    <row r="74" spans="1:55" x14ac:dyDescent="0.25">
      <c r="A74">
        <v>67</v>
      </c>
      <c r="B74" s="33">
        <f>IF(AP73&lt;=0,0,ROUND(AP73+ROUND(AP73*V$3/12,2),2))</f>
      </c>
      <c r="C74" s="33">
        <f>IF(AQ73&lt;=0,0,ROUND(AQ73+ROUND(AQ73*W$3/12,2),2))</f>
      </c>
      <c r="D74" s="33">
        <f>IF(AR73&lt;=0,0,ROUND(AR73+ROUND(AR73*X$3/12,2),2))</f>
      </c>
      <c r="E74" s="33">
        <f>IF(AS73&lt;=0,0,ROUND(AS73+ROUND(AS73*Y$3/12,2),2))</f>
      </c>
      <c r="F74" s="33">
        <f>IF(AT73&lt;=0,0,ROUND(AT73+ROUND(AT73*Z$3/12,2),2))</f>
      </c>
      <c r="G74" s="33">
        <f>IF(AU73&lt;=0,0,ROUND(AU73+ROUND(AU73*AA$3/12,2),2))</f>
      </c>
      <c r="H74" s="33">
        <f>IF(AV73&lt;=0,0,ROUND(AV73+ROUND(AV73*AB$3/12,2),2))</f>
      </c>
      <c r="I74" s="33">
        <f>IF(AW73&lt;=0,0,ROUND(AW73+ROUND(AW73*AC$3/12,2),2))</f>
      </c>
      <c r="J74" s="33">
        <f>IF(AX73&lt;=0,0,ROUND(AX73+ROUND(AX73*AD$3/12,2),2))</f>
      </c>
      <c r="K74" s="33">
        <f>IF(AY73&lt;=0,0,ROUND(AY73+ROUND(AY73*AE$3/12,2),2))</f>
      </c>
      <c r="L74" s="33">
        <f>ROUND(MIN(MAX(0,N('Your debts'!$E$6)),B74),2)</f>
      </c>
      <c r="M74" s="33">
        <f>ROUND(MIN(MAX(0,N('Your debts'!$E$7)),C74),2)</f>
      </c>
      <c r="N74" s="33">
        <f>ROUND(MIN(MAX(0,N('Your debts'!$E$8)),D74),2)</f>
      </c>
      <c r="O74" s="33">
        <f>ROUND(MIN(MAX(0,N('Your debts'!$E$9)),E74),2)</f>
      </c>
      <c r="P74" s="33">
        <f>ROUND(MIN(MAX(0,N('Your debts'!$E$10)),F74),2)</f>
      </c>
      <c r="Q74" s="33">
        <f>ROUND(MIN(MAX(0,N('Your debts'!$E$11)),G74),2)</f>
      </c>
      <c r="R74" s="33">
        <f>ROUND(MIN(MAX(0,N('Your debts'!$E$12)),H74),2)</f>
      </c>
      <c r="S74" s="33">
        <f>ROUND(MIN(MAX(0,N('Your debts'!$E$13)),I74),2)</f>
      </c>
      <c r="T74" s="33">
        <f>ROUND(MIN(MAX(0,N('Your debts'!$E$14)),J74),2)</f>
      </c>
      <c r="U74" s="33">
        <f>ROUND(MIN(MAX(0,N('Your debts'!$E$15)),K74),2)</f>
      </c>
      <c r="V74" s="33">
        <f>ROUND(B74-L74,2)</f>
      </c>
      <c r="W74" s="33">
        <f>ROUND(C74-M74,2)</f>
      </c>
      <c r="X74" s="33">
        <f>ROUND(D74-N74,2)</f>
      </c>
      <c r="Y74" s="33">
        <f>ROUND(E74-O74,2)</f>
      </c>
      <c r="Z74" s="33">
        <f>ROUND(F74-P74,2)</f>
      </c>
      <c r="AA74" s="33">
        <f>ROUND(G74-Q74,2)</f>
      </c>
      <c r="AB74" s="33">
        <f>ROUND(H74-R74,2)</f>
      </c>
      <c r="AC74" s="33">
        <f>ROUND(I74-S74,2)</f>
      </c>
      <c r="AD74" s="33">
        <f>ROUND(J74-T74,2)</f>
      </c>
      <c r="AE74" s="33">
        <f>ROUND(K74-U74,2)</f>
      </c>
      <c r="AF74" s="33">
        <f>IF(V74&lt;=0,0,MAX(0,MIN(V74,ROUND($AZ74-SUMPRODUCT($V74:$AE74*($V74:$AE74&gt;0)*(($V$3:$AE$3&gt;V$3)+($V$3:$AE$3=V$3)*($V74:$AE74&lt;V74)+($V$3:$AE$3=V$3)*($V74:$AE74=V74)*($V$2:$AE$2&lt;V$2))),2))))</f>
      </c>
      <c r="AG74" s="33">
        <f>IF(W74&lt;=0,0,MAX(0,MIN(W74,ROUND($AZ74-SUMPRODUCT($V74:$AE74*($V74:$AE74&gt;0)*(($V$3:$AE$3&gt;W$3)+($V$3:$AE$3=W$3)*($V74:$AE74&lt;W74)+($V$3:$AE$3=W$3)*($V74:$AE74=W74)*($V$2:$AE$2&lt;W$2))),2))))</f>
      </c>
      <c r="AH74" s="33">
        <f>IF(X74&lt;=0,0,MAX(0,MIN(X74,ROUND($AZ74-SUMPRODUCT($V74:$AE74*($V74:$AE74&gt;0)*(($V$3:$AE$3&gt;X$3)+($V$3:$AE$3=X$3)*($V74:$AE74&lt;X74)+($V$3:$AE$3=X$3)*($V74:$AE74=X74)*($V$2:$AE$2&lt;X$2))),2))))</f>
      </c>
      <c r="AI74" s="33">
        <f>IF(Y74&lt;=0,0,MAX(0,MIN(Y74,ROUND($AZ74-SUMPRODUCT($V74:$AE74*($V74:$AE74&gt;0)*(($V$3:$AE$3&gt;Y$3)+($V$3:$AE$3=Y$3)*($V74:$AE74&lt;Y74)+($V$3:$AE$3=Y$3)*($V74:$AE74=Y74)*($V$2:$AE$2&lt;Y$2))),2))))</f>
      </c>
      <c r="AJ74" s="33">
        <f>IF(Z74&lt;=0,0,MAX(0,MIN(Z74,ROUND($AZ74-SUMPRODUCT($V74:$AE74*($V74:$AE74&gt;0)*(($V$3:$AE$3&gt;Z$3)+($V$3:$AE$3=Z$3)*($V74:$AE74&lt;Z74)+($V$3:$AE$3=Z$3)*($V74:$AE74=Z74)*($V$2:$AE$2&lt;Z$2))),2))))</f>
      </c>
      <c r="AK74" s="33">
        <f>IF(AA74&lt;=0,0,MAX(0,MIN(AA74,ROUND($AZ74-SUMPRODUCT($V74:$AE74*($V74:$AE74&gt;0)*(($V$3:$AE$3&gt;AA$3)+($V$3:$AE$3=AA$3)*($V74:$AE74&lt;AA74)+($V$3:$AE$3=AA$3)*($V74:$AE74=AA74)*($V$2:$AE$2&lt;AA$2))),2))))</f>
      </c>
      <c r="AL74" s="33">
        <f>IF(AB74&lt;=0,0,MAX(0,MIN(AB74,ROUND($AZ74-SUMPRODUCT($V74:$AE74*($V74:$AE74&gt;0)*(($V$3:$AE$3&gt;AB$3)+($V$3:$AE$3=AB$3)*($V74:$AE74&lt;AB74)+($V$3:$AE$3=AB$3)*($V74:$AE74=AB74)*($V$2:$AE$2&lt;AB$2))),2))))</f>
      </c>
      <c r="AM74" s="33">
        <f>IF(AC74&lt;=0,0,MAX(0,MIN(AC74,ROUND($AZ74-SUMPRODUCT($V74:$AE74*($V74:$AE74&gt;0)*(($V$3:$AE$3&gt;AC$3)+($V$3:$AE$3=AC$3)*($V74:$AE74&lt;AC74)+($V$3:$AE$3=AC$3)*($V74:$AE74=AC74)*($V$2:$AE$2&lt;AC$2))),2))))</f>
      </c>
      <c r="AN74" s="33">
        <f>IF(AD74&lt;=0,0,MAX(0,MIN(AD74,ROUND($AZ74-SUMPRODUCT($V74:$AE74*($V74:$AE74&gt;0)*(($V$3:$AE$3&gt;AD$3)+($V$3:$AE$3=AD$3)*($V74:$AE74&lt;AD74)+($V$3:$AE$3=AD$3)*($V74:$AE74=AD74)*($V$2:$AE$2&lt;AD$2))),2))))</f>
      </c>
      <c r="AO74" s="33">
        <f>IF(AE74&lt;=0,0,MAX(0,MIN(AE74,ROUND($AZ74-SUMPRODUCT($V74:$AE74*($V74:$AE74&gt;0)*(($V$3:$AE$3&gt;AE$3)+($V$3:$AE$3=AE$3)*($V74:$AE74&lt;AE74)+($V$3:$AE$3=AE$3)*($V74:$AE74=AE74)*($V$2:$AE$2&lt;AE$2))),2))))</f>
      </c>
      <c r="AP74" s="33">
        <f>ROUND(V74-AF74,2)</f>
      </c>
      <c r="AQ74" s="33">
        <f>ROUND(W74-AG74,2)</f>
      </c>
      <c r="AR74" s="33">
        <f>ROUND(X74-AH74,2)</f>
      </c>
      <c r="AS74" s="33">
        <f>ROUND(Y74-AI74,2)</f>
      </c>
      <c r="AT74" s="33">
        <f>ROUND(Z74-AJ74,2)</f>
      </c>
      <c r="AU74" s="33">
        <f>ROUND(AA74-AK74,2)</f>
      </c>
      <c r="AV74" s="33">
        <f>ROUND(AB74-AL74,2)</f>
      </c>
      <c r="AW74" s="33">
        <f>ROUND(AC74-AM74,2)</f>
      </c>
      <c r="AX74" s="33">
        <f>ROUND(AD74-AN74,2)</f>
      </c>
      <c r="AY74" s="33">
        <f>ROUND(AE74-AO74,2)</f>
      </c>
      <c r="AZ74" s="33">
        <f>ROUND(MAX(0,'Your debts'!$D$22-SUM($L74:$U74)),2)</f>
      </c>
      <c r="BA74" s="33">
        <f>ROUND(SUM($B74:$K74)-SUM($AP73:$AY73),2)</f>
      </c>
      <c r="BB74" s="33">
        <f>SUM($AP74:$AY74)</f>
      </c>
      <c r="BC74" s="33">
        <f>ROUND(SUM($L74:$U74)+SUM($AF74:$AO74),2)</f>
      </c>
    </row>
    <row r="75" spans="1:55" x14ac:dyDescent="0.25">
      <c r="A75">
        <v>68</v>
      </c>
      <c r="B75" s="33">
        <f>IF(AP74&lt;=0,0,ROUND(AP74+ROUND(AP74*V$3/12,2),2))</f>
      </c>
      <c r="C75" s="33">
        <f>IF(AQ74&lt;=0,0,ROUND(AQ74+ROUND(AQ74*W$3/12,2),2))</f>
      </c>
      <c r="D75" s="33">
        <f>IF(AR74&lt;=0,0,ROUND(AR74+ROUND(AR74*X$3/12,2),2))</f>
      </c>
      <c r="E75" s="33">
        <f>IF(AS74&lt;=0,0,ROUND(AS74+ROUND(AS74*Y$3/12,2),2))</f>
      </c>
      <c r="F75" s="33">
        <f>IF(AT74&lt;=0,0,ROUND(AT74+ROUND(AT74*Z$3/12,2),2))</f>
      </c>
      <c r="G75" s="33">
        <f>IF(AU74&lt;=0,0,ROUND(AU74+ROUND(AU74*AA$3/12,2),2))</f>
      </c>
      <c r="H75" s="33">
        <f>IF(AV74&lt;=0,0,ROUND(AV74+ROUND(AV74*AB$3/12,2),2))</f>
      </c>
      <c r="I75" s="33">
        <f>IF(AW74&lt;=0,0,ROUND(AW74+ROUND(AW74*AC$3/12,2),2))</f>
      </c>
      <c r="J75" s="33">
        <f>IF(AX74&lt;=0,0,ROUND(AX74+ROUND(AX74*AD$3/12,2),2))</f>
      </c>
      <c r="K75" s="33">
        <f>IF(AY74&lt;=0,0,ROUND(AY74+ROUND(AY74*AE$3/12,2),2))</f>
      </c>
      <c r="L75" s="33">
        <f>ROUND(MIN(MAX(0,N('Your debts'!$E$6)),B75),2)</f>
      </c>
      <c r="M75" s="33">
        <f>ROUND(MIN(MAX(0,N('Your debts'!$E$7)),C75),2)</f>
      </c>
      <c r="N75" s="33">
        <f>ROUND(MIN(MAX(0,N('Your debts'!$E$8)),D75),2)</f>
      </c>
      <c r="O75" s="33">
        <f>ROUND(MIN(MAX(0,N('Your debts'!$E$9)),E75),2)</f>
      </c>
      <c r="P75" s="33">
        <f>ROUND(MIN(MAX(0,N('Your debts'!$E$10)),F75),2)</f>
      </c>
      <c r="Q75" s="33">
        <f>ROUND(MIN(MAX(0,N('Your debts'!$E$11)),G75),2)</f>
      </c>
      <c r="R75" s="33">
        <f>ROUND(MIN(MAX(0,N('Your debts'!$E$12)),H75),2)</f>
      </c>
      <c r="S75" s="33">
        <f>ROUND(MIN(MAX(0,N('Your debts'!$E$13)),I75),2)</f>
      </c>
      <c r="T75" s="33">
        <f>ROUND(MIN(MAX(0,N('Your debts'!$E$14)),J75),2)</f>
      </c>
      <c r="U75" s="33">
        <f>ROUND(MIN(MAX(0,N('Your debts'!$E$15)),K75),2)</f>
      </c>
      <c r="V75" s="33">
        <f>ROUND(B75-L75,2)</f>
      </c>
      <c r="W75" s="33">
        <f>ROUND(C75-M75,2)</f>
      </c>
      <c r="X75" s="33">
        <f>ROUND(D75-N75,2)</f>
      </c>
      <c r="Y75" s="33">
        <f>ROUND(E75-O75,2)</f>
      </c>
      <c r="Z75" s="33">
        <f>ROUND(F75-P75,2)</f>
      </c>
      <c r="AA75" s="33">
        <f>ROUND(G75-Q75,2)</f>
      </c>
      <c r="AB75" s="33">
        <f>ROUND(H75-R75,2)</f>
      </c>
      <c r="AC75" s="33">
        <f>ROUND(I75-S75,2)</f>
      </c>
      <c r="AD75" s="33">
        <f>ROUND(J75-T75,2)</f>
      </c>
      <c r="AE75" s="33">
        <f>ROUND(K75-U75,2)</f>
      </c>
      <c r="AF75" s="33">
        <f>IF(V75&lt;=0,0,MAX(0,MIN(V75,ROUND($AZ75-SUMPRODUCT($V75:$AE75*($V75:$AE75&gt;0)*(($V$3:$AE$3&gt;V$3)+($V$3:$AE$3=V$3)*($V75:$AE75&lt;V75)+($V$3:$AE$3=V$3)*($V75:$AE75=V75)*($V$2:$AE$2&lt;V$2))),2))))</f>
      </c>
      <c r="AG75" s="33">
        <f>IF(W75&lt;=0,0,MAX(0,MIN(W75,ROUND($AZ75-SUMPRODUCT($V75:$AE75*($V75:$AE75&gt;0)*(($V$3:$AE$3&gt;W$3)+($V$3:$AE$3=W$3)*($V75:$AE75&lt;W75)+($V$3:$AE$3=W$3)*($V75:$AE75=W75)*($V$2:$AE$2&lt;W$2))),2))))</f>
      </c>
      <c r="AH75" s="33">
        <f>IF(X75&lt;=0,0,MAX(0,MIN(X75,ROUND($AZ75-SUMPRODUCT($V75:$AE75*($V75:$AE75&gt;0)*(($V$3:$AE$3&gt;X$3)+($V$3:$AE$3=X$3)*($V75:$AE75&lt;X75)+($V$3:$AE$3=X$3)*($V75:$AE75=X75)*($V$2:$AE$2&lt;X$2))),2))))</f>
      </c>
      <c r="AI75" s="33">
        <f>IF(Y75&lt;=0,0,MAX(0,MIN(Y75,ROUND($AZ75-SUMPRODUCT($V75:$AE75*($V75:$AE75&gt;0)*(($V$3:$AE$3&gt;Y$3)+($V$3:$AE$3=Y$3)*($V75:$AE75&lt;Y75)+($V$3:$AE$3=Y$3)*($V75:$AE75=Y75)*($V$2:$AE$2&lt;Y$2))),2))))</f>
      </c>
      <c r="AJ75" s="33">
        <f>IF(Z75&lt;=0,0,MAX(0,MIN(Z75,ROUND($AZ75-SUMPRODUCT($V75:$AE75*($V75:$AE75&gt;0)*(($V$3:$AE$3&gt;Z$3)+($V$3:$AE$3=Z$3)*($V75:$AE75&lt;Z75)+($V$3:$AE$3=Z$3)*($V75:$AE75=Z75)*($V$2:$AE$2&lt;Z$2))),2))))</f>
      </c>
      <c r="AK75" s="33">
        <f>IF(AA75&lt;=0,0,MAX(0,MIN(AA75,ROUND($AZ75-SUMPRODUCT($V75:$AE75*($V75:$AE75&gt;0)*(($V$3:$AE$3&gt;AA$3)+($V$3:$AE$3=AA$3)*($V75:$AE75&lt;AA75)+($V$3:$AE$3=AA$3)*($V75:$AE75=AA75)*($V$2:$AE$2&lt;AA$2))),2))))</f>
      </c>
      <c r="AL75" s="33">
        <f>IF(AB75&lt;=0,0,MAX(0,MIN(AB75,ROUND($AZ75-SUMPRODUCT($V75:$AE75*($V75:$AE75&gt;0)*(($V$3:$AE$3&gt;AB$3)+($V$3:$AE$3=AB$3)*($V75:$AE75&lt;AB75)+($V$3:$AE$3=AB$3)*($V75:$AE75=AB75)*($V$2:$AE$2&lt;AB$2))),2))))</f>
      </c>
      <c r="AM75" s="33">
        <f>IF(AC75&lt;=0,0,MAX(0,MIN(AC75,ROUND($AZ75-SUMPRODUCT($V75:$AE75*($V75:$AE75&gt;0)*(($V$3:$AE$3&gt;AC$3)+($V$3:$AE$3=AC$3)*($V75:$AE75&lt;AC75)+($V$3:$AE$3=AC$3)*($V75:$AE75=AC75)*($V$2:$AE$2&lt;AC$2))),2))))</f>
      </c>
      <c r="AN75" s="33">
        <f>IF(AD75&lt;=0,0,MAX(0,MIN(AD75,ROUND($AZ75-SUMPRODUCT($V75:$AE75*($V75:$AE75&gt;0)*(($V$3:$AE$3&gt;AD$3)+($V$3:$AE$3=AD$3)*($V75:$AE75&lt;AD75)+($V$3:$AE$3=AD$3)*($V75:$AE75=AD75)*($V$2:$AE$2&lt;AD$2))),2))))</f>
      </c>
      <c r="AO75" s="33">
        <f>IF(AE75&lt;=0,0,MAX(0,MIN(AE75,ROUND($AZ75-SUMPRODUCT($V75:$AE75*($V75:$AE75&gt;0)*(($V$3:$AE$3&gt;AE$3)+($V$3:$AE$3=AE$3)*($V75:$AE75&lt;AE75)+($V$3:$AE$3=AE$3)*($V75:$AE75=AE75)*($V$2:$AE$2&lt;AE$2))),2))))</f>
      </c>
      <c r="AP75" s="33">
        <f>ROUND(V75-AF75,2)</f>
      </c>
      <c r="AQ75" s="33">
        <f>ROUND(W75-AG75,2)</f>
      </c>
      <c r="AR75" s="33">
        <f>ROUND(X75-AH75,2)</f>
      </c>
      <c r="AS75" s="33">
        <f>ROUND(Y75-AI75,2)</f>
      </c>
      <c r="AT75" s="33">
        <f>ROUND(Z75-AJ75,2)</f>
      </c>
      <c r="AU75" s="33">
        <f>ROUND(AA75-AK75,2)</f>
      </c>
      <c r="AV75" s="33">
        <f>ROUND(AB75-AL75,2)</f>
      </c>
      <c r="AW75" s="33">
        <f>ROUND(AC75-AM75,2)</f>
      </c>
      <c r="AX75" s="33">
        <f>ROUND(AD75-AN75,2)</f>
      </c>
      <c r="AY75" s="33">
        <f>ROUND(AE75-AO75,2)</f>
      </c>
      <c r="AZ75" s="33">
        <f>ROUND(MAX(0,'Your debts'!$D$22-SUM($L75:$U75)),2)</f>
      </c>
      <c r="BA75" s="33">
        <f>ROUND(SUM($B75:$K75)-SUM($AP74:$AY74),2)</f>
      </c>
      <c r="BB75" s="33">
        <f>SUM($AP75:$AY75)</f>
      </c>
      <c r="BC75" s="33">
        <f>ROUND(SUM($L75:$U75)+SUM($AF75:$AO75),2)</f>
      </c>
    </row>
    <row r="76" spans="1:55" x14ac:dyDescent="0.25">
      <c r="A76">
        <v>69</v>
      </c>
      <c r="B76" s="33">
        <f>IF(AP75&lt;=0,0,ROUND(AP75+ROUND(AP75*V$3/12,2),2))</f>
      </c>
      <c r="C76" s="33">
        <f>IF(AQ75&lt;=0,0,ROUND(AQ75+ROUND(AQ75*W$3/12,2),2))</f>
      </c>
      <c r="D76" s="33">
        <f>IF(AR75&lt;=0,0,ROUND(AR75+ROUND(AR75*X$3/12,2),2))</f>
      </c>
      <c r="E76" s="33">
        <f>IF(AS75&lt;=0,0,ROUND(AS75+ROUND(AS75*Y$3/12,2),2))</f>
      </c>
      <c r="F76" s="33">
        <f>IF(AT75&lt;=0,0,ROUND(AT75+ROUND(AT75*Z$3/12,2),2))</f>
      </c>
      <c r="G76" s="33">
        <f>IF(AU75&lt;=0,0,ROUND(AU75+ROUND(AU75*AA$3/12,2),2))</f>
      </c>
      <c r="H76" s="33">
        <f>IF(AV75&lt;=0,0,ROUND(AV75+ROUND(AV75*AB$3/12,2),2))</f>
      </c>
      <c r="I76" s="33">
        <f>IF(AW75&lt;=0,0,ROUND(AW75+ROUND(AW75*AC$3/12,2),2))</f>
      </c>
      <c r="J76" s="33">
        <f>IF(AX75&lt;=0,0,ROUND(AX75+ROUND(AX75*AD$3/12,2),2))</f>
      </c>
      <c r="K76" s="33">
        <f>IF(AY75&lt;=0,0,ROUND(AY75+ROUND(AY75*AE$3/12,2),2))</f>
      </c>
      <c r="L76" s="33">
        <f>ROUND(MIN(MAX(0,N('Your debts'!$E$6)),B76),2)</f>
      </c>
      <c r="M76" s="33">
        <f>ROUND(MIN(MAX(0,N('Your debts'!$E$7)),C76),2)</f>
      </c>
      <c r="N76" s="33">
        <f>ROUND(MIN(MAX(0,N('Your debts'!$E$8)),D76),2)</f>
      </c>
      <c r="O76" s="33">
        <f>ROUND(MIN(MAX(0,N('Your debts'!$E$9)),E76),2)</f>
      </c>
      <c r="P76" s="33">
        <f>ROUND(MIN(MAX(0,N('Your debts'!$E$10)),F76),2)</f>
      </c>
      <c r="Q76" s="33">
        <f>ROUND(MIN(MAX(0,N('Your debts'!$E$11)),G76),2)</f>
      </c>
      <c r="R76" s="33">
        <f>ROUND(MIN(MAX(0,N('Your debts'!$E$12)),H76),2)</f>
      </c>
      <c r="S76" s="33">
        <f>ROUND(MIN(MAX(0,N('Your debts'!$E$13)),I76),2)</f>
      </c>
      <c r="T76" s="33">
        <f>ROUND(MIN(MAX(0,N('Your debts'!$E$14)),J76),2)</f>
      </c>
      <c r="U76" s="33">
        <f>ROUND(MIN(MAX(0,N('Your debts'!$E$15)),K76),2)</f>
      </c>
      <c r="V76" s="33">
        <f>ROUND(B76-L76,2)</f>
      </c>
      <c r="W76" s="33">
        <f>ROUND(C76-M76,2)</f>
      </c>
      <c r="X76" s="33">
        <f>ROUND(D76-N76,2)</f>
      </c>
      <c r="Y76" s="33">
        <f>ROUND(E76-O76,2)</f>
      </c>
      <c r="Z76" s="33">
        <f>ROUND(F76-P76,2)</f>
      </c>
      <c r="AA76" s="33">
        <f>ROUND(G76-Q76,2)</f>
      </c>
      <c r="AB76" s="33">
        <f>ROUND(H76-R76,2)</f>
      </c>
      <c r="AC76" s="33">
        <f>ROUND(I76-S76,2)</f>
      </c>
      <c r="AD76" s="33">
        <f>ROUND(J76-T76,2)</f>
      </c>
      <c r="AE76" s="33">
        <f>ROUND(K76-U76,2)</f>
      </c>
      <c r="AF76" s="33">
        <f>IF(V76&lt;=0,0,MAX(0,MIN(V76,ROUND($AZ76-SUMPRODUCT($V76:$AE76*($V76:$AE76&gt;0)*(($V$3:$AE$3&gt;V$3)+($V$3:$AE$3=V$3)*($V76:$AE76&lt;V76)+($V$3:$AE$3=V$3)*($V76:$AE76=V76)*($V$2:$AE$2&lt;V$2))),2))))</f>
      </c>
      <c r="AG76" s="33">
        <f>IF(W76&lt;=0,0,MAX(0,MIN(W76,ROUND($AZ76-SUMPRODUCT($V76:$AE76*($V76:$AE76&gt;0)*(($V$3:$AE$3&gt;W$3)+($V$3:$AE$3=W$3)*($V76:$AE76&lt;W76)+($V$3:$AE$3=W$3)*($V76:$AE76=W76)*($V$2:$AE$2&lt;W$2))),2))))</f>
      </c>
      <c r="AH76" s="33">
        <f>IF(X76&lt;=0,0,MAX(0,MIN(X76,ROUND($AZ76-SUMPRODUCT($V76:$AE76*($V76:$AE76&gt;0)*(($V$3:$AE$3&gt;X$3)+($V$3:$AE$3=X$3)*($V76:$AE76&lt;X76)+($V$3:$AE$3=X$3)*($V76:$AE76=X76)*($V$2:$AE$2&lt;X$2))),2))))</f>
      </c>
      <c r="AI76" s="33">
        <f>IF(Y76&lt;=0,0,MAX(0,MIN(Y76,ROUND($AZ76-SUMPRODUCT($V76:$AE76*($V76:$AE76&gt;0)*(($V$3:$AE$3&gt;Y$3)+($V$3:$AE$3=Y$3)*($V76:$AE76&lt;Y76)+($V$3:$AE$3=Y$3)*($V76:$AE76=Y76)*($V$2:$AE$2&lt;Y$2))),2))))</f>
      </c>
      <c r="AJ76" s="33">
        <f>IF(Z76&lt;=0,0,MAX(0,MIN(Z76,ROUND($AZ76-SUMPRODUCT($V76:$AE76*($V76:$AE76&gt;0)*(($V$3:$AE$3&gt;Z$3)+($V$3:$AE$3=Z$3)*($V76:$AE76&lt;Z76)+($V$3:$AE$3=Z$3)*($V76:$AE76=Z76)*($V$2:$AE$2&lt;Z$2))),2))))</f>
      </c>
      <c r="AK76" s="33">
        <f>IF(AA76&lt;=0,0,MAX(0,MIN(AA76,ROUND($AZ76-SUMPRODUCT($V76:$AE76*($V76:$AE76&gt;0)*(($V$3:$AE$3&gt;AA$3)+($V$3:$AE$3=AA$3)*($V76:$AE76&lt;AA76)+($V$3:$AE$3=AA$3)*($V76:$AE76=AA76)*($V$2:$AE$2&lt;AA$2))),2))))</f>
      </c>
      <c r="AL76" s="33">
        <f>IF(AB76&lt;=0,0,MAX(0,MIN(AB76,ROUND($AZ76-SUMPRODUCT($V76:$AE76*($V76:$AE76&gt;0)*(($V$3:$AE$3&gt;AB$3)+($V$3:$AE$3=AB$3)*($V76:$AE76&lt;AB76)+($V$3:$AE$3=AB$3)*($V76:$AE76=AB76)*($V$2:$AE$2&lt;AB$2))),2))))</f>
      </c>
      <c r="AM76" s="33">
        <f>IF(AC76&lt;=0,0,MAX(0,MIN(AC76,ROUND($AZ76-SUMPRODUCT($V76:$AE76*($V76:$AE76&gt;0)*(($V$3:$AE$3&gt;AC$3)+($V$3:$AE$3=AC$3)*($V76:$AE76&lt;AC76)+($V$3:$AE$3=AC$3)*($V76:$AE76=AC76)*($V$2:$AE$2&lt;AC$2))),2))))</f>
      </c>
      <c r="AN76" s="33">
        <f>IF(AD76&lt;=0,0,MAX(0,MIN(AD76,ROUND($AZ76-SUMPRODUCT($V76:$AE76*($V76:$AE76&gt;0)*(($V$3:$AE$3&gt;AD$3)+($V$3:$AE$3=AD$3)*($V76:$AE76&lt;AD76)+($V$3:$AE$3=AD$3)*($V76:$AE76=AD76)*($V$2:$AE$2&lt;AD$2))),2))))</f>
      </c>
      <c r="AO76" s="33">
        <f>IF(AE76&lt;=0,0,MAX(0,MIN(AE76,ROUND($AZ76-SUMPRODUCT($V76:$AE76*($V76:$AE76&gt;0)*(($V$3:$AE$3&gt;AE$3)+($V$3:$AE$3=AE$3)*($V76:$AE76&lt;AE76)+($V$3:$AE$3=AE$3)*($V76:$AE76=AE76)*($V$2:$AE$2&lt;AE$2))),2))))</f>
      </c>
      <c r="AP76" s="33">
        <f>ROUND(V76-AF76,2)</f>
      </c>
      <c r="AQ76" s="33">
        <f>ROUND(W76-AG76,2)</f>
      </c>
      <c r="AR76" s="33">
        <f>ROUND(X76-AH76,2)</f>
      </c>
      <c r="AS76" s="33">
        <f>ROUND(Y76-AI76,2)</f>
      </c>
      <c r="AT76" s="33">
        <f>ROUND(Z76-AJ76,2)</f>
      </c>
      <c r="AU76" s="33">
        <f>ROUND(AA76-AK76,2)</f>
      </c>
      <c r="AV76" s="33">
        <f>ROUND(AB76-AL76,2)</f>
      </c>
      <c r="AW76" s="33">
        <f>ROUND(AC76-AM76,2)</f>
      </c>
      <c r="AX76" s="33">
        <f>ROUND(AD76-AN76,2)</f>
      </c>
      <c r="AY76" s="33">
        <f>ROUND(AE76-AO76,2)</f>
      </c>
      <c r="AZ76" s="33">
        <f>ROUND(MAX(0,'Your debts'!$D$22-SUM($L76:$U76)),2)</f>
      </c>
      <c r="BA76" s="33">
        <f>ROUND(SUM($B76:$K76)-SUM($AP75:$AY75),2)</f>
      </c>
      <c r="BB76" s="33">
        <f>SUM($AP76:$AY76)</f>
      </c>
      <c r="BC76" s="33">
        <f>ROUND(SUM($L76:$U76)+SUM($AF76:$AO76),2)</f>
      </c>
    </row>
    <row r="77" spans="1:55" x14ac:dyDescent="0.25">
      <c r="A77">
        <v>70</v>
      </c>
      <c r="B77" s="33">
        <f>IF(AP76&lt;=0,0,ROUND(AP76+ROUND(AP76*V$3/12,2),2))</f>
      </c>
      <c r="C77" s="33">
        <f>IF(AQ76&lt;=0,0,ROUND(AQ76+ROUND(AQ76*W$3/12,2),2))</f>
      </c>
      <c r="D77" s="33">
        <f>IF(AR76&lt;=0,0,ROUND(AR76+ROUND(AR76*X$3/12,2),2))</f>
      </c>
      <c r="E77" s="33">
        <f>IF(AS76&lt;=0,0,ROUND(AS76+ROUND(AS76*Y$3/12,2),2))</f>
      </c>
      <c r="F77" s="33">
        <f>IF(AT76&lt;=0,0,ROUND(AT76+ROUND(AT76*Z$3/12,2),2))</f>
      </c>
      <c r="G77" s="33">
        <f>IF(AU76&lt;=0,0,ROUND(AU76+ROUND(AU76*AA$3/12,2),2))</f>
      </c>
      <c r="H77" s="33">
        <f>IF(AV76&lt;=0,0,ROUND(AV76+ROUND(AV76*AB$3/12,2),2))</f>
      </c>
      <c r="I77" s="33">
        <f>IF(AW76&lt;=0,0,ROUND(AW76+ROUND(AW76*AC$3/12,2),2))</f>
      </c>
      <c r="J77" s="33">
        <f>IF(AX76&lt;=0,0,ROUND(AX76+ROUND(AX76*AD$3/12,2),2))</f>
      </c>
      <c r="K77" s="33">
        <f>IF(AY76&lt;=0,0,ROUND(AY76+ROUND(AY76*AE$3/12,2),2))</f>
      </c>
      <c r="L77" s="33">
        <f>ROUND(MIN(MAX(0,N('Your debts'!$E$6)),B77),2)</f>
      </c>
      <c r="M77" s="33">
        <f>ROUND(MIN(MAX(0,N('Your debts'!$E$7)),C77),2)</f>
      </c>
      <c r="N77" s="33">
        <f>ROUND(MIN(MAX(0,N('Your debts'!$E$8)),D77),2)</f>
      </c>
      <c r="O77" s="33">
        <f>ROUND(MIN(MAX(0,N('Your debts'!$E$9)),E77),2)</f>
      </c>
      <c r="P77" s="33">
        <f>ROUND(MIN(MAX(0,N('Your debts'!$E$10)),F77),2)</f>
      </c>
      <c r="Q77" s="33">
        <f>ROUND(MIN(MAX(0,N('Your debts'!$E$11)),G77),2)</f>
      </c>
      <c r="R77" s="33">
        <f>ROUND(MIN(MAX(0,N('Your debts'!$E$12)),H77),2)</f>
      </c>
      <c r="S77" s="33">
        <f>ROUND(MIN(MAX(0,N('Your debts'!$E$13)),I77),2)</f>
      </c>
      <c r="T77" s="33">
        <f>ROUND(MIN(MAX(0,N('Your debts'!$E$14)),J77),2)</f>
      </c>
      <c r="U77" s="33">
        <f>ROUND(MIN(MAX(0,N('Your debts'!$E$15)),K77),2)</f>
      </c>
      <c r="V77" s="33">
        <f>ROUND(B77-L77,2)</f>
      </c>
      <c r="W77" s="33">
        <f>ROUND(C77-M77,2)</f>
      </c>
      <c r="X77" s="33">
        <f>ROUND(D77-N77,2)</f>
      </c>
      <c r="Y77" s="33">
        <f>ROUND(E77-O77,2)</f>
      </c>
      <c r="Z77" s="33">
        <f>ROUND(F77-P77,2)</f>
      </c>
      <c r="AA77" s="33">
        <f>ROUND(G77-Q77,2)</f>
      </c>
      <c r="AB77" s="33">
        <f>ROUND(H77-R77,2)</f>
      </c>
      <c r="AC77" s="33">
        <f>ROUND(I77-S77,2)</f>
      </c>
      <c r="AD77" s="33">
        <f>ROUND(J77-T77,2)</f>
      </c>
      <c r="AE77" s="33">
        <f>ROUND(K77-U77,2)</f>
      </c>
      <c r="AF77" s="33">
        <f>IF(V77&lt;=0,0,MAX(0,MIN(V77,ROUND($AZ77-SUMPRODUCT($V77:$AE77*($V77:$AE77&gt;0)*(($V$3:$AE$3&gt;V$3)+($V$3:$AE$3=V$3)*($V77:$AE77&lt;V77)+($V$3:$AE$3=V$3)*($V77:$AE77=V77)*($V$2:$AE$2&lt;V$2))),2))))</f>
      </c>
      <c r="AG77" s="33">
        <f>IF(W77&lt;=0,0,MAX(0,MIN(W77,ROUND($AZ77-SUMPRODUCT($V77:$AE77*($V77:$AE77&gt;0)*(($V$3:$AE$3&gt;W$3)+($V$3:$AE$3=W$3)*($V77:$AE77&lt;W77)+($V$3:$AE$3=W$3)*($V77:$AE77=W77)*($V$2:$AE$2&lt;W$2))),2))))</f>
      </c>
      <c r="AH77" s="33">
        <f>IF(X77&lt;=0,0,MAX(0,MIN(X77,ROUND($AZ77-SUMPRODUCT($V77:$AE77*($V77:$AE77&gt;0)*(($V$3:$AE$3&gt;X$3)+($V$3:$AE$3=X$3)*($V77:$AE77&lt;X77)+($V$3:$AE$3=X$3)*($V77:$AE77=X77)*($V$2:$AE$2&lt;X$2))),2))))</f>
      </c>
      <c r="AI77" s="33">
        <f>IF(Y77&lt;=0,0,MAX(0,MIN(Y77,ROUND($AZ77-SUMPRODUCT($V77:$AE77*($V77:$AE77&gt;0)*(($V$3:$AE$3&gt;Y$3)+($V$3:$AE$3=Y$3)*($V77:$AE77&lt;Y77)+($V$3:$AE$3=Y$3)*($V77:$AE77=Y77)*($V$2:$AE$2&lt;Y$2))),2))))</f>
      </c>
      <c r="AJ77" s="33">
        <f>IF(Z77&lt;=0,0,MAX(0,MIN(Z77,ROUND($AZ77-SUMPRODUCT($V77:$AE77*($V77:$AE77&gt;0)*(($V$3:$AE$3&gt;Z$3)+($V$3:$AE$3=Z$3)*($V77:$AE77&lt;Z77)+($V$3:$AE$3=Z$3)*($V77:$AE77=Z77)*($V$2:$AE$2&lt;Z$2))),2))))</f>
      </c>
      <c r="AK77" s="33">
        <f>IF(AA77&lt;=0,0,MAX(0,MIN(AA77,ROUND($AZ77-SUMPRODUCT($V77:$AE77*($V77:$AE77&gt;0)*(($V$3:$AE$3&gt;AA$3)+($V$3:$AE$3=AA$3)*($V77:$AE77&lt;AA77)+($V$3:$AE$3=AA$3)*($V77:$AE77=AA77)*($V$2:$AE$2&lt;AA$2))),2))))</f>
      </c>
      <c r="AL77" s="33">
        <f>IF(AB77&lt;=0,0,MAX(0,MIN(AB77,ROUND($AZ77-SUMPRODUCT($V77:$AE77*($V77:$AE77&gt;0)*(($V$3:$AE$3&gt;AB$3)+($V$3:$AE$3=AB$3)*($V77:$AE77&lt;AB77)+($V$3:$AE$3=AB$3)*($V77:$AE77=AB77)*($V$2:$AE$2&lt;AB$2))),2))))</f>
      </c>
      <c r="AM77" s="33">
        <f>IF(AC77&lt;=0,0,MAX(0,MIN(AC77,ROUND($AZ77-SUMPRODUCT($V77:$AE77*($V77:$AE77&gt;0)*(($V$3:$AE$3&gt;AC$3)+($V$3:$AE$3=AC$3)*($V77:$AE77&lt;AC77)+($V$3:$AE$3=AC$3)*($V77:$AE77=AC77)*($V$2:$AE$2&lt;AC$2))),2))))</f>
      </c>
      <c r="AN77" s="33">
        <f>IF(AD77&lt;=0,0,MAX(0,MIN(AD77,ROUND($AZ77-SUMPRODUCT($V77:$AE77*($V77:$AE77&gt;0)*(($V$3:$AE$3&gt;AD$3)+($V$3:$AE$3=AD$3)*($V77:$AE77&lt;AD77)+($V$3:$AE$3=AD$3)*($V77:$AE77=AD77)*($V$2:$AE$2&lt;AD$2))),2))))</f>
      </c>
      <c r="AO77" s="33">
        <f>IF(AE77&lt;=0,0,MAX(0,MIN(AE77,ROUND($AZ77-SUMPRODUCT($V77:$AE77*($V77:$AE77&gt;0)*(($V$3:$AE$3&gt;AE$3)+($V$3:$AE$3=AE$3)*($V77:$AE77&lt;AE77)+($V$3:$AE$3=AE$3)*($V77:$AE77=AE77)*($V$2:$AE$2&lt;AE$2))),2))))</f>
      </c>
      <c r="AP77" s="33">
        <f>ROUND(V77-AF77,2)</f>
      </c>
      <c r="AQ77" s="33">
        <f>ROUND(W77-AG77,2)</f>
      </c>
      <c r="AR77" s="33">
        <f>ROUND(X77-AH77,2)</f>
      </c>
      <c r="AS77" s="33">
        <f>ROUND(Y77-AI77,2)</f>
      </c>
      <c r="AT77" s="33">
        <f>ROUND(Z77-AJ77,2)</f>
      </c>
      <c r="AU77" s="33">
        <f>ROUND(AA77-AK77,2)</f>
      </c>
      <c r="AV77" s="33">
        <f>ROUND(AB77-AL77,2)</f>
      </c>
      <c r="AW77" s="33">
        <f>ROUND(AC77-AM77,2)</f>
      </c>
      <c r="AX77" s="33">
        <f>ROUND(AD77-AN77,2)</f>
      </c>
      <c r="AY77" s="33">
        <f>ROUND(AE77-AO77,2)</f>
      </c>
      <c r="AZ77" s="33">
        <f>ROUND(MAX(0,'Your debts'!$D$22-SUM($L77:$U77)),2)</f>
      </c>
      <c r="BA77" s="33">
        <f>ROUND(SUM($B77:$K77)-SUM($AP76:$AY76),2)</f>
      </c>
      <c r="BB77" s="33">
        <f>SUM($AP77:$AY77)</f>
      </c>
      <c r="BC77" s="33">
        <f>ROUND(SUM($L77:$U77)+SUM($AF77:$AO77),2)</f>
      </c>
    </row>
    <row r="78" spans="1:55" x14ac:dyDescent="0.25">
      <c r="A78">
        <v>71</v>
      </c>
      <c r="B78" s="33">
        <f>IF(AP77&lt;=0,0,ROUND(AP77+ROUND(AP77*V$3/12,2),2))</f>
      </c>
      <c r="C78" s="33">
        <f>IF(AQ77&lt;=0,0,ROUND(AQ77+ROUND(AQ77*W$3/12,2),2))</f>
      </c>
      <c r="D78" s="33">
        <f>IF(AR77&lt;=0,0,ROUND(AR77+ROUND(AR77*X$3/12,2),2))</f>
      </c>
      <c r="E78" s="33">
        <f>IF(AS77&lt;=0,0,ROUND(AS77+ROUND(AS77*Y$3/12,2),2))</f>
      </c>
      <c r="F78" s="33">
        <f>IF(AT77&lt;=0,0,ROUND(AT77+ROUND(AT77*Z$3/12,2),2))</f>
      </c>
      <c r="G78" s="33">
        <f>IF(AU77&lt;=0,0,ROUND(AU77+ROUND(AU77*AA$3/12,2),2))</f>
      </c>
      <c r="H78" s="33">
        <f>IF(AV77&lt;=0,0,ROUND(AV77+ROUND(AV77*AB$3/12,2),2))</f>
      </c>
      <c r="I78" s="33">
        <f>IF(AW77&lt;=0,0,ROUND(AW77+ROUND(AW77*AC$3/12,2),2))</f>
      </c>
      <c r="J78" s="33">
        <f>IF(AX77&lt;=0,0,ROUND(AX77+ROUND(AX77*AD$3/12,2),2))</f>
      </c>
      <c r="K78" s="33">
        <f>IF(AY77&lt;=0,0,ROUND(AY77+ROUND(AY77*AE$3/12,2),2))</f>
      </c>
      <c r="L78" s="33">
        <f>ROUND(MIN(MAX(0,N('Your debts'!$E$6)),B78),2)</f>
      </c>
      <c r="M78" s="33">
        <f>ROUND(MIN(MAX(0,N('Your debts'!$E$7)),C78),2)</f>
      </c>
      <c r="N78" s="33">
        <f>ROUND(MIN(MAX(0,N('Your debts'!$E$8)),D78),2)</f>
      </c>
      <c r="O78" s="33">
        <f>ROUND(MIN(MAX(0,N('Your debts'!$E$9)),E78),2)</f>
      </c>
      <c r="P78" s="33">
        <f>ROUND(MIN(MAX(0,N('Your debts'!$E$10)),F78),2)</f>
      </c>
      <c r="Q78" s="33">
        <f>ROUND(MIN(MAX(0,N('Your debts'!$E$11)),G78),2)</f>
      </c>
      <c r="R78" s="33">
        <f>ROUND(MIN(MAX(0,N('Your debts'!$E$12)),H78),2)</f>
      </c>
      <c r="S78" s="33">
        <f>ROUND(MIN(MAX(0,N('Your debts'!$E$13)),I78),2)</f>
      </c>
      <c r="T78" s="33">
        <f>ROUND(MIN(MAX(0,N('Your debts'!$E$14)),J78),2)</f>
      </c>
      <c r="U78" s="33">
        <f>ROUND(MIN(MAX(0,N('Your debts'!$E$15)),K78),2)</f>
      </c>
      <c r="V78" s="33">
        <f>ROUND(B78-L78,2)</f>
      </c>
      <c r="W78" s="33">
        <f>ROUND(C78-M78,2)</f>
      </c>
      <c r="X78" s="33">
        <f>ROUND(D78-N78,2)</f>
      </c>
      <c r="Y78" s="33">
        <f>ROUND(E78-O78,2)</f>
      </c>
      <c r="Z78" s="33">
        <f>ROUND(F78-P78,2)</f>
      </c>
      <c r="AA78" s="33">
        <f>ROUND(G78-Q78,2)</f>
      </c>
      <c r="AB78" s="33">
        <f>ROUND(H78-R78,2)</f>
      </c>
      <c r="AC78" s="33">
        <f>ROUND(I78-S78,2)</f>
      </c>
      <c r="AD78" s="33">
        <f>ROUND(J78-T78,2)</f>
      </c>
      <c r="AE78" s="33">
        <f>ROUND(K78-U78,2)</f>
      </c>
      <c r="AF78" s="33">
        <f>IF(V78&lt;=0,0,MAX(0,MIN(V78,ROUND($AZ78-SUMPRODUCT($V78:$AE78*($V78:$AE78&gt;0)*(($V$3:$AE$3&gt;V$3)+($V$3:$AE$3=V$3)*($V78:$AE78&lt;V78)+($V$3:$AE$3=V$3)*($V78:$AE78=V78)*($V$2:$AE$2&lt;V$2))),2))))</f>
      </c>
      <c r="AG78" s="33">
        <f>IF(W78&lt;=0,0,MAX(0,MIN(W78,ROUND($AZ78-SUMPRODUCT($V78:$AE78*($V78:$AE78&gt;0)*(($V$3:$AE$3&gt;W$3)+($V$3:$AE$3=W$3)*($V78:$AE78&lt;W78)+($V$3:$AE$3=W$3)*($V78:$AE78=W78)*($V$2:$AE$2&lt;W$2))),2))))</f>
      </c>
      <c r="AH78" s="33">
        <f>IF(X78&lt;=0,0,MAX(0,MIN(X78,ROUND($AZ78-SUMPRODUCT($V78:$AE78*($V78:$AE78&gt;0)*(($V$3:$AE$3&gt;X$3)+($V$3:$AE$3=X$3)*($V78:$AE78&lt;X78)+($V$3:$AE$3=X$3)*($V78:$AE78=X78)*($V$2:$AE$2&lt;X$2))),2))))</f>
      </c>
      <c r="AI78" s="33">
        <f>IF(Y78&lt;=0,0,MAX(0,MIN(Y78,ROUND($AZ78-SUMPRODUCT($V78:$AE78*($V78:$AE78&gt;0)*(($V$3:$AE$3&gt;Y$3)+($V$3:$AE$3=Y$3)*($V78:$AE78&lt;Y78)+($V$3:$AE$3=Y$3)*($V78:$AE78=Y78)*($V$2:$AE$2&lt;Y$2))),2))))</f>
      </c>
      <c r="AJ78" s="33">
        <f>IF(Z78&lt;=0,0,MAX(0,MIN(Z78,ROUND($AZ78-SUMPRODUCT($V78:$AE78*($V78:$AE78&gt;0)*(($V$3:$AE$3&gt;Z$3)+($V$3:$AE$3=Z$3)*($V78:$AE78&lt;Z78)+($V$3:$AE$3=Z$3)*($V78:$AE78=Z78)*($V$2:$AE$2&lt;Z$2))),2))))</f>
      </c>
      <c r="AK78" s="33">
        <f>IF(AA78&lt;=0,0,MAX(0,MIN(AA78,ROUND($AZ78-SUMPRODUCT($V78:$AE78*($V78:$AE78&gt;0)*(($V$3:$AE$3&gt;AA$3)+($V$3:$AE$3=AA$3)*($V78:$AE78&lt;AA78)+($V$3:$AE$3=AA$3)*($V78:$AE78=AA78)*($V$2:$AE$2&lt;AA$2))),2))))</f>
      </c>
      <c r="AL78" s="33">
        <f>IF(AB78&lt;=0,0,MAX(0,MIN(AB78,ROUND($AZ78-SUMPRODUCT($V78:$AE78*($V78:$AE78&gt;0)*(($V$3:$AE$3&gt;AB$3)+($V$3:$AE$3=AB$3)*($V78:$AE78&lt;AB78)+($V$3:$AE$3=AB$3)*($V78:$AE78=AB78)*($V$2:$AE$2&lt;AB$2))),2))))</f>
      </c>
      <c r="AM78" s="33">
        <f>IF(AC78&lt;=0,0,MAX(0,MIN(AC78,ROUND($AZ78-SUMPRODUCT($V78:$AE78*($V78:$AE78&gt;0)*(($V$3:$AE$3&gt;AC$3)+($V$3:$AE$3=AC$3)*($V78:$AE78&lt;AC78)+($V$3:$AE$3=AC$3)*($V78:$AE78=AC78)*($V$2:$AE$2&lt;AC$2))),2))))</f>
      </c>
      <c r="AN78" s="33">
        <f>IF(AD78&lt;=0,0,MAX(0,MIN(AD78,ROUND($AZ78-SUMPRODUCT($V78:$AE78*($V78:$AE78&gt;0)*(($V$3:$AE$3&gt;AD$3)+($V$3:$AE$3=AD$3)*($V78:$AE78&lt;AD78)+($V$3:$AE$3=AD$3)*($V78:$AE78=AD78)*($V$2:$AE$2&lt;AD$2))),2))))</f>
      </c>
      <c r="AO78" s="33">
        <f>IF(AE78&lt;=0,0,MAX(0,MIN(AE78,ROUND($AZ78-SUMPRODUCT($V78:$AE78*($V78:$AE78&gt;0)*(($V$3:$AE$3&gt;AE$3)+($V$3:$AE$3=AE$3)*($V78:$AE78&lt;AE78)+($V$3:$AE$3=AE$3)*($V78:$AE78=AE78)*($V$2:$AE$2&lt;AE$2))),2))))</f>
      </c>
      <c r="AP78" s="33">
        <f>ROUND(V78-AF78,2)</f>
      </c>
      <c r="AQ78" s="33">
        <f>ROUND(W78-AG78,2)</f>
      </c>
      <c r="AR78" s="33">
        <f>ROUND(X78-AH78,2)</f>
      </c>
      <c r="AS78" s="33">
        <f>ROUND(Y78-AI78,2)</f>
      </c>
      <c r="AT78" s="33">
        <f>ROUND(Z78-AJ78,2)</f>
      </c>
      <c r="AU78" s="33">
        <f>ROUND(AA78-AK78,2)</f>
      </c>
      <c r="AV78" s="33">
        <f>ROUND(AB78-AL78,2)</f>
      </c>
      <c r="AW78" s="33">
        <f>ROUND(AC78-AM78,2)</f>
      </c>
      <c r="AX78" s="33">
        <f>ROUND(AD78-AN78,2)</f>
      </c>
      <c r="AY78" s="33">
        <f>ROUND(AE78-AO78,2)</f>
      </c>
      <c r="AZ78" s="33">
        <f>ROUND(MAX(0,'Your debts'!$D$22-SUM($L78:$U78)),2)</f>
      </c>
      <c r="BA78" s="33">
        <f>ROUND(SUM($B78:$K78)-SUM($AP77:$AY77),2)</f>
      </c>
      <c r="BB78" s="33">
        <f>SUM($AP78:$AY78)</f>
      </c>
      <c r="BC78" s="33">
        <f>ROUND(SUM($L78:$U78)+SUM($AF78:$AO78),2)</f>
      </c>
    </row>
    <row r="79" spans="1:55" x14ac:dyDescent="0.25">
      <c r="A79">
        <v>72</v>
      </c>
      <c r="B79" s="33">
        <f>IF(AP78&lt;=0,0,ROUND(AP78+ROUND(AP78*V$3/12,2),2))</f>
      </c>
      <c r="C79" s="33">
        <f>IF(AQ78&lt;=0,0,ROUND(AQ78+ROUND(AQ78*W$3/12,2),2))</f>
      </c>
      <c r="D79" s="33">
        <f>IF(AR78&lt;=0,0,ROUND(AR78+ROUND(AR78*X$3/12,2),2))</f>
      </c>
      <c r="E79" s="33">
        <f>IF(AS78&lt;=0,0,ROUND(AS78+ROUND(AS78*Y$3/12,2),2))</f>
      </c>
      <c r="F79" s="33">
        <f>IF(AT78&lt;=0,0,ROUND(AT78+ROUND(AT78*Z$3/12,2),2))</f>
      </c>
      <c r="G79" s="33">
        <f>IF(AU78&lt;=0,0,ROUND(AU78+ROUND(AU78*AA$3/12,2),2))</f>
      </c>
      <c r="H79" s="33">
        <f>IF(AV78&lt;=0,0,ROUND(AV78+ROUND(AV78*AB$3/12,2),2))</f>
      </c>
      <c r="I79" s="33">
        <f>IF(AW78&lt;=0,0,ROUND(AW78+ROUND(AW78*AC$3/12,2),2))</f>
      </c>
      <c r="J79" s="33">
        <f>IF(AX78&lt;=0,0,ROUND(AX78+ROUND(AX78*AD$3/12,2),2))</f>
      </c>
      <c r="K79" s="33">
        <f>IF(AY78&lt;=0,0,ROUND(AY78+ROUND(AY78*AE$3/12,2),2))</f>
      </c>
      <c r="L79" s="33">
        <f>ROUND(MIN(MAX(0,N('Your debts'!$E$6)),B79),2)</f>
      </c>
      <c r="M79" s="33">
        <f>ROUND(MIN(MAX(0,N('Your debts'!$E$7)),C79),2)</f>
      </c>
      <c r="N79" s="33">
        <f>ROUND(MIN(MAX(0,N('Your debts'!$E$8)),D79),2)</f>
      </c>
      <c r="O79" s="33">
        <f>ROUND(MIN(MAX(0,N('Your debts'!$E$9)),E79),2)</f>
      </c>
      <c r="P79" s="33">
        <f>ROUND(MIN(MAX(0,N('Your debts'!$E$10)),F79),2)</f>
      </c>
      <c r="Q79" s="33">
        <f>ROUND(MIN(MAX(0,N('Your debts'!$E$11)),G79),2)</f>
      </c>
      <c r="R79" s="33">
        <f>ROUND(MIN(MAX(0,N('Your debts'!$E$12)),H79),2)</f>
      </c>
      <c r="S79" s="33">
        <f>ROUND(MIN(MAX(0,N('Your debts'!$E$13)),I79),2)</f>
      </c>
      <c r="T79" s="33">
        <f>ROUND(MIN(MAX(0,N('Your debts'!$E$14)),J79),2)</f>
      </c>
      <c r="U79" s="33">
        <f>ROUND(MIN(MAX(0,N('Your debts'!$E$15)),K79),2)</f>
      </c>
      <c r="V79" s="33">
        <f>ROUND(B79-L79,2)</f>
      </c>
      <c r="W79" s="33">
        <f>ROUND(C79-M79,2)</f>
      </c>
      <c r="X79" s="33">
        <f>ROUND(D79-N79,2)</f>
      </c>
      <c r="Y79" s="33">
        <f>ROUND(E79-O79,2)</f>
      </c>
      <c r="Z79" s="33">
        <f>ROUND(F79-P79,2)</f>
      </c>
      <c r="AA79" s="33">
        <f>ROUND(G79-Q79,2)</f>
      </c>
      <c r="AB79" s="33">
        <f>ROUND(H79-R79,2)</f>
      </c>
      <c r="AC79" s="33">
        <f>ROUND(I79-S79,2)</f>
      </c>
      <c r="AD79" s="33">
        <f>ROUND(J79-T79,2)</f>
      </c>
      <c r="AE79" s="33">
        <f>ROUND(K79-U79,2)</f>
      </c>
      <c r="AF79" s="33">
        <f>IF(V79&lt;=0,0,MAX(0,MIN(V79,ROUND($AZ79-SUMPRODUCT($V79:$AE79*($V79:$AE79&gt;0)*(($V$3:$AE$3&gt;V$3)+($V$3:$AE$3=V$3)*($V79:$AE79&lt;V79)+($V$3:$AE$3=V$3)*($V79:$AE79=V79)*($V$2:$AE$2&lt;V$2))),2))))</f>
      </c>
      <c r="AG79" s="33">
        <f>IF(W79&lt;=0,0,MAX(0,MIN(W79,ROUND($AZ79-SUMPRODUCT($V79:$AE79*($V79:$AE79&gt;0)*(($V$3:$AE$3&gt;W$3)+($V$3:$AE$3=W$3)*($V79:$AE79&lt;W79)+($V$3:$AE$3=W$3)*($V79:$AE79=W79)*($V$2:$AE$2&lt;W$2))),2))))</f>
      </c>
      <c r="AH79" s="33">
        <f>IF(X79&lt;=0,0,MAX(0,MIN(X79,ROUND($AZ79-SUMPRODUCT($V79:$AE79*($V79:$AE79&gt;0)*(($V$3:$AE$3&gt;X$3)+($V$3:$AE$3=X$3)*($V79:$AE79&lt;X79)+($V$3:$AE$3=X$3)*($V79:$AE79=X79)*($V$2:$AE$2&lt;X$2))),2))))</f>
      </c>
      <c r="AI79" s="33">
        <f>IF(Y79&lt;=0,0,MAX(0,MIN(Y79,ROUND($AZ79-SUMPRODUCT($V79:$AE79*($V79:$AE79&gt;0)*(($V$3:$AE$3&gt;Y$3)+($V$3:$AE$3=Y$3)*($V79:$AE79&lt;Y79)+($V$3:$AE$3=Y$3)*($V79:$AE79=Y79)*($V$2:$AE$2&lt;Y$2))),2))))</f>
      </c>
      <c r="AJ79" s="33">
        <f>IF(Z79&lt;=0,0,MAX(0,MIN(Z79,ROUND($AZ79-SUMPRODUCT($V79:$AE79*($V79:$AE79&gt;0)*(($V$3:$AE$3&gt;Z$3)+($V$3:$AE$3=Z$3)*($V79:$AE79&lt;Z79)+($V$3:$AE$3=Z$3)*($V79:$AE79=Z79)*($V$2:$AE$2&lt;Z$2))),2))))</f>
      </c>
      <c r="AK79" s="33">
        <f>IF(AA79&lt;=0,0,MAX(0,MIN(AA79,ROUND($AZ79-SUMPRODUCT($V79:$AE79*($V79:$AE79&gt;0)*(($V$3:$AE$3&gt;AA$3)+($V$3:$AE$3=AA$3)*($V79:$AE79&lt;AA79)+($V$3:$AE$3=AA$3)*($V79:$AE79=AA79)*($V$2:$AE$2&lt;AA$2))),2))))</f>
      </c>
      <c r="AL79" s="33">
        <f>IF(AB79&lt;=0,0,MAX(0,MIN(AB79,ROUND($AZ79-SUMPRODUCT($V79:$AE79*($V79:$AE79&gt;0)*(($V$3:$AE$3&gt;AB$3)+($V$3:$AE$3=AB$3)*($V79:$AE79&lt;AB79)+($V$3:$AE$3=AB$3)*($V79:$AE79=AB79)*($V$2:$AE$2&lt;AB$2))),2))))</f>
      </c>
      <c r="AM79" s="33">
        <f>IF(AC79&lt;=0,0,MAX(0,MIN(AC79,ROUND($AZ79-SUMPRODUCT($V79:$AE79*($V79:$AE79&gt;0)*(($V$3:$AE$3&gt;AC$3)+($V$3:$AE$3=AC$3)*($V79:$AE79&lt;AC79)+($V$3:$AE$3=AC$3)*($V79:$AE79=AC79)*($V$2:$AE$2&lt;AC$2))),2))))</f>
      </c>
      <c r="AN79" s="33">
        <f>IF(AD79&lt;=0,0,MAX(0,MIN(AD79,ROUND($AZ79-SUMPRODUCT($V79:$AE79*($V79:$AE79&gt;0)*(($V$3:$AE$3&gt;AD$3)+($V$3:$AE$3=AD$3)*($V79:$AE79&lt;AD79)+($V$3:$AE$3=AD$3)*($V79:$AE79=AD79)*($V$2:$AE$2&lt;AD$2))),2))))</f>
      </c>
      <c r="AO79" s="33">
        <f>IF(AE79&lt;=0,0,MAX(0,MIN(AE79,ROUND($AZ79-SUMPRODUCT($V79:$AE79*($V79:$AE79&gt;0)*(($V$3:$AE$3&gt;AE$3)+($V$3:$AE$3=AE$3)*($V79:$AE79&lt;AE79)+($V$3:$AE$3=AE$3)*($V79:$AE79=AE79)*($V$2:$AE$2&lt;AE$2))),2))))</f>
      </c>
      <c r="AP79" s="33">
        <f>ROUND(V79-AF79,2)</f>
      </c>
      <c r="AQ79" s="33">
        <f>ROUND(W79-AG79,2)</f>
      </c>
      <c r="AR79" s="33">
        <f>ROUND(X79-AH79,2)</f>
      </c>
      <c r="AS79" s="33">
        <f>ROUND(Y79-AI79,2)</f>
      </c>
      <c r="AT79" s="33">
        <f>ROUND(Z79-AJ79,2)</f>
      </c>
      <c r="AU79" s="33">
        <f>ROUND(AA79-AK79,2)</f>
      </c>
      <c r="AV79" s="33">
        <f>ROUND(AB79-AL79,2)</f>
      </c>
      <c r="AW79" s="33">
        <f>ROUND(AC79-AM79,2)</f>
      </c>
      <c r="AX79" s="33">
        <f>ROUND(AD79-AN79,2)</f>
      </c>
      <c r="AY79" s="33">
        <f>ROUND(AE79-AO79,2)</f>
      </c>
      <c r="AZ79" s="33">
        <f>ROUND(MAX(0,'Your debts'!$D$22-SUM($L79:$U79)),2)</f>
      </c>
      <c r="BA79" s="33">
        <f>ROUND(SUM($B79:$K79)-SUM($AP78:$AY78),2)</f>
      </c>
      <c r="BB79" s="33">
        <f>SUM($AP79:$AY79)</f>
      </c>
      <c r="BC79" s="33">
        <f>ROUND(SUM($L79:$U79)+SUM($AF79:$AO79),2)</f>
      </c>
    </row>
    <row r="80" spans="1:55" x14ac:dyDescent="0.25">
      <c r="A80">
        <v>73</v>
      </c>
      <c r="B80" s="33">
        <f>IF(AP79&lt;=0,0,ROUND(AP79+ROUND(AP79*V$3/12,2),2))</f>
      </c>
      <c r="C80" s="33">
        <f>IF(AQ79&lt;=0,0,ROUND(AQ79+ROUND(AQ79*W$3/12,2),2))</f>
      </c>
      <c r="D80" s="33">
        <f>IF(AR79&lt;=0,0,ROUND(AR79+ROUND(AR79*X$3/12,2),2))</f>
      </c>
      <c r="E80" s="33">
        <f>IF(AS79&lt;=0,0,ROUND(AS79+ROUND(AS79*Y$3/12,2),2))</f>
      </c>
      <c r="F80" s="33">
        <f>IF(AT79&lt;=0,0,ROUND(AT79+ROUND(AT79*Z$3/12,2),2))</f>
      </c>
      <c r="G80" s="33">
        <f>IF(AU79&lt;=0,0,ROUND(AU79+ROUND(AU79*AA$3/12,2),2))</f>
      </c>
      <c r="H80" s="33">
        <f>IF(AV79&lt;=0,0,ROUND(AV79+ROUND(AV79*AB$3/12,2),2))</f>
      </c>
      <c r="I80" s="33">
        <f>IF(AW79&lt;=0,0,ROUND(AW79+ROUND(AW79*AC$3/12,2),2))</f>
      </c>
      <c r="J80" s="33">
        <f>IF(AX79&lt;=0,0,ROUND(AX79+ROUND(AX79*AD$3/12,2),2))</f>
      </c>
      <c r="K80" s="33">
        <f>IF(AY79&lt;=0,0,ROUND(AY79+ROUND(AY79*AE$3/12,2),2))</f>
      </c>
      <c r="L80" s="33">
        <f>ROUND(MIN(MAX(0,N('Your debts'!$E$6)),B80),2)</f>
      </c>
      <c r="M80" s="33">
        <f>ROUND(MIN(MAX(0,N('Your debts'!$E$7)),C80),2)</f>
      </c>
      <c r="N80" s="33">
        <f>ROUND(MIN(MAX(0,N('Your debts'!$E$8)),D80),2)</f>
      </c>
      <c r="O80" s="33">
        <f>ROUND(MIN(MAX(0,N('Your debts'!$E$9)),E80),2)</f>
      </c>
      <c r="P80" s="33">
        <f>ROUND(MIN(MAX(0,N('Your debts'!$E$10)),F80),2)</f>
      </c>
      <c r="Q80" s="33">
        <f>ROUND(MIN(MAX(0,N('Your debts'!$E$11)),G80),2)</f>
      </c>
      <c r="R80" s="33">
        <f>ROUND(MIN(MAX(0,N('Your debts'!$E$12)),H80),2)</f>
      </c>
      <c r="S80" s="33">
        <f>ROUND(MIN(MAX(0,N('Your debts'!$E$13)),I80),2)</f>
      </c>
      <c r="T80" s="33">
        <f>ROUND(MIN(MAX(0,N('Your debts'!$E$14)),J80),2)</f>
      </c>
      <c r="U80" s="33">
        <f>ROUND(MIN(MAX(0,N('Your debts'!$E$15)),K80),2)</f>
      </c>
      <c r="V80" s="33">
        <f>ROUND(B80-L80,2)</f>
      </c>
      <c r="W80" s="33">
        <f>ROUND(C80-M80,2)</f>
      </c>
      <c r="X80" s="33">
        <f>ROUND(D80-N80,2)</f>
      </c>
      <c r="Y80" s="33">
        <f>ROUND(E80-O80,2)</f>
      </c>
      <c r="Z80" s="33">
        <f>ROUND(F80-P80,2)</f>
      </c>
      <c r="AA80" s="33">
        <f>ROUND(G80-Q80,2)</f>
      </c>
      <c r="AB80" s="33">
        <f>ROUND(H80-R80,2)</f>
      </c>
      <c r="AC80" s="33">
        <f>ROUND(I80-S80,2)</f>
      </c>
      <c r="AD80" s="33">
        <f>ROUND(J80-T80,2)</f>
      </c>
      <c r="AE80" s="33">
        <f>ROUND(K80-U80,2)</f>
      </c>
      <c r="AF80" s="33">
        <f>IF(V80&lt;=0,0,MAX(0,MIN(V80,ROUND($AZ80-SUMPRODUCT($V80:$AE80*($V80:$AE80&gt;0)*(($V$3:$AE$3&gt;V$3)+($V$3:$AE$3=V$3)*($V80:$AE80&lt;V80)+($V$3:$AE$3=V$3)*($V80:$AE80=V80)*($V$2:$AE$2&lt;V$2))),2))))</f>
      </c>
      <c r="AG80" s="33">
        <f>IF(W80&lt;=0,0,MAX(0,MIN(W80,ROUND($AZ80-SUMPRODUCT($V80:$AE80*($V80:$AE80&gt;0)*(($V$3:$AE$3&gt;W$3)+($V$3:$AE$3=W$3)*($V80:$AE80&lt;W80)+($V$3:$AE$3=W$3)*($V80:$AE80=W80)*($V$2:$AE$2&lt;W$2))),2))))</f>
      </c>
      <c r="AH80" s="33">
        <f>IF(X80&lt;=0,0,MAX(0,MIN(X80,ROUND($AZ80-SUMPRODUCT($V80:$AE80*($V80:$AE80&gt;0)*(($V$3:$AE$3&gt;X$3)+($V$3:$AE$3=X$3)*($V80:$AE80&lt;X80)+($V$3:$AE$3=X$3)*($V80:$AE80=X80)*($V$2:$AE$2&lt;X$2))),2))))</f>
      </c>
      <c r="AI80" s="33">
        <f>IF(Y80&lt;=0,0,MAX(0,MIN(Y80,ROUND($AZ80-SUMPRODUCT($V80:$AE80*($V80:$AE80&gt;0)*(($V$3:$AE$3&gt;Y$3)+($V$3:$AE$3=Y$3)*($V80:$AE80&lt;Y80)+($V$3:$AE$3=Y$3)*($V80:$AE80=Y80)*($V$2:$AE$2&lt;Y$2))),2))))</f>
      </c>
      <c r="AJ80" s="33">
        <f>IF(Z80&lt;=0,0,MAX(0,MIN(Z80,ROUND($AZ80-SUMPRODUCT($V80:$AE80*($V80:$AE80&gt;0)*(($V$3:$AE$3&gt;Z$3)+($V$3:$AE$3=Z$3)*($V80:$AE80&lt;Z80)+($V$3:$AE$3=Z$3)*($V80:$AE80=Z80)*($V$2:$AE$2&lt;Z$2))),2))))</f>
      </c>
      <c r="AK80" s="33">
        <f>IF(AA80&lt;=0,0,MAX(0,MIN(AA80,ROUND($AZ80-SUMPRODUCT($V80:$AE80*($V80:$AE80&gt;0)*(($V$3:$AE$3&gt;AA$3)+($V$3:$AE$3=AA$3)*($V80:$AE80&lt;AA80)+($V$3:$AE$3=AA$3)*($V80:$AE80=AA80)*($V$2:$AE$2&lt;AA$2))),2))))</f>
      </c>
      <c r="AL80" s="33">
        <f>IF(AB80&lt;=0,0,MAX(0,MIN(AB80,ROUND($AZ80-SUMPRODUCT($V80:$AE80*($V80:$AE80&gt;0)*(($V$3:$AE$3&gt;AB$3)+($V$3:$AE$3=AB$3)*($V80:$AE80&lt;AB80)+($V$3:$AE$3=AB$3)*($V80:$AE80=AB80)*($V$2:$AE$2&lt;AB$2))),2))))</f>
      </c>
      <c r="AM80" s="33">
        <f>IF(AC80&lt;=0,0,MAX(0,MIN(AC80,ROUND($AZ80-SUMPRODUCT($V80:$AE80*($V80:$AE80&gt;0)*(($V$3:$AE$3&gt;AC$3)+($V$3:$AE$3=AC$3)*($V80:$AE80&lt;AC80)+($V$3:$AE$3=AC$3)*($V80:$AE80=AC80)*($V$2:$AE$2&lt;AC$2))),2))))</f>
      </c>
      <c r="AN80" s="33">
        <f>IF(AD80&lt;=0,0,MAX(0,MIN(AD80,ROUND($AZ80-SUMPRODUCT($V80:$AE80*($V80:$AE80&gt;0)*(($V$3:$AE$3&gt;AD$3)+($V$3:$AE$3=AD$3)*($V80:$AE80&lt;AD80)+($V$3:$AE$3=AD$3)*($V80:$AE80=AD80)*($V$2:$AE$2&lt;AD$2))),2))))</f>
      </c>
      <c r="AO80" s="33">
        <f>IF(AE80&lt;=0,0,MAX(0,MIN(AE80,ROUND($AZ80-SUMPRODUCT($V80:$AE80*($V80:$AE80&gt;0)*(($V$3:$AE$3&gt;AE$3)+($V$3:$AE$3=AE$3)*($V80:$AE80&lt;AE80)+($V$3:$AE$3=AE$3)*($V80:$AE80=AE80)*($V$2:$AE$2&lt;AE$2))),2))))</f>
      </c>
      <c r="AP80" s="33">
        <f>ROUND(V80-AF80,2)</f>
      </c>
      <c r="AQ80" s="33">
        <f>ROUND(W80-AG80,2)</f>
      </c>
      <c r="AR80" s="33">
        <f>ROUND(X80-AH80,2)</f>
      </c>
      <c r="AS80" s="33">
        <f>ROUND(Y80-AI80,2)</f>
      </c>
      <c r="AT80" s="33">
        <f>ROUND(Z80-AJ80,2)</f>
      </c>
      <c r="AU80" s="33">
        <f>ROUND(AA80-AK80,2)</f>
      </c>
      <c r="AV80" s="33">
        <f>ROUND(AB80-AL80,2)</f>
      </c>
      <c r="AW80" s="33">
        <f>ROUND(AC80-AM80,2)</f>
      </c>
      <c r="AX80" s="33">
        <f>ROUND(AD80-AN80,2)</f>
      </c>
      <c r="AY80" s="33">
        <f>ROUND(AE80-AO80,2)</f>
      </c>
      <c r="AZ80" s="33">
        <f>ROUND(MAX(0,'Your debts'!$D$22-SUM($L80:$U80)),2)</f>
      </c>
      <c r="BA80" s="33">
        <f>ROUND(SUM($B80:$K80)-SUM($AP79:$AY79),2)</f>
      </c>
      <c r="BB80" s="33">
        <f>SUM($AP80:$AY80)</f>
      </c>
      <c r="BC80" s="33">
        <f>ROUND(SUM($L80:$U80)+SUM($AF80:$AO80),2)</f>
      </c>
    </row>
    <row r="81" spans="1:55" x14ac:dyDescent="0.25">
      <c r="A81">
        <v>74</v>
      </c>
      <c r="B81" s="33">
        <f>IF(AP80&lt;=0,0,ROUND(AP80+ROUND(AP80*V$3/12,2),2))</f>
      </c>
      <c r="C81" s="33">
        <f>IF(AQ80&lt;=0,0,ROUND(AQ80+ROUND(AQ80*W$3/12,2),2))</f>
      </c>
      <c r="D81" s="33">
        <f>IF(AR80&lt;=0,0,ROUND(AR80+ROUND(AR80*X$3/12,2),2))</f>
      </c>
      <c r="E81" s="33">
        <f>IF(AS80&lt;=0,0,ROUND(AS80+ROUND(AS80*Y$3/12,2),2))</f>
      </c>
      <c r="F81" s="33">
        <f>IF(AT80&lt;=0,0,ROUND(AT80+ROUND(AT80*Z$3/12,2),2))</f>
      </c>
      <c r="G81" s="33">
        <f>IF(AU80&lt;=0,0,ROUND(AU80+ROUND(AU80*AA$3/12,2),2))</f>
      </c>
      <c r="H81" s="33">
        <f>IF(AV80&lt;=0,0,ROUND(AV80+ROUND(AV80*AB$3/12,2),2))</f>
      </c>
      <c r="I81" s="33">
        <f>IF(AW80&lt;=0,0,ROUND(AW80+ROUND(AW80*AC$3/12,2),2))</f>
      </c>
      <c r="J81" s="33">
        <f>IF(AX80&lt;=0,0,ROUND(AX80+ROUND(AX80*AD$3/12,2),2))</f>
      </c>
      <c r="K81" s="33">
        <f>IF(AY80&lt;=0,0,ROUND(AY80+ROUND(AY80*AE$3/12,2),2))</f>
      </c>
      <c r="L81" s="33">
        <f>ROUND(MIN(MAX(0,N('Your debts'!$E$6)),B81),2)</f>
      </c>
      <c r="M81" s="33">
        <f>ROUND(MIN(MAX(0,N('Your debts'!$E$7)),C81),2)</f>
      </c>
      <c r="N81" s="33">
        <f>ROUND(MIN(MAX(0,N('Your debts'!$E$8)),D81),2)</f>
      </c>
      <c r="O81" s="33">
        <f>ROUND(MIN(MAX(0,N('Your debts'!$E$9)),E81),2)</f>
      </c>
      <c r="P81" s="33">
        <f>ROUND(MIN(MAX(0,N('Your debts'!$E$10)),F81),2)</f>
      </c>
      <c r="Q81" s="33">
        <f>ROUND(MIN(MAX(0,N('Your debts'!$E$11)),G81),2)</f>
      </c>
      <c r="R81" s="33">
        <f>ROUND(MIN(MAX(0,N('Your debts'!$E$12)),H81),2)</f>
      </c>
      <c r="S81" s="33">
        <f>ROUND(MIN(MAX(0,N('Your debts'!$E$13)),I81),2)</f>
      </c>
      <c r="T81" s="33">
        <f>ROUND(MIN(MAX(0,N('Your debts'!$E$14)),J81),2)</f>
      </c>
      <c r="U81" s="33">
        <f>ROUND(MIN(MAX(0,N('Your debts'!$E$15)),K81),2)</f>
      </c>
      <c r="V81" s="33">
        <f>ROUND(B81-L81,2)</f>
      </c>
      <c r="W81" s="33">
        <f>ROUND(C81-M81,2)</f>
      </c>
      <c r="X81" s="33">
        <f>ROUND(D81-N81,2)</f>
      </c>
      <c r="Y81" s="33">
        <f>ROUND(E81-O81,2)</f>
      </c>
      <c r="Z81" s="33">
        <f>ROUND(F81-P81,2)</f>
      </c>
      <c r="AA81" s="33">
        <f>ROUND(G81-Q81,2)</f>
      </c>
      <c r="AB81" s="33">
        <f>ROUND(H81-R81,2)</f>
      </c>
      <c r="AC81" s="33">
        <f>ROUND(I81-S81,2)</f>
      </c>
      <c r="AD81" s="33">
        <f>ROUND(J81-T81,2)</f>
      </c>
      <c r="AE81" s="33">
        <f>ROUND(K81-U81,2)</f>
      </c>
      <c r="AF81" s="33">
        <f>IF(V81&lt;=0,0,MAX(0,MIN(V81,ROUND($AZ81-SUMPRODUCT($V81:$AE81*($V81:$AE81&gt;0)*(($V$3:$AE$3&gt;V$3)+($V$3:$AE$3=V$3)*($V81:$AE81&lt;V81)+($V$3:$AE$3=V$3)*($V81:$AE81=V81)*($V$2:$AE$2&lt;V$2))),2))))</f>
      </c>
      <c r="AG81" s="33">
        <f>IF(W81&lt;=0,0,MAX(0,MIN(W81,ROUND($AZ81-SUMPRODUCT($V81:$AE81*($V81:$AE81&gt;0)*(($V$3:$AE$3&gt;W$3)+($V$3:$AE$3=W$3)*($V81:$AE81&lt;W81)+($V$3:$AE$3=W$3)*($V81:$AE81=W81)*($V$2:$AE$2&lt;W$2))),2))))</f>
      </c>
      <c r="AH81" s="33">
        <f>IF(X81&lt;=0,0,MAX(0,MIN(X81,ROUND($AZ81-SUMPRODUCT($V81:$AE81*($V81:$AE81&gt;0)*(($V$3:$AE$3&gt;X$3)+($V$3:$AE$3=X$3)*($V81:$AE81&lt;X81)+($V$3:$AE$3=X$3)*($V81:$AE81=X81)*($V$2:$AE$2&lt;X$2))),2))))</f>
      </c>
      <c r="AI81" s="33">
        <f>IF(Y81&lt;=0,0,MAX(0,MIN(Y81,ROUND($AZ81-SUMPRODUCT($V81:$AE81*($V81:$AE81&gt;0)*(($V$3:$AE$3&gt;Y$3)+($V$3:$AE$3=Y$3)*($V81:$AE81&lt;Y81)+($V$3:$AE$3=Y$3)*($V81:$AE81=Y81)*($V$2:$AE$2&lt;Y$2))),2))))</f>
      </c>
      <c r="AJ81" s="33">
        <f>IF(Z81&lt;=0,0,MAX(0,MIN(Z81,ROUND($AZ81-SUMPRODUCT($V81:$AE81*($V81:$AE81&gt;0)*(($V$3:$AE$3&gt;Z$3)+($V$3:$AE$3=Z$3)*($V81:$AE81&lt;Z81)+($V$3:$AE$3=Z$3)*($V81:$AE81=Z81)*($V$2:$AE$2&lt;Z$2))),2))))</f>
      </c>
      <c r="AK81" s="33">
        <f>IF(AA81&lt;=0,0,MAX(0,MIN(AA81,ROUND($AZ81-SUMPRODUCT($V81:$AE81*($V81:$AE81&gt;0)*(($V$3:$AE$3&gt;AA$3)+($V$3:$AE$3=AA$3)*($V81:$AE81&lt;AA81)+($V$3:$AE$3=AA$3)*($V81:$AE81=AA81)*($V$2:$AE$2&lt;AA$2))),2))))</f>
      </c>
      <c r="AL81" s="33">
        <f>IF(AB81&lt;=0,0,MAX(0,MIN(AB81,ROUND($AZ81-SUMPRODUCT($V81:$AE81*($V81:$AE81&gt;0)*(($V$3:$AE$3&gt;AB$3)+($V$3:$AE$3=AB$3)*($V81:$AE81&lt;AB81)+($V$3:$AE$3=AB$3)*($V81:$AE81=AB81)*($V$2:$AE$2&lt;AB$2))),2))))</f>
      </c>
      <c r="AM81" s="33">
        <f>IF(AC81&lt;=0,0,MAX(0,MIN(AC81,ROUND($AZ81-SUMPRODUCT($V81:$AE81*($V81:$AE81&gt;0)*(($V$3:$AE$3&gt;AC$3)+($V$3:$AE$3=AC$3)*($V81:$AE81&lt;AC81)+($V$3:$AE$3=AC$3)*($V81:$AE81=AC81)*($V$2:$AE$2&lt;AC$2))),2))))</f>
      </c>
      <c r="AN81" s="33">
        <f>IF(AD81&lt;=0,0,MAX(0,MIN(AD81,ROUND($AZ81-SUMPRODUCT($V81:$AE81*($V81:$AE81&gt;0)*(($V$3:$AE$3&gt;AD$3)+($V$3:$AE$3=AD$3)*($V81:$AE81&lt;AD81)+($V$3:$AE$3=AD$3)*($V81:$AE81=AD81)*($V$2:$AE$2&lt;AD$2))),2))))</f>
      </c>
      <c r="AO81" s="33">
        <f>IF(AE81&lt;=0,0,MAX(0,MIN(AE81,ROUND($AZ81-SUMPRODUCT($V81:$AE81*($V81:$AE81&gt;0)*(($V$3:$AE$3&gt;AE$3)+($V$3:$AE$3=AE$3)*($V81:$AE81&lt;AE81)+($V$3:$AE$3=AE$3)*($V81:$AE81=AE81)*($V$2:$AE$2&lt;AE$2))),2))))</f>
      </c>
      <c r="AP81" s="33">
        <f>ROUND(V81-AF81,2)</f>
      </c>
      <c r="AQ81" s="33">
        <f>ROUND(W81-AG81,2)</f>
      </c>
      <c r="AR81" s="33">
        <f>ROUND(X81-AH81,2)</f>
      </c>
      <c r="AS81" s="33">
        <f>ROUND(Y81-AI81,2)</f>
      </c>
      <c r="AT81" s="33">
        <f>ROUND(Z81-AJ81,2)</f>
      </c>
      <c r="AU81" s="33">
        <f>ROUND(AA81-AK81,2)</f>
      </c>
      <c r="AV81" s="33">
        <f>ROUND(AB81-AL81,2)</f>
      </c>
      <c r="AW81" s="33">
        <f>ROUND(AC81-AM81,2)</f>
      </c>
      <c r="AX81" s="33">
        <f>ROUND(AD81-AN81,2)</f>
      </c>
      <c r="AY81" s="33">
        <f>ROUND(AE81-AO81,2)</f>
      </c>
      <c r="AZ81" s="33">
        <f>ROUND(MAX(0,'Your debts'!$D$22-SUM($L81:$U81)),2)</f>
      </c>
      <c r="BA81" s="33">
        <f>ROUND(SUM($B81:$K81)-SUM($AP80:$AY80),2)</f>
      </c>
      <c r="BB81" s="33">
        <f>SUM($AP81:$AY81)</f>
      </c>
      <c r="BC81" s="33">
        <f>ROUND(SUM($L81:$U81)+SUM($AF81:$AO81),2)</f>
      </c>
    </row>
    <row r="82" spans="1:55" x14ac:dyDescent="0.25">
      <c r="A82">
        <v>75</v>
      </c>
      <c r="B82" s="33">
        <f>IF(AP81&lt;=0,0,ROUND(AP81+ROUND(AP81*V$3/12,2),2))</f>
      </c>
      <c r="C82" s="33">
        <f>IF(AQ81&lt;=0,0,ROUND(AQ81+ROUND(AQ81*W$3/12,2),2))</f>
      </c>
      <c r="D82" s="33">
        <f>IF(AR81&lt;=0,0,ROUND(AR81+ROUND(AR81*X$3/12,2),2))</f>
      </c>
      <c r="E82" s="33">
        <f>IF(AS81&lt;=0,0,ROUND(AS81+ROUND(AS81*Y$3/12,2),2))</f>
      </c>
      <c r="F82" s="33">
        <f>IF(AT81&lt;=0,0,ROUND(AT81+ROUND(AT81*Z$3/12,2),2))</f>
      </c>
      <c r="G82" s="33">
        <f>IF(AU81&lt;=0,0,ROUND(AU81+ROUND(AU81*AA$3/12,2),2))</f>
      </c>
      <c r="H82" s="33">
        <f>IF(AV81&lt;=0,0,ROUND(AV81+ROUND(AV81*AB$3/12,2),2))</f>
      </c>
      <c r="I82" s="33">
        <f>IF(AW81&lt;=0,0,ROUND(AW81+ROUND(AW81*AC$3/12,2),2))</f>
      </c>
      <c r="J82" s="33">
        <f>IF(AX81&lt;=0,0,ROUND(AX81+ROUND(AX81*AD$3/12,2),2))</f>
      </c>
      <c r="K82" s="33">
        <f>IF(AY81&lt;=0,0,ROUND(AY81+ROUND(AY81*AE$3/12,2),2))</f>
      </c>
      <c r="L82" s="33">
        <f>ROUND(MIN(MAX(0,N('Your debts'!$E$6)),B82),2)</f>
      </c>
      <c r="M82" s="33">
        <f>ROUND(MIN(MAX(0,N('Your debts'!$E$7)),C82),2)</f>
      </c>
      <c r="N82" s="33">
        <f>ROUND(MIN(MAX(0,N('Your debts'!$E$8)),D82),2)</f>
      </c>
      <c r="O82" s="33">
        <f>ROUND(MIN(MAX(0,N('Your debts'!$E$9)),E82),2)</f>
      </c>
      <c r="P82" s="33">
        <f>ROUND(MIN(MAX(0,N('Your debts'!$E$10)),F82),2)</f>
      </c>
      <c r="Q82" s="33">
        <f>ROUND(MIN(MAX(0,N('Your debts'!$E$11)),G82),2)</f>
      </c>
      <c r="R82" s="33">
        <f>ROUND(MIN(MAX(0,N('Your debts'!$E$12)),H82),2)</f>
      </c>
      <c r="S82" s="33">
        <f>ROUND(MIN(MAX(0,N('Your debts'!$E$13)),I82),2)</f>
      </c>
      <c r="T82" s="33">
        <f>ROUND(MIN(MAX(0,N('Your debts'!$E$14)),J82),2)</f>
      </c>
      <c r="U82" s="33">
        <f>ROUND(MIN(MAX(0,N('Your debts'!$E$15)),K82),2)</f>
      </c>
      <c r="V82" s="33">
        <f>ROUND(B82-L82,2)</f>
      </c>
      <c r="W82" s="33">
        <f>ROUND(C82-M82,2)</f>
      </c>
      <c r="X82" s="33">
        <f>ROUND(D82-N82,2)</f>
      </c>
      <c r="Y82" s="33">
        <f>ROUND(E82-O82,2)</f>
      </c>
      <c r="Z82" s="33">
        <f>ROUND(F82-P82,2)</f>
      </c>
      <c r="AA82" s="33">
        <f>ROUND(G82-Q82,2)</f>
      </c>
      <c r="AB82" s="33">
        <f>ROUND(H82-R82,2)</f>
      </c>
      <c r="AC82" s="33">
        <f>ROUND(I82-S82,2)</f>
      </c>
      <c r="AD82" s="33">
        <f>ROUND(J82-T82,2)</f>
      </c>
      <c r="AE82" s="33">
        <f>ROUND(K82-U82,2)</f>
      </c>
      <c r="AF82" s="33">
        <f>IF(V82&lt;=0,0,MAX(0,MIN(V82,ROUND($AZ82-SUMPRODUCT($V82:$AE82*($V82:$AE82&gt;0)*(($V$3:$AE$3&gt;V$3)+($V$3:$AE$3=V$3)*($V82:$AE82&lt;V82)+($V$3:$AE$3=V$3)*($V82:$AE82=V82)*($V$2:$AE$2&lt;V$2))),2))))</f>
      </c>
      <c r="AG82" s="33">
        <f>IF(W82&lt;=0,0,MAX(0,MIN(W82,ROUND($AZ82-SUMPRODUCT($V82:$AE82*($V82:$AE82&gt;0)*(($V$3:$AE$3&gt;W$3)+($V$3:$AE$3=W$3)*($V82:$AE82&lt;W82)+($V$3:$AE$3=W$3)*($V82:$AE82=W82)*($V$2:$AE$2&lt;W$2))),2))))</f>
      </c>
      <c r="AH82" s="33">
        <f>IF(X82&lt;=0,0,MAX(0,MIN(X82,ROUND($AZ82-SUMPRODUCT($V82:$AE82*($V82:$AE82&gt;0)*(($V$3:$AE$3&gt;X$3)+($V$3:$AE$3=X$3)*($V82:$AE82&lt;X82)+($V$3:$AE$3=X$3)*($V82:$AE82=X82)*($V$2:$AE$2&lt;X$2))),2))))</f>
      </c>
      <c r="AI82" s="33">
        <f>IF(Y82&lt;=0,0,MAX(0,MIN(Y82,ROUND($AZ82-SUMPRODUCT($V82:$AE82*($V82:$AE82&gt;0)*(($V$3:$AE$3&gt;Y$3)+($V$3:$AE$3=Y$3)*($V82:$AE82&lt;Y82)+($V$3:$AE$3=Y$3)*($V82:$AE82=Y82)*($V$2:$AE$2&lt;Y$2))),2))))</f>
      </c>
      <c r="AJ82" s="33">
        <f>IF(Z82&lt;=0,0,MAX(0,MIN(Z82,ROUND($AZ82-SUMPRODUCT($V82:$AE82*($V82:$AE82&gt;0)*(($V$3:$AE$3&gt;Z$3)+($V$3:$AE$3=Z$3)*($V82:$AE82&lt;Z82)+($V$3:$AE$3=Z$3)*($V82:$AE82=Z82)*($V$2:$AE$2&lt;Z$2))),2))))</f>
      </c>
      <c r="AK82" s="33">
        <f>IF(AA82&lt;=0,0,MAX(0,MIN(AA82,ROUND($AZ82-SUMPRODUCT($V82:$AE82*($V82:$AE82&gt;0)*(($V$3:$AE$3&gt;AA$3)+($V$3:$AE$3=AA$3)*($V82:$AE82&lt;AA82)+($V$3:$AE$3=AA$3)*($V82:$AE82=AA82)*($V$2:$AE$2&lt;AA$2))),2))))</f>
      </c>
      <c r="AL82" s="33">
        <f>IF(AB82&lt;=0,0,MAX(0,MIN(AB82,ROUND($AZ82-SUMPRODUCT($V82:$AE82*($V82:$AE82&gt;0)*(($V$3:$AE$3&gt;AB$3)+($V$3:$AE$3=AB$3)*($V82:$AE82&lt;AB82)+($V$3:$AE$3=AB$3)*($V82:$AE82=AB82)*($V$2:$AE$2&lt;AB$2))),2))))</f>
      </c>
      <c r="AM82" s="33">
        <f>IF(AC82&lt;=0,0,MAX(0,MIN(AC82,ROUND($AZ82-SUMPRODUCT($V82:$AE82*($V82:$AE82&gt;0)*(($V$3:$AE$3&gt;AC$3)+($V$3:$AE$3=AC$3)*($V82:$AE82&lt;AC82)+($V$3:$AE$3=AC$3)*($V82:$AE82=AC82)*($V$2:$AE$2&lt;AC$2))),2))))</f>
      </c>
      <c r="AN82" s="33">
        <f>IF(AD82&lt;=0,0,MAX(0,MIN(AD82,ROUND($AZ82-SUMPRODUCT($V82:$AE82*($V82:$AE82&gt;0)*(($V$3:$AE$3&gt;AD$3)+($V$3:$AE$3=AD$3)*($V82:$AE82&lt;AD82)+($V$3:$AE$3=AD$3)*($V82:$AE82=AD82)*($V$2:$AE$2&lt;AD$2))),2))))</f>
      </c>
      <c r="AO82" s="33">
        <f>IF(AE82&lt;=0,0,MAX(0,MIN(AE82,ROUND($AZ82-SUMPRODUCT($V82:$AE82*($V82:$AE82&gt;0)*(($V$3:$AE$3&gt;AE$3)+($V$3:$AE$3=AE$3)*($V82:$AE82&lt;AE82)+($V$3:$AE$3=AE$3)*($V82:$AE82=AE82)*($V$2:$AE$2&lt;AE$2))),2))))</f>
      </c>
      <c r="AP82" s="33">
        <f>ROUND(V82-AF82,2)</f>
      </c>
      <c r="AQ82" s="33">
        <f>ROUND(W82-AG82,2)</f>
      </c>
      <c r="AR82" s="33">
        <f>ROUND(X82-AH82,2)</f>
      </c>
      <c r="AS82" s="33">
        <f>ROUND(Y82-AI82,2)</f>
      </c>
      <c r="AT82" s="33">
        <f>ROUND(Z82-AJ82,2)</f>
      </c>
      <c r="AU82" s="33">
        <f>ROUND(AA82-AK82,2)</f>
      </c>
      <c r="AV82" s="33">
        <f>ROUND(AB82-AL82,2)</f>
      </c>
      <c r="AW82" s="33">
        <f>ROUND(AC82-AM82,2)</f>
      </c>
      <c r="AX82" s="33">
        <f>ROUND(AD82-AN82,2)</f>
      </c>
      <c r="AY82" s="33">
        <f>ROUND(AE82-AO82,2)</f>
      </c>
      <c r="AZ82" s="33">
        <f>ROUND(MAX(0,'Your debts'!$D$22-SUM($L82:$U82)),2)</f>
      </c>
      <c r="BA82" s="33">
        <f>ROUND(SUM($B82:$K82)-SUM($AP81:$AY81),2)</f>
      </c>
      <c r="BB82" s="33">
        <f>SUM($AP82:$AY82)</f>
      </c>
      <c r="BC82" s="33">
        <f>ROUND(SUM($L82:$U82)+SUM($AF82:$AO82),2)</f>
      </c>
    </row>
    <row r="83" spans="1:55" x14ac:dyDescent="0.25">
      <c r="A83">
        <v>76</v>
      </c>
      <c r="B83" s="33">
        <f>IF(AP82&lt;=0,0,ROUND(AP82+ROUND(AP82*V$3/12,2),2))</f>
      </c>
      <c r="C83" s="33">
        <f>IF(AQ82&lt;=0,0,ROUND(AQ82+ROUND(AQ82*W$3/12,2),2))</f>
      </c>
      <c r="D83" s="33">
        <f>IF(AR82&lt;=0,0,ROUND(AR82+ROUND(AR82*X$3/12,2),2))</f>
      </c>
      <c r="E83" s="33">
        <f>IF(AS82&lt;=0,0,ROUND(AS82+ROUND(AS82*Y$3/12,2),2))</f>
      </c>
      <c r="F83" s="33">
        <f>IF(AT82&lt;=0,0,ROUND(AT82+ROUND(AT82*Z$3/12,2),2))</f>
      </c>
      <c r="G83" s="33">
        <f>IF(AU82&lt;=0,0,ROUND(AU82+ROUND(AU82*AA$3/12,2),2))</f>
      </c>
      <c r="H83" s="33">
        <f>IF(AV82&lt;=0,0,ROUND(AV82+ROUND(AV82*AB$3/12,2),2))</f>
      </c>
      <c r="I83" s="33">
        <f>IF(AW82&lt;=0,0,ROUND(AW82+ROUND(AW82*AC$3/12,2),2))</f>
      </c>
      <c r="J83" s="33">
        <f>IF(AX82&lt;=0,0,ROUND(AX82+ROUND(AX82*AD$3/12,2),2))</f>
      </c>
      <c r="K83" s="33">
        <f>IF(AY82&lt;=0,0,ROUND(AY82+ROUND(AY82*AE$3/12,2),2))</f>
      </c>
      <c r="L83" s="33">
        <f>ROUND(MIN(MAX(0,N('Your debts'!$E$6)),B83),2)</f>
      </c>
      <c r="M83" s="33">
        <f>ROUND(MIN(MAX(0,N('Your debts'!$E$7)),C83),2)</f>
      </c>
      <c r="N83" s="33">
        <f>ROUND(MIN(MAX(0,N('Your debts'!$E$8)),D83),2)</f>
      </c>
      <c r="O83" s="33">
        <f>ROUND(MIN(MAX(0,N('Your debts'!$E$9)),E83),2)</f>
      </c>
      <c r="P83" s="33">
        <f>ROUND(MIN(MAX(0,N('Your debts'!$E$10)),F83),2)</f>
      </c>
      <c r="Q83" s="33">
        <f>ROUND(MIN(MAX(0,N('Your debts'!$E$11)),G83),2)</f>
      </c>
      <c r="R83" s="33">
        <f>ROUND(MIN(MAX(0,N('Your debts'!$E$12)),H83),2)</f>
      </c>
      <c r="S83" s="33">
        <f>ROUND(MIN(MAX(0,N('Your debts'!$E$13)),I83),2)</f>
      </c>
      <c r="T83" s="33">
        <f>ROUND(MIN(MAX(0,N('Your debts'!$E$14)),J83),2)</f>
      </c>
      <c r="U83" s="33">
        <f>ROUND(MIN(MAX(0,N('Your debts'!$E$15)),K83),2)</f>
      </c>
      <c r="V83" s="33">
        <f>ROUND(B83-L83,2)</f>
      </c>
      <c r="W83" s="33">
        <f>ROUND(C83-M83,2)</f>
      </c>
      <c r="X83" s="33">
        <f>ROUND(D83-N83,2)</f>
      </c>
      <c r="Y83" s="33">
        <f>ROUND(E83-O83,2)</f>
      </c>
      <c r="Z83" s="33">
        <f>ROUND(F83-P83,2)</f>
      </c>
      <c r="AA83" s="33">
        <f>ROUND(G83-Q83,2)</f>
      </c>
      <c r="AB83" s="33">
        <f>ROUND(H83-R83,2)</f>
      </c>
      <c r="AC83" s="33">
        <f>ROUND(I83-S83,2)</f>
      </c>
      <c r="AD83" s="33">
        <f>ROUND(J83-T83,2)</f>
      </c>
      <c r="AE83" s="33">
        <f>ROUND(K83-U83,2)</f>
      </c>
      <c r="AF83" s="33">
        <f>IF(V83&lt;=0,0,MAX(0,MIN(V83,ROUND($AZ83-SUMPRODUCT($V83:$AE83*($V83:$AE83&gt;0)*(($V$3:$AE$3&gt;V$3)+($V$3:$AE$3=V$3)*($V83:$AE83&lt;V83)+($V$3:$AE$3=V$3)*($V83:$AE83=V83)*($V$2:$AE$2&lt;V$2))),2))))</f>
      </c>
      <c r="AG83" s="33">
        <f>IF(W83&lt;=0,0,MAX(0,MIN(W83,ROUND($AZ83-SUMPRODUCT($V83:$AE83*($V83:$AE83&gt;0)*(($V$3:$AE$3&gt;W$3)+($V$3:$AE$3=W$3)*($V83:$AE83&lt;W83)+($V$3:$AE$3=W$3)*($V83:$AE83=W83)*($V$2:$AE$2&lt;W$2))),2))))</f>
      </c>
      <c r="AH83" s="33">
        <f>IF(X83&lt;=0,0,MAX(0,MIN(X83,ROUND($AZ83-SUMPRODUCT($V83:$AE83*($V83:$AE83&gt;0)*(($V$3:$AE$3&gt;X$3)+($V$3:$AE$3=X$3)*($V83:$AE83&lt;X83)+($V$3:$AE$3=X$3)*($V83:$AE83=X83)*($V$2:$AE$2&lt;X$2))),2))))</f>
      </c>
      <c r="AI83" s="33">
        <f>IF(Y83&lt;=0,0,MAX(0,MIN(Y83,ROUND($AZ83-SUMPRODUCT($V83:$AE83*($V83:$AE83&gt;0)*(($V$3:$AE$3&gt;Y$3)+($V$3:$AE$3=Y$3)*($V83:$AE83&lt;Y83)+($V$3:$AE$3=Y$3)*($V83:$AE83=Y83)*($V$2:$AE$2&lt;Y$2))),2))))</f>
      </c>
      <c r="AJ83" s="33">
        <f>IF(Z83&lt;=0,0,MAX(0,MIN(Z83,ROUND($AZ83-SUMPRODUCT($V83:$AE83*($V83:$AE83&gt;0)*(($V$3:$AE$3&gt;Z$3)+($V$3:$AE$3=Z$3)*($V83:$AE83&lt;Z83)+($V$3:$AE$3=Z$3)*($V83:$AE83=Z83)*($V$2:$AE$2&lt;Z$2))),2))))</f>
      </c>
      <c r="AK83" s="33">
        <f>IF(AA83&lt;=0,0,MAX(0,MIN(AA83,ROUND($AZ83-SUMPRODUCT($V83:$AE83*($V83:$AE83&gt;0)*(($V$3:$AE$3&gt;AA$3)+($V$3:$AE$3=AA$3)*($V83:$AE83&lt;AA83)+($V$3:$AE$3=AA$3)*($V83:$AE83=AA83)*($V$2:$AE$2&lt;AA$2))),2))))</f>
      </c>
      <c r="AL83" s="33">
        <f>IF(AB83&lt;=0,0,MAX(0,MIN(AB83,ROUND($AZ83-SUMPRODUCT($V83:$AE83*($V83:$AE83&gt;0)*(($V$3:$AE$3&gt;AB$3)+($V$3:$AE$3=AB$3)*($V83:$AE83&lt;AB83)+($V$3:$AE$3=AB$3)*($V83:$AE83=AB83)*($V$2:$AE$2&lt;AB$2))),2))))</f>
      </c>
      <c r="AM83" s="33">
        <f>IF(AC83&lt;=0,0,MAX(0,MIN(AC83,ROUND($AZ83-SUMPRODUCT($V83:$AE83*($V83:$AE83&gt;0)*(($V$3:$AE$3&gt;AC$3)+($V$3:$AE$3=AC$3)*($V83:$AE83&lt;AC83)+($V$3:$AE$3=AC$3)*($V83:$AE83=AC83)*($V$2:$AE$2&lt;AC$2))),2))))</f>
      </c>
      <c r="AN83" s="33">
        <f>IF(AD83&lt;=0,0,MAX(0,MIN(AD83,ROUND($AZ83-SUMPRODUCT($V83:$AE83*($V83:$AE83&gt;0)*(($V$3:$AE$3&gt;AD$3)+($V$3:$AE$3=AD$3)*($V83:$AE83&lt;AD83)+($V$3:$AE$3=AD$3)*($V83:$AE83=AD83)*($V$2:$AE$2&lt;AD$2))),2))))</f>
      </c>
      <c r="AO83" s="33">
        <f>IF(AE83&lt;=0,0,MAX(0,MIN(AE83,ROUND($AZ83-SUMPRODUCT($V83:$AE83*($V83:$AE83&gt;0)*(($V$3:$AE$3&gt;AE$3)+($V$3:$AE$3=AE$3)*($V83:$AE83&lt;AE83)+($V$3:$AE$3=AE$3)*($V83:$AE83=AE83)*($V$2:$AE$2&lt;AE$2))),2))))</f>
      </c>
      <c r="AP83" s="33">
        <f>ROUND(V83-AF83,2)</f>
      </c>
      <c r="AQ83" s="33">
        <f>ROUND(W83-AG83,2)</f>
      </c>
      <c r="AR83" s="33">
        <f>ROUND(X83-AH83,2)</f>
      </c>
      <c r="AS83" s="33">
        <f>ROUND(Y83-AI83,2)</f>
      </c>
      <c r="AT83" s="33">
        <f>ROUND(Z83-AJ83,2)</f>
      </c>
      <c r="AU83" s="33">
        <f>ROUND(AA83-AK83,2)</f>
      </c>
      <c r="AV83" s="33">
        <f>ROUND(AB83-AL83,2)</f>
      </c>
      <c r="AW83" s="33">
        <f>ROUND(AC83-AM83,2)</f>
      </c>
      <c r="AX83" s="33">
        <f>ROUND(AD83-AN83,2)</f>
      </c>
      <c r="AY83" s="33">
        <f>ROUND(AE83-AO83,2)</f>
      </c>
      <c r="AZ83" s="33">
        <f>ROUND(MAX(0,'Your debts'!$D$22-SUM($L83:$U83)),2)</f>
      </c>
      <c r="BA83" s="33">
        <f>ROUND(SUM($B83:$K83)-SUM($AP82:$AY82),2)</f>
      </c>
      <c r="BB83" s="33">
        <f>SUM($AP83:$AY83)</f>
      </c>
      <c r="BC83" s="33">
        <f>ROUND(SUM($L83:$U83)+SUM($AF83:$AO83),2)</f>
      </c>
    </row>
    <row r="84" spans="1:55" x14ac:dyDescent="0.25">
      <c r="A84">
        <v>77</v>
      </c>
      <c r="B84" s="33">
        <f>IF(AP83&lt;=0,0,ROUND(AP83+ROUND(AP83*V$3/12,2),2))</f>
      </c>
      <c r="C84" s="33">
        <f>IF(AQ83&lt;=0,0,ROUND(AQ83+ROUND(AQ83*W$3/12,2),2))</f>
      </c>
      <c r="D84" s="33">
        <f>IF(AR83&lt;=0,0,ROUND(AR83+ROUND(AR83*X$3/12,2),2))</f>
      </c>
      <c r="E84" s="33">
        <f>IF(AS83&lt;=0,0,ROUND(AS83+ROUND(AS83*Y$3/12,2),2))</f>
      </c>
      <c r="F84" s="33">
        <f>IF(AT83&lt;=0,0,ROUND(AT83+ROUND(AT83*Z$3/12,2),2))</f>
      </c>
      <c r="G84" s="33">
        <f>IF(AU83&lt;=0,0,ROUND(AU83+ROUND(AU83*AA$3/12,2),2))</f>
      </c>
      <c r="H84" s="33">
        <f>IF(AV83&lt;=0,0,ROUND(AV83+ROUND(AV83*AB$3/12,2),2))</f>
      </c>
      <c r="I84" s="33">
        <f>IF(AW83&lt;=0,0,ROUND(AW83+ROUND(AW83*AC$3/12,2),2))</f>
      </c>
      <c r="J84" s="33">
        <f>IF(AX83&lt;=0,0,ROUND(AX83+ROUND(AX83*AD$3/12,2),2))</f>
      </c>
      <c r="K84" s="33">
        <f>IF(AY83&lt;=0,0,ROUND(AY83+ROUND(AY83*AE$3/12,2),2))</f>
      </c>
      <c r="L84" s="33">
        <f>ROUND(MIN(MAX(0,N('Your debts'!$E$6)),B84),2)</f>
      </c>
      <c r="M84" s="33">
        <f>ROUND(MIN(MAX(0,N('Your debts'!$E$7)),C84),2)</f>
      </c>
      <c r="N84" s="33">
        <f>ROUND(MIN(MAX(0,N('Your debts'!$E$8)),D84),2)</f>
      </c>
      <c r="O84" s="33">
        <f>ROUND(MIN(MAX(0,N('Your debts'!$E$9)),E84),2)</f>
      </c>
      <c r="P84" s="33">
        <f>ROUND(MIN(MAX(0,N('Your debts'!$E$10)),F84),2)</f>
      </c>
      <c r="Q84" s="33">
        <f>ROUND(MIN(MAX(0,N('Your debts'!$E$11)),G84),2)</f>
      </c>
      <c r="R84" s="33">
        <f>ROUND(MIN(MAX(0,N('Your debts'!$E$12)),H84),2)</f>
      </c>
      <c r="S84" s="33">
        <f>ROUND(MIN(MAX(0,N('Your debts'!$E$13)),I84),2)</f>
      </c>
      <c r="T84" s="33">
        <f>ROUND(MIN(MAX(0,N('Your debts'!$E$14)),J84),2)</f>
      </c>
      <c r="U84" s="33">
        <f>ROUND(MIN(MAX(0,N('Your debts'!$E$15)),K84),2)</f>
      </c>
      <c r="V84" s="33">
        <f>ROUND(B84-L84,2)</f>
      </c>
      <c r="W84" s="33">
        <f>ROUND(C84-M84,2)</f>
      </c>
      <c r="X84" s="33">
        <f>ROUND(D84-N84,2)</f>
      </c>
      <c r="Y84" s="33">
        <f>ROUND(E84-O84,2)</f>
      </c>
      <c r="Z84" s="33">
        <f>ROUND(F84-P84,2)</f>
      </c>
      <c r="AA84" s="33">
        <f>ROUND(G84-Q84,2)</f>
      </c>
      <c r="AB84" s="33">
        <f>ROUND(H84-R84,2)</f>
      </c>
      <c r="AC84" s="33">
        <f>ROUND(I84-S84,2)</f>
      </c>
      <c r="AD84" s="33">
        <f>ROUND(J84-T84,2)</f>
      </c>
      <c r="AE84" s="33">
        <f>ROUND(K84-U84,2)</f>
      </c>
      <c r="AF84" s="33">
        <f>IF(V84&lt;=0,0,MAX(0,MIN(V84,ROUND($AZ84-SUMPRODUCT($V84:$AE84*($V84:$AE84&gt;0)*(($V$3:$AE$3&gt;V$3)+($V$3:$AE$3=V$3)*($V84:$AE84&lt;V84)+($V$3:$AE$3=V$3)*($V84:$AE84=V84)*($V$2:$AE$2&lt;V$2))),2))))</f>
      </c>
      <c r="AG84" s="33">
        <f>IF(W84&lt;=0,0,MAX(0,MIN(W84,ROUND($AZ84-SUMPRODUCT($V84:$AE84*($V84:$AE84&gt;0)*(($V$3:$AE$3&gt;W$3)+($V$3:$AE$3=W$3)*($V84:$AE84&lt;W84)+($V$3:$AE$3=W$3)*($V84:$AE84=W84)*($V$2:$AE$2&lt;W$2))),2))))</f>
      </c>
      <c r="AH84" s="33">
        <f>IF(X84&lt;=0,0,MAX(0,MIN(X84,ROUND($AZ84-SUMPRODUCT($V84:$AE84*($V84:$AE84&gt;0)*(($V$3:$AE$3&gt;X$3)+($V$3:$AE$3=X$3)*($V84:$AE84&lt;X84)+($V$3:$AE$3=X$3)*($V84:$AE84=X84)*($V$2:$AE$2&lt;X$2))),2))))</f>
      </c>
      <c r="AI84" s="33">
        <f>IF(Y84&lt;=0,0,MAX(0,MIN(Y84,ROUND($AZ84-SUMPRODUCT($V84:$AE84*($V84:$AE84&gt;0)*(($V$3:$AE$3&gt;Y$3)+($V$3:$AE$3=Y$3)*($V84:$AE84&lt;Y84)+($V$3:$AE$3=Y$3)*($V84:$AE84=Y84)*($V$2:$AE$2&lt;Y$2))),2))))</f>
      </c>
      <c r="AJ84" s="33">
        <f>IF(Z84&lt;=0,0,MAX(0,MIN(Z84,ROUND($AZ84-SUMPRODUCT($V84:$AE84*($V84:$AE84&gt;0)*(($V$3:$AE$3&gt;Z$3)+($V$3:$AE$3=Z$3)*($V84:$AE84&lt;Z84)+($V$3:$AE$3=Z$3)*($V84:$AE84=Z84)*($V$2:$AE$2&lt;Z$2))),2))))</f>
      </c>
      <c r="AK84" s="33">
        <f>IF(AA84&lt;=0,0,MAX(0,MIN(AA84,ROUND($AZ84-SUMPRODUCT($V84:$AE84*($V84:$AE84&gt;0)*(($V$3:$AE$3&gt;AA$3)+($V$3:$AE$3=AA$3)*($V84:$AE84&lt;AA84)+($V$3:$AE$3=AA$3)*($V84:$AE84=AA84)*($V$2:$AE$2&lt;AA$2))),2))))</f>
      </c>
      <c r="AL84" s="33">
        <f>IF(AB84&lt;=0,0,MAX(0,MIN(AB84,ROUND($AZ84-SUMPRODUCT($V84:$AE84*($V84:$AE84&gt;0)*(($V$3:$AE$3&gt;AB$3)+($V$3:$AE$3=AB$3)*($V84:$AE84&lt;AB84)+($V$3:$AE$3=AB$3)*($V84:$AE84=AB84)*($V$2:$AE$2&lt;AB$2))),2))))</f>
      </c>
      <c r="AM84" s="33">
        <f>IF(AC84&lt;=0,0,MAX(0,MIN(AC84,ROUND($AZ84-SUMPRODUCT($V84:$AE84*($V84:$AE84&gt;0)*(($V$3:$AE$3&gt;AC$3)+($V$3:$AE$3=AC$3)*($V84:$AE84&lt;AC84)+($V$3:$AE$3=AC$3)*($V84:$AE84=AC84)*($V$2:$AE$2&lt;AC$2))),2))))</f>
      </c>
      <c r="AN84" s="33">
        <f>IF(AD84&lt;=0,0,MAX(0,MIN(AD84,ROUND($AZ84-SUMPRODUCT($V84:$AE84*($V84:$AE84&gt;0)*(($V$3:$AE$3&gt;AD$3)+($V$3:$AE$3=AD$3)*($V84:$AE84&lt;AD84)+($V$3:$AE$3=AD$3)*($V84:$AE84=AD84)*($V$2:$AE$2&lt;AD$2))),2))))</f>
      </c>
      <c r="AO84" s="33">
        <f>IF(AE84&lt;=0,0,MAX(0,MIN(AE84,ROUND($AZ84-SUMPRODUCT($V84:$AE84*($V84:$AE84&gt;0)*(($V$3:$AE$3&gt;AE$3)+($V$3:$AE$3=AE$3)*($V84:$AE84&lt;AE84)+($V$3:$AE$3=AE$3)*($V84:$AE84=AE84)*($V$2:$AE$2&lt;AE$2))),2))))</f>
      </c>
      <c r="AP84" s="33">
        <f>ROUND(V84-AF84,2)</f>
      </c>
      <c r="AQ84" s="33">
        <f>ROUND(W84-AG84,2)</f>
      </c>
      <c r="AR84" s="33">
        <f>ROUND(X84-AH84,2)</f>
      </c>
      <c r="AS84" s="33">
        <f>ROUND(Y84-AI84,2)</f>
      </c>
      <c r="AT84" s="33">
        <f>ROUND(Z84-AJ84,2)</f>
      </c>
      <c r="AU84" s="33">
        <f>ROUND(AA84-AK84,2)</f>
      </c>
      <c r="AV84" s="33">
        <f>ROUND(AB84-AL84,2)</f>
      </c>
      <c r="AW84" s="33">
        <f>ROUND(AC84-AM84,2)</f>
      </c>
      <c r="AX84" s="33">
        <f>ROUND(AD84-AN84,2)</f>
      </c>
      <c r="AY84" s="33">
        <f>ROUND(AE84-AO84,2)</f>
      </c>
      <c r="AZ84" s="33">
        <f>ROUND(MAX(0,'Your debts'!$D$22-SUM($L84:$U84)),2)</f>
      </c>
      <c r="BA84" s="33">
        <f>ROUND(SUM($B84:$K84)-SUM($AP83:$AY83),2)</f>
      </c>
      <c r="BB84" s="33">
        <f>SUM($AP84:$AY84)</f>
      </c>
      <c r="BC84" s="33">
        <f>ROUND(SUM($L84:$U84)+SUM($AF84:$AO84),2)</f>
      </c>
    </row>
    <row r="85" spans="1:55" x14ac:dyDescent="0.25">
      <c r="A85">
        <v>78</v>
      </c>
      <c r="B85" s="33">
        <f>IF(AP84&lt;=0,0,ROUND(AP84+ROUND(AP84*V$3/12,2),2))</f>
      </c>
      <c r="C85" s="33">
        <f>IF(AQ84&lt;=0,0,ROUND(AQ84+ROUND(AQ84*W$3/12,2),2))</f>
      </c>
      <c r="D85" s="33">
        <f>IF(AR84&lt;=0,0,ROUND(AR84+ROUND(AR84*X$3/12,2),2))</f>
      </c>
      <c r="E85" s="33">
        <f>IF(AS84&lt;=0,0,ROUND(AS84+ROUND(AS84*Y$3/12,2),2))</f>
      </c>
      <c r="F85" s="33">
        <f>IF(AT84&lt;=0,0,ROUND(AT84+ROUND(AT84*Z$3/12,2),2))</f>
      </c>
      <c r="G85" s="33">
        <f>IF(AU84&lt;=0,0,ROUND(AU84+ROUND(AU84*AA$3/12,2),2))</f>
      </c>
      <c r="H85" s="33">
        <f>IF(AV84&lt;=0,0,ROUND(AV84+ROUND(AV84*AB$3/12,2),2))</f>
      </c>
      <c r="I85" s="33">
        <f>IF(AW84&lt;=0,0,ROUND(AW84+ROUND(AW84*AC$3/12,2),2))</f>
      </c>
      <c r="J85" s="33">
        <f>IF(AX84&lt;=0,0,ROUND(AX84+ROUND(AX84*AD$3/12,2),2))</f>
      </c>
      <c r="K85" s="33">
        <f>IF(AY84&lt;=0,0,ROUND(AY84+ROUND(AY84*AE$3/12,2),2))</f>
      </c>
      <c r="L85" s="33">
        <f>ROUND(MIN(MAX(0,N('Your debts'!$E$6)),B85),2)</f>
      </c>
      <c r="M85" s="33">
        <f>ROUND(MIN(MAX(0,N('Your debts'!$E$7)),C85),2)</f>
      </c>
      <c r="N85" s="33">
        <f>ROUND(MIN(MAX(0,N('Your debts'!$E$8)),D85),2)</f>
      </c>
      <c r="O85" s="33">
        <f>ROUND(MIN(MAX(0,N('Your debts'!$E$9)),E85),2)</f>
      </c>
      <c r="P85" s="33">
        <f>ROUND(MIN(MAX(0,N('Your debts'!$E$10)),F85),2)</f>
      </c>
      <c r="Q85" s="33">
        <f>ROUND(MIN(MAX(0,N('Your debts'!$E$11)),G85),2)</f>
      </c>
      <c r="R85" s="33">
        <f>ROUND(MIN(MAX(0,N('Your debts'!$E$12)),H85),2)</f>
      </c>
      <c r="S85" s="33">
        <f>ROUND(MIN(MAX(0,N('Your debts'!$E$13)),I85),2)</f>
      </c>
      <c r="T85" s="33">
        <f>ROUND(MIN(MAX(0,N('Your debts'!$E$14)),J85),2)</f>
      </c>
      <c r="U85" s="33">
        <f>ROUND(MIN(MAX(0,N('Your debts'!$E$15)),K85),2)</f>
      </c>
      <c r="V85" s="33">
        <f>ROUND(B85-L85,2)</f>
      </c>
      <c r="W85" s="33">
        <f>ROUND(C85-M85,2)</f>
      </c>
      <c r="X85" s="33">
        <f>ROUND(D85-N85,2)</f>
      </c>
      <c r="Y85" s="33">
        <f>ROUND(E85-O85,2)</f>
      </c>
      <c r="Z85" s="33">
        <f>ROUND(F85-P85,2)</f>
      </c>
      <c r="AA85" s="33">
        <f>ROUND(G85-Q85,2)</f>
      </c>
      <c r="AB85" s="33">
        <f>ROUND(H85-R85,2)</f>
      </c>
      <c r="AC85" s="33">
        <f>ROUND(I85-S85,2)</f>
      </c>
      <c r="AD85" s="33">
        <f>ROUND(J85-T85,2)</f>
      </c>
      <c r="AE85" s="33">
        <f>ROUND(K85-U85,2)</f>
      </c>
      <c r="AF85" s="33">
        <f>IF(V85&lt;=0,0,MAX(0,MIN(V85,ROUND($AZ85-SUMPRODUCT($V85:$AE85*($V85:$AE85&gt;0)*(($V$3:$AE$3&gt;V$3)+($V$3:$AE$3=V$3)*($V85:$AE85&lt;V85)+($V$3:$AE$3=V$3)*($V85:$AE85=V85)*($V$2:$AE$2&lt;V$2))),2))))</f>
      </c>
      <c r="AG85" s="33">
        <f>IF(W85&lt;=0,0,MAX(0,MIN(W85,ROUND($AZ85-SUMPRODUCT($V85:$AE85*($V85:$AE85&gt;0)*(($V$3:$AE$3&gt;W$3)+($V$3:$AE$3=W$3)*($V85:$AE85&lt;W85)+($V$3:$AE$3=W$3)*($V85:$AE85=W85)*($V$2:$AE$2&lt;W$2))),2))))</f>
      </c>
      <c r="AH85" s="33">
        <f>IF(X85&lt;=0,0,MAX(0,MIN(X85,ROUND($AZ85-SUMPRODUCT($V85:$AE85*($V85:$AE85&gt;0)*(($V$3:$AE$3&gt;X$3)+($V$3:$AE$3=X$3)*($V85:$AE85&lt;X85)+($V$3:$AE$3=X$3)*($V85:$AE85=X85)*($V$2:$AE$2&lt;X$2))),2))))</f>
      </c>
      <c r="AI85" s="33">
        <f>IF(Y85&lt;=0,0,MAX(0,MIN(Y85,ROUND($AZ85-SUMPRODUCT($V85:$AE85*($V85:$AE85&gt;0)*(($V$3:$AE$3&gt;Y$3)+($V$3:$AE$3=Y$3)*($V85:$AE85&lt;Y85)+($V$3:$AE$3=Y$3)*($V85:$AE85=Y85)*($V$2:$AE$2&lt;Y$2))),2))))</f>
      </c>
      <c r="AJ85" s="33">
        <f>IF(Z85&lt;=0,0,MAX(0,MIN(Z85,ROUND($AZ85-SUMPRODUCT($V85:$AE85*($V85:$AE85&gt;0)*(($V$3:$AE$3&gt;Z$3)+($V$3:$AE$3=Z$3)*($V85:$AE85&lt;Z85)+($V$3:$AE$3=Z$3)*($V85:$AE85=Z85)*($V$2:$AE$2&lt;Z$2))),2))))</f>
      </c>
      <c r="AK85" s="33">
        <f>IF(AA85&lt;=0,0,MAX(0,MIN(AA85,ROUND($AZ85-SUMPRODUCT($V85:$AE85*($V85:$AE85&gt;0)*(($V$3:$AE$3&gt;AA$3)+($V$3:$AE$3=AA$3)*($V85:$AE85&lt;AA85)+($V$3:$AE$3=AA$3)*($V85:$AE85=AA85)*($V$2:$AE$2&lt;AA$2))),2))))</f>
      </c>
      <c r="AL85" s="33">
        <f>IF(AB85&lt;=0,0,MAX(0,MIN(AB85,ROUND($AZ85-SUMPRODUCT($V85:$AE85*($V85:$AE85&gt;0)*(($V$3:$AE$3&gt;AB$3)+($V$3:$AE$3=AB$3)*($V85:$AE85&lt;AB85)+($V$3:$AE$3=AB$3)*($V85:$AE85=AB85)*($V$2:$AE$2&lt;AB$2))),2))))</f>
      </c>
      <c r="AM85" s="33">
        <f>IF(AC85&lt;=0,0,MAX(0,MIN(AC85,ROUND($AZ85-SUMPRODUCT($V85:$AE85*($V85:$AE85&gt;0)*(($V$3:$AE$3&gt;AC$3)+($V$3:$AE$3=AC$3)*($V85:$AE85&lt;AC85)+($V$3:$AE$3=AC$3)*($V85:$AE85=AC85)*($V$2:$AE$2&lt;AC$2))),2))))</f>
      </c>
      <c r="AN85" s="33">
        <f>IF(AD85&lt;=0,0,MAX(0,MIN(AD85,ROUND($AZ85-SUMPRODUCT($V85:$AE85*($V85:$AE85&gt;0)*(($V$3:$AE$3&gt;AD$3)+($V$3:$AE$3=AD$3)*($V85:$AE85&lt;AD85)+($V$3:$AE$3=AD$3)*($V85:$AE85=AD85)*($V$2:$AE$2&lt;AD$2))),2))))</f>
      </c>
      <c r="AO85" s="33">
        <f>IF(AE85&lt;=0,0,MAX(0,MIN(AE85,ROUND($AZ85-SUMPRODUCT($V85:$AE85*($V85:$AE85&gt;0)*(($V$3:$AE$3&gt;AE$3)+($V$3:$AE$3=AE$3)*($V85:$AE85&lt;AE85)+($V$3:$AE$3=AE$3)*($V85:$AE85=AE85)*($V$2:$AE$2&lt;AE$2))),2))))</f>
      </c>
      <c r="AP85" s="33">
        <f>ROUND(V85-AF85,2)</f>
      </c>
      <c r="AQ85" s="33">
        <f>ROUND(W85-AG85,2)</f>
      </c>
      <c r="AR85" s="33">
        <f>ROUND(X85-AH85,2)</f>
      </c>
      <c r="AS85" s="33">
        <f>ROUND(Y85-AI85,2)</f>
      </c>
      <c r="AT85" s="33">
        <f>ROUND(Z85-AJ85,2)</f>
      </c>
      <c r="AU85" s="33">
        <f>ROUND(AA85-AK85,2)</f>
      </c>
      <c r="AV85" s="33">
        <f>ROUND(AB85-AL85,2)</f>
      </c>
      <c r="AW85" s="33">
        <f>ROUND(AC85-AM85,2)</f>
      </c>
      <c r="AX85" s="33">
        <f>ROUND(AD85-AN85,2)</f>
      </c>
      <c r="AY85" s="33">
        <f>ROUND(AE85-AO85,2)</f>
      </c>
      <c r="AZ85" s="33">
        <f>ROUND(MAX(0,'Your debts'!$D$22-SUM($L85:$U85)),2)</f>
      </c>
      <c r="BA85" s="33">
        <f>ROUND(SUM($B85:$K85)-SUM($AP84:$AY84),2)</f>
      </c>
      <c r="BB85" s="33">
        <f>SUM($AP85:$AY85)</f>
      </c>
      <c r="BC85" s="33">
        <f>ROUND(SUM($L85:$U85)+SUM($AF85:$AO85),2)</f>
      </c>
    </row>
    <row r="86" spans="1:55" x14ac:dyDescent="0.25">
      <c r="A86">
        <v>79</v>
      </c>
      <c r="B86" s="33">
        <f>IF(AP85&lt;=0,0,ROUND(AP85+ROUND(AP85*V$3/12,2),2))</f>
      </c>
      <c r="C86" s="33">
        <f>IF(AQ85&lt;=0,0,ROUND(AQ85+ROUND(AQ85*W$3/12,2),2))</f>
      </c>
      <c r="D86" s="33">
        <f>IF(AR85&lt;=0,0,ROUND(AR85+ROUND(AR85*X$3/12,2),2))</f>
      </c>
      <c r="E86" s="33">
        <f>IF(AS85&lt;=0,0,ROUND(AS85+ROUND(AS85*Y$3/12,2),2))</f>
      </c>
      <c r="F86" s="33">
        <f>IF(AT85&lt;=0,0,ROUND(AT85+ROUND(AT85*Z$3/12,2),2))</f>
      </c>
      <c r="G86" s="33">
        <f>IF(AU85&lt;=0,0,ROUND(AU85+ROUND(AU85*AA$3/12,2),2))</f>
      </c>
      <c r="H86" s="33">
        <f>IF(AV85&lt;=0,0,ROUND(AV85+ROUND(AV85*AB$3/12,2),2))</f>
      </c>
      <c r="I86" s="33">
        <f>IF(AW85&lt;=0,0,ROUND(AW85+ROUND(AW85*AC$3/12,2),2))</f>
      </c>
      <c r="J86" s="33">
        <f>IF(AX85&lt;=0,0,ROUND(AX85+ROUND(AX85*AD$3/12,2),2))</f>
      </c>
      <c r="K86" s="33">
        <f>IF(AY85&lt;=0,0,ROUND(AY85+ROUND(AY85*AE$3/12,2),2))</f>
      </c>
      <c r="L86" s="33">
        <f>ROUND(MIN(MAX(0,N('Your debts'!$E$6)),B86),2)</f>
      </c>
      <c r="M86" s="33">
        <f>ROUND(MIN(MAX(0,N('Your debts'!$E$7)),C86),2)</f>
      </c>
      <c r="N86" s="33">
        <f>ROUND(MIN(MAX(0,N('Your debts'!$E$8)),D86),2)</f>
      </c>
      <c r="O86" s="33">
        <f>ROUND(MIN(MAX(0,N('Your debts'!$E$9)),E86),2)</f>
      </c>
      <c r="P86" s="33">
        <f>ROUND(MIN(MAX(0,N('Your debts'!$E$10)),F86),2)</f>
      </c>
      <c r="Q86" s="33">
        <f>ROUND(MIN(MAX(0,N('Your debts'!$E$11)),G86),2)</f>
      </c>
      <c r="R86" s="33">
        <f>ROUND(MIN(MAX(0,N('Your debts'!$E$12)),H86),2)</f>
      </c>
      <c r="S86" s="33">
        <f>ROUND(MIN(MAX(0,N('Your debts'!$E$13)),I86),2)</f>
      </c>
      <c r="T86" s="33">
        <f>ROUND(MIN(MAX(0,N('Your debts'!$E$14)),J86),2)</f>
      </c>
      <c r="U86" s="33">
        <f>ROUND(MIN(MAX(0,N('Your debts'!$E$15)),K86),2)</f>
      </c>
      <c r="V86" s="33">
        <f>ROUND(B86-L86,2)</f>
      </c>
      <c r="W86" s="33">
        <f>ROUND(C86-M86,2)</f>
      </c>
      <c r="X86" s="33">
        <f>ROUND(D86-N86,2)</f>
      </c>
      <c r="Y86" s="33">
        <f>ROUND(E86-O86,2)</f>
      </c>
      <c r="Z86" s="33">
        <f>ROUND(F86-P86,2)</f>
      </c>
      <c r="AA86" s="33">
        <f>ROUND(G86-Q86,2)</f>
      </c>
      <c r="AB86" s="33">
        <f>ROUND(H86-R86,2)</f>
      </c>
      <c r="AC86" s="33">
        <f>ROUND(I86-S86,2)</f>
      </c>
      <c r="AD86" s="33">
        <f>ROUND(J86-T86,2)</f>
      </c>
      <c r="AE86" s="33">
        <f>ROUND(K86-U86,2)</f>
      </c>
      <c r="AF86" s="33">
        <f>IF(V86&lt;=0,0,MAX(0,MIN(V86,ROUND($AZ86-SUMPRODUCT($V86:$AE86*($V86:$AE86&gt;0)*(($V$3:$AE$3&gt;V$3)+($V$3:$AE$3=V$3)*($V86:$AE86&lt;V86)+($V$3:$AE$3=V$3)*($V86:$AE86=V86)*($V$2:$AE$2&lt;V$2))),2))))</f>
      </c>
      <c r="AG86" s="33">
        <f>IF(W86&lt;=0,0,MAX(0,MIN(W86,ROUND($AZ86-SUMPRODUCT($V86:$AE86*($V86:$AE86&gt;0)*(($V$3:$AE$3&gt;W$3)+($V$3:$AE$3=W$3)*($V86:$AE86&lt;W86)+($V$3:$AE$3=W$3)*($V86:$AE86=W86)*($V$2:$AE$2&lt;W$2))),2))))</f>
      </c>
      <c r="AH86" s="33">
        <f>IF(X86&lt;=0,0,MAX(0,MIN(X86,ROUND($AZ86-SUMPRODUCT($V86:$AE86*($V86:$AE86&gt;0)*(($V$3:$AE$3&gt;X$3)+($V$3:$AE$3=X$3)*($V86:$AE86&lt;X86)+($V$3:$AE$3=X$3)*($V86:$AE86=X86)*($V$2:$AE$2&lt;X$2))),2))))</f>
      </c>
      <c r="AI86" s="33">
        <f>IF(Y86&lt;=0,0,MAX(0,MIN(Y86,ROUND($AZ86-SUMPRODUCT($V86:$AE86*($V86:$AE86&gt;0)*(($V$3:$AE$3&gt;Y$3)+($V$3:$AE$3=Y$3)*($V86:$AE86&lt;Y86)+($V$3:$AE$3=Y$3)*($V86:$AE86=Y86)*($V$2:$AE$2&lt;Y$2))),2))))</f>
      </c>
      <c r="AJ86" s="33">
        <f>IF(Z86&lt;=0,0,MAX(0,MIN(Z86,ROUND($AZ86-SUMPRODUCT($V86:$AE86*($V86:$AE86&gt;0)*(($V$3:$AE$3&gt;Z$3)+($V$3:$AE$3=Z$3)*($V86:$AE86&lt;Z86)+($V$3:$AE$3=Z$3)*($V86:$AE86=Z86)*($V$2:$AE$2&lt;Z$2))),2))))</f>
      </c>
      <c r="AK86" s="33">
        <f>IF(AA86&lt;=0,0,MAX(0,MIN(AA86,ROUND($AZ86-SUMPRODUCT($V86:$AE86*($V86:$AE86&gt;0)*(($V$3:$AE$3&gt;AA$3)+($V$3:$AE$3=AA$3)*($V86:$AE86&lt;AA86)+($V$3:$AE$3=AA$3)*($V86:$AE86=AA86)*($V$2:$AE$2&lt;AA$2))),2))))</f>
      </c>
      <c r="AL86" s="33">
        <f>IF(AB86&lt;=0,0,MAX(0,MIN(AB86,ROUND($AZ86-SUMPRODUCT($V86:$AE86*($V86:$AE86&gt;0)*(($V$3:$AE$3&gt;AB$3)+($V$3:$AE$3=AB$3)*($V86:$AE86&lt;AB86)+($V$3:$AE$3=AB$3)*($V86:$AE86=AB86)*($V$2:$AE$2&lt;AB$2))),2))))</f>
      </c>
      <c r="AM86" s="33">
        <f>IF(AC86&lt;=0,0,MAX(0,MIN(AC86,ROUND($AZ86-SUMPRODUCT($V86:$AE86*($V86:$AE86&gt;0)*(($V$3:$AE$3&gt;AC$3)+($V$3:$AE$3=AC$3)*($V86:$AE86&lt;AC86)+($V$3:$AE$3=AC$3)*($V86:$AE86=AC86)*($V$2:$AE$2&lt;AC$2))),2))))</f>
      </c>
      <c r="AN86" s="33">
        <f>IF(AD86&lt;=0,0,MAX(0,MIN(AD86,ROUND($AZ86-SUMPRODUCT($V86:$AE86*($V86:$AE86&gt;0)*(($V$3:$AE$3&gt;AD$3)+($V$3:$AE$3=AD$3)*($V86:$AE86&lt;AD86)+($V$3:$AE$3=AD$3)*($V86:$AE86=AD86)*($V$2:$AE$2&lt;AD$2))),2))))</f>
      </c>
      <c r="AO86" s="33">
        <f>IF(AE86&lt;=0,0,MAX(0,MIN(AE86,ROUND($AZ86-SUMPRODUCT($V86:$AE86*($V86:$AE86&gt;0)*(($V$3:$AE$3&gt;AE$3)+($V$3:$AE$3=AE$3)*($V86:$AE86&lt;AE86)+($V$3:$AE$3=AE$3)*($V86:$AE86=AE86)*($V$2:$AE$2&lt;AE$2))),2))))</f>
      </c>
      <c r="AP86" s="33">
        <f>ROUND(V86-AF86,2)</f>
      </c>
      <c r="AQ86" s="33">
        <f>ROUND(W86-AG86,2)</f>
      </c>
      <c r="AR86" s="33">
        <f>ROUND(X86-AH86,2)</f>
      </c>
      <c r="AS86" s="33">
        <f>ROUND(Y86-AI86,2)</f>
      </c>
      <c r="AT86" s="33">
        <f>ROUND(Z86-AJ86,2)</f>
      </c>
      <c r="AU86" s="33">
        <f>ROUND(AA86-AK86,2)</f>
      </c>
      <c r="AV86" s="33">
        <f>ROUND(AB86-AL86,2)</f>
      </c>
      <c r="AW86" s="33">
        <f>ROUND(AC86-AM86,2)</f>
      </c>
      <c r="AX86" s="33">
        <f>ROUND(AD86-AN86,2)</f>
      </c>
      <c r="AY86" s="33">
        <f>ROUND(AE86-AO86,2)</f>
      </c>
      <c r="AZ86" s="33">
        <f>ROUND(MAX(0,'Your debts'!$D$22-SUM($L86:$U86)),2)</f>
      </c>
      <c r="BA86" s="33">
        <f>ROUND(SUM($B86:$K86)-SUM($AP85:$AY85),2)</f>
      </c>
      <c r="BB86" s="33">
        <f>SUM($AP86:$AY86)</f>
      </c>
      <c r="BC86" s="33">
        <f>ROUND(SUM($L86:$U86)+SUM($AF86:$AO86),2)</f>
      </c>
    </row>
    <row r="87" spans="1:55" x14ac:dyDescent="0.25">
      <c r="A87">
        <v>80</v>
      </c>
      <c r="B87" s="33">
        <f>IF(AP86&lt;=0,0,ROUND(AP86+ROUND(AP86*V$3/12,2),2))</f>
      </c>
      <c r="C87" s="33">
        <f>IF(AQ86&lt;=0,0,ROUND(AQ86+ROUND(AQ86*W$3/12,2),2))</f>
      </c>
      <c r="D87" s="33">
        <f>IF(AR86&lt;=0,0,ROUND(AR86+ROUND(AR86*X$3/12,2),2))</f>
      </c>
      <c r="E87" s="33">
        <f>IF(AS86&lt;=0,0,ROUND(AS86+ROUND(AS86*Y$3/12,2),2))</f>
      </c>
      <c r="F87" s="33">
        <f>IF(AT86&lt;=0,0,ROUND(AT86+ROUND(AT86*Z$3/12,2),2))</f>
      </c>
      <c r="G87" s="33">
        <f>IF(AU86&lt;=0,0,ROUND(AU86+ROUND(AU86*AA$3/12,2),2))</f>
      </c>
      <c r="H87" s="33">
        <f>IF(AV86&lt;=0,0,ROUND(AV86+ROUND(AV86*AB$3/12,2),2))</f>
      </c>
      <c r="I87" s="33">
        <f>IF(AW86&lt;=0,0,ROUND(AW86+ROUND(AW86*AC$3/12,2),2))</f>
      </c>
      <c r="J87" s="33">
        <f>IF(AX86&lt;=0,0,ROUND(AX86+ROUND(AX86*AD$3/12,2),2))</f>
      </c>
      <c r="K87" s="33">
        <f>IF(AY86&lt;=0,0,ROUND(AY86+ROUND(AY86*AE$3/12,2),2))</f>
      </c>
      <c r="L87" s="33">
        <f>ROUND(MIN(MAX(0,N('Your debts'!$E$6)),B87),2)</f>
      </c>
      <c r="M87" s="33">
        <f>ROUND(MIN(MAX(0,N('Your debts'!$E$7)),C87),2)</f>
      </c>
      <c r="N87" s="33">
        <f>ROUND(MIN(MAX(0,N('Your debts'!$E$8)),D87),2)</f>
      </c>
      <c r="O87" s="33">
        <f>ROUND(MIN(MAX(0,N('Your debts'!$E$9)),E87),2)</f>
      </c>
      <c r="P87" s="33">
        <f>ROUND(MIN(MAX(0,N('Your debts'!$E$10)),F87),2)</f>
      </c>
      <c r="Q87" s="33">
        <f>ROUND(MIN(MAX(0,N('Your debts'!$E$11)),G87),2)</f>
      </c>
      <c r="R87" s="33">
        <f>ROUND(MIN(MAX(0,N('Your debts'!$E$12)),H87),2)</f>
      </c>
      <c r="S87" s="33">
        <f>ROUND(MIN(MAX(0,N('Your debts'!$E$13)),I87),2)</f>
      </c>
      <c r="T87" s="33">
        <f>ROUND(MIN(MAX(0,N('Your debts'!$E$14)),J87),2)</f>
      </c>
      <c r="U87" s="33">
        <f>ROUND(MIN(MAX(0,N('Your debts'!$E$15)),K87),2)</f>
      </c>
      <c r="V87" s="33">
        <f>ROUND(B87-L87,2)</f>
      </c>
      <c r="W87" s="33">
        <f>ROUND(C87-M87,2)</f>
      </c>
      <c r="X87" s="33">
        <f>ROUND(D87-N87,2)</f>
      </c>
      <c r="Y87" s="33">
        <f>ROUND(E87-O87,2)</f>
      </c>
      <c r="Z87" s="33">
        <f>ROUND(F87-P87,2)</f>
      </c>
      <c r="AA87" s="33">
        <f>ROUND(G87-Q87,2)</f>
      </c>
      <c r="AB87" s="33">
        <f>ROUND(H87-R87,2)</f>
      </c>
      <c r="AC87" s="33">
        <f>ROUND(I87-S87,2)</f>
      </c>
      <c r="AD87" s="33">
        <f>ROUND(J87-T87,2)</f>
      </c>
      <c r="AE87" s="33">
        <f>ROUND(K87-U87,2)</f>
      </c>
      <c r="AF87" s="33">
        <f>IF(V87&lt;=0,0,MAX(0,MIN(V87,ROUND($AZ87-SUMPRODUCT($V87:$AE87*($V87:$AE87&gt;0)*(($V$3:$AE$3&gt;V$3)+($V$3:$AE$3=V$3)*($V87:$AE87&lt;V87)+($V$3:$AE$3=V$3)*($V87:$AE87=V87)*($V$2:$AE$2&lt;V$2))),2))))</f>
      </c>
      <c r="AG87" s="33">
        <f>IF(W87&lt;=0,0,MAX(0,MIN(W87,ROUND($AZ87-SUMPRODUCT($V87:$AE87*($V87:$AE87&gt;0)*(($V$3:$AE$3&gt;W$3)+($V$3:$AE$3=W$3)*($V87:$AE87&lt;W87)+($V$3:$AE$3=W$3)*($V87:$AE87=W87)*($V$2:$AE$2&lt;W$2))),2))))</f>
      </c>
      <c r="AH87" s="33">
        <f>IF(X87&lt;=0,0,MAX(0,MIN(X87,ROUND($AZ87-SUMPRODUCT($V87:$AE87*($V87:$AE87&gt;0)*(($V$3:$AE$3&gt;X$3)+($V$3:$AE$3=X$3)*($V87:$AE87&lt;X87)+($V$3:$AE$3=X$3)*($V87:$AE87=X87)*($V$2:$AE$2&lt;X$2))),2))))</f>
      </c>
      <c r="AI87" s="33">
        <f>IF(Y87&lt;=0,0,MAX(0,MIN(Y87,ROUND($AZ87-SUMPRODUCT($V87:$AE87*($V87:$AE87&gt;0)*(($V$3:$AE$3&gt;Y$3)+($V$3:$AE$3=Y$3)*($V87:$AE87&lt;Y87)+($V$3:$AE$3=Y$3)*($V87:$AE87=Y87)*($V$2:$AE$2&lt;Y$2))),2))))</f>
      </c>
      <c r="AJ87" s="33">
        <f>IF(Z87&lt;=0,0,MAX(0,MIN(Z87,ROUND($AZ87-SUMPRODUCT($V87:$AE87*($V87:$AE87&gt;0)*(($V$3:$AE$3&gt;Z$3)+($V$3:$AE$3=Z$3)*($V87:$AE87&lt;Z87)+($V$3:$AE$3=Z$3)*($V87:$AE87=Z87)*($V$2:$AE$2&lt;Z$2))),2))))</f>
      </c>
      <c r="AK87" s="33">
        <f>IF(AA87&lt;=0,0,MAX(0,MIN(AA87,ROUND($AZ87-SUMPRODUCT($V87:$AE87*($V87:$AE87&gt;0)*(($V$3:$AE$3&gt;AA$3)+($V$3:$AE$3=AA$3)*($V87:$AE87&lt;AA87)+($V$3:$AE$3=AA$3)*($V87:$AE87=AA87)*($V$2:$AE$2&lt;AA$2))),2))))</f>
      </c>
      <c r="AL87" s="33">
        <f>IF(AB87&lt;=0,0,MAX(0,MIN(AB87,ROUND($AZ87-SUMPRODUCT($V87:$AE87*($V87:$AE87&gt;0)*(($V$3:$AE$3&gt;AB$3)+($V$3:$AE$3=AB$3)*($V87:$AE87&lt;AB87)+($V$3:$AE$3=AB$3)*($V87:$AE87=AB87)*($V$2:$AE$2&lt;AB$2))),2))))</f>
      </c>
      <c r="AM87" s="33">
        <f>IF(AC87&lt;=0,0,MAX(0,MIN(AC87,ROUND($AZ87-SUMPRODUCT($V87:$AE87*($V87:$AE87&gt;0)*(($V$3:$AE$3&gt;AC$3)+($V$3:$AE$3=AC$3)*($V87:$AE87&lt;AC87)+($V$3:$AE$3=AC$3)*($V87:$AE87=AC87)*($V$2:$AE$2&lt;AC$2))),2))))</f>
      </c>
      <c r="AN87" s="33">
        <f>IF(AD87&lt;=0,0,MAX(0,MIN(AD87,ROUND($AZ87-SUMPRODUCT($V87:$AE87*($V87:$AE87&gt;0)*(($V$3:$AE$3&gt;AD$3)+($V$3:$AE$3=AD$3)*($V87:$AE87&lt;AD87)+($V$3:$AE$3=AD$3)*($V87:$AE87=AD87)*($V$2:$AE$2&lt;AD$2))),2))))</f>
      </c>
      <c r="AO87" s="33">
        <f>IF(AE87&lt;=0,0,MAX(0,MIN(AE87,ROUND($AZ87-SUMPRODUCT($V87:$AE87*($V87:$AE87&gt;0)*(($V$3:$AE$3&gt;AE$3)+($V$3:$AE$3=AE$3)*($V87:$AE87&lt;AE87)+($V$3:$AE$3=AE$3)*($V87:$AE87=AE87)*($V$2:$AE$2&lt;AE$2))),2))))</f>
      </c>
      <c r="AP87" s="33">
        <f>ROUND(V87-AF87,2)</f>
      </c>
      <c r="AQ87" s="33">
        <f>ROUND(W87-AG87,2)</f>
      </c>
      <c r="AR87" s="33">
        <f>ROUND(X87-AH87,2)</f>
      </c>
      <c r="AS87" s="33">
        <f>ROUND(Y87-AI87,2)</f>
      </c>
      <c r="AT87" s="33">
        <f>ROUND(Z87-AJ87,2)</f>
      </c>
      <c r="AU87" s="33">
        <f>ROUND(AA87-AK87,2)</f>
      </c>
      <c r="AV87" s="33">
        <f>ROUND(AB87-AL87,2)</f>
      </c>
      <c r="AW87" s="33">
        <f>ROUND(AC87-AM87,2)</f>
      </c>
      <c r="AX87" s="33">
        <f>ROUND(AD87-AN87,2)</f>
      </c>
      <c r="AY87" s="33">
        <f>ROUND(AE87-AO87,2)</f>
      </c>
      <c r="AZ87" s="33">
        <f>ROUND(MAX(0,'Your debts'!$D$22-SUM($L87:$U87)),2)</f>
      </c>
      <c r="BA87" s="33">
        <f>ROUND(SUM($B87:$K87)-SUM($AP86:$AY86),2)</f>
      </c>
      <c r="BB87" s="33">
        <f>SUM($AP87:$AY87)</f>
      </c>
      <c r="BC87" s="33">
        <f>ROUND(SUM($L87:$U87)+SUM($AF87:$AO87),2)</f>
      </c>
    </row>
    <row r="88" spans="1:55" x14ac:dyDescent="0.25">
      <c r="A88">
        <v>81</v>
      </c>
      <c r="B88" s="33">
        <f>IF(AP87&lt;=0,0,ROUND(AP87+ROUND(AP87*V$3/12,2),2))</f>
      </c>
      <c r="C88" s="33">
        <f>IF(AQ87&lt;=0,0,ROUND(AQ87+ROUND(AQ87*W$3/12,2),2))</f>
      </c>
      <c r="D88" s="33">
        <f>IF(AR87&lt;=0,0,ROUND(AR87+ROUND(AR87*X$3/12,2),2))</f>
      </c>
      <c r="E88" s="33">
        <f>IF(AS87&lt;=0,0,ROUND(AS87+ROUND(AS87*Y$3/12,2),2))</f>
      </c>
      <c r="F88" s="33">
        <f>IF(AT87&lt;=0,0,ROUND(AT87+ROUND(AT87*Z$3/12,2),2))</f>
      </c>
      <c r="G88" s="33">
        <f>IF(AU87&lt;=0,0,ROUND(AU87+ROUND(AU87*AA$3/12,2),2))</f>
      </c>
      <c r="H88" s="33">
        <f>IF(AV87&lt;=0,0,ROUND(AV87+ROUND(AV87*AB$3/12,2),2))</f>
      </c>
      <c r="I88" s="33">
        <f>IF(AW87&lt;=0,0,ROUND(AW87+ROUND(AW87*AC$3/12,2),2))</f>
      </c>
      <c r="J88" s="33">
        <f>IF(AX87&lt;=0,0,ROUND(AX87+ROUND(AX87*AD$3/12,2),2))</f>
      </c>
      <c r="K88" s="33">
        <f>IF(AY87&lt;=0,0,ROUND(AY87+ROUND(AY87*AE$3/12,2),2))</f>
      </c>
      <c r="L88" s="33">
        <f>ROUND(MIN(MAX(0,N('Your debts'!$E$6)),B88),2)</f>
      </c>
      <c r="M88" s="33">
        <f>ROUND(MIN(MAX(0,N('Your debts'!$E$7)),C88),2)</f>
      </c>
      <c r="N88" s="33">
        <f>ROUND(MIN(MAX(0,N('Your debts'!$E$8)),D88),2)</f>
      </c>
      <c r="O88" s="33">
        <f>ROUND(MIN(MAX(0,N('Your debts'!$E$9)),E88),2)</f>
      </c>
      <c r="P88" s="33">
        <f>ROUND(MIN(MAX(0,N('Your debts'!$E$10)),F88),2)</f>
      </c>
      <c r="Q88" s="33">
        <f>ROUND(MIN(MAX(0,N('Your debts'!$E$11)),G88),2)</f>
      </c>
      <c r="R88" s="33">
        <f>ROUND(MIN(MAX(0,N('Your debts'!$E$12)),H88),2)</f>
      </c>
      <c r="S88" s="33">
        <f>ROUND(MIN(MAX(0,N('Your debts'!$E$13)),I88),2)</f>
      </c>
      <c r="T88" s="33">
        <f>ROUND(MIN(MAX(0,N('Your debts'!$E$14)),J88),2)</f>
      </c>
      <c r="U88" s="33">
        <f>ROUND(MIN(MAX(0,N('Your debts'!$E$15)),K88),2)</f>
      </c>
      <c r="V88" s="33">
        <f>ROUND(B88-L88,2)</f>
      </c>
      <c r="W88" s="33">
        <f>ROUND(C88-M88,2)</f>
      </c>
      <c r="X88" s="33">
        <f>ROUND(D88-N88,2)</f>
      </c>
      <c r="Y88" s="33">
        <f>ROUND(E88-O88,2)</f>
      </c>
      <c r="Z88" s="33">
        <f>ROUND(F88-P88,2)</f>
      </c>
      <c r="AA88" s="33">
        <f>ROUND(G88-Q88,2)</f>
      </c>
      <c r="AB88" s="33">
        <f>ROUND(H88-R88,2)</f>
      </c>
      <c r="AC88" s="33">
        <f>ROUND(I88-S88,2)</f>
      </c>
      <c r="AD88" s="33">
        <f>ROUND(J88-T88,2)</f>
      </c>
      <c r="AE88" s="33">
        <f>ROUND(K88-U88,2)</f>
      </c>
      <c r="AF88" s="33">
        <f>IF(V88&lt;=0,0,MAX(0,MIN(V88,ROUND($AZ88-SUMPRODUCT($V88:$AE88*($V88:$AE88&gt;0)*(($V$3:$AE$3&gt;V$3)+($V$3:$AE$3=V$3)*($V88:$AE88&lt;V88)+($V$3:$AE$3=V$3)*($V88:$AE88=V88)*($V$2:$AE$2&lt;V$2))),2))))</f>
      </c>
      <c r="AG88" s="33">
        <f>IF(W88&lt;=0,0,MAX(0,MIN(W88,ROUND($AZ88-SUMPRODUCT($V88:$AE88*($V88:$AE88&gt;0)*(($V$3:$AE$3&gt;W$3)+($V$3:$AE$3=W$3)*($V88:$AE88&lt;W88)+($V$3:$AE$3=W$3)*($V88:$AE88=W88)*($V$2:$AE$2&lt;W$2))),2))))</f>
      </c>
      <c r="AH88" s="33">
        <f>IF(X88&lt;=0,0,MAX(0,MIN(X88,ROUND($AZ88-SUMPRODUCT($V88:$AE88*($V88:$AE88&gt;0)*(($V$3:$AE$3&gt;X$3)+($V$3:$AE$3=X$3)*($V88:$AE88&lt;X88)+($V$3:$AE$3=X$3)*($V88:$AE88=X88)*($V$2:$AE$2&lt;X$2))),2))))</f>
      </c>
      <c r="AI88" s="33">
        <f>IF(Y88&lt;=0,0,MAX(0,MIN(Y88,ROUND($AZ88-SUMPRODUCT($V88:$AE88*($V88:$AE88&gt;0)*(($V$3:$AE$3&gt;Y$3)+($V$3:$AE$3=Y$3)*($V88:$AE88&lt;Y88)+($V$3:$AE$3=Y$3)*($V88:$AE88=Y88)*($V$2:$AE$2&lt;Y$2))),2))))</f>
      </c>
      <c r="AJ88" s="33">
        <f>IF(Z88&lt;=0,0,MAX(0,MIN(Z88,ROUND($AZ88-SUMPRODUCT($V88:$AE88*($V88:$AE88&gt;0)*(($V$3:$AE$3&gt;Z$3)+($V$3:$AE$3=Z$3)*($V88:$AE88&lt;Z88)+($V$3:$AE$3=Z$3)*($V88:$AE88=Z88)*($V$2:$AE$2&lt;Z$2))),2))))</f>
      </c>
      <c r="AK88" s="33">
        <f>IF(AA88&lt;=0,0,MAX(0,MIN(AA88,ROUND($AZ88-SUMPRODUCT($V88:$AE88*($V88:$AE88&gt;0)*(($V$3:$AE$3&gt;AA$3)+($V$3:$AE$3=AA$3)*($V88:$AE88&lt;AA88)+($V$3:$AE$3=AA$3)*($V88:$AE88=AA88)*($V$2:$AE$2&lt;AA$2))),2))))</f>
      </c>
      <c r="AL88" s="33">
        <f>IF(AB88&lt;=0,0,MAX(0,MIN(AB88,ROUND($AZ88-SUMPRODUCT($V88:$AE88*($V88:$AE88&gt;0)*(($V$3:$AE$3&gt;AB$3)+($V$3:$AE$3=AB$3)*($V88:$AE88&lt;AB88)+($V$3:$AE$3=AB$3)*($V88:$AE88=AB88)*($V$2:$AE$2&lt;AB$2))),2))))</f>
      </c>
      <c r="AM88" s="33">
        <f>IF(AC88&lt;=0,0,MAX(0,MIN(AC88,ROUND($AZ88-SUMPRODUCT($V88:$AE88*($V88:$AE88&gt;0)*(($V$3:$AE$3&gt;AC$3)+($V$3:$AE$3=AC$3)*($V88:$AE88&lt;AC88)+($V$3:$AE$3=AC$3)*($V88:$AE88=AC88)*($V$2:$AE$2&lt;AC$2))),2))))</f>
      </c>
      <c r="AN88" s="33">
        <f>IF(AD88&lt;=0,0,MAX(0,MIN(AD88,ROUND($AZ88-SUMPRODUCT($V88:$AE88*($V88:$AE88&gt;0)*(($V$3:$AE$3&gt;AD$3)+($V$3:$AE$3=AD$3)*($V88:$AE88&lt;AD88)+($V$3:$AE$3=AD$3)*($V88:$AE88=AD88)*($V$2:$AE$2&lt;AD$2))),2))))</f>
      </c>
      <c r="AO88" s="33">
        <f>IF(AE88&lt;=0,0,MAX(0,MIN(AE88,ROUND($AZ88-SUMPRODUCT($V88:$AE88*($V88:$AE88&gt;0)*(($V$3:$AE$3&gt;AE$3)+($V$3:$AE$3=AE$3)*($V88:$AE88&lt;AE88)+($V$3:$AE$3=AE$3)*($V88:$AE88=AE88)*($V$2:$AE$2&lt;AE$2))),2))))</f>
      </c>
      <c r="AP88" s="33">
        <f>ROUND(V88-AF88,2)</f>
      </c>
      <c r="AQ88" s="33">
        <f>ROUND(W88-AG88,2)</f>
      </c>
      <c r="AR88" s="33">
        <f>ROUND(X88-AH88,2)</f>
      </c>
      <c r="AS88" s="33">
        <f>ROUND(Y88-AI88,2)</f>
      </c>
      <c r="AT88" s="33">
        <f>ROUND(Z88-AJ88,2)</f>
      </c>
      <c r="AU88" s="33">
        <f>ROUND(AA88-AK88,2)</f>
      </c>
      <c r="AV88" s="33">
        <f>ROUND(AB88-AL88,2)</f>
      </c>
      <c r="AW88" s="33">
        <f>ROUND(AC88-AM88,2)</f>
      </c>
      <c r="AX88" s="33">
        <f>ROUND(AD88-AN88,2)</f>
      </c>
      <c r="AY88" s="33">
        <f>ROUND(AE88-AO88,2)</f>
      </c>
      <c r="AZ88" s="33">
        <f>ROUND(MAX(0,'Your debts'!$D$22-SUM($L88:$U88)),2)</f>
      </c>
      <c r="BA88" s="33">
        <f>ROUND(SUM($B88:$K88)-SUM($AP87:$AY87),2)</f>
      </c>
      <c r="BB88" s="33">
        <f>SUM($AP88:$AY88)</f>
      </c>
      <c r="BC88" s="33">
        <f>ROUND(SUM($L88:$U88)+SUM($AF88:$AO88),2)</f>
      </c>
    </row>
    <row r="89" spans="1:55" x14ac:dyDescent="0.25">
      <c r="A89">
        <v>82</v>
      </c>
      <c r="B89" s="33">
        <f>IF(AP88&lt;=0,0,ROUND(AP88+ROUND(AP88*V$3/12,2),2))</f>
      </c>
      <c r="C89" s="33">
        <f>IF(AQ88&lt;=0,0,ROUND(AQ88+ROUND(AQ88*W$3/12,2),2))</f>
      </c>
      <c r="D89" s="33">
        <f>IF(AR88&lt;=0,0,ROUND(AR88+ROUND(AR88*X$3/12,2),2))</f>
      </c>
      <c r="E89" s="33">
        <f>IF(AS88&lt;=0,0,ROUND(AS88+ROUND(AS88*Y$3/12,2),2))</f>
      </c>
      <c r="F89" s="33">
        <f>IF(AT88&lt;=0,0,ROUND(AT88+ROUND(AT88*Z$3/12,2),2))</f>
      </c>
      <c r="G89" s="33">
        <f>IF(AU88&lt;=0,0,ROUND(AU88+ROUND(AU88*AA$3/12,2),2))</f>
      </c>
      <c r="H89" s="33">
        <f>IF(AV88&lt;=0,0,ROUND(AV88+ROUND(AV88*AB$3/12,2),2))</f>
      </c>
      <c r="I89" s="33">
        <f>IF(AW88&lt;=0,0,ROUND(AW88+ROUND(AW88*AC$3/12,2),2))</f>
      </c>
      <c r="J89" s="33">
        <f>IF(AX88&lt;=0,0,ROUND(AX88+ROUND(AX88*AD$3/12,2),2))</f>
      </c>
      <c r="K89" s="33">
        <f>IF(AY88&lt;=0,0,ROUND(AY88+ROUND(AY88*AE$3/12,2),2))</f>
      </c>
      <c r="L89" s="33">
        <f>ROUND(MIN(MAX(0,N('Your debts'!$E$6)),B89),2)</f>
      </c>
      <c r="M89" s="33">
        <f>ROUND(MIN(MAX(0,N('Your debts'!$E$7)),C89),2)</f>
      </c>
      <c r="N89" s="33">
        <f>ROUND(MIN(MAX(0,N('Your debts'!$E$8)),D89),2)</f>
      </c>
      <c r="O89" s="33">
        <f>ROUND(MIN(MAX(0,N('Your debts'!$E$9)),E89),2)</f>
      </c>
      <c r="P89" s="33">
        <f>ROUND(MIN(MAX(0,N('Your debts'!$E$10)),F89),2)</f>
      </c>
      <c r="Q89" s="33">
        <f>ROUND(MIN(MAX(0,N('Your debts'!$E$11)),G89),2)</f>
      </c>
      <c r="R89" s="33">
        <f>ROUND(MIN(MAX(0,N('Your debts'!$E$12)),H89),2)</f>
      </c>
      <c r="S89" s="33">
        <f>ROUND(MIN(MAX(0,N('Your debts'!$E$13)),I89),2)</f>
      </c>
      <c r="T89" s="33">
        <f>ROUND(MIN(MAX(0,N('Your debts'!$E$14)),J89),2)</f>
      </c>
      <c r="U89" s="33">
        <f>ROUND(MIN(MAX(0,N('Your debts'!$E$15)),K89),2)</f>
      </c>
      <c r="V89" s="33">
        <f>ROUND(B89-L89,2)</f>
      </c>
      <c r="W89" s="33">
        <f>ROUND(C89-M89,2)</f>
      </c>
      <c r="X89" s="33">
        <f>ROUND(D89-N89,2)</f>
      </c>
      <c r="Y89" s="33">
        <f>ROUND(E89-O89,2)</f>
      </c>
      <c r="Z89" s="33">
        <f>ROUND(F89-P89,2)</f>
      </c>
      <c r="AA89" s="33">
        <f>ROUND(G89-Q89,2)</f>
      </c>
      <c r="AB89" s="33">
        <f>ROUND(H89-R89,2)</f>
      </c>
      <c r="AC89" s="33">
        <f>ROUND(I89-S89,2)</f>
      </c>
      <c r="AD89" s="33">
        <f>ROUND(J89-T89,2)</f>
      </c>
      <c r="AE89" s="33">
        <f>ROUND(K89-U89,2)</f>
      </c>
      <c r="AF89" s="33">
        <f>IF(V89&lt;=0,0,MAX(0,MIN(V89,ROUND($AZ89-SUMPRODUCT($V89:$AE89*($V89:$AE89&gt;0)*(($V$3:$AE$3&gt;V$3)+($V$3:$AE$3=V$3)*($V89:$AE89&lt;V89)+($V$3:$AE$3=V$3)*($V89:$AE89=V89)*($V$2:$AE$2&lt;V$2))),2))))</f>
      </c>
      <c r="AG89" s="33">
        <f>IF(W89&lt;=0,0,MAX(0,MIN(W89,ROUND($AZ89-SUMPRODUCT($V89:$AE89*($V89:$AE89&gt;0)*(($V$3:$AE$3&gt;W$3)+($V$3:$AE$3=W$3)*($V89:$AE89&lt;W89)+($V$3:$AE$3=W$3)*($V89:$AE89=W89)*($V$2:$AE$2&lt;W$2))),2))))</f>
      </c>
      <c r="AH89" s="33">
        <f>IF(X89&lt;=0,0,MAX(0,MIN(X89,ROUND($AZ89-SUMPRODUCT($V89:$AE89*($V89:$AE89&gt;0)*(($V$3:$AE$3&gt;X$3)+($V$3:$AE$3=X$3)*($V89:$AE89&lt;X89)+($V$3:$AE$3=X$3)*($V89:$AE89=X89)*($V$2:$AE$2&lt;X$2))),2))))</f>
      </c>
      <c r="AI89" s="33">
        <f>IF(Y89&lt;=0,0,MAX(0,MIN(Y89,ROUND($AZ89-SUMPRODUCT($V89:$AE89*($V89:$AE89&gt;0)*(($V$3:$AE$3&gt;Y$3)+($V$3:$AE$3=Y$3)*($V89:$AE89&lt;Y89)+($V$3:$AE$3=Y$3)*($V89:$AE89=Y89)*($V$2:$AE$2&lt;Y$2))),2))))</f>
      </c>
      <c r="AJ89" s="33">
        <f>IF(Z89&lt;=0,0,MAX(0,MIN(Z89,ROUND($AZ89-SUMPRODUCT($V89:$AE89*($V89:$AE89&gt;0)*(($V$3:$AE$3&gt;Z$3)+($V$3:$AE$3=Z$3)*($V89:$AE89&lt;Z89)+($V$3:$AE$3=Z$3)*($V89:$AE89=Z89)*($V$2:$AE$2&lt;Z$2))),2))))</f>
      </c>
      <c r="AK89" s="33">
        <f>IF(AA89&lt;=0,0,MAX(0,MIN(AA89,ROUND($AZ89-SUMPRODUCT($V89:$AE89*($V89:$AE89&gt;0)*(($V$3:$AE$3&gt;AA$3)+($V$3:$AE$3=AA$3)*($V89:$AE89&lt;AA89)+($V$3:$AE$3=AA$3)*($V89:$AE89=AA89)*($V$2:$AE$2&lt;AA$2))),2))))</f>
      </c>
      <c r="AL89" s="33">
        <f>IF(AB89&lt;=0,0,MAX(0,MIN(AB89,ROUND($AZ89-SUMPRODUCT($V89:$AE89*($V89:$AE89&gt;0)*(($V$3:$AE$3&gt;AB$3)+($V$3:$AE$3=AB$3)*($V89:$AE89&lt;AB89)+($V$3:$AE$3=AB$3)*($V89:$AE89=AB89)*($V$2:$AE$2&lt;AB$2))),2))))</f>
      </c>
      <c r="AM89" s="33">
        <f>IF(AC89&lt;=0,0,MAX(0,MIN(AC89,ROUND($AZ89-SUMPRODUCT($V89:$AE89*($V89:$AE89&gt;0)*(($V$3:$AE$3&gt;AC$3)+($V$3:$AE$3=AC$3)*($V89:$AE89&lt;AC89)+($V$3:$AE$3=AC$3)*($V89:$AE89=AC89)*($V$2:$AE$2&lt;AC$2))),2))))</f>
      </c>
      <c r="AN89" s="33">
        <f>IF(AD89&lt;=0,0,MAX(0,MIN(AD89,ROUND($AZ89-SUMPRODUCT($V89:$AE89*($V89:$AE89&gt;0)*(($V$3:$AE$3&gt;AD$3)+($V$3:$AE$3=AD$3)*($V89:$AE89&lt;AD89)+($V$3:$AE$3=AD$3)*($V89:$AE89=AD89)*($V$2:$AE$2&lt;AD$2))),2))))</f>
      </c>
      <c r="AO89" s="33">
        <f>IF(AE89&lt;=0,0,MAX(0,MIN(AE89,ROUND($AZ89-SUMPRODUCT($V89:$AE89*($V89:$AE89&gt;0)*(($V$3:$AE$3&gt;AE$3)+($V$3:$AE$3=AE$3)*($V89:$AE89&lt;AE89)+($V$3:$AE$3=AE$3)*($V89:$AE89=AE89)*($V$2:$AE$2&lt;AE$2))),2))))</f>
      </c>
      <c r="AP89" s="33">
        <f>ROUND(V89-AF89,2)</f>
      </c>
      <c r="AQ89" s="33">
        <f>ROUND(W89-AG89,2)</f>
      </c>
      <c r="AR89" s="33">
        <f>ROUND(X89-AH89,2)</f>
      </c>
      <c r="AS89" s="33">
        <f>ROUND(Y89-AI89,2)</f>
      </c>
      <c r="AT89" s="33">
        <f>ROUND(Z89-AJ89,2)</f>
      </c>
      <c r="AU89" s="33">
        <f>ROUND(AA89-AK89,2)</f>
      </c>
      <c r="AV89" s="33">
        <f>ROUND(AB89-AL89,2)</f>
      </c>
      <c r="AW89" s="33">
        <f>ROUND(AC89-AM89,2)</f>
      </c>
      <c r="AX89" s="33">
        <f>ROUND(AD89-AN89,2)</f>
      </c>
      <c r="AY89" s="33">
        <f>ROUND(AE89-AO89,2)</f>
      </c>
      <c r="AZ89" s="33">
        <f>ROUND(MAX(0,'Your debts'!$D$22-SUM($L89:$U89)),2)</f>
      </c>
      <c r="BA89" s="33">
        <f>ROUND(SUM($B89:$K89)-SUM($AP88:$AY88),2)</f>
      </c>
      <c r="BB89" s="33">
        <f>SUM($AP89:$AY89)</f>
      </c>
      <c r="BC89" s="33">
        <f>ROUND(SUM($L89:$U89)+SUM($AF89:$AO89),2)</f>
      </c>
    </row>
    <row r="90" spans="1:55" x14ac:dyDescent="0.25">
      <c r="A90">
        <v>83</v>
      </c>
      <c r="B90" s="33">
        <f>IF(AP89&lt;=0,0,ROUND(AP89+ROUND(AP89*V$3/12,2),2))</f>
      </c>
      <c r="C90" s="33">
        <f>IF(AQ89&lt;=0,0,ROUND(AQ89+ROUND(AQ89*W$3/12,2),2))</f>
      </c>
      <c r="D90" s="33">
        <f>IF(AR89&lt;=0,0,ROUND(AR89+ROUND(AR89*X$3/12,2),2))</f>
      </c>
      <c r="E90" s="33">
        <f>IF(AS89&lt;=0,0,ROUND(AS89+ROUND(AS89*Y$3/12,2),2))</f>
      </c>
      <c r="F90" s="33">
        <f>IF(AT89&lt;=0,0,ROUND(AT89+ROUND(AT89*Z$3/12,2),2))</f>
      </c>
      <c r="G90" s="33">
        <f>IF(AU89&lt;=0,0,ROUND(AU89+ROUND(AU89*AA$3/12,2),2))</f>
      </c>
      <c r="H90" s="33">
        <f>IF(AV89&lt;=0,0,ROUND(AV89+ROUND(AV89*AB$3/12,2),2))</f>
      </c>
      <c r="I90" s="33">
        <f>IF(AW89&lt;=0,0,ROUND(AW89+ROUND(AW89*AC$3/12,2),2))</f>
      </c>
      <c r="J90" s="33">
        <f>IF(AX89&lt;=0,0,ROUND(AX89+ROUND(AX89*AD$3/12,2),2))</f>
      </c>
      <c r="K90" s="33">
        <f>IF(AY89&lt;=0,0,ROUND(AY89+ROUND(AY89*AE$3/12,2),2))</f>
      </c>
      <c r="L90" s="33">
        <f>ROUND(MIN(MAX(0,N('Your debts'!$E$6)),B90),2)</f>
      </c>
      <c r="M90" s="33">
        <f>ROUND(MIN(MAX(0,N('Your debts'!$E$7)),C90),2)</f>
      </c>
      <c r="N90" s="33">
        <f>ROUND(MIN(MAX(0,N('Your debts'!$E$8)),D90),2)</f>
      </c>
      <c r="O90" s="33">
        <f>ROUND(MIN(MAX(0,N('Your debts'!$E$9)),E90),2)</f>
      </c>
      <c r="P90" s="33">
        <f>ROUND(MIN(MAX(0,N('Your debts'!$E$10)),F90),2)</f>
      </c>
      <c r="Q90" s="33">
        <f>ROUND(MIN(MAX(0,N('Your debts'!$E$11)),G90),2)</f>
      </c>
      <c r="R90" s="33">
        <f>ROUND(MIN(MAX(0,N('Your debts'!$E$12)),H90),2)</f>
      </c>
      <c r="S90" s="33">
        <f>ROUND(MIN(MAX(0,N('Your debts'!$E$13)),I90),2)</f>
      </c>
      <c r="T90" s="33">
        <f>ROUND(MIN(MAX(0,N('Your debts'!$E$14)),J90),2)</f>
      </c>
      <c r="U90" s="33">
        <f>ROUND(MIN(MAX(0,N('Your debts'!$E$15)),K90),2)</f>
      </c>
      <c r="V90" s="33">
        <f>ROUND(B90-L90,2)</f>
      </c>
      <c r="W90" s="33">
        <f>ROUND(C90-M90,2)</f>
      </c>
      <c r="X90" s="33">
        <f>ROUND(D90-N90,2)</f>
      </c>
      <c r="Y90" s="33">
        <f>ROUND(E90-O90,2)</f>
      </c>
      <c r="Z90" s="33">
        <f>ROUND(F90-P90,2)</f>
      </c>
      <c r="AA90" s="33">
        <f>ROUND(G90-Q90,2)</f>
      </c>
      <c r="AB90" s="33">
        <f>ROUND(H90-R90,2)</f>
      </c>
      <c r="AC90" s="33">
        <f>ROUND(I90-S90,2)</f>
      </c>
      <c r="AD90" s="33">
        <f>ROUND(J90-T90,2)</f>
      </c>
      <c r="AE90" s="33">
        <f>ROUND(K90-U90,2)</f>
      </c>
      <c r="AF90" s="33">
        <f>IF(V90&lt;=0,0,MAX(0,MIN(V90,ROUND($AZ90-SUMPRODUCT($V90:$AE90*($V90:$AE90&gt;0)*(($V$3:$AE$3&gt;V$3)+($V$3:$AE$3=V$3)*($V90:$AE90&lt;V90)+($V$3:$AE$3=V$3)*($V90:$AE90=V90)*($V$2:$AE$2&lt;V$2))),2))))</f>
      </c>
      <c r="AG90" s="33">
        <f>IF(W90&lt;=0,0,MAX(0,MIN(W90,ROUND($AZ90-SUMPRODUCT($V90:$AE90*($V90:$AE90&gt;0)*(($V$3:$AE$3&gt;W$3)+($V$3:$AE$3=W$3)*($V90:$AE90&lt;W90)+($V$3:$AE$3=W$3)*($V90:$AE90=W90)*($V$2:$AE$2&lt;W$2))),2))))</f>
      </c>
      <c r="AH90" s="33">
        <f>IF(X90&lt;=0,0,MAX(0,MIN(X90,ROUND($AZ90-SUMPRODUCT($V90:$AE90*($V90:$AE90&gt;0)*(($V$3:$AE$3&gt;X$3)+($V$3:$AE$3=X$3)*($V90:$AE90&lt;X90)+($V$3:$AE$3=X$3)*($V90:$AE90=X90)*($V$2:$AE$2&lt;X$2))),2))))</f>
      </c>
      <c r="AI90" s="33">
        <f>IF(Y90&lt;=0,0,MAX(0,MIN(Y90,ROUND($AZ90-SUMPRODUCT($V90:$AE90*($V90:$AE90&gt;0)*(($V$3:$AE$3&gt;Y$3)+($V$3:$AE$3=Y$3)*($V90:$AE90&lt;Y90)+($V$3:$AE$3=Y$3)*($V90:$AE90=Y90)*($V$2:$AE$2&lt;Y$2))),2))))</f>
      </c>
      <c r="AJ90" s="33">
        <f>IF(Z90&lt;=0,0,MAX(0,MIN(Z90,ROUND($AZ90-SUMPRODUCT($V90:$AE90*($V90:$AE90&gt;0)*(($V$3:$AE$3&gt;Z$3)+($V$3:$AE$3=Z$3)*($V90:$AE90&lt;Z90)+($V$3:$AE$3=Z$3)*($V90:$AE90=Z90)*($V$2:$AE$2&lt;Z$2))),2))))</f>
      </c>
      <c r="AK90" s="33">
        <f>IF(AA90&lt;=0,0,MAX(0,MIN(AA90,ROUND($AZ90-SUMPRODUCT($V90:$AE90*($V90:$AE90&gt;0)*(($V$3:$AE$3&gt;AA$3)+($V$3:$AE$3=AA$3)*($V90:$AE90&lt;AA90)+($V$3:$AE$3=AA$3)*($V90:$AE90=AA90)*($V$2:$AE$2&lt;AA$2))),2))))</f>
      </c>
      <c r="AL90" s="33">
        <f>IF(AB90&lt;=0,0,MAX(0,MIN(AB90,ROUND($AZ90-SUMPRODUCT($V90:$AE90*($V90:$AE90&gt;0)*(($V$3:$AE$3&gt;AB$3)+($V$3:$AE$3=AB$3)*($V90:$AE90&lt;AB90)+($V$3:$AE$3=AB$3)*($V90:$AE90=AB90)*($V$2:$AE$2&lt;AB$2))),2))))</f>
      </c>
      <c r="AM90" s="33">
        <f>IF(AC90&lt;=0,0,MAX(0,MIN(AC90,ROUND($AZ90-SUMPRODUCT($V90:$AE90*($V90:$AE90&gt;0)*(($V$3:$AE$3&gt;AC$3)+($V$3:$AE$3=AC$3)*($V90:$AE90&lt;AC90)+($V$3:$AE$3=AC$3)*($V90:$AE90=AC90)*($V$2:$AE$2&lt;AC$2))),2))))</f>
      </c>
      <c r="AN90" s="33">
        <f>IF(AD90&lt;=0,0,MAX(0,MIN(AD90,ROUND($AZ90-SUMPRODUCT($V90:$AE90*($V90:$AE90&gt;0)*(($V$3:$AE$3&gt;AD$3)+($V$3:$AE$3=AD$3)*($V90:$AE90&lt;AD90)+($V$3:$AE$3=AD$3)*($V90:$AE90=AD90)*($V$2:$AE$2&lt;AD$2))),2))))</f>
      </c>
      <c r="AO90" s="33">
        <f>IF(AE90&lt;=0,0,MAX(0,MIN(AE90,ROUND($AZ90-SUMPRODUCT($V90:$AE90*($V90:$AE90&gt;0)*(($V$3:$AE$3&gt;AE$3)+($V$3:$AE$3=AE$3)*($V90:$AE90&lt;AE90)+($V$3:$AE$3=AE$3)*($V90:$AE90=AE90)*($V$2:$AE$2&lt;AE$2))),2))))</f>
      </c>
      <c r="AP90" s="33">
        <f>ROUND(V90-AF90,2)</f>
      </c>
      <c r="AQ90" s="33">
        <f>ROUND(W90-AG90,2)</f>
      </c>
      <c r="AR90" s="33">
        <f>ROUND(X90-AH90,2)</f>
      </c>
      <c r="AS90" s="33">
        <f>ROUND(Y90-AI90,2)</f>
      </c>
      <c r="AT90" s="33">
        <f>ROUND(Z90-AJ90,2)</f>
      </c>
      <c r="AU90" s="33">
        <f>ROUND(AA90-AK90,2)</f>
      </c>
      <c r="AV90" s="33">
        <f>ROUND(AB90-AL90,2)</f>
      </c>
      <c r="AW90" s="33">
        <f>ROUND(AC90-AM90,2)</f>
      </c>
      <c r="AX90" s="33">
        <f>ROUND(AD90-AN90,2)</f>
      </c>
      <c r="AY90" s="33">
        <f>ROUND(AE90-AO90,2)</f>
      </c>
      <c r="AZ90" s="33">
        <f>ROUND(MAX(0,'Your debts'!$D$22-SUM($L90:$U90)),2)</f>
      </c>
      <c r="BA90" s="33">
        <f>ROUND(SUM($B90:$K90)-SUM($AP89:$AY89),2)</f>
      </c>
      <c r="BB90" s="33">
        <f>SUM($AP90:$AY90)</f>
      </c>
      <c r="BC90" s="33">
        <f>ROUND(SUM($L90:$U90)+SUM($AF90:$AO90),2)</f>
      </c>
    </row>
    <row r="91" spans="1:55" x14ac:dyDescent="0.25">
      <c r="A91">
        <v>84</v>
      </c>
      <c r="B91" s="33">
        <f>IF(AP90&lt;=0,0,ROUND(AP90+ROUND(AP90*V$3/12,2),2))</f>
      </c>
      <c r="C91" s="33">
        <f>IF(AQ90&lt;=0,0,ROUND(AQ90+ROUND(AQ90*W$3/12,2),2))</f>
      </c>
      <c r="D91" s="33">
        <f>IF(AR90&lt;=0,0,ROUND(AR90+ROUND(AR90*X$3/12,2),2))</f>
      </c>
      <c r="E91" s="33">
        <f>IF(AS90&lt;=0,0,ROUND(AS90+ROUND(AS90*Y$3/12,2),2))</f>
      </c>
      <c r="F91" s="33">
        <f>IF(AT90&lt;=0,0,ROUND(AT90+ROUND(AT90*Z$3/12,2),2))</f>
      </c>
      <c r="G91" s="33">
        <f>IF(AU90&lt;=0,0,ROUND(AU90+ROUND(AU90*AA$3/12,2),2))</f>
      </c>
      <c r="H91" s="33">
        <f>IF(AV90&lt;=0,0,ROUND(AV90+ROUND(AV90*AB$3/12,2),2))</f>
      </c>
      <c r="I91" s="33">
        <f>IF(AW90&lt;=0,0,ROUND(AW90+ROUND(AW90*AC$3/12,2),2))</f>
      </c>
      <c r="J91" s="33">
        <f>IF(AX90&lt;=0,0,ROUND(AX90+ROUND(AX90*AD$3/12,2),2))</f>
      </c>
      <c r="K91" s="33">
        <f>IF(AY90&lt;=0,0,ROUND(AY90+ROUND(AY90*AE$3/12,2),2))</f>
      </c>
      <c r="L91" s="33">
        <f>ROUND(MIN(MAX(0,N('Your debts'!$E$6)),B91),2)</f>
      </c>
      <c r="M91" s="33">
        <f>ROUND(MIN(MAX(0,N('Your debts'!$E$7)),C91),2)</f>
      </c>
      <c r="N91" s="33">
        <f>ROUND(MIN(MAX(0,N('Your debts'!$E$8)),D91),2)</f>
      </c>
      <c r="O91" s="33">
        <f>ROUND(MIN(MAX(0,N('Your debts'!$E$9)),E91),2)</f>
      </c>
      <c r="P91" s="33">
        <f>ROUND(MIN(MAX(0,N('Your debts'!$E$10)),F91),2)</f>
      </c>
      <c r="Q91" s="33">
        <f>ROUND(MIN(MAX(0,N('Your debts'!$E$11)),G91),2)</f>
      </c>
      <c r="R91" s="33">
        <f>ROUND(MIN(MAX(0,N('Your debts'!$E$12)),H91),2)</f>
      </c>
      <c r="S91" s="33">
        <f>ROUND(MIN(MAX(0,N('Your debts'!$E$13)),I91),2)</f>
      </c>
      <c r="T91" s="33">
        <f>ROUND(MIN(MAX(0,N('Your debts'!$E$14)),J91),2)</f>
      </c>
      <c r="U91" s="33">
        <f>ROUND(MIN(MAX(0,N('Your debts'!$E$15)),K91),2)</f>
      </c>
      <c r="V91" s="33">
        <f>ROUND(B91-L91,2)</f>
      </c>
      <c r="W91" s="33">
        <f>ROUND(C91-M91,2)</f>
      </c>
      <c r="X91" s="33">
        <f>ROUND(D91-N91,2)</f>
      </c>
      <c r="Y91" s="33">
        <f>ROUND(E91-O91,2)</f>
      </c>
      <c r="Z91" s="33">
        <f>ROUND(F91-P91,2)</f>
      </c>
      <c r="AA91" s="33">
        <f>ROUND(G91-Q91,2)</f>
      </c>
      <c r="AB91" s="33">
        <f>ROUND(H91-R91,2)</f>
      </c>
      <c r="AC91" s="33">
        <f>ROUND(I91-S91,2)</f>
      </c>
      <c r="AD91" s="33">
        <f>ROUND(J91-T91,2)</f>
      </c>
      <c r="AE91" s="33">
        <f>ROUND(K91-U91,2)</f>
      </c>
      <c r="AF91" s="33">
        <f>IF(V91&lt;=0,0,MAX(0,MIN(V91,ROUND($AZ91-SUMPRODUCT($V91:$AE91*($V91:$AE91&gt;0)*(($V$3:$AE$3&gt;V$3)+($V$3:$AE$3=V$3)*($V91:$AE91&lt;V91)+($V$3:$AE$3=V$3)*($V91:$AE91=V91)*($V$2:$AE$2&lt;V$2))),2))))</f>
      </c>
      <c r="AG91" s="33">
        <f>IF(W91&lt;=0,0,MAX(0,MIN(W91,ROUND($AZ91-SUMPRODUCT($V91:$AE91*($V91:$AE91&gt;0)*(($V$3:$AE$3&gt;W$3)+($V$3:$AE$3=W$3)*($V91:$AE91&lt;W91)+($V$3:$AE$3=W$3)*($V91:$AE91=W91)*($V$2:$AE$2&lt;W$2))),2))))</f>
      </c>
      <c r="AH91" s="33">
        <f>IF(X91&lt;=0,0,MAX(0,MIN(X91,ROUND($AZ91-SUMPRODUCT($V91:$AE91*($V91:$AE91&gt;0)*(($V$3:$AE$3&gt;X$3)+($V$3:$AE$3=X$3)*($V91:$AE91&lt;X91)+($V$3:$AE$3=X$3)*($V91:$AE91=X91)*($V$2:$AE$2&lt;X$2))),2))))</f>
      </c>
      <c r="AI91" s="33">
        <f>IF(Y91&lt;=0,0,MAX(0,MIN(Y91,ROUND($AZ91-SUMPRODUCT($V91:$AE91*($V91:$AE91&gt;0)*(($V$3:$AE$3&gt;Y$3)+($V$3:$AE$3=Y$3)*($V91:$AE91&lt;Y91)+($V$3:$AE$3=Y$3)*($V91:$AE91=Y91)*($V$2:$AE$2&lt;Y$2))),2))))</f>
      </c>
      <c r="AJ91" s="33">
        <f>IF(Z91&lt;=0,0,MAX(0,MIN(Z91,ROUND($AZ91-SUMPRODUCT($V91:$AE91*($V91:$AE91&gt;0)*(($V$3:$AE$3&gt;Z$3)+($V$3:$AE$3=Z$3)*($V91:$AE91&lt;Z91)+($V$3:$AE$3=Z$3)*($V91:$AE91=Z91)*($V$2:$AE$2&lt;Z$2))),2))))</f>
      </c>
      <c r="AK91" s="33">
        <f>IF(AA91&lt;=0,0,MAX(0,MIN(AA91,ROUND($AZ91-SUMPRODUCT($V91:$AE91*($V91:$AE91&gt;0)*(($V$3:$AE$3&gt;AA$3)+($V$3:$AE$3=AA$3)*($V91:$AE91&lt;AA91)+($V$3:$AE$3=AA$3)*($V91:$AE91=AA91)*($V$2:$AE$2&lt;AA$2))),2))))</f>
      </c>
      <c r="AL91" s="33">
        <f>IF(AB91&lt;=0,0,MAX(0,MIN(AB91,ROUND($AZ91-SUMPRODUCT($V91:$AE91*($V91:$AE91&gt;0)*(($V$3:$AE$3&gt;AB$3)+($V$3:$AE$3=AB$3)*($V91:$AE91&lt;AB91)+($V$3:$AE$3=AB$3)*($V91:$AE91=AB91)*($V$2:$AE$2&lt;AB$2))),2))))</f>
      </c>
      <c r="AM91" s="33">
        <f>IF(AC91&lt;=0,0,MAX(0,MIN(AC91,ROUND($AZ91-SUMPRODUCT($V91:$AE91*($V91:$AE91&gt;0)*(($V$3:$AE$3&gt;AC$3)+($V$3:$AE$3=AC$3)*($V91:$AE91&lt;AC91)+($V$3:$AE$3=AC$3)*($V91:$AE91=AC91)*($V$2:$AE$2&lt;AC$2))),2))))</f>
      </c>
      <c r="AN91" s="33">
        <f>IF(AD91&lt;=0,0,MAX(0,MIN(AD91,ROUND($AZ91-SUMPRODUCT($V91:$AE91*($V91:$AE91&gt;0)*(($V$3:$AE$3&gt;AD$3)+($V$3:$AE$3=AD$3)*($V91:$AE91&lt;AD91)+($V$3:$AE$3=AD$3)*($V91:$AE91=AD91)*($V$2:$AE$2&lt;AD$2))),2))))</f>
      </c>
      <c r="AO91" s="33">
        <f>IF(AE91&lt;=0,0,MAX(0,MIN(AE91,ROUND($AZ91-SUMPRODUCT($V91:$AE91*($V91:$AE91&gt;0)*(($V$3:$AE$3&gt;AE$3)+($V$3:$AE$3=AE$3)*($V91:$AE91&lt;AE91)+($V$3:$AE$3=AE$3)*($V91:$AE91=AE91)*($V$2:$AE$2&lt;AE$2))),2))))</f>
      </c>
      <c r="AP91" s="33">
        <f>ROUND(V91-AF91,2)</f>
      </c>
      <c r="AQ91" s="33">
        <f>ROUND(W91-AG91,2)</f>
      </c>
      <c r="AR91" s="33">
        <f>ROUND(X91-AH91,2)</f>
      </c>
      <c r="AS91" s="33">
        <f>ROUND(Y91-AI91,2)</f>
      </c>
      <c r="AT91" s="33">
        <f>ROUND(Z91-AJ91,2)</f>
      </c>
      <c r="AU91" s="33">
        <f>ROUND(AA91-AK91,2)</f>
      </c>
      <c r="AV91" s="33">
        <f>ROUND(AB91-AL91,2)</f>
      </c>
      <c r="AW91" s="33">
        <f>ROUND(AC91-AM91,2)</f>
      </c>
      <c r="AX91" s="33">
        <f>ROUND(AD91-AN91,2)</f>
      </c>
      <c r="AY91" s="33">
        <f>ROUND(AE91-AO91,2)</f>
      </c>
      <c r="AZ91" s="33">
        <f>ROUND(MAX(0,'Your debts'!$D$22-SUM($L91:$U91)),2)</f>
      </c>
      <c r="BA91" s="33">
        <f>ROUND(SUM($B91:$K91)-SUM($AP90:$AY90),2)</f>
      </c>
      <c r="BB91" s="33">
        <f>SUM($AP91:$AY91)</f>
      </c>
      <c r="BC91" s="33">
        <f>ROUND(SUM($L91:$U91)+SUM($AF91:$AO91),2)</f>
      </c>
    </row>
    <row r="92" spans="1:55" x14ac:dyDescent="0.25">
      <c r="A92">
        <v>85</v>
      </c>
      <c r="B92" s="33">
        <f>IF(AP91&lt;=0,0,ROUND(AP91+ROUND(AP91*V$3/12,2),2))</f>
      </c>
      <c r="C92" s="33">
        <f>IF(AQ91&lt;=0,0,ROUND(AQ91+ROUND(AQ91*W$3/12,2),2))</f>
      </c>
      <c r="D92" s="33">
        <f>IF(AR91&lt;=0,0,ROUND(AR91+ROUND(AR91*X$3/12,2),2))</f>
      </c>
      <c r="E92" s="33">
        <f>IF(AS91&lt;=0,0,ROUND(AS91+ROUND(AS91*Y$3/12,2),2))</f>
      </c>
      <c r="F92" s="33">
        <f>IF(AT91&lt;=0,0,ROUND(AT91+ROUND(AT91*Z$3/12,2),2))</f>
      </c>
      <c r="G92" s="33">
        <f>IF(AU91&lt;=0,0,ROUND(AU91+ROUND(AU91*AA$3/12,2),2))</f>
      </c>
      <c r="H92" s="33">
        <f>IF(AV91&lt;=0,0,ROUND(AV91+ROUND(AV91*AB$3/12,2),2))</f>
      </c>
      <c r="I92" s="33">
        <f>IF(AW91&lt;=0,0,ROUND(AW91+ROUND(AW91*AC$3/12,2),2))</f>
      </c>
      <c r="J92" s="33">
        <f>IF(AX91&lt;=0,0,ROUND(AX91+ROUND(AX91*AD$3/12,2),2))</f>
      </c>
      <c r="K92" s="33">
        <f>IF(AY91&lt;=0,0,ROUND(AY91+ROUND(AY91*AE$3/12,2),2))</f>
      </c>
      <c r="L92" s="33">
        <f>ROUND(MIN(MAX(0,N('Your debts'!$E$6)),B92),2)</f>
      </c>
      <c r="M92" s="33">
        <f>ROUND(MIN(MAX(0,N('Your debts'!$E$7)),C92),2)</f>
      </c>
      <c r="N92" s="33">
        <f>ROUND(MIN(MAX(0,N('Your debts'!$E$8)),D92),2)</f>
      </c>
      <c r="O92" s="33">
        <f>ROUND(MIN(MAX(0,N('Your debts'!$E$9)),E92),2)</f>
      </c>
      <c r="P92" s="33">
        <f>ROUND(MIN(MAX(0,N('Your debts'!$E$10)),F92),2)</f>
      </c>
      <c r="Q92" s="33">
        <f>ROUND(MIN(MAX(0,N('Your debts'!$E$11)),G92),2)</f>
      </c>
      <c r="R92" s="33">
        <f>ROUND(MIN(MAX(0,N('Your debts'!$E$12)),H92),2)</f>
      </c>
      <c r="S92" s="33">
        <f>ROUND(MIN(MAX(0,N('Your debts'!$E$13)),I92),2)</f>
      </c>
      <c r="T92" s="33">
        <f>ROUND(MIN(MAX(0,N('Your debts'!$E$14)),J92),2)</f>
      </c>
      <c r="U92" s="33">
        <f>ROUND(MIN(MAX(0,N('Your debts'!$E$15)),K92),2)</f>
      </c>
      <c r="V92" s="33">
        <f>ROUND(B92-L92,2)</f>
      </c>
      <c r="W92" s="33">
        <f>ROUND(C92-M92,2)</f>
      </c>
      <c r="X92" s="33">
        <f>ROUND(D92-N92,2)</f>
      </c>
      <c r="Y92" s="33">
        <f>ROUND(E92-O92,2)</f>
      </c>
      <c r="Z92" s="33">
        <f>ROUND(F92-P92,2)</f>
      </c>
      <c r="AA92" s="33">
        <f>ROUND(G92-Q92,2)</f>
      </c>
      <c r="AB92" s="33">
        <f>ROUND(H92-R92,2)</f>
      </c>
      <c r="AC92" s="33">
        <f>ROUND(I92-S92,2)</f>
      </c>
      <c r="AD92" s="33">
        <f>ROUND(J92-T92,2)</f>
      </c>
      <c r="AE92" s="33">
        <f>ROUND(K92-U92,2)</f>
      </c>
      <c r="AF92" s="33">
        <f>IF(V92&lt;=0,0,MAX(0,MIN(V92,ROUND($AZ92-SUMPRODUCT($V92:$AE92*($V92:$AE92&gt;0)*(($V$3:$AE$3&gt;V$3)+($V$3:$AE$3=V$3)*($V92:$AE92&lt;V92)+($V$3:$AE$3=V$3)*($V92:$AE92=V92)*($V$2:$AE$2&lt;V$2))),2))))</f>
      </c>
      <c r="AG92" s="33">
        <f>IF(W92&lt;=0,0,MAX(0,MIN(W92,ROUND($AZ92-SUMPRODUCT($V92:$AE92*($V92:$AE92&gt;0)*(($V$3:$AE$3&gt;W$3)+($V$3:$AE$3=W$3)*($V92:$AE92&lt;W92)+($V$3:$AE$3=W$3)*($V92:$AE92=W92)*($V$2:$AE$2&lt;W$2))),2))))</f>
      </c>
      <c r="AH92" s="33">
        <f>IF(X92&lt;=0,0,MAX(0,MIN(X92,ROUND($AZ92-SUMPRODUCT($V92:$AE92*($V92:$AE92&gt;0)*(($V$3:$AE$3&gt;X$3)+($V$3:$AE$3=X$3)*($V92:$AE92&lt;X92)+($V$3:$AE$3=X$3)*($V92:$AE92=X92)*($V$2:$AE$2&lt;X$2))),2))))</f>
      </c>
      <c r="AI92" s="33">
        <f>IF(Y92&lt;=0,0,MAX(0,MIN(Y92,ROUND($AZ92-SUMPRODUCT($V92:$AE92*($V92:$AE92&gt;0)*(($V$3:$AE$3&gt;Y$3)+($V$3:$AE$3=Y$3)*($V92:$AE92&lt;Y92)+($V$3:$AE$3=Y$3)*($V92:$AE92=Y92)*($V$2:$AE$2&lt;Y$2))),2))))</f>
      </c>
      <c r="AJ92" s="33">
        <f>IF(Z92&lt;=0,0,MAX(0,MIN(Z92,ROUND($AZ92-SUMPRODUCT($V92:$AE92*($V92:$AE92&gt;0)*(($V$3:$AE$3&gt;Z$3)+($V$3:$AE$3=Z$3)*($V92:$AE92&lt;Z92)+($V$3:$AE$3=Z$3)*($V92:$AE92=Z92)*($V$2:$AE$2&lt;Z$2))),2))))</f>
      </c>
      <c r="AK92" s="33">
        <f>IF(AA92&lt;=0,0,MAX(0,MIN(AA92,ROUND($AZ92-SUMPRODUCT($V92:$AE92*($V92:$AE92&gt;0)*(($V$3:$AE$3&gt;AA$3)+($V$3:$AE$3=AA$3)*($V92:$AE92&lt;AA92)+($V$3:$AE$3=AA$3)*($V92:$AE92=AA92)*($V$2:$AE$2&lt;AA$2))),2))))</f>
      </c>
      <c r="AL92" s="33">
        <f>IF(AB92&lt;=0,0,MAX(0,MIN(AB92,ROUND($AZ92-SUMPRODUCT($V92:$AE92*($V92:$AE92&gt;0)*(($V$3:$AE$3&gt;AB$3)+($V$3:$AE$3=AB$3)*($V92:$AE92&lt;AB92)+($V$3:$AE$3=AB$3)*($V92:$AE92=AB92)*($V$2:$AE$2&lt;AB$2))),2))))</f>
      </c>
      <c r="AM92" s="33">
        <f>IF(AC92&lt;=0,0,MAX(0,MIN(AC92,ROUND($AZ92-SUMPRODUCT($V92:$AE92*($V92:$AE92&gt;0)*(($V$3:$AE$3&gt;AC$3)+($V$3:$AE$3=AC$3)*($V92:$AE92&lt;AC92)+($V$3:$AE$3=AC$3)*($V92:$AE92=AC92)*($V$2:$AE$2&lt;AC$2))),2))))</f>
      </c>
      <c r="AN92" s="33">
        <f>IF(AD92&lt;=0,0,MAX(0,MIN(AD92,ROUND($AZ92-SUMPRODUCT($V92:$AE92*($V92:$AE92&gt;0)*(($V$3:$AE$3&gt;AD$3)+($V$3:$AE$3=AD$3)*($V92:$AE92&lt;AD92)+($V$3:$AE$3=AD$3)*($V92:$AE92=AD92)*($V$2:$AE$2&lt;AD$2))),2))))</f>
      </c>
      <c r="AO92" s="33">
        <f>IF(AE92&lt;=0,0,MAX(0,MIN(AE92,ROUND($AZ92-SUMPRODUCT($V92:$AE92*($V92:$AE92&gt;0)*(($V$3:$AE$3&gt;AE$3)+($V$3:$AE$3=AE$3)*($V92:$AE92&lt;AE92)+($V$3:$AE$3=AE$3)*($V92:$AE92=AE92)*($V$2:$AE$2&lt;AE$2))),2))))</f>
      </c>
      <c r="AP92" s="33">
        <f>ROUND(V92-AF92,2)</f>
      </c>
      <c r="AQ92" s="33">
        <f>ROUND(W92-AG92,2)</f>
      </c>
      <c r="AR92" s="33">
        <f>ROUND(X92-AH92,2)</f>
      </c>
      <c r="AS92" s="33">
        <f>ROUND(Y92-AI92,2)</f>
      </c>
      <c r="AT92" s="33">
        <f>ROUND(Z92-AJ92,2)</f>
      </c>
      <c r="AU92" s="33">
        <f>ROUND(AA92-AK92,2)</f>
      </c>
      <c r="AV92" s="33">
        <f>ROUND(AB92-AL92,2)</f>
      </c>
      <c r="AW92" s="33">
        <f>ROUND(AC92-AM92,2)</f>
      </c>
      <c r="AX92" s="33">
        <f>ROUND(AD92-AN92,2)</f>
      </c>
      <c r="AY92" s="33">
        <f>ROUND(AE92-AO92,2)</f>
      </c>
      <c r="AZ92" s="33">
        <f>ROUND(MAX(0,'Your debts'!$D$22-SUM($L92:$U92)),2)</f>
      </c>
      <c r="BA92" s="33">
        <f>ROUND(SUM($B92:$K92)-SUM($AP91:$AY91),2)</f>
      </c>
      <c r="BB92" s="33">
        <f>SUM($AP92:$AY92)</f>
      </c>
      <c r="BC92" s="33">
        <f>ROUND(SUM($L92:$U92)+SUM($AF92:$AO92),2)</f>
      </c>
    </row>
    <row r="93" spans="1:55" x14ac:dyDescent="0.25">
      <c r="A93">
        <v>86</v>
      </c>
      <c r="B93" s="33">
        <f>IF(AP92&lt;=0,0,ROUND(AP92+ROUND(AP92*V$3/12,2),2))</f>
      </c>
      <c r="C93" s="33">
        <f>IF(AQ92&lt;=0,0,ROUND(AQ92+ROUND(AQ92*W$3/12,2),2))</f>
      </c>
      <c r="D93" s="33">
        <f>IF(AR92&lt;=0,0,ROUND(AR92+ROUND(AR92*X$3/12,2),2))</f>
      </c>
      <c r="E93" s="33">
        <f>IF(AS92&lt;=0,0,ROUND(AS92+ROUND(AS92*Y$3/12,2),2))</f>
      </c>
      <c r="F93" s="33">
        <f>IF(AT92&lt;=0,0,ROUND(AT92+ROUND(AT92*Z$3/12,2),2))</f>
      </c>
      <c r="G93" s="33">
        <f>IF(AU92&lt;=0,0,ROUND(AU92+ROUND(AU92*AA$3/12,2),2))</f>
      </c>
      <c r="H93" s="33">
        <f>IF(AV92&lt;=0,0,ROUND(AV92+ROUND(AV92*AB$3/12,2),2))</f>
      </c>
      <c r="I93" s="33">
        <f>IF(AW92&lt;=0,0,ROUND(AW92+ROUND(AW92*AC$3/12,2),2))</f>
      </c>
      <c r="J93" s="33">
        <f>IF(AX92&lt;=0,0,ROUND(AX92+ROUND(AX92*AD$3/12,2),2))</f>
      </c>
      <c r="K93" s="33">
        <f>IF(AY92&lt;=0,0,ROUND(AY92+ROUND(AY92*AE$3/12,2),2))</f>
      </c>
      <c r="L93" s="33">
        <f>ROUND(MIN(MAX(0,N('Your debts'!$E$6)),B93),2)</f>
      </c>
      <c r="M93" s="33">
        <f>ROUND(MIN(MAX(0,N('Your debts'!$E$7)),C93),2)</f>
      </c>
      <c r="N93" s="33">
        <f>ROUND(MIN(MAX(0,N('Your debts'!$E$8)),D93),2)</f>
      </c>
      <c r="O93" s="33">
        <f>ROUND(MIN(MAX(0,N('Your debts'!$E$9)),E93),2)</f>
      </c>
      <c r="P93" s="33">
        <f>ROUND(MIN(MAX(0,N('Your debts'!$E$10)),F93),2)</f>
      </c>
      <c r="Q93" s="33">
        <f>ROUND(MIN(MAX(0,N('Your debts'!$E$11)),G93),2)</f>
      </c>
      <c r="R93" s="33">
        <f>ROUND(MIN(MAX(0,N('Your debts'!$E$12)),H93),2)</f>
      </c>
      <c r="S93" s="33">
        <f>ROUND(MIN(MAX(0,N('Your debts'!$E$13)),I93),2)</f>
      </c>
      <c r="T93" s="33">
        <f>ROUND(MIN(MAX(0,N('Your debts'!$E$14)),J93),2)</f>
      </c>
      <c r="U93" s="33">
        <f>ROUND(MIN(MAX(0,N('Your debts'!$E$15)),K93),2)</f>
      </c>
      <c r="V93" s="33">
        <f>ROUND(B93-L93,2)</f>
      </c>
      <c r="W93" s="33">
        <f>ROUND(C93-M93,2)</f>
      </c>
      <c r="X93" s="33">
        <f>ROUND(D93-N93,2)</f>
      </c>
      <c r="Y93" s="33">
        <f>ROUND(E93-O93,2)</f>
      </c>
      <c r="Z93" s="33">
        <f>ROUND(F93-P93,2)</f>
      </c>
      <c r="AA93" s="33">
        <f>ROUND(G93-Q93,2)</f>
      </c>
      <c r="AB93" s="33">
        <f>ROUND(H93-R93,2)</f>
      </c>
      <c r="AC93" s="33">
        <f>ROUND(I93-S93,2)</f>
      </c>
      <c r="AD93" s="33">
        <f>ROUND(J93-T93,2)</f>
      </c>
      <c r="AE93" s="33">
        <f>ROUND(K93-U93,2)</f>
      </c>
      <c r="AF93" s="33">
        <f>IF(V93&lt;=0,0,MAX(0,MIN(V93,ROUND($AZ93-SUMPRODUCT($V93:$AE93*($V93:$AE93&gt;0)*(($V$3:$AE$3&gt;V$3)+($V$3:$AE$3=V$3)*($V93:$AE93&lt;V93)+($V$3:$AE$3=V$3)*($V93:$AE93=V93)*($V$2:$AE$2&lt;V$2))),2))))</f>
      </c>
      <c r="AG93" s="33">
        <f>IF(W93&lt;=0,0,MAX(0,MIN(W93,ROUND($AZ93-SUMPRODUCT($V93:$AE93*($V93:$AE93&gt;0)*(($V$3:$AE$3&gt;W$3)+($V$3:$AE$3=W$3)*($V93:$AE93&lt;W93)+($V$3:$AE$3=W$3)*($V93:$AE93=W93)*($V$2:$AE$2&lt;W$2))),2))))</f>
      </c>
      <c r="AH93" s="33">
        <f>IF(X93&lt;=0,0,MAX(0,MIN(X93,ROUND($AZ93-SUMPRODUCT($V93:$AE93*($V93:$AE93&gt;0)*(($V$3:$AE$3&gt;X$3)+($V$3:$AE$3=X$3)*($V93:$AE93&lt;X93)+($V$3:$AE$3=X$3)*($V93:$AE93=X93)*($V$2:$AE$2&lt;X$2))),2))))</f>
      </c>
      <c r="AI93" s="33">
        <f>IF(Y93&lt;=0,0,MAX(0,MIN(Y93,ROUND($AZ93-SUMPRODUCT($V93:$AE93*($V93:$AE93&gt;0)*(($V$3:$AE$3&gt;Y$3)+($V$3:$AE$3=Y$3)*($V93:$AE93&lt;Y93)+($V$3:$AE$3=Y$3)*($V93:$AE93=Y93)*($V$2:$AE$2&lt;Y$2))),2))))</f>
      </c>
      <c r="AJ93" s="33">
        <f>IF(Z93&lt;=0,0,MAX(0,MIN(Z93,ROUND($AZ93-SUMPRODUCT($V93:$AE93*($V93:$AE93&gt;0)*(($V$3:$AE$3&gt;Z$3)+($V$3:$AE$3=Z$3)*($V93:$AE93&lt;Z93)+($V$3:$AE$3=Z$3)*($V93:$AE93=Z93)*($V$2:$AE$2&lt;Z$2))),2))))</f>
      </c>
      <c r="AK93" s="33">
        <f>IF(AA93&lt;=0,0,MAX(0,MIN(AA93,ROUND($AZ93-SUMPRODUCT($V93:$AE93*($V93:$AE93&gt;0)*(($V$3:$AE$3&gt;AA$3)+($V$3:$AE$3=AA$3)*($V93:$AE93&lt;AA93)+($V$3:$AE$3=AA$3)*($V93:$AE93=AA93)*($V$2:$AE$2&lt;AA$2))),2))))</f>
      </c>
      <c r="AL93" s="33">
        <f>IF(AB93&lt;=0,0,MAX(0,MIN(AB93,ROUND($AZ93-SUMPRODUCT($V93:$AE93*($V93:$AE93&gt;0)*(($V$3:$AE$3&gt;AB$3)+($V$3:$AE$3=AB$3)*($V93:$AE93&lt;AB93)+($V$3:$AE$3=AB$3)*($V93:$AE93=AB93)*($V$2:$AE$2&lt;AB$2))),2))))</f>
      </c>
      <c r="AM93" s="33">
        <f>IF(AC93&lt;=0,0,MAX(0,MIN(AC93,ROUND($AZ93-SUMPRODUCT($V93:$AE93*($V93:$AE93&gt;0)*(($V$3:$AE$3&gt;AC$3)+($V$3:$AE$3=AC$3)*($V93:$AE93&lt;AC93)+($V$3:$AE$3=AC$3)*($V93:$AE93=AC93)*($V$2:$AE$2&lt;AC$2))),2))))</f>
      </c>
      <c r="AN93" s="33">
        <f>IF(AD93&lt;=0,0,MAX(0,MIN(AD93,ROUND($AZ93-SUMPRODUCT($V93:$AE93*($V93:$AE93&gt;0)*(($V$3:$AE$3&gt;AD$3)+($V$3:$AE$3=AD$3)*($V93:$AE93&lt;AD93)+($V$3:$AE$3=AD$3)*($V93:$AE93=AD93)*($V$2:$AE$2&lt;AD$2))),2))))</f>
      </c>
      <c r="AO93" s="33">
        <f>IF(AE93&lt;=0,0,MAX(0,MIN(AE93,ROUND($AZ93-SUMPRODUCT($V93:$AE93*($V93:$AE93&gt;0)*(($V$3:$AE$3&gt;AE$3)+($V$3:$AE$3=AE$3)*($V93:$AE93&lt;AE93)+($V$3:$AE$3=AE$3)*($V93:$AE93=AE93)*($V$2:$AE$2&lt;AE$2))),2))))</f>
      </c>
      <c r="AP93" s="33">
        <f>ROUND(V93-AF93,2)</f>
      </c>
      <c r="AQ93" s="33">
        <f>ROUND(W93-AG93,2)</f>
      </c>
      <c r="AR93" s="33">
        <f>ROUND(X93-AH93,2)</f>
      </c>
      <c r="AS93" s="33">
        <f>ROUND(Y93-AI93,2)</f>
      </c>
      <c r="AT93" s="33">
        <f>ROUND(Z93-AJ93,2)</f>
      </c>
      <c r="AU93" s="33">
        <f>ROUND(AA93-AK93,2)</f>
      </c>
      <c r="AV93" s="33">
        <f>ROUND(AB93-AL93,2)</f>
      </c>
      <c r="AW93" s="33">
        <f>ROUND(AC93-AM93,2)</f>
      </c>
      <c r="AX93" s="33">
        <f>ROUND(AD93-AN93,2)</f>
      </c>
      <c r="AY93" s="33">
        <f>ROUND(AE93-AO93,2)</f>
      </c>
      <c r="AZ93" s="33">
        <f>ROUND(MAX(0,'Your debts'!$D$22-SUM($L93:$U93)),2)</f>
      </c>
      <c r="BA93" s="33">
        <f>ROUND(SUM($B93:$K93)-SUM($AP92:$AY92),2)</f>
      </c>
      <c r="BB93" s="33">
        <f>SUM($AP93:$AY93)</f>
      </c>
      <c r="BC93" s="33">
        <f>ROUND(SUM($L93:$U93)+SUM($AF93:$AO93),2)</f>
      </c>
    </row>
    <row r="94" spans="1:55" x14ac:dyDescent="0.25">
      <c r="A94">
        <v>87</v>
      </c>
      <c r="B94" s="33">
        <f>IF(AP93&lt;=0,0,ROUND(AP93+ROUND(AP93*V$3/12,2),2))</f>
      </c>
      <c r="C94" s="33">
        <f>IF(AQ93&lt;=0,0,ROUND(AQ93+ROUND(AQ93*W$3/12,2),2))</f>
      </c>
      <c r="D94" s="33">
        <f>IF(AR93&lt;=0,0,ROUND(AR93+ROUND(AR93*X$3/12,2),2))</f>
      </c>
      <c r="E94" s="33">
        <f>IF(AS93&lt;=0,0,ROUND(AS93+ROUND(AS93*Y$3/12,2),2))</f>
      </c>
      <c r="F94" s="33">
        <f>IF(AT93&lt;=0,0,ROUND(AT93+ROUND(AT93*Z$3/12,2),2))</f>
      </c>
      <c r="G94" s="33">
        <f>IF(AU93&lt;=0,0,ROUND(AU93+ROUND(AU93*AA$3/12,2),2))</f>
      </c>
      <c r="H94" s="33">
        <f>IF(AV93&lt;=0,0,ROUND(AV93+ROUND(AV93*AB$3/12,2),2))</f>
      </c>
      <c r="I94" s="33">
        <f>IF(AW93&lt;=0,0,ROUND(AW93+ROUND(AW93*AC$3/12,2),2))</f>
      </c>
      <c r="J94" s="33">
        <f>IF(AX93&lt;=0,0,ROUND(AX93+ROUND(AX93*AD$3/12,2),2))</f>
      </c>
      <c r="K94" s="33">
        <f>IF(AY93&lt;=0,0,ROUND(AY93+ROUND(AY93*AE$3/12,2),2))</f>
      </c>
      <c r="L94" s="33">
        <f>ROUND(MIN(MAX(0,N('Your debts'!$E$6)),B94),2)</f>
      </c>
      <c r="M94" s="33">
        <f>ROUND(MIN(MAX(0,N('Your debts'!$E$7)),C94),2)</f>
      </c>
      <c r="N94" s="33">
        <f>ROUND(MIN(MAX(0,N('Your debts'!$E$8)),D94),2)</f>
      </c>
      <c r="O94" s="33">
        <f>ROUND(MIN(MAX(0,N('Your debts'!$E$9)),E94),2)</f>
      </c>
      <c r="P94" s="33">
        <f>ROUND(MIN(MAX(0,N('Your debts'!$E$10)),F94),2)</f>
      </c>
      <c r="Q94" s="33">
        <f>ROUND(MIN(MAX(0,N('Your debts'!$E$11)),G94),2)</f>
      </c>
      <c r="R94" s="33">
        <f>ROUND(MIN(MAX(0,N('Your debts'!$E$12)),H94),2)</f>
      </c>
      <c r="S94" s="33">
        <f>ROUND(MIN(MAX(0,N('Your debts'!$E$13)),I94),2)</f>
      </c>
      <c r="T94" s="33">
        <f>ROUND(MIN(MAX(0,N('Your debts'!$E$14)),J94),2)</f>
      </c>
      <c r="U94" s="33">
        <f>ROUND(MIN(MAX(0,N('Your debts'!$E$15)),K94),2)</f>
      </c>
      <c r="V94" s="33">
        <f>ROUND(B94-L94,2)</f>
      </c>
      <c r="W94" s="33">
        <f>ROUND(C94-M94,2)</f>
      </c>
      <c r="X94" s="33">
        <f>ROUND(D94-N94,2)</f>
      </c>
      <c r="Y94" s="33">
        <f>ROUND(E94-O94,2)</f>
      </c>
      <c r="Z94" s="33">
        <f>ROUND(F94-P94,2)</f>
      </c>
      <c r="AA94" s="33">
        <f>ROUND(G94-Q94,2)</f>
      </c>
      <c r="AB94" s="33">
        <f>ROUND(H94-R94,2)</f>
      </c>
      <c r="AC94" s="33">
        <f>ROUND(I94-S94,2)</f>
      </c>
      <c r="AD94" s="33">
        <f>ROUND(J94-T94,2)</f>
      </c>
      <c r="AE94" s="33">
        <f>ROUND(K94-U94,2)</f>
      </c>
      <c r="AF94" s="33">
        <f>IF(V94&lt;=0,0,MAX(0,MIN(V94,ROUND($AZ94-SUMPRODUCT($V94:$AE94*($V94:$AE94&gt;0)*(($V$3:$AE$3&gt;V$3)+($V$3:$AE$3=V$3)*($V94:$AE94&lt;V94)+($V$3:$AE$3=V$3)*($V94:$AE94=V94)*($V$2:$AE$2&lt;V$2))),2))))</f>
      </c>
      <c r="AG94" s="33">
        <f>IF(W94&lt;=0,0,MAX(0,MIN(W94,ROUND($AZ94-SUMPRODUCT($V94:$AE94*($V94:$AE94&gt;0)*(($V$3:$AE$3&gt;W$3)+($V$3:$AE$3=W$3)*($V94:$AE94&lt;W94)+($V$3:$AE$3=W$3)*($V94:$AE94=W94)*($V$2:$AE$2&lt;W$2))),2))))</f>
      </c>
      <c r="AH94" s="33">
        <f>IF(X94&lt;=0,0,MAX(0,MIN(X94,ROUND($AZ94-SUMPRODUCT($V94:$AE94*($V94:$AE94&gt;0)*(($V$3:$AE$3&gt;X$3)+($V$3:$AE$3=X$3)*($V94:$AE94&lt;X94)+($V$3:$AE$3=X$3)*($V94:$AE94=X94)*($V$2:$AE$2&lt;X$2))),2))))</f>
      </c>
      <c r="AI94" s="33">
        <f>IF(Y94&lt;=0,0,MAX(0,MIN(Y94,ROUND($AZ94-SUMPRODUCT($V94:$AE94*($V94:$AE94&gt;0)*(($V$3:$AE$3&gt;Y$3)+($V$3:$AE$3=Y$3)*($V94:$AE94&lt;Y94)+($V$3:$AE$3=Y$3)*($V94:$AE94=Y94)*($V$2:$AE$2&lt;Y$2))),2))))</f>
      </c>
      <c r="AJ94" s="33">
        <f>IF(Z94&lt;=0,0,MAX(0,MIN(Z94,ROUND($AZ94-SUMPRODUCT($V94:$AE94*($V94:$AE94&gt;0)*(($V$3:$AE$3&gt;Z$3)+($V$3:$AE$3=Z$3)*($V94:$AE94&lt;Z94)+($V$3:$AE$3=Z$3)*($V94:$AE94=Z94)*($V$2:$AE$2&lt;Z$2))),2))))</f>
      </c>
      <c r="AK94" s="33">
        <f>IF(AA94&lt;=0,0,MAX(0,MIN(AA94,ROUND($AZ94-SUMPRODUCT($V94:$AE94*($V94:$AE94&gt;0)*(($V$3:$AE$3&gt;AA$3)+($V$3:$AE$3=AA$3)*($V94:$AE94&lt;AA94)+($V$3:$AE$3=AA$3)*($V94:$AE94=AA94)*($V$2:$AE$2&lt;AA$2))),2))))</f>
      </c>
      <c r="AL94" s="33">
        <f>IF(AB94&lt;=0,0,MAX(0,MIN(AB94,ROUND($AZ94-SUMPRODUCT($V94:$AE94*($V94:$AE94&gt;0)*(($V$3:$AE$3&gt;AB$3)+($V$3:$AE$3=AB$3)*($V94:$AE94&lt;AB94)+($V$3:$AE$3=AB$3)*($V94:$AE94=AB94)*($V$2:$AE$2&lt;AB$2))),2))))</f>
      </c>
      <c r="AM94" s="33">
        <f>IF(AC94&lt;=0,0,MAX(0,MIN(AC94,ROUND($AZ94-SUMPRODUCT($V94:$AE94*($V94:$AE94&gt;0)*(($V$3:$AE$3&gt;AC$3)+($V$3:$AE$3=AC$3)*($V94:$AE94&lt;AC94)+($V$3:$AE$3=AC$3)*($V94:$AE94=AC94)*($V$2:$AE$2&lt;AC$2))),2))))</f>
      </c>
      <c r="AN94" s="33">
        <f>IF(AD94&lt;=0,0,MAX(0,MIN(AD94,ROUND($AZ94-SUMPRODUCT($V94:$AE94*($V94:$AE94&gt;0)*(($V$3:$AE$3&gt;AD$3)+($V$3:$AE$3=AD$3)*($V94:$AE94&lt;AD94)+($V$3:$AE$3=AD$3)*($V94:$AE94=AD94)*($V$2:$AE$2&lt;AD$2))),2))))</f>
      </c>
      <c r="AO94" s="33">
        <f>IF(AE94&lt;=0,0,MAX(0,MIN(AE94,ROUND($AZ94-SUMPRODUCT($V94:$AE94*($V94:$AE94&gt;0)*(($V$3:$AE$3&gt;AE$3)+($V$3:$AE$3=AE$3)*($V94:$AE94&lt;AE94)+($V$3:$AE$3=AE$3)*($V94:$AE94=AE94)*($V$2:$AE$2&lt;AE$2))),2))))</f>
      </c>
      <c r="AP94" s="33">
        <f>ROUND(V94-AF94,2)</f>
      </c>
      <c r="AQ94" s="33">
        <f>ROUND(W94-AG94,2)</f>
      </c>
      <c r="AR94" s="33">
        <f>ROUND(X94-AH94,2)</f>
      </c>
      <c r="AS94" s="33">
        <f>ROUND(Y94-AI94,2)</f>
      </c>
      <c r="AT94" s="33">
        <f>ROUND(Z94-AJ94,2)</f>
      </c>
      <c r="AU94" s="33">
        <f>ROUND(AA94-AK94,2)</f>
      </c>
      <c r="AV94" s="33">
        <f>ROUND(AB94-AL94,2)</f>
      </c>
      <c r="AW94" s="33">
        <f>ROUND(AC94-AM94,2)</f>
      </c>
      <c r="AX94" s="33">
        <f>ROUND(AD94-AN94,2)</f>
      </c>
      <c r="AY94" s="33">
        <f>ROUND(AE94-AO94,2)</f>
      </c>
      <c r="AZ94" s="33">
        <f>ROUND(MAX(0,'Your debts'!$D$22-SUM($L94:$U94)),2)</f>
      </c>
      <c r="BA94" s="33">
        <f>ROUND(SUM($B94:$K94)-SUM($AP93:$AY93),2)</f>
      </c>
      <c r="BB94" s="33">
        <f>SUM($AP94:$AY94)</f>
      </c>
      <c r="BC94" s="33">
        <f>ROUND(SUM($L94:$U94)+SUM($AF94:$AO94),2)</f>
      </c>
    </row>
    <row r="95" spans="1:55" x14ac:dyDescent="0.25">
      <c r="A95">
        <v>88</v>
      </c>
      <c r="B95" s="33">
        <f>IF(AP94&lt;=0,0,ROUND(AP94+ROUND(AP94*V$3/12,2),2))</f>
      </c>
      <c r="C95" s="33">
        <f>IF(AQ94&lt;=0,0,ROUND(AQ94+ROUND(AQ94*W$3/12,2),2))</f>
      </c>
      <c r="D95" s="33">
        <f>IF(AR94&lt;=0,0,ROUND(AR94+ROUND(AR94*X$3/12,2),2))</f>
      </c>
      <c r="E95" s="33">
        <f>IF(AS94&lt;=0,0,ROUND(AS94+ROUND(AS94*Y$3/12,2),2))</f>
      </c>
      <c r="F95" s="33">
        <f>IF(AT94&lt;=0,0,ROUND(AT94+ROUND(AT94*Z$3/12,2),2))</f>
      </c>
      <c r="G95" s="33">
        <f>IF(AU94&lt;=0,0,ROUND(AU94+ROUND(AU94*AA$3/12,2),2))</f>
      </c>
      <c r="H95" s="33">
        <f>IF(AV94&lt;=0,0,ROUND(AV94+ROUND(AV94*AB$3/12,2),2))</f>
      </c>
      <c r="I95" s="33">
        <f>IF(AW94&lt;=0,0,ROUND(AW94+ROUND(AW94*AC$3/12,2),2))</f>
      </c>
      <c r="J95" s="33">
        <f>IF(AX94&lt;=0,0,ROUND(AX94+ROUND(AX94*AD$3/12,2),2))</f>
      </c>
      <c r="K95" s="33">
        <f>IF(AY94&lt;=0,0,ROUND(AY94+ROUND(AY94*AE$3/12,2),2))</f>
      </c>
      <c r="L95" s="33">
        <f>ROUND(MIN(MAX(0,N('Your debts'!$E$6)),B95),2)</f>
      </c>
      <c r="M95" s="33">
        <f>ROUND(MIN(MAX(0,N('Your debts'!$E$7)),C95),2)</f>
      </c>
      <c r="N95" s="33">
        <f>ROUND(MIN(MAX(0,N('Your debts'!$E$8)),D95),2)</f>
      </c>
      <c r="O95" s="33">
        <f>ROUND(MIN(MAX(0,N('Your debts'!$E$9)),E95),2)</f>
      </c>
      <c r="P95" s="33">
        <f>ROUND(MIN(MAX(0,N('Your debts'!$E$10)),F95),2)</f>
      </c>
      <c r="Q95" s="33">
        <f>ROUND(MIN(MAX(0,N('Your debts'!$E$11)),G95),2)</f>
      </c>
      <c r="R95" s="33">
        <f>ROUND(MIN(MAX(0,N('Your debts'!$E$12)),H95),2)</f>
      </c>
      <c r="S95" s="33">
        <f>ROUND(MIN(MAX(0,N('Your debts'!$E$13)),I95),2)</f>
      </c>
      <c r="T95" s="33">
        <f>ROUND(MIN(MAX(0,N('Your debts'!$E$14)),J95),2)</f>
      </c>
      <c r="U95" s="33">
        <f>ROUND(MIN(MAX(0,N('Your debts'!$E$15)),K95),2)</f>
      </c>
      <c r="V95" s="33">
        <f>ROUND(B95-L95,2)</f>
      </c>
      <c r="W95" s="33">
        <f>ROUND(C95-M95,2)</f>
      </c>
      <c r="X95" s="33">
        <f>ROUND(D95-N95,2)</f>
      </c>
      <c r="Y95" s="33">
        <f>ROUND(E95-O95,2)</f>
      </c>
      <c r="Z95" s="33">
        <f>ROUND(F95-P95,2)</f>
      </c>
      <c r="AA95" s="33">
        <f>ROUND(G95-Q95,2)</f>
      </c>
      <c r="AB95" s="33">
        <f>ROUND(H95-R95,2)</f>
      </c>
      <c r="AC95" s="33">
        <f>ROUND(I95-S95,2)</f>
      </c>
      <c r="AD95" s="33">
        <f>ROUND(J95-T95,2)</f>
      </c>
      <c r="AE95" s="33">
        <f>ROUND(K95-U95,2)</f>
      </c>
      <c r="AF95" s="33">
        <f>IF(V95&lt;=0,0,MAX(0,MIN(V95,ROUND($AZ95-SUMPRODUCT($V95:$AE95*($V95:$AE95&gt;0)*(($V$3:$AE$3&gt;V$3)+($V$3:$AE$3=V$3)*($V95:$AE95&lt;V95)+($V$3:$AE$3=V$3)*($V95:$AE95=V95)*($V$2:$AE$2&lt;V$2))),2))))</f>
      </c>
      <c r="AG95" s="33">
        <f>IF(W95&lt;=0,0,MAX(0,MIN(W95,ROUND($AZ95-SUMPRODUCT($V95:$AE95*($V95:$AE95&gt;0)*(($V$3:$AE$3&gt;W$3)+($V$3:$AE$3=W$3)*($V95:$AE95&lt;W95)+($V$3:$AE$3=W$3)*($V95:$AE95=W95)*($V$2:$AE$2&lt;W$2))),2))))</f>
      </c>
      <c r="AH95" s="33">
        <f>IF(X95&lt;=0,0,MAX(0,MIN(X95,ROUND($AZ95-SUMPRODUCT($V95:$AE95*($V95:$AE95&gt;0)*(($V$3:$AE$3&gt;X$3)+($V$3:$AE$3=X$3)*($V95:$AE95&lt;X95)+($V$3:$AE$3=X$3)*($V95:$AE95=X95)*($V$2:$AE$2&lt;X$2))),2))))</f>
      </c>
      <c r="AI95" s="33">
        <f>IF(Y95&lt;=0,0,MAX(0,MIN(Y95,ROUND($AZ95-SUMPRODUCT($V95:$AE95*($V95:$AE95&gt;0)*(($V$3:$AE$3&gt;Y$3)+($V$3:$AE$3=Y$3)*($V95:$AE95&lt;Y95)+($V$3:$AE$3=Y$3)*($V95:$AE95=Y95)*($V$2:$AE$2&lt;Y$2))),2))))</f>
      </c>
      <c r="AJ95" s="33">
        <f>IF(Z95&lt;=0,0,MAX(0,MIN(Z95,ROUND($AZ95-SUMPRODUCT($V95:$AE95*($V95:$AE95&gt;0)*(($V$3:$AE$3&gt;Z$3)+($V$3:$AE$3=Z$3)*($V95:$AE95&lt;Z95)+($V$3:$AE$3=Z$3)*($V95:$AE95=Z95)*($V$2:$AE$2&lt;Z$2))),2))))</f>
      </c>
      <c r="AK95" s="33">
        <f>IF(AA95&lt;=0,0,MAX(0,MIN(AA95,ROUND($AZ95-SUMPRODUCT($V95:$AE95*($V95:$AE95&gt;0)*(($V$3:$AE$3&gt;AA$3)+($V$3:$AE$3=AA$3)*($V95:$AE95&lt;AA95)+($V$3:$AE$3=AA$3)*($V95:$AE95=AA95)*($V$2:$AE$2&lt;AA$2))),2))))</f>
      </c>
      <c r="AL95" s="33">
        <f>IF(AB95&lt;=0,0,MAX(0,MIN(AB95,ROUND($AZ95-SUMPRODUCT($V95:$AE95*($V95:$AE95&gt;0)*(($V$3:$AE$3&gt;AB$3)+($V$3:$AE$3=AB$3)*($V95:$AE95&lt;AB95)+($V$3:$AE$3=AB$3)*($V95:$AE95=AB95)*($V$2:$AE$2&lt;AB$2))),2))))</f>
      </c>
      <c r="AM95" s="33">
        <f>IF(AC95&lt;=0,0,MAX(0,MIN(AC95,ROUND($AZ95-SUMPRODUCT($V95:$AE95*($V95:$AE95&gt;0)*(($V$3:$AE$3&gt;AC$3)+($V$3:$AE$3=AC$3)*($V95:$AE95&lt;AC95)+($V$3:$AE$3=AC$3)*($V95:$AE95=AC95)*($V$2:$AE$2&lt;AC$2))),2))))</f>
      </c>
      <c r="AN95" s="33">
        <f>IF(AD95&lt;=0,0,MAX(0,MIN(AD95,ROUND($AZ95-SUMPRODUCT($V95:$AE95*($V95:$AE95&gt;0)*(($V$3:$AE$3&gt;AD$3)+($V$3:$AE$3=AD$3)*($V95:$AE95&lt;AD95)+($V$3:$AE$3=AD$3)*($V95:$AE95=AD95)*($V$2:$AE$2&lt;AD$2))),2))))</f>
      </c>
      <c r="AO95" s="33">
        <f>IF(AE95&lt;=0,0,MAX(0,MIN(AE95,ROUND($AZ95-SUMPRODUCT($V95:$AE95*($V95:$AE95&gt;0)*(($V$3:$AE$3&gt;AE$3)+($V$3:$AE$3=AE$3)*($V95:$AE95&lt;AE95)+($V$3:$AE$3=AE$3)*($V95:$AE95=AE95)*($V$2:$AE$2&lt;AE$2))),2))))</f>
      </c>
      <c r="AP95" s="33">
        <f>ROUND(V95-AF95,2)</f>
      </c>
      <c r="AQ95" s="33">
        <f>ROUND(W95-AG95,2)</f>
      </c>
      <c r="AR95" s="33">
        <f>ROUND(X95-AH95,2)</f>
      </c>
      <c r="AS95" s="33">
        <f>ROUND(Y95-AI95,2)</f>
      </c>
      <c r="AT95" s="33">
        <f>ROUND(Z95-AJ95,2)</f>
      </c>
      <c r="AU95" s="33">
        <f>ROUND(AA95-AK95,2)</f>
      </c>
      <c r="AV95" s="33">
        <f>ROUND(AB95-AL95,2)</f>
      </c>
      <c r="AW95" s="33">
        <f>ROUND(AC95-AM95,2)</f>
      </c>
      <c r="AX95" s="33">
        <f>ROUND(AD95-AN95,2)</f>
      </c>
      <c r="AY95" s="33">
        <f>ROUND(AE95-AO95,2)</f>
      </c>
      <c r="AZ95" s="33">
        <f>ROUND(MAX(0,'Your debts'!$D$22-SUM($L95:$U95)),2)</f>
      </c>
      <c r="BA95" s="33">
        <f>ROUND(SUM($B95:$K95)-SUM($AP94:$AY94),2)</f>
      </c>
      <c r="BB95" s="33">
        <f>SUM($AP95:$AY95)</f>
      </c>
      <c r="BC95" s="33">
        <f>ROUND(SUM($L95:$U95)+SUM($AF95:$AO95),2)</f>
      </c>
    </row>
    <row r="96" spans="1:55" x14ac:dyDescent="0.25">
      <c r="A96">
        <v>89</v>
      </c>
      <c r="B96" s="33">
        <f>IF(AP95&lt;=0,0,ROUND(AP95+ROUND(AP95*V$3/12,2),2))</f>
      </c>
      <c r="C96" s="33">
        <f>IF(AQ95&lt;=0,0,ROUND(AQ95+ROUND(AQ95*W$3/12,2),2))</f>
      </c>
      <c r="D96" s="33">
        <f>IF(AR95&lt;=0,0,ROUND(AR95+ROUND(AR95*X$3/12,2),2))</f>
      </c>
      <c r="E96" s="33">
        <f>IF(AS95&lt;=0,0,ROUND(AS95+ROUND(AS95*Y$3/12,2),2))</f>
      </c>
      <c r="F96" s="33">
        <f>IF(AT95&lt;=0,0,ROUND(AT95+ROUND(AT95*Z$3/12,2),2))</f>
      </c>
      <c r="G96" s="33">
        <f>IF(AU95&lt;=0,0,ROUND(AU95+ROUND(AU95*AA$3/12,2),2))</f>
      </c>
      <c r="H96" s="33">
        <f>IF(AV95&lt;=0,0,ROUND(AV95+ROUND(AV95*AB$3/12,2),2))</f>
      </c>
      <c r="I96" s="33">
        <f>IF(AW95&lt;=0,0,ROUND(AW95+ROUND(AW95*AC$3/12,2),2))</f>
      </c>
      <c r="J96" s="33">
        <f>IF(AX95&lt;=0,0,ROUND(AX95+ROUND(AX95*AD$3/12,2),2))</f>
      </c>
      <c r="K96" s="33">
        <f>IF(AY95&lt;=0,0,ROUND(AY95+ROUND(AY95*AE$3/12,2),2))</f>
      </c>
      <c r="L96" s="33">
        <f>ROUND(MIN(MAX(0,N('Your debts'!$E$6)),B96),2)</f>
      </c>
      <c r="M96" s="33">
        <f>ROUND(MIN(MAX(0,N('Your debts'!$E$7)),C96),2)</f>
      </c>
      <c r="N96" s="33">
        <f>ROUND(MIN(MAX(0,N('Your debts'!$E$8)),D96),2)</f>
      </c>
      <c r="O96" s="33">
        <f>ROUND(MIN(MAX(0,N('Your debts'!$E$9)),E96),2)</f>
      </c>
      <c r="P96" s="33">
        <f>ROUND(MIN(MAX(0,N('Your debts'!$E$10)),F96),2)</f>
      </c>
      <c r="Q96" s="33">
        <f>ROUND(MIN(MAX(0,N('Your debts'!$E$11)),G96),2)</f>
      </c>
      <c r="R96" s="33">
        <f>ROUND(MIN(MAX(0,N('Your debts'!$E$12)),H96),2)</f>
      </c>
      <c r="S96" s="33">
        <f>ROUND(MIN(MAX(0,N('Your debts'!$E$13)),I96),2)</f>
      </c>
      <c r="T96" s="33">
        <f>ROUND(MIN(MAX(0,N('Your debts'!$E$14)),J96),2)</f>
      </c>
      <c r="U96" s="33">
        <f>ROUND(MIN(MAX(0,N('Your debts'!$E$15)),K96),2)</f>
      </c>
      <c r="V96" s="33">
        <f>ROUND(B96-L96,2)</f>
      </c>
      <c r="W96" s="33">
        <f>ROUND(C96-M96,2)</f>
      </c>
      <c r="X96" s="33">
        <f>ROUND(D96-N96,2)</f>
      </c>
      <c r="Y96" s="33">
        <f>ROUND(E96-O96,2)</f>
      </c>
      <c r="Z96" s="33">
        <f>ROUND(F96-P96,2)</f>
      </c>
      <c r="AA96" s="33">
        <f>ROUND(G96-Q96,2)</f>
      </c>
      <c r="AB96" s="33">
        <f>ROUND(H96-R96,2)</f>
      </c>
      <c r="AC96" s="33">
        <f>ROUND(I96-S96,2)</f>
      </c>
      <c r="AD96" s="33">
        <f>ROUND(J96-T96,2)</f>
      </c>
      <c r="AE96" s="33">
        <f>ROUND(K96-U96,2)</f>
      </c>
      <c r="AF96" s="33">
        <f>IF(V96&lt;=0,0,MAX(0,MIN(V96,ROUND($AZ96-SUMPRODUCT($V96:$AE96*($V96:$AE96&gt;0)*(($V$3:$AE$3&gt;V$3)+($V$3:$AE$3=V$3)*($V96:$AE96&lt;V96)+($V$3:$AE$3=V$3)*($V96:$AE96=V96)*($V$2:$AE$2&lt;V$2))),2))))</f>
      </c>
      <c r="AG96" s="33">
        <f>IF(W96&lt;=0,0,MAX(0,MIN(W96,ROUND($AZ96-SUMPRODUCT($V96:$AE96*($V96:$AE96&gt;0)*(($V$3:$AE$3&gt;W$3)+($V$3:$AE$3=W$3)*($V96:$AE96&lt;W96)+($V$3:$AE$3=W$3)*($V96:$AE96=W96)*($V$2:$AE$2&lt;W$2))),2))))</f>
      </c>
      <c r="AH96" s="33">
        <f>IF(X96&lt;=0,0,MAX(0,MIN(X96,ROUND($AZ96-SUMPRODUCT($V96:$AE96*($V96:$AE96&gt;0)*(($V$3:$AE$3&gt;X$3)+($V$3:$AE$3=X$3)*($V96:$AE96&lt;X96)+($V$3:$AE$3=X$3)*($V96:$AE96=X96)*($V$2:$AE$2&lt;X$2))),2))))</f>
      </c>
      <c r="AI96" s="33">
        <f>IF(Y96&lt;=0,0,MAX(0,MIN(Y96,ROUND($AZ96-SUMPRODUCT($V96:$AE96*($V96:$AE96&gt;0)*(($V$3:$AE$3&gt;Y$3)+($V$3:$AE$3=Y$3)*($V96:$AE96&lt;Y96)+($V$3:$AE$3=Y$3)*($V96:$AE96=Y96)*($V$2:$AE$2&lt;Y$2))),2))))</f>
      </c>
      <c r="AJ96" s="33">
        <f>IF(Z96&lt;=0,0,MAX(0,MIN(Z96,ROUND($AZ96-SUMPRODUCT($V96:$AE96*($V96:$AE96&gt;0)*(($V$3:$AE$3&gt;Z$3)+($V$3:$AE$3=Z$3)*($V96:$AE96&lt;Z96)+($V$3:$AE$3=Z$3)*($V96:$AE96=Z96)*($V$2:$AE$2&lt;Z$2))),2))))</f>
      </c>
      <c r="AK96" s="33">
        <f>IF(AA96&lt;=0,0,MAX(0,MIN(AA96,ROUND($AZ96-SUMPRODUCT($V96:$AE96*($V96:$AE96&gt;0)*(($V$3:$AE$3&gt;AA$3)+($V$3:$AE$3=AA$3)*($V96:$AE96&lt;AA96)+($V$3:$AE$3=AA$3)*($V96:$AE96=AA96)*($V$2:$AE$2&lt;AA$2))),2))))</f>
      </c>
      <c r="AL96" s="33">
        <f>IF(AB96&lt;=0,0,MAX(0,MIN(AB96,ROUND($AZ96-SUMPRODUCT($V96:$AE96*($V96:$AE96&gt;0)*(($V$3:$AE$3&gt;AB$3)+($V$3:$AE$3=AB$3)*($V96:$AE96&lt;AB96)+($V$3:$AE$3=AB$3)*($V96:$AE96=AB96)*($V$2:$AE$2&lt;AB$2))),2))))</f>
      </c>
      <c r="AM96" s="33">
        <f>IF(AC96&lt;=0,0,MAX(0,MIN(AC96,ROUND($AZ96-SUMPRODUCT($V96:$AE96*($V96:$AE96&gt;0)*(($V$3:$AE$3&gt;AC$3)+($V$3:$AE$3=AC$3)*($V96:$AE96&lt;AC96)+($V$3:$AE$3=AC$3)*($V96:$AE96=AC96)*($V$2:$AE$2&lt;AC$2))),2))))</f>
      </c>
      <c r="AN96" s="33">
        <f>IF(AD96&lt;=0,0,MAX(0,MIN(AD96,ROUND($AZ96-SUMPRODUCT($V96:$AE96*($V96:$AE96&gt;0)*(($V$3:$AE$3&gt;AD$3)+($V$3:$AE$3=AD$3)*($V96:$AE96&lt;AD96)+($V$3:$AE$3=AD$3)*($V96:$AE96=AD96)*($V$2:$AE$2&lt;AD$2))),2))))</f>
      </c>
      <c r="AO96" s="33">
        <f>IF(AE96&lt;=0,0,MAX(0,MIN(AE96,ROUND($AZ96-SUMPRODUCT($V96:$AE96*($V96:$AE96&gt;0)*(($V$3:$AE$3&gt;AE$3)+($V$3:$AE$3=AE$3)*($V96:$AE96&lt;AE96)+($V$3:$AE$3=AE$3)*($V96:$AE96=AE96)*($V$2:$AE$2&lt;AE$2))),2))))</f>
      </c>
      <c r="AP96" s="33">
        <f>ROUND(V96-AF96,2)</f>
      </c>
      <c r="AQ96" s="33">
        <f>ROUND(W96-AG96,2)</f>
      </c>
      <c r="AR96" s="33">
        <f>ROUND(X96-AH96,2)</f>
      </c>
      <c r="AS96" s="33">
        <f>ROUND(Y96-AI96,2)</f>
      </c>
      <c r="AT96" s="33">
        <f>ROUND(Z96-AJ96,2)</f>
      </c>
      <c r="AU96" s="33">
        <f>ROUND(AA96-AK96,2)</f>
      </c>
      <c r="AV96" s="33">
        <f>ROUND(AB96-AL96,2)</f>
      </c>
      <c r="AW96" s="33">
        <f>ROUND(AC96-AM96,2)</f>
      </c>
      <c r="AX96" s="33">
        <f>ROUND(AD96-AN96,2)</f>
      </c>
      <c r="AY96" s="33">
        <f>ROUND(AE96-AO96,2)</f>
      </c>
      <c r="AZ96" s="33">
        <f>ROUND(MAX(0,'Your debts'!$D$22-SUM($L96:$U96)),2)</f>
      </c>
      <c r="BA96" s="33">
        <f>ROUND(SUM($B96:$K96)-SUM($AP95:$AY95),2)</f>
      </c>
      <c r="BB96" s="33">
        <f>SUM($AP96:$AY96)</f>
      </c>
      <c r="BC96" s="33">
        <f>ROUND(SUM($L96:$U96)+SUM($AF96:$AO96),2)</f>
      </c>
    </row>
    <row r="97" spans="1:55" x14ac:dyDescent="0.25">
      <c r="A97">
        <v>90</v>
      </c>
      <c r="B97" s="33">
        <f>IF(AP96&lt;=0,0,ROUND(AP96+ROUND(AP96*V$3/12,2),2))</f>
      </c>
      <c r="C97" s="33">
        <f>IF(AQ96&lt;=0,0,ROUND(AQ96+ROUND(AQ96*W$3/12,2),2))</f>
      </c>
      <c r="D97" s="33">
        <f>IF(AR96&lt;=0,0,ROUND(AR96+ROUND(AR96*X$3/12,2),2))</f>
      </c>
      <c r="E97" s="33">
        <f>IF(AS96&lt;=0,0,ROUND(AS96+ROUND(AS96*Y$3/12,2),2))</f>
      </c>
      <c r="F97" s="33">
        <f>IF(AT96&lt;=0,0,ROUND(AT96+ROUND(AT96*Z$3/12,2),2))</f>
      </c>
      <c r="G97" s="33">
        <f>IF(AU96&lt;=0,0,ROUND(AU96+ROUND(AU96*AA$3/12,2),2))</f>
      </c>
      <c r="H97" s="33">
        <f>IF(AV96&lt;=0,0,ROUND(AV96+ROUND(AV96*AB$3/12,2),2))</f>
      </c>
      <c r="I97" s="33">
        <f>IF(AW96&lt;=0,0,ROUND(AW96+ROUND(AW96*AC$3/12,2),2))</f>
      </c>
      <c r="J97" s="33">
        <f>IF(AX96&lt;=0,0,ROUND(AX96+ROUND(AX96*AD$3/12,2),2))</f>
      </c>
      <c r="K97" s="33">
        <f>IF(AY96&lt;=0,0,ROUND(AY96+ROUND(AY96*AE$3/12,2),2))</f>
      </c>
      <c r="L97" s="33">
        <f>ROUND(MIN(MAX(0,N('Your debts'!$E$6)),B97),2)</f>
      </c>
      <c r="M97" s="33">
        <f>ROUND(MIN(MAX(0,N('Your debts'!$E$7)),C97),2)</f>
      </c>
      <c r="N97" s="33">
        <f>ROUND(MIN(MAX(0,N('Your debts'!$E$8)),D97),2)</f>
      </c>
      <c r="O97" s="33">
        <f>ROUND(MIN(MAX(0,N('Your debts'!$E$9)),E97),2)</f>
      </c>
      <c r="P97" s="33">
        <f>ROUND(MIN(MAX(0,N('Your debts'!$E$10)),F97),2)</f>
      </c>
      <c r="Q97" s="33">
        <f>ROUND(MIN(MAX(0,N('Your debts'!$E$11)),G97),2)</f>
      </c>
      <c r="R97" s="33">
        <f>ROUND(MIN(MAX(0,N('Your debts'!$E$12)),H97),2)</f>
      </c>
      <c r="S97" s="33">
        <f>ROUND(MIN(MAX(0,N('Your debts'!$E$13)),I97),2)</f>
      </c>
      <c r="T97" s="33">
        <f>ROUND(MIN(MAX(0,N('Your debts'!$E$14)),J97),2)</f>
      </c>
      <c r="U97" s="33">
        <f>ROUND(MIN(MAX(0,N('Your debts'!$E$15)),K97),2)</f>
      </c>
      <c r="V97" s="33">
        <f>ROUND(B97-L97,2)</f>
      </c>
      <c r="W97" s="33">
        <f>ROUND(C97-M97,2)</f>
      </c>
      <c r="X97" s="33">
        <f>ROUND(D97-N97,2)</f>
      </c>
      <c r="Y97" s="33">
        <f>ROUND(E97-O97,2)</f>
      </c>
      <c r="Z97" s="33">
        <f>ROUND(F97-P97,2)</f>
      </c>
      <c r="AA97" s="33">
        <f>ROUND(G97-Q97,2)</f>
      </c>
      <c r="AB97" s="33">
        <f>ROUND(H97-R97,2)</f>
      </c>
      <c r="AC97" s="33">
        <f>ROUND(I97-S97,2)</f>
      </c>
      <c r="AD97" s="33">
        <f>ROUND(J97-T97,2)</f>
      </c>
      <c r="AE97" s="33">
        <f>ROUND(K97-U97,2)</f>
      </c>
      <c r="AF97" s="33">
        <f>IF(V97&lt;=0,0,MAX(0,MIN(V97,ROUND($AZ97-SUMPRODUCT($V97:$AE97*($V97:$AE97&gt;0)*(($V$3:$AE$3&gt;V$3)+($V$3:$AE$3=V$3)*($V97:$AE97&lt;V97)+($V$3:$AE$3=V$3)*($V97:$AE97=V97)*($V$2:$AE$2&lt;V$2))),2))))</f>
      </c>
      <c r="AG97" s="33">
        <f>IF(W97&lt;=0,0,MAX(0,MIN(W97,ROUND($AZ97-SUMPRODUCT($V97:$AE97*($V97:$AE97&gt;0)*(($V$3:$AE$3&gt;W$3)+($V$3:$AE$3=W$3)*($V97:$AE97&lt;W97)+($V$3:$AE$3=W$3)*($V97:$AE97=W97)*($V$2:$AE$2&lt;W$2))),2))))</f>
      </c>
      <c r="AH97" s="33">
        <f>IF(X97&lt;=0,0,MAX(0,MIN(X97,ROUND($AZ97-SUMPRODUCT($V97:$AE97*($V97:$AE97&gt;0)*(($V$3:$AE$3&gt;X$3)+($V$3:$AE$3=X$3)*($V97:$AE97&lt;X97)+($V$3:$AE$3=X$3)*($V97:$AE97=X97)*($V$2:$AE$2&lt;X$2))),2))))</f>
      </c>
      <c r="AI97" s="33">
        <f>IF(Y97&lt;=0,0,MAX(0,MIN(Y97,ROUND($AZ97-SUMPRODUCT($V97:$AE97*($V97:$AE97&gt;0)*(($V$3:$AE$3&gt;Y$3)+($V$3:$AE$3=Y$3)*($V97:$AE97&lt;Y97)+($V$3:$AE$3=Y$3)*($V97:$AE97=Y97)*($V$2:$AE$2&lt;Y$2))),2))))</f>
      </c>
      <c r="AJ97" s="33">
        <f>IF(Z97&lt;=0,0,MAX(0,MIN(Z97,ROUND($AZ97-SUMPRODUCT($V97:$AE97*($V97:$AE97&gt;0)*(($V$3:$AE$3&gt;Z$3)+($V$3:$AE$3=Z$3)*($V97:$AE97&lt;Z97)+($V$3:$AE$3=Z$3)*($V97:$AE97=Z97)*($V$2:$AE$2&lt;Z$2))),2))))</f>
      </c>
      <c r="AK97" s="33">
        <f>IF(AA97&lt;=0,0,MAX(0,MIN(AA97,ROUND($AZ97-SUMPRODUCT($V97:$AE97*($V97:$AE97&gt;0)*(($V$3:$AE$3&gt;AA$3)+($V$3:$AE$3=AA$3)*($V97:$AE97&lt;AA97)+($V$3:$AE$3=AA$3)*($V97:$AE97=AA97)*($V$2:$AE$2&lt;AA$2))),2))))</f>
      </c>
      <c r="AL97" s="33">
        <f>IF(AB97&lt;=0,0,MAX(0,MIN(AB97,ROUND($AZ97-SUMPRODUCT($V97:$AE97*($V97:$AE97&gt;0)*(($V$3:$AE$3&gt;AB$3)+($V$3:$AE$3=AB$3)*($V97:$AE97&lt;AB97)+($V$3:$AE$3=AB$3)*($V97:$AE97=AB97)*($V$2:$AE$2&lt;AB$2))),2))))</f>
      </c>
      <c r="AM97" s="33">
        <f>IF(AC97&lt;=0,0,MAX(0,MIN(AC97,ROUND($AZ97-SUMPRODUCT($V97:$AE97*($V97:$AE97&gt;0)*(($V$3:$AE$3&gt;AC$3)+($V$3:$AE$3=AC$3)*($V97:$AE97&lt;AC97)+($V$3:$AE$3=AC$3)*($V97:$AE97=AC97)*($V$2:$AE$2&lt;AC$2))),2))))</f>
      </c>
      <c r="AN97" s="33">
        <f>IF(AD97&lt;=0,0,MAX(0,MIN(AD97,ROUND($AZ97-SUMPRODUCT($V97:$AE97*($V97:$AE97&gt;0)*(($V$3:$AE$3&gt;AD$3)+($V$3:$AE$3=AD$3)*($V97:$AE97&lt;AD97)+($V$3:$AE$3=AD$3)*($V97:$AE97=AD97)*($V$2:$AE$2&lt;AD$2))),2))))</f>
      </c>
      <c r="AO97" s="33">
        <f>IF(AE97&lt;=0,0,MAX(0,MIN(AE97,ROUND($AZ97-SUMPRODUCT($V97:$AE97*($V97:$AE97&gt;0)*(($V$3:$AE$3&gt;AE$3)+($V$3:$AE$3=AE$3)*($V97:$AE97&lt;AE97)+($V$3:$AE$3=AE$3)*($V97:$AE97=AE97)*($V$2:$AE$2&lt;AE$2))),2))))</f>
      </c>
      <c r="AP97" s="33">
        <f>ROUND(V97-AF97,2)</f>
      </c>
      <c r="AQ97" s="33">
        <f>ROUND(W97-AG97,2)</f>
      </c>
      <c r="AR97" s="33">
        <f>ROUND(X97-AH97,2)</f>
      </c>
      <c r="AS97" s="33">
        <f>ROUND(Y97-AI97,2)</f>
      </c>
      <c r="AT97" s="33">
        <f>ROUND(Z97-AJ97,2)</f>
      </c>
      <c r="AU97" s="33">
        <f>ROUND(AA97-AK97,2)</f>
      </c>
      <c r="AV97" s="33">
        <f>ROUND(AB97-AL97,2)</f>
      </c>
      <c r="AW97" s="33">
        <f>ROUND(AC97-AM97,2)</f>
      </c>
      <c r="AX97" s="33">
        <f>ROUND(AD97-AN97,2)</f>
      </c>
      <c r="AY97" s="33">
        <f>ROUND(AE97-AO97,2)</f>
      </c>
      <c r="AZ97" s="33">
        <f>ROUND(MAX(0,'Your debts'!$D$22-SUM($L97:$U97)),2)</f>
      </c>
      <c r="BA97" s="33">
        <f>ROUND(SUM($B97:$K97)-SUM($AP96:$AY96),2)</f>
      </c>
      <c r="BB97" s="33">
        <f>SUM($AP97:$AY97)</f>
      </c>
      <c r="BC97" s="33">
        <f>ROUND(SUM($L97:$U97)+SUM($AF97:$AO97),2)</f>
      </c>
    </row>
    <row r="98" spans="1:55" x14ac:dyDescent="0.25">
      <c r="A98">
        <v>91</v>
      </c>
      <c r="B98" s="33">
        <f>IF(AP97&lt;=0,0,ROUND(AP97+ROUND(AP97*V$3/12,2),2))</f>
      </c>
      <c r="C98" s="33">
        <f>IF(AQ97&lt;=0,0,ROUND(AQ97+ROUND(AQ97*W$3/12,2),2))</f>
      </c>
      <c r="D98" s="33">
        <f>IF(AR97&lt;=0,0,ROUND(AR97+ROUND(AR97*X$3/12,2),2))</f>
      </c>
      <c r="E98" s="33">
        <f>IF(AS97&lt;=0,0,ROUND(AS97+ROUND(AS97*Y$3/12,2),2))</f>
      </c>
      <c r="F98" s="33">
        <f>IF(AT97&lt;=0,0,ROUND(AT97+ROUND(AT97*Z$3/12,2),2))</f>
      </c>
      <c r="G98" s="33">
        <f>IF(AU97&lt;=0,0,ROUND(AU97+ROUND(AU97*AA$3/12,2),2))</f>
      </c>
      <c r="H98" s="33">
        <f>IF(AV97&lt;=0,0,ROUND(AV97+ROUND(AV97*AB$3/12,2),2))</f>
      </c>
      <c r="I98" s="33">
        <f>IF(AW97&lt;=0,0,ROUND(AW97+ROUND(AW97*AC$3/12,2),2))</f>
      </c>
      <c r="J98" s="33">
        <f>IF(AX97&lt;=0,0,ROUND(AX97+ROUND(AX97*AD$3/12,2),2))</f>
      </c>
      <c r="K98" s="33">
        <f>IF(AY97&lt;=0,0,ROUND(AY97+ROUND(AY97*AE$3/12,2),2))</f>
      </c>
      <c r="L98" s="33">
        <f>ROUND(MIN(MAX(0,N('Your debts'!$E$6)),B98),2)</f>
      </c>
      <c r="M98" s="33">
        <f>ROUND(MIN(MAX(0,N('Your debts'!$E$7)),C98),2)</f>
      </c>
      <c r="N98" s="33">
        <f>ROUND(MIN(MAX(0,N('Your debts'!$E$8)),D98),2)</f>
      </c>
      <c r="O98" s="33">
        <f>ROUND(MIN(MAX(0,N('Your debts'!$E$9)),E98),2)</f>
      </c>
      <c r="P98" s="33">
        <f>ROUND(MIN(MAX(0,N('Your debts'!$E$10)),F98),2)</f>
      </c>
      <c r="Q98" s="33">
        <f>ROUND(MIN(MAX(0,N('Your debts'!$E$11)),G98),2)</f>
      </c>
      <c r="R98" s="33">
        <f>ROUND(MIN(MAX(0,N('Your debts'!$E$12)),H98),2)</f>
      </c>
      <c r="S98" s="33">
        <f>ROUND(MIN(MAX(0,N('Your debts'!$E$13)),I98),2)</f>
      </c>
      <c r="T98" s="33">
        <f>ROUND(MIN(MAX(0,N('Your debts'!$E$14)),J98),2)</f>
      </c>
      <c r="U98" s="33">
        <f>ROUND(MIN(MAX(0,N('Your debts'!$E$15)),K98),2)</f>
      </c>
      <c r="V98" s="33">
        <f>ROUND(B98-L98,2)</f>
      </c>
      <c r="W98" s="33">
        <f>ROUND(C98-M98,2)</f>
      </c>
      <c r="X98" s="33">
        <f>ROUND(D98-N98,2)</f>
      </c>
      <c r="Y98" s="33">
        <f>ROUND(E98-O98,2)</f>
      </c>
      <c r="Z98" s="33">
        <f>ROUND(F98-P98,2)</f>
      </c>
      <c r="AA98" s="33">
        <f>ROUND(G98-Q98,2)</f>
      </c>
      <c r="AB98" s="33">
        <f>ROUND(H98-R98,2)</f>
      </c>
      <c r="AC98" s="33">
        <f>ROUND(I98-S98,2)</f>
      </c>
      <c r="AD98" s="33">
        <f>ROUND(J98-T98,2)</f>
      </c>
      <c r="AE98" s="33">
        <f>ROUND(K98-U98,2)</f>
      </c>
      <c r="AF98" s="33">
        <f>IF(V98&lt;=0,0,MAX(0,MIN(V98,ROUND($AZ98-SUMPRODUCT($V98:$AE98*($V98:$AE98&gt;0)*(($V$3:$AE$3&gt;V$3)+($V$3:$AE$3=V$3)*($V98:$AE98&lt;V98)+($V$3:$AE$3=V$3)*($V98:$AE98=V98)*($V$2:$AE$2&lt;V$2))),2))))</f>
      </c>
      <c r="AG98" s="33">
        <f>IF(W98&lt;=0,0,MAX(0,MIN(W98,ROUND($AZ98-SUMPRODUCT($V98:$AE98*($V98:$AE98&gt;0)*(($V$3:$AE$3&gt;W$3)+($V$3:$AE$3=W$3)*($V98:$AE98&lt;W98)+($V$3:$AE$3=W$3)*($V98:$AE98=W98)*($V$2:$AE$2&lt;W$2))),2))))</f>
      </c>
      <c r="AH98" s="33">
        <f>IF(X98&lt;=0,0,MAX(0,MIN(X98,ROUND($AZ98-SUMPRODUCT($V98:$AE98*($V98:$AE98&gt;0)*(($V$3:$AE$3&gt;X$3)+($V$3:$AE$3=X$3)*($V98:$AE98&lt;X98)+($V$3:$AE$3=X$3)*($V98:$AE98=X98)*($V$2:$AE$2&lt;X$2))),2))))</f>
      </c>
      <c r="AI98" s="33">
        <f>IF(Y98&lt;=0,0,MAX(0,MIN(Y98,ROUND($AZ98-SUMPRODUCT($V98:$AE98*($V98:$AE98&gt;0)*(($V$3:$AE$3&gt;Y$3)+($V$3:$AE$3=Y$3)*($V98:$AE98&lt;Y98)+($V$3:$AE$3=Y$3)*($V98:$AE98=Y98)*($V$2:$AE$2&lt;Y$2))),2))))</f>
      </c>
      <c r="AJ98" s="33">
        <f>IF(Z98&lt;=0,0,MAX(0,MIN(Z98,ROUND($AZ98-SUMPRODUCT($V98:$AE98*($V98:$AE98&gt;0)*(($V$3:$AE$3&gt;Z$3)+($V$3:$AE$3=Z$3)*($V98:$AE98&lt;Z98)+($V$3:$AE$3=Z$3)*($V98:$AE98=Z98)*($V$2:$AE$2&lt;Z$2))),2))))</f>
      </c>
      <c r="AK98" s="33">
        <f>IF(AA98&lt;=0,0,MAX(0,MIN(AA98,ROUND($AZ98-SUMPRODUCT($V98:$AE98*($V98:$AE98&gt;0)*(($V$3:$AE$3&gt;AA$3)+($V$3:$AE$3=AA$3)*($V98:$AE98&lt;AA98)+($V$3:$AE$3=AA$3)*($V98:$AE98=AA98)*($V$2:$AE$2&lt;AA$2))),2))))</f>
      </c>
      <c r="AL98" s="33">
        <f>IF(AB98&lt;=0,0,MAX(0,MIN(AB98,ROUND($AZ98-SUMPRODUCT($V98:$AE98*($V98:$AE98&gt;0)*(($V$3:$AE$3&gt;AB$3)+($V$3:$AE$3=AB$3)*($V98:$AE98&lt;AB98)+($V$3:$AE$3=AB$3)*($V98:$AE98=AB98)*($V$2:$AE$2&lt;AB$2))),2))))</f>
      </c>
      <c r="AM98" s="33">
        <f>IF(AC98&lt;=0,0,MAX(0,MIN(AC98,ROUND($AZ98-SUMPRODUCT($V98:$AE98*($V98:$AE98&gt;0)*(($V$3:$AE$3&gt;AC$3)+($V$3:$AE$3=AC$3)*($V98:$AE98&lt;AC98)+($V$3:$AE$3=AC$3)*($V98:$AE98=AC98)*($V$2:$AE$2&lt;AC$2))),2))))</f>
      </c>
      <c r="AN98" s="33">
        <f>IF(AD98&lt;=0,0,MAX(0,MIN(AD98,ROUND($AZ98-SUMPRODUCT($V98:$AE98*($V98:$AE98&gt;0)*(($V$3:$AE$3&gt;AD$3)+($V$3:$AE$3=AD$3)*($V98:$AE98&lt;AD98)+($V$3:$AE$3=AD$3)*($V98:$AE98=AD98)*($V$2:$AE$2&lt;AD$2))),2))))</f>
      </c>
      <c r="AO98" s="33">
        <f>IF(AE98&lt;=0,0,MAX(0,MIN(AE98,ROUND($AZ98-SUMPRODUCT($V98:$AE98*($V98:$AE98&gt;0)*(($V$3:$AE$3&gt;AE$3)+($V$3:$AE$3=AE$3)*($V98:$AE98&lt;AE98)+($V$3:$AE$3=AE$3)*($V98:$AE98=AE98)*($V$2:$AE$2&lt;AE$2))),2))))</f>
      </c>
      <c r="AP98" s="33">
        <f>ROUND(V98-AF98,2)</f>
      </c>
      <c r="AQ98" s="33">
        <f>ROUND(W98-AG98,2)</f>
      </c>
      <c r="AR98" s="33">
        <f>ROUND(X98-AH98,2)</f>
      </c>
      <c r="AS98" s="33">
        <f>ROUND(Y98-AI98,2)</f>
      </c>
      <c r="AT98" s="33">
        <f>ROUND(Z98-AJ98,2)</f>
      </c>
      <c r="AU98" s="33">
        <f>ROUND(AA98-AK98,2)</f>
      </c>
      <c r="AV98" s="33">
        <f>ROUND(AB98-AL98,2)</f>
      </c>
      <c r="AW98" s="33">
        <f>ROUND(AC98-AM98,2)</f>
      </c>
      <c r="AX98" s="33">
        <f>ROUND(AD98-AN98,2)</f>
      </c>
      <c r="AY98" s="33">
        <f>ROUND(AE98-AO98,2)</f>
      </c>
      <c r="AZ98" s="33">
        <f>ROUND(MAX(0,'Your debts'!$D$22-SUM($L98:$U98)),2)</f>
      </c>
      <c r="BA98" s="33">
        <f>ROUND(SUM($B98:$K98)-SUM($AP97:$AY97),2)</f>
      </c>
      <c r="BB98" s="33">
        <f>SUM($AP98:$AY98)</f>
      </c>
      <c r="BC98" s="33">
        <f>ROUND(SUM($L98:$U98)+SUM($AF98:$AO98),2)</f>
      </c>
    </row>
    <row r="99" spans="1:55" x14ac:dyDescent="0.25">
      <c r="A99">
        <v>92</v>
      </c>
      <c r="B99" s="33">
        <f>IF(AP98&lt;=0,0,ROUND(AP98+ROUND(AP98*V$3/12,2),2))</f>
      </c>
      <c r="C99" s="33">
        <f>IF(AQ98&lt;=0,0,ROUND(AQ98+ROUND(AQ98*W$3/12,2),2))</f>
      </c>
      <c r="D99" s="33">
        <f>IF(AR98&lt;=0,0,ROUND(AR98+ROUND(AR98*X$3/12,2),2))</f>
      </c>
      <c r="E99" s="33">
        <f>IF(AS98&lt;=0,0,ROUND(AS98+ROUND(AS98*Y$3/12,2),2))</f>
      </c>
      <c r="F99" s="33">
        <f>IF(AT98&lt;=0,0,ROUND(AT98+ROUND(AT98*Z$3/12,2),2))</f>
      </c>
      <c r="G99" s="33">
        <f>IF(AU98&lt;=0,0,ROUND(AU98+ROUND(AU98*AA$3/12,2),2))</f>
      </c>
      <c r="H99" s="33">
        <f>IF(AV98&lt;=0,0,ROUND(AV98+ROUND(AV98*AB$3/12,2),2))</f>
      </c>
      <c r="I99" s="33">
        <f>IF(AW98&lt;=0,0,ROUND(AW98+ROUND(AW98*AC$3/12,2),2))</f>
      </c>
      <c r="J99" s="33">
        <f>IF(AX98&lt;=0,0,ROUND(AX98+ROUND(AX98*AD$3/12,2),2))</f>
      </c>
      <c r="K99" s="33">
        <f>IF(AY98&lt;=0,0,ROUND(AY98+ROUND(AY98*AE$3/12,2),2))</f>
      </c>
      <c r="L99" s="33">
        <f>ROUND(MIN(MAX(0,N('Your debts'!$E$6)),B99),2)</f>
      </c>
      <c r="M99" s="33">
        <f>ROUND(MIN(MAX(0,N('Your debts'!$E$7)),C99),2)</f>
      </c>
      <c r="N99" s="33">
        <f>ROUND(MIN(MAX(0,N('Your debts'!$E$8)),D99),2)</f>
      </c>
      <c r="O99" s="33">
        <f>ROUND(MIN(MAX(0,N('Your debts'!$E$9)),E99),2)</f>
      </c>
      <c r="P99" s="33">
        <f>ROUND(MIN(MAX(0,N('Your debts'!$E$10)),F99),2)</f>
      </c>
      <c r="Q99" s="33">
        <f>ROUND(MIN(MAX(0,N('Your debts'!$E$11)),G99),2)</f>
      </c>
      <c r="R99" s="33">
        <f>ROUND(MIN(MAX(0,N('Your debts'!$E$12)),H99),2)</f>
      </c>
      <c r="S99" s="33">
        <f>ROUND(MIN(MAX(0,N('Your debts'!$E$13)),I99),2)</f>
      </c>
      <c r="T99" s="33">
        <f>ROUND(MIN(MAX(0,N('Your debts'!$E$14)),J99),2)</f>
      </c>
      <c r="U99" s="33">
        <f>ROUND(MIN(MAX(0,N('Your debts'!$E$15)),K99),2)</f>
      </c>
      <c r="V99" s="33">
        <f>ROUND(B99-L99,2)</f>
      </c>
      <c r="W99" s="33">
        <f>ROUND(C99-M99,2)</f>
      </c>
      <c r="X99" s="33">
        <f>ROUND(D99-N99,2)</f>
      </c>
      <c r="Y99" s="33">
        <f>ROUND(E99-O99,2)</f>
      </c>
      <c r="Z99" s="33">
        <f>ROUND(F99-P99,2)</f>
      </c>
      <c r="AA99" s="33">
        <f>ROUND(G99-Q99,2)</f>
      </c>
      <c r="AB99" s="33">
        <f>ROUND(H99-R99,2)</f>
      </c>
      <c r="AC99" s="33">
        <f>ROUND(I99-S99,2)</f>
      </c>
      <c r="AD99" s="33">
        <f>ROUND(J99-T99,2)</f>
      </c>
      <c r="AE99" s="33">
        <f>ROUND(K99-U99,2)</f>
      </c>
      <c r="AF99" s="33">
        <f>IF(V99&lt;=0,0,MAX(0,MIN(V99,ROUND($AZ99-SUMPRODUCT($V99:$AE99*($V99:$AE99&gt;0)*(($V$3:$AE$3&gt;V$3)+($V$3:$AE$3=V$3)*($V99:$AE99&lt;V99)+($V$3:$AE$3=V$3)*($V99:$AE99=V99)*($V$2:$AE$2&lt;V$2))),2))))</f>
      </c>
      <c r="AG99" s="33">
        <f>IF(W99&lt;=0,0,MAX(0,MIN(W99,ROUND($AZ99-SUMPRODUCT($V99:$AE99*($V99:$AE99&gt;0)*(($V$3:$AE$3&gt;W$3)+($V$3:$AE$3=W$3)*($V99:$AE99&lt;W99)+($V$3:$AE$3=W$3)*($V99:$AE99=W99)*($V$2:$AE$2&lt;W$2))),2))))</f>
      </c>
      <c r="AH99" s="33">
        <f>IF(X99&lt;=0,0,MAX(0,MIN(X99,ROUND($AZ99-SUMPRODUCT($V99:$AE99*($V99:$AE99&gt;0)*(($V$3:$AE$3&gt;X$3)+($V$3:$AE$3=X$3)*($V99:$AE99&lt;X99)+($V$3:$AE$3=X$3)*($V99:$AE99=X99)*($V$2:$AE$2&lt;X$2))),2))))</f>
      </c>
      <c r="AI99" s="33">
        <f>IF(Y99&lt;=0,0,MAX(0,MIN(Y99,ROUND($AZ99-SUMPRODUCT($V99:$AE99*($V99:$AE99&gt;0)*(($V$3:$AE$3&gt;Y$3)+($V$3:$AE$3=Y$3)*($V99:$AE99&lt;Y99)+($V$3:$AE$3=Y$3)*($V99:$AE99=Y99)*($V$2:$AE$2&lt;Y$2))),2))))</f>
      </c>
      <c r="AJ99" s="33">
        <f>IF(Z99&lt;=0,0,MAX(0,MIN(Z99,ROUND($AZ99-SUMPRODUCT($V99:$AE99*($V99:$AE99&gt;0)*(($V$3:$AE$3&gt;Z$3)+($V$3:$AE$3=Z$3)*($V99:$AE99&lt;Z99)+($V$3:$AE$3=Z$3)*($V99:$AE99=Z99)*($V$2:$AE$2&lt;Z$2))),2))))</f>
      </c>
      <c r="AK99" s="33">
        <f>IF(AA99&lt;=0,0,MAX(0,MIN(AA99,ROUND($AZ99-SUMPRODUCT($V99:$AE99*($V99:$AE99&gt;0)*(($V$3:$AE$3&gt;AA$3)+($V$3:$AE$3=AA$3)*($V99:$AE99&lt;AA99)+($V$3:$AE$3=AA$3)*($V99:$AE99=AA99)*($V$2:$AE$2&lt;AA$2))),2))))</f>
      </c>
      <c r="AL99" s="33">
        <f>IF(AB99&lt;=0,0,MAX(0,MIN(AB99,ROUND($AZ99-SUMPRODUCT($V99:$AE99*($V99:$AE99&gt;0)*(($V$3:$AE$3&gt;AB$3)+($V$3:$AE$3=AB$3)*($V99:$AE99&lt;AB99)+($V$3:$AE$3=AB$3)*($V99:$AE99=AB99)*($V$2:$AE$2&lt;AB$2))),2))))</f>
      </c>
      <c r="AM99" s="33">
        <f>IF(AC99&lt;=0,0,MAX(0,MIN(AC99,ROUND($AZ99-SUMPRODUCT($V99:$AE99*($V99:$AE99&gt;0)*(($V$3:$AE$3&gt;AC$3)+($V$3:$AE$3=AC$3)*($V99:$AE99&lt;AC99)+($V$3:$AE$3=AC$3)*($V99:$AE99=AC99)*($V$2:$AE$2&lt;AC$2))),2))))</f>
      </c>
      <c r="AN99" s="33">
        <f>IF(AD99&lt;=0,0,MAX(0,MIN(AD99,ROUND($AZ99-SUMPRODUCT($V99:$AE99*($V99:$AE99&gt;0)*(($V$3:$AE$3&gt;AD$3)+($V$3:$AE$3=AD$3)*($V99:$AE99&lt;AD99)+($V$3:$AE$3=AD$3)*($V99:$AE99=AD99)*($V$2:$AE$2&lt;AD$2))),2))))</f>
      </c>
      <c r="AO99" s="33">
        <f>IF(AE99&lt;=0,0,MAX(0,MIN(AE99,ROUND($AZ99-SUMPRODUCT($V99:$AE99*($V99:$AE99&gt;0)*(($V$3:$AE$3&gt;AE$3)+($V$3:$AE$3=AE$3)*($V99:$AE99&lt;AE99)+($V$3:$AE$3=AE$3)*($V99:$AE99=AE99)*($V$2:$AE$2&lt;AE$2))),2))))</f>
      </c>
      <c r="AP99" s="33">
        <f>ROUND(V99-AF99,2)</f>
      </c>
      <c r="AQ99" s="33">
        <f>ROUND(W99-AG99,2)</f>
      </c>
      <c r="AR99" s="33">
        <f>ROUND(X99-AH99,2)</f>
      </c>
      <c r="AS99" s="33">
        <f>ROUND(Y99-AI99,2)</f>
      </c>
      <c r="AT99" s="33">
        <f>ROUND(Z99-AJ99,2)</f>
      </c>
      <c r="AU99" s="33">
        <f>ROUND(AA99-AK99,2)</f>
      </c>
      <c r="AV99" s="33">
        <f>ROUND(AB99-AL99,2)</f>
      </c>
      <c r="AW99" s="33">
        <f>ROUND(AC99-AM99,2)</f>
      </c>
      <c r="AX99" s="33">
        <f>ROUND(AD99-AN99,2)</f>
      </c>
      <c r="AY99" s="33">
        <f>ROUND(AE99-AO99,2)</f>
      </c>
      <c r="AZ99" s="33">
        <f>ROUND(MAX(0,'Your debts'!$D$22-SUM($L99:$U99)),2)</f>
      </c>
      <c r="BA99" s="33">
        <f>ROUND(SUM($B99:$K99)-SUM($AP98:$AY98),2)</f>
      </c>
      <c r="BB99" s="33">
        <f>SUM($AP99:$AY99)</f>
      </c>
      <c r="BC99" s="33">
        <f>ROUND(SUM($L99:$U99)+SUM($AF99:$AO99),2)</f>
      </c>
    </row>
    <row r="100" spans="1:55" x14ac:dyDescent="0.25">
      <c r="A100">
        <v>93</v>
      </c>
      <c r="B100" s="33">
        <f>IF(AP99&lt;=0,0,ROUND(AP99+ROUND(AP99*V$3/12,2),2))</f>
      </c>
      <c r="C100" s="33">
        <f>IF(AQ99&lt;=0,0,ROUND(AQ99+ROUND(AQ99*W$3/12,2),2))</f>
      </c>
      <c r="D100" s="33">
        <f>IF(AR99&lt;=0,0,ROUND(AR99+ROUND(AR99*X$3/12,2),2))</f>
      </c>
      <c r="E100" s="33">
        <f>IF(AS99&lt;=0,0,ROUND(AS99+ROUND(AS99*Y$3/12,2),2))</f>
      </c>
      <c r="F100" s="33">
        <f>IF(AT99&lt;=0,0,ROUND(AT99+ROUND(AT99*Z$3/12,2),2))</f>
      </c>
      <c r="G100" s="33">
        <f>IF(AU99&lt;=0,0,ROUND(AU99+ROUND(AU99*AA$3/12,2),2))</f>
      </c>
      <c r="H100" s="33">
        <f>IF(AV99&lt;=0,0,ROUND(AV99+ROUND(AV99*AB$3/12,2),2))</f>
      </c>
      <c r="I100" s="33">
        <f>IF(AW99&lt;=0,0,ROUND(AW99+ROUND(AW99*AC$3/12,2),2))</f>
      </c>
      <c r="J100" s="33">
        <f>IF(AX99&lt;=0,0,ROUND(AX99+ROUND(AX99*AD$3/12,2),2))</f>
      </c>
      <c r="K100" s="33">
        <f>IF(AY99&lt;=0,0,ROUND(AY99+ROUND(AY99*AE$3/12,2),2))</f>
      </c>
      <c r="L100" s="33">
        <f>ROUND(MIN(MAX(0,N('Your debts'!$E$6)),B100),2)</f>
      </c>
      <c r="M100" s="33">
        <f>ROUND(MIN(MAX(0,N('Your debts'!$E$7)),C100),2)</f>
      </c>
      <c r="N100" s="33">
        <f>ROUND(MIN(MAX(0,N('Your debts'!$E$8)),D100),2)</f>
      </c>
      <c r="O100" s="33">
        <f>ROUND(MIN(MAX(0,N('Your debts'!$E$9)),E100),2)</f>
      </c>
      <c r="P100" s="33">
        <f>ROUND(MIN(MAX(0,N('Your debts'!$E$10)),F100),2)</f>
      </c>
      <c r="Q100" s="33">
        <f>ROUND(MIN(MAX(0,N('Your debts'!$E$11)),G100),2)</f>
      </c>
      <c r="R100" s="33">
        <f>ROUND(MIN(MAX(0,N('Your debts'!$E$12)),H100),2)</f>
      </c>
      <c r="S100" s="33">
        <f>ROUND(MIN(MAX(0,N('Your debts'!$E$13)),I100),2)</f>
      </c>
      <c r="T100" s="33">
        <f>ROUND(MIN(MAX(0,N('Your debts'!$E$14)),J100),2)</f>
      </c>
      <c r="U100" s="33">
        <f>ROUND(MIN(MAX(0,N('Your debts'!$E$15)),K100),2)</f>
      </c>
      <c r="V100" s="33">
        <f>ROUND(B100-L100,2)</f>
      </c>
      <c r="W100" s="33">
        <f>ROUND(C100-M100,2)</f>
      </c>
      <c r="X100" s="33">
        <f>ROUND(D100-N100,2)</f>
      </c>
      <c r="Y100" s="33">
        <f>ROUND(E100-O100,2)</f>
      </c>
      <c r="Z100" s="33">
        <f>ROUND(F100-P100,2)</f>
      </c>
      <c r="AA100" s="33">
        <f>ROUND(G100-Q100,2)</f>
      </c>
      <c r="AB100" s="33">
        <f>ROUND(H100-R100,2)</f>
      </c>
      <c r="AC100" s="33">
        <f>ROUND(I100-S100,2)</f>
      </c>
      <c r="AD100" s="33">
        <f>ROUND(J100-T100,2)</f>
      </c>
      <c r="AE100" s="33">
        <f>ROUND(K100-U100,2)</f>
      </c>
      <c r="AF100" s="33">
        <f>IF(V100&lt;=0,0,MAX(0,MIN(V100,ROUND($AZ100-SUMPRODUCT($V100:$AE100*($V100:$AE100&gt;0)*(($V$3:$AE$3&gt;V$3)+($V$3:$AE$3=V$3)*($V100:$AE100&lt;V100)+($V$3:$AE$3=V$3)*($V100:$AE100=V100)*($V$2:$AE$2&lt;V$2))),2))))</f>
      </c>
      <c r="AG100" s="33">
        <f>IF(W100&lt;=0,0,MAX(0,MIN(W100,ROUND($AZ100-SUMPRODUCT($V100:$AE100*($V100:$AE100&gt;0)*(($V$3:$AE$3&gt;W$3)+($V$3:$AE$3=W$3)*($V100:$AE100&lt;W100)+($V$3:$AE$3=W$3)*($V100:$AE100=W100)*($V$2:$AE$2&lt;W$2))),2))))</f>
      </c>
      <c r="AH100" s="33">
        <f>IF(X100&lt;=0,0,MAX(0,MIN(X100,ROUND($AZ100-SUMPRODUCT($V100:$AE100*($V100:$AE100&gt;0)*(($V$3:$AE$3&gt;X$3)+($V$3:$AE$3=X$3)*($V100:$AE100&lt;X100)+($V$3:$AE$3=X$3)*($V100:$AE100=X100)*($V$2:$AE$2&lt;X$2))),2))))</f>
      </c>
      <c r="AI100" s="33">
        <f>IF(Y100&lt;=0,0,MAX(0,MIN(Y100,ROUND($AZ100-SUMPRODUCT($V100:$AE100*($V100:$AE100&gt;0)*(($V$3:$AE$3&gt;Y$3)+($V$3:$AE$3=Y$3)*($V100:$AE100&lt;Y100)+($V$3:$AE$3=Y$3)*($V100:$AE100=Y100)*($V$2:$AE$2&lt;Y$2))),2))))</f>
      </c>
      <c r="AJ100" s="33">
        <f>IF(Z100&lt;=0,0,MAX(0,MIN(Z100,ROUND($AZ100-SUMPRODUCT($V100:$AE100*($V100:$AE100&gt;0)*(($V$3:$AE$3&gt;Z$3)+($V$3:$AE$3=Z$3)*($V100:$AE100&lt;Z100)+($V$3:$AE$3=Z$3)*($V100:$AE100=Z100)*($V$2:$AE$2&lt;Z$2))),2))))</f>
      </c>
      <c r="AK100" s="33">
        <f>IF(AA100&lt;=0,0,MAX(0,MIN(AA100,ROUND($AZ100-SUMPRODUCT($V100:$AE100*($V100:$AE100&gt;0)*(($V$3:$AE$3&gt;AA$3)+($V$3:$AE$3=AA$3)*($V100:$AE100&lt;AA100)+($V$3:$AE$3=AA$3)*($V100:$AE100=AA100)*($V$2:$AE$2&lt;AA$2))),2))))</f>
      </c>
      <c r="AL100" s="33">
        <f>IF(AB100&lt;=0,0,MAX(0,MIN(AB100,ROUND($AZ100-SUMPRODUCT($V100:$AE100*($V100:$AE100&gt;0)*(($V$3:$AE$3&gt;AB$3)+($V$3:$AE$3=AB$3)*($V100:$AE100&lt;AB100)+($V$3:$AE$3=AB$3)*($V100:$AE100=AB100)*($V$2:$AE$2&lt;AB$2))),2))))</f>
      </c>
      <c r="AM100" s="33">
        <f>IF(AC100&lt;=0,0,MAX(0,MIN(AC100,ROUND($AZ100-SUMPRODUCT($V100:$AE100*($V100:$AE100&gt;0)*(($V$3:$AE$3&gt;AC$3)+($V$3:$AE$3=AC$3)*($V100:$AE100&lt;AC100)+($V$3:$AE$3=AC$3)*($V100:$AE100=AC100)*($V$2:$AE$2&lt;AC$2))),2))))</f>
      </c>
      <c r="AN100" s="33">
        <f>IF(AD100&lt;=0,0,MAX(0,MIN(AD100,ROUND($AZ100-SUMPRODUCT($V100:$AE100*($V100:$AE100&gt;0)*(($V$3:$AE$3&gt;AD$3)+($V$3:$AE$3=AD$3)*($V100:$AE100&lt;AD100)+($V$3:$AE$3=AD$3)*($V100:$AE100=AD100)*($V$2:$AE$2&lt;AD$2))),2))))</f>
      </c>
      <c r="AO100" s="33">
        <f>IF(AE100&lt;=0,0,MAX(0,MIN(AE100,ROUND($AZ100-SUMPRODUCT($V100:$AE100*($V100:$AE100&gt;0)*(($V$3:$AE$3&gt;AE$3)+($V$3:$AE$3=AE$3)*($V100:$AE100&lt;AE100)+($V$3:$AE$3=AE$3)*($V100:$AE100=AE100)*($V$2:$AE$2&lt;AE$2))),2))))</f>
      </c>
      <c r="AP100" s="33">
        <f>ROUND(V100-AF100,2)</f>
      </c>
      <c r="AQ100" s="33">
        <f>ROUND(W100-AG100,2)</f>
      </c>
      <c r="AR100" s="33">
        <f>ROUND(X100-AH100,2)</f>
      </c>
      <c r="AS100" s="33">
        <f>ROUND(Y100-AI100,2)</f>
      </c>
      <c r="AT100" s="33">
        <f>ROUND(Z100-AJ100,2)</f>
      </c>
      <c r="AU100" s="33">
        <f>ROUND(AA100-AK100,2)</f>
      </c>
      <c r="AV100" s="33">
        <f>ROUND(AB100-AL100,2)</f>
      </c>
      <c r="AW100" s="33">
        <f>ROUND(AC100-AM100,2)</f>
      </c>
      <c r="AX100" s="33">
        <f>ROUND(AD100-AN100,2)</f>
      </c>
      <c r="AY100" s="33">
        <f>ROUND(AE100-AO100,2)</f>
      </c>
      <c r="AZ100" s="33">
        <f>ROUND(MAX(0,'Your debts'!$D$22-SUM($L100:$U100)),2)</f>
      </c>
      <c r="BA100" s="33">
        <f>ROUND(SUM($B100:$K100)-SUM($AP99:$AY99),2)</f>
      </c>
      <c r="BB100" s="33">
        <f>SUM($AP100:$AY100)</f>
      </c>
      <c r="BC100" s="33">
        <f>ROUND(SUM($L100:$U100)+SUM($AF100:$AO100),2)</f>
      </c>
    </row>
    <row r="101" spans="1:55" x14ac:dyDescent="0.25">
      <c r="A101">
        <v>94</v>
      </c>
      <c r="B101" s="33">
        <f>IF(AP100&lt;=0,0,ROUND(AP100+ROUND(AP100*V$3/12,2),2))</f>
      </c>
      <c r="C101" s="33">
        <f>IF(AQ100&lt;=0,0,ROUND(AQ100+ROUND(AQ100*W$3/12,2),2))</f>
      </c>
      <c r="D101" s="33">
        <f>IF(AR100&lt;=0,0,ROUND(AR100+ROUND(AR100*X$3/12,2),2))</f>
      </c>
      <c r="E101" s="33">
        <f>IF(AS100&lt;=0,0,ROUND(AS100+ROUND(AS100*Y$3/12,2),2))</f>
      </c>
      <c r="F101" s="33">
        <f>IF(AT100&lt;=0,0,ROUND(AT100+ROUND(AT100*Z$3/12,2),2))</f>
      </c>
      <c r="G101" s="33">
        <f>IF(AU100&lt;=0,0,ROUND(AU100+ROUND(AU100*AA$3/12,2),2))</f>
      </c>
      <c r="H101" s="33">
        <f>IF(AV100&lt;=0,0,ROUND(AV100+ROUND(AV100*AB$3/12,2),2))</f>
      </c>
      <c r="I101" s="33">
        <f>IF(AW100&lt;=0,0,ROUND(AW100+ROUND(AW100*AC$3/12,2),2))</f>
      </c>
      <c r="J101" s="33">
        <f>IF(AX100&lt;=0,0,ROUND(AX100+ROUND(AX100*AD$3/12,2),2))</f>
      </c>
      <c r="K101" s="33">
        <f>IF(AY100&lt;=0,0,ROUND(AY100+ROUND(AY100*AE$3/12,2),2))</f>
      </c>
      <c r="L101" s="33">
        <f>ROUND(MIN(MAX(0,N('Your debts'!$E$6)),B101),2)</f>
      </c>
      <c r="M101" s="33">
        <f>ROUND(MIN(MAX(0,N('Your debts'!$E$7)),C101),2)</f>
      </c>
      <c r="N101" s="33">
        <f>ROUND(MIN(MAX(0,N('Your debts'!$E$8)),D101),2)</f>
      </c>
      <c r="O101" s="33">
        <f>ROUND(MIN(MAX(0,N('Your debts'!$E$9)),E101),2)</f>
      </c>
      <c r="P101" s="33">
        <f>ROUND(MIN(MAX(0,N('Your debts'!$E$10)),F101),2)</f>
      </c>
      <c r="Q101" s="33">
        <f>ROUND(MIN(MAX(0,N('Your debts'!$E$11)),G101),2)</f>
      </c>
      <c r="R101" s="33">
        <f>ROUND(MIN(MAX(0,N('Your debts'!$E$12)),H101),2)</f>
      </c>
      <c r="S101" s="33">
        <f>ROUND(MIN(MAX(0,N('Your debts'!$E$13)),I101),2)</f>
      </c>
      <c r="T101" s="33">
        <f>ROUND(MIN(MAX(0,N('Your debts'!$E$14)),J101),2)</f>
      </c>
      <c r="U101" s="33">
        <f>ROUND(MIN(MAX(0,N('Your debts'!$E$15)),K101),2)</f>
      </c>
      <c r="V101" s="33">
        <f>ROUND(B101-L101,2)</f>
      </c>
      <c r="W101" s="33">
        <f>ROUND(C101-M101,2)</f>
      </c>
      <c r="X101" s="33">
        <f>ROUND(D101-N101,2)</f>
      </c>
      <c r="Y101" s="33">
        <f>ROUND(E101-O101,2)</f>
      </c>
      <c r="Z101" s="33">
        <f>ROUND(F101-P101,2)</f>
      </c>
      <c r="AA101" s="33">
        <f>ROUND(G101-Q101,2)</f>
      </c>
      <c r="AB101" s="33">
        <f>ROUND(H101-R101,2)</f>
      </c>
      <c r="AC101" s="33">
        <f>ROUND(I101-S101,2)</f>
      </c>
      <c r="AD101" s="33">
        <f>ROUND(J101-T101,2)</f>
      </c>
      <c r="AE101" s="33">
        <f>ROUND(K101-U101,2)</f>
      </c>
      <c r="AF101" s="33">
        <f>IF(V101&lt;=0,0,MAX(0,MIN(V101,ROUND($AZ101-SUMPRODUCT($V101:$AE101*($V101:$AE101&gt;0)*(($V$3:$AE$3&gt;V$3)+($V$3:$AE$3=V$3)*($V101:$AE101&lt;V101)+($V$3:$AE$3=V$3)*($V101:$AE101=V101)*($V$2:$AE$2&lt;V$2))),2))))</f>
      </c>
      <c r="AG101" s="33">
        <f>IF(W101&lt;=0,0,MAX(0,MIN(W101,ROUND($AZ101-SUMPRODUCT($V101:$AE101*($V101:$AE101&gt;0)*(($V$3:$AE$3&gt;W$3)+($V$3:$AE$3=W$3)*($V101:$AE101&lt;W101)+($V$3:$AE$3=W$3)*($V101:$AE101=W101)*($V$2:$AE$2&lt;W$2))),2))))</f>
      </c>
      <c r="AH101" s="33">
        <f>IF(X101&lt;=0,0,MAX(0,MIN(X101,ROUND($AZ101-SUMPRODUCT($V101:$AE101*($V101:$AE101&gt;0)*(($V$3:$AE$3&gt;X$3)+($V$3:$AE$3=X$3)*($V101:$AE101&lt;X101)+($V$3:$AE$3=X$3)*($V101:$AE101=X101)*($V$2:$AE$2&lt;X$2))),2))))</f>
      </c>
      <c r="AI101" s="33">
        <f>IF(Y101&lt;=0,0,MAX(0,MIN(Y101,ROUND($AZ101-SUMPRODUCT($V101:$AE101*($V101:$AE101&gt;0)*(($V$3:$AE$3&gt;Y$3)+($V$3:$AE$3=Y$3)*($V101:$AE101&lt;Y101)+($V$3:$AE$3=Y$3)*($V101:$AE101=Y101)*($V$2:$AE$2&lt;Y$2))),2))))</f>
      </c>
      <c r="AJ101" s="33">
        <f>IF(Z101&lt;=0,0,MAX(0,MIN(Z101,ROUND($AZ101-SUMPRODUCT($V101:$AE101*($V101:$AE101&gt;0)*(($V$3:$AE$3&gt;Z$3)+($V$3:$AE$3=Z$3)*($V101:$AE101&lt;Z101)+($V$3:$AE$3=Z$3)*($V101:$AE101=Z101)*($V$2:$AE$2&lt;Z$2))),2))))</f>
      </c>
      <c r="AK101" s="33">
        <f>IF(AA101&lt;=0,0,MAX(0,MIN(AA101,ROUND($AZ101-SUMPRODUCT($V101:$AE101*($V101:$AE101&gt;0)*(($V$3:$AE$3&gt;AA$3)+($V$3:$AE$3=AA$3)*($V101:$AE101&lt;AA101)+($V$3:$AE$3=AA$3)*($V101:$AE101=AA101)*($V$2:$AE$2&lt;AA$2))),2))))</f>
      </c>
      <c r="AL101" s="33">
        <f>IF(AB101&lt;=0,0,MAX(0,MIN(AB101,ROUND($AZ101-SUMPRODUCT($V101:$AE101*($V101:$AE101&gt;0)*(($V$3:$AE$3&gt;AB$3)+($V$3:$AE$3=AB$3)*($V101:$AE101&lt;AB101)+($V$3:$AE$3=AB$3)*($V101:$AE101=AB101)*($V$2:$AE$2&lt;AB$2))),2))))</f>
      </c>
      <c r="AM101" s="33">
        <f>IF(AC101&lt;=0,0,MAX(0,MIN(AC101,ROUND($AZ101-SUMPRODUCT($V101:$AE101*($V101:$AE101&gt;0)*(($V$3:$AE$3&gt;AC$3)+($V$3:$AE$3=AC$3)*($V101:$AE101&lt;AC101)+($V$3:$AE$3=AC$3)*($V101:$AE101=AC101)*($V$2:$AE$2&lt;AC$2))),2))))</f>
      </c>
      <c r="AN101" s="33">
        <f>IF(AD101&lt;=0,0,MAX(0,MIN(AD101,ROUND($AZ101-SUMPRODUCT($V101:$AE101*($V101:$AE101&gt;0)*(($V$3:$AE$3&gt;AD$3)+($V$3:$AE$3=AD$3)*($V101:$AE101&lt;AD101)+($V$3:$AE$3=AD$3)*($V101:$AE101=AD101)*($V$2:$AE$2&lt;AD$2))),2))))</f>
      </c>
      <c r="AO101" s="33">
        <f>IF(AE101&lt;=0,0,MAX(0,MIN(AE101,ROUND($AZ101-SUMPRODUCT($V101:$AE101*($V101:$AE101&gt;0)*(($V$3:$AE$3&gt;AE$3)+($V$3:$AE$3=AE$3)*($V101:$AE101&lt;AE101)+($V$3:$AE$3=AE$3)*($V101:$AE101=AE101)*($V$2:$AE$2&lt;AE$2))),2))))</f>
      </c>
      <c r="AP101" s="33">
        <f>ROUND(V101-AF101,2)</f>
      </c>
      <c r="AQ101" s="33">
        <f>ROUND(W101-AG101,2)</f>
      </c>
      <c r="AR101" s="33">
        <f>ROUND(X101-AH101,2)</f>
      </c>
      <c r="AS101" s="33">
        <f>ROUND(Y101-AI101,2)</f>
      </c>
      <c r="AT101" s="33">
        <f>ROUND(Z101-AJ101,2)</f>
      </c>
      <c r="AU101" s="33">
        <f>ROUND(AA101-AK101,2)</f>
      </c>
      <c r="AV101" s="33">
        <f>ROUND(AB101-AL101,2)</f>
      </c>
      <c r="AW101" s="33">
        <f>ROUND(AC101-AM101,2)</f>
      </c>
      <c r="AX101" s="33">
        <f>ROUND(AD101-AN101,2)</f>
      </c>
      <c r="AY101" s="33">
        <f>ROUND(AE101-AO101,2)</f>
      </c>
      <c r="AZ101" s="33">
        <f>ROUND(MAX(0,'Your debts'!$D$22-SUM($L101:$U101)),2)</f>
      </c>
      <c r="BA101" s="33">
        <f>ROUND(SUM($B101:$K101)-SUM($AP100:$AY100),2)</f>
      </c>
      <c r="BB101" s="33">
        <f>SUM($AP101:$AY101)</f>
      </c>
      <c r="BC101" s="33">
        <f>ROUND(SUM($L101:$U101)+SUM($AF101:$AO101),2)</f>
      </c>
    </row>
    <row r="102" spans="1:55" x14ac:dyDescent="0.25">
      <c r="A102">
        <v>95</v>
      </c>
      <c r="B102" s="33">
        <f>IF(AP101&lt;=0,0,ROUND(AP101+ROUND(AP101*V$3/12,2),2))</f>
      </c>
      <c r="C102" s="33">
        <f>IF(AQ101&lt;=0,0,ROUND(AQ101+ROUND(AQ101*W$3/12,2),2))</f>
      </c>
      <c r="D102" s="33">
        <f>IF(AR101&lt;=0,0,ROUND(AR101+ROUND(AR101*X$3/12,2),2))</f>
      </c>
      <c r="E102" s="33">
        <f>IF(AS101&lt;=0,0,ROUND(AS101+ROUND(AS101*Y$3/12,2),2))</f>
      </c>
      <c r="F102" s="33">
        <f>IF(AT101&lt;=0,0,ROUND(AT101+ROUND(AT101*Z$3/12,2),2))</f>
      </c>
      <c r="G102" s="33">
        <f>IF(AU101&lt;=0,0,ROUND(AU101+ROUND(AU101*AA$3/12,2),2))</f>
      </c>
      <c r="H102" s="33">
        <f>IF(AV101&lt;=0,0,ROUND(AV101+ROUND(AV101*AB$3/12,2),2))</f>
      </c>
      <c r="I102" s="33">
        <f>IF(AW101&lt;=0,0,ROUND(AW101+ROUND(AW101*AC$3/12,2),2))</f>
      </c>
      <c r="J102" s="33">
        <f>IF(AX101&lt;=0,0,ROUND(AX101+ROUND(AX101*AD$3/12,2),2))</f>
      </c>
      <c r="K102" s="33">
        <f>IF(AY101&lt;=0,0,ROUND(AY101+ROUND(AY101*AE$3/12,2),2))</f>
      </c>
      <c r="L102" s="33">
        <f>ROUND(MIN(MAX(0,N('Your debts'!$E$6)),B102),2)</f>
      </c>
      <c r="M102" s="33">
        <f>ROUND(MIN(MAX(0,N('Your debts'!$E$7)),C102),2)</f>
      </c>
      <c r="N102" s="33">
        <f>ROUND(MIN(MAX(0,N('Your debts'!$E$8)),D102),2)</f>
      </c>
      <c r="O102" s="33">
        <f>ROUND(MIN(MAX(0,N('Your debts'!$E$9)),E102),2)</f>
      </c>
      <c r="P102" s="33">
        <f>ROUND(MIN(MAX(0,N('Your debts'!$E$10)),F102),2)</f>
      </c>
      <c r="Q102" s="33">
        <f>ROUND(MIN(MAX(0,N('Your debts'!$E$11)),G102),2)</f>
      </c>
      <c r="R102" s="33">
        <f>ROUND(MIN(MAX(0,N('Your debts'!$E$12)),H102),2)</f>
      </c>
      <c r="S102" s="33">
        <f>ROUND(MIN(MAX(0,N('Your debts'!$E$13)),I102),2)</f>
      </c>
      <c r="T102" s="33">
        <f>ROUND(MIN(MAX(0,N('Your debts'!$E$14)),J102),2)</f>
      </c>
      <c r="U102" s="33">
        <f>ROUND(MIN(MAX(0,N('Your debts'!$E$15)),K102),2)</f>
      </c>
      <c r="V102" s="33">
        <f>ROUND(B102-L102,2)</f>
      </c>
      <c r="W102" s="33">
        <f>ROUND(C102-M102,2)</f>
      </c>
      <c r="X102" s="33">
        <f>ROUND(D102-N102,2)</f>
      </c>
      <c r="Y102" s="33">
        <f>ROUND(E102-O102,2)</f>
      </c>
      <c r="Z102" s="33">
        <f>ROUND(F102-P102,2)</f>
      </c>
      <c r="AA102" s="33">
        <f>ROUND(G102-Q102,2)</f>
      </c>
      <c r="AB102" s="33">
        <f>ROUND(H102-R102,2)</f>
      </c>
      <c r="AC102" s="33">
        <f>ROUND(I102-S102,2)</f>
      </c>
      <c r="AD102" s="33">
        <f>ROUND(J102-T102,2)</f>
      </c>
      <c r="AE102" s="33">
        <f>ROUND(K102-U102,2)</f>
      </c>
      <c r="AF102" s="33">
        <f>IF(V102&lt;=0,0,MAX(0,MIN(V102,ROUND($AZ102-SUMPRODUCT($V102:$AE102*($V102:$AE102&gt;0)*(($V$3:$AE$3&gt;V$3)+($V$3:$AE$3=V$3)*($V102:$AE102&lt;V102)+($V$3:$AE$3=V$3)*($V102:$AE102=V102)*($V$2:$AE$2&lt;V$2))),2))))</f>
      </c>
      <c r="AG102" s="33">
        <f>IF(W102&lt;=0,0,MAX(0,MIN(W102,ROUND($AZ102-SUMPRODUCT($V102:$AE102*($V102:$AE102&gt;0)*(($V$3:$AE$3&gt;W$3)+($V$3:$AE$3=W$3)*($V102:$AE102&lt;W102)+($V$3:$AE$3=W$3)*($V102:$AE102=W102)*($V$2:$AE$2&lt;W$2))),2))))</f>
      </c>
      <c r="AH102" s="33">
        <f>IF(X102&lt;=0,0,MAX(0,MIN(X102,ROUND($AZ102-SUMPRODUCT($V102:$AE102*($V102:$AE102&gt;0)*(($V$3:$AE$3&gt;X$3)+($V$3:$AE$3=X$3)*($V102:$AE102&lt;X102)+($V$3:$AE$3=X$3)*($V102:$AE102=X102)*($V$2:$AE$2&lt;X$2))),2))))</f>
      </c>
      <c r="AI102" s="33">
        <f>IF(Y102&lt;=0,0,MAX(0,MIN(Y102,ROUND($AZ102-SUMPRODUCT($V102:$AE102*($V102:$AE102&gt;0)*(($V$3:$AE$3&gt;Y$3)+($V$3:$AE$3=Y$3)*($V102:$AE102&lt;Y102)+($V$3:$AE$3=Y$3)*($V102:$AE102=Y102)*($V$2:$AE$2&lt;Y$2))),2))))</f>
      </c>
      <c r="AJ102" s="33">
        <f>IF(Z102&lt;=0,0,MAX(0,MIN(Z102,ROUND($AZ102-SUMPRODUCT($V102:$AE102*($V102:$AE102&gt;0)*(($V$3:$AE$3&gt;Z$3)+($V$3:$AE$3=Z$3)*($V102:$AE102&lt;Z102)+($V$3:$AE$3=Z$3)*($V102:$AE102=Z102)*($V$2:$AE$2&lt;Z$2))),2))))</f>
      </c>
      <c r="AK102" s="33">
        <f>IF(AA102&lt;=0,0,MAX(0,MIN(AA102,ROUND($AZ102-SUMPRODUCT($V102:$AE102*($V102:$AE102&gt;0)*(($V$3:$AE$3&gt;AA$3)+($V$3:$AE$3=AA$3)*($V102:$AE102&lt;AA102)+($V$3:$AE$3=AA$3)*($V102:$AE102=AA102)*($V$2:$AE$2&lt;AA$2))),2))))</f>
      </c>
      <c r="AL102" s="33">
        <f>IF(AB102&lt;=0,0,MAX(0,MIN(AB102,ROUND($AZ102-SUMPRODUCT($V102:$AE102*($V102:$AE102&gt;0)*(($V$3:$AE$3&gt;AB$3)+($V$3:$AE$3=AB$3)*($V102:$AE102&lt;AB102)+($V$3:$AE$3=AB$3)*($V102:$AE102=AB102)*($V$2:$AE$2&lt;AB$2))),2))))</f>
      </c>
      <c r="AM102" s="33">
        <f>IF(AC102&lt;=0,0,MAX(0,MIN(AC102,ROUND($AZ102-SUMPRODUCT($V102:$AE102*($V102:$AE102&gt;0)*(($V$3:$AE$3&gt;AC$3)+($V$3:$AE$3=AC$3)*($V102:$AE102&lt;AC102)+($V$3:$AE$3=AC$3)*($V102:$AE102=AC102)*($V$2:$AE$2&lt;AC$2))),2))))</f>
      </c>
      <c r="AN102" s="33">
        <f>IF(AD102&lt;=0,0,MAX(0,MIN(AD102,ROUND($AZ102-SUMPRODUCT($V102:$AE102*($V102:$AE102&gt;0)*(($V$3:$AE$3&gt;AD$3)+($V$3:$AE$3=AD$3)*($V102:$AE102&lt;AD102)+($V$3:$AE$3=AD$3)*($V102:$AE102=AD102)*($V$2:$AE$2&lt;AD$2))),2))))</f>
      </c>
      <c r="AO102" s="33">
        <f>IF(AE102&lt;=0,0,MAX(0,MIN(AE102,ROUND($AZ102-SUMPRODUCT($V102:$AE102*($V102:$AE102&gt;0)*(($V$3:$AE$3&gt;AE$3)+($V$3:$AE$3=AE$3)*($V102:$AE102&lt;AE102)+($V$3:$AE$3=AE$3)*($V102:$AE102=AE102)*($V$2:$AE$2&lt;AE$2))),2))))</f>
      </c>
      <c r="AP102" s="33">
        <f>ROUND(V102-AF102,2)</f>
      </c>
      <c r="AQ102" s="33">
        <f>ROUND(W102-AG102,2)</f>
      </c>
      <c r="AR102" s="33">
        <f>ROUND(X102-AH102,2)</f>
      </c>
      <c r="AS102" s="33">
        <f>ROUND(Y102-AI102,2)</f>
      </c>
      <c r="AT102" s="33">
        <f>ROUND(Z102-AJ102,2)</f>
      </c>
      <c r="AU102" s="33">
        <f>ROUND(AA102-AK102,2)</f>
      </c>
      <c r="AV102" s="33">
        <f>ROUND(AB102-AL102,2)</f>
      </c>
      <c r="AW102" s="33">
        <f>ROUND(AC102-AM102,2)</f>
      </c>
      <c r="AX102" s="33">
        <f>ROUND(AD102-AN102,2)</f>
      </c>
      <c r="AY102" s="33">
        <f>ROUND(AE102-AO102,2)</f>
      </c>
      <c r="AZ102" s="33">
        <f>ROUND(MAX(0,'Your debts'!$D$22-SUM($L102:$U102)),2)</f>
      </c>
      <c r="BA102" s="33">
        <f>ROUND(SUM($B102:$K102)-SUM($AP101:$AY101),2)</f>
      </c>
      <c r="BB102" s="33">
        <f>SUM($AP102:$AY102)</f>
      </c>
      <c r="BC102" s="33">
        <f>ROUND(SUM($L102:$U102)+SUM($AF102:$AO102),2)</f>
      </c>
    </row>
    <row r="103" spans="1:55" x14ac:dyDescent="0.25">
      <c r="A103">
        <v>96</v>
      </c>
      <c r="B103" s="33">
        <f>IF(AP102&lt;=0,0,ROUND(AP102+ROUND(AP102*V$3/12,2),2))</f>
      </c>
      <c r="C103" s="33">
        <f>IF(AQ102&lt;=0,0,ROUND(AQ102+ROUND(AQ102*W$3/12,2),2))</f>
      </c>
      <c r="D103" s="33">
        <f>IF(AR102&lt;=0,0,ROUND(AR102+ROUND(AR102*X$3/12,2),2))</f>
      </c>
      <c r="E103" s="33">
        <f>IF(AS102&lt;=0,0,ROUND(AS102+ROUND(AS102*Y$3/12,2),2))</f>
      </c>
      <c r="F103" s="33">
        <f>IF(AT102&lt;=0,0,ROUND(AT102+ROUND(AT102*Z$3/12,2),2))</f>
      </c>
      <c r="G103" s="33">
        <f>IF(AU102&lt;=0,0,ROUND(AU102+ROUND(AU102*AA$3/12,2),2))</f>
      </c>
      <c r="H103" s="33">
        <f>IF(AV102&lt;=0,0,ROUND(AV102+ROUND(AV102*AB$3/12,2),2))</f>
      </c>
      <c r="I103" s="33">
        <f>IF(AW102&lt;=0,0,ROUND(AW102+ROUND(AW102*AC$3/12,2),2))</f>
      </c>
      <c r="J103" s="33">
        <f>IF(AX102&lt;=0,0,ROUND(AX102+ROUND(AX102*AD$3/12,2),2))</f>
      </c>
      <c r="K103" s="33">
        <f>IF(AY102&lt;=0,0,ROUND(AY102+ROUND(AY102*AE$3/12,2),2))</f>
      </c>
      <c r="L103" s="33">
        <f>ROUND(MIN(MAX(0,N('Your debts'!$E$6)),B103),2)</f>
      </c>
      <c r="M103" s="33">
        <f>ROUND(MIN(MAX(0,N('Your debts'!$E$7)),C103),2)</f>
      </c>
      <c r="N103" s="33">
        <f>ROUND(MIN(MAX(0,N('Your debts'!$E$8)),D103),2)</f>
      </c>
      <c r="O103" s="33">
        <f>ROUND(MIN(MAX(0,N('Your debts'!$E$9)),E103),2)</f>
      </c>
      <c r="P103" s="33">
        <f>ROUND(MIN(MAX(0,N('Your debts'!$E$10)),F103),2)</f>
      </c>
      <c r="Q103" s="33">
        <f>ROUND(MIN(MAX(0,N('Your debts'!$E$11)),G103),2)</f>
      </c>
      <c r="R103" s="33">
        <f>ROUND(MIN(MAX(0,N('Your debts'!$E$12)),H103),2)</f>
      </c>
      <c r="S103" s="33">
        <f>ROUND(MIN(MAX(0,N('Your debts'!$E$13)),I103),2)</f>
      </c>
      <c r="T103" s="33">
        <f>ROUND(MIN(MAX(0,N('Your debts'!$E$14)),J103),2)</f>
      </c>
      <c r="U103" s="33">
        <f>ROUND(MIN(MAX(0,N('Your debts'!$E$15)),K103),2)</f>
      </c>
      <c r="V103" s="33">
        <f>ROUND(B103-L103,2)</f>
      </c>
      <c r="W103" s="33">
        <f>ROUND(C103-M103,2)</f>
      </c>
      <c r="X103" s="33">
        <f>ROUND(D103-N103,2)</f>
      </c>
      <c r="Y103" s="33">
        <f>ROUND(E103-O103,2)</f>
      </c>
      <c r="Z103" s="33">
        <f>ROUND(F103-P103,2)</f>
      </c>
      <c r="AA103" s="33">
        <f>ROUND(G103-Q103,2)</f>
      </c>
      <c r="AB103" s="33">
        <f>ROUND(H103-R103,2)</f>
      </c>
      <c r="AC103" s="33">
        <f>ROUND(I103-S103,2)</f>
      </c>
      <c r="AD103" s="33">
        <f>ROUND(J103-T103,2)</f>
      </c>
      <c r="AE103" s="33">
        <f>ROUND(K103-U103,2)</f>
      </c>
      <c r="AF103" s="33">
        <f>IF(V103&lt;=0,0,MAX(0,MIN(V103,ROUND($AZ103-SUMPRODUCT($V103:$AE103*($V103:$AE103&gt;0)*(($V$3:$AE$3&gt;V$3)+($V$3:$AE$3=V$3)*($V103:$AE103&lt;V103)+($V$3:$AE$3=V$3)*($V103:$AE103=V103)*($V$2:$AE$2&lt;V$2))),2))))</f>
      </c>
      <c r="AG103" s="33">
        <f>IF(W103&lt;=0,0,MAX(0,MIN(W103,ROUND($AZ103-SUMPRODUCT($V103:$AE103*($V103:$AE103&gt;0)*(($V$3:$AE$3&gt;W$3)+($V$3:$AE$3=W$3)*($V103:$AE103&lt;W103)+($V$3:$AE$3=W$3)*($V103:$AE103=W103)*($V$2:$AE$2&lt;W$2))),2))))</f>
      </c>
      <c r="AH103" s="33">
        <f>IF(X103&lt;=0,0,MAX(0,MIN(X103,ROUND($AZ103-SUMPRODUCT($V103:$AE103*($V103:$AE103&gt;0)*(($V$3:$AE$3&gt;X$3)+($V$3:$AE$3=X$3)*($V103:$AE103&lt;X103)+($V$3:$AE$3=X$3)*($V103:$AE103=X103)*($V$2:$AE$2&lt;X$2))),2))))</f>
      </c>
      <c r="AI103" s="33">
        <f>IF(Y103&lt;=0,0,MAX(0,MIN(Y103,ROUND($AZ103-SUMPRODUCT($V103:$AE103*($V103:$AE103&gt;0)*(($V$3:$AE$3&gt;Y$3)+($V$3:$AE$3=Y$3)*($V103:$AE103&lt;Y103)+($V$3:$AE$3=Y$3)*($V103:$AE103=Y103)*($V$2:$AE$2&lt;Y$2))),2))))</f>
      </c>
      <c r="AJ103" s="33">
        <f>IF(Z103&lt;=0,0,MAX(0,MIN(Z103,ROUND($AZ103-SUMPRODUCT($V103:$AE103*($V103:$AE103&gt;0)*(($V$3:$AE$3&gt;Z$3)+($V$3:$AE$3=Z$3)*($V103:$AE103&lt;Z103)+($V$3:$AE$3=Z$3)*($V103:$AE103=Z103)*($V$2:$AE$2&lt;Z$2))),2))))</f>
      </c>
      <c r="AK103" s="33">
        <f>IF(AA103&lt;=0,0,MAX(0,MIN(AA103,ROUND($AZ103-SUMPRODUCT($V103:$AE103*($V103:$AE103&gt;0)*(($V$3:$AE$3&gt;AA$3)+($V$3:$AE$3=AA$3)*($V103:$AE103&lt;AA103)+($V$3:$AE$3=AA$3)*($V103:$AE103=AA103)*($V$2:$AE$2&lt;AA$2))),2))))</f>
      </c>
      <c r="AL103" s="33">
        <f>IF(AB103&lt;=0,0,MAX(0,MIN(AB103,ROUND($AZ103-SUMPRODUCT($V103:$AE103*($V103:$AE103&gt;0)*(($V$3:$AE$3&gt;AB$3)+($V$3:$AE$3=AB$3)*($V103:$AE103&lt;AB103)+($V$3:$AE$3=AB$3)*($V103:$AE103=AB103)*($V$2:$AE$2&lt;AB$2))),2))))</f>
      </c>
      <c r="AM103" s="33">
        <f>IF(AC103&lt;=0,0,MAX(0,MIN(AC103,ROUND($AZ103-SUMPRODUCT($V103:$AE103*($V103:$AE103&gt;0)*(($V$3:$AE$3&gt;AC$3)+($V$3:$AE$3=AC$3)*($V103:$AE103&lt;AC103)+($V$3:$AE$3=AC$3)*($V103:$AE103=AC103)*($V$2:$AE$2&lt;AC$2))),2))))</f>
      </c>
      <c r="AN103" s="33">
        <f>IF(AD103&lt;=0,0,MAX(0,MIN(AD103,ROUND($AZ103-SUMPRODUCT($V103:$AE103*($V103:$AE103&gt;0)*(($V$3:$AE$3&gt;AD$3)+($V$3:$AE$3=AD$3)*($V103:$AE103&lt;AD103)+($V$3:$AE$3=AD$3)*($V103:$AE103=AD103)*($V$2:$AE$2&lt;AD$2))),2))))</f>
      </c>
      <c r="AO103" s="33">
        <f>IF(AE103&lt;=0,0,MAX(0,MIN(AE103,ROUND($AZ103-SUMPRODUCT($V103:$AE103*($V103:$AE103&gt;0)*(($V$3:$AE$3&gt;AE$3)+($V$3:$AE$3=AE$3)*($V103:$AE103&lt;AE103)+($V$3:$AE$3=AE$3)*($V103:$AE103=AE103)*($V$2:$AE$2&lt;AE$2))),2))))</f>
      </c>
      <c r="AP103" s="33">
        <f>ROUND(V103-AF103,2)</f>
      </c>
      <c r="AQ103" s="33">
        <f>ROUND(W103-AG103,2)</f>
      </c>
      <c r="AR103" s="33">
        <f>ROUND(X103-AH103,2)</f>
      </c>
      <c r="AS103" s="33">
        <f>ROUND(Y103-AI103,2)</f>
      </c>
      <c r="AT103" s="33">
        <f>ROUND(Z103-AJ103,2)</f>
      </c>
      <c r="AU103" s="33">
        <f>ROUND(AA103-AK103,2)</f>
      </c>
      <c r="AV103" s="33">
        <f>ROUND(AB103-AL103,2)</f>
      </c>
      <c r="AW103" s="33">
        <f>ROUND(AC103-AM103,2)</f>
      </c>
      <c r="AX103" s="33">
        <f>ROUND(AD103-AN103,2)</f>
      </c>
      <c r="AY103" s="33">
        <f>ROUND(AE103-AO103,2)</f>
      </c>
      <c r="AZ103" s="33">
        <f>ROUND(MAX(0,'Your debts'!$D$22-SUM($L103:$U103)),2)</f>
      </c>
      <c r="BA103" s="33">
        <f>ROUND(SUM($B103:$K103)-SUM($AP102:$AY102),2)</f>
      </c>
      <c r="BB103" s="33">
        <f>SUM($AP103:$AY103)</f>
      </c>
      <c r="BC103" s="33">
        <f>ROUND(SUM($L103:$U103)+SUM($AF103:$AO103),2)</f>
      </c>
    </row>
    <row r="104" spans="1:55" x14ac:dyDescent="0.25">
      <c r="A104">
        <v>97</v>
      </c>
      <c r="B104" s="33">
        <f>IF(AP103&lt;=0,0,ROUND(AP103+ROUND(AP103*V$3/12,2),2))</f>
      </c>
      <c r="C104" s="33">
        <f>IF(AQ103&lt;=0,0,ROUND(AQ103+ROUND(AQ103*W$3/12,2),2))</f>
      </c>
      <c r="D104" s="33">
        <f>IF(AR103&lt;=0,0,ROUND(AR103+ROUND(AR103*X$3/12,2),2))</f>
      </c>
      <c r="E104" s="33">
        <f>IF(AS103&lt;=0,0,ROUND(AS103+ROUND(AS103*Y$3/12,2),2))</f>
      </c>
      <c r="F104" s="33">
        <f>IF(AT103&lt;=0,0,ROUND(AT103+ROUND(AT103*Z$3/12,2),2))</f>
      </c>
      <c r="G104" s="33">
        <f>IF(AU103&lt;=0,0,ROUND(AU103+ROUND(AU103*AA$3/12,2),2))</f>
      </c>
      <c r="H104" s="33">
        <f>IF(AV103&lt;=0,0,ROUND(AV103+ROUND(AV103*AB$3/12,2),2))</f>
      </c>
      <c r="I104" s="33">
        <f>IF(AW103&lt;=0,0,ROUND(AW103+ROUND(AW103*AC$3/12,2),2))</f>
      </c>
      <c r="J104" s="33">
        <f>IF(AX103&lt;=0,0,ROUND(AX103+ROUND(AX103*AD$3/12,2),2))</f>
      </c>
      <c r="K104" s="33">
        <f>IF(AY103&lt;=0,0,ROUND(AY103+ROUND(AY103*AE$3/12,2),2))</f>
      </c>
      <c r="L104" s="33">
        <f>ROUND(MIN(MAX(0,N('Your debts'!$E$6)),B104),2)</f>
      </c>
      <c r="M104" s="33">
        <f>ROUND(MIN(MAX(0,N('Your debts'!$E$7)),C104),2)</f>
      </c>
      <c r="N104" s="33">
        <f>ROUND(MIN(MAX(0,N('Your debts'!$E$8)),D104),2)</f>
      </c>
      <c r="O104" s="33">
        <f>ROUND(MIN(MAX(0,N('Your debts'!$E$9)),E104),2)</f>
      </c>
      <c r="P104" s="33">
        <f>ROUND(MIN(MAX(0,N('Your debts'!$E$10)),F104),2)</f>
      </c>
      <c r="Q104" s="33">
        <f>ROUND(MIN(MAX(0,N('Your debts'!$E$11)),G104),2)</f>
      </c>
      <c r="R104" s="33">
        <f>ROUND(MIN(MAX(0,N('Your debts'!$E$12)),H104),2)</f>
      </c>
      <c r="S104" s="33">
        <f>ROUND(MIN(MAX(0,N('Your debts'!$E$13)),I104),2)</f>
      </c>
      <c r="T104" s="33">
        <f>ROUND(MIN(MAX(0,N('Your debts'!$E$14)),J104),2)</f>
      </c>
      <c r="U104" s="33">
        <f>ROUND(MIN(MAX(0,N('Your debts'!$E$15)),K104),2)</f>
      </c>
      <c r="V104" s="33">
        <f>ROUND(B104-L104,2)</f>
      </c>
      <c r="W104" s="33">
        <f>ROUND(C104-M104,2)</f>
      </c>
      <c r="X104" s="33">
        <f>ROUND(D104-N104,2)</f>
      </c>
      <c r="Y104" s="33">
        <f>ROUND(E104-O104,2)</f>
      </c>
      <c r="Z104" s="33">
        <f>ROUND(F104-P104,2)</f>
      </c>
      <c r="AA104" s="33">
        <f>ROUND(G104-Q104,2)</f>
      </c>
      <c r="AB104" s="33">
        <f>ROUND(H104-R104,2)</f>
      </c>
      <c r="AC104" s="33">
        <f>ROUND(I104-S104,2)</f>
      </c>
      <c r="AD104" s="33">
        <f>ROUND(J104-T104,2)</f>
      </c>
      <c r="AE104" s="33">
        <f>ROUND(K104-U104,2)</f>
      </c>
      <c r="AF104" s="33">
        <f>IF(V104&lt;=0,0,MAX(0,MIN(V104,ROUND($AZ104-SUMPRODUCT($V104:$AE104*($V104:$AE104&gt;0)*(($V$3:$AE$3&gt;V$3)+($V$3:$AE$3=V$3)*($V104:$AE104&lt;V104)+($V$3:$AE$3=V$3)*($V104:$AE104=V104)*($V$2:$AE$2&lt;V$2))),2))))</f>
      </c>
      <c r="AG104" s="33">
        <f>IF(W104&lt;=0,0,MAX(0,MIN(W104,ROUND($AZ104-SUMPRODUCT($V104:$AE104*($V104:$AE104&gt;0)*(($V$3:$AE$3&gt;W$3)+($V$3:$AE$3=W$3)*($V104:$AE104&lt;W104)+($V$3:$AE$3=W$3)*($V104:$AE104=W104)*($V$2:$AE$2&lt;W$2))),2))))</f>
      </c>
      <c r="AH104" s="33">
        <f>IF(X104&lt;=0,0,MAX(0,MIN(X104,ROUND($AZ104-SUMPRODUCT($V104:$AE104*($V104:$AE104&gt;0)*(($V$3:$AE$3&gt;X$3)+($V$3:$AE$3=X$3)*($V104:$AE104&lt;X104)+($V$3:$AE$3=X$3)*($V104:$AE104=X104)*($V$2:$AE$2&lt;X$2))),2))))</f>
      </c>
      <c r="AI104" s="33">
        <f>IF(Y104&lt;=0,0,MAX(0,MIN(Y104,ROUND($AZ104-SUMPRODUCT($V104:$AE104*($V104:$AE104&gt;0)*(($V$3:$AE$3&gt;Y$3)+($V$3:$AE$3=Y$3)*($V104:$AE104&lt;Y104)+($V$3:$AE$3=Y$3)*($V104:$AE104=Y104)*($V$2:$AE$2&lt;Y$2))),2))))</f>
      </c>
      <c r="AJ104" s="33">
        <f>IF(Z104&lt;=0,0,MAX(0,MIN(Z104,ROUND($AZ104-SUMPRODUCT($V104:$AE104*($V104:$AE104&gt;0)*(($V$3:$AE$3&gt;Z$3)+($V$3:$AE$3=Z$3)*($V104:$AE104&lt;Z104)+($V$3:$AE$3=Z$3)*($V104:$AE104=Z104)*($V$2:$AE$2&lt;Z$2))),2))))</f>
      </c>
      <c r="AK104" s="33">
        <f>IF(AA104&lt;=0,0,MAX(0,MIN(AA104,ROUND($AZ104-SUMPRODUCT($V104:$AE104*($V104:$AE104&gt;0)*(($V$3:$AE$3&gt;AA$3)+($V$3:$AE$3=AA$3)*($V104:$AE104&lt;AA104)+($V$3:$AE$3=AA$3)*($V104:$AE104=AA104)*($V$2:$AE$2&lt;AA$2))),2))))</f>
      </c>
      <c r="AL104" s="33">
        <f>IF(AB104&lt;=0,0,MAX(0,MIN(AB104,ROUND($AZ104-SUMPRODUCT($V104:$AE104*($V104:$AE104&gt;0)*(($V$3:$AE$3&gt;AB$3)+($V$3:$AE$3=AB$3)*($V104:$AE104&lt;AB104)+($V$3:$AE$3=AB$3)*($V104:$AE104=AB104)*($V$2:$AE$2&lt;AB$2))),2))))</f>
      </c>
      <c r="AM104" s="33">
        <f>IF(AC104&lt;=0,0,MAX(0,MIN(AC104,ROUND($AZ104-SUMPRODUCT($V104:$AE104*($V104:$AE104&gt;0)*(($V$3:$AE$3&gt;AC$3)+($V$3:$AE$3=AC$3)*($V104:$AE104&lt;AC104)+($V$3:$AE$3=AC$3)*($V104:$AE104=AC104)*($V$2:$AE$2&lt;AC$2))),2))))</f>
      </c>
      <c r="AN104" s="33">
        <f>IF(AD104&lt;=0,0,MAX(0,MIN(AD104,ROUND($AZ104-SUMPRODUCT($V104:$AE104*($V104:$AE104&gt;0)*(($V$3:$AE$3&gt;AD$3)+($V$3:$AE$3=AD$3)*($V104:$AE104&lt;AD104)+($V$3:$AE$3=AD$3)*($V104:$AE104=AD104)*($V$2:$AE$2&lt;AD$2))),2))))</f>
      </c>
      <c r="AO104" s="33">
        <f>IF(AE104&lt;=0,0,MAX(0,MIN(AE104,ROUND($AZ104-SUMPRODUCT($V104:$AE104*($V104:$AE104&gt;0)*(($V$3:$AE$3&gt;AE$3)+($V$3:$AE$3=AE$3)*($V104:$AE104&lt;AE104)+($V$3:$AE$3=AE$3)*($V104:$AE104=AE104)*($V$2:$AE$2&lt;AE$2))),2))))</f>
      </c>
      <c r="AP104" s="33">
        <f>ROUND(V104-AF104,2)</f>
      </c>
      <c r="AQ104" s="33">
        <f>ROUND(W104-AG104,2)</f>
      </c>
      <c r="AR104" s="33">
        <f>ROUND(X104-AH104,2)</f>
      </c>
      <c r="AS104" s="33">
        <f>ROUND(Y104-AI104,2)</f>
      </c>
      <c r="AT104" s="33">
        <f>ROUND(Z104-AJ104,2)</f>
      </c>
      <c r="AU104" s="33">
        <f>ROUND(AA104-AK104,2)</f>
      </c>
      <c r="AV104" s="33">
        <f>ROUND(AB104-AL104,2)</f>
      </c>
      <c r="AW104" s="33">
        <f>ROUND(AC104-AM104,2)</f>
      </c>
      <c r="AX104" s="33">
        <f>ROUND(AD104-AN104,2)</f>
      </c>
      <c r="AY104" s="33">
        <f>ROUND(AE104-AO104,2)</f>
      </c>
      <c r="AZ104" s="33">
        <f>ROUND(MAX(0,'Your debts'!$D$22-SUM($L104:$U104)),2)</f>
      </c>
      <c r="BA104" s="33">
        <f>ROUND(SUM($B104:$K104)-SUM($AP103:$AY103),2)</f>
      </c>
      <c r="BB104" s="33">
        <f>SUM($AP104:$AY104)</f>
      </c>
      <c r="BC104" s="33">
        <f>ROUND(SUM($L104:$U104)+SUM($AF104:$AO104),2)</f>
      </c>
    </row>
    <row r="105" spans="1:55" x14ac:dyDescent="0.25">
      <c r="A105">
        <v>98</v>
      </c>
      <c r="B105" s="33">
        <f>IF(AP104&lt;=0,0,ROUND(AP104+ROUND(AP104*V$3/12,2),2))</f>
      </c>
      <c r="C105" s="33">
        <f>IF(AQ104&lt;=0,0,ROUND(AQ104+ROUND(AQ104*W$3/12,2),2))</f>
      </c>
      <c r="D105" s="33">
        <f>IF(AR104&lt;=0,0,ROUND(AR104+ROUND(AR104*X$3/12,2),2))</f>
      </c>
      <c r="E105" s="33">
        <f>IF(AS104&lt;=0,0,ROUND(AS104+ROUND(AS104*Y$3/12,2),2))</f>
      </c>
      <c r="F105" s="33">
        <f>IF(AT104&lt;=0,0,ROUND(AT104+ROUND(AT104*Z$3/12,2),2))</f>
      </c>
      <c r="G105" s="33">
        <f>IF(AU104&lt;=0,0,ROUND(AU104+ROUND(AU104*AA$3/12,2),2))</f>
      </c>
      <c r="H105" s="33">
        <f>IF(AV104&lt;=0,0,ROUND(AV104+ROUND(AV104*AB$3/12,2),2))</f>
      </c>
      <c r="I105" s="33">
        <f>IF(AW104&lt;=0,0,ROUND(AW104+ROUND(AW104*AC$3/12,2),2))</f>
      </c>
      <c r="J105" s="33">
        <f>IF(AX104&lt;=0,0,ROUND(AX104+ROUND(AX104*AD$3/12,2),2))</f>
      </c>
      <c r="K105" s="33">
        <f>IF(AY104&lt;=0,0,ROUND(AY104+ROUND(AY104*AE$3/12,2),2))</f>
      </c>
      <c r="L105" s="33">
        <f>ROUND(MIN(MAX(0,N('Your debts'!$E$6)),B105),2)</f>
      </c>
      <c r="M105" s="33">
        <f>ROUND(MIN(MAX(0,N('Your debts'!$E$7)),C105),2)</f>
      </c>
      <c r="N105" s="33">
        <f>ROUND(MIN(MAX(0,N('Your debts'!$E$8)),D105),2)</f>
      </c>
      <c r="O105" s="33">
        <f>ROUND(MIN(MAX(0,N('Your debts'!$E$9)),E105),2)</f>
      </c>
      <c r="P105" s="33">
        <f>ROUND(MIN(MAX(0,N('Your debts'!$E$10)),F105),2)</f>
      </c>
      <c r="Q105" s="33">
        <f>ROUND(MIN(MAX(0,N('Your debts'!$E$11)),G105),2)</f>
      </c>
      <c r="R105" s="33">
        <f>ROUND(MIN(MAX(0,N('Your debts'!$E$12)),H105),2)</f>
      </c>
      <c r="S105" s="33">
        <f>ROUND(MIN(MAX(0,N('Your debts'!$E$13)),I105),2)</f>
      </c>
      <c r="T105" s="33">
        <f>ROUND(MIN(MAX(0,N('Your debts'!$E$14)),J105),2)</f>
      </c>
      <c r="U105" s="33">
        <f>ROUND(MIN(MAX(0,N('Your debts'!$E$15)),K105),2)</f>
      </c>
      <c r="V105" s="33">
        <f>ROUND(B105-L105,2)</f>
      </c>
      <c r="W105" s="33">
        <f>ROUND(C105-M105,2)</f>
      </c>
      <c r="X105" s="33">
        <f>ROUND(D105-N105,2)</f>
      </c>
      <c r="Y105" s="33">
        <f>ROUND(E105-O105,2)</f>
      </c>
      <c r="Z105" s="33">
        <f>ROUND(F105-P105,2)</f>
      </c>
      <c r="AA105" s="33">
        <f>ROUND(G105-Q105,2)</f>
      </c>
      <c r="AB105" s="33">
        <f>ROUND(H105-R105,2)</f>
      </c>
      <c r="AC105" s="33">
        <f>ROUND(I105-S105,2)</f>
      </c>
      <c r="AD105" s="33">
        <f>ROUND(J105-T105,2)</f>
      </c>
      <c r="AE105" s="33">
        <f>ROUND(K105-U105,2)</f>
      </c>
      <c r="AF105" s="33">
        <f>IF(V105&lt;=0,0,MAX(0,MIN(V105,ROUND($AZ105-SUMPRODUCT($V105:$AE105*($V105:$AE105&gt;0)*(($V$3:$AE$3&gt;V$3)+($V$3:$AE$3=V$3)*($V105:$AE105&lt;V105)+($V$3:$AE$3=V$3)*($V105:$AE105=V105)*($V$2:$AE$2&lt;V$2))),2))))</f>
      </c>
      <c r="AG105" s="33">
        <f>IF(W105&lt;=0,0,MAX(0,MIN(W105,ROUND($AZ105-SUMPRODUCT($V105:$AE105*($V105:$AE105&gt;0)*(($V$3:$AE$3&gt;W$3)+($V$3:$AE$3=W$3)*($V105:$AE105&lt;W105)+($V$3:$AE$3=W$3)*($V105:$AE105=W105)*($V$2:$AE$2&lt;W$2))),2))))</f>
      </c>
      <c r="AH105" s="33">
        <f>IF(X105&lt;=0,0,MAX(0,MIN(X105,ROUND($AZ105-SUMPRODUCT($V105:$AE105*($V105:$AE105&gt;0)*(($V$3:$AE$3&gt;X$3)+($V$3:$AE$3=X$3)*($V105:$AE105&lt;X105)+($V$3:$AE$3=X$3)*($V105:$AE105=X105)*($V$2:$AE$2&lt;X$2))),2))))</f>
      </c>
      <c r="AI105" s="33">
        <f>IF(Y105&lt;=0,0,MAX(0,MIN(Y105,ROUND($AZ105-SUMPRODUCT($V105:$AE105*($V105:$AE105&gt;0)*(($V$3:$AE$3&gt;Y$3)+($V$3:$AE$3=Y$3)*($V105:$AE105&lt;Y105)+($V$3:$AE$3=Y$3)*($V105:$AE105=Y105)*($V$2:$AE$2&lt;Y$2))),2))))</f>
      </c>
      <c r="AJ105" s="33">
        <f>IF(Z105&lt;=0,0,MAX(0,MIN(Z105,ROUND($AZ105-SUMPRODUCT($V105:$AE105*($V105:$AE105&gt;0)*(($V$3:$AE$3&gt;Z$3)+($V$3:$AE$3=Z$3)*($V105:$AE105&lt;Z105)+($V$3:$AE$3=Z$3)*($V105:$AE105=Z105)*($V$2:$AE$2&lt;Z$2))),2))))</f>
      </c>
      <c r="AK105" s="33">
        <f>IF(AA105&lt;=0,0,MAX(0,MIN(AA105,ROUND($AZ105-SUMPRODUCT($V105:$AE105*($V105:$AE105&gt;0)*(($V$3:$AE$3&gt;AA$3)+($V$3:$AE$3=AA$3)*($V105:$AE105&lt;AA105)+($V$3:$AE$3=AA$3)*($V105:$AE105=AA105)*($V$2:$AE$2&lt;AA$2))),2))))</f>
      </c>
      <c r="AL105" s="33">
        <f>IF(AB105&lt;=0,0,MAX(0,MIN(AB105,ROUND($AZ105-SUMPRODUCT($V105:$AE105*($V105:$AE105&gt;0)*(($V$3:$AE$3&gt;AB$3)+($V$3:$AE$3=AB$3)*($V105:$AE105&lt;AB105)+($V$3:$AE$3=AB$3)*($V105:$AE105=AB105)*($V$2:$AE$2&lt;AB$2))),2))))</f>
      </c>
      <c r="AM105" s="33">
        <f>IF(AC105&lt;=0,0,MAX(0,MIN(AC105,ROUND($AZ105-SUMPRODUCT($V105:$AE105*($V105:$AE105&gt;0)*(($V$3:$AE$3&gt;AC$3)+($V$3:$AE$3=AC$3)*($V105:$AE105&lt;AC105)+($V$3:$AE$3=AC$3)*($V105:$AE105=AC105)*($V$2:$AE$2&lt;AC$2))),2))))</f>
      </c>
      <c r="AN105" s="33">
        <f>IF(AD105&lt;=0,0,MAX(0,MIN(AD105,ROUND($AZ105-SUMPRODUCT($V105:$AE105*($V105:$AE105&gt;0)*(($V$3:$AE$3&gt;AD$3)+($V$3:$AE$3=AD$3)*($V105:$AE105&lt;AD105)+($V$3:$AE$3=AD$3)*($V105:$AE105=AD105)*($V$2:$AE$2&lt;AD$2))),2))))</f>
      </c>
      <c r="AO105" s="33">
        <f>IF(AE105&lt;=0,0,MAX(0,MIN(AE105,ROUND($AZ105-SUMPRODUCT($V105:$AE105*($V105:$AE105&gt;0)*(($V$3:$AE$3&gt;AE$3)+($V$3:$AE$3=AE$3)*($V105:$AE105&lt;AE105)+($V$3:$AE$3=AE$3)*($V105:$AE105=AE105)*($V$2:$AE$2&lt;AE$2))),2))))</f>
      </c>
      <c r="AP105" s="33">
        <f>ROUND(V105-AF105,2)</f>
      </c>
      <c r="AQ105" s="33">
        <f>ROUND(W105-AG105,2)</f>
      </c>
      <c r="AR105" s="33">
        <f>ROUND(X105-AH105,2)</f>
      </c>
      <c r="AS105" s="33">
        <f>ROUND(Y105-AI105,2)</f>
      </c>
      <c r="AT105" s="33">
        <f>ROUND(Z105-AJ105,2)</f>
      </c>
      <c r="AU105" s="33">
        <f>ROUND(AA105-AK105,2)</f>
      </c>
      <c r="AV105" s="33">
        <f>ROUND(AB105-AL105,2)</f>
      </c>
      <c r="AW105" s="33">
        <f>ROUND(AC105-AM105,2)</f>
      </c>
      <c r="AX105" s="33">
        <f>ROUND(AD105-AN105,2)</f>
      </c>
      <c r="AY105" s="33">
        <f>ROUND(AE105-AO105,2)</f>
      </c>
      <c r="AZ105" s="33">
        <f>ROUND(MAX(0,'Your debts'!$D$22-SUM($L105:$U105)),2)</f>
      </c>
      <c r="BA105" s="33">
        <f>ROUND(SUM($B105:$K105)-SUM($AP104:$AY104),2)</f>
      </c>
      <c r="BB105" s="33">
        <f>SUM($AP105:$AY105)</f>
      </c>
      <c r="BC105" s="33">
        <f>ROUND(SUM($L105:$U105)+SUM($AF105:$AO105),2)</f>
      </c>
    </row>
    <row r="106" spans="1:55" x14ac:dyDescent="0.25">
      <c r="A106">
        <v>99</v>
      </c>
      <c r="B106" s="33">
        <f>IF(AP105&lt;=0,0,ROUND(AP105+ROUND(AP105*V$3/12,2),2))</f>
      </c>
      <c r="C106" s="33">
        <f>IF(AQ105&lt;=0,0,ROUND(AQ105+ROUND(AQ105*W$3/12,2),2))</f>
      </c>
      <c r="D106" s="33">
        <f>IF(AR105&lt;=0,0,ROUND(AR105+ROUND(AR105*X$3/12,2),2))</f>
      </c>
      <c r="E106" s="33">
        <f>IF(AS105&lt;=0,0,ROUND(AS105+ROUND(AS105*Y$3/12,2),2))</f>
      </c>
      <c r="F106" s="33">
        <f>IF(AT105&lt;=0,0,ROUND(AT105+ROUND(AT105*Z$3/12,2),2))</f>
      </c>
      <c r="G106" s="33">
        <f>IF(AU105&lt;=0,0,ROUND(AU105+ROUND(AU105*AA$3/12,2),2))</f>
      </c>
      <c r="H106" s="33">
        <f>IF(AV105&lt;=0,0,ROUND(AV105+ROUND(AV105*AB$3/12,2),2))</f>
      </c>
      <c r="I106" s="33">
        <f>IF(AW105&lt;=0,0,ROUND(AW105+ROUND(AW105*AC$3/12,2),2))</f>
      </c>
      <c r="J106" s="33">
        <f>IF(AX105&lt;=0,0,ROUND(AX105+ROUND(AX105*AD$3/12,2),2))</f>
      </c>
      <c r="K106" s="33">
        <f>IF(AY105&lt;=0,0,ROUND(AY105+ROUND(AY105*AE$3/12,2),2))</f>
      </c>
      <c r="L106" s="33">
        <f>ROUND(MIN(MAX(0,N('Your debts'!$E$6)),B106),2)</f>
      </c>
      <c r="M106" s="33">
        <f>ROUND(MIN(MAX(0,N('Your debts'!$E$7)),C106),2)</f>
      </c>
      <c r="N106" s="33">
        <f>ROUND(MIN(MAX(0,N('Your debts'!$E$8)),D106),2)</f>
      </c>
      <c r="O106" s="33">
        <f>ROUND(MIN(MAX(0,N('Your debts'!$E$9)),E106),2)</f>
      </c>
      <c r="P106" s="33">
        <f>ROUND(MIN(MAX(0,N('Your debts'!$E$10)),F106),2)</f>
      </c>
      <c r="Q106" s="33">
        <f>ROUND(MIN(MAX(0,N('Your debts'!$E$11)),G106),2)</f>
      </c>
      <c r="R106" s="33">
        <f>ROUND(MIN(MAX(0,N('Your debts'!$E$12)),H106),2)</f>
      </c>
      <c r="S106" s="33">
        <f>ROUND(MIN(MAX(0,N('Your debts'!$E$13)),I106),2)</f>
      </c>
      <c r="T106" s="33">
        <f>ROUND(MIN(MAX(0,N('Your debts'!$E$14)),J106),2)</f>
      </c>
      <c r="U106" s="33">
        <f>ROUND(MIN(MAX(0,N('Your debts'!$E$15)),K106),2)</f>
      </c>
      <c r="V106" s="33">
        <f>ROUND(B106-L106,2)</f>
      </c>
      <c r="W106" s="33">
        <f>ROUND(C106-M106,2)</f>
      </c>
      <c r="X106" s="33">
        <f>ROUND(D106-N106,2)</f>
      </c>
      <c r="Y106" s="33">
        <f>ROUND(E106-O106,2)</f>
      </c>
      <c r="Z106" s="33">
        <f>ROUND(F106-P106,2)</f>
      </c>
      <c r="AA106" s="33">
        <f>ROUND(G106-Q106,2)</f>
      </c>
      <c r="AB106" s="33">
        <f>ROUND(H106-R106,2)</f>
      </c>
      <c r="AC106" s="33">
        <f>ROUND(I106-S106,2)</f>
      </c>
      <c r="AD106" s="33">
        <f>ROUND(J106-T106,2)</f>
      </c>
      <c r="AE106" s="33">
        <f>ROUND(K106-U106,2)</f>
      </c>
      <c r="AF106" s="33">
        <f>IF(V106&lt;=0,0,MAX(0,MIN(V106,ROUND($AZ106-SUMPRODUCT($V106:$AE106*($V106:$AE106&gt;0)*(($V$3:$AE$3&gt;V$3)+($V$3:$AE$3=V$3)*($V106:$AE106&lt;V106)+($V$3:$AE$3=V$3)*($V106:$AE106=V106)*($V$2:$AE$2&lt;V$2))),2))))</f>
      </c>
      <c r="AG106" s="33">
        <f>IF(W106&lt;=0,0,MAX(0,MIN(W106,ROUND($AZ106-SUMPRODUCT($V106:$AE106*($V106:$AE106&gt;0)*(($V$3:$AE$3&gt;W$3)+($V$3:$AE$3=W$3)*($V106:$AE106&lt;W106)+($V$3:$AE$3=W$3)*($V106:$AE106=W106)*($V$2:$AE$2&lt;W$2))),2))))</f>
      </c>
      <c r="AH106" s="33">
        <f>IF(X106&lt;=0,0,MAX(0,MIN(X106,ROUND($AZ106-SUMPRODUCT($V106:$AE106*($V106:$AE106&gt;0)*(($V$3:$AE$3&gt;X$3)+($V$3:$AE$3=X$3)*($V106:$AE106&lt;X106)+($V$3:$AE$3=X$3)*($V106:$AE106=X106)*($V$2:$AE$2&lt;X$2))),2))))</f>
      </c>
      <c r="AI106" s="33">
        <f>IF(Y106&lt;=0,0,MAX(0,MIN(Y106,ROUND($AZ106-SUMPRODUCT($V106:$AE106*($V106:$AE106&gt;0)*(($V$3:$AE$3&gt;Y$3)+($V$3:$AE$3=Y$3)*($V106:$AE106&lt;Y106)+($V$3:$AE$3=Y$3)*($V106:$AE106=Y106)*($V$2:$AE$2&lt;Y$2))),2))))</f>
      </c>
      <c r="AJ106" s="33">
        <f>IF(Z106&lt;=0,0,MAX(0,MIN(Z106,ROUND($AZ106-SUMPRODUCT($V106:$AE106*($V106:$AE106&gt;0)*(($V$3:$AE$3&gt;Z$3)+($V$3:$AE$3=Z$3)*($V106:$AE106&lt;Z106)+($V$3:$AE$3=Z$3)*($V106:$AE106=Z106)*($V$2:$AE$2&lt;Z$2))),2))))</f>
      </c>
      <c r="AK106" s="33">
        <f>IF(AA106&lt;=0,0,MAX(0,MIN(AA106,ROUND($AZ106-SUMPRODUCT($V106:$AE106*($V106:$AE106&gt;0)*(($V$3:$AE$3&gt;AA$3)+($V$3:$AE$3=AA$3)*($V106:$AE106&lt;AA106)+($V$3:$AE$3=AA$3)*($V106:$AE106=AA106)*($V$2:$AE$2&lt;AA$2))),2))))</f>
      </c>
      <c r="AL106" s="33">
        <f>IF(AB106&lt;=0,0,MAX(0,MIN(AB106,ROUND($AZ106-SUMPRODUCT($V106:$AE106*($V106:$AE106&gt;0)*(($V$3:$AE$3&gt;AB$3)+($V$3:$AE$3=AB$3)*($V106:$AE106&lt;AB106)+($V$3:$AE$3=AB$3)*($V106:$AE106=AB106)*($V$2:$AE$2&lt;AB$2))),2))))</f>
      </c>
      <c r="AM106" s="33">
        <f>IF(AC106&lt;=0,0,MAX(0,MIN(AC106,ROUND($AZ106-SUMPRODUCT($V106:$AE106*($V106:$AE106&gt;0)*(($V$3:$AE$3&gt;AC$3)+($V$3:$AE$3=AC$3)*($V106:$AE106&lt;AC106)+($V$3:$AE$3=AC$3)*($V106:$AE106=AC106)*($V$2:$AE$2&lt;AC$2))),2))))</f>
      </c>
      <c r="AN106" s="33">
        <f>IF(AD106&lt;=0,0,MAX(0,MIN(AD106,ROUND($AZ106-SUMPRODUCT($V106:$AE106*($V106:$AE106&gt;0)*(($V$3:$AE$3&gt;AD$3)+($V$3:$AE$3=AD$3)*($V106:$AE106&lt;AD106)+($V$3:$AE$3=AD$3)*($V106:$AE106=AD106)*($V$2:$AE$2&lt;AD$2))),2))))</f>
      </c>
      <c r="AO106" s="33">
        <f>IF(AE106&lt;=0,0,MAX(0,MIN(AE106,ROUND($AZ106-SUMPRODUCT($V106:$AE106*($V106:$AE106&gt;0)*(($V$3:$AE$3&gt;AE$3)+($V$3:$AE$3=AE$3)*($V106:$AE106&lt;AE106)+($V$3:$AE$3=AE$3)*($V106:$AE106=AE106)*($V$2:$AE$2&lt;AE$2))),2))))</f>
      </c>
      <c r="AP106" s="33">
        <f>ROUND(V106-AF106,2)</f>
      </c>
      <c r="AQ106" s="33">
        <f>ROUND(W106-AG106,2)</f>
      </c>
      <c r="AR106" s="33">
        <f>ROUND(X106-AH106,2)</f>
      </c>
      <c r="AS106" s="33">
        <f>ROUND(Y106-AI106,2)</f>
      </c>
      <c r="AT106" s="33">
        <f>ROUND(Z106-AJ106,2)</f>
      </c>
      <c r="AU106" s="33">
        <f>ROUND(AA106-AK106,2)</f>
      </c>
      <c r="AV106" s="33">
        <f>ROUND(AB106-AL106,2)</f>
      </c>
      <c r="AW106" s="33">
        <f>ROUND(AC106-AM106,2)</f>
      </c>
      <c r="AX106" s="33">
        <f>ROUND(AD106-AN106,2)</f>
      </c>
      <c r="AY106" s="33">
        <f>ROUND(AE106-AO106,2)</f>
      </c>
      <c r="AZ106" s="33">
        <f>ROUND(MAX(0,'Your debts'!$D$22-SUM($L106:$U106)),2)</f>
      </c>
      <c r="BA106" s="33">
        <f>ROUND(SUM($B106:$K106)-SUM($AP105:$AY105),2)</f>
      </c>
      <c r="BB106" s="33">
        <f>SUM($AP106:$AY106)</f>
      </c>
      <c r="BC106" s="33">
        <f>ROUND(SUM($L106:$U106)+SUM($AF106:$AO106),2)</f>
      </c>
    </row>
    <row r="107" spans="1:55" x14ac:dyDescent="0.25">
      <c r="A107">
        <v>100</v>
      </c>
      <c r="B107" s="33">
        <f>IF(AP106&lt;=0,0,ROUND(AP106+ROUND(AP106*V$3/12,2),2))</f>
      </c>
      <c r="C107" s="33">
        <f>IF(AQ106&lt;=0,0,ROUND(AQ106+ROUND(AQ106*W$3/12,2),2))</f>
      </c>
      <c r="D107" s="33">
        <f>IF(AR106&lt;=0,0,ROUND(AR106+ROUND(AR106*X$3/12,2),2))</f>
      </c>
      <c r="E107" s="33">
        <f>IF(AS106&lt;=0,0,ROUND(AS106+ROUND(AS106*Y$3/12,2),2))</f>
      </c>
      <c r="F107" s="33">
        <f>IF(AT106&lt;=0,0,ROUND(AT106+ROUND(AT106*Z$3/12,2),2))</f>
      </c>
      <c r="G107" s="33">
        <f>IF(AU106&lt;=0,0,ROUND(AU106+ROUND(AU106*AA$3/12,2),2))</f>
      </c>
      <c r="H107" s="33">
        <f>IF(AV106&lt;=0,0,ROUND(AV106+ROUND(AV106*AB$3/12,2),2))</f>
      </c>
      <c r="I107" s="33">
        <f>IF(AW106&lt;=0,0,ROUND(AW106+ROUND(AW106*AC$3/12,2),2))</f>
      </c>
      <c r="J107" s="33">
        <f>IF(AX106&lt;=0,0,ROUND(AX106+ROUND(AX106*AD$3/12,2),2))</f>
      </c>
      <c r="K107" s="33">
        <f>IF(AY106&lt;=0,0,ROUND(AY106+ROUND(AY106*AE$3/12,2),2))</f>
      </c>
      <c r="L107" s="33">
        <f>ROUND(MIN(MAX(0,N('Your debts'!$E$6)),B107),2)</f>
      </c>
      <c r="M107" s="33">
        <f>ROUND(MIN(MAX(0,N('Your debts'!$E$7)),C107),2)</f>
      </c>
      <c r="N107" s="33">
        <f>ROUND(MIN(MAX(0,N('Your debts'!$E$8)),D107),2)</f>
      </c>
      <c r="O107" s="33">
        <f>ROUND(MIN(MAX(0,N('Your debts'!$E$9)),E107),2)</f>
      </c>
      <c r="P107" s="33">
        <f>ROUND(MIN(MAX(0,N('Your debts'!$E$10)),F107),2)</f>
      </c>
      <c r="Q107" s="33">
        <f>ROUND(MIN(MAX(0,N('Your debts'!$E$11)),G107),2)</f>
      </c>
      <c r="R107" s="33">
        <f>ROUND(MIN(MAX(0,N('Your debts'!$E$12)),H107),2)</f>
      </c>
      <c r="S107" s="33">
        <f>ROUND(MIN(MAX(0,N('Your debts'!$E$13)),I107),2)</f>
      </c>
      <c r="T107" s="33">
        <f>ROUND(MIN(MAX(0,N('Your debts'!$E$14)),J107),2)</f>
      </c>
      <c r="U107" s="33">
        <f>ROUND(MIN(MAX(0,N('Your debts'!$E$15)),K107),2)</f>
      </c>
      <c r="V107" s="33">
        <f>ROUND(B107-L107,2)</f>
      </c>
      <c r="W107" s="33">
        <f>ROUND(C107-M107,2)</f>
      </c>
      <c r="X107" s="33">
        <f>ROUND(D107-N107,2)</f>
      </c>
      <c r="Y107" s="33">
        <f>ROUND(E107-O107,2)</f>
      </c>
      <c r="Z107" s="33">
        <f>ROUND(F107-P107,2)</f>
      </c>
      <c r="AA107" s="33">
        <f>ROUND(G107-Q107,2)</f>
      </c>
      <c r="AB107" s="33">
        <f>ROUND(H107-R107,2)</f>
      </c>
      <c r="AC107" s="33">
        <f>ROUND(I107-S107,2)</f>
      </c>
      <c r="AD107" s="33">
        <f>ROUND(J107-T107,2)</f>
      </c>
      <c r="AE107" s="33">
        <f>ROUND(K107-U107,2)</f>
      </c>
      <c r="AF107" s="33">
        <f>IF(V107&lt;=0,0,MAX(0,MIN(V107,ROUND($AZ107-SUMPRODUCT($V107:$AE107*($V107:$AE107&gt;0)*(($V$3:$AE$3&gt;V$3)+($V$3:$AE$3=V$3)*($V107:$AE107&lt;V107)+($V$3:$AE$3=V$3)*($V107:$AE107=V107)*($V$2:$AE$2&lt;V$2))),2))))</f>
      </c>
      <c r="AG107" s="33">
        <f>IF(W107&lt;=0,0,MAX(0,MIN(W107,ROUND($AZ107-SUMPRODUCT($V107:$AE107*($V107:$AE107&gt;0)*(($V$3:$AE$3&gt;W$3)+($V$3:$AE$3=W$3)*($V107:$AE107&lt;W107)+($V$3:$AE$3=W$3)*($V107:$AE107=W107)*($V$2:$AE$2&lt;W$2))),2))))</f>
      </c>
      <c r="AH107" s="33">
        <f>IF(X107&lt;=0,0,MAX(0,MIN(X107,ROUND($AZ107-SUMPRODUCT($V107:$AE107*($V107:$AE107&gt;0)*(($V$3:$AE$3&gt;X$3)+($V$3:$AE$3=X$3)*($V107:$AE107&lt;X107)+($V$3:$AE$3=X$3)*($V107:$AE107=X107)*($V$2:$AE$2&lt;X$2))),2))))</f>
      </c>
      <c r="AI107" s="33">
        <f>IF(Y107&lt;=0,0,MAX(0,MIN(Y107,ROUND($AZ107-SUMPRODUCT($V107:$AE107*($V107:$AE107&gt;0)*(($V$3:$AE$3&gt;Y$3)+($V$3:$AE$3=Y$3)*($V107:$AE107&lt;Y107)+($V$3:$AE$3=Y$3)*($V107:$AE107=Y107)*($V$2:$AE$2&lt;Y$2))),2))))</f>
      </c>
      <c r="AJ107" s="33">
        <f>IF(Z107&lt;=0,0,MAX(0,MIN(Z107,ROUND($AZ107-SUMPRODUCT($V107:$AE107*($V107:$AE107&gt;0)*(($V$3:$AE$3&gt;Z$3)+($V$3:$AE$3=Z$3)*($V107:$AE107&lt;Z107)+($V$3:$AE$3=Z$3)*($V107:$AE107=Z107)*($V$2:$AE$2&lt;Z$2))),2))))</f>
      </c>
      <c r="AK107" s="33">
        <f>IF(AA107&lt;=0,0,MAX(0,MIN(AA107,ROUND($AZ107-SUMPRODUCT($V107:$AE107*($V107:$AE107&gt;0)*(($V$3:$AE$3&gt;AA$3)+($V$3:$AE$3=AA$3)*($V107:$AE107&lt;AA107)+($V$3:$AE$3=AA$3)*($V107:$AE107=AA107)*($V$2:$AE$2&lt;AA$2))),2))))</f>
      </c>
      <c r="AL107" s="33">
        <f>IF(AB107&lt;=0,0,MAX(0,MIN(AB107,ROUND($AZ107-SUMPRODUCT($V107:$AE107*($V107:$AE107&gt;0)*(($V$3:$AE$3&gt;AB$3)+($V$3:$AE$3=AB$3)*($V107:$AE107&lt;AB107)+($V$3:$AE$3=AB$3)*($V107:$AE107=AB107)*($V$2:$AE$2&lt;AB$2))),2))))</f>
      </c>
      <c r="AM107" s="33">
        <f>IF(AC107&lt;=0,0,MAX(0,MIN(AC107,ROUND($AZ107-SUMPRODUCT($V107:$AE107*($V107:$AE107&gt;0)*(($V$3:$AE$3&gt;AC$3)+($V$3:$AE$3=AC$3)*($V107:$AE107&lt;AC107)+($V$3:$AE$3=AC$3)*($V107:$AE107=AC107)*($V$2:$AE$2&lt;AC$2))),2))))</f>
      </c>
      <c r="AN107" s="33">
        <f>IF(AD107&lt;=0,0,MAX(0,MIN(AD107,ROUND($AZ107-SUMPRODUCT($V107:$AE107*($V107:$AE107&gt;0)*(($V$3:$AE$3&gt;AD$3)+($V$3:$AE$3=AD$3)*($V107:$AE107&lt;AD107)+($V$3:$AE$3=AD$3)*($V107:$AE107=AD107)*($V$2:$AE$2&lt;AD$2))),2))))</f>
      </c>
      <c r="AO107" s="33">
        <f>IF(AE107&lt;=0,0,MAX(0,MIN(AE107,ROUND($AZ107-SUMPRODUCT($V107:$AE107*($V107:$AE107&gt;0)*(($V$3:$AE$3&gt;AE$3)+($V$3:$AE$3=AE$3)*($V107:$AE107&lt;AE107)+($V$3:$AE$3=AE$3)*($V107:$AE107=AE107)*($V$2:$AE$2&lt;AE$2))),2))))</f>
      </c>
      <c r="AP107" s="33">
        <f>ROUND(V107-AF107,2)</f>
      </c>
      <c r="AQ107" s="33">
        <f>ROUND(W107-AG107,2)</f>
      </c>
      <c r="AR107" s="33">
        <f>ROUND(X107-AH107,2)</f>
      </c>
      <c r="AS107" s="33">
        <f>ROUND(Y107-AI107,2)</f>
      </c>
      <c r="AT107" s="33">
        <f>ROUND(Z107-AJ107,2)</f>
      </c>
      <c r="AU107" s="33">
        <f>ROUND(AA107-AK107,2)</f>
      </c>
      <c r="AV107" s="33">
        <f>ROUND(AB107-AL107,2)</f>
      </c>
      <c r="AW107" s="33">
        <f>ROUND(AC107-AM107,2)</f>
      </c>
      <c r="AX107" s="33">
        <f>ROUND(AD107-AN107,2)</f>
      </c>
      <c r="AY107" s="33">
        <f>ROUND(AE107-AO107,2)</f>
      </c>
      <c r="AZ107" s="33">
        <f>ROUND(MAX(0,'Your debts'!$D$22-SUM($L107:$U107)),2)</f>
      </c>
      <c r="BA107" s="33">
        <f>ROUND(SUM($B107:$K107)-SUM($AP106:$AY106),2)</f>
      </c>
      <c r="BB107" s="33">
        <f>SUM($AP107:$AY107)</f>
      </c>
      <c r="BC107" s="33">
        <f>ROUND(SUM($L107:$U107)+SUM($AF107:$AO107),2)</f>
      </c>
    </row>
    <row r="108" spans="1:55" x14ac:dyDescent="0.25">
      <c r="A108">
        <v>101</v>
      </c>
      <c r="B108" s="33">
        <f>IF(AP107&lt;=0,0,ROUND(AP107+ROUND(AP107*V$3/12,2),2))</f>
      </c>
      <c r="C108" s="33">
        <f>IF(AQ107&lt;=0,0,ROUND(AQ107+ROUND(AQ107*W$3/12,2),2))</f>
      </c>
      <c r="D108" s="33">
        <f>IF(AR107&lt;=0,0,ROUND(AR107+ROUND(AR107*X$3/12,2),2))</f>
      </c>
      <c r="E108" s="33">
        <f>IF(AS107&lt;=0,0,ROUND(AS107+ROUND(AS107*Y$3/12,2),2))</f>
      </c>
      <c r="F108" s="33">
        <f>IF(AT107&lt;=0,0,ROUND(AT107+ROUND(AT107*Z$3/12,2),2))</f>
      </c>
      <c r="G108" s="33">
        <f>IF(AU107&lt;=0,0,ROUND(AU107+ROUND(AU107*AA$3/12,2),2))</f>
      </c>
      <c r="H108" s="33">
        <f>IF(AV107&lt;=0,0,ROUND(AV107+ROUND(AV107*AB$3/12,2),2))</f>
      </c>
      <c r="I108" s="33">
        <f>IF(AW107&lt;=0,0,ROUND(AW107+ROUND(AW107*AC$3/12,2),2))</f>
      </c>
      <c r="J108" s="33">
        <f>IF(AX107&lt;=0,0,ROUND(AX107+ROUND(AX107*AD$3/12,2),2))</f>
      </c>
      <c r="K108" s="33">
        <f>IF(AY107&lt;=0,0,ROUND(AY107+ROUND(AY107*AE$3/12,2),2))</f>
      </c>
      <c r="L108" s="33">
        <f>ROUND(MIN(MAX(0,N('Your debts'!$E$6)),B108),2)</f>
      </c>
      <c r="M108" s="33">
        <f>ROUND(MIN(MAX(0,N('Your debts'!$E$7)),C108),2)</f>
      </c>
      <c r="N108" s="33">
        <f>ROUND(MIN(MAX(0,N('Your debts'!$E$8)),D108),2)</f>
      </c>
      <c r="O108" s="33">
        <f>ROUND(MIN(MAX(0,N('Your debts'!$E$9)),E108),2)</f>
      </c>
      <c r="P108" s="33">
        <f>ROUND(MIN(MAX(0,N('Your debts'!$E$10)),F108),2)</f>
      </c>
      <c r="Q108" s="33">
        <f>ROUND(MIN(MAX(0,N('Your debts'!$E$11)),G108),2)</f>
      </c>
      <c r="R108" s="33">
        <f>ROUND(MIN(MAX(0,N('Your debts'!$E$12)),H108),2)</f>
      </c>
      <c r="S108" s="33">
        <f>ROUND(MIN(MAX(0,N('Your debts'!$E$13)),I108),2)</f>
      </c>
      <c r="T108" s="33">
        <f>ROUND(MIN(MAX(0,N('Your debts'!$E$14)),J108),2)</f>
      </c>
      <c r="U108" s="33">
        <f>ROUND(MIN(MAX(0,N('Your debts'!$E$15)),K108),2)</f>
      </c>
      <c r="V108" s="33">
        <f>ROUND(B108-L108,2)</f>
      </c>
      <c r="W108" s="33">
        <f>ROUND(C108-M108,2)</f>
      </c>
      <c r="X108" s="33">
        <f>ROUND(D108-N108,2)</f>
      </c>
      <c r="Y108" s="33">
        <f>ROUND(E108-O108,2)</f>
      </c>
      <c r="Z108" s="33">
        <f>ROUND(F108-P108,2)</f>
      </c>
      <c r="AA108" s="33">
        <f>ROUND(G108-Q108,2)</f>
      </c>
      <c r="AB108" s="33">
        <f>ROUND(H108-R108,2)</f>
      </c>
      <c r="AC108" s="33">
        <f>ROUND(I108-S108,2)</f>
      </c>
      <c r="AD108" s="33">
        <f>ROUND(J108-T108,2)</f>
      </c>
      <c r="AE108" s="33">
        <f>ROUND(K108-U108,2)</f>
      </c>
      <c r="AF108" s="33">
        <f>IF(V108&lt;=0,0,MAX(0,MIN(V108,ROUND($AZ108-SUMPRODUCT($V108:$AE108*($V108:$AE108&gt;0)*(($V$3:$AE$3&gt;V$3)+($V$3:$AE$3=V$3)*($V108:$AE108&lt;V108)+($V$3:$AE$3=V$3)*($V108:$AE108=V108)*($V$2:$AE$2&lt;V$2))),2))))</f>
      </c>
      <c r="AG108" s="33">
        <f>IF(W108&lt;=0,0,MAX(0,MIN(W108,ROUND($AZ108-SUMPRODUCT($V108:$AE108*($V108:$AE108&gt;0)*(($V$3:$AE$3&gt;W$3)+($V$3:$AE$3=W$3)*($V108:$AE108&lt;W108)+($V$3:$AE$3=W$3)*($V108:$AE108=W108)*($V$2:$AE$2&lt;W$2))),2))))</f>
      </c>
      <c r="AH108" s="33">
        <f>IF(X108&lt;=0,0,MAX(0,MIN(X108,ROUND($AZ108-SUMPRODUCT($V108:$AE108*($V108:$AE108&gt;0)*(($V$3:$AE$3&gt;X$3)+($V$3:$AE$3=X$3)*($V108:$AE108&lt;X108)+($V$3:$AE$3=X$3)*($V108:$AE108=X108)*($V$2:$AE$2&lt;X$2))),2))))</f>
      </c>
      <c r="AI108" s="33">
        <f>IF(Y108&lt;=0,0,MAX(0,MIN(Y108,ROUND($AZ108-SUMPRODUCT($V108:$AE108*($V108:$AE108&gt;0)*(($V$3:$AE$3&gt;Y$3)+($V$3:$AE$3=Y$3)*($V108:$AE108&lt;Y108)+($V$3:$AE$3=Y$3)*($V108:$AE108=Y108)*($V$2:$AE$2&lt;Y$2))),2))))</f>
      </c>
      <c r="AJ108" s="33">
        <f>IF(Z108&lt;=0,0,MAX(0,MIN(Z108,ROUND($AZ108-SUMPRODUCT($V108:$AE108*($V108:$AE108&gt;0)*(($V$3:$AE$3&gt;Z$3)+($V$3:$AE$3=Z$3)*($V108:$AE108&lt;Z108)+($V$3:$AE$3=Z$3)*($V108:$AE108=Z108)*($V$2:$AE$2&lt;Z$2))),2))))</f>
      </c>
      <c r="AK108" s="33">
        <f>IF(AA108&lt;=0,0,MAX(0,MIN(AA108,ROUND($AZ108-SUMPRODUCT($V108:$AE108*($V108:$AE108&gt;0)*(($V$3:$AE$3&gt;AA$3)+($V$3:$AE$3=AA$3)*($V108:$AE108&lt;AA108)+($V$3:$AE$3=AA$3)*($V108:$AE108=AA108)*($V$2:$AE$2&lt;AA$2))),2))))</f>
      </c>
      <c r="AL108" s="33">
        <f>IF(AB108&lt;=0,0,MAX(0,MIN(AB108,ROUND($AZ108-SUMPRODUCT($V108:$AE108*($V108:$AE108&gt;0)*(($V$3:$AE$3&gt;AB$3)+($V$3:$AE$3=AB$3)*($V108:$AE108&lt;AB108)+($V$3:$AE$3=AB$3)*($V108:$AE108=AB108)*($V$2:$AE$2&lt;AB$2))),2))))</f>
      </c>
      <c r="AM108" s="33">
        <f>IF(AC108&lt;=0,0,MAX(0,MIN(AC108,ROUND($AZ108-SUMPRODUCT($V108:$AE108*($V108:$AE108&gt;0)*(($V$3:$AE$3&gt;AC$3)+($V$3:$AE$3=AC$3)*($V108:$AE108&lt;AC108)+($V$3:$AE$3=AC$3)*($V108:$AE108=AC108)*($V$2:$AE$2&lt;AC$2))),2))))</f>
      </c>
      <c r="AN108" s="33">
        <f>IF(AD108&lt;=0,0,MAX(0,MIN(AD108,ROUND($AZ108-SUMPRODUCT($V108:$AE108*($V108:$AE108&gt;0)*(($V$3:$AE$3&gt;AD$3)+($V$3:$AE$3=AD$3)*($V108:$AE108&lt;AD108)+($V$3:$AE$3=AD$3)*($V108:$AE108=AD108)*($V$2:$AE$2&lt;AD$2))),2))))</f>
      </c>
      <c r="AO108" s="33">
        <f>IF(AE108&lt;=0,0,MAX(0,MIN(AE108,ROUND($AZ108-SUMPRODUCT($V108:$AE108*($V108:$AE108&gt;0)*(($V$3:$AE$3&gt;AE$3)+($V$3:$AE$3=AE$3)*($V108:$AE108&lt;AE108)+($V$3:$AE$3=AE$3)*($V108:$AE108=AE108)*($V$2:$AE$2&lt;AE$2))),2))))</f>
      </c>
      <c r="AP108" s="33">
        <f>ROUND(V108-AF108,2)</f>
      </c>
      <c r="AQ108" s="33">
        <f>ROUND(W108-AG108,2)</f>
      </c>
      <c r="AR108" s="33">
        <f>ROUND(X108-AH108,2)</f>
      </c>
      <c r="AS108" s="33">
        <f>ROUND(Y108-AI108,2)</f>
      </c>
      <c r="AT108" s="33">
        <f>ROUND(Z108-AJ108,2)</f>
      </c>
      <c r="AU108" s="33">
        <f>ROUND(AA108-AK108,2)</f>
      </c>
      <c r="AV108" s="33">
        <f>ROUND(AB108-AL108,2)</f>
      </c>
      <c r="AW108" s="33">
        <f>ROUND(AC108-AM108,2)</f>
      </c>
      <c r="AX108" s="33">
        <f>ROUND(AD108-AN108,2)</f>
      </c>
      <c r="AY108" s="33">
        <f>ROUND(AE108-AO108,2)</f>
      </c>
      <c r="AZ108" s="33">
        <f>ROUND(MAX(0,'Your debts'!$D$22-SUM($L108:$U108)),2)</f>
      </c>
      <c r="BA108" s="33">
        <f>ROUND(SUM($B108:$K108)-SUM($AP107:$AY107),2)</f>
      </c>
      <c r="BB108" s="33">
        <f>SUM($AP108:$AY108)</f>
      </c>
      <c r="BC108" s="33">
        <f>ROUND(SUM($L108:$U108)+SUM($AF108:$AO108),2)</f>
      </c>
    </row>
    <row r="109" spans="1:55" x14ac:dyDescent="0.25">
      <c r="A109">
        <v>102</v>
      </c>
      <c r="B109" s="33">
        <f>IF(AP108&lt;=0,0,ROUND(AP108+ROUND(AP108*V$3/12,2),2))</f>
      </c>
      <c r="C109" s="33">
        <f>IF(AQ108&lt;=0,0,ROUND(AQ108+ROUND(AQ108*W$3/12,2),2))</f>
      </c>
      <c r="D109" s="33">
        <f>IF(AR108&lt;=0,0,ROUND(AR108+ROUND(AR108*X$3/12,2),2))</f>
      </c>
      <c r="E109" s="33">
        <f>IF(AS108&lt;=0,0,ROUND(AS108+ROUND(AS108*Y$3/12,2),2))</f>
      </c>
      <c r="F109" s="33">
        <f>IF(AT108&lt;=0,0,ROUND(AT108+ROUND(AT108*Z$3/12,2),2))</f>
      </c>
      <c r="G109" s="33">
        <f>IF(AU108&lt;=0,0,ROUND(AU108+ROUND(AU108*AA$3/12,2),2))</f>
      </c>
      <c r="H109" s="33">
        <f>IF(AV108&lt;=0,0,ROUND(AV108+ROUND(AV108*AB$3/12,2),2))</f>
      </c>
      <c r="I109" s="33">
        <f>IF(AW108&lt;=0,0,ROUND(AW108+ROUND(AW108*AC$3/12,2),2))</f>
      </c>
      <c r="J109" s="33">
        <f>IF(AX108&lt;=0,0,ROUND(AX108+ROUND(AX108*AD$3/12,2),2))</f>
      </c>
      <c r="K109" s="33">
        <f>IF(AY108&lt;=0,0,ROUND(AY108+ROUND(AY108*AE$3/12,2),2))</f>
      </c>
      <c r="L109" s="33">
        <f>ROUND(MIN(MAX(0,N('Your debts'!$E$6)),B109),2)</f>
      </c>
      <c r="M109" s="33">
        <f>ROUND(MIN(MAX(0,N('Your debts'!$E$7)),C109),2)</f>
      </c>
      <c r="N109" s="33">
        <f>ROUND(MIN(MAX(0,N('Your debts'!$E$8)),D109),2)</f>
      </c>
      <c r="O109" s="33">
        <f>ROUND(MIN(MAX(0,N('Your debts'!$E$9)),E109),2)</f>
      </c>
      <c r="P109" s="33">
        <f>ROUND(MIN(MAX(0,N('Your debts'!$E$10)),F109),2)</f>
      </c>
      <c r="Q109" s="33">
        <f>ROUND(MIN(MAX(0,N('Your debts'!$E$11)),G109),2)</f>
      </c>
      <c r="R109" s="33">
        <f>ROUND(MIN(MAX(0,N('Your debts'!$E$12)),H109),2)</f>
      </c>
      <c r="S109" s="33">
        <f>ROUND(MIN(MAX(0,N('Your debts'!$E$13)),I109),2)</f>
      </c>
      <c r="T109" s="33">
        <f>ROUND(MIN(MAX(0,N('Your debts'!$E$14)),J109),2)</f>
      </c>
      <c r="U109" s="33">
        <f>ROUND(MIN(MAX(0,N('Your debts'!$E$15)),K109),2)</f>
      </c>
      <c r="V109" s="33">
        <f>ROUND(B109-L109,2)</f>
      </c>
      <c r="W109" s="33">
        <f>ROUND(C109-M109,2)</f>
      </c>
      <c r="X109" s="33">
        <f>ROUND(D109-N109,2)</f>
      </c>
      <c r="Y109" s="33">
        <f>ROUND(E109-O109,2)</f>
      </c>
      <c r="Z109" s="33">
        <f>ROUND(F109-P109,2)</f>
      </c>
      <c r="AA109" s="33">
        <f>ROUND(G109-Q109,2)</f>
      </c>
      <c r="AB109" s="33">
        <f>ROUND(H109-R109,2)</f>
      </c>
      <c r="AC109" s="33">
        <f>ROUND(I109-S109,2)</f>
      </c>
      <c r="AD109" s="33">
        <f>ROUND(J109-T109,2)</f>
      </c>
      <c r="AE109" s="33">
        <f>ROUND(K109-U109,2)</f>
      </c>
      <c r="AF109" s="33">
        <f>IF(V109&lt;=0,0,MAX(0,MIN(V109,ROUND($AZ109-SUMPRODUCT($V109:$AE109*($V109:$AE109&gt;0)*(($V$3:$AE$3&gt;V$3)+($V$3:$AE$3=V$3)*($V109:$AE109&lt;V109)+($V$3:$AE$3=V$3)*($V109:$AE109=V109)*($V$2:$AE$2&lt;V$2))),2))))</f>
      </c>
      <c r="AG109" s="33">
        <f>IF(W109&lt;=0,0,MAX(0,MIN(W109,ROUND($AZ109-SUMPRODUCT($V109:$AE109*($V109:$AE109&gt;0)*(($V$3:$AE$3&gt;W$3)+($V$3:$AE$3=W$3)*($V109:$AE109&lt;W109)+($V$3:$AE$3=W$3)*($V109:$AE109=W109)*($V$2:$AE$2&lt;W$2))),2))))</f>
      </c>
      <c r="AH109" s="33">
        <f>IF(X109&lt;=0,0,MAX(0,MIN(X109,ROUND($AZ109-SUMPRODUCT($V109:$AE109*($V109:$AE109&gt;0)*(($V$3:$AE$3&gt;X$3)+($V$3:$AE$3=X$3)*($V109:$AE109&lt;X109)+($V$3:$AE$3=X$3)*($V109:$AE109=X109)*($V$2:$AE$2&lt;X$2))),2))))</f>
      </c>
      <c r="AI109" s="33">
        <f>IF(Y109&lt;=0,0,MAX(0,MIN(Y109,ROUND($AZ109-SUMPRODUCT($V109:$AE109*($V109:$AE109&gt;0)*(($V$3:$AE$3&gt;Y$3)+($V$3:$AE$3=Y$3)*($V109:$AE109&lt;Y109)+($V$3:$AE$3=Y$3)*($V109:$AE109=Y109)*($V$2:$AE$2&lt;Y$2))),2))))</f>
      </c>
      <c r="AJ109" s="33">
        <f>IF(Z109&lt;=0,0,MAX(0,MIN(Z109,ROUND($AZ109-SUMPRODUCT($V109:$AE109*($V109:$AE109&gt;0)*(($V$3:$AE$3&gt;Z$3)+($V$3:$AE$3=Z$3)*($V109:$AE109&lt;Z109)+($V$3:$AE$3=Z$3)*($V109:$AE109=Z109)*($V$2:$AE$2&lt;Z$2))),2))))</f>
      </c>
      <c r="AK109" s="33">
        <f>IF(AA109&lt;=0,0,MAX(0,MIN(AA109,ROUND($AZ109-SUMPRODUCT($V109:$AE109*($V109:$AE109&gt;0)*(($V$3:$AE$3&gt;AA$3)+($V$3:$AE$3=AA$3)*($V109:$AE109&lt;AA109)+($V$3:$AE$3=AA$3)*($V109:$AE109=AA109)*($V$2:$AE$2&lt;AA$2))),2))))</f>
      </c>
      <c r="AL109" s="33">
        <f>IF(AB109&lt;=0,0,MAX(0,MIN(AB109,ROUND($AZ109-SUMPRODUCT($V109:$AE109*($V109:$AE109&gt;0)*(($V$3:$AE$3&gt;AB$3)+($V$3:$AE$3=AB$3)*($V109:$AE109&lt;AB109)+($V$3:$AE$3=AB$3)*($V109:$AE109=AB109)*($V$2:$AE$2&lt;AB$2))),2))))</f>
      </c>
      <c r="AM109" s="33">
        <f>IF(AC109&lt;=0,0,MAX(0,MIN(AC109,ROUND($AZ109-SUMPRODUCT($V109:$AE109*($V109:$AE109&gt;0)*(($V$3:$AE$3&gt;AC$3)+($V$3:$AE$3=AC$3)*($V109:$AE109&lt;AC109)+($V$3:$AE$3=AC$3)*($V109:$AE109=AC109)*($V$2:$AE$2&lt;AC$2))),2))))</f>
      </c>
      <c r="AN109" s="33">
        <f>IF(AD109&lt;=0,0,MAX(0,MIN(AD109,ROUND($AZ109-SUMPRODUCT($V109:$AE109*($V109:$AE109&gt;0)*(($V$3:$AE$3&gt;AD$3)+($V$3:$AE$3=AD$3)*($V109:$AE109&lt;AD109)+($V$3:$AE$3=AD$3)*($V109:$AE109=AD109)*($V$2:$AE$2&lt;AD$2))),2))))</f>
      </c>
      <c r="AO109" s="33">
        <f>IF(AE109&lt;=0,0,MAX(0,MIN(AE109,ROUND($AZ109-SUMPRODUCT($V109:$AE109*($V109:$AE109&gt;0)*(($V$3:$AE$3&gt;AE$3)+($V$3:$AE$3=AE$3)*($V109:$AE109&lt;AE109)+($V$3:$AE$3=AE$3)*($V109:$AE109=AE109)*($V$2:$AE$2&lt;AE$2))),2))))</f>
      </c>
      <c r="AP109" s="33">
        <f>ROUND(V109-AF109,2)</f>
      </c>
      <c r="AQ109" s="33">
        <f>ROUND(W109-AG109,2)</f>
      </c>
      <c r="AR109" s="33">
        <f>ROUND(X109-AH109,2)</f>
      </c>
      <c r="AS109" s="33">
        <f>ROUND(Y109-AI109,2)</f>
      </c>
      <c r="AT109" s="33">
        <f>ROUND(Z109-AJ109,2)</f>
      </c>
      <c r="AU109" s="33">
        <f>ROUND(AA109-AK109,2)</f>
      </c>
      <c r="AV109" s="33">
        <f>ROUND(AB109-AL109,2)</f>
      </c>
      <c r="AW109" s="33">
        <f>ROUND(AC109-AM109,2)</f>
      </c>
      <c r="AX109" s="33">
        <f>ROUND(AD109-AN109,2)</f>
      </c>
      <c r="AY109" s="33">
        <f>ROUND(AE109-AO109,2)</f>
      </c>
      <c r="AZ109" s="33">
        <f>ROUND(MAX(0,'Your debts'!$D$22-SUM($L109:$U109)),2)</f>
      </c>
      <c r="BA109" s="33">
        <f>ROUND(SUM($B109:$K109)-SUM($AP108:$AY108),2)</f>
      </c>
      <c r="BB109" s="33">
        <f>SUM($AP109:$AY109)</f>
      </c>
      <c r="BC109" s="33">
        <f>ROUND(SUM($L109:$U109)+SUM($AF109:$AO109),2)</f>
      </c>
    </row>
    <row r="110" spans="1:55" x14ac:dyDescent="0.25">
      <c r="A110">
        <v>103</v>
      </c>
      <c r="B110" s="33">
        <f>IF(AP109&lt;=0,0,ROUND(AP109+ROUND(AP109*V$3/12,2),2))</f>
      </c>
      <c r="C110" s="33">
        <f>IF(AQ109&lt;=0,0,ROUND(AQ109+ROUND(AQ109*W$3/12,2),2))</f>
      </c>
      <c r="D110" s="33">
        <f>IF(AR109&lt;=0,0,ROUND(AR109+ROUND(AR109*X$3/12,2),2))</f>
      </c>
      <c r="E110" s="33">
        <f>IF(AS109&lt;=0,0,ROUND(AS109+ROUND(AS109*Y$3/12,2),2))</f>
      </c>
      <c r="F110" s="33">
        <f>IF(AT109&lt;=0,0,ROUND(AT109+ROUND(AT109*Z$3/12,2),2))</f>
      </c>
      <c r="G110" s="33">
        <f>IF(AU109&lt;=0,0,ROUND(AU109+ROUND(AU109*AA$3/12,2),2))</f>
      </c>
      <c r="H110" s="33">
        <f>IF(AV109&lt;=0,0,ROUND(AV109+ROUND(AV109*AB$3/12,2),2))</f>
      </c>
      <c r="I110" s="33">
        <f>IF(AW109&lt;=0,0,ROUND(AW109+ROUND(AW109*AC$3/12,2),2))</f>
      </c>
      <c r="J110" s="33">
        <f>IF(AX109&lt;=0,0,ROUND(AX109+ROUND(AX109*AD$3/12,2),2))</f>
      </c>
      <c r="K110" s="33">
        <f>IF(AY109&lt;=0,0,ROUND(AY109+ROUND(AY109*AE$3/12,2),2))</f>
      </c>
      <c r="L110" s="33">
        <f>ROUND(MIN(MAX(0,N('Your debts'!$E$6)),B110),2)</f>
      </c>
      <c r="M110" s="33">
        <f>ROUND(MIN(MAX(0,N('Your debts'!$E$7)),C110),2)</f>
      </c>
      <c r="N110" s="33">
        <f>ROUND(MIN(MAX(0,N('Your debts'!$E$8)),D110),2)</f>
      </c>
      <c r="O110" s="33">
        <f>ROUND(MIN(MAX(0,N('Your debts'!$E$9)),E110),2)</f>
      </c>
      <c r="P110" s="33">
        <f>ROUND(MIN(MAX(0,N('Your debts'!$E$10)),F110),2)</f>
      </c>
      <c r="Q110" s="33">
        <f>ROUND(MIN(MAX(0,N('Your debts'!$E$11)),G110),2)</f>
      </c>
      <c r="R110" s="33">
        <f>ROUND(MIN(MAX(0,N('Your debts'!$E$12)),H110),2)</f>
      </c>
      <c r="S110" s="33">
        <f>ROUND(MIN(MAX(0,N('Your debts'!$E$13)),I110),2)</f>
      </c>
      <c r="T110" s="33">
        <f>ROUND(MIN(MAX(0,N('Your debts'!$E$14)),J110),2)</f>
      </c>
      <c r="U110" s="33">
        <f>ROUND(MIN(MAX(0,N('Your debts'!$E$15)),K110),2)</f>
      </c>
      <c r="V110" s="33">
        <f>ROUND(B110-L110,2)</f>
      </c>
      <c r="W110" s="33">
        <f>ROUND(C110-M110,2)</f>
      </c>
      <c r="X110" s="33">
        <f>ROUND(D110-N110,2)</f>
      </c>
      <c r="Y110" s="33">
        <f>ROUND(E110-O110,2)</f>
      </c>
      <c r="Z110" s="33">
        <f>ROUND(F110-P110,2)</f>
      </c>
      <c r="AA110" s="33">
        <f>ROUND(G110-Q110,2)</f>
      </c>
      <c r="AB110" s="33">
        <f>ROUND(H110-R110,2)</f>
      </c>
      <c r="AC110" s="33">
        <f>ROUND(I110-S110,2)</f>
      </c>
      <c r="AD110" s="33">
        <f>ROUND(J110-T110,2)</f>
      </c>
      <c r="AE110" s="33">
        <f>ROUND(K110-U110,2)</f>
      </c>
      <c r="AF110" s="33">
        <f>IF(V110&lt;=0,0,MAX(0,MIN(V110,ROUND($AZ110-SUMPRODUCT($V110:$AE110*($V110:$AE110&gt;0)*(($V$3:$AE$3&gt;V$3)+($V$3:$AE$3=V$3)*($V110:$AE110&lt;V110)+($V$3:$AE$3=V$3)*($V110:$AE110=V110)*($V$2:$AE$2&lt;V$2))),2))))</f>
      </c>
      <c r="AG110" s="33">
        <f>IF(W110&lt;=0,0,MAX(0,MIN(W110,ROUND($AZ110-SUMPRODUCT($V110:$AE110*($V110:$AE110&gt;0)*(($V$3:$AE$3&gt;W$3)+($V$3:$AE$3=W$3)*($V110:$AE110&lt;W110)+($V$3:$AE$3=W$3)*($V110:$AE110=W110)*($V$2:$AE$2&lt;W$2))),2))))</f>
      </c>
      <c r="AH110" s="33">
        <f>IF(X110&lt;=0,0,MAX(0,MIN(X110,ROUND($AZ110-SUMPRODUCT($V110:$AE110*($V110:$AE110&gt;0)*(($V$3:$AE$3&gt;X$3)+($V$3:$AE$3=X$3)*($V110:$AE110&lt;X110)+($V$3:$AE$3=X$3)*($V110:$AE110=X110)*($V$2:$AE$2&lt;X$2))),2))))</f>
      </c>
      <c r="AI110" s="33">
        <f>IF(Y110&lt;=0,0,MAX(0,MIN(Y110,ROUND($AZ110-SUMPRODUCT($V110:$AE110*($V110:$AE110&gt;0)*(($V$3:$AE$3&gt;Y$3)+($V$3:$AE$3=Y$3)*($V110:$AE110&lt;Y110)+($V$3:$AE$3=Y$3)*($V110:$AE110=Y110)*($V$2:$AE$2&lt;Y$2))),2))))</f>
      </c>
      <c r="AJ110" s="33">
        <f>IF(Z110&lt;=0,0,MAX(0,MIN(Z110,ROUND($AZ110-SUMPRODUCT($V110:$AE110*($V110:$AE110&gt;0)*(($V$3:$AE$3&gt;Z$3)+($V$3:$AE$3=Z$3)*($V110:$AE110&lt;Z110)+($V$3:$AE$3=Z$3)*($V110:$AE110=Z110)*($V$2:$AE$2&lt;Z$2))),2))))</f>
      </c>
      <c r="AK110" s="33">
        <f>IF(AA110&lt;=0,0,MAX(0,MIN(AA110,ROUND($AZ110-SUMPRODUCT($V110:$AE110*($V110:$AE110&gt;0)*(($V$3:$AE$3&gt;AA$3)+($V$3:$AE$3=AA$3)*($V110:$AE110&lt;AA110)+($V$3:$AE$3=AA$3)*($V110:$AE110=AA110)*($V$2:$AE$2&lt;AA$2))),2))))</f>
      </c>
      <c r="AL110" s="33">
        <f>IF(AB110&lt;=0,0,MAX(0,MIN(AB110,ROUND($AZ110-SUMPRODUCT($V110:$AE110*($V110:$AE110&gt;0)*(($V$3:$AE$3&gt;AB$3)+($V$3:$AE$3=AB$3)*($V110:$AE110&lt;AB110)+($V$3:$AE$3=AB$3)*($V110:$AE110=AB110)*($V$2:$AE$2&lt;AB$2))),2))))</f>
      </c>
      <c r="AM110" s="33">
        <f>IF(AC110&lt;=0,0,MAX(0,MIN(AC110,ROUND($AZ110-SUMPRODUCT($V110:$AE110*($V110:$AE110&gt;0)*(($V$3:$AE$3&gt;AC$3)+($V$3:$AE$3=AC$3)*($V110:$AE110&lt;AC110)+($V$3:$AE$3=AC$3)*($V110:$AE110=AC110)*($V$2:$AE$2&lt;AC$2))),2))))</f>
      </c>
      <c r="AN110" s="33">
        <f>IF(AD110&lt;=0,0,MAX(0,MIN(AD110,ROUND($AZ110-SUMPRODUCT($V110:$AE110*($V110:$AE110&gt;0)*(($V$3:$AE$3&gt;AD$3)+($V$3:$AE$3=AD$3)*($V110:$AE110&lt;AD110)+($V$3:$AE$3=AD$3)*($V110:$AE110=AD110)*($V$2:$AE$2&lt;AD$2))),2))))</f>
      </c>
      <c r="AO110" s="33">
        <f>IF(AE110&lt;=0,0,MAX(0,MIN(AE110,ROUND($AZ110-SUMPRODUCT($V110:$AE110*($V110:$AE110&gt;0)*(($V$3:$AE$3&gt;AE$3)+($V$3:$AE$3=AE$3)*($V110:$AE110&lt;AE110)+($V$3:$AE$3=AE$3)*($V110:$AE110=AE110)*($V$2:$AE$2&lt;AE$2))),2))))</f>
      </c>
      <c r="AP110" s="33">
        <f>ROUND(V110-AF110,2)</f>
      </c>
      <c r="AQ110" s="33">
        <f>ROUND(W110-AG110,2)</f>
      </c>
      <c r="AR110" s="33">
        <f>ROUND(X110-AH110,2)</f>
      </c>
      <c r="AS110" s="33">
        <f>ROUND(Y110-AI110,2)</f>
      </c>
      <c r="AT110" s="33">
        <f>ROUND(Z110-AJ110,2)</f>
      </c>
      <c r="AU110" s="33">
        <f>ROUND(AA110-AK110,2)</f>
      </c>
      <c r="AV110" s="33">
        <f>ROUND(AB110-AL110,2)</f>
      </c>
      <c r="AW110" s="33">
        <f>ROUND(AC110-AM110,2)</f>
      </c>
      <c r="AX110" s="33">
        <f>ROUND(AD110-AN110,2)</f>
      </c>
      <c r="AY110" s="33">
        <f>ROUND(AE110-AO110,2)</f>
      </c>
      <c r="AZ110" s="33">
        <f>ROUND(MAX(0,'Your debts'!$D$22-SUM($L110:$U110)),2)</f>
      </c>
      <c r="BA110" s="33">
        <f>ROUND(SUM($B110:$K110)-SUM($AP109:$AY109),2)</f>
      </c>
      <c r="BB110" s="33">
        <f>SUM($AP110:$AY110)</f>
      </c>
      <c r="BC110" s="33">
        <f>ROUND(SUM($L110:$U110)+SUM($AF110:$AO110),2)</f>
      </c>
    </row>
    <row r="111" spans="1:55" x14ac:dyDescent="0.25">
      <c r="A111">
        <v>104</v>
      </c>
      <c r="B111" s="33">
        <f>IF(AP110&lt;=0,0,ROUND(AP110+ROUND(AP110*V$3/12,2),2))</f>
      </c>
      <c r="C111" s="33">
        <f>IF(AQ110&lt;=0,0,ROUND(AQ110+ROUND(AQ110*W$3/12,2),2))</f>
      </c>
      <c r="D111" s="33">
        <f>IF(AR110&lt;=0,0,ROUND(AR110+ROUND(AR110*X$3/12,2),2))</f>
      </c>
      <c r="E111" s="33">
        <f>IF(AS110&lt;=0,0,ROUND(AS110+ROUND(AS110*Y$3/12,2),2))</f>
      </c>
      <c r="F111" s="33">
        <f>IF(AT110&lt;=0,0,ROUND(AT110+ROUND(AT110*Z$3/12,2),2))</f>
      </c>
      <c r="G111" s="33">
        <f>IF(AU110&lt;=0,0,ROUND(AU110+ROUND(AU110*AA$3/12,2),2))</f>
      </c>
      <c r="H111" s="33">
        <f>IF(AV110&lt;=0,0,ROUND(AV110+ROUND(AV110*AB$3/12,2),2))</f>
      </c>
      <c r="I111" s="33">
        <f>IF(AW110&lt;=0,0,ROUND(AW110+ROUND(AW110*AC$3/12,2),2))</f>
      </c>
      <c r="J111" s="33">
        <f>IF(AX110&lt;=0,0,ROUND(AX110+ROUND(AX110*AD$3/12,2),2))</f>
      </c>
      <c r="K111" s="33">
        <f>IF(AY110&lt;=0,0,ROUND(AY110+ROUND(AY110*AE$3/12,2),2))</f>
      </c>
      <c r="L111" s="33">
        <f>ROUND(MIN(MAX(0,N('Your debts'!$E$6)),B111),2)</f>
      </c>
      <c r="M111" s="33">
        <f>ROUND(MIN(MAX(0,N('Your debts'!$E$7)),C111),2)</f>
      </c>
      <c r="N111" s="33">
        <f>ROUND(MIN(MAX(0,N('Your debts'!$E$8)),D111),2)</f>
      </c>
      <c r="O111" s="33">
        <f>ROUND(MIN(MAX(0,N('Your debts'!$E$9)),E111),2)</f>
      </c>
      <c r="P111" s="33">
        <f>ROUND(MIN(MAX(0,N('Your debts'!$E$10)),F111),2)</f>
      </c>
      <c r="Q111" s="33">
        <f>ROUND(MIN(MAX(0,N('Your debts'!$E$11)),G111),2)</f>
      </c>
      <c r="R111" s="33">
        <f>ROUND(MIN(MAX(0,N('Your debts'!$E$12)),H111),2)</f>
      </c>
      <c r="S111" s="33">
        <f>ROUND(MIN(MAX(0,N('Your debts'!$E$13)),I111),2)</f>
      </c>
      <c r="T111" s="33">
        <f>ROUND(MIN(MAX(0,N('Your debts'!$E$14)),J111),2)</f>
      </c>
      <c r="U111" s="33">
        <f>ROUND(MIN(MAX(0,N('Your debts'!$E$15)),K111),2)</f>
      </c>
      <c r="V111" s="33">
        <f>ROUND(B111-L111,2)</f>
      </c>
      <c r="W111" s="33">
        <f>ROUND(C111-M111,2)</f>
      </c>
      <c r="X111" s="33">
        <f>ROUND(D111-N111,2)</f>
      </c>
      <c r="Y111" s="33">
        <f>ROUND(E111-O111,2)</f>
      </c>
      <c r="Z111" s="33">
        <f>ROUND(F111-P111,2)</f>
      </c>
      <c r="AA111" s="33">
        <f>ROUND(G111-Q111,2)</f>
      </c>
      <c r="AB111" s="33">
        <f>ROUND(H111-R111,2)</f>
      </c>
      <c r="AC111" s="33">
        <f>ROUND(I111-S111,2)</f>
      </c>
      <c r="AD111" s="33">
        <f>ROUND(J111-T111,2)</f>
      </c>
      <c r="AE111" s="33">
        <f>ROUND(K111-U111,2)</f>
      </c>
      <c r="AF111" s="33">
        <f>IF(V111&lt;=0,0,MAX(0,MIN(V111,ROUND($AZ111-SUMPRODUCT($V111:$AE111*($V111:$AE111&gt;0)*(($V$3:$AE$3&gt;V$3)+($V$3:$AE$3=V$3)*($V111:$AE111&lt;V111)+($V$3:$AE$3=V$3)*($V111:$AE111=V111)*($V$2:$AE$2&lt;V$2))),2))))</f>
      </c>
      <c r="AG111" s="33">
        <f>IF(W111&lt;=0,0,MAX(0,MIN(W111,ROUND($AZ111-SUMPRODUCT($V111:$AE111*($V111:$AE111&gt;0)*(($V$3:$AE$3&gt;W$3)+($V$3:$AE$3=W$3)*($V111:$AE111&lt;W111)+($V$3:$AE$3=W$3)*($V111:$AE111=W111)*($V$2:$AE$2&lt;W$2))),2))))</f>
      </c>
      <c r="AH111" s="33">
        <f>IF(X111&lt;=0,0,MAX(0,MIN(X111,ROUND($AZ111-SUMPRODUCT($V111:$AE111*($V111:$AE111&gt;0)*(($V$3:$AE$3&gt;X$3)+($V$3:$AE$3=X$3)*($V111:$AE111&lt;X111)+($V$3:$AE$3=X$3)*($V111:$AE111=X111)*($V$2:$AE$2&lt;X$2))),2))))</f>
      </c>
      <c r="AI111" s="33">
        <f>IF(Y111&lt;=0,0,MAX(0,MIN(Y111,ROUND($AZ111-SUMPRODUCT($V111:$AE111*($V111:$AE111&gt;0)*(($V$3:$AE$3&gt;Y$3)+($V$3:$AE$3=Y$3)*($V111:$AE111&lt;Y111)+($V$3:$AE$3=Y$3)*($V111:$AE111=Y111)*($V$2:$AE$2&lt;Y$2))),2))))</f>
      </c>
      <c r="AJ111" s="33">
        <f>IF(Z111&lt;=0,0,MAX(0,MIN(Z111,ROUND($AZ111-SUMPRODUCT($V111:$AE111*($V111:$AE111&gt;0)*(($V$3:$AE$3&gt;Z$3)+($V$3:$AE$3=Z$3)*($V111:$AE111&lt;Z111)+($V$3:$AE$3=Z$3)*($V111:$AE111=Z111)*($V$2:$AE$2&lt;Z$2))),2))))</f>
      </c>
      <c r="AK111" s="33">
        <f>IF(AA111&lt;=0,0,MAX(0,MIN(AA111,ROUND($AZ111-SUMPRODUCT($V111:$AE111*($V111:$AE111&gt;0)*(($V$3:$AE$3&gt;AA$3)+($V$3:$AE$3=AA$3)*($V111:$AE111&lt;AA111)+($V$3:$AE$3=AA$3)*($V111:$AE111=AA111)*($V$2:$AE$2&lt;AA$2))),2))))</f>
      </c>
      <c r="AL111" s="33">
        <f>IF(AB111&lt;=0,0,MAX(0,MIN(AB111,ROUND($AZ111-SUMPRODUCT($V111:$AE111*($V111:$AE111&gt;0)*(($V$3:$AE$3&gt;AB$3)+($V$3:$AE$3=AB$3)*($V111:$AE111&lt;AB111)+($V$3:$AE$3=AB$3)*($V111:$AE111=AB111)*($V$2:$AE$2&lt;AB$2))),2))))</f>
      </c>
      <c r="AM111" s="33">
        <f>IF(AC111&lt;=0,0,MAX(0,MIN(AC111,ROUND($AZ111-SUMPRODUCT($V111:$AE111*($V111:$AE111&gt;0)*(($V$3:$AE$3&gt;AC$3)+($V$3:$AE$3=AC$3)*($V111:$AE111&lt;AC111)+($V$3:$AE$3=AC$3)*($V111:$AE111=AC111)*($V$2:$AE$2&lt;AC$2))),2))))</f>
      </c>
      <c r="AN111" s="33">
        <f>IF(AD111&lt;=0,0,MAX(0,MIN(AD111,ROUND($AZ111-SUMPRODUCT($V111:$AE111*($V111:$AE111&gt;0)*(($V$3:$AE$3&gt;AD$3)+($V$3:$AE$3=AD$3)*($V111:$AE111&lt;AD111)+($V$3:$AE$3=AD$3)*($V111:$AE111=AD111)*($V$2:$AE$2&lt;AD$2))),2))))</f>
      </c>
      <c r="AO111" s="33">
        <f>IF(AE111&lt;=0,0,MAX(0,MIN(AE111,ROUND($AZ111-SUMPRODUCT($V111:$AE111*($V111:$AE111&gt;0)*(($V$3:$AE$3&gt;AE$3)+($V$3:$AE$3=AE$3)*($V111:$AE111&lt;AE111)+($V$3:$AE$3=AE$3)*($V111:$AE111=AE111)*($V$2:$AE$2&lt;AE$2))),2))))</f>
      </c>
      <c r="AP111" s="33">
        <f>ROUND(V111-AF111,2)</f>
      </c>
      <c r="AQ111" s="33">
        <f>ROUND(W111-AG111,2)</f>
      </c>
      <c r="AR111" s="33">
        <f>ROUND(X111-AH111,2)</f>
      </c>
      <c r="AS111" s="33">
        <f>ROUND(Y111-AI111,2)</f>
      </c>
      <c r="AT111" s="33">
        <f>ROUND(Z111-AJ111,2)</f>
      </c>
      <c r="AU111" s="33">
        <f>ROUND(AA111-AK111,2)</f>
      </c>
      <c r="AV111" s="33">
        <f>ROUND(AB111-AL111,2)</f>
      </c>
      <c r="AW111" s="33">
        <f>ROUND(AC111-AM111,2)</f>
      </c>
      <c r="AX111" s="33">
        <f>ROUND(AD111-AN111,2)</f>
      </c>
      <c r="AY111" s="33">
        <f>ROUND(AE111-AO111,2)</f>
      </c>
      <c r="AZ111" s="33">
        <f>ROUND(MAX(0,'Your debts'!$D$22-SUM($L111:$U111)),2)</f>
      </c>
      <c r="BA111" s="33">
        <f>ROUND(SUM($B111:$K111)-SUM($AP110:$AY110),2)</f>
      </c>
      <c r="BB111" s="33">
        <f>SUM($AP111:$AY111)</f>
      </c>
      <c r="BC111" s="33">
        <f>ROUND(SUM($L111:$U111)+SUM($AF111:$AO111),2)</f>
      </c>
    </row>
    <row r="112" spans="1:55" x14ac:dyDescent="0.25">
      <c r="A112">
        <v>105</v>
      </c>
      <c r="B112" s="33">
        <f>IF(AP111&lt;=0,0,ROUND(AP111+ROUND(AP111*V$3/12,2),2))</f>
      </c>
      <c r="C112" s="33">
        <f>IF(AQ111&lt;=0,0,ROUND(AQ111+ROUND(AQ111*W$3/12,2),2))</f>
      </c>
      <c r="D112" s="33">
        <f>IF(AR111&lt;=0,0,ROUND(AR111+ROUND(AR111*X$3/12,2),2))</f>
      </c>
      <c r="E112" s="33">
        <f>IF(AS111&lt;=0,0,ROUND(AS111+ROUND(AS111*Y$3/12,2),2))</f>
      </c>
      <c r="F112" s="33">
        <f>IF(AT111&lt;=0,0,ROUND(AT111+ROUND(AT111*Z$3/12,2),2))</f>
      </c>
      <c r="G112" s="33">
        <f>IF(AU111&lt;=0,0,ROUND(AU111+ROUND(AU111*AA$3/12,2),2))</f>
      </c>
      <c r="H112" s="33">
        <f>IF(AV111&lt;=0,0,ROUND(AV111+ROUND(AV111*AB$3/12,2),2))</f>
      </c>
      <c r="I112" s="33">
        <f>IF(AW111&lt;=0,0,ROUND(AW111+ROUND(AW111*AC$3/12,2),2))</f>
      </c>
      <c r="J112" s="33">
        <f>IF(AX111&lt;=0,0,ROUND(AX111+ROUND(AX111*AD$3/12,2),2))</f>
      </c>
      <c r="K112" s="33">
        <f>IF(AY111&lt;=0,0,ROUND(AY111+ROUND(AY111*AE$3/12,2),2))</f>
      </c>
      <c r="L112" s="33">
        <f>ROUND(MIN(MAX(0,N('Your debts'!$E$6)),B112),2)</f>
      </c>
      <c r="M112" s="33">
        <f>ROUND(MIN(MAX(0,N('Your debts'!$E$7)),C112),2)</f>
      </c>
      <c r="N112" s="33">
        <f>ROUND(MIN(MAX(0,N('Your debts'!$E$8)),D112),2)</f>
      </c>
      <c r="O112" s="33">
        <f>ROUND(MIN(MAX(0,N('Your debts'!$E$9)),E112),2)</f>
      </c>
      <c r="P112" s="33">
        <f>ROUND(MIN(MAX(0,N('Your debts'!$E$10)),F112),2)</f>
      </c>
      <c r="Q112" s="33">
        <f>ROUND(MIN(MAX(0,N('Your debts'!$E$11)),G112),2)</f>
      </c>
      <c r="R112" s="33">
        <f>ROUND(MIN(MAX(0,N('Your debts'!$E$12)),H112),2)</f>
      </c>
      <c r="S112" s="33">
        <f>ROUND(MIN(MAX(0,N('Your debts'!$E$13)),I112),2)</f>
      </c>
      <c r="T112" s="33">
        <f>ROUND(MIN(MAX(0,N('Your debts'!$E$14)),J112),2)</f>
      </c>
      <c r="U112" s="33">
        <f>ROUND(MIN(MAX(0,N('Your debts'!$E$15)),K112),2)</f>
      </c>
      <c r="V112" s="33">
        <f>ROUND(B112-L112,2)</f>
      </c>
      <c r="W112" s="33">
        <f>ROUND(C112-M112,2)</f>
      </c>
      <c r="X112" s="33">
        <f>ROUND(D112-N112,2)</f>
      </c>
      <c r="Y112" s="33">
        <f>ROUND(E112-O112,2)</f>
      </c>
      <c r="Z112" s="33">
        <f>ROUND(F112-P112,2)</f>
      </c>
      <c r="AA112" s="33">
        <f>ROUND(G112-Q112,2)</f>
      </c>
      <c r="AB112" s="33">
        <f>ROUND(H112-R112,2)</f>
      </c>
      <c r="AC112" s="33">
        <f>ROUND(I112-S112,2)</f>
      </c>
      <c r="AD112" s="33">
        <f>ROUND(J112-T112,2)</f>
      </c>
      <c r="AE112" s="33">
        <f>ROUND(K112-U112,2)</f>
      </c>
      <c r="AF112" s="33">
        <f>IF(V112&lt;=0,0,MAX(0,MIN(V112,ROUND($AZ112-SUMPRODUCT($V112:$AE112*($V112:$AE112&gt;0)*(($V$3:$AE$3&gt;V$3)+($V$3:$AE$3=V$3)*($V112:$AE112&lt;V112)+($V$3:$AE$3=V$3)*($V112:$AE112=V112)*($V$2:$AE$2&lt;V$2))),2))))</f>
      </c>
      <c r="AG112" s="33">
        <f>IF(W112&lt;=0,0,MAX(0,MIN(W112,ROUND($AZ112-SUMPRODUCT($V112:$AE112*($V112:$AE112&gt;0)*(($V$3:$AE$3&gt;W$3)+($V$3:$AE$3=W$3)*($V112:$AE112&lt;W112)+($V$3:$AE$3=W$3)*($V112:$AE112=W112)*($V$2:$AE$2&lt;W$2))),2))))</f>
      </c>
      <c r="AH112" s="33">
        <f>IF(X112&lt;=0,0,MAX(0,MIN(X112,ROUND($AZ112-SUMPRODUCT($V112:$AE112*($V112:$AE112&gt;0)*(($V$3:$AE$3&gt;X$3)+($V$3:$AE$3=X$3)*($V112:$AE112&lt;X112)+($V$3:$AE$3=X$3)*($V112:$AE112=X112)*($V$2:$AE$2&lt;X$2))),2))))</f>
      </c>
      <c r="AI112" s="33">
        <f>IF(Y112&lt;=0,0,MAX(0,MIN(Y112,ROUND($AZ112-SUMPRODUCT($V112:$AE112*($V112:$AE112&gt;0)*(($V$3:$AE$3&gt;Y$3)+($V$3:$AE$3=Y$3)*($V112:$AE112&lt;Y112)+($V$3:$AE$3=Y$3)*($V112:$AE112=Y112)*($V$2:$AE$2&lt;Y$2))),2))))</f>
      </c>
      <c r="AJ112" s="33">
        <f>IF(Z112&lt;=0,0,MAX(0,MIN(Z112,ROUND($AZ112-SUMPRODUCT($V112:$AE112*($V112:$AE112&gt;0)*(($V$3:$AE$3&gt;Z$3)+($V$3:$AE$3=Z$3)*($V112:$AE112&lt;Z112)+($V$3:$AE$3=Z$3)*($V112:$AE112=Z112)*($V$2:$AE$2&lt;Z$2))),2))))</f>
      </c>
      <c r="AK112" s="33">
        <f>IF(AA112&lt;=0,0,MAX(0,MIN(AA112,ROUND($AZ112-SUMPRODUCT($V112:$AE112*($V112:$AE112&gt;0)*(($V$3:$AE$3&gt;AA$3)+($V$3:$AE$3=AA$3)*($V112:$AE112&lt;AA112)+($V$3:$AE$3=AA$3)*($V112:$AE112=AA112)*($V$2:$AE$2&lt;AA$2))),2))))</f>
      </c>
      <c r="AL112" s="33">
        <f>IF(AB112&lt;=0,0,MAX(0,MIN(AB112,ROUND($AZ112-SUMPRODUCT($V112:$AE112*($V112:$AE112&gt;0)*(($V$3:$AE$3&gt;AB$3)+($V$3:$AE$3=AB$3)*($V112:$AE112&lt;AB112)+($V$3:$AE$3=AB$3)*($V112:$AE112=AB112)*($V$2:$AE$2&lt;AB$2))),2))))</f>
      </c>
      <c r="AM112" s="33">
        <f>IF(AC112&lt;=0,0,MAX(0,MIN(AC112,ROUND($AZ112-SUMPRODUCT($V112:$AE112*($V112:$AE112&gt;0)*(($V$3:$AE$3&gt;AC$3)+($V$3:$AE$3=AC$3)*($V112:$AE112&lt;AC112)+($V$3:$AE$3=AC$3)*($V112:$AE112=AC112)*($V$2:$AE$2&lt;AC$2))),2))))</f>
      </c>
      <c r="AN112" s="33">
        <f>IF(AD112&lt;=0,0,MAX(0,MIN(AD112,ROUND($AZ112-SUMPRODUCT($V112:$AE112*($V112:$AE112&gt;0)*(($V$3:$AE$3&gt;AD$3)+($V$3:$AE$3=AD$3)*($V112:$AE112&lt;AD112)+($V$3:$AE$3=AD$3)*($V112:$AE112=AD112)*($V$2:$AE$2&lt;AD$2))),2))))</f>
      </c>
      <c r="AO112" s="33">
        <f>IF(AE112&lt;=0,0,MAX(0,MIN(AE112,ROUND($AZ112-SUMPRODUCT($V112:$AE112*($V112:$AE112&gt;0)*(($V$3:$AE$3&gt;AE$3)+($V$3:$AE$3=AE$3)*($V112:$AE112&lt;AE112)+($V$3:$AE$3=AE$3)*($V112:$AE112=AE112)*($V$2:$AE$2&lt;AE$2))),2))))</f>
      </c>
      <c r="AP112" s="33">
        <f>ROUND(V112-AF112,2)</f>
      </c>
      <c r="AQ112" s="33">
        <f>ROUND(W112-AG112,2)</f>
      </c>
      <c r="AR112" s="33">
        <f>ROUND(X112-AH112,2)</f>
      </c>
      <c r="AS112" s="33">
        <f>ROUND(Y112-AI112,2)</f>
      </c>
      <c r="AT112" s="33">
        <f>ROUND(Z112-AJ112,2)</f>
      </c>
      <c r="AU112" s="33">
        <f>ROUND(AA112-AK112,2)</f>
      </c>
      <c r="AV112" s="33">
        <f>ROUND(AB112-AL112,2)</f>
      </c>
      <c r="AW112" s="33">
        <f>ROUND(AC112-AM112,2)</f>
      </c>
      <c r="AX112" s="33">
        <f>ROUND(AD112-AN112,2)</f>
      </c>
      <c r="AY112" s="33">
        <f>ROUND(AE112-AO112,2)</f>
      </c>
      <c r="AZ112" s="33">
        <f>ROUND(MAX(0,'Your debts'!$D$22-SUM($L112:$U112)),2)</f>
      </c>
      <c r="BA112" s="33">
        <f>ROUND(SUM($B112:$K112)-SUM($AP111:$AY111),2)</f>
      </c>
      <c r="BB112" s="33">
        <f>SUM($AP112:$AY112)</f>
      </c>
      <c r="BC112" s="33">
        <f>ROUND(SUM($L112:$U112)+SUM($AF112:$AO112),2)</f>
      </c>
    </row>
    <row r="113" spans="1:55" x14ac:dyDescent="0.25">
      <c r="A113">
        <v>106</v>
      </c>
      <c r="B113" s="33">
        <f>IF(AP112&lt;=0,0,ROUND(AP112+ROUND(AP112*V$3/12,2),2))</f>
      </c>
      <c r="C113" s="33">
        <f>IF(AQ112&lt;=0,0,ROUND(AQ112+ROUND(AQ112*W$3/12,2),2))</f>
      </c>
      <c r="D113" s="33">
        <f>IF(AR112&lt;=0,0,ROUND(AR112+ROUND(AR112*X$3/12,2),2))</f>
      </c>
      <c r="E113" s="33">
        <f>IF(AS112&lt;=0,0,ROUND(AS112+ROUND(AS112*Y$3/12,2),2))</f>
      </c>
      <c r="F113" s="33">
        <f>IF(AT112&lt;=0,0,ROUND(AT112+ROUND(AT112*Z$3/12,2),2))</f>
      </c>
      <c r="G113" s="33">
        <f>IF(AU112&lt;=0,0,ROUND(AU112+ROUND(AU112*AA$3/12,2),2))</f>
      </c>
      <c r="H113" s="33">
        <f>IF(AV112&lt;=0,0,ROUND(AV112+ROUND(AV112*AB$3/12,2),2))</f>
      </c>
      <c r="I113" s="33">
        <f>IF(AW112&lt;=0,0,ROUND(AW112+ROUND(AW112*AC$3/12,2),2))</f>
      </c>
      <c r="J113" s="33">
        <f>IF(AX112&lt;=0,0,ROUND(AX112+ROUND(AX112*AD$3/12,2),2))</f>
      </c>
      <c r="K113" s="33">
        <f>IF(AY112&lt;=0,0,ROUND(AY112+ROUND(AY112*AE$3/12,2),2))</f>
      </c>
      <c r="L113" s="33">
        <f>ROUND(MIN(MAX(0,N('Your debts'!$E$6)),B113),2)</f>
      </c>
      <c r="M113" s="33">
        <f>ROUND(MIN(MAX(0,N('Your debts'!$E$7)),C113),2)</f>
      </c>
      <c r="N113" s="33">
        <f>ROUND(MIN(MAX(0,N('Your debts'!$E$8)),D113),2)</f>
      </c>
      <c r="O113" s="33">
        <f>ROUND(MIN(MAX(0,N('Your debts'!$E$9)),E113),2)</f>
      </c>
      <c r="P113" s="33">
        <f>ROUND(MIN(MAX(0,N('Your debts'!$E$10)),F113),2)</f>
      </c>
      <c r="Q113" s="33">
        <f>ROUND(MIN(MAX(0,N('Your debts'!$E$11)),G113),2)</f>
      </c>
      <c r="R113" s="33">
        <f>ROUND(MIN(MAX(0,N('Your debts'!$E$12)),H113),2)</f>
      </c>
      <c r="S113" s="33">
        <f>ROUND(MIN(MAX(0,N('Your debts'!$E$13)),I113),2)</f>
      </c>
      <c r="T113" s="33">
        <f>ROUND(MIN(MAX(0,N('Your debts'!$E$14)),J113),2)</f>
      </c>
      <c r="U113" s="33">
        <f>ROUND(MIN(MAX(0,N('Your debts'!$E$15)),K113),2)</f>
      </c>
      <c r="V113" s="33">
        <f>ROUND(B113-L113,2)</f>
      </c>
      <c r="W113" s="33">
        <f>ROUND(C113-M113,2)</f>
      </c>
      <c r="X113" s="33">
        <f>ROUND(D113-N113,2)</f>
      </c>
      <c r="Y113" s="33">
        <f>ROUND(E113-O113,2)</f>
      </c>
      <c r="Z113" s="33">
        <f>ROUND(F113-P113,2)</f>
      </c>
      <c r="AA113" s="33">
        <f>ROUND(G113-Q113,2)</f>
      </c>
      <c r="AB113" s="33">
        <f>ROUND(H113-R113,2)</f>
      </c>
      <c r="AC113" s="33">
        <f>ROUND(I113-S113,2)</f>
      </c>
      <c r="AD113" s="33">
        <f>ROUND(J113-T113,2)</f>
      </c>
      <c r="AE113" s="33">
        <f>ROUND(K113-U113,2)</f>
      </c>
      <c r="AF113" s="33">
        <f>IF(V113&lt;=0,0,MAX(0,MIN(V113,ROUND($AZ113-SUMPRODUCT($V113:$AE113*($V113:$AE113&gt;0)*(($V$3:$AE$3&gt;V$3)+($V$3:$AE$3=V$3)*($V113:$AE113&lt;V113)+($V$3:$AE$3=V$3)*($V113:$AE113=V113)*($V$2:$AE$2&lt;V$2))),2))))</f>
      </c>
      <c r="AG113" s="33">
        <f>IF(W113&lt;=0,0,MAX(0,MIN(W113,ROUND($AZ113-SUMPRODUCT($V113:$AE113*($V113:$AE113&gt;0)*(($V$3:$AE$3&gt;W$3)+($V$3:$AE$3=W$3)*($V113:$AE113&lt;W113)+($V$3:$AE$3=W$3)*($V113:$AE113=W113)*($V$2:$AE$2&lt;W$2))),2))))</f>
      </c>
      <c r="AH113" s="33">
        <f>IF(X113&lt;=0,0,MAX(0,MIN(X113,ROUND($AZ113-SUMPRODUCT($V113:$AE113*($V113:$AE113&gt;0)*(($V$3:$AE$3&gt;X$3)+($V$3:$AE$3=X$3)*($V113:$AE113&lt;X113)+($V$3:$AE$3=X$3)*($V113:$AE113=X113)*($V$2:$AE$2&lt;X$2))),2))))</f>
      </c>
      <c r="AI113" s="33">
        <f>IF(Y113&lt;=0,0,MAX(0,MIN(Y113,ROUND($AZ113-SUMPRODUCT($V113:$AE113*($V113:$AE113&gt;0)*(($V$3:$AE$3&gt;Y$3)+($V$3:$AE$3=Y$3)*($V113:$AE113&lt;Y113)+($V$3:$AE$3=Y$3)*($V113:$AE113=Y113)*($V$2:$AE$2&lt;Y$2))),2))))</f>
      </c>
      <c r="AJ113" s="33">
        <f>IF(Z113&lt;=0,0,MAX(0,MIN(Z113,ROUND($AZ113-SUMPRODUCT($V113:$AE113*($V113:$AE113&gt;0)*(($V$3:$AE$3&gt;Z$3)+($V$3:$AE$3=Z$3)*($V113:$AE113&lt;Z113)+($V$3:$AE$3=Z$3)*($V113:$AE113=Z113)*($V$2:$AE$2&lt;Z$2))),2))))</f>
      </c>
      <c r="AK113" s="33">
        <f>IF(AA113&lt;=0,0,MAX(0,MIN(AA113,ROUND($AZ113-SUMPRODUCT($V113:$AE113*($V113:$AE113&gt;0)*(($V$3:$AE$3&gt;AA$3)+($V$3:$AE$3=AA$3)*($V113:$AE113&lt;AA113)+($V$3:$AE$3=AA$3)*($V113:$AE113=AA113)*($V$2:$AE$2&lt;AA$2))),2))))</f>
      </c>
      <c r="AL113" s="33">
        <f>IF(AB113&lt;=0,0,MAX(0,MIN(AB113,ROUND($AZ113-SUMPRODUCT($V113:$AE113*($V113:$AE113&gt;0)*(($V$3:$AE$3&gt;AB$3)+($V$3:$AE$3=AB$3)*($V113:$AE113&lt;AB113)+($V$3:$AE$3=AB$3)*($V113:$AE113=AB113)*($V$2:$AE$2&lt;AB$2))),2))))</f>
      </c>
      <c r="AM113" s="33">
        <f>IF(AC113&lt;=0,0,MAX(0,MIN(AC113,ROUND($AZ113-SUMPRODUCT($V113:$AE113*($V113:$AE113&gt;0)*(($V$3:$AE$3&gt;AC$3)+($V$3:$AE$3=AC$3)*($V113:$AE113&lt;AC113)+($V$3:$AE$3=AC$3)*($V113:$AE113=AC113)*($V$2:$AE$2&lt;AC$2))),2))))</f>
      </c>
      <c r="AN113" s="33">
        <f>IF(AD113&lt;=0,0,MAX(0,MIN(AD113,ROUND($AZ113-SUMPRODUCT($V113:$AE113*($V113:$AE113&gt;0)*(($V$3:$AE$3&gt;AD$3)+($V$3:$AE$3=AD$3)*($V113:$AE113&lt;AD113)+($V$3:$AE$3=AD$3)*($V113:$AE113=AD113)*($V$2:$AE$2&lt;AD$2))),2))))</f>
      </c>
      <c r="AO113" s="33">
        <f>IF(AE113&lt;=0,0,MAX(0,MIN(AE113,ROUND($AZ113-SUMPRODUCT($V113:$AE113*($V113:$AE113&gt;0)*(($V$3:$AE$3&gt;AE$3)+($V$3:$AE$3=AE$3)*($V113:$AE113&lt;AE113)+($V$3:$AE$3=AE$3)*($V113:$AE113=AE113)*($V$2:$AE$2&lt;AE$2))),2))))</f>
      </c>
      <c r="AP113" s="33">
        <f>ROUND(V113-AF113,2)</f>
      </c>
      <c r="AQ113" s="33">
        <f>ROUND(W113-AG113,2)</f>
      </c>
      <c r="AR113" s="33">
        <f>ROUND(X113-AH113,2)</f>
      </c>
      <c r="AS113" s="33">
        <f>ROUND(Y113-AI113,2)</f>
      </c>
      <c r="AT113" s="33">
        <f>ROUND(Z113-AJ113,2)</f>
      </c>
      <c r="AU113" s="33">
        <f>ROUND(AA113-AK113,2)</f>
      </c>
      <c r="AV113" s="33">
        <f>ROUND(AB113-AL113,2)</f>
      </c>
      <c r="AW113" s="33">
        <f>ROUND(AC113-AM113,2)</f>
      </c>
      <c r="AX113" s="33">
        <f>ROUND(AD113-AN113,2)</f>
      </c>
      <c r="AY113" s="33">
        <f>ROUND(AE113-AO113,2)</f>
      </c>
      <c r="AZ113" s="33">
        <f>ROUND(MAX(0,'Your debts'!$D$22-SUM($L113:$U113)),2)</f>
      </c>
      <c r="BA113" s="33">
        <f>ROUND(SUM($B113:$K113)-SUM($AP112:$AY112),2)</f>
      </c>
      <c r="BB113" s="33">
        <f>SUM($AP113:$AY113)</f>
      </c>
      <c r="BC113" s="33">
        <f>ROUND(SUM($L113:$U113)+SUM($AF113:$AO113),2)</f>
      </c>
    </row>
    <row r="114" spans="1:55" x14ac:dyDescent="0.25">
      <c r="A114">
        <v>107</v>
      </c>
      <c r="B114" s="33">
        <f>IF(AP113&lt;=0,0,ROUND(AP113+ROUND(AP113*V$3/12,2),2))</f>
      </c>
      <c r="C114" s="33">
        <f>IF(AQ113&lt;=0,0,ROUND(AQ113+ROUND(AQ113*W$3/12,2),2))</f>
      </c>
      <c r="D114" s="33">
        <f>IF(AR113&lt;=0,0,ROUND(AR113+ROUND(AR113*X$3/12,2),2))</f>
      </c>
      <c r="E114" s="33">
        <f>IF(AS113&lt;=0,0,ROUND(AS113+ROUND(AS113*Y$3/12,2),2))</f>
      </c>
      <c r="F114" s="33">
        <f>IF(AT113&lt;=0,0,ROUND(AT113+ROUND(AT113*Z$3/12,2),2))</f>
      </c>
      <c r="G114" s="33">
        <f>IF(AU113&lt;=0,0,ROUND(AU113+ROUND(AU113*AA$3/12,2),2))</f>
      </c>
      <c r="H114" s="33">
        <f>IF(AV113&lt;=0,0,ROUND(AV113+ROUND(AV113*AB$3/12,2),2))</f>
      </c>
      <c r="I114" s="33">
        <f>IF(AW113&lt;=0,0,ROUND(AW113+ROUND(AW113*AC$3/12,2),2))</f>
      </c>
      <c r="J114" s="33">
        <f>IF(AX113&lt;=0,0,ROUND(AX113+ROUND(AX113*AD$3/12,2),2))</f>
      </c>
      <c r="K114" s="33">
        <f>IF(AY113&lt;=0,0,ROUND(AY113+ROUND(AY113*AE$3/12,2),2))</f>
      </c>
      <c r="L114" s="33">
        <f>ROUND(MIN(MAX(0,N('Your debts'!$E$6)),B114),2)</f>
      </c>
      <c r="M114" s="33">
        <f>ROUND(MIN(MAX(0,N('Your debts'!$E$7)),C114),2)</f>
      </c>
      <c r="N114" s="33">
        <f>ROUND(MIN(MAX(0,N('Your debts'!$E$8)),D114),2)</f>
      </c>
      <c r="O114" s="33">
        <f>ROUND(MIN(MAX(0,N('Your debts'!$E$9)),E114),2)</f>
      </c>
      <c r="P114" s="33">
        <f>ROUND(MIN(MAX(0,N('Your debts'!$E$10)),F114),2)</f>
      </c>
      <c r="Q114" s="33">
        <f>ROUND(MIN(MAX(0,N('Your debts'!$E$11)),G114),2)</f>
      </c>
      <c r="R114" s="33">
        <f>ROUND(MIN(MAX(0,N('Your debts'!$E$12)),H114),2)</f>
      </c>
      <c r="S114" s="33">
        <f>ROUND(MIN(MAX(0,N('Your debts'!$E$13)),I114),2)</f>
      </c>
      <c r="T114" s="33">
        <f>ROUND(MIN(MAX(0,N('Your debts'!$E$14)),J114),2)</f>
      </c>
      <c r="U114" s="33">
        <f>ROUND(MIN(MAX(0,N('Your debts'!$E$15)),K114),2)</f>
      </c>
      <c r="V114" s="33">
        <f>ROUND(B114-L114,2)</f>
      </c>
      <c r="W114" s="33">
        <f>ROUND(C114-M114,2)</f>
      </c>
      <c r="X114" s="33">
        <f>ROUND(D114-N114,2)</f>
      </c>
      <c r="Y114" s="33">
        <f>ROUND(E114-O114,2)</f>
      </c>
      <c r="Z114" s="33">
        <f>ROUND(F114-P114,2)</f>
      </c>
      <c r="AA114" s="33">
        <f>ROUND(G114-Q114,2)</f>
      </c>
      <c r="AB114" s="33">
        <f>ROUND(H114-R114,2)</f>
      </c>
      <c r="AC114" s="33">
        <f>ROUND(I114-S114,2)</f>
      </c>
      <c r="AD114" s="33">
        <f>ROUND(J114-T114,2)</f>
      </c>
      <c r="AE114" s="33">
        <f>ROUND(K114-U114,2)</f>
      </c>
      <c r="AF114" s="33">
        <f>IF(V114&lt;=0,0,MAX(0,MIN(V114,ROUND($AZ114-SUMPRODUCT($V114:$AE114*($V114:$AE114&gt;0)*(($V$3:$AE$3&gt;V$3)+($V$3:$AE$3=V$3)*($V114:$AE114&lt;V114)+($V$3:$AE$3=V$3)*($V114:$AE114=V114)*($V$2:$AE$2&lt;V$2))),2))))</f>
      </c>
      <c r="AG114" s="33">
        <f>IF(W114&lt;=0,0,MAX(0,MIN(W114,ROUND($AZ114-SUMPRODUCT($V114:$AE114*($V114:$AE114&gt;0)*(($V$3:$AE$3&gt;W$3)+($V$3:$AE$3=W$3)*($V114:$AE114&lt;W114)+($V$3:$AE$3=W$3)*($V114:$AE114=W114)*($V$2:$AE$2&lt;W$2))),2))))</f>
      </c>
      <c r="AH114" s="33">
        <f>IF(X114&lt;=0,0,MAX(0,MIN(X114,ROUND($AZ114-SUMPRODUCT($V114:$AE114*($V114:$AE114&gt;0)*(($V$3:$AE$3&gt;X$3)+($V$3:$AE$3=X$3)*($V114:$AE114&lt;X114)+($V$3:$AE$3=X$3)*($V114:$AE114=X114)*($V$2:$AE$2&lt;X$2))),2))))</f>
      </c>
      <c r="AI114" s="33">
        <f>IF(Y114&lt;=0,0,MAX(0,MIN(Y114,ROUND($AZ114-SUMPRODUCT($V114:$AE114*($V114:$AE114&gt;0)*(($V$3:$AE$3&gt;Y$3)+($V$3:$AE$3=Y$3)*($V114:$AE114&lt;Y114)+($V$3:$AE$3=Y$3)*($V114:$AE114=Y114)*($V$2:$AE$2&lt;Y$2))),2))))</f>
      </c>
      <c r="AJ114" s="33">
        <f>IF(Z114&lt;=0,0,MAX(0,MIN(Z114,ROUND($AZ114-SUMPRODUCT($V114:$AE114*($V114:$AE114&gt;0)*(($V$3:$AE$3&gt;Z$3)+($V$3:$AE$3=Z$3)*($V114:$AE114&lt;Z114)+($V$3:$AE$3=Z$3)*($V114:$AE114=Z114)*($V$2:$AE$2&lt;Z$2))),2))))</f>
      </c>
      <c r="AK114" s="33">
        <f>IF(AA114&lt;=0,0,MAX(0,MIN(AA114,ROUND($AZ114-SUMPRODUCT($V114:$AE114*($V114:$AE114&gt;0)*(($V$3:$AE$3&gt;AA$3)+($V$3:$AE$3=AA$3)*($V114:$AE114&lt;AA114)+($V$3:$AE$3=AA$3)*($V114:$AE114=AA114)*($V$2:$AE$2&lt;AA$2))),2))))</f>
      </c>
      <c r="AL114" s="33">
        <f>IF(AB114&lt;=0,0,MAX(0,MIN(AB114,ROUND($AZ114-SUMPRODUCT($V114:$AE114*($V114:$AE114&gt;0)*(($V$3:$AE$3&gt;AB$3)+($V$3:$AE$3=AB$3)*($V114:$AE114&lt;AB114)+($V$3:$AE$3=AB$3)*($V114:$AE114=AB114)*($V$2:$AE$2&lt;AB$2))),2))))</f>
      </c>
      <c r="AM114" s="33">
        <f>IF(AC114&lt;=0,0,MAX(0,MIN(AC114,ROUND($AZ114-SUMPRODUCT($V114:$AE114*($V114:$AE114&gt;0)*(($V$3:$AE$3&gt;AC$3)+($V$3:$AE$3=AC$3)*($V114:$AE114&lt;AC114)+($V$3:$AE$3=AC$3)*($V114:$AE114=AC114)*($V$2:$AE$2&lt;AC$2))),2))))</f>
      </c>
      <c r="AN114" s="33">
        <f>IF(AD114&lt;=0,0,MAX(0,MIN(AD114,ROUND($AZ114-SUMPRODUCT($V114:$AE114*($V114:$AE114&gt;0)*(($V$3:$AE$3&gt;AD$3)+($V$3:$AE$3=AD$3)*($V114:$AE114&lt;AD114)+($V$3:$AE$3=AD$3)*($V114:$AE114=AD114)*($V$2:$AE$2&lt;AD$2))),2))))</f>
      </c>
      <c r="AO114" s="33">
        <f>IF(AE114&lt;=0,0,MAX(0,MIN(AE114,ROUND($AZ114-SUMPRODUCT($V114:$AE114*($V114:$AE114&gt;0)*(($V$3:$AE$3&gt;AE$3)+($V$3:$AE$3=AE$3)*($V114:$AE114&lt;AE114)+($V$3:$AE$3=AE$3)*($V114:$AE114=AE114)*($V$2:$AE$2&lt;AE$2))),2))))</f>
      </c>
      <c r="AP114" s="33">
        <f>ROUND(V114-AF114,2)</f>
      </c>
      <c r="AQ114" s="33">
        <f>ROUND(W114-AG114,2)</f>
      </c>
      <c r="AR114" s="33">
        <f>ROUND(X114-AH114,2)</f>
      </c>
      <c r="AS114" s="33">
        <f>ROUND(Y114-AI114,2)</f>
      </c>
      <c r="AT114" s="33">
        <f>ROUND(Z114-AJ114,2)</f>
      </c>
      <c r="AU114" s="33">
        <f>ROUND(AA114-AK114,2)</f>
      </c>
      <c r="AV114" s="33">
        <f>ROUND(AB114-AL114,2)</f>
      </c>
      <c r="AW114" s="33">
        <f>ROUND(AC114-AM114,2)</f>
      </c>
      <c r="AX114" s="33">
        <f>ROUND(AD114-AN114,2)</f>
      </c>
      <c r="AY114" s="33">
        <f>ROUND(AE114-AO114,2)</f>
      </c>
      <c r="AZ114" s="33">
        <f>ROUND(MAX(0,'Your debts'!$D$22-SUM($L114:$U114)),2)</f>
      </c>
      <c r="BA114" s="33">
        <f>ROUND(SUM($B114:$K114)-SUM($AP113:$AY113),2)</f>
      </c>
      <c r="BB114" s="33">
        <f>SUM($AP114:$AY114)</f>
      </c>
      <c r="BC114" s="33">
        <f>ROUND(SUM($L114:$U114)+SUM($AF114:$AO114),2)</f>
      </c>
    </row>
    <row r="115" spans="1:55" x14ac:dyDescent="0.25">
      <c r="A115">
        <v>108</v>
      </c>
      <c r="B115" s="33">
        <f>IF(AP114&lt;=0,0,ROUND(AP114+ROUND(AP114*V$3/12,2),2))</f>
      </c>
      <c r="C115" s="33">
        <f>IF(AQ114&lt;=0,0,ROUND(AQ114+ROUND(AQ114*W$3/12,2),2))</f>
      </c>
      <c r="D115" s="33">
        <f>IF(AR114&lt;=0,0,ROUND(AR114+ROUND(AR114*X$3/12,2),2))</f>
      </c>
      <c r="E115" s="33">
        <f>IF(AS114&lt;=0,0,ROUND(AS114+ROUND(AS114*Y$3/12,2),2))</f>
      </c>
      <c r="F115" s="33">
        <f>IF(AT114&lt;=0,0,ROUND(AT114+ROUND(AT114*Z$3/12,2),2))</f>
      </c>
      <c r="G115" s="33">
        <f>IF(AU114&lt;=0,0,ROUND(AU114+ROUND(AU114*AA$3/12,2),2))</f>
      </c>
      <c r="H115" s="33">
        <f>IF(AV114&lt;=0,0,ROUND(AV114+ROUND(AV114*AB$3/12,2),2))</f>
      </c>
      <c r="I115" s="33">
        <f>IF(AW114&lt;=0,0,ROUND(AW114+ROUND(AW114*AC$3/12,2),2))</f>
      </c>
      <c r="J115" s="33">
        <f>IF(AX114&lt;=0,0,ROUND(AX114+ROUND(AX114*AD$3/12,2),2))</f>
      </c>
      <c r="K115" s="33">
        <f>IF(AY114&lt;=0,0,ROUND(AY114+ROUND(AY114*AE$3/12,2),2))</f>
      </c>
      <c r="L115" s="33">
        <f>ROUND(MIN(MAX(0,N('Your debts'!$E$6)),B115),2)</f>
      </c>
      <c r="M115" s="33">
        <f>ROUND(MIN(MAX(0,N('Your debts'!$E$7)),C115),2)</f>
      </c>
      <c r="N115" s="33">
        <f>ROUND(MIN(MAX(0,N('Your debts'!$E$8)),D115),2)</f>
      </c>
      <c r="O115" s="33">
        <f>ROUND(MIN(MAX(0,N('Your debts'!$E$9)),E115),2)</f>
      </c>
      <c r="P115" s="33">
        <f>ROUND(MIN(MAX(0,N('Your debts'!$E$10)),F115),2)</f>
      </c>
      <c r="Q115" s="33">
        <f>ROUND(MIN(MAX(0,N('Your debts'!$E$11)),G115),2)</f>
      </c>
      <c r="R115" s="33">
        <f>ROUND(MIN(MAX(0,N('Your debts'!$E$12)),H115),2)</f>
      </c>
      <c r="S115" s="33">
        <f>ROUND(MIN(MAX(0,N('Your debts'!$E$13)),I115),2)</f>
      </c>
      <c r="T115" s="33">
        <f>ROUND(MIN(MAX(0,N('Your debts'!$E$14)),J115),2)</f>
      </c>
      <c r="U115" s="33">
        <f>ROUND(MIN(MAX(0,N('Your debts'!$E$15)),K115),2)</f>
      </c>
      <c r="V115" s="33">
        <f>ROUND(B115-L115,2)</f>
      </c>
      <c r="W115" s="33">
        <f>ROUND(C115-M115,2)</f>
      </c>
      <c r="X115" s="33">
        <f>ROUND(D115-N115,2)</f>
      </c>
      <c r="Y115" s="33">
        <f>ROUND(E115-O115,2)</f>
      </c>
      <c r="Z115" s="33">
        <f>ROUND(F115-P115,2)</f>
      </c>
      <c r="AA115" s="33">
        <f>ROUND(G115-Q115,2)</f>
      </c>
      <c r="AB115" s="33">
        <f>ROUND(H115-R115,2)</f>
      </c>
      <c r="AC115" s="33">
        <f>ROUND(I115-S115,2)</f>
      </c>
      <c r="AD115" s="33">
        <f>ROUND(J115-T115,2)</f>
      </c>
      <c r="AE115" s="33">
        <f>ROUND(K115-U115,2)</f>
      </c>
      <c r="AF115" s="33">
        <f>IF(V115&lt;=0,0,MAX(0,MIN(V115,ROUND($AZ115-SUMPRODUCT($V115:$AE115*($V115:$AE115&gt;0)*(($V$3:$AE$3&gt;V$3)+($V$3:$AE$3=V$3)*($V115:$AE115&lt;V115)+($V$3:$AE$3=V$3)*($V115:$AE115=V115)*($V$2:$AE$2&lt;V$2))),2))))</f>
      </c>
      <c r="AG115" s="33">
        <f>IF(W115&lt;=0,0,MAX(0,MIN(W115,ROUND($AZ115-SUMPRODUCT($V115:$AE115*($V115:$AE115&gt;0)*(($V$3:$AE$3&gt;W$3)+($V$3:$AE$3=W$3)*($V115:$AE115&lt;W115)+($V$3:$AE$3=W$3)*($V115:$AE115=W115)*($V$2:$AE$2&lt;W$2))),2))))</f>
      </c>
      <c r="AH115" s="33">
        <f>IF(X115&lt;=0,0,MAX(0,MIN(X115,ROUND($AZ115-SUMPRODUCT($V115:$AE115*($V115:$AE115&gt;0)*(($V$3:$AE$3&gt;X$3)+($V$3:$AE$3=X$3)*($V115:$AE115&lt;X115)+($V$3:$AE$3=X$3)*($V115:$AE115=X115)*($V$2:$AE$2&lt;X$2))),2))))</f>
      </c>
      <c r="AI115" s="33">
        <f>IF(Y115&lt;=0,0,MAX(0,MIN(Y115,ROUND($AZ115-SUMPRODUCT($V115:$AE115*($V115:$AE115&gt;0)*(($V$3:$AE$3&gt;Y$3)+($V$3:$AE$3=Y$3)*($V115:$AE115&lt;Y115)+($V$3:$AE$3=Y$3)*($V115:$AE115=Y115)*($V$2:$AE$2&lt;Y$2))),2))))</f>
      </c>
      <c r="AJ115" s="33">
        <f>IF(Z115&lt;=0,0,MAX(0,MIN(Z115,ROUND($AZ115-SUMPRODUCT($V115:$AE115*($V115:$AE115&gt;0)*(($V$3:$AE$3&gt;Z$3)+($V$3:$AE$3=Z$3)*($V115:$AE115&lt;Z115)+($V$3:$AE$3=Z$3)*($V115:$AE115=Z115)*($V$2:$AE$2&lt;Z$2))),2))))</f>
      </c>
      <c r="AK115" s="33">
        <f>IF(AA115&lt;=0,0,MAX(0,MIN(AA115,ROUND($AZ115-SUMPRODUCT($V115:$AE115*($V115:$AE115&gt;0)*(($V$3:$AE$3&gt;AA$3)+($V$3:$AE$3=AA$3)*($V115:$AE115&lt;AA115)+($V$3:$AE$3=AA$3)*($V115:$AE115=AA115)*($V$2:$AE$2&lt;AA$2))),2))))</f>
      </c>
      <c r="AL115" s="33">
        <f>IF(AB115&lt;=0,0,MAX(0,MIN(AB115,ROUND($AZ115-SUMPRODUCT($V115:$AE115*($V115:$AE115&gt;0)*(($V$3:$AE$3&gt;AB$3)+($V$3:$AE$3=AB$3)*($V115:$AE115&lt;AB115)+($V$3:$AE$3=AB$3)*($V115:$AE115=AB115)*($V$2:$AE$2&lt;AB$2))),2))))</f>
      </c>
      <c r="AM115" s="33">
        <f>IF(AC115&lt;=0,0,MAX(0,MIN(AC115,ROUND($AZ115-SUMPRODUCT($V115:$AE115*($V115:$AE115&gt;0)*(($V$3:$AE$3&gt;AC$3)+($V$3:$AE$3=AC$3)*($V115:$AE115&lt;AC115)+($V$3:$AE$3=AC$3)*($V115:$AE115=AC115)*($V$2:$AE$2&lt;AC$2))),2))))</f>
      </c>
      <c r="AN115" s="33">
        <f>IF(AD115&lt;=0,0,MAX(0,MIN(AD115,ROUND($AZ115-SUMPRODUCT($V115:$AE115*($V115:$AE115&gt;0)*(($V$3:$AE$3&gt;AD$3)+($V$3:$AE$3=AD$3)*($V115:$AE115&lt;AD115)+($V$3:$AE$3=AD$3)*($V115:$AE115=AD115)*($V$2:$AE$2&lt;AD$2))),2))))</f>
      </c>
      <c r="AO115" s="33">
        <f>IF(AE115&lt;=0,0,MAX(0,MIN(AE115,ROUND($AZ115-SUMPRODUCT($V115:$AE115*($V115:$AE115&gt;0)*(($V$3:$AE$3&gt;AE$3)+($V$3:$AE$3=AE$3)*($V115:$AE115&lt;AE115)+($V$3:$AE$3=AE$3)*($V115:$AE115=AE115)*($V$2:$AE$2&lt;AE$2))),2))))</f>
      </c>
      <c r="AP115" s="33">
        <f>ROUND(V115-AF115,2)</f>
      </c>
      <c r="AQ115" s="33">
        <f>ROUND(W115-AG115,2)</f>
      </c>
      <c r="AR115" s="33">
        <f>ROUND(X115-AH115,2)</f>
      </c>
      <c r="AS115" s="33">
        <f>ROUND(Y115-AI115,2)</f>
      </c>
      <c r="AT115" s="33">
        <f>ROUND(Z115-AJ115,2)</f>
      </c>
      <c r="AU115" s="33">
        <f>ROUND(AA115-AK115,2)</f>
      </c>
      <c r="AV115" s="33">
        <f>ROUND(AB115-AL115,2)</f>
      </c>
      <c r="AW115" s="33">
        <f>ROUND(AC115-AM115,2)</f>
      </c>
      <c r="AX115" s="33">
        <f>ROUND(AD115-AN115,2)</f>
      </c>
      <c r="AY115" s="33">
        <f>ROUND(AE115-AO115,2)</f>
      </c>
      <c r="AZ115" s="33">
        <f>ROUND(MAX(0,'Your debts'!$D$22-SUM($L115:$U115)),2)</f>
      </c>
      <c r="BA115" s="33">
        <f>ROUND(SUM($B115:$K115)-SUM($AP114:$AY114),2)</f>
      </c>
      <c r="BB115" s="33">
        <f>SUM($AP115:$AY115)</f>
      </c>
      <c r="BC115" s="33">
        <f>ROUND(SUM($L115:$U115)+SUM($AF115:$AO115),2)</f>
      </c>
    </row>
    <row r="116" spans="1:55" x14ac:dyDescent="0.25">
      <c r="A116">
        <v>109</v>
      </c>
      <c r="B116" s="33">
        <f>IF(AP115&lt;=0,0,ROUND(AP115+ROUND(AP115*V$3/12,2),2))</f>
      </c>
      <c r="C116" s="33">
        <f>IF(AQ115&lt;=0,0,ROUND(AQ115+ROUND(AQ115*W$3/12,2),2))</f>
      </c>
      <c r="D116" s="33">
        <f>IF(AR115&lt;=0,0,ROUND(AR115+ROUND(AR115*X$3/12,2),2))</f>
      </c>
      <c r="E116" s="33">
        <f>IF(AS115&lt;=0,0,ROUND(AS115+ROUND(AS115*Y$3/12,2),2))</f>
      </c>
      <c r="F116" s="33">
        <f>IF(AT115&lt;=0,0,ROUND(AT115+ROUND(AT115*Z$3/12,2),2))</f>
      </c>
      <c r="G116" s="33">
        <f>IF(AU115&lt;=0,0,ROUND(AU115+ROUND(AU115*AA$3/12,2),2))</f>
      </c>
      <c r="H116" s="33">
        <f>IF(AV115&lt;=0,0,ROUND(AV115+ROUND(AV115*AB$3/12,2),2))</f>
      </c>
      <c r="I116" s="33">
        <f>IF(AW115&lt;=0,0,ROUND(AW115+ROUND(AW115*AC$3/12,2),2))</f>
      </c>
      <c r="J116" s="33">
        <f>IF(AX115&lt;=0,0,ROUND(AX115+ROUND(AX115*AD$3/12,2),2))</f>
      </c>
      <c r="K116" s="33">
        <f>IF(AY115&lt;=0,0,ROUND(AY115+ROUND(AY115*AE$3/12,2),2))</f>
      </c>
      <c r="L116" s="33">
        <f>ROUND(MIN(MAX(0,N('Your debts'!$E$6)),B116),2)</f>
      </c>
      <c r="M116" s="33">
        <f>ROUND(MIN(MAX(0,N('Your debts'!$E$7)),C116),2)</f>
      </c>
      <c r="N116" s="33">
        <f>ROUND(MIN(MAX(0,N('Your debts'!$E$8)),D116),2)</f>
      </c>
      <c r="O116" s="33">
        <f>ROUND(MIN(MAX(0,N('Your debts'!$E$9)),E116),2)</f>
      </c>
      <c r="P116" s="33">
        <f>ROUND(MIN(MAX(0,N('Your debts'!$E$10)),F116),2)</f>
      </c>
      <c r="Q116" s="33">
        <f>ROUND(MIN(MAX(0,N('Your debts'!$E$11)),G116),2)</f>
      </c>
      <c r="R116" s="33">
        <f>ROUND(MIN(MAX(0,N('Your debts'!$E$12)),H116),2)</f>
      </c>
      <c r="S116" s="33">
        <f>ROUND(MIN(MAX(0,N('Your debts'!$E$13)),I116),2)</f>
      </c>
      <c r="T116" s="33">
        <f>ROUND(MIN(MAX(0,N('Your debts'!$E$14)),J116),2)</f>
      </c>
      <c r="U116" s="33">
        <f>ROUND(MIN(MAX(0,N('Your debts'!$E$15)),K116),2)</f>
      </c>
      <c r="V116" s="33">
        <f>ROUND(B116-L116,2)</f>
      </c>
      <c r="W116" s="33">
        <f>ROUND(C116-M116,2)</f>
      </c>
      <c r="X116" s="33">
        <f>ROUND(D116-N116,2)</f>
      </c>
      <c r="Y116" s="33">
        <f>ROUND(E116-O116,2)</f>
      </c>
      <c r="Z116" s="33">
        <f>ROUND(F116-P116,2)</f>
      </c>
      <c r="AA116" s="33">
        <f>ROUND(G116-Q116,2)</f>
      </c>
      <c r="AB116" s="33">
        <f>ROUND(H116-R116,2)</f>
      </c>
      <c r="AC116" s="33">
        <f>ROUND(I116-S116,2)</f>
      </c>
      <c r="AD116" s="33">
        <f>ROUND(J116-T116,2)</f>
      </c>
      <c r="AE116" s="33">
        <f>ROUND(K116-U116,2)</f>
      </c>
      <c r="AF116" s="33">
        <f>IF(V116&lt;=0,0,MAX(0,MIN(V116,ROUND($AZ116-SUMPRODUCT($V116:$AE116*($V116:$AE116&gt;0)*(($V$3:$AE$3&gt;V$3)+($V$3:$AE$3=V$3)*($V116:$AE116&lt;V116)+($V$3:$AE$3=V$3)*($V116:$AE116=V116)*($V$2:$AE$2&lt;V$2))),2))))</f>
      </c>
      <c r="AG116" s="33">
        <f>IF(W116&lt;=0,0,MAX(0,MIN(W116,ROUND($AZ116-SUMPRODUCT($V116:$AE116*($V116:$AE116&gt;0)*(($V$3:$AE$3&gt;W$3)+($V$3:$AE$3=W$3)*($V116:$AE116&lt;W116)+($V$3:$AE$3=W$3)*($V116:$AE116=W116)*($V$2:$AE$2&lt;W$2))),2))))</f>
      </c>
      <c r="AH116" s="33">
        <f>IF(X116&lt;=0,0,MAX(0,MIN(X116,ROUND($AZ116-SUMPRODUCT($V116:$AE116*($V116:$AE116&gt;0)*(($V$3:$AE$3&gt;X$3)+($V$3:$AE$3=X$3)*($V116:$AE116&lt;X116)+($V$3:$AE$3=X$3)*($V116:$AE116=X116)*($V$2:$AE$2&lt;X$2))),2))))</f>
      </c>
      <c r="AI116" s="33">
        <f>IF(Y116&lt;=0,0,MAX(0,MIN(Y116,ROUND($AZ116-SUMPRODUCT($V116:$AE116*($V116:$AE116&gt;0)*(($V$3:$AE$3&gt;Y$3)+($V$3:$AE$3=Y$3)*($V116:$AE116&lt;Y116)+($V$3:$AE$3=Y$3)*($V116:$AE116=Y116)*($V$2:$AE$2&lt;Y$2))),2))))</f>
      </c>
      <c r="AJ116" s="33">
        <f>IF(Z116&lt;=0,0,MAX(0,MIN(Z116,ROUND($AZ116-SUMPRODUCT($V116:$AE116*($V116:$AE116&gt;0)*(($V$3:$AE$3&gt;Z$3)+($V$3:$AE$3=Z$3)*($V116:$AE116&lt;Z116)+($V$3:$AE$3=Z$3)*($V116:$AE116=Z116)*($V$2:$AE$2&lt;Z$2))),2))))</f>
      </c>
      <c r="AK116" s="33">
        <f>IF(AA116&lt;=0,0,MAX(0,MIN(AA116,ROUND($AZ116-SUMPRODUCT($V116:$AE116*($V116:$AE116&gt;0)*(($V$3:$AE$3&gt;AA$3)+($V$3:$AE$3=AA$3)*($V116:$AE116&lt;AA116)+($V$3:$AE$3=AA$3)*($V116:$AE116=AA116)*($V$2:$AE$2&lt;AA$2))),2))))</f>
      </c>
      <c r="AL116" s="33">
        <f>IF(AB116&lt;=0,0,MAX(0,MIN(AB116,ROUND($AZ116-SUMPRODUCT($V116:$AE116*($V116:$AE116&gt;0)*(($V$3:$AE$3&gt;AB$3)+($V$3:$AE$3=AB$3)*($V116:$AE116&lt;AB116)+($V$3:$AE$3=AB$3)*($V116:$AE116=AB116)*($V$2:$AE$2&lt;AB$2))),2))))</f>
      </c>
      <c r="AM116" s="33">
        <f>IF(AC116&lt;=0,0,MAX(0,MIN(AC116,ROUND($AZ116-SUMPRODUCT($V116:$AE116*($V116:$AE116&gt;0)*(($V$3:$AE$3&gt;AC$3)+($V$3:$AE$3=AC$3)*($V116:$AE116&lt;AC116)+($V$3:$AE$3=AC$3)*($V116:$AE116=AC116)*($V$2:$AE$2&lt;AC$2))),2))))</f>
      </c>
      <c r="AN116" s="33">
        <f>IF(AD116&lt;=0,0,MAX(0,MIN(AD116,ROUND($AZ116-SUMPRODUCT($V116:$AE116*($V116:$AE116&gt;0)*(($V$3:$AE$3&gt;AD$3)+($V$3:$AE$3=AD$3)*($V116:$AE116&lt;AD116)+($V$3:$AE$3=AD$3)*($V116:$AE116=AD116)*($V$2:$AE$2&lt;AD$2))),2))))</f>
      </c>
      <c r="AO116" s="33">
        <f>IF(AE116&lt;=0,0,MAX(0,MIN(AE116,ROUND($AZ116-SUMPRODUCT($V116:$AE116*($V116:$AE116&gt;0)*(($V$3:$AE$3&gt;AE$3)+($V$3:$AE$3=AE$3)*($V116:$AE116&lt;AE116)+($V$3:$AE$3=AE$3)*($V116:$AE116=AE116)*($V$2:$AE$2&lt;AE$2))),2))))</f>
      </c>
      <c r="AP116" s="33">
        <f>ROUND(V116-AF116,2)</f>
      </c>
      <c r="AQ116" s="33">
        <f>ROUND(W116-AG116,2)</f>
      </c>
      <c r="AR116" s="33">
        <f>ROUND(X116-AH116,2)</f>
      </c>
      <c r="AS116" s="33">
        <f>ROUND(Y116-AI116,2)</f>
      </c>
      <c r="AT116" s="33">
        <f>ROUND(Z116-AJ116,2)</f>
      </c>
      <c r="AU116" s="33">
        <f>ROUND(AA116-AK116,2)</f>
      </c>
      <c r="AV116" s="33">
        <f>ROUND(AB116-AL116,2)</f>
      </c>
      <c r="AW116" s="33">
        <f>ROUND(AC116-AM116,2)</f>
      </c>
      <c r="AX116" s="33">
        <f>ROUND(AD116-AN116,2)</f>
      </c>
      <c r="AY116" s="33">
        <f>ROUND(AE116-AO116,2)</f>
      </c>
      <c r="AZ116" s="33">
        <f>ROUND(MAX(0,'Your debts'!$D$22-SUM($L116:$U116)),2)</f>
      </c>
      <c r="BA116" s="33">
        <f>ROUND(SUM($B116:$K116)-SUM($AP115:$AY115),2)</f>
      </c>
      <c r="BB116" s="33">
        <f>SUM($AP116:$AY116)</f>
      </c>
      <c r="BC116" s="33">
        <f>ROUND(SUM($L116:$U116)+SUM($AF116:$AO116),2)</f>
      </c>
    </row>
    <row r="117" spans="1:55" x14ac:dyDescent="0.25">
      <c r="A117">
        <v>110</v>
      </c>
      <c r="B117" s="33">
        <f>IF(AP116&lt;=0,0,ROUND(AP116+ROUND(AP116*V$3/12,2),2))</f>
      </c>
      <c r="C117" s="33">
        <f>IF(AQ116&lt;=0,0,ROUND(AQ116+ROUND(AQ116*W$3/12,2),2))</f>
      </c>
      <c r="D117" s="33">
        <f>IF(AR116&lt;=0,0,ROUND(AR116+ROUND(AR116*X$3/12,2),2))</f>
      </c>
      <c r="E117" s="33">
        <f>IF(AS116&lt;=0,0,ROUND(AS116+ROUND(AS116*Y$3/12,2),2))</f>
      </c>
      <c r="F117" s="33">
        <f>IF(AT116&lt;=0,0,ROUND(AT116+ROUND(AT116*Z$3/12,2),2))</f>
      </c>
      <c r="G117" s="33">
        <f>IF(AU116&lt;=0,0,ROUND(AU116+ROUND(AU116*AA$3/12,2),2))</f>
      </c>
      <c r="H117" s="33">
        <f>IF(AV116&lt;=0,0,ROUND(AV116+ROUND(AV116*AB$3/12,2),2))</f>
      </c>
      <c r="I117" s="33">
        <f>IF(AW116&lt;=0,0,ROUND(AW116+ROUND(AW116*AC$3/12,2),2))</f>
      </c>
      <c r="J117" s="33">
        <f>IF(AX116&lt;=0,0,ROUND(AX116+ROUND(AX116*AD$3/12,2),2))</f>
      </c>
      <c r="K117" s="33">
        <f>IF(AY116&lt;=0,0,ROUND(AY116+ROUND(AY116*AE$3/12,2),2))</f>
      </c>
      <c r="L117" s="33">
        <f>ROUND(MIN(MAX(0,N('Your debts'!$E$6)),B117),2)</f>
      </c>
      <c r="M117" s="33">
        <f>ROUND(MIN(MAX(0,N('Your debts'!$E$7)),C117),2)</f>
      </c>
      <c r="N117" s="33">
        <f>ROUND(MIN(MAX(0,N('Your debts'!$E$8)),D117),2)</f>
      </c>
      <c r="O117" s="33">
        <f>ROUND(MIN(MAX(0,N('Your debts'!$E$9)),E117),2)</f>
      </c>
      <c r="P117" s="33">
        <f>ROUND(MIN(MAX(0,N('Your debts'!$E$10)),F117),2)</f>
      </c>
      <c r="Q117" s="33">
        <f>ROUND(MIN(MAX(0,N('Your debts'!$E$11)),G117),2)</f>
      </c>
      <c r="R117" s="33">
        <f>ROUND(MIN(MAX(0,N('Your debts'!$E$12)),H117),2)</f>
      </c>
      <c r="S117" s="33">
        <f>ROUND(MIN(MAX(0,N('Your debts'!$E$13)),I117),2)</f>
      </c>
      <c r="T117" s="33">
        <f>ROUND(MIN(MAX(0,N('Your debts'!$E$14)),J117),2)</f>
      </c>
      <c r="U117" s="33">
        <f>ROUND(MIN(MAX(0,N('Your debts'!$E$15)),K117),2)</f>
      </c>
      <c r="V117" s="33">
        <f>ROUND(B117-L117,2)</f>
      </c>
      <c r="W117" s="33">
        <f>ROUND(C117-M117,2)</f>
      </c>
      <c r="X117" s="33">
        <f>ROUND(D117-N117,2)</f>
      </c>
      <c r="Y117" s="33">
        <f>ROUND(E117-O117,2)</f>
      </c>
      <c r="Z117" s="33">
        <f>ROUND(F117-P117,2)</f>
      </c>
      <c r="AA117" s="33">
        <f>ROUND(G117-Q117,2)</f>
      </c>
      <c r="AB117" s="33">
        <f>ROUND(H117-R117,2)</f>
      </c>
      <c r="AC117" s="33">
        <f>ROUND(I117-S117,2)</f>
      </c>
      <c r="AD117" s="33">
        <f>ROUND(J117-T117,2)</f>
      </c>
      <c r="AE117" s="33">
        <f>ROUND(K117-U117,2)</f>
      </c>
      <c r="AF117" s="33">
        <f>IF(V117&lt;=0,0,MAX(0,MIN(V117,ROUND($AZ117-SUMPRODUCT($V117:$AE117*($V117:$AE117&gt;0)*(($V$3:$AE$3&gt;V$3)+($V$3:$AE$3=V$3)*($V117:$AE117&lt;V117)+($V$3:$AE$3=V$3)*($V117:$AE117=V117)*($V$2:$AE$2&lt;V$2))),2))))</f>
      </c>
      <c r="AG117" s="33">
        <f>IF(W117&lt;=0,0,MAX(0,MIN(W117,ROUND($AZ117-SUMPRODUCT($V117:$AE117*($V117:$AE117&gt;0)*(($V$3:$AE$3&gt;W$3)+($V$3:$AE$3=W$3)*($V117:$AE117&lt;W117)+($V$3:$AE$3=W$3)*($V117:$AE117=W117)*($V$2:$AE$2&lt;W$2))),2))))</f>
      </c>
      <c r="AH117" s="33">
        <f>IF(X117&lt;=0,0,MAX(0,MIN(X117,ROUND($AZ117-SUMPRODUCT($V117:$AE117*($V117:$AE117&gt;0)*(($V$3:$AE$3&gt;X$3)+($V$3:$AE$3=X$3)*($V117:$AE117&lt;X117)+($V$3:$AE$3=X$3)*($V117:$AE117=X117)*($V$2:$AE$2&lt;X$2))),2))))</f>
      </c>
      <c r="AI117" s="33">
        <f>IF(Y117&lt;=0,0,MAX(0,MIN(Y117,ROUND($AZ117-SUMPRODUCT($V117:$AE117*($V117:$AE117&gt;0)*(($V$3:$AE$3&gt;Y$3)+($V$3:$AE$3=Y$3)*($V117:$AE117&lt;Y117)+($V$3:$AE$3=Y$3)*($V117:$AE117=Y117)*($V$2:$AE$2&lt;Y$2))),2))))</f>
      </c>
      <c r="AJ117" s="33">
        <f>IF(Z117&lt;=0,0,MAX(0,MIN(Z117,ROUND($AZ117-SUMPRODUCT($V117:$AE117*($V117:$AE117&gt;0)*(($V$3:$AE$3&gt;Z$3)+($V$3:$AE$3=Z$3)*($V117:$AE117&lt;Z117)+($V$3:$AE$3=Z$3)*($V117:$AE117=Z117)*($V$2:$AE$2&lt;Z$2))),2))))</f>
      </c>
      <c r="AK117" s="33">
        <f>IF(AA117&lt;=0,0,MAX(0,MIN(AA117,ROUND($AZ117-SUMPRODUCT($V117:$AE117*($V117:$AE117&gt;0)*(($V$3:$AE$3&gt;AA$3)+($V$3:$AE$3=AA$3)*($V117:$AE117&lt;AA117)+($V$3:$AE$3=AA$3)*($V117:$AE117=AA117)*($V$2:$AE$2&lt;AA$2))),2))))</f>
      </c>
      <c r="AL117" s="33">
        <f>IF(AB117&lt;=0,0,MAX(0,MIN(AB117,ROUND($AZ117-SUMPRODUCT($V117:$AE117*($V117:$AE117&gt;0)*(($V$3:$AE$3&gt;AB$3)+($V$3:$AE$3=AB$3)*($V117:$AE117&lt;AB117)+($V$3:$AE$3=AB$3)*($V117:$AE117=AB117)*($V$2:$AE$2&lt;AB$2))),2))))</f>
      </c>
      <c r="AM117" s="33">
        <f>IF(AC117&lt;=0,0,MAX(0,MIN(AC117,ROUND($AZ117-SUMPRODUCT($V117:$AE117*($V117:$AE117&gt;0)*(($V$3:$AE$3&gt;AC$3)+($V$3:$AE$3=AC$3)*($V117:$AE117&lt;AC117)+($V$3:$AE$3=AC$3)*($V117:$AE117=AC117)*($V$2:$AE$2&lt;AC$2))),2))))</f>
      </c>
      <c r="AN117" s="33">
        <f>IF(AD117&lt;=0,0,MAX(0,MIN(AD117,ROUND($AZ117-SUMPRODUCT($V117:$AE117*($V117:$AE117&gt;0)*(($V$3:$AE$3&gt;AD$3)+($V$3:$AE$3=AD$3)*($V117:$AE117&lt;AD117)+($V$3:$AE$3=AD$3)*($V117:$AE117=AD117)*($V$2:$AE$2&lt;AD$2))),2))))</f>
      </c>
      <c r="AO117" s="33">
        <f>IF(AE117&lt;=0,0,MAX(0,MIN(AE117,ROUND($AZ117-SUMPRODUCT($V117:$AE117*($V117:$AE117&gt;0)*(($V$3:$AE$3&gt;AE$3)+($V$3:$AE$3=AE$3)*($V117:$AE117&lt;AE117)+($V$3:$AE$3=AE$3)*($V117:$AE117=AE117)*($V$2:$AE$2&lt;AE$2))),2))))</f>
      </c>
      <c r="AP117" s="33">
        <f>ROUND(V117-AF117,2)</f>
      </c>
      <c r="AQ117" s="33">
        <f>ROUND(W117-AG117,2)</f>
      </c>
      <c r="AR117" s="33">
        <f>ROUND(X117-AH117,2)</f>
      </c>
      <c r="AS117" s="33">
        <f>ROUND(Y117-AI117,2)</f>
      </c>
      <c r="AT117" s="33">
        <f>ROUND(Z117-AJ117,2)</f>
      </c>
      <c r="AU117" s="33">
        <f>ROUND(AA117-AK117,2)</f>
      </c>
      <c r="AV117" s="33">
        <f>ROUND(AB117-AL117,2)</f>
      </c>
      <c r="AW117" s="33">
        <f>ROUND(AC117-AM117,2)</f>
      </c>
      <c r="AX117" s="33">
        <f>ROUND(AD117-AN117,2)</f>
      </c>
      <c r="AY117" s="33">
        <f>ROUND(AE117-AO117,2)</f>
      </c>
      <c r="AZ117" s="33">
        <f>ROUND(MAX(0,'Your debts'!$D$22-SUM($L117:$U117)),2)</f>
      </c>
      <c r="BA117" s="33">
        <f>ROUND(SUM($B117:$K117)-SUM($AP116:$AY116),2)</f>
      </c>
      <c r="BB117" s="33">
        <f>SUM($AP117:$AY117)</f>
      </c>
      <c r="BC117" s="33">
        <f>ROUND(SUM($L117:$U117)+SUM($AF117:$AO117),2)</f>
      </c>
    </row>
    <row r="118" spans="1:55" x14ac:dyDescent="0.25">
      <c r="A118">
        <v>111</v>
      </c>
      <c r="B118" s="33">
        <f>IF(AP117&lt;=0,0,ROUND(AP117+ROUND(AP117*V$3/12,2),2))</f>
      </c>
      <c r="C118" s="33">
        <f>IF(AQ117&lt;=0,0,ROUND(AQ117+ROUND(AQ117*W$3/12,2),2))</f>
      </c>
      <c r="D118" s="33">
        <f>IF(AR117&lt;=0,0,ROUND(AR117+ROUND(AR117*X$3/12,2),2))</f>
      </c>
      <c r="E118" s="33">
        <f>IF(AS117&lt;=0,0,ROUND(AS117+ROUND(AS117*Y$3/12,2),2))</f>
      </c>
      <c r="F118" s="33">
        <f>IF(AT117&lt;=0,0,ROUND(AT117+ROUND(AT117*Z$3/12,2),2))</f>
      </c>
      <c r="G118" s="33">
        <f>IF(AU117&lt;=0,0,ROUND(AU117+ROUND(AU117*AA$3/12,2),2))</f>
      </c>
      <c r="H118" s="33">
        <f>IF(AV117&lt;=0,0,ROUND(AV117+ROUND(AV117*AB$3/12,2),2))</f>
      </c>
      <c r="I118" s="33">
        <f>IF(AW117&lt;=0,0,ROUND(AW117+ROUND(AW117*AC$3/12,2),2))</f>
      </c>
      <c r="J118" s="33">
        <f>IF(AX117&lt;=0,0,ROUND(AX117+ROUND(AX117*AD$3/12,2),2))</f>
      </c>
      <c r="K118" s="33">
        <f>IF(AY117&lt;=0,0,ROUND(AY117+ROUND(AY117*AE$3/12,2),2))</f>
      </c>
      <c r="L118" s="33">
        <f>ROUND(MIN(MAX(0,N('Your debts'!$E$6)),B118),2)</f>
      </c>
      <c r="M118" s="33">
        <f>ROUND(MIN(MAX(0,N('Your debts'!$E$7)),C118),2)</f>
      </c>
      <c r="N118" s="33">
        <f>ROUND(MIN(MAX(0,N('Your debts'!$E$8)),D118),2)</f>
      </c>
      <c r="O118" s="33">
        <f>ROUND(MIN(MAX(0,N('Your debts'!$E$9)),E118),2)</f>
      </c>
      <c r="P118" s="33">
        <f>ROUND(MIN(MAX(0,N('Your debts'!$E$10)),F118),2)</f>
      </c>
      <c r="Q118" s="33">
        <f>ROUND(MIN(MAX(0,N('Your debts'!$E$11)),G118),2)</f>
      </c>
      <c r="R118" s="33">
        <f>ROUND(MIN(MAX(0,N('Your debts'!$E$12)),H118),2)</f>
      </c>
      <c r="S118" s="33">
        <f>ROUND(MIN(MAX(0,N('Your debts'!$E$13)),I118),2)</f>
      </c>
      <c r="T118" s="33">
        <f>ROUND(MIN(MAX(0,N('Your debts'!$E$14)),J118),2)</f>
      </c>
      <c r="U118" s="33">
        <f>ROUND(MIN(MAX(0,N('Your debts'!$E$15)),K118),2)</f>
      </c>
      <c r="V118" s="33">
        <f>ROUND(B118-L118,2)</f>
      </c>
      <c r="W118" s="33">
        <f>ROUND(C118-M118,2)</f>
      </c>
      <c r="X118" s="33">
        <f>ROUND(D118-N118,2)</f>
      </c>
      <c r="Y118" s="33">
        <f>ROUND(E118-O118,2)</f>
      </c>
      <c r="Z118" s="33">
        <f>ROUND(F118-P118,2)</f>
      </c>
      <c r="AA118" s="33">
        <f>ROUND(G118-Q118,2)</f>
      </c>
      <c r="AB118" s="33">
        <f>ROUND(H118-R118,2)</f>
      </c>
      <c r="AC118" s="33">
        <f>ROUND(I118-S118,2)</f>
      </c>
      <c r="AD118" s="33">
        <f>ROUND(J118-T118,2)</f>
      </c>
      <c r="AE118" s="33">
        <f>ROUND(K118-U118,2)</f>
      </c>
      <c r="AF118" s="33">
        <f>IF(V118&lt;=0,0,MAX(0,MIN(V118,ROUND($AZ118-SUMPRODUCT($V118:$AE118*($V118:$AE118&gt;0)*(($V$3:$AE$3&gt;V$3)+($V$3:$AE$3=V$3)*($V118:$AE118&lt;V118)+($V$3:$AE$3=V$3)*($V118:$AE118=V118)*($V$2:$AE$2&lt;V$2))),2))))</f>
      </c>
      <c r="AG118" s="33">
        <f>IF(W118&lt;=0,0,MAX(0,MIN(W118,ROUND($AZ118-SUMPRODUCT($V118:$AE118*($V118:$AE118&gt;0)*(($V$3:$AE$3&gt;W$3)+($V$3:$AE$3=W$3)*($V118:$AE118&lt;W118)+($V$3:$AE$3=W$3)*($V118:$AE118=W118)*($V$2:$AE$2&lt;W$2))),2))))</f>
      </c>
      <c r="AH118" s="33">
        <f>IF(X118&lt;=0,0,MAX(0,MIN(X118,ROUND($AZ118-SUMPRODUCT($V118:$AE118*($V118:$AE118&gt;0)*(($V$3:$AE$3&gt;X$3)+($V$3:$AE$3=X$3)*($V118:$AE118&lt;X118)+($V$3:$AE$3=X$3)*($V118:$AE118=X118)*($V$2:$AE$2&lt;X$2))),2))))</f>
      </c>
      <c r="AI118" s="33">
        <f>IF(Y118&lt;=0,0,MAX(0,MIN(Y118,ROUND($AZ118-SUMPRODUCT($V118:$AE118*($V118:$AE118&gt;0)*(($V$3:$AE$3&gt;Y$3)+($V$3:$AE$3=Y$3)*($V118:$AE118&lt;Y118)+($V$3:$AE$3=Y$3)*($V118:$AE118=Y118)*($V$2:$AE$2&lt;Y$2))),2))))</f>
      </c>
      <c r="AJ118" s="33">
        <f>IF(Z118&lt;=0,0,MAX(0,MIN(Z118,ROUND($AZ118-SUMPRODUCT($V118:$AE118*($V118:$AE118&gt;0)*(($V$3:$AE$3&gt;Z$3)+($V$3:$AE$3=Z$3)*($V118:$AE118&lt;Z118)+($V$3:$AE$3=Z$3)*($V118:$AE118=Z118)*($V$2:$AE$2&lt;Z$2))),2))))</f>
      </c>
      <c r="AK118" s="33">
        <f>IF(AA118&lt;=0,0,MAX(0,MIN(AA118,ROUND($AZ118-SUMPRODUCT($V118:$AE118*($V118:$AE118&gt;0)*(($V$3:$AE$3&gt;AA$3)+($V$3:$AE$3=AA$3)*($V118:$AE118&lt;AA118)+($V$3:$AE$3=AA$3)*($V118:$AE118=AA118)*($V$2:$AE$2&lt;AA$2))),2))))</f>
      </c>
      <c r="AL118" s="33">
        <f>IF(AB118&lt;=0,0,MAX(0,MIN(AB118,ROUND($AZ118-SUMPRODUCT($V118:$AE118*($V118:$AE118&gt;0)*(($V$3:$AE$3&gt;AB$3)+($V$3:$AE$3=AB$3)*($V118:$AE118&lt;AB118)+($V$3:$AE$3=AB$3)*($V118:$AE118=AB118)*($V$2:$AE$2&lt;AB$2))),2))))</f>
      </c>
      <c r="AM118" s="33">
        <f>IF(AC118&lt;=0,0,MAX(0,MIN(AC118,ROUND($AZ118-SUMPRODUCT($V118:$AE118*($V118:$AE118&gt;0)*(($V$3:$AE$3&gt;AC$3)+($V$3:$AE$3=AC$3)*($V118:$AE118&lt;AC118)+($V$3:$AE$3=AC$3)*($V118:$AE118=AC118)*($V$2:$AE$2&lt;AC$2))),2))))</f>
      </c>
      <c r="AN118" s="33">
        <f>IF(AD118&lt;=0,0,MAX(0,MIN(AD118,ROUND($AZ118-SUMPRODUCT($V118:$AE118*($V118:$AE118&gt;0)*(($V$3:$AE$3&gt;AD$3)+($V$3:$AE$3=AD$3)*($V118:$AE118&lt;AD118)+($V$3:$AE$3=AD$3)*($V118:$AE118=AD118)*($V$2:$AE$2&lt;AD$2))),2))))</f>
      </c>
      <c r="AO118" s="33">
        <f>IF(AE118&lt;=0,0,MAX(0,MIN(AE118,ROUND($AZ118-SUMPRODUCT($V118:$AE118*($V118:$AE118&gt;0)*(($V$3:$AE$3&gt;AE$3)+($V$3:$AE$3=AE$3)*($V118:$AE118&lt;AE118)+($V$3:$AE$3=AE$3)*($V118:$AE118=AE118)*($V$2:$AE$2&lt;AE$2))),2))))</f>
      </c>
      <c r="AP118" s="33">
        <f>ROUND(V118-AF118,2)</f>
      </c>
      <c r="AQ118" s="33">
        <f>ROUND(W118-AG118,2)</f>
      </c>
      <c r="AR118" s="33">
        <f>ROUND(X118-AH118,2)</f>
      </c>
      <c r="AS118" s="33">
        <f>ROUND(Y118-AI118,2)</f>
      </c>
      <c r="AT118" s="33">
        <f>ROUND(Z118-AJ118,2)</f>
      </c>
      <c r="AU118" s="33">
        <f>ROUND(AA118-AK118,2)</f>
      </c>
      <c r="AV118" s="33">
        <f>ROUND(AB118-AL118,2)</f>
      </c>
      <c r="AW118" s="33">
        <f>ROUND(AC118-AM118,2)</f>
      </c>
      <c r="AX118" s="33">
        <f>ROUND(AD118-AN118,2)</f>
      </c>
      <c r="AY118" s="33">
        <f>ROUND(AE118-AO118,2)</f>
      </c>
      <c r="AZ118" s="33">
        <f>ROUND(MAX(0,'Your debts'!$D$22-SUM($L118:$U118)),2)</f>
      </c>
      <c r="BA118" s="33">
        <f>ROUND(SUM($B118:$K118)-SUM($AP117:$AY117),2)</f>
      </c>
      <c r="BB118" s="33">
        <f>SUM($AP118:$AY118)</f>
      </c>
      <c r="BC118" s="33">
        <f>ROUND(SUM($L118:$U118)+SUM($AF118:$AO118),2)</f>
      </c>
    </row>
    <row r="119" spans="1:55" x14ac:dyDescent="0.25">
      <c r="A119">
        <v>112</v>
      </c>
      <c r="B119" s="33">
        <f>IF(AP118&lt;=0,0,ROUND(AP118+ROUND(AP118*V$3/12,2),2))</f>
      </c>
      <c r="C119" s="33">
        <f>IF(AQ118&lt;=0,0,ROUND(AQ118+ROUND(AQ118*W$3/12,2),2))</f>
      </c>
      <c r="D119" s="33">
        <f>IF(AR118&lt;=0,0,ROUND(AR118+ROUND(AR118*X$3/12,2),2))</f>
      </c>
      <c r="E119" s="33">
        <f>IF(AS118&lt;=0,0,ROUND(AS118+ROUND(AS118*Y$3/12,2),2))</f>
      </c>
      <c r="F119" s="33">
        <f>IF(AT118&lt;=0,0,ROUND(AT118+ROUND(AT118*Z$3/12,2),2))</f>
      </c>
      <c r="G119" s="33">
        <f>IF(AU118&lt;=0,0,ROUND(AU118+ROUND(AU118*AA$3/12,2),2))</f>
      </c>
      <c r="H119" s="33">
        <f>IF(AV118&lt;=0,0,ROUND(AV118+ROUND(AV118*AB$3/12,2),2))</f>
      </c>
      <c r="I119" s="33">
        <f>IF(AW118&lt;=0,0,ROUND(AW118+ROUND(AW118*AC$3/12,2),2))</f>
      </c>
      <c r="J119" s="33">
        <f>IF(AX118&lt;=0,0,ROUND(AX118+ROUND(AX118*AD$3/12,2),2))</f>
      </c>
      <c r="K119" s="33">
        <f>IF(AY118&lt;=0,0,ROUND(AY118+ROUND(AY118*AE$3/12,2),2))</f>
      </c>
      <c r="L119" s="33">
        <f>ROUND(MIN(MAX(0,N('Your debts'!$E$6)),B119),2)</f>
      </c>
      <c r="M119" s="33">
        <f>ROUND(MIN(MAX(0,N('Your debts'!$E$7)),C119),2)</f>
      </c>
      <c r="N119" s="33">
        <f>ROUND(MIN(MAX(0,N('Your debts'!$E$8)),D119),2)</f>
      </c>
      <c r="O119" s="33">
        <f>ROUND(MIN(MAX(0,N('Your debts'!$E$9)),E119),2)</f>
      </c>
      <c r="P119" s="33">
        <f>ROUND(MIN(MAX(0,N('Your debts'!$E$10)),F119),2)</f>
      </c>
      <c r="Q119" s="33">
        <f>ROUND(MIN(MAX(0,N('Your debts'!$E$11)),G119),2)</f>
      </c>
      <c r="R119" s="33">
        <f>ROUND(MIN(MAX(0,N('Your debts'!$E$12)),H119),2)</f>
      </c>
      <c r="S119" s="33">
        <f>ROUND(MIN(MAX(0,N('Your debts'!$E$13)),I119),2)</f>
      </c>
      <c r="T119" s="33">
        <f>ROUND(MIN(MAX(0,N('Your debts'!$E$14)),J119),2)</f>
      </c>
      <c r="U119" s="33">
        <f>ROUND(MIN(MAX(0,N('Your debts'!$E$15)),K119),2)</f>
      </c>
      <c r="V119" s="33">
        <f>ROUND(B119-L119,2)</f>
      </c>
      <c r="W119" s="33">
        <f>ROUND(C119-M119,2)</f>
      </c>
      <c r="X119" s="33">
        <f>ROUND(D119-N119,2)</f>
      </c>
      <c r="Y119" s="33">
        <f>ROUND(E119-O119,2)</f>
      </c>
      <c r="Z119" s="33">
        <f>ROUND(F119-P119,2)</f>
      </c>
      <c r="AA119" s="33">
        <f>ROUND(G119-Q119,2)</f>
      </c>
      <c r="AB119" s="33">
        <f>ROUND(H119-R119,2)</f>
      </c>
      <c r="AC119" s="33">
        <f>ROUND(I119-S119,2)</f>
      </c>
      <c r="AD119" s="33">
        <f>ROUND(J119-T119,2)</f>
      </c>
      <c r="AE119" s="33">
        <f>ROUND(K119-U119,2)</f>
      </c>
      <c r="AF119" s="33">
        <f>IF(V119&lt;=0,0,MAX(0,MIN(V119,ROUND($AZ119-SUMPRODUCT($V119:$AE119*($V119:$AE119&gt;0)*(($V$3:$AE$3&gt;V$3)+($V$3:$AE$3=V$3)*($V119:$AE119&lt;V119)+($V$3:$AE$3=V$3)*($V119:$AE119=V119)*($V$2:$AE$2&lt;V$2))),2))))</f>
      </c>
      <c r="AG119" s="33">
        <f>IF(W119&lt;=0,0,MAX(0,MIN(W119,ROUND($AZ119-SUMPRODUCT($V119:$AE119*($V119:$AE119&gt;0)*(($V$3:$AE$3&gt;W$3)+($V$3:$AE$3=W$3)*($V119:$AE119&lt;W119)+($V$3:$AE$3=W$3)*($V119:$AE119=W119)*($V$2:$AE$2&lt;W$2))),2))))</f>
      </c>
      <c r="AH119" s="33">
        <f>IF(X119&lt;=0,0,MAX(0,MIN(X119,ROUND($AZ119-SUMPRODUCT($V119:$AE119*($V119:$AE119&gt;0)*(($V$3:$AE$3&gt;X$3)+($V$3:$AE$3=X$3)*($V119:$AE119&lt;X119)+($V$3:$AE$3=X$3)*($V119:$AE119=X119)*($V$2:$AE$2&lt;X$2))),2))))</f>
      </c>
      <c r="AI119" s="33">
        <f>IF(Y119&lt;=0,0,MAX(0,MIN(Y119,ROUND($AZ119-SUMPRODUCT($V119:$AE119*($V119:$AE119&gt;0)*(($V$3:$AE$3&gt;Y$3)+($V$3:$AE$3=Y$3)*($V119:$AE119&lt;Y119)+($V$3:$AE$3=Y$3)*($V119:$AE119=Y119)*($V$2:$AE$2&lt;Y$2))),2))))</f>
      </c>
      <c r="AJ119" s="33">
        <f>IF(Z119&lt;=0,0,MAX(0,MIN(Z119,ROUND($AZ119-SUMPRODUCT($V119:$AE119*($V119:$AE119&gt;0)*(($V$3:$AE$3&gt;Z$3)+($V$3:$AE$3=Z$3)*($V119:$AE119&lt;Z119)+($V$3:$AE$3=Z$3)*($V119:$AE119=Z119)*($V$2:$AE$2&lt;Z$2))),2))))</f>
      </c>
      <c r="AK119" s="33">
        <f>IF(AA119&lt;=0,0,MAX(0,MIN(AA119,ROUND($AZ119-SUMPRODUCT($V119:$AE119*($V119:$AE119&gt;0)*(($V$3:$AE$3&gt;AA$3)+($V$3:$AE$3=AA$3)*($V119:$AE119&lt;AA119)+($V$3:$AE$3=AA$3)*($V119:$AE119=AA119)*($V$2:$AE$2&lt;AA$2))),2))))</f>
      </c>
      <c r="AL119" s="33">
        <f>IF(AB119&lt;=0,0,MAX(0,MIN(AB119,ROUND($AZ119-SUMPRODUCT($V119:$AE119*($V119:$AE119&gt;0)*(($V$3:$AE$3&gt;AB$3)+($V$3:$AE$3=AB$3)*($V119:$AE119&lt;AB119)+($V$3:$AE$3=AB$3)*($V119:$AE119=AB119)*($V$2:$AE$2&lt;AB$2))),2))))</f>
      </c>
      <c r="AM119" s="33">
        <f>IF(AC119&lt;=0,0,MAX(0,MIN(AC119,ROUND($AZ119-SUMPRODUCT($V119:$AE119*($V119:$AE119&gt;0)*(($V$3:$AE$3&gt;AC$3)+($V$3:$AE$3=AC$3)*($V119:$AE119&lt;AC119)+($V$3:$AE$3=AC$3)*($V119:$AE119=AC119)*($V$2:$AE$2&lt;AC$2))),2))))</f>
      </c>
      <c r="AN119" s="33">
        <f>IF(AD119&lt;=0,0,MAX(0,MIN(AD119,ROUND($AZ119-SUMPRODUCT($V119:$AE119*($V119:$AE119&gt;0)*(($V$3:$AE$3&gt;AD$3)+($V$3:$AE$3=AD$3)*($V119:$AE119&lt;AD119)+($V$3:$AE$3=AD$3)*($V119:$AE119=AD119)*($V$2:$AE$2&lt;AD$2))),2))))</f>
      </c>
      <c r="AO119" s="33">
        <f>IF(AE119&lt;=0,0,MAX(0,MIN(AE119,ROUND($AZ119-SUMPRODUCT($V119:$AE119*($V119:$AE119&gt;0)*(($V$3:$AE$3&gt;AE$3)+($V$3:$AE$3=AE$3)*($V119:$AE119&lt;AE119)+($V$3:$AE$3=AE$3)*($V119:$AE119=AE119)*($V$2:$AE$2&lt;AE$2))),2))))</f>
      </c>
      <c r="AP119" s="33">
        <f>ROUND(V119-AF119,2)</f>
      </c>
      <c r="AQ119" s="33">
        <f>ROUND(W119-AG119,2)</f>
      </c>
      <c r="AR119" s="33">
        <f>ROUND(X119-AH119,2)</f>
      </c>
      <c r="AS119" s="33">
        <f>ROUND(Y119-AI119,2)</f>
      </c>
      <c r="AT119" s="33">
        <f>ROUND(Z119-AJ119,2)</f>
      </c>
      <c r="AU119" s="33">
        <f>ROUND(AA119-AK119,2)</f>
      </c>
      <c r="AV119" s="33">
        <f>ROUND(AB119-AL119,2)</f>
      </c>
      <c r="AW119" s="33">
        <f>ROUND(AC119-AM119,2)</f>
      </c>
      <c r="AX119" s="33">
        <f>ROUND(AD119-AN119,2)</f>
      </c>
      <c r="AY119" s="33">
        <f>ROUND(AE119-AO119,2)</f>
      </c>
      <c r="AZ119" s="33">
        <f>ROUND(MAX(0,'Your debts'!$D$22-SUM($L119:$U119)),2)</f>
      </c>
      <c r="BA119" s="33">
        <f>ROUND(SUM($B119:$K119)-SUM($AP118:$AY118),2)</f>
      </c>
      <c r="BB119" s="33">
        <f>SUM($AP119:$AY119)</f>
      </c>
      <c r="BC119" s="33">
        <f>ROUND(SUM($L119:$U119)+SUM($AF119:$AO119),2)</f>
      </c>
    </row>
    <row r="120" spans="1:55" x14ac:dyDescent="0.25">
      <c r="A120">
        <v>113</v>
      </c>
      <c r="B120" s="33">
        <f>IF(AP119&lt;=0,0,ROUND(AP119+ROUND(AP119*V$3/12,2),2))</f>
      </c>
      <c r="C120" s="33">
        <f>IF(AQ119&lt;=0,0,ROUND(AQ119+ROUND(AQ119*W$3/12,2),2))</f>
      </c>
      <c r="D120" s="33">
        <f>IF(AR119&lt;=0,0,ROUND(AR119+ROUND(AR119*X$3/12,2),2))</f>
      </c>
      <c r="E120" s="33">
        <f>IF(AS119&lt;=0,0,ROUND(AS119+ROUND(AS119*Y$3/12,2),2))</f>
      </c>
      <c r="F120" s="33">
        <f>IF(AT119&lt;=0,0,ROUND(AT119+ROUND(AT119*Z$3/12,2),2))</f>
      </c>
      <c r="G120" s="33">
        <f>IF(AU119&lt;=0,0,ROUND(AU119+ROUND(AU119*AA$3/12,2),2))</f>
      </c>
      <c r="H120" s="33">
        <f>IF(AV119&lt;=0,0,ROUND(AV119+ROUND(AV119*AB$3/12,2),2))</f>
      </c>
      <c r="I120" s="33">
        <f>IF(AW119&lt;=0,0,ROUND(AW119+ROUND(AW119*AC$3/12,2),2))</f>
      </c>
      <c r="J120" s="33">
        <f>IF(AX119&lt;=0,0,ROUND(AX119+ROUND(AX119*AD$3/12,2),2))</f>
      </c>
      <c r="K120" s="33">
        <f>IF(AY119&lt;=0,0,ROUND(AY119+ROUND(AY119*AE$3/12,2),2))</f>
      </c>
      <c r="L120" s="33">
        <f>ROUND(MIN(MAX(0,N('Your debts'!$E$6)),B120),2)</f>
      </c>
      <c r="M120" s="33">
        <f>ROUND(MIN(MAX(0,N('Your debts'!$E$7)),C120),2)</f>
      </c>
      <c r="N120" s="33">
        <f>ROUND(MIN(MAX(0,N('Your debts'!$E$8)),D120),2)</f>
      </c>
      <c r="O120" s="33">
        <f>ROUND(MIN(MAX(0,N('Your debts'!$E$9)),E120),2)</f>
      </c>
      <c r="P120" s="33">
        <f>ROUND(MIN(MAX(0,N('Your debts'!$E$10)),F120),2)</f>
      </c>
      <c r="Q120" s="33">
        <f>ROUND(MIN(MAX(0,N('Your debts'!$E$11)),G120),2)</f>
      </c>
      <c r="R120" s="33">
        <f>ROUND(MIN(MAX(0,N('Your debts'!$E$12)),H120),2)</f>
      </c>
      <c r="S120" s="33">
        <f>ROUND(MIN(MAX(0,N('Your debts'!$E$13)),I120),2)</f>
      </c>
      <c r="T120" s="33">
        <f>ROUND(MIN(MAX(0,N('Your debts'!$E$14)),J120),2)</f>
      </c>
      <c r="U120" s="33">
        <f>ROUND(MIN(MAX(0,N('Your debts'!$E$15)),K120),2)</f>
      </c>
      <c r="V120" s="33">
        <f>ROUND(B120-L120,2)</f>
      </c>
      <c r="W120" s="33">
        <f>ROUND(C120-M120,2)</f>
      </c>
      <c r="X120" s="33">
        <f>ROUND(D120-N120,2)</f>
      </c>
      <c r="Y120" s="33">
        <f>ROUND(E120-O120,2)</f>
      </c>
      <c r="Z120" s="33">
        <f>ROUND(F120-P120,2)</f>
      </c>
      <c r="AA120" s="33">
        <f>ROUND(G120-Q120,2)</f>
      </c>
      <c r="AB120" s="33">
        <f>ROUND(H120-R120,2)</f>
      </c>
      <c r="AC120" s="33">
        <f>ROUND(I120-S120,2)</f>
      </c>
      <c r="AD120" s="33">
        <f>ROUND(J120-T120,2)</f>
      </c>
      <c r="AE120" s="33">
        <f>ROUND(K120-U120,2)</f>
      </c>
      <c r="AF120" s="33">
        <f>IF(V120&lt;=0,0,MAX(0,MIN(V120,ROUND($AZ120-SUMPRODUCT($V120:$AE120*($V120:$AE120&gt;0)*(($V$3:$AE$3&gt;V$3)+($V$3:$AE$3=V$3)*($V120:$AE120&lt;V120)+($V$3:$AE$3=V$3)*($V120:$AE120=V120)*($V$2:$AE$2&lt;V$2))),2))))</f>
      </c>
      <c r="AG120" s="33">
        <f>IF(W120&lt;=0,0,MAX(0,MIN(W120,ROUND($AZ120-SUMPRODUCT($V120:$AE120*($V120:$AE120&gt;0)*(($V$3:$AE$3&gt;W$3)+($V$3:$AE$3=W$3)*($V120:$AE120&lt;W120)+($V$3:$AE$3=W$3)*($V120:$AE120=W120)*($V$2:$AE$2&lt;W$2))),2))))</f>
      </c>
      <c r="AH120" s="33">
        <f>IF(X120&lt;=0,0,MAX(0,MIN(X120,ROUND($AZ120-SUMPRODUCT($V120:$AE120*($V120:$AE120&gt;0)*(($V$3:$AE$3&gt;X$3)+($V$3:$AE$3=X$3)*($V120:$AE120&lt;X120)+($V$3:$AE$3=X$3)*($V120:$AE120=X120)*($V$2:$AE$2&lt;X$2))),2))))</f>
      </c>
      <c r="AI120" s="33">
        <f>IF(Y120&lt;=0,0,MAX(0,MIN(Y120,ROUND($AZ120-SUMPRODUCT($V120:$AE120*($V120:$AE120&gt;0)*(($V$3:$AE$3&gt;Y$3)+($V$3:$AE$3=Y$3)*($V120:$AE120&lt;Y120)+($V$3:$AE$3=Y$3)*($V120:$AE120=Y120)*($V$2:$AE$2&lt;Y$2))),2))))</f>
      </c>
      <c r="AJ120" s="33">
        <f>IF(Z120&lt;=0,0,MAX(0,MIN(Z120,ROUND($AZ120-SUMPRODUCT($V120:$AE120*($V120:$AE120&gt;0)*(($V$3:$AE$3&gt;Z$3)+($V$3:$AE$3=Z$3)*($V120:$AE120&lt;Z120)+($V$3:$AE$3=Z$3)*($V120:$AE120=Z120)*($V$2:$AE$2&lt;Z$2))),2))))</f>
      </c>
      <c r="AK120" s="33">
        <f>IF(AA120&lt;=0,0,MAX(0,MIN(AA120,ROUND($AZ120-SUMPRODUCT($V120:$AE120*($V120:$AE120&gt;0)*(($V$3:$AE$3&gt;AA$3)+($V$3:$AE$3=AA$3)*($V120:$AE120&lt;AA120)+($V$3:$AE$3=AA$3)*($V120:$AE120=AA120)*($V$2:$AE$2&lt;AA$2))),2))))</f>
      </c>
      <c r="AL120" s="33">
        <f>IF(AB120&lt;=0,0,MAX(0,MIN(AB120,ROUND($AZ120-SUMPRODUCT($V120:$AE120*($V120:$AE120&gt;0)*(($V$3:$AE$3&gt;AB$3)+($V$3:$AE$3=AB$3)*($V120:$AE120&lt;AB120)+($V$3:$AE$3=AB$3)*($V120:$AE120=AB120)*($V$2:$AE$2&lt;AB$2))),2))))</f>
      </c>
      <c r="AM120" s="33">
        <f>IF(AC120&lt;=0,0,MAX(0,MIN(AC120,ROUND($AZ120-SUMPRODUCT($V120:$AE120*($V120:$AE120&gt;0)*(($V$3:$AE$3&gt;AC$3)+($V$3:$AE$3=AC$3)*($V120:$AE120&lt;AC120)+($V$3:$AE$3=AC$3)*($V120:$AE120=AC120)*($V$2:$AE$2&lt;AC$2))),2))))</f>
      </c>
      <c r="AN120" s="33">
        <f>IF(AD120&lt;=0,0,MAX(0,MIN(AD120,ROUND($AZ120-SUMPRODUCT($V120:$AE120*($V120:$AE120&gt;0)*(($V$3:$AE$3&gt;AD$3)+($V$3:$AE$3=AD$3)*($V120:$AE120&lt;AD120)+($V$3:$AE$3=AD$3)*($V120:$AE120=AD120)*($V$2:$AE$2&lt;AD$2))),2))))</f>
      </c>
      <c r="AO120" s="33">
        <f>IF(AE120&lt;=0,0,MAX(0,MIN(AE120,ROUND($AZ120-SUMPRODUCT($V120:$AE120*($V120:$AE120&gt;0)*(($V$3:$AE$3&gt;AE$3)+($V$3:$AE$3=AE$3)*($V120:$AE120&lt;AE120)+($V$3:$AE$3=AE$3)*($V120:$AE120=AE120)*($V$2:$AE$2&lt;AE$2))),2))))</f>
      </c>
      <c r="AP120" s="33">
        <f>ROUND(V120-AF120,2)</f>
      </c>
      <c r="AQ120" s="33">
        <f>ROUND(W120-AG120,2)</f>
      </c>
      <c r="AR120" s="33">
        <f>ROUND(X120-AH120,2)</f>
      </c>
      <c r="AS120" s="33">
        <f>ROUND(Y120-AI120,2)</f>
      </c>
      <c r="AT120" s="33">
        <f>ROUND(Z120-AJ120,2)</f>
      </c>
      <c r="AU120" s="33">
        <f>ROUND(AA120-AK120,2)</f>
      </c>
      <c r="AV120" s="33">
        <f>ROUND(AB120-AL120,2)</f>
      </c>
      <c r="AW120" s="33">
        <f>ROUND(AC120-AM120,2)</f>
      </c>
      <c r="AX120" s="33">
        <f>ROUND(AD120-AN120,2)</f>
      </c>
      <c r="AY120" s="33">
        <f>ROUND(AE120-AO120,2)</f>
      </c>
      <c r="AZ120" s="33">
        <f>ROUND(MAX(0,'Your debts'!$D$22-SUM($L120:$U120)),2)</f>
      </c>
      <c r="BA120" s="33">
        <f>ROUND(SUM($B120:$K120)-SUM($AP119:$AY119),2)</f>
      </c>
      <c r="BB120" s="33">
        <f>SUM($AP120:$AY120)</f>
      </c>
      <c r="BC120" s="33">
        <f>ROUND(SUM($L120:$U120)+SUM($AF120:$AO120),2)</f>
      </c>
    </row>
    <row r="121" spans="1:55" x14ac:dyDescent="0.25">
      <c r="A121">
        <v>114</v>
      </c>
      <c r="B121" s="33">
        <f>IF(AP120&lt;=0,0,ROUND(AP120+ROUND(AP120*V$3/12,2),2))</f>
      </c>
      <c r="C121" s="33">
        <f>IF(AQ120&lt;=0,0,ROUND(AQ120+ROUND(AQ120*W$3/12,2),2))</f>
      </c>
      <c r="D121" s="33">
        <f>IF(AR120&lt;=0,0,ROUND(AR120+ROUND(AR120*X$3/12,2),2))</f>
      </c>
      <c r="E121" s="33">
        <f>IF(AS120&lt;=0,0,ROUND(AS120+ROUND(AS120*Y$3/12,2),2))</f>
      </c>
      <c r="F121" s="33">
        <f>IF(AT120&lt;=0,0,ROUND(AT120+ROUND(AT120*Z$3/12,2),2))</f>
      </c>
      <c r="G121" s="33">
        <f>IF(AU120&lt;=0,0,ROUND(AU120+ROUND(AU120*AA$3/12,2),2))</f>
      </c>
      <c r="H121" s="33">
        <f>IF(AV120&lt;=0,0,ROUND(AV120+ROUND(AV120*AB$3/12,2),2))</f>
      </c>
      <c r="I121" s="33">
        <f>IF(AW120&lt;=0,0,ROUND(AW120+ROUND(AW120*AC$3/12,2),2))</f>
      </c>
      <c r="J121" s="33">
        <f>IF(AX120&lt;=0,0,ROUND(AX120+ROUND(AX120*AD$3/12,2),2))</f>
      </c>
      <c r="K121" s="33">
        <f>IF(AY120&lt;=0,0,ROUND(AY120+ROUND(AY120*AE$3/12,2),2))</f>
      </c>
      <c r="L121" s="33">
        <f>ROUND(MIN(MAX(0,N('Your debts'!$E$6)),B121),2)</f>
      </c>
      <c r="M121" s="33">
        <f>ROUND(MIN(MAX(0,N('Your debts'!$E$7)),C121),2)</f>
      </c>
      <c r="N121" s="33">
        <f>ROUND(MIN(MAX(0,N('Your debts'!$E$8)),D121),2)</f>
      </c>
      <c r="O121" s="33">
        <f>ROUND(MIN(MAX(0,N('Your debts'!$E$9)),E121),2)</f>
      </c>
      <c r="P121" s="33">
        <f>ROUND(MIN(MAX(0,N('Your debts'!$E$10)),F121),2)</f>
      </c>
      <c r="Q121" s="33">
        <f>ROUND(MIN(MAX(0,N('Your debts'!$E$11)),G121),2)</f>
      </c>
      <c r="R121" s="33">
        <f>ROUND(MIN(MAX(0,N('Your debts'!$E$12)),H121),2)</f>
      </c>
      <c r="S121" s="33">
        <f>ROUND(MIN(MAX(0,N('Your debts'!$E$13)),I121),2)</f>
      </c>
      <c r="T121" s="33">
        <f>ROUND(MIN(MAX(0,N('Your debts'!$E$14)),J121),2)</f>
      </c>
      <c r="U121" s="33">
        <f>ROUND(MIN(MAX(0,N('Your debts'!$E$15)),K121),2)</f>
      </c>
      <c r="V121" s="33">
        <f>ROUND(B121-L121,2)</f>
      </c>
      <c r="W121" s="33">
        <f>ROUND(C121-M121,2)</f>
      </c>
      <c r="X121" s="33">
        <f>ROUND(D121-N121,2)</f>
      </c>
      <c r="Y121" s="33">
        <f>ROUND(E121-O121,2)</f>
      </c>
      <c r="Z121" s="33">
        <f>ROUND(F121-P121,2)</f>
      </c>
      <c r="AA121" s="33">
        <f>ROUND(G121-Q121,2)</f>
      </c>
      <c r="AB121" s="33">
        <f>ROUND(H121-R121,2)</f>
      </c>
      <c r="AC121" s="33">
        <f>ROUND(I121-S121,2)</f>
      </c>
      <c r="AD121" s="33">
        <f>ROUND(J121-T121,2)</f>
      </c>
      <c r="AE121" s="33">
        <f>ROUND(K121-U121,2)</f>
      </c>
      <c r="AF121" s="33">
        <f>IF(V121&lt;=0,0,MAX(0,MIN(V121,ROUND($AZ121-SUMPRODUCT($V121:$AE121*($V121:$AE121&gt;0)*(($V$3:$AE$3&gt;V$3)+($V$3:$AE$3=V$3)*($V121:$AE121&lt;V121)+($V$3:$AE$3=V$3)*($V121:$AE121=V121)*($V$2:$AE$2&lt;V$2))),2))))</f>
      </c>
      <c r="AG121" s="33">
        <f>IF(W121&lt;=0,0,MAX(0,MIN(W121,ROUND($AZ121-SUMPRODUCT($V121:$AE121*($V121:$AE121&gt;0)*(($V$3:$AE$3&gt;W$3)+($V$3:$AE$3=W$3)*($V121:$AE121&lt;W121)+($V$3:$AE$3=W$3)*($V121:$AE121=W121)*($V$2:$AE$2&lt;W$2))),2))))</f>
      </c>
      <c r="AH121" s="33">
        <f>IF(X121&lt;=0,0,MAX(0,MIN(X121,ROUND($AZ121-SUMPRODUCT($V121:$AE121*($V121:$AE121&gt;0)*(($V$3:$AE$3&gt;X$3)+($V$3:$AE$3=X$3)*($V121:$AE121&lt;X121)+($V$3:$AE$3=X$3)*($V121:$AE121=X121)*($V$2:$AE$2&lt;X$2))),2))))</f>
      </c>
      <c r="AI121" s="33">
        <f>IF(Y121&lt;=0,0,MAX(0,MIN(Y121,ROUND($AZ121-SUMPRODUCT($V121:$AE121*($V121:$AE121&gt;0)*(($V$3:$AE$3&gt;Y$3)+($V$3:$AE$3=Y$3)*($V121:$AE121&lt;Y121)+($V$3:$AE$3=Y$3)*($V121:$AE121=Y121)*($V$2:$AE$2&lt;Y$2))),2))))</f>
      </c>
      <c r="AJ121" s="33">
        <f>IF(Z121&lt;=0,0,MAX(0,MIN(Z121,ROUND($AZ121-SUMPRODUCT($V121:$AE121*($V121:$AE121&gt;0)*(($V$3:$AE$3&gt;Z$3)+($V$3:$AE$3=Z$3)*($V121:$AE121&lt;Z121)+($V$3:$AE$3=Z$3)*($V121:$AE121=Z121)*($V$2:$AE$2&lt;Z$2))),2))))</f>
      </c>
      <c r="AK121" s="33">
        <f>IF(AA121&lt;=0,0,MAX(0,MIN(AA121,ROUND($AZ121-SUMPRODUCT($V121:$AE121*($V121:$AE121&gt;0)*(($V$3:$AE$3&gt;AA$3)+($V$3:$AE$3=AA$3)*($V121:$AE121&lt;AA121)+($V$3:$AE$3=AA$3)*($V121:$AE121=AA121)*($V$2:$AE$2&lt;AA$2))),2))))</f>
      </c>
      <c r="AL121" s="33">
        <f>IF(AB121&lt;=0,0,MAX(0,MIN(AB121,ROUND($AZ121-SUMPRODUCT($V121:$AE121*($V121:$AE121&gt;0)*(($V$3:$AE$3&gt;AB$3)+($V$3:$AE$3=AB$3)*($V121:$AE121&lt;AB121)+($V$3:$AE$3=AB$3)*($V121:$AE121=AB121)*($V$2:$AE$2&lt;AB$2))),2))))</f>
      </c>
      <c r="AM121" s="33">
        <f>IF(AC121&lt;=0,0,MAX(0,MIN(AC121,ROUND($AZ121-SUMPRODUCT($V121:$AE121*($V121:$AE121&gt;0)*(($V$3:$AE$3&gt;AC$3)+($V$3:$AE$3=AC$3)*($V121:$AE121&lt;AC121)+($V$3:$AE$3=AC$3)*($V121:$AE121=AC121)*($V$2:$AE$2&lt;AC$2))),2))))</f>
      </c>
      <c r="AN121" s="33">
        <f>IF(AD121&lt;=0,0,MAX(0,MIN(AD121,ROUND($AZ121-SUMPRODUCT($V121:$AE121*($V121:$AE121&gt;0)*(($V$3:$AE$3&gt;AD$3)+($V$3:$AE$3=AD$3)*($V121:$AE121&lt;AD121)+($V$3:$AE$3=AD$3)*($V121:$AE121=AD121)*($V$2:$AE$2&lt;AD$2))),2))))</f>
      </c>
      <c r="AO121" s="33">
        <f>IF(AE121&lt;=0,0,MAX(0,MIN(AE121,ROUND($AZ121-SUMPRODUCT($V121:$AE121*($V121:$AE121&gt;0)*(($V$3:$AE$3&gt;AE$3)+($V$3:$AE$3=AE$3)*($V121:$AE121&lt;AE121)+($V$3:$AE$3=AE$3)*($V121:$AE121=AE121)*($V$2:$AE$2&lt;AE$2))),2))))</f>
      </c>
      <c r="AP121" s="33">
        <f>ROUND(V121-AF121,2)</f>
      </c>
      <c r="AQ121" s="33">
        <f>ROUND(W121-AG121,2)</f>
      </c>
      <c r="AR121" s="33">
        <f>ROUND(X121-AH121,2)</f>
      </c>
      <c r="AS121" s="33">
        <f>ROUND(Y121-AI121,2)</f>
      </c>
      <c r="AT121" s="33">
        <f>ROUND(Z121-AJ121,2)</f>
      </c>
      <c r="AU121" s="33">
        <f>ROUND(AA121-AK121,2)</f>
      </c>
      <c r="AV121" s="33">
        <f>ROUND(AB121-AL121,2)</f>
      </c>
      <c r="AW121" s="33">
        <f>ROUND(AC121-AM121,2)</f>
      </c>
      <c r="AX121" s="33">
        <f>ROUND(AD121-AN121,2)</f>
      </c>
      <c r="AY121" s="33">
        <f>ROUND(AE121-AO121,2)</f>
      </c>
      <c r="AZ121" s="33">
        <f>ROUND(MAX(0,'Your debts'!$D$22-SUM($L121:$U121)),2)</f>
      </c>
      <c r="BA121" s="33">
        <f>ROUND(SUM($B121:$K121)-SUM($AP120:$AY120),2)</f>
      </c>
      <c r="BB121" s="33">
        <f>SUM($AP121:$AY121)</f>
      </c>
      <c r="BC121" s="33">
        <f>ROUND(SUM($L121:$U121)+SUM($AF121:$AO121),2)</f>
      </c>
    </row>
    <row r="122" spans="1:55" x14ac:dyDescent="0.25">
      <c r="A122">
        <v>115</v>
      </c>
      <c r="B122" s="33">
        <f>IF(AP121&lt;=0,0,ROUND(AP121+ROUND(AP121*V$3/12,2),2))</f>
      </c>
      <c r="C122" s="33">
        <f>IF(AQ121&lt;=0,0,ROUND(AQ121+ROUND(AQ121*W$3/12,2),2))</f>
      </c>
      <c r="D122" s="33">
        <f>IF(AR121&lt;=0,0,ROUND(AR121+ROUND(AR121*X$3/12,2),2))</f>
      </c>
      <c r="E122" s="33">
        <f>IF(AS121&lt;=0,0,ROUND(AS121+ROUND(AS121*Y$3/12,2),2))</f>
      </c>
      <c r="F122" s="33">
        <f>IF(AT121&lt;=0,0,ROUND(AT121+ROUND(AT121*Z$3/12,2),2))</f>
      </c>
      <c r="G122" s="33">
        <f>IF(AU121&lt;=0,0,ROUND(AU121+ROUND(AU121*AA$3/12,2),2))</f>
      </c>
      <c r="H122" s="33">
        <f>IF(AV121&lt;=0,0,ROUND(AV121+ROUND(AV121*AB$3/12,2),2))</f>
      </c>
      <c r="I122" s="33">
        <f>IF(AW121&lt;=0,0,ROUND(AW121+ROUND(AW121*AC$3/12,2),2))</f>
      </c>
      <c r="J122" s="33">
        <f>IF(AX121&lt;=0,0,ROUND(AX121+ROUND(AX121*AD$3/12,2),2))</f>
      </c>
      <c r="K122" s="33">
        <f>IF(AY121&lt;=0,0,ROUND(AY121+ROUND(AY121*AE$3/12,2),2))</f>
      </c>
      <c r="L122" s="33">
        <f>ROUND(MIN(MAX(0,N('Your debts'!$E$6)),B122),2)</f>
      </c>
      <c r="M122" s="33">
        <f>ROUND(MIN(MAX(0,N('Your debts'!$E$7)),C122),2)</f>
      </c>
      <c r="N122" s="33">
        <f>ROUND(MIN(MAX(0,N('Your debts'!$E$8)),D122),2)</f>
      </c>
      <c r="O122" s="33">
        <f>ROUND(MIN(MAX(0,N('Your debts'!$E$9)),E122),2)</f>
      </c>
      <c r="P122" s="33">
        <f>ROUND(MIN(MAX(0,N('Your debts'!$E$10)),F122),2)</f>
      </c>
      <c r="Q122" s="33">
        <f>ROUND(MIN(MAX(0,N('Your debts'!$E$11)),G122),2)</f>
      </c>
      <c r="R122" s="33">
        <f>ROUND(MIN(MAX(0,N('Your debts'!$E$12)),H122),2)</f>
      </c>
      <c r="S122" s="33">
        <f>ROUND(MIN(MAX(0,N('Your debts'!$E$13)),I122),2)</f>
      </c>
      <c r="T122" s="33">
        <f>ROUND(MIN(MAX(0,N('Your debts'!$E$14)),J122),2)</f>
      </c>
      <c r="U122" s="33">
        <f>ROUND(MIN(MAX(0,N('Your debts'!$E$15)),K122),2)</f>
      </c>
      <c r="V122" s="33">
        <f>ROUND(B122-L122,2)</f>
      </c>
      <c r="W122" s="33">
        <f>ROUND(C122-M122,2)</f>
      </c>
      <c r="X122" s="33">
        <f>ROUND(D122-N122,2)</f>
      </c>
      <c r="Y122" s="33">
        <f>ROUND(E122-O122,2)</f>
      </c>
      <c r="Z122" s="33">
        <f>ROUND(F122-P122,2)</f>
      </c>
      <c r="AA122" s="33">
        <f>ROUND(G122-Q122,2)</f>
      </c>
      <c r="AB122" s="33">
        <f>ROUND(H122-R122,2)</f>
      </c>
      <c r="AC122" s="33">
        <f>ROUND(I122-S122,2)</f>
      </c>
      <c r="AD122" s="33">
        <f>ROUND(J122-T122,2)</f>
      </c>
      <c r="AE122" s="33">
        <f>ROUND(K122-U122,2)</f>
      </c>
      <c r="AF122" s="33">
        <f>IF(V122&lt;=0,0,MAX(0,MIN(V122,ROUND($AZ122-SUMPRODUCT($V122:$AE122*($V122:$AE122&gt;0)*(($V$3:$AE$3&gt;V$3)+($V$3:$AE$3=V$3)*($V122:$AE122&lt;V122)+($V$3:$AE$3=V$3)*($V122:$AE122=V122)*($V$2:$AE$2&lt;V$2))),2))))</f>
      </c>
      <c r="AG122" s="33">
        <f>IF(W122&lt;=0,0,MAX(0,MIN(W122,ROUND($AZ122-SUMPRODUCT($V122:$AE122*($V122:$AE122&gt;0)*(($V$3:$AE$3&gt;W$3)+($V$3:$AE$3=W$3)*($V122:$AE122&lt;W122)+($V$3:$AE$3=W$3)*($V122:$AE122=W122)*($V$2:$AE$2&lt;W$2))),2))))</f>
      </c>
      <c r="AH122" s="33">
        <f>IF(X122&lt;=0,0,MAX(0,MIN(X122,ROUND($AZ122-SUMPRODUCT($V122:$AE122*($V122:$AE122&gt;0)*(($V$3:$AE$3&gt;X$3)+($V$3:$AE$3=X$3)*($V122:$AE122&lt;X122)+($V$3:$AE$3=X$3)*($V122:$AE122=X122)*($V$2:$AE$2&lt;X$2))),2))))</f>
      </c>
      <c r="AI122" s="33">
        <f>IF(Y122&lt;=0,0,MAX(0,MIN(Y122,ROUND($AZ122-SUMPRODUCT($V122:$AE122*($V122:$AE122&gt;0)*(($V$3:$AE$3&gt;Y$3)+($V$3:$AE$3=Y$3)*($V122:$AE122&lt;Y122)+($V$3:$AE$3=Y$3)*($V122:$AE122=Y122)*($V$2:$AE$2&lt;Y$2))),2))))</f>
      </c>
      <c r="AJ122" s="33">
        <f>IF(Z122&lt;=0,0,MAX(0,MIN(Z122,ROUND($AZ122-SUMPRODUCT($V122:$AE122*($V122:$AE122&gt;0)*(($V$3:$AE$3&gt;Z$3)+($V$3:$AE$3=Z$3)*($V122:$AE122&lt;Z122)+($V$3:$AE$3=Z$3)*($V122:$AE122=Z122)*($V$2:$AE$2&lt;Z$2))),2))))</f>
      </c>
      <c r="AK122" s="33">
        <f>IF(AA122&lt;=0,0,MAX(0,MIN(AA122,ROUND($AZ122-SUMPRODUCT($V122:$AE122*($V122:$AE122&gt;0)*(($V$3:$AE$3&gt;AA$3)+($V$3:$AE$3=AA$3)*($V122:$AE122&lt;AA122)+($V$3:$AE$3=AA$3)*($V122:$AE122=AA122)*($V$2:$AE$2&lt;AA$2))),2))))</f>
      </c>
      <c r="AL122" s="33">
        <f>IF(AB122&lt;=0,0,MAX(0,MIN(AB122,ROUND($AZ122-SUMPRODUCT($V122:$AE122*($V122:$AE122&gt;0)*(($V$3:$AE$3&gt;AB$3)+($V$3:$AE$3=AB$3)*($V122:$AE122&lt;AB122)+($V$3:$AE$3=AB$3)*($V122:$AE122=AB122)*($V$2:$AE$2&lt;AB$2))),2))))</f>
      </c>
      <c r="AM122" s="33">
        <f>IF(AC122&lt;=0,0,MAX(0,MIN(AC122,ROUND($AZ122-SUMPRODUCT($V122:$AE122*($V122:$AE122&gt;0)*(($V$3:$AE$3&gt;AC$3)+($V$3:$AE$3=AC$3)*($V122:$AE122&lt;AC122)+($V$3:$AE$3=AC$3)*($V122:$AE122=AC122)*($V$2:$AE$2&lt;AC$2))),2))))</f>
      </c>
      <c r="AN122" s="33">
        <f>IF(AD122&lt;=0,0,MAX(0,MIN(AD122,ROUND($AZ122-SUMPRODUCT($V122:$AE122*($V122:$AE122&gt;0)*(($V$3:$AE$3&gt;AD$3)+($V$3:$AE$3=AD$3)*($V122:$AE122&lt;AD122)+($V$3:$AE$3=AD$3)*($V122:$AE122=AD122)*($V$2:$AE$2&lt;AD$2))),2))))</f>
      </c>
      <c r="AO122" s="33">
        <f>IF(AE122&lt;=0,0,MAX(0,MIN(AE122,ROUND($AZ122-SUMPRODUCT($V122:$AE122*($V122:$AE122&gt;0)*(($V$3:$AE$3&gt;AE$3)+($V$3:$AE$3=AE$3)*($V122:$AE122&lt;AE122)+($V$3:$AE$3=AE$3)*($V122:$AE122=AE122)*($V$2:$AE$2&lt;AE$2))),2))))</f>
      </c>
      <c r="AP122" s="33">
        <f>ROUND(V122-AF122,2)</f>
      </c>
      <c r="AQ122" s="33">
        <f>ROUND(W122-AG122,2)</f>
      </c>
      <c r="AR122" s="33">
        <f>ROUND(X122-AH122,2)</f>
      </c>
      <c r="AS122" s="33">
        <f>ROUND(Y122-AI122,2)</f>
      </c>
      <c r="AT122" s="33">
        <f>ROUND(Z122-AJ122,2)</f>
      </c>
      <c r="AU122" s="33">
        <f>ROUND(AA122-AK122,2)</f>
      </c>
      <c r="AV122" s="33">
        <f>ROUND(AB122-AL122,2)</f>
      </c>
      <c r="AW122" s="33">
        <f>ROUND(AC122-AM122,2)</f>
      </c>
      <c r="AX122" s="33">
        <f>ROUND(AD122-AN122,2)</f>
      </c>
      <c r="AY122" s="33">
        <f>ROUND(AE122-AO122,2)</f>
      </c>
      <c r="AZ122" s="33">
        <f>ROUND(MAX(0,'Your debts'!$D$22-SUM($L122:$U122)),2)</f>
      </c>
      <c r="BA122" s="33">
        <f>ROUND(SUM($B122:$K122)-SUM($AP121:$AY121),2)</f>
      </c>
      <c r="BB122" s="33">
        <f>SUM($AP122:$AY122)</f>
      </c>
      <c r="BC122" s="33">
        <f>ROUND(SUM($L122:$U122)+SUM($AF122:$AO122),2)</f>
      </c>
    </row>
    <row r="123" spans="1:55" x14ac:dyDescent="0.25">
      <c r="A123">
        <v>116</v>
      </c>
      <c r="B123" s="33">
        <f>IF(AP122&lt;=0,0,ROUND(AP122+ROUND(AP122*V$3/12,2),2))</f>
      </c>
      <c r="C123" s="33">
        <f>IF(AQ122&lt;=0,0,ROUND(AQ122+ROUND(AQ122*W$3/12,2),2))</f>
      </c>
      <c r="D123" s="33">
        <f>IF(AR122&lt;=0,0,ROUND(AR122+ROUND(AR122*X$3/12,2),2))</f>
      </c>
      <c r="E123" s="33">
        <f>IF(AS122&lt;=0,0,ROUND(AS122+ROUND(AS122*Y$3/12,2),2))</f>
      </c>
      <c r="F123" s="33">
        <f>IF(AT122&lt;=0,0,ROUND(AT122+ROUND(AT122*Z$3/12,2),2))</f>
      </c>
      <c r="G123" s="33">
        <f>IF(AU122&lt;=0,0,ROUND(AU122+ROUND(AU122*AA$3/12,2),2))</f>
      </c>
      <c r="H123" s="33">
        <f>IF(AV122&lt;=0,0,ROUND(AV122+ROUND(AV122*AB$3/12,2),2))</f>
      </c>
      <c r="I123" s="33">
        <f>IF(AW122&lt;=0,0,ROUND(AW122+ROUND(AW122*AC$3/12,2),2))</f>
      </c>
      <c r="J123" s="33">
        <f>IF(AX122&lt;=0,0,ROUND(AX122+ROUND(AX122*AD$3/12,2),2))</f>
      </c>
      <c r="K123" s="33">
        <f>IF(AY122&lt;=0,0,ROUND(AY122+ROUND(AY122*AE$3/12,2),2))</f>
      </c>
      <c r="L123" s="33">
        <f>ROUND(MIN(MAX(0,N('Your debts'!$E$6)),B123),2)</f>
      </c>
      <c r="M123" s="33">
        <f>ROUND(MIN(MAX(0,N('Your debts'!$E$7)),C123),2)</f>
      </c>
      <c r="N123" s="33">
        <f>ROUND(MIN(MAX(0,N('Your debts'!$E$8)),D123),2)</f>
      </c>
      <c r="O123" s="33">
        <f>ROUND(MIN(MAX(0,N('Your debts'!$E$9)),E123),2)</f>
      </c>
      <c r="P123" s="33">
        <f>ROUND(MIN(MAX(0,N('Your debts'!$E$10)),F123),2)</f>
      </c>
      <c r="Q123" s="33">
        <f>ROUND(MIN(MAX(0,N('Your debts'!$E$11)),G123),2)</f>
      </c>
      <c r="R123" s="33">
        <f>ROUND(MIN(MAX(0,N('Your debts'!$E$12)),H123),2)</f>
      </c>
      <c r="S123" s="33">
        <f>ROUND(MIN(MAX(0,N('Your debts'!$E$13)),I123),2)</f>
      </c>
      <c r="T123" s="33">
        <f>ROUND(MIN(MAX(0,N('Your debts'!$E$14)),J123),2)</f>
      </c>
      <c r="U123" s="33">
        <f>ROUND(MIN(MAX(0,N('Your debts'!$E$15)),K123),2)</f>
      </c>
      <c r="V123" s="33">
        <f>ROUND(B123-L123,2)</f>
      </c>
      <c r="W123" s="33">
        <f>ROUND(C123-M123,2)</f>
      </c>
      <c r="X123" s="33">
        <f>ROUND(D123-N123,2)</f>
      </c>
      <c r="Y123" s="33">
        <f>ROUND(E123-O123,2)</f>
      </c>
      <c r="Z123" s="33">
        <f>ROUND(F123-P123,2)</f>
      </c>
      <c r="AA123" s="33">
        <f>ROUND(G123-Q123,2)</f>
      </c>
      <c r="AB123" s="33">
        <f>ROUND(H123-R123,2)</f>
      </c>
      <c r="AC123" s="33">
        <f>ROUND(I123-S123,2)</f>
      </c>
      <c r="AD123" s="33">
        <f>ROUND(J123-T123,2)</f>
      </c>
      <c r="AE123" s="33">
        <f>ROUND(K123-U123,2)</f>
      </c>
      <c r="AF123" s="33">
        <f>IF(V123&lt;=0,0,MAX(0,MIN(V123,ROUND($AZ123-SUMPRODUCT($V123:$AE123*($V123:$AE123&gt;0)*(($V$3:$AE$3&gt;V$3)+($V$3:$AE$3=V$3)*($V123:$AE123&lt;V123)+($V$3:$AE$3=V$3)*($V123:$AE123=V123)*($V$2:$AE$2&lt;V$2))),2))))</f>
      </c>
      <c r="AG123" s="33">
        <f>IF(W123&lt;=0,0,MAX(0,MIN(W123,ROUND($AZ123-SUMPRODUCT($V123:$AE123*($V123:$AE123&gt;0)*(($V$3:$AE$3&gt;W$3)+($V$3:$AE$3=W$3)*($V123:$AE123&lt;W123)+($V$3:$AE$3=W$3)*($V123:$AE123=W123)*($V$2:$AE$2&lt;W$2))),2))))</f>
      </c>
      <c r="AH123" s="33">
        <f>IF(X123&lt;=0,0,MAX(0,MIN(X123,ROUND($AZ123-SUMPRODUCT($V123:$AE123*($V123:$AE123&gt;0)*(($V$3:$AE$3&gt;X$3)+($V$3:$AE$3=X$3)*($V123:$AE123&lt;X123)+($V$3:$AE$3=X$3)*($V123:$AE123=X123)*($V$2:$AE$2&lt;X$2))),2))))</f>
      </c>
      <c r="AI123" s="33">
        <f>IF(Y123&lt;=0,0,MAX(0,MIN(Y123,ROUND($AZ123-SUMPRODUCT($V123:$AE123*($V123:$AE123&gt;0)*(($V$3:$AE$3&gt;Y$3)+($V$3:$AE$3=Y$3)*($V123:$AE123&lt;Y123)+($V$3:$AE$3=Y$3)*($V123:$AE123=Y123)*($V$2:$AE$2&lt;Y$2))),2))))</f>
      </c>
      <c r="AJ123" s="33">
        <f>IF(Z123&lt;=0,0,MAX(0,MIN(Z123,ROUND($AZ123-SUMPRODUCT($V123:$AE123*($V123:$AE123&gt;0)*(($V$3:$AE$3&gt;Z$3)+($V$3:$AE$3=Z$3)*($V123:$AE123&lt;Z123)+($V$3:$AE$3=Z$3)*($V123:$AE123=Z123)*($V$2:$AE$2&lt;Z$2))),2))))</f>
      </c>
      <c r="AK123" s="33">
        <f>IF(AA123&lt;=0,0,MAX(0,MIN(AA123,ROUND($AZ123-SUMPRODUCT($V123:$AE123*($V123:$AE123&gt;0)*(($V$3:$AE$3&gt;AA$3)+($V$3:$AE$3=AA$3)*($V123:$AE123&lt;AA123)+($V$3:$AE$3=AA$3)*($V123:$AE123=AA123)*($V$2:$AE$2&lt;AA$2))),2))))</f>
      </c>
      <c r="AL123" s="33">
        <f>IF(AB123&lt;=0,0,MAX(0,MIN(AB123,ROUND($AZ123-SUMPRODUCT($V123:$AE123*($V123:$AE123&gt;0)*(($V$3:$AE$3&gt;AB$3)+($V$3:$AE$3=AB$3)*($V123:$AE123&lt;AB123)+($V$3:$AE$3=AB$3)*($V123:$AE123=AB123)*($V$2:$AE$2&lt;AB$2))),2))))</f>
      </c>
      <c r="AM123" s="33">
        <f>IF(AC123&lt;=0,0,MAX(0,MIN(AC123,ROUND($AZ123-SUMPRODUCT($V123:$AE123*($V123:$AE123&gt;0)*(($V$3:$AE$3&gt;AC$3)+($V$3:$AE$3=AC$3)*($V123:$AE123&lt;AC123)+($V$3:$AE$3=AC$3)*($V123:$AE123=AC123)*($V$2:$AE$2&lt;AC$2))),2))))</f>
      </c>
      <c r="AN123" s="33">
        <f>IF(AD123&lt;=0,0,MAX(0,MIN(AD123,ROUND($AZ123-SUMPRODUCT($V123:$AE123*($V123:$AE123&gt;0)*(($V$3:$AE$3&gt;AD$3)+($V$3:$AE$3=AD$3)*($V123:$AE123&lt;AD123)+($V$3:$AE$3=AD$3)*($V123:$AE123=AD123)*($V$2:$AE$2&lt;AD$2))),2))))</f>
      </c>
      <c r="AO123" s="33">
        <f>IF(AE123&lt;=0,0,MAX(0,MIN(AE123,ROUND($AZ123-SUMPRODUCT($V123:$AE123*($V123:$AE123&gt;0)*(($V$3:$AE$3&gt;AE$3)+($V$3:$AE$3=AE$3)*($V123:$AE123&lt;AE123)+($V$3:$AE$3=AE$3)*($V123:$AE123=AE123)*($V$2:$AE$2&lt;AE$2))),2))))</f>
      </c>
      <c r="AP123" s="33">
        <f>ROUND(V123-AF123,2)</f>
      </c>
      <c r="AQ123" s="33">
        <f>ROUND(W123-AG123,2)</f>
      </c>
      <c r="AR123" s="33">
        <f>ROUND(X123-AH123,2)</f>
      </c>
      <c r="AS123" s="33">
        <f>ROUND(Y123-AI123,2)</f>
      </c>
      <c r="AT123" s="33">
        <f>ROUND(Z123-AJ123,2)</f>
      </c>
      <c r="AU123" s="33">
        <f>ROUND(AA123-AK123,2)</f>
      </c>
      <c r="AV123" s="33">
        <f>ROUND(AB123-AL123,2)</f>
      </c>
      <c r="AW123" s="33">
        <f>ROUND(AC123-AM123,2)</f>
      </c>
      <c r="AX123" s="33">
        <f>ROUND(AD123-AN123,2)</f>
      </c>
      <c r="AY123" s="33">
        <f>ROUND(AE123-AO123,2)</f>
      </c>
      <c r="AZ123" s="33">
        <f>ROUND(MAX(0,'Your debts'!$D$22-SUM($L123:$U123)),2)</f>
      </c>
      <c r="BA123" s="33">
        <f>ROUND(SUM($B123:$K123)-SUM($AP122:$AY122),2)</f>
      </c>
      <c r="BB123" s="33">
        <f>SUM($AP123:$AY123)</f>
      </c>
      <c r="BC123" s="33">
        <f>ROUND(SUM($L123:$U123)+SUM($AF123:$AO123),2)</f>
      </c>
    </row>
    <row r="124" spans="1:55" x14ac:dyDescent="0.25">
      <c r="A124">
        <v>117</v>
      </c>
      <c r="B124" s="33">
        <f>IF(AP123&lt;=0,0,ROUND(AP123+ROUND(AP123*V$3/12,2),2))</f>
      </c>
      <c r="C124" s="33">
        <f>IF(AQ123&lt;=0,0,ROUND(AQ123+ROUND(AQ123*W$3/12,2),2))</f>
      </c>
      <c r="D124" s="33">
        <f>IF(AR123&lt;=0,0,ROUND(AR123+ROUND(AR123*X$3/12,2),2))</f>
      </c>
      <c r="E124" s="33">
        <f>IF(AS123&lt;=0,0,ROUND(AS123+ROUND(AS123*Y$3/12,2),2))</f>
      </c>
      <c r="F124" s="33">
        <f>IF(AT123&lt;=0,0,ROUND(AT123+ROUND(AT123*Z$3/12,2),2))</f>
      </c>
      <c r="G124" s="33">
        <f>IF(AU123&lt;=0,0,ROUND(AU123+ROUND(AU123*AA$3/12,2),2))</f>
      </c>
      <c r="H124" s="33">
        <f>IF(AV123&lt;=0,0,ROUND(AV123+ROUND(AV123*AB$3/12,2),2))</f>
      </c>
      <c r="I124" s="33">
        <f>IF(AW123&lt;=0,0,ROUND(AW123+ROUND(AW123*AC$3/12,2),2))</f>
      </c>
      <c r="J124" s="33">
        <f>IF(AX123&lt;=0,0,ROUND(AX123+ROUND(AX123*AD$3/12,2),2))</f>
      </c>
      <c r="K124" s="33">
        <f>IF(AY123&lt;=0,0,ROUND(AY123+ROUND(AY123*AE$3/12,2),2))</f>
      </c>
      <c r="L124" s="33">
        <f>ROUND(MIN(MAX(0,N('Your debts'!$E$6)),B124),2)</f>
      </c>
      <c r="M124" s="33">
        <f>ROUND(MIN(MAX(0,N('Your debts'!$E$7)),C124),2)</f>
      </c>
      <c r="N124" s="33">
        <f>ROUND(MIN(MAX(0,N('Your debts'!$E$8)),D124),2)</f>
      </c>
      <c r="O124" s="33">
        <f>ROUND(MIN(MAX(0,N('Your debts'!$E$9)),E124),2)</f>
      </c>
      <c r="P124" s="33">
        <f>ROUND(MIN(MAX(0,N('Your debts'!$E$10)),F124),2)</f>
      </c>
      <c r="Q124" s="33">
        <f>ROUND(MIN(MAX(0,N('Your debts'!$E$11)),G124),2)</f>
      </c>
      <c r="R124" s="33">
        <f>ROUND(MIN(MAX(0,N('Your debts'!$E$12)),H124),2)</f>
      </c>
      <c r="S124" s="33">
        <f>ROUND(MIN(MAX(0,N('Your debts'!$E$13)),I124),2)</f>
      </c>
      <c r="T124" s="33">
        <f>ROUND(MIN(MAX(0,N('Your debts'!$E$14)),J124),2)</f>
      </c>
      <c r="U124" s="33">
        <f>ROUND(MIN(MAX(0,N('Your debts'!$E$15)),K124),2)</f>
      </c>
      <c r="V124" s="33">
        <f>ROUND(B124-L124,2)</f>
      </c>
      <c r="W124" s="33">
        <f>ROUND(C124-M124,2)</f>
      </c>
      <c r="X124" s="33">
        <f>ROUND(D124-N124,2)</f>
      </c>
      <c r="Y124" s="33">
        <f>ROUND(E124-O124,2)</f>
      </c>
      <c r="Z124" s="33">
        <f>ROUND(F124-P124,2)</f>
      </c>
      <c r="AA124" s="33">
        <f>ROUND(G124-Q124,2)</f>
      </c>
      <c r="AB124" s="33">
        <f>ROUND(H124-R124,2)</f>
      </c>
      <c r="AC124" s="33">
        <f>ROUND(I124-S124,2)</f>
      </c>
      <c r="AD124" s="33">
        <f>ROUND(J124-T124,2)</f>
      </c>
      <c r="AE124" s="33">
        <f>ROUND(K124-U124,2)</f>
      </c>
      <c r="AF124" s="33">
        <f>IF(V124&lt;=0,0,MAX(0,MIN(V124,ROUND($AZ124-SUMPRODUCT($V124:$AE124*($V124:$AE124&gt;0)*(($V$3:$AE$3&gt;V$3)+($V$3:$AE$3=V$3)*($V124:$AE124&lt;V124)+($V$3:$AE$3=V$3)*($V124:$AE124=V124)*($V$2:$AE$2&lt;V$2))),2))))</f>
      </c>
      <c r="AG124" s="33">
        <f>IF(W124&lt;=0,0,MAX(0,MIN(W124,ROUND($AZ124-SUMPRODUCT($V124:$AE124*($V124:$AE124&gt;0)*(($V$3:$AE$3&gt;W$3)+($V$3:$AE$3=W$3)*($V124:$AE124&lt;W124)+($V$3:$AE$3=W$3)*($V124:$AE124=W124)*($V$2:$AE$2&lt;W$2))),2))))</f>
      </c>
      <c r="AH124" s="33">
        <f>IF(X124&lt;=0,0,MAX(0,MIN(X124,ROUND($AZ124-SUMPRODUCT($V124:$AE124*($V124:$AE124&gt;0)*(($V$3:$AE$3&gt;X$3)+($V$3:$AE$3=X$3)*($V124:$AE124&lt;X124)+($V$3:$AE$3=X$3)*($V124:$AE124=X124)*($V$2:$AE$2&lt;X$2))),2))))</f>
      </c>
      <c r="AI124" s="33">
        <f>IF(Y124&lt;=0,0,MAX(0,MIN(Y124,ROUND($AZ124-SUMPRODUCT($V124:$AE124*($V124:$AE124&gt;0)*(($V$3:$AE$3&gt;Y$3)+($V$3:$AE$3=Y$3)*($V124:$AE124&lt;Y124)+($V$3:$AE$3=Y$3)*($V124:$AE124=Y124)*($V$2:$AE$2&lt;Y$2))),2))))</f>
      </c>
      <c r="AJ124" s="33">
        <f>IF(Z124&lt;=0,0,MAX(0,MIN(Z124,ROUND($AZ124-SUMPRODUCT($V124:$AE124*($V124:$AE124&gt;0)*(($V$3:$AE$3&gt;Z$3)+($V$3:$AE$3=Z$3)*($V124:$AE124&lt;Z124)+($V$3:$AE$3=Z$3)*($V124:$AE124=Z124)*($V$2:$AE$2&lt;Z$2))),2))))</f>
      </c>
      <c r="AK124" s="33">
        <f>IF(AA124&lt;=0,0,MAX(0,MIN(AA124,ROUND($AZ124-SUMPRODUCT($V124:$AE124*($V124:$AE124&gt;0)*(($V$3:$AE$3&gt;AA$3)+($V$3:$AE$3=AA$3)*($V124:$AE124&lt;AA124)+($V$3:$AE$3=AA$3)*($V124:$AE124=AA124)*($V$2:$AE$2&lt;AA$2))),2))))</f>
      </c>
      <c r="AL124" s="33">
        <f>IF(AB124&lt;=0,0,MAX(0,MIN(AB124,ROUND($AZ124-SUMPRODUCT($V124:$AE124*($V124:$AE124&gt;0)*(($V$3:$AE$3&gt;AB$3)+($V$3:$AE$3=AB$3)*($V124:$AE124&lt;AB124)+($V$3:$AE$3=AB$3)*($V124:$AE124=AB124)*($V$2:$AE$2&lt;AB$2))),2))))</f>
      </c>
      <c r="AM124" s="33">
        <f>IF(AC124&lt;=0,0,MAX(0,MIN(AC124,ROUND($AZ124-SUMPRODUCT($V124:$AE124*($V124:$AE124&gt;0)*(($V$3:$AE$3&gt;AC$3)+($V$3:$AE$3=AC$3)*($V124:$AE124&lt;AC124)+($V$3:$AE$3=AC$3)*($V124:$AE124=AC124)*($V$2:$AE$2&lt;AC$2))),2))))</f>
      </c>
      <c r="AN124" s="33">
        <f>IF(AD124&lt;=0,0,MAX(0,MIN(AD124,ROUND($AZ124-SUMPRODUCT($V124:$AE124*($V124:$AE124&gt;0)*(($V$3:$AE$3&gt;AD$3)+($V$3:$AE$3=AD$3)*($V124:$AE124&lt;AD124)+($V$3:$AE$3=AD$3)*($V124:$AE124=AD124)*($V$2:$AE$2&lt;AD$2))),2))))</f>
      </c>
      <c r="AO124" s="33">
        <f>IF(AE124&lt;=0,0,MAX(0,MIN(AE124,ROUND($AZ124-SUMPRODUCT($V124:$AE124*($V124:$AE124&gt;0)*(($V$3:$AE$3&gt;AE$3)+($V$3:$AE$3=AE$3)*($V124:$AE124&lt;AE124)+($V$3:$AE$3=AE$3)*($V124:$AE124=AE124)*($V$2:$AE$2&lt;AE$2))),2))))</f>
      </c>
      <c r="AP124" s="33">
        <f>ROUND(V124-AF124,2)</f>
      </c>
      <c r="AQ124" s="33">
        <f>ROUND(W124-AG124,2)</f>
      </c>
      <c r="AR124" s="33">
        <f>ROUND(X124-AH124,2)</f>
      </c>
      <c r="AS124" s="33">
        <f>ROUND(Y124-AI124,2)</f>
      </c>
      <c r="AT124" s="33">
        <f>ROUND(Z124-AJ124,2)</f>
      </c>
      <c r="AU124" s="33">
        <f>ROUND(AA124-AK124,2)</f>
      </c>
      <c r="AV124" s="33">
        <f>ROUND(AB124-AL124,2)</f>
      </c>
      <c r="AW124" s="33">
        <f>ROUND(AC124-AM124,2)</f>
      </c>
      <c r="AX124" s="33">
        <f>ROUND(AD124-AN124,2)</f>
      </c>
      <c r="AY124" s="33">
        <f>ROUND(AE124-AO124,2)</f>
      </c>
      <c r="AZ124" s="33">
        <f>ROUND(MAX(0,'Your debts'!$D$22-SUM($L124:$U124)),2)</f>
      </c>
      <c r="BA124" s="33">
        <f>ROUND(SUM($B124:$K124)-SUM($AP123:$AY123),2)</f>
      </c>
      <c r="BB124" s="33">
        <f>SUM($AP124:$AY124)</f>
      </c>
      <c r="BC124" s="33">
        <f>ROUND(SUM($L124:$U124)+SUM($AF124:$AO124),2)</f>
      </c>
    </row>
    <row r="125" spans="1:55" x14ac:dyDescent="0.25">
      <c r="A125">
        <v>118</v>
      </c>
      <c r="B125" s="33">
        <f>IF(AP124&lt;=0,0,ROUND(AP124+ROUND(AP124*V$3/12,2),2))</f>
      </c>
      <c r="C125" s="33">
        <f>IF(AQ124&lt;=0,0,ROUND(AQ124+ROUND(AQ124*W$3/12,2),2))</f>
      </c>
      <c r="D125" s="33">
        <f>IF(AR124&lt;=0,0,ROUND(AR124+ROUND(AR124*X$3/12,2),2))</f>
      </c>
      <c r="E125" s="33">
        <f>IF(AS124&lt;=0,0,ROUND(AS124+ROUND(AS124*Y$3/12,2),2))</f>
      </c>
      <c r="F125" s="33">
        <f>IF(AT124&lt;=0,0,ROUND(AT124+ROUND(AT124*Z$3/12,2),2))</f>
      </c>
      <c r="G125" s="33">
        <f>IF(AU124&lt;=0,0,ROUND(AU124+ROUND(AU124*AA$3/12,2),2))</f>
      </c>
      <c r="H125" s="33">
        <f>IF(AV124&lt;=0,0,ROUND(AV124+ROUND(AV124*AB$3/12,2),2))</f>
      </c>
      <c r="I125" s="33">
        <f>IF(AW124&lt;=0,0,ROUND(AW124+ROUND(AW124*AC$3/12,2),2))</f>
      </c>
      <c r="J125" s="33">
        <f>IF(AX124&lt;=0,0,ROUND(AX124+ROUND(AX124*AD$3/12,2),2))</f>
      </c>
      <c r="K125" s="33">
        <f>IF(AY124&lt;=0,0,ROUND(AY124+ROUND(AY124*AE$3/12,2),2))</f>
      </c>
      <c r="L125" s="33">
        <f>ROUND(MIN(MAX(0,N('Your debts'!$E$6)),B125),2)</f>
      </c>
      <c r="M125" s="33">
        <f>ROUND(MIN(MAX(0,N('Your debts'!$E$7)),C125),2)</f>
      </c>
      <c r="N125" s="33">
        <f>ROUND(MIN(MAX(0,N('Your debts'!$E$8)),D125),2)</f>
      </c>
      <c r="O125" s="33">
        <f>ROUND(MIN(MAX(0,N('Your debts'!$E$9)),E125),2)</f>
      </c>
      <c r="P125" s="33">
        <f>ROUND(MIN(MAX(0,N('Your debts'!$E$10)),F125),2)</f>
      </c>
      <c r="Q125" s="33">
        <f>ROUND(MIN(MAX(0,N('Your debts'!$E$11)),G125),2)</f>
      </c>
      <c r="R125" s="33">
        <f>ROUND(MIN(MAX(0,N('Your debts'!$E$12)),H125),2)</f>
      </c>
      <c r="S125" s="33">
        <f>ROUND(MIN(MAX(0,N('Your debts'!$E$13)),I125),2)</f>
      </c>
      <c r="T125" s="33">
        <f>ROUND(MIN(MAX(0,N('Your debts'!$E$14)),J125),2)</f>
      </c>
      <c r="U125" s="33">
        <f>ROUND(MIN(MAX(0,N('Your debts'!$E$15)),K125),2)</f>
      </c>
      <c r="V125" s="33">
        <f>ROUND(B125-L125,2)</f>
      </c>
      <c r="W125" s="33">
        <f>ROUND(C125-M125,2)</f>
      </c>
      <c r="X125" s="33">
        <f>ROUND(D125-N125,2)</f>
      </c>
      <c r="Y125" s="33">
        <f>ROUND(E125-O125,2)</f>
      </c>
      <c r="Z125" s="33">
        <f>ROUND(F125-P125,2)</f>
      </c>
      <c r="AA125" s="33">
        <f>ROUND(G125-Q125,2)</f>
      </c>
      <c r="AB125" s="33">
        <f>ROUND(H125-R125,2)</f>
      </c>
      <c r="AC125" s="33">
        <f>ROUND(I125-S125,2)</f>
      </c>
      <c r="AD125" s="33">
        <f>ROUND(J125-T125,2)</f>
      </c>
      <c r="AE125" s="33">
        <f>ROUND(K125-U125,2)</f>
      </c>
      <c r="AF125" s="33">
        <f>IF(V125&lt;=0,0,MAX(0,MIN(V125,ROUND($AZ125-SUMPRODUCT($V125:$AE125*($V125:$AE125&gt;0)*(($V$3:$AE$3&gt;V$3)+($V$3:$AE$3=V$3)*($V125:$AE125&lt;V125)+($V$3:$AE$3=V$3)*($V125:$AE125=V125)*($V$2:$AE$2&lt;V$2))),2))))</f>
      </c>
      <c r="AG125" s="33">
        <f>IF(W125&lt;=0,0,MAX(0,MIN(W125,ROUND($AZ125-SUMPRODUCT($V125:$AE125*($V125:$AE125&gt;0)*(($V$3:$AE$3&gt;W$3)+($V$3:$AE$3=W$3)*($V125:$AE125&lt;W125)+($V$3:$AE$3=W$3)*($V125:$AE125=W125)*($V$2:$AE$2&lt;W$2))),2))))</f>
      </c>
      <c r="AH125" s="33">
        <f>IF(X125&lt;=0,0,MAX(0,MIN(X125,ROUND($AZ125-SUMPRODUCT($V125:$AE125*($V125:$AE125&gt;0)*(($V$3:$AE$3&gt;X$3)+($V$3:$AE$3=X$3)*($V125:$AE125&lt;X125)+($V$3:$AE$3=X$3)*($V125:$AE125=X125)*($V$2:$AE$2&lt;X$2))),2))))</f>
      </c>
      <c r="AI125" s="33">
        <f>IF(Y125&lt;=0,0,MAX(0,MIN(Y125,ROUND($AZ125-SUMPRODUCT($V125:$AE125*($V125:$AE125&gt;0)*(($V$3:$AE$3&gt;Y$3)+($V$3:$AE$3=Y$3)*($V125:$AE125&lt;Y125)+($V$3:$AE$3=Y$3)*($V125:$AE125=Y125)*($V$2:$AE$2&lt;Y$2))),2))))</f>
      </c>
      <c r="AJ125" s="33">
        <f>IF(Z125&lt;=0,0,MAX(0,MIN(Z125,ROUND($AZ125-SUMPRODUCT($V125:$AE125*($V125:$AE125&gt;0)*(($V$3:$AE$3&gt;Z$3)+($V$3:$AE$3=Z$3)*($V125:$AE125&lt;Z125)+($V$3:$AE$3=Z$3)*($V125:$AE125=Z125)*($V$2:$AE$2&lt;Z$2))),2))))</f>
      </c>
      <c r="AK125" s="33">
        <f>IF(AA125&lt;=0,0,MAX(0,MIN(AA125,ROUND($AZ125-SUMPRODUCT($V125:$AE125*($V125:$AE125&gt;0)*(($V$3:$AE$3&gt;AA$3)+($V$3:$AE$3=AA$3)*($V125:$AE125&lt;AA125)+($V$3:$AE$3=AA$3)*($V125:$AE125=AA125)*($V$2:$AE$2&lt;AA$2))),2))))</f>
      </c>
      <c r="AL125" s="33">
        <f>IF(AB125&lt;=0,0,MAX(0,MIN(AB125,ROUND($AZ125-SUMPRODUCT($V125:$AE125*($V125:$AE125&gt;0)*(($V$3:$AE$3&gt;AB$3)+($V$3:$AE$3=AB$3)*($V125:$AE125&lt;AB125)+($V$3:$AE$3=AB$3)*($V125:$AE125=AB125)*($V$2:$AE$2&lt;AB$2))),2))))</f>
      </c>
      <c r="AM125" s="33">
        <f>IF(AC125&lt;=0,0,MAX(0,MIN(AC125,ROUND($AZ125-SUMPRODUCT($V125:$AE125*($V125:$AE125&gt;0)*(($V$3:$AE$3&gt;AC$3)+($V$3:$AE$3=AC$3)*($V125:$AE125&lt;AC125)+($V$3:$AE$3=AC$3)*($V125:$AE125=AC125)*($V$2:$AE$2&lt;AC$2))),2))))</f>
      </c>
      <c r="AN125" s="33">
        <f>IF(AD125&lt;=0,0,MAX(0,MIN(AD125,ROUND($AZ125-SUMPRODUCT($V125:$AE125*($V125:$AE125&gt;0)*(($V$3:$AE$3&gt;AD$3)+($V$3:$AE$3=AD$3)*($V125:$AE125&lt;AD125)+($V$3:$AE$3=AD$3)*($V125:$AE125=AD125)*($V$2:$AE$2&lt;AD$2))),2))))</f>
      </c>
      <c r="AO125" s="33">
        <f>IF(AE125&lt;=0,0,MAX(0,MIN(AE125,ROUND($AZ125-SUMPRODUCT($V125:$AE125*($V125:$AE125&gt;0)*(($V$3:$AE$3&gt;AE$3)+($V$3:$AE$3=AE$3)*($V125:$AE125&lt;AE125)+($V$3:$AE$3=AE$3)*($V125:$AE125=AE125)*($V$2:$AE$2&lt;AE$2))),2))))</f>
      </c>
      <c r="AP125" s="33">
        <f>ROUND(V125-AF125,2)</f>
      </c>
      <c r="AQ125" s="33">
        <f>ROUND(W125-AG125,2)</f>
      </c>
      <c r="AR125" s="33">
        <f>ROUND(X125-AH125,2)</f>
      </c>
      <c r="AS125" s="33">
        <f>ROUND(Y125-AI125,2)</f>
      </c>
      <c r="AT125" s="33">
        <f>ROUND(Z125-AJ125,2)</f>
      </c>
      <c r="AU125" s="33">
        <f>ROUND(AA125-AK125,2)</f>
      </c>
      <c r="AV125" s="33">
        <f>ROUND(AB125-AL125,2)</f>
      </c>
      <c r="AW125" s="33">
        <f>ROUND(AC125-AM125,2)</f>
      </c>
      <c r="AX125" s="33">
        <f>ROUND(AD125-AN125,2)</f>
      </c>
      <c r="AY125" s="33">
        <f>ROUND(AE125-AO125,2)</f>
      </c>
      <c r="AZ125" s="33">
        <f>ROUND(MAX(0,'Your debts'!$D$22-SUM($L125:$U125)),2)</f>
      </c>
      <c r="BA125" s="33">
        <f>ROUND(SUM($B125:$K125)-SUM($AP124:$AY124),2)</f>
      </c>
      <c r="BB125" s="33">
        <f>SUM($AP125:$AY125)</f>
      </c>
      <c r="BC125" s="33">
        <f>ROUND(SUM($L125:$U125)+SUM($AF125:$AO125),2)</f>
      </c>
    </row>
    <row r="126" spans="1:55" x14ac:dyDescent="0.25">
      <c r="A126">
        <v>119</v>
      </c>
      <c r="B126" s="33">
        <f>IF(AP125&lt;=0,0,ROUND(AP125+ROUND(AP125*V$3/12,2),2))</f>
      </c>
      <c r="C126" s="33">
        <f>IF(AQ125&lt;=0,0,ROUND(AQ125+ROUND(AQ125*W$3/12,2),2))</f>
      </c>
      <c r="D126" s="33">
        <f>IF(AR125&lt;=0,0,ROUND(AR125+ROUND(AR125*X$3/12,2),2))</f>
      </c>
      <c r="E126" s="33">
        <f>IF(AS125&lt;=0,0,ROUND(AS125+ROUND(AS125*Y$3/12,2),2))</f>
      </c>
      <c r="F126" s="33">
        <f>IF(AT125&lt;=0,0,ROUND(AT125+ROUND(AT125*Z$3/12,2),2))</f>
      </c>
      <c r="G126" s="33">
        <f>IF(AU125&lt;=0,0,ROUND(AU125+ROUND(AU125*AA$3/12,2),2))</f>
      </c>
      <c r="H126" s="33">
        <f>IF(AV125&lt;=0,0,ROUND(AV125+ROUND(AV125*AB$3/12,2),2))</f>
      </c>
      <c r="I126" s="33">
        <f>IF(AW125&lt;=0,0,ROUND(AW125+ROUND(AW125*AC$3/12,2),2))</f>
      </c>
      <c r="J126" s="33">
        <f>IF(AX125&lt;=0,0,ROUND(AX125+ROUND(AX125*AD$3/12,2),2))</f>
      </c>
      <c r="K126" s="33">
        <f>IF(AY125&lt;=0,0,ROUND(AY125+ROUND(AY125*AE$3/12,2),2))</f>
      </c>
      <c r="L126" s="33">
        <f>ROUND(MIN(MAX(0,N('Your debts'!$E$6)),B126),2)</f>
      </c>
      <c r="M126" s="33">
        <f>ROUND(MIN(MAX(0,N('Your debts'!$E$7)),C126),2)</f>
      </c>
      <c r="N126" s="33">
        <f>ROUND(MIN(MAX(0,N('Your debts'!$E$8)),D126),2)</f>
      </c>
      <c r="O126" s="33">
        <f>ROUND(MIN(MAX(0,N('Your debts'!$E$9)),E126),2)</f>
      </c>
      <c r="P126" s="33">
        <f>ROUND(MIN(MAX(0,N('Your debts'!$E$10)),F126),2)</f>
      </c>
      <c r="Q126" s="33">
        <f>ROUND(MIN(MAX(0,N('Your debts'!$E$11)),G126),2)</f>
      </c>
      <c r="R126" s="33">
        <f>ROUND(MIN(MAX(0,N('Your debts'!$E$12)),H126),2)</f>
      </c>
      <c r="S126" s="33">
        <f>ROUND(MIN(MAX(0,N('Your debts'!$E$13)),I126),2)</f>
      </c>
      <c r="T126" s="33">
        <f>ROUND(MIN(MAX(0,N('Your debts'!$E$14)),J126),2)</f>
      </c>
      <c r="U126" s="33">
        <f>ROUND(MIN(MAX(0,N('Your debts'!$E$15)),K126),2)</f>
      </c>
      <c r="V126" s="33">
        <f>ROUND(B126-L126,2)</f>
      </c>
      <c r="W126" s="33">
        <f>ROUND(C126-M126,2)</f>
      </c>
      <c r="X126" s="33">
        <f>ROUND(D126-N126,2)</f>
      </c>
      <c r="Y126" s="33">
        <f>ROUND(E126-O126,2)</f>
      </c>
      <c r="Z126" s="33">
        <f>ROUND(F126-P126,2)</f>
      </c>
      <c r="AA126" s="33">
        <f>ROUND(G126-Q126,2)</f>
      </c>
      <c r="AB126" s="33">
        <f>ROUND(H126-R126,2)</f>
      </c>
      <c r="AC126" s="33">
        <f>ROUND(I126-S126,2)</f>
      </c>
      <c r="AD126" s="33">
        <f>ROUND(J126-T126,2)</f>
      </c>
      <c r="AE126" s="33">
        <f>ROUND(K126-U126,2)</f>
      </c>
      <c r="AF126" s="33">
        <f>IF(V126&lt;=0,0,MAX(0,MIN(V126,ROUND($AZ126-SUMPRODUCT($V126:$AE126*($V126:$AE126&gt;0)*(($V$3:$AE$3&gt;V$3)+($V$3:$AE$3=V$3)*($V126:$AE126&lt;V126)+($V$3:$AE$3=V$3)*($V126:$AE126=V126)*($V$2:$AE$2&lt;V$2))),2))))</f>
      </c>
      <c r="AG126" s="33">
        <f>IF(W126&lt;=0,0,MAX(0,MIN(W126,ROUND($AZ126-SUMPRODUCT($V126:$AE126*($V126:$AE126&gt;0)*(($V$3:$AE$3&gt;W$3)+($V$3:$AE$3=W$3)*($V126:$AE126&lt;W126)+($V$3:$AE$3=W$3)*($V126:$AE126=W126)*($V$2:$AE$2&lt;W$2))),2))))</f>
      </c>
      <c r="AH126" s="33">
        <f>IF(X126&lt;=0,0,MAX(0,MIN(X126,ROUND($AZ126-SUMPRODUCT($V126:$AE126*($V126:$AE126&gt;0)*(($V$3:$AE$3&gt;X$3)+($V$3:$AE$3=X$3)*($V126:$AE126&lt;X126)+($V$3:$AE$3=X$3)*($V126:$AE126=X126)*($V$2:$AE$2&lt;X$2))),2))))</f>
      </c>
      <c r="AI126" s="33">
        <f>IF(Y126&lt;=0,0,MAX(0,MIN(Y126,ROUND($AZ126-SUMPRODUCT($V126:$AE126*($V126:$AE126&gt;0)*(($V$3:$AE$3&gt;Y$3)+($V$3:$AE$3=Y$3)*($V126:$AE126&lt;Y126)+($V$3:$AE$3=Y$3)*($V126:$AE126=Y126)*($V$2:$AE$2&lt;Y$2))),2))))</f>
      </c>
      <c r="AJ126" s="33">
        <f>IF(Z126&lt;=0,0,MAX(0,MIN(Z126,ROUND($AZ126-SUMPRODUCT($V126:$AE126*($V126:$AE126&gt;0)*(($V$3:$AE$3&gt;Z$3)+($V$3:$AE$3=Z$3)*($V126:$AE126&lt;Z126)+($V$3:$AE$3=Z$3)*($V126:$AE126=Z126)*($V$2:$AE$2&lt;Z$2))),2))))</f>
      </c>
      <c r="AK126" s="33">
        <f>IF(AA126&lt;=0,0,MAX(0,MIN(AA126,ROUND($AZ126-SUMPRODUCT($V126:$AE126*($V126:$AE126&gt;0)*(($V$3:$AE$3&gt;AA$3)+($V$3:$AE$3=AA$3)*($V126:$AE126&lt;AA126)+($V$3:$AE$3=AA$3)*($V126:$AE126=AA126)*($V$2:$AE$2&lt;AA$2))),2))))</f>
      </c>
      <c r="AL126" s="33">
        <f>IF(AB126&lt;=0,0,MAX(0,MIN(AB126,ROUND($AZ126-SUMPRODUCT($V126:$AE126*($V126:$AE126&gt;0)*(($V$3:$AE$3&gt;AB$3)+($V$3:$AE$3=AB$3)*($V126:$AE126&lt;AB126)+($V$3:$AE$3=AB$3)*($V126:$AE126=AB126)*($V$2:$AE$2&lt;AB$2))),2))))</f>
      </c>
      <c r="AM126" s="33">
        <f>IF(AC126&lt;=0,0,MAX(0,MIN(AC126,ROUND($AZ126-SUMPRODUCT($V126:$AE126*($V126:$AE126&gt;0)*(($V$3:$AE$3&gt;AC$3)+($V$3:$AE$3=AC$3)*($V126:$AE126&lt;AC126)+($V$3:$AE$3=AC$3)*($V126:$AE126=AC126)*($V$2:$AE$2&lt;AC$2))),2))))</f>
      </c>
      <c r="AN126" s="33">
        <f>IF(AD126&lt;=0,0,MAX(0,MIN(AD126,ROUND($AZ126-SUMPRODUCT($V126:$AE126*($V126:$AE126&gt;0)*(($V$3:$AE$3&gt;AD$3)+($V$3:$AE$3=AD$3)*($V126:$AE126&lt;AD126)+($V$3:$AE$3=AD$3)*($V126:$AE126=AD126)*($V$2:$AE$2&lt;AD$2))),2))))</f>
      </c>
      <c r="AO126" s="33">
        <f>IF(AE126&lt;=0,0,MAX(0,MIN(AE126,ROUND($AZ126-SUMPRODUCT($V126:$AE126*($V126:$AE126&gt;0)*(($V$3:$AE$3&gt;AE$3)+($V$3:$AE$3=AE$3)*($V126:$AE126&lt;AE126)+($V$3:$AE$3=AE$3)*($V126:$AE126=AE126)*($V$2:$AE$2&lt;AE$2))),2))))</f>
      </c>
      <c r="AP126" s="33">
        <f>ROUND(V126-AF126,2)</f>
      </c>
      <c r="AQ126" s="33">
        <f>ROUND(W126-AG126,2)</f>
      </c>
      <c r="AR126" s="33">
        <f>ROUND(X126-AH126,2)</f>
      </c>
      <c r="AS126" s="33">
        <f>ROUND(Y126-AI126,2)</f>
      </c>
      <c r="AT126" s="33">
        <f>ROUND(Z126-AJ126,2)</f>
      </c>
      <c r="AU126" s="33">
        <f>ROUND(AA126-AK126,2)</f>
      </c>
      <c r="AV126" s="33">
        <f>ROUND(AB126-AL126,2)</f>
      </c>
      <c r="AW126" s="33">
        <f>ROUND(AC126-AM126,2)</f>
      </c>
      <c r="AX126" s="33">
        <f>ROUND(AD126-AN126,2)</f>
      </c>
      <c r="AY126" s="33">
        <f>ROUND(AE126-AO126,2)</f>
      </c>
      <c r="AZ126" s="33">
        <f>ROUND(MAX(0,'Your debts'!$D$22-SUM($L126:$U126)),2)</f>
      </c>
      <c r="BA126" s="33">
        <f>ROUND(SUM($B126:$K126)-SUM($AP125:$AY125),2)</f>
      </c>
      <c r="BB126" s="33">
        <f>SUM($AP126:$AY126)</f>
      </c>
      <c r="BC126" s="33">
        <f>ROUND(SUM($L126:$U126)+SUM($AF126:$AO126),2)</f>
      </c>
    </row>
    <row r="127" spans="1:55" x14ac:dyDescent="0.25">
      <c r="A127">
        <v>120</v>
      </c>
      <c r="B127" s="33">
        <f>IF(AP126&lt;=0,0,ROUND(AP126+ROUND(AP126*V$3/12,2),2))</f>
      </c>
      <c r="C127" s="33">
        <f>IF(AQ126&lt;=0,0,ROUND(AQ126+ROUND(AQ126*W$3/12,2),2))</f>
      </c>
      <c r="D127" s="33">
        <f>IF(AR126&lt;=0,0,ROUND(AR126+ROUND(AR126*X$3/12,2),2))</f>
      </c>
      <c r="E127" s="33">
        <f>IF(AS126&lt;=0,0,ROUND(AS126+ROUND(AS126*Y$3/12,2),2))</f>
      </c>
      <c r="F127" s="33">
        <f>IF(AT126&lt;=0,0,ROUND(AT126+ROUND(AT126*Z$3/12,2),2))</f>
      </c>
      <c r="G127" s="33">
        <f>IF(AU126&lt;=0,0,ROUND(AU126+ROUND(AU126*AA$3/12,2),2))</f>
      </c>
      <c r="H127" s="33">
        <f>IF(AV126&lt;=0,0,ROUND(AV126+ROUND(AV126*AB$3/12,2),2))</f>
      </c>
      <c r="I127" s="33">
        <f>IF(AW126&lt;=0,0,ROUND(AW126+ROUND(AW126*AC$3/12,2),2))</f>
      </c>
      <c r="J127" s="33">
        <f>IF(AX126&lt;=0,0,ROUND(AX126+ROUND(AX126*AD$3/12,2),2))</f>
      </c>
      <c r="K127" s="33">
        <f>IF(AY126&lt;=0,0,ROUND(AY126+ROUND(AY126*AE$3/12,2),2))</f>
      </c>
      <c r="L127" s="33">
        <f>ROUND(MIN(MAX(0,N('Your debts'!$E$6)),B127),2)</f>
      </c>
      <c r="M127" s="33">
        <f>ROUND(MIN(MAX(0,N('Your debts'!$E$7)),C127),2)</f>
      </c>
      <c r="N127" s="33">
        <f>ROUND(MIN(MAX(0,N('Your debts'!$E$8)),D127),2)</f>
      </c>
      <c r="O127" s="33">
        <f>ROUND(MIN(MAX(0,N('Your debts'!$E$9)),E127),2)</f>
      </c>
      <c r="P127" s="33">
        <f>ROUND(MIN(MAX(0,N('Your debts'!$E$10)),F127),2)</f>
      </c>
      <c r="Q127" s="33">
        <f>ROUND(MIN(MAX(0,N('Your debts'!$E$11)),G127),2)</f>
      </c>
      <c r="R127" s="33">
        <f>ROUND(MIN(MAX(0,N('Your debts'!$E$12)),H127),2)</f>
      </c>
      <c r="S127" s="33">
        <f>ROUND(MIN(MAX(0,N('Your debts'!$E$13)),I127),2)</f>
      </c>
      <c r="T127" s="33">
        <f>ROUND(MIN(MAX(0,N('Your debts'!$E$14)),J127),2)</f>
      </c>
      <c r="U127" s="33">
        <f>ROUND(MIN(MAX(0,N('Your debts'!$E$15)),K127),2)</f>
      </c>
      <c r="V127" s="33">
        <f>ROUND(B127-L127,2)</f>
      </c>
      <c r="W127" s="33">
        <f>ROUND(C127-M127,2)</f>
      </c>
      <c r="X127" s="33">
        <f>ROUND(D127-N127,2)</f>
      </c>
      <c r="Y127" s="33">
        <f>ROUND(E127-O127,2)</f>
      </c>
      <c r="Z127" s="33">
        <f>ROUND(F127-P127,2)</f>
      </c>
      <c r="AA127" s="33">
        <f>ROUND(G127-Q127,2)</f>
      </c>
      <c r="AB127" s="33">
        <f>ROUND(H127-R127,2)</f>
      </c>
      <c r="AC127" s="33">
        <f>ROUND(I127-S127,2)</f>
      </c>
      <c r="AD127" s="33">
        <f>ROUND(J127-T127,2)</f>
      </c>
      <c r="AE127" s="33">
        <f>ROUND(K127-U127,2)</f>
      </c>
      <c r="AF127" s="33">
        <f>IF(V127&lt;=0,0,MAX(0,MIN(V127,ROUND($AZ127-SUMPRODUCT($V127:$AE127*($V127:$AE127&gt;0)*(($V$3:$AE$3&gt;V$3)+($V$3:$AE$3=V$3)*($V127:$AE127&lt;V127)+($V$3:$AE$3=V$3)*($V127:$AE127=V127)*($V$2:$AE$2&lt;V$2))),2))))</f>
      </c>
      <c r="AG127" s="33">
        <f>IF(W127&lt;=0,0,MAX(0,MIN(W127,ROUND($AZ127-SUMPRODUCT($V127:$AE127*($V127:$AE127&gt;0)*(($V$3:$AE$3&gt;W$3)+($V$3:$AE$3=W$3)*($V127:$AE127&lt;W127)+($V$3:$AE$3=W$3)*($V127:$AE127=W127)*($V$2:$AE$2&lt;W$2))),2))))</f>
      </c>
      <c r="AH127" s="33">
        <f>IF(X127&lt;=0,0,MAX(0,MIN(X127,ROUND($AZ127-SUMPRODUCT($V127:$AE127*($V127:$AE127&gt;0)*(($V$3:$AE$3&gt;X$3)+($V$3:$AE$3=X$3)*($V127:$AE127&lt;X127)+($V$3:$AE$3=X$3)*($V127:$AE127=X127)*($V$2:$AE$2&lt;X$2))),2))))</f>
      </c>
      <c r="AI127" s="33">
        <f>IF(Y127&lt;=0,0,MAX(0,MIN(Y127,ROUND($AZ127-SUMPRODUCT($V127:$AE127*($V127:$AE127&gt;0)*(($V$3:$AE$3&gt;Y$3)+($V$3:$AE$3=Y$3)*($V127:$AE127&lt;Y127)+($V$3:$AE$3=Y$3)*($V127:$AE127=Y127)*($V$2:$AE$2&lt;Y$2))),2))))</f>
      </c>
      <c r="AJ127" s="33">
        <f>IF(Z127&lt;=0,0,MAX(0,MIN(Z127,ROUND($AZ127-SUMPRODUCT($V127:$AE127*($V127:$AE127&gt;0)*(($V$3:$AE$3&gt;Z$3)+($V$3:$AE$3=Z$3)*($V127:$AE127&lt;Z127)+($V$3:$AE$3=Z$3)*($V127:$AE127=Z127)*($V$2:$AE$2&lt;Z$2))),2))))</f>
      </c>
      <c r="AK127" s="33">
        <f>IF(AA127&lt;=0,0,MAX(0,MIN(AA127,ROUND($AZ127-SUMPRODUCT($V127:$AE127*($V127:$AE127&gt;0)*(($V$3:$AE$3&gt;AA$3)+($V$3:$AE$3=AA$3)*($V127:$AE127&lt;AA127)+($V$3:$AE$3=AA$3)*($V127:$AE127=AA127)*($V$2:$AE$2&lt;AA$2))),2))))</f>
      </c>
      <c r="AL127" s="33">
        <f>IF(AB127&lt;=0,0,MAX(0,MIN(AB127,ROUND($AZ127-SUMPRODUCT($V127:$AE127*($V127:$AE127&gt;0)*(($V$3:$AE$3&gt;AB$3)+($V$3:$AE$3=AB$3)*($V127:$AE127&lt;AB127)+($V$3:$AE$3=AB$3)*($V127:$AE127=AB127)*($V$2:$AE$2&lt;AB$2))),2))))</f>
      </c>
      <c r="AM127" s="33">
        <f>IF(AC127&lt;=0,0,MAX(0,MIN(AC127,ROUND($AZ127-SUMPRODUCT($V127:$AE127*($V127:$AE127&gt;0)*(($V$3:$AE$3&gt;AC$3)+($V$3:$AE$3=AC$3)*($V127:$AE127&lt;AC127)+($V$3:$AE$3=AC$3)*($V127:$AE127=AC127)*($V$2:$AE$2&lt;AC$2))),2))))</f>
      </c>
      <c r="AN127" s="33">
        <f>IF(AD127&lt;=0,0,MAX(0,MIN(AD127,ROUND($AZ127-SUMPRODUCT($V127:$AE127*($V127:$AE127&gt;0)*(($V$3:$AE$3&gt;AD$3)+($V$3:$AE$3=AD$3)*($V127:$AE127&lt;AD127)+($V$3:$AE$3=AD$3)*($V127:$AE127=AD127)*($V$2:$AE$2&lt;AD$2))),2))))</f>
      </c>
      <c r="AO127" s="33">
        <f>IF(AE127&lt;=0,0,MAX(0,MIN(AE127,ROUND($AZ127-SUMPRODUCT($V127:$AE127*($V127:$AE127&gt;0)*(($V$3:$AE$3&gt;AE$3)+($V$3:$AE$3=AE$3)*($V127:$AE127&lt;AE127)+($V$3:$AE$3=AE$3)*($V127:$AE127=AE127)*($V$2:$AE$2&lt;AE$2))),2))))</f>
      </c>
      <c r="AP127" s="33">
        <f>ROUND(V127-AF127,2)</f>
      </c>
      <c r="AQ127" s="33">
        <f>ROUND(W127-AG127,2)</f>
      </c>
      <c r="AR127" s="33">
        <f>ROUND(X127-AH127,2)</f>
      </c>
      <c r="AS127" s="33">
        <f>ROUND(Y127-AI127,2)</f>
      </c>
      <c r="AT127" s="33">
        <f>ROUND(Z127-AJ127,2)</f>
      </c>
      <c r="AU127" s="33">
        <f>ROUND(AA127-AK127,2)</f>
      </c>
      <c r="AV127" s="33">
        <f>ROUND(AB127-AL127,2)</f>
      </c>
      <c r="AW127" s="33">
        <f>ROUND(AC127-AM127,2)</f>
      </c>
      <c r="AX127" s="33">
        <f>ROUND(AD127-AN127,2)</f>
      </c>
      <c r="AY127" s="33">
        <f>ROUND(AE127-AO127,2)</f>
      </c>
      <c r="AZ127" s="33">
        <f>ROUND(MAX(0,'Your debts'!$D$22-SUM($L127:$U127)),2)</f>
      </c>
      <c r="BA127" s="33">
        <f>ROUND(SUM($B127:$K127)-SUM($AP126:$AY126),2)</f>
      </c>
      <c r="BB127" s="33">
        <f>SUM($AP127:$AY127)</f>
      </c>
      <c r="BC127" s="33">
        <f>ROUND(SUM($L127:$U127)+SUM($AF127:$AO127),2)</f>
      </c>
    </row>
    <row r="128" spans="1:55" x14ac:dyDescent="0.25">
      <c r="A128">
        <v>121</v>
      </c>
      <c r="B128" s="33">
        <f>IF(AP127&lt;=0,0,ROUND(AP127+ROUND(AP127*V$3/12,2),2))</f>
      </c>
      <c r="C128" s="33">
        <f>IF(AQ127&lt;=0,0,ROUND(AQ127+ROUND(AQ127*W$3/12,2),2))</f>
      </c>
      <c r="D128" s="33">
        <f>IF(AR127&lt;=0,0,ROUND(AR127+ROUND(AR127*X$3/12,2),2))</f>
      </c>
      <c r="E128" s="33">
        <f>IF(AS127&lt;=0,0,ROUND(AS127+ROUND(AS127*Y$3/12,2),2))</f>
      </c>
      <c r="F128" s="33">
        <f>IF(AT127&lt;=0,0,ROUND(AT127+ROUND(AT127*Z$3/12,2),2))</f>
      </c>
      <c r="G128" s="33">
        <f>IF(AU127&lt;=0,0,ROUND(AU127+ROUND(AU127*AA$3/12,2),2))</f>
      </c>
      <c r="H128" s="33">
        <f>IF(AV127&lt;=0,0,ROUND(AV127+ROUND(AV127*AB$3/12,2),2))</f>
      </c>
      <c r="I128" s="33">
        <f>IF(AW127&lt;=0,0,ROUND(AW127+ROUND(AW127*AC$3/12,2),2))</f>
      </c>
      <c r="J128" s="33">
        <f>IF(AX127&lt;=0,0,ROUND(AX127+ROUND(AX127*AD$3/12,2),2))</f>
      </c>
      <c r="K128" s="33">
        <f>IF(AY127&lt;=0,0,ROUND(AY127+ROUND(AY127*AE$3/12,2),2))</f>
      </c>
      <c r="L128" s="33">
        <f>ROUND(MIN(MAX(0,N('Your debts'!$E$6)),B128),2)</f>
      </c>
      <c r="M128" s="33">
        <f>ROUND(MIN(MAX(0,N('Your debts'!$E$7)),C128),2)</f>
      </c>
      <c r="N128" s="33">
        <f>ROUND(MIN(MAX(0,N('Your debts'!$E$8)),D128),2)</f>
      </c>
      <c r="O128" s="33">
        <f>ROUND(MIN(MAX(0,N('Your debts'!$E$9)),E128),2)</f>
      </c>
      <c r="P128" s="33">
        <f>ROUND(MIN(MAX(0,N('Your debts'!$E$10)),F128),2)</f>
      </c>
      <c r="Q128" s="33">
        <f>ROUND(MIN(MAX(0,N('Your debts'!$E$11)),G128),2)</f>
      </c>
      <c r="R128" s="33">
        <f>ROUND(MIN(MAX(0,N('Your debts'!$E$12)),H128),2)</f>
      </c>
      <c r="S128" s="33">
        <f>ROUND(MIN(MAX(0,N('Your debts'!$E$13)),I128),2)</f>
      </c>
      <c r="T128" s="33">
        <f>ROUND(MIN(MAX(0,N('Your debts'!$E$14)),J128),2)</f>
      </c>
      <c r="U128" s="33">
        <f>ROUND(MIN(MAX(0,N('Your debts'!$E$15)),K128),2)</f>
      </c>
      <c r="V128" s="33">
        <f>ROUND(B128-L128,2)</f>
      </c>
      <c r="W128" s="33">
        <f>ROUND(C128-M128,2)</f>
      </c>
      <c r="X128" s="33">
        <f>ROUND(D128-N128,2)</f>
      </c>
      <c r="Y128" s="33">
        <f>ROUND(E128-O128,2)</f>
      </c>
      <c r="Z128" s="33">
        <f>ROUND(F128-P128,2)</f>
      </c>
      <c r="AA128" s="33">
        <f>ROUND(G128-Q128,2)</f>
      </c>
      <c r="AB128" s="33">
        <f>ROUND(H128-R128,2)</f>
      </c>
      <c r="AC128" s="33">
        <f>ROUND(I128-S128,2)</f>
      </c>
      <c r="AD128" s="33">
        <f>ROUND(J128-T128,2)</f>
      </c>
      <c r="AE128" s="33">
        <f>ROUND(K128-U128,2)</f>
      </c>
      <c r="AF128" s="33">
        <f>IF(V128&lt;=0,0,MAX(0,MIN(V128,ROUND($AZ128-SUMPRODUCT($V128:$AE128*($V128:$AE128&gt;0)*(($V$3:$AE$3&gt;V$3)+($V$3:$AE$3=V$3)*($V128:$AE128&lt;V128)+($V$3:$AE$3=V$3)*($V128:$AE128=V128)*($V$2:$AE$2&lt;V$2))),2))))</f>
      </c>
      <c r="AG128" s="33">
        <f>IF(W128&lt;=0,0,MAX(0,MIN(W128,ROUND($AZ128-SUMPRODUCT($V128:$AE128*($V128:$AE128&gt;0)*(($V$3:$AE$3&gt;W$3)+($V$3:$AE$3=W$3)*($V128:$AE128&lt;W128)+($V$3:$AE$3=W$3)*($V128:$AE128=W128)*($V$2:$AE$2&lt;W$2))),2))))</f>
      </c>
      <c r="AH128" s="33">
        <f>IF(X128&lt;=0,0,MAX(0,MIN(X128,ROUND($AZ128-SUMPRODUCT($V128:$AE128*($V128:$AE128&gt;0)*(($V$3:$AE$3&gt;X$3)+($V$3:$AE$3=X$3)*($V128:$AE128&lt;X128)+($V$3:$AE$3=X$3)*($V128:$AE128=X128)*($V$2:$AE$2&lt;X$2))),2))))</f>
      </c>
      <c r="AI128" s="33">
        <f>IF(Y128&lt;=0,0,MAX(0,MIN(Y128,ROUND($AZ128-SUMPRODUCT($V128:$AE128*($V128:$AE128&gt;0)*(($V$3:$AE$3&gt;Y$3)+($V$3:$AE$3=Y$3)*($V128:$AE128&lt;Y128)+($V$3:$AE$3=Y$3)*($V128:$AE128=Y128)*($V$2:$AE$2&lt;Y$2))),2))))</f>
      </c>
      <c r="AJ128" s="33">
        <f>IF(Z128&lt;=0,0,MAX(0,MIN(Z128,ROUND($AZ128-SUMPRODUCT($V128:$AE128*($V128:$AE128&gt;0)*(($V$3:$AE$3&gt;Z$3)+($V$3:$AE$3=Z$3)*($V128:$AE128&lt;Z128)+($V$3:$AE$3=Z$3)*($V128:$AE128=Z128)*($V$2:$AE$2&lt;Z$2))),2))))</f>
      </c>
      <c r="AK128" s="33">
        <f>IF(AA128&lt;=0,0,MAX(0,MIN(AA128,ROUND($AZ128-SUMPRODUCT($V128:$AE128*($V128:$AE128&gt;0)*(($V$3:$AE$3&gt;AA$3)+($V$3:$AE$3=AA$3)*($V128:$AE128&lt;AA128)+($V$3:$AE$3=AA$3)*($V128:$AE128=AA128)*($V$2:$AE$2&lt;AA$2))),2))))</f>
      </c>
      <c r="AL128" s="33">
        <f>IF(AB128&lt;=0,0,MAX(0,MIN(AB128,ROUND($AZ128-SUMPRODUCT($V128:$AE128*($V128:$AE128&gt;0)*(($V$3:$AE$3&gt;AB$3)+($V$3:$AE$3=AB$3)*($V128:$AE128&lt;AB128)+($V$3:$AE$3=AB$3)*($V128:$AE128=AB128)*($V$2:$AE$2&lt;AB$2))),2))))</f>
      </c>
      <c r="AM128" s="33">
        <f>IF(AC128&lt;=0,0,MAX(0,MIN(AC128,ROUND($AZ128-SUMPRODUCT($V128:$AE128*($V128:$AE128&gt;0)*(($V$3:$AE$3&gt;AC$3)+($V$3:$AE$3=AC$3)*($V128:$AE128&lt;AC128)+($V$3:$AE$3=AC$3)*($V128:$AE128=AC128)*($V$2:$AE$2&lt;AC$2))),2))))</f>
      </c>
      <c r="AN128" s="33">
        <f>IF(AD128&lt;=0,0,MAX(0,MIN(AD128,ROUND($AZ128-SUMPRODUCT($V128:$AE128*($V128:$AE128&gt;0)*(($V$3:$AE$3&gt;AD$3)+($V$3:$AE$3=AD$3)*($V128:$AE128&lt;AD128)+($V$3:$AE$3=AD$3)*($V128:$AE128=AD128)*($V$2:$AE$2&lt;AD$2))),2))))</f>
      </c>
      <c r="AO128" s="33">
        <f>IF(AE128&lt;=0,0,MAX(0,MIN(AE128,ROUND($AZ128-SUMPRODUCT($V128:$AE128*($V128:$AE128&gt;0)*(($V$3:$AE$3&gt;AE$3)+($V$3:$AE$3=AE$3)*($V128:$AE128&lt;AE128)+($V$3:$AE$3=AE$3)*($V128:$AE128=AE128)*($V$2:$AE$2&lt;AE$2))),2))))</f>
      </c>
      <c r="AP128" s="33">
        <f>ROUND(V128-AF128,2)</f>
      </c>
      <c r="AQ128" s="33">
        <f>ROUND(W128-AG128,2)</f>
      </c>
      <c r="AR128" s="33">
        <f>ROUND(X128-AH128,2)</f>
      </c>
      <c r="AS128" s="33">
        <f>ROUND(Y128-AI128,2)</f>
      </c>
      <c r="AT128" s="33">
        <f>ROUND(Z128-AJ128,2)</f>
      </c>
      <c r="AU128" s="33">
        <f>ROUND(AA128-AK128,2)</f>
      </c>
      <c r="AV128" s="33">
        <f>ROUND(AB128-AL128,2)</f>
      </c>
      <c r="AW128" s="33">
        <f>ROUND(AC128-AM128,2)</f>
      </c>
      <c r="AX128" s="33">
        <f>ROUND(AD128-AN128,2)</f>
      </c>
      <c r="AY128" s="33">
        <f>ROUND(AE128-AO128,2)</f>
      </c>
      <c r="AZ128" s="33">
        <f>ROUND(MAX(0,'Your debts'!$D$22-SUM($L128:$U128)),2)</f>
      </c>
      <c r="BA128" s="33">
        <f>ROUND(SUM($B128:$K128)-SUM($AP127:$AY127),2)</f>
      </c>
      <c r="BB128" s="33">
        <f>SUM($AP128:$AY128)</f>
      </c>
      <c r="BC128" s="33">
        <f>ROUND(SUM($L128:$U128)+SUM($AF128:$AO128),2)</f>
      </c>
    </row>
    <row r="129" spans="1:55" x14ac:dyDescent="0.25">
      <c r="A129">
        <v>122</v>
      </c>
      <c r="B129" s="33">
        <f>IF(AP128&lt;=0,0,ROUND(AP128+ROUND(AP128*V$3/12,2),2))</f>
      </c>
      <c r="C129" s="33">
        <f>IF(AQ128&lt;=0,0,ROUND(AQ128+ROUND(AQ128*W$3/12,2),2))</f>
      </c>
      <c r="D129" s="33">
        <f>IF(AR128&lt;=0,0,ROUND(AR128+ROUND(AR128*X$3/12,2),2))</f>
      </c>
      <c r="E129" s="33">
        <f>IF(AS128&lt;=0,0,ROUND(AS128+ROUND(AS128*Y$3/12,2),2))</f>
      </c>
      <c r="F129" s="33">
        <f>IF(AT128&lt;=0,0,ROUND(AT128+ROUND(AT128*Z$3/12,2),2))</f>
      </c>
      <c r="G129" s="33">
        <f>IF(AU128&lt;=0,0,ROUND(AU128+ROUND(AU128*AA$3/12,2),2))</f>
      </c>
      <c r="H129" s="33">
        <f>IF(AV128&lt;=0,0,ROUND(AV128+ROUND(AV128*AB$3/12,2),2))</f>
      </c>
      <c r="I129" s="33">
        <f>IF(AW128&lt;=0,0,ROUND(AW128+ROUND(AW128*AC$3/12,2),2))</f>
      </c>
      <c r="J129" s="33">
        <f>IF(AX128&lt;=0,0,ROUND(AX128+ROUND(AX128*AD$3/12,2),2))</f>
      </c>
      <c r="K129" s="33">
        <f>IF(AY128&lt;=0,0,ROUND(AY128+ROUND(AY128*AE$3/12,2),2))</f>
      </c>
      <c r="L129" s="33">
        <f>ROUND(MIN(MAX(0,N('Your debts'!$E$6)),B129),2)</f>
      </c>
      <c r="M129" s="33">
        <f>ROUND(MIN(MAX(0,N('Your debts'!$E$7)),C129),2)</f>
      </c>
      <c r="N129" s="33">
        <f>ROUND(MIN(MAX(0,N('Your debts'!$E$8)),D129),2)</f>
      </c>
      <c r="O129" s="33">
        <f>ROUND(MIN(MAX(0,N('Your debts'!$E$9)),E129),2)</f>
      </c>
      <c r="P129" s="33">
        <f>ROUND(MIN(MAX(0,N('Your debts'!$E$10)),F129),2)</f>
      </c>
      <c r="Q129" s="33">
        <f>ROUND(MIN(MAX(0,N('Your debts'!$E$11)),G129),2)</f>
      </c>
      <c r="R129" s="33">
        <f>ROUND(MIN(MAX(0,N('Your debts'!$E$12)),H129),2)</f>
      </c>
      <c r="S129" s="33">
        <f>ROUND(MIN(MAX(0,N('Your debts'!$E$13)),I129),2)</f>
      </c>
      <c r="T129" s="33">
        <f>ROUND(MIN(MAX(0,N('Your debts'!$E$14)),J129),2)</f>
      </c>
      <c r="U129" s="33">
        <f>ROUND(MIN(MAX(0,N('Your debts'!$E$15)),K129),2)</f>
      </c>
      <c r="V129" s="33">
        <f>ROUND(B129-L129,2)</f>
      </c>
      <c r="W129" s="33">
        <f>ROUND(C129-M129,2)</f>
      </c>
      <c r="X129" s="33">
        <f>ROUND(D129-N129,2)</f>
      </c>
      <c r="Y129" s="33">
        <f>ROUND(E129-O129,2)</f>
      </c>
      <c r="Z129" s="33">
        <f>ROUND(F129-P129,2)</f>
      </c>
      <c r="AA129" s="33">
        <f>ROUND(G129-Q129,2)</f>
      </c>
      <c r="AB129" s="33">
        <f>ROUND(H129-R129,2)</f>
      </c>
      <c r="AC129" s="33">
        <f>ROUND(I129-S129,2)</f>
      </c>
      <c r="AD129" s="33">
        <f>ROUND(J129-T129,2)</f>
      </c>
      <c r="AE129" s="33">
        <f>ROUND(K129-U129,2)</f>
      </c>
      <c r="AF129" s="33">
        <f>IF(V129&lt;=0,0,MAX(0,MIN(V129,ROUND($AZ129-SUMPRODUCT($V129:$AE129*($V129:$AE129&gt;0)*(($V$3:$AE$3&gt;V$3)+($V$3:$AE$3=V$3)*($V129:$AE129&lt;V129)+($V$3:$AE$3=V$3)*($V129:$AE129=V129)*($V$2:$AE$2&lt;V$2))),2))))</f>
      </c>
      <c r="AG129" s="33">
        <f>IF(W129&lt;=0,0,MAX(0,MIN(W129,ROUND($AZ129-SUMPRODUCT($V129:$AE129*($V129:$AE129&gt;0)*(($V$3:$AE$3&gt;W$3)+($V$3:$AE$3=W$3)*($V129:$AE129&lt;W129)+($V$3:$AE$3=W$3)*($V129:$AE129=W129)*($V$2:$AE$2&lt;W$2))),2))))</f>
      </c>
      <c r="AH129" s="33">
        <f>IF(X129&lt;=0,0,MAX(0,MIN(X129,ROUND($AZ129-SUMPRODUCT($V129:$AE129*($V129:$AE129&gt;0)*(($V$3:$AE$3&gt;X$3)+($V$3:$AE$3=X$3)*($V129:$AE129&lt;X129)+($V$3:$AE$3=X$3)*($V129:$AE129=X129)*($V$2:$AE$2&lt;X$2))),2))))</f>
      </c>
      <c r="AI129" s="33">
        <f>IF(Y129&lt;=0,0,MAX(0,MIN(Y129,ROUND($AZ129-SUMPRODUCT($V129:$AE129*($V129:$AE129&gt;0)*(($V$3:$AE$3&gt;Y$3)+($V$3:$AE$3=Y$3)*($V129:$AE129&lt;Y129)+($V$3:$AE$3=Y$3)*($V129:$AE129=Y129)*($V$2:$AE$2&lt;Y$2))),2))))</f>
      </c>
      <c r="AJ129" s="33">
        <f>IF(Z129&lt;=0,0,MAX(0,MIN(Z129,ROUND($AZ129-SUMPRODUCT($V129:$AE129*($V129:$AE129&gt;0)*(($V$3:$AE$3&gt;Z$3)+($V$3:$AE$3=Z$3)*($V129:$AE129&lt;Z129)+($V$3:$AE$3=Z$3)*($V129:$AE129=Z129)*($V$2:$AE$2&lt;Z$2))),2))))</f>
      </c>
      <c r="AK129" s="33">
        <f>IF(AA129&lt;=0,0,MAX(0,MIN(AA129,ROUND($AZ129-SUMPRODUCT($V129:$AE129*($V129:$AE129&gt;0)*(($V$3:$AE$3&gt;AA$3)+($V$3:$AE$3=AA$3)*($V129:$AE129&lt;AA129)+($V$3:$AE$3=AA$3)*($V129:$AE129=AA129)*($V$2:$AE$2&lt;AA$2))),2))))</f>
      </c>
      <c r="AL129" s="33">
        <f>IF(AB129&lt;=0,0,MAX(0,MIN(AB129,ROUND($AZ129-SUMPRODUCT($V129:$AE129*($V129:$AE129&gt;0)*(($V$3:$AE$3&gt;AB$3)+($V$3:$AE$3=AB$3)*($V129:$AE129&lt;AB129)+($V$3:$AE$3=AB$3)*($V129:$AE129=AB129)*($V$2:$AE$2&lt;AB$2))),2))))</f>
      </c>
      <c r="AM129" s="33">
        <f>IF(AC129&lt;=0,0,MAX(0,MIN(AC129,ROUND($AZ129-SUMPRODUCT($V129:$AE129*($V129:$AE129&gt;0)*(($V$3:$AE$3&gt;AC$3)+($V$3:$AE$3=AC$3)*($V129:$AE129&lt;AC129)+($V$3:$AE$3=AC$3)*($V129:$AE129=AC129)*($V$2:$AE$2&lt;AC$2))),2))))</f>
      </c>
      <c r="AN129" s="33">
        <f>IF(AD129&lt;=0,0,MAX(0,MIN(AD129,ROUND($AZ129-SUMPRODUCT($V129:$AE129*($V129:$AE129&gt;0)*(($V$3:$AE$3&gt;AD$3)+($V$3:$AE$3=AD$3)*($V129:$AE129&lt;AD129)+($V$3:$AE$3=AD$3)*($V129:$AE129=AD129)*($V$2:$AE$2&lt;AD$2))),2))))</f>
      </c>
      <c r="AO129" s="33">
        <f>IF(AE129&lt;=0,0,MAX(0,MIN(AE129,ROUND($AZ129-SUMPRODUCT($V129:$AE129*($V129:$AE129&gt;0)*(($V$3:$AE$3&gt;AE$3)+($V$3:$AE$3=AE$3)*($V129:$AE129&lt;AE129)+($V$3:$AE$3=AE$3)*($V129:$AE129=AE129)*($V$2:$AE$2&lt;AE$2))),2))))</f>
      </c>
      <c r="AP129" s="33">
        <f>ROUND(V129-AF129,2)</f>
      </c>
      <c r="AQ129" s="33">
        <f>ROUND(W129-AG129,2)</f>
      </c>
      <c r="AR129" s="33">
        <f>ROUND(X129-AH129,2)</f>
      </c>
      <c r="AS129" s="33">
        <f>ROUND(Y129-AI129,2)</f>
      </c>
      <c r="AT129" s="33">
        <f>ROUND(Z129-AJ129,2)</f>
      </c>
      <c r="AU129" s="33">
        <f>ROUND(AA129-AK129,2)</f>
      </c>
      <c r="AV129" s="33">
        <f>ROUND(AB129-AL129,2)</f>
      </c>
      <c r="AW129" s="33">
        <f>ROUND(AC129-AM129,2)</f>
      </c>
      <c r="AX129" s="33">
        <f>ROUND(AD129-AN129,2)</f>
      </c>
      <c r="AY129" s="33">
        <f>ROUND(AE129-AO129,2)</f>
      </c>
      <c r="AZ129" s="33">
        <f>ROUND(MAX(0,'Your debts'!$D$22-SUM($L129:$U129)),2)</f>
      </c>
      <c r="BA129" s="33">
        <f>ROUND(SUM($B129:$K129)-SUM($AP128:$AY128),2)</f>
      </c>
      <c r="BB129" s="33">
        <f>SUM($AP129:$AY129)</f>
      </c>
      <c r="BC129" s="33">
        <f>ROUND(SUM($L129:$U129)+SUM($AF129:$AO129),2)</f>
      </c>
    </row>
    <row r="130" spans="1:55" x14ac:dyDescent="0.25">
      <c r="A130">
        <v>123</v>
      </c>
      <c r="B130" s="33">
        <f>IF(AP129&lt;=0,0,ROUND(AP129+ROUND(AP129*V$3/12,2),2))</f>
      </c>
      <c r="C130" s="33">
        <f>IF(AQ129&lt;=0,0,ROUND(AQ129+ROUND(AQ129*W$3/12,2),2))</f>
      </c>
      <c r="D130" s="33">
        <f>IF(AR129&lt;=0,0,ROUND(AR129+ROUND(AR129*X$3/12,2),2))</f>
      </c>
      <c r="E130" s="33">
        <f>IF(AS129&lt;=0,0,ROUND(AS129+ROUND(AS129*Y$3/12,2),2))</f>
      </c>
      <c r="F130" s="33">
        <f>IF(AT129&lt;=0,0,ROUND(AT129+ROUND(AT129*Z$3/12,2),2))</f>
      </c>
      <c r="G130" s="33">
        <f>IF(AU129&lt;=0,0,ROUND(AU129+ROUND(AU129*AA$3/12,2),2))</f>
      </c>
      <c r="H130" s="33">
        <f>IF(AV129&lt;=0,0,ROUND(AV129+ROUND(AV129*AB$3/12,2),2))</f>
      </c>
      <c r="I130" s="33">
        <f>IF(AW129&lt;=0,0,ROUND(AW129+ROUND(AW129*AC$3/12,2),2))</f>
      </c>
      <c r="J130" s="33">
        <f>IF(AX129&lt;=0,0,ROUND(AX129+ROUND(AX129*AD$3/12,2),2))</f>
      </c>
      <c r="K130" s="33">
        <f>IF(AY129&lt;=0,0,ROUND(AY129+ROUND(AY129*AE$3/12,2),2))</f>
      </c>
      <c r="L130" s="33">
        <f>ROUND(MIN(MAX(0,N('Your debts'!$E$6)),B130),2)</f>
      </c>
      <c r="M130" s="33">
        <f>ROUND(MIN(MAX(0,N('Your debts'!$E$7)),C130),2)</f>
      </c>
      <c r="N130" s="33">
        <f>ROUND(MIN(MAX(0,N('Your debts'!$E$8)),D130),2)</f>
      </c>
      <c r="O130" s="33">
        <f>ROUND(MIN(MAX(0,N('Your debts'!$E$9)),E130),2)</f>
      </c>
      <c r="P130" s="33">
        <f>ROUND(MIN(MAX(0,N('Your debts'!$E$10)),F130),2)</f>
      </c>
      <c r="Q130" s="33">
        <f>ROUND(MIN(MAX(0,N('Your debts'!$E$11)),G130),2)</f>
      </c>
      <c r="R130" s="33">
        <f>ROUND(MIN(MAX(0,N('Your debts'!$E$12)),H130),2)</f>
      </c>
      <c r="S130" s="33">
        <f>ROUND(MIN(MAX(0,N('Your debts'!$E$13)),I130),2)</f>
      </c>
      <c r="T130" s="33">
        <f>ROUND(MIN(MAX(0,N('Your debts'!$E$14)),J130),2)</f>
      </c>
      <c r="U130" s="33">
        <f>ROUND(MIN(MAX(0,N('Your debts'!$E$15)),K130),2)</f>
      </c>
      <c r="V130" s="33">
        <f>ROUND(B130-L130,2)</f>
      </c>
      <c r="W130" s="33">
        <f>ROUND(C130-M130,2)</f>
      </c>
      <c r="X130" s="33">
        <f>ROUND(D130-N130,2)</f>
      </c>
      <c r="Y130" s="33">
        <f>ROUND(E130-O130,2)</f>
      </c>
      <c r="Z130" s="33">
        <f>ROUND(F130-P130,2)</f>
      </c>
      <c r="AA130" s="33">
        <f>ROUND(G130-Q130,2)</f>
      </c>
      <c r="AB130" s="33">
        <f>ROUND(H130-R130,2)</f>
      </c>
      <c r="AC130" s="33">
        <f>ROUND(I130-S130,2)</f>
      </c>
      <c r="AD130" s="33">
        <f>ROUND(J130-T130,2)</f>
      </c>
      <c r="AE130" s="33">
        <f>ROUND(K130-U130,2)</f>
      </c>
      <c r="AF130" s="33">
        <f>IF(V130&lt;=0,0,MAX(0,MIN(V130,ROUND($AZ130-SUMPRODUCT($V130:$AE130*($V130:$AE130&gt;0)*(($V$3:$AE$3&gt;V$3)+($V$3:$AE$3=V$3)*($V130:$AE130&lt;V130)+($V$3:$AE$3=V$3)*($V130:$AE130=V130)*($V$2:$AE$2&lt;V$2))),2))))</f>
      </c>
      <c r="AG130" s="33">
        <f>IF(W130&lt;=0,0,MAX(0,MIN(W130,ROUND($AZ130-SUMPRODUCT($V130:$AE130*($V130:$AE130&gt;0)*(($V$3:$AE$3&gt;W$3)+($V$3:$AE$3=W$3)*($V130:$AE130&lt;W130)+($V$3:$AE$3=W$3)*($V130:$AE130=W130)*($V$2:$AE$2&lt;W$2))),2))))</f>
      </c>
      <c r="AH130" s="33">
        <f>IF(X130&lt;=0,0,MAX(0,MIN(X130,ROUND($AZ130-SUMPRODUCT($V130:$AE130*($V130:$AE130&gt;0)*(($V$3:$AE$3&gt;X$3)+($V$3:$AE$3=X$3)*($V130:$AE130&lt;X130)+($V$3:$AE$3=X$3)*($V130:$AE130=X130)*($V$2:$AE$2&lt;X$2))),2))))</f>
      </c>
      <c r="AI130" s="33">
        <f>IF(Y130&lt;=0,0,MAX(0,MIN(Y130,ROUND($AZ130-SUMPRODUCT($V130:$AE130*($V130:$AE130&gt;0)*(($V$3:$AE$3&gt;Y$3)+($V$3:$AE$3=Y$3)*($V130:$AE130&lt;Y130)+($V$3:$AE$3=Y$3)*($V130:$AE130=Y130)*($V$2:$AE$2&lt;Y$2))),2))))</f>
      </c>
      <c r="AJ130" s="33">
        <f>IF(Z130&lt;=0,0,MAX(0,MIN(Z130,ROUND($AZ130-SUMPRODUCT($V130:$AE130*($V130:$AE130&gt;0)*(($V$3:$AE$3&gt;Z$3)+($V$3:$AE$3=Z$3)*($V130:$AE130&lt;Z130)+($V$3:$AE$3=Z$3)*($V130:$AE130=Z130)*($V$2:$AE$2&lt;Z$2))),2))))</f>
      </c>
      <c r="AK130" s="33">
        <f>IF(AA130&lt;=0,0,MAX(0,MIN(AA130,ROUND($AZ130-SUMPRODUCT($V130:$AE130*($V130:$AE130&gt;0)*(($V$3:$AE$3&gt;AA$3)+($V$3:$AE$3=AA$3)*($V130:$AE130&lt;AA130)+($V$3:$AE$3=AA$3)*($V130:$AE130=AA130)*($V$2:$AE$2&lt;AA$2))),2))))</f>
      </c>
      <c r="AL130" s="33">
        <f>IF(AB130&lt;=0,0,MAX(0,MIN(AB130,ROUND($AZ130-SUMPRODUCT($V130:$AE130*($V130:$AE130&gt;0)*(($V$3:$AE$3&gt;AB$3)+($V$3:$AE$3=AB$3)*($V130:$AE130&lt;AB130)+($V$3:$AE$3=AB$3)*($V130:$AE130=AB130)*($V$2:$AE$2&lt;AB$2))),2))))</f>
      </c>
      <c r="AM130" s="33">
        <f>IF(AC130&lt;=0,0,MAX(0,MIN(AC130,ROUND($AZ130-SUMPRODUCT($V130:$AE130*($V130:$AE130&gt;0)*(($V$3:$AE$3&gt;AC$3)+($V$3:$AE$3=AC$3)*($V130:$AE130&lt;AC130)+($V$3:$AE$3=AC$3)*($V130:$AE130=AC130)*($V$2:$AE$2&lt;AC$2))),2))))</f>
      </c>
      <c r="AN130" s="33">
        <f>IF(AD130&lt;=0,0,MAX(0,MIN(AD130,ROUND($AZ130-SUMPRODUCT($V130:$AE130*($V130:$AE130&gt;0)*(($V$3:$AE$3&gt;AD$3)+($V$3:$AE$3=AD$3)*($V130:$AE130&lt;AD130)+($V$3:$AE$3=AD$3)*($V130:$AE130=AD130)*($V$2:$AE$2&lt;AD$2))),2))))</f>
      </c>
      <c r="AO130" s="33">
        <f>IF(AE130&lt;=0,0,MAX(0,MIN(AE130,ROUND($AZ130-SUMPRODUCT($V130:$AE130*($V130:$AE130&gt;0)*(($V$3:$AE$3&gt;AE$3)+($V$3:$AE$3=AE$3)*($V130:$AE130&lt;AE130)+($V$3:$AE$3=AE$3)*($V130:$AE130=AE130)*($V$2:$AE$2&lt;AE$2))),2))))</f>
      </c>
      <c r="AP130" s="33">
        <f>ROUND(V130-AF130,2)</f>
      </c>
      <c r="AQ130" s="33">
        <f>ROUND(W130-AG130,2)</f>
      </c>
      <c r="AR130" s="33">
        <f>ROUND(X130-AH130,2)</f>
      </c>
      <c r="AS130" s="33">
        <f>ROUND(Y130-AI130,2)</f>
      </c>
      <c r="AT130" s="33">
        <f>ROUND(Z130-AJ130,2)</f>
      </c>
      <c r="AU130" s="33">
        <f>ROUND(AA130-AK130,2)</f>
      </c>
      <c r="AV130" s="33">
        <f>ROUND(AB130-AL130,2)</f>
      </c>
      <c r="AW130" s="33">
        <f>ROUND(AC130-AM130,2)</f>
      </c>
      <c r="AX130" s="33">
        <f>ROUND(AD130-AN130,2)</f>
      </c>
      <c r="AY130" s="33">
        <f>ROUND(AE130-AO130,2)</f>
      </c>
      <c r="AZ130" s="33">
        <f>ROUND(MAX(0,'Your debts'!$D$22-SUM($L130:$U130)),2)</f>
      </c>
      <c r="BA130" s="33">
        <f>ROUND(SUM($B130:$K130)-SUM($AP129:$AY129),2)</f>
      </c>
      <c r="BB130" s="33">
        <f>SUM($AP130:$AY130)</f>
      </c>
      <c r="BC130" s="33">
        <f>ROUND(SUM($L130:$U130)+SUM($AF130:$AO130),2)</f>
      </c>
    </row>
    <row r="131" spans="1:55" x14ac:dyDescent="0.25">
      <c r="A131">
        <v>124</v>
      </c>
      <c r="B131" s="33">
        <f>IF(AP130&lt;=0,0,ROUND(AP130+ROUND(AP130*V$3/12,2),2))</f>
      </c>
      <c r="C131" s="33">
        <f>IF(AQ130&lt;=0,0,ROUND(AQ130+ROUND(AQ130*W$3/12,2),2))</f>
      </c>
      <c r="D131" s="33">
        <f>IF(AR130&lt;=0,0,ROUND(AR130+ROUND(AR130*X$3/12,2),2))</f>
      </c>
      <c r="E131" s="33">
        <f>IF(AS130&lt;=0,0,ROUND(AS130+ROUND(AS130*Y$3/12,2),2))</f>
      </c>
      <c r="F131" s="33">
        <f>IF(AT130&lt;=0,0,ROUND(AT130+ROUND(AT130*Z$3/12,2),2))</f>
      </c>
      <c r="G131" s="33">
        <f>IF(AU130&lt;=0,0,ROUND(AU130+ROUND(AU130*AA$3/12,2),2))</f>
      </c>
      <c r="H131" s="33">
        <f>IF(AV130&lt;=0,0,ROUND(AV130+ROUND(AV130*AB$3/12,2),2))</f>
      </c>
      <c r="I131" s="33">
        <f>IF(AW130&lt;=0,0,ROUND(AW130+ROUND(AW130*AC$3/12,2),2))</f>
      </c>
      <c r="J131" s="33">
        <f>IF(AX130&lt;=0,0,ROUND(AX130+ROUND(AX130*AD$3/12,2),2))</f>
      </c>
      <c r="K131" s="33">
        <f>IF(AY130&lt;=0,0,ROUND(AY130+ROUND(AY130*AE$3/12,2),2))</f>
      </c>
      <c r="L131" s="33">
        <f>ROUND(MIN(MAX(0,N('Your debts'!$E$6)),B131),2)</f>
      </c>
      <c r="M131" s="33">
        <f>ROUND(MIN(MAX(0,N('Your debts'!$E$7)),C131),2)</f>
      </c>
      <c r="N131" s="33">
        <f>ROUND(MIN(MAX(0,N('Your debts'!$E$8)),D131),2)</f>
      </c>
      <c r="O131" s="33">
        <f>ROUND(MIN(MAX(0,N('Your debts'!$E$9)),E131),2)</f>
      </c>
      <c r="P131" s="33">
        <f>ROUND(MIN(MAX(0,N('Your debts'!$E$10)),F131),2)</f>
      </c>
      <c r="Q131" s="33">
        <f>ROUND(MIN(MAX(0,N('Your debts'!$E$11)),G131),2)</f>
      </c>
      <c r="R131" s="33">
        <f>ROUND(MIN(MAX(0,N('Your debts'!$E$12)),H131),2)</f>
      </c>
      <c r="S131" s="33">
        <f>ROUND(MIN(MAX(0,N('Your debts'!$E$13)),I131),2)</f>
      </c>
      <c r="T131" s="33">
        <f>ROUND(MIN(MAX(0,N('Your debts'!$E$14)),J131),2)</f>
      </c>
      <c r="U131" s="33">
        <f>ROUND(MIN(MAX(0,N('Your debts'!$E$15)),K131),2)</f>
      </c>
      <c r="V131" s="33">
        <f>ROUND(B131-L131,2)</f>
      </c>
      <c r="W131" s="33">
        <f>ROUND(C131-M131,2)</f>
      </c>
      <c r="X131" s="33">
        <f>ROUND(D131-N131,2)</f>
      </c>
      <c r="Y131" s="33">
        <f>ROUND(E131-O131,2)</f>
      </c>
      <c r="Z131" s="33">
        <f>ROUND(F131-P131,2)</f>
      </c>
      <c r="AA131" s="33">
        <f>ROUND(G131-Q131,2)</f>
      </c>
      <c r="AB131" s="33">
        <f>ROUND(H131-R131,2)</f>
      </c>
      <c r="AC131" s="33">
        <f>ROUND(I131-S131,2)</f>
      </c>
      <c r="AD131" s="33">
        <f>ROUND(J131-T131,2)</f>
      </c>
      <c r="AE131" s="33">
        <f>ROUND(K131-U131,2)</f>
      </c>
      <c r="AF131" s="33">
        <f>IF(V131&lt;=0,0,MAX(0,MIN(V131,ROUND($AZ131-SUMPRODUCT($V131:$AE131*($V131:$AE131&gt;0)*(($V$3:$AE$3&gt;V$3)+($V$3:$AE$3=V$3)*($V131:$AE131&lt;V131)+($V$3:$AE$3=V$3)*($V131:$AE131=V131)*($V$2:$AE$2&lt;V$2))),2))))</f>
      </c>
      <c r="AG131" s="33">
        <f>IF(W131&lt;=0,0,MAX(0,MIN(W131,ROUND($AZ131-SUMPRODUCT($V131:$AE131*($V131:$AE131&gt;0)*(($V$3:$AE$3&gt;W$3)+($V$3:$AE$3=W$3)*($V131:$AE131&lt;W131)+($V$3:$AE$3=W$3)*($V131:$AE131=W131)*($V$2:$AE$2&lt;W$2))),2))))</f>
      </c>
      <c r="AH131" s="33">
        <f>IF(X131&lt;=0,0,MAX(0,MIN(X131,ROUND($AZ131-SUMPRODUCT($V131:$AE131*($V131:$AE131&gt;0)*(($V$3:$AE$3&gt;X$3)+($V$3:$AE$3=X$3)*($V131:$AE131&lt;X131)+($V$3:$AE$3=X$3)*($V131:$AE131=X131)*($V$2:$AE$2&lt;X$2))),2))))</f>
      </c>
      <c r="AI131" s="33">
        <f>IF(Y131&lt;=0,0,MAX(0,MIN(Y131,ROUND($AZ131-SUMPRODUCT($V131:$AE131*($V131:$AE131&gt;0)*(($V$3:$AE$3&gt;Y$3)+($V$3:$AE$3=Y$3)*($V131:$AE131&lt;Y131)+($V$3:$AE$3=Y$3)*($V131:$AE131=Y131)*($V$2:$AE$2&lt;Y$2))),2))))</f>
      </c>
      <c r="AJ131" s="33">
        <f>IF(Z131&lt;=0,0,MAX(0,MIN(Z131,ROUND($AZ131-SUMPRODUCT($V131:$AE131*($V131:$AE131&gt;0)*(($V$3:$AE$3&gt;Z$3)+($V$3:$AE$3=Z$3)*($V131:$AE131&lt;Z131)+($V$3:$AE$3=Z$3)*($V131:$AE131=Z131)*($V$2:$AE$2&lt;Z$2))),2))))</f>
      </c>
      <c r="AK131" s="33">
        <f>IF(AA131&lt;=0,0,MAX(0,MIN(AA131,ROUND($AZ131-SUMPRODUCT($V131:$AE131*($V131:$AE131&gt;0)*(($V$3:$AE$3&gt;AA$3)+($V$3:$AE$3=AA$3)*($V131:$AE131&lt;AA131)+($V$3:$AE$3=AA$3)*($V131:$AE131=AA131)*($V$2:$AE$2&lt;AA$2))),2))))</f>
      </c>
      <c r="AL131" s="33">
        <f>IF(AB131&lt;=0,0,MAX(0,MIN(AB131,ROUND($AZ131-SUMPRODUCT($V131:$AE131*($V131:$AE131&gt;0)*(($V$3:$AE$3&gt;AB$3)+($V$3:$AE$3=AB$3)*($V131:$AE131&lt;AB131)+($V$3:$AE$3=AB$3)*($V131:$AE131=AB131)*($V$2:$AE$2&lt;AB$2))),2))))</f>
      </c>
      <c r="AM131" s="33">
        <f>IF(AC131&lt;=0,0,MAX(0,MIN(AC131,ROUND($AZ131-SUMPRODUCT($V131:$AE131*($V131:$AE131&gt;0)*(($V$3:$AE$3&gt;AC$3)+($V$3:$AE$3=AC$3)*($V131:$AE131&lt;AC131)+($V$3:$AE$3=AC$3)*($V131:$AE131=AC131)*($V$2:$AE$2&lt;AC$2))),2))))</f>
      </c>
      <c r="AN131" s="33">
        <f>IF(AD131&lt;=0,0,MAX(0,MIN(AD131,ROUND($AZ131-SUMPRODUCT($V131:$AE131*($V131:$AE131&gt;0)*(($V$3:$AE$3&gt;AD$3)+($V$3:$AE$3=AD$3)*($V131:$AE131&lt;AD131)+($V$3:$AE$3=AD$3)*($V131:$AE131=AD131)*($V$2:$AE$2&lt;AD$2))),2))))</f>
      </c>
      <c r="AO131" s="33">
        <f>IF(AE131&lt;=0,0,MAX(0,MIN(AE131,ROUND($AZ131-SUMPRODUCT($V131:$AE131*($V131:$AE131&gt;0)*(($V$3:$AE$3&gt;AE$3)+($V$3:$AE$3=AE$3)*($V131:$AE131&lt;AE131)+($V$3:$AE$3=AE$3)*($V131:$AE131=AE131)*($V$2:$AE$2&lt;AE$2))),2))))</f>
      </c>
      <c r="AP131" s="33">
        <f>ROUND(V131-AF131,2)</f>
      </c>
      <c r="AQ131" s="33">
        <f>ROUND(W131-AG131,2)</f>
      </c>
      <c r="AR131" s="33">
        <f>ROUND(X131-AH131,2)</f>
      </c>
      <c r="AS131" s="33">
        <f>ROUND(Y131-AI131,2)</f>
      </c>
      <c r="AT131" s="33">
        <f>ROUND(Z131-AJ131,2)</f>
      </c>
      <c r="AU131" s="33">
        <f>ROUND(AA131-AK131,2)</f>
      </c>
      <c r="AV131" s="33">
        <f>ROUND(AB131-AL131,2)</f>
      </c>
      <c r="AW131" s="33">
        <f>ROUND(AC131-AM131,2)</f>
      </c>
      <c r="AX131" s="33">
        <f>ROUND(AD131-AN131,2)</f>
      </c>
      <c r="AY131" s="33">
        <f>ROUND(AE131-AO131,2)</f>
      </c>
      <c r="AZ131" s="33">
        <f>ROUND(MAX(0,'Your debts'!$D$22-SUM($L131:$U131)),2)</f>
      </c>
      <c r="BA131" s="33">
        <f>ROUND(SUM($B131:$K131)-SUM($AP130:$AY130),2)</f>
      </c>
      <c r="BB131" s="33">
        <f>SUM($AP131:$AY131)</f>
      </c>
      <c r="BC131" s="33">
        <f>ROUND(SUM($L131:$U131)+SUM($AF131:$AO131),2)</f>
      </c>
    </row>
    <row r="132" spans="1:55" x14ac:dyDescent="0.25">
      <c r="A132">
        <v>125</v>
      </c>
      <c r="B132" s="33">
        <f>IF(AP131&lt;=0,0,ROUND(AP131+ROUND(AP131*V$3/12,2),2))</f>
      </c>
      <c r="C132" s="33">
        <f>IF(AQ131&lt;=0,0,ROUND(AQ131+ROUND(AQ131*W$3/12,2),2))</f>
      </c>
      <c r="D132" s="33">
        <f>IF(AR131&lt;=0,0,ROUND(AR131+ROUND(AR131*X$3/12,2),2))</f>
      </c>
      <c r="E132" s="33">
        <f>IF(AS131&lt;=0,0,ROUND(AS131+ROUND(AS131*Y$3/12,2),2))</f>
      </c>
      <c r="F132" s="33">
        <f>IF(AT131&lt;=0,0,ROUND(AT131+ROUND(AT131*Z$3/12,2),2))</f>
      </c>
      <c r="G132" s="33">
        <f>IF(AU131&lt;=0,0,ROUND(AU131+ROUND(AU131*AA$3/12,2),2))</f>
      </c>
      <c r="H132" s="33">
        <f>IF(AV131&lt;=0,0,ROUND(AV131+ROUND(AV131*AB$3/12,2),2))</f>
      </c>
      <c r="I132" s="33">
        <f>IF(AW131&lt;=0,0,ROUND(AW131+ROUND(AW131*AC$3/12,2),2))</f>
      </c>
      <c r="J132" s="33">
        <f>IF(AX131&lt;=0,0,ROUND(AX131+ROUND(AX131*AD$3/12,2),2))</f>
      </c>
      <c r="K132" s="33">
        <f>IF(AY131&lt;=0,0,ROUND(AY131+ROUND(AY131*AE$3/12,2),2))</f>
      </c>
      <c r="L132" s="33">
        <f>ROUND(MIN(MAX(0,N('Your debts'!$E$6)),B132),2)</f>
      </c>
      <c r="M132" s="33">
        <f>ROUND(MIN(MAX(0,N('Your debts'!$E$7)),C132),2)</f>
      </c>
      <c r="N132" s="33">
        <f>ROUND(MIN(MAX(0,N('Your debts'!$E$8)),D132),2)</f>
      </c>
      <c r="O132" s="33">
        <f>ROUND(MIN(MAX(0,N('Your debts'!$E$9)),E132),2)</f>
      </c>
      <c r="P132" s="33">
        <f>ROUND(MIN(MAX(0,N('Your debts'!$E$10)),F132),2)</f>
      </c>
      <c r="Q132" s="33">
        <f>ROUND(MIN(MAX(0,N('Your debts'!$E$11)),G132),2)</f>
      </c>
      <c r="R132" s="33">
        <f>ROUND(MIN(MAX(0,N('Your debts'!$E$12)),H132),2)</f>
      </c>
      <c r="S132" s="33">
        <f>ROUND(MIN(MAX(0,N('Your debts'!$E$13)),I132),2)</f>
      </c>
      <c r="T132" s="33">
        <f>ROUND(MIN(MAX(0,N('Your debts'!$E$14)),J132),2)</f>
      </c>
      <c r="U132" s="33">
        <f>ROUND(MIN(MAX(0,N('Your debts'!$E$15)),K132),2)</f>
      </c>
      <c r="V132" s="33">
        <f>ROUND(B132-L132,2)</f>
      </c>
      <c r="W132" s="33">
        <f>ROUND(C132-M132,2)</f>
      </c>
      <c r="X132" s="33">
        <f>ROUND(D132-N132,2)</f>
      </c>
      <c r="Y132" s="33">
        <f>ROUND(E132-O132,2)</f>
      </c>
      <c r="Z132" s="33">
        <f>ROUND(F132-P132,2)</f>
      </c>
      <c r="AA132" s="33">
        <f>ROUND(G132-Q132,2)</f>
      </c>
      <c r="AB132" s="33">
        <f>ROUND(H132-R132,2)</f>
      </c>
      <c r="AC132" s="33">
        <f>ROUND(I132-S132,2)</f>
      </c>
      <c r="AD132" s="33">
        <f>ROUND(J132-T132,2)</f>
      </c>
      <c r="AE132" s="33">
        <f>ROUND(K132-U132,2)</f>
      </c>
      <c r="AF132" s="33">
        <f>IF(V132&lt;=0,0,MAX(0,MIN(V132,ROUND($AZ132-SUMPRODUCT($V132:$AE132*($V132:$AE132&gt;0)*(($V$3:$AE$3&gt;V$3)+($V$3:$AE$3=V$3)*($V132:$AE132&lt;V132)+($V$3:$AE$3=V$3)*($V132:$AE132=V132)*($V$2:$AE$2&lt;V$2))),2))))</f>
      </c>
      <c r="AG132" s="33">
        <f>IF(W132&lt;=0,0,MAX(0,MIN(W132,ROUND($AZ132-SUMPRODUCT($V132:$AE132*($V132:$AE132&gt;0)*(($V$3:$AE$3&gt;W$3)+($V$3:$AE$3=W$3)*($V132:$AE132&lt;W132)+($V$3:$AE$3=W$3)*($V132:$AE132=W132)*($V$2:$AE$2&lt;W$2))),2))))</f>
      </c>
      <c r="AH132" s="33">
        <f>IF(X132&lt;=0,0,MAX(0,MIN(X132,ROUND($AZ132-SUMPRODUCT($V132:$AE132*($V132:$AE132&gt;0)*(($V$3:$AE$3&gt;X$3)+($V$3:$AE$3=X$3)*($V132:$AE132&lt;X132)+($V$3:$AE$3=X$3)*($V132:$AE132=X132)*($V$2:$AE$2&lt;X$2))),2))))</f>
      </c>
      <c r="AI132" s="33">
        <f>IF(Y132&lt;=0,0,MAX(0,MIN(Y132,ROUND($AZ132-SUMPRODUCT($V132:$AE132*($V132:$AE132&gt;0)*(($V$3:$AE$3&gt;Y$3)+($V$3:$AE$3=Y$3)*($V132:$AE132&lt;Y132)+($V$3:$AE$3=Y$3)*($V132:$AE132=Y132)*($V$2:$AE$2&lt;Y$2))),2))))</f>
      </c>
      <c r="AJ132" s="33">
        <f>IF(Z132&lt;=0,0,MAX(0,MIN(Z132,ROUND($AZ132-SUMPRODUCT($V132:$AE132*($V132:$AE132&gt;0)*(($V$3:$AE$3&gt;Z$3)+($V$3:$AE$3=Z$3)*($V132:$AE132&lt;Z132)+($V$3:$AE$3=Z$3)*($V132:$AE132=Z132)*($V$2:$AE$2&lt;Z$2))),2))))</f>
      </c>
      <c r="AK132" s="33">
        <f>IF(AA132&lt;=0,0,MAX(0,MIN(AA132,ROUND($AZ132-SUMPRODUCT($V132:$AE132*($V132:$AE132&gt;0)*(($V$3:$AE$3&gt;AA$3)+($V$3:$AE$3=AA$3)*($V132:$AE132&lt;AA132)+($V$3:$AE$3=AA$3)*($V132:$AE132=AA132)*($V$2:$AE$2&lt;AA$2))),2))))</f>
      </c>
      <c r="AL132" s="33">
        <f>IF(AB132&lt;=0,0,MAX(0,MIN(AB132,ROUND($AZ132-SUMPRODUCT($V132:$AE132*($V132:$AE132&gt;0)*(($V$3:$AE$3&gt;AB$3)+($V$3:$AE$3=AB$3)*($V132:$AE132&lt;AB132)+($V$3:$AE$3=AB$3)*($V132:$AE132=AB132)*($V$2:$AE$2&lt;AB$2))),2))))</f>
      </c>
      <c r="AM132" s="33">
        <f>IF(AC132&lt;=0,0,MAX(0,MIN(AC132,ROUND($AZ132-SUMPRODUCT($V132:$AE132*($V132:$AE132&gt;0)*(($V$3:$AE$3&gt;AC$3)+($V$3:$AE$3=AC$3)*($V132:$AE132&lt;AC132)+($V$3:$AE$3=AC$3)*($V132:$AE132=AC132)*($V$2:$AE$2&lt;AC$2))),2))))</f>
      </c>
      <c r="AN132" s="33">
        <f>IF(AD132&lt;=0,0,MAX(0,MIN(AD132,ROUND($AZ132-SUMPRODUCT($V132:$AE132*($V132:$AE132&gt;0)*(($V$3:$AE$3&gt;AD$3)+($V$3:$AE$3=AD$3)*($V132:$AE132&lt;AD132)+($V$3:$AE$3=AD$3)*($V132:$AE132=AD132)*($V$2:$AE$2&lt;AD$2))),2))))</f>
      </c>
      <c r="AO132" s="33">
        <f>IF(AE132&lt;=0,0,MAX(0,MIN(AE132,ROUND($AZ132-SUMPRODUCT($V132:$AE132*($V132:$AE132&gt;0)*(($V$3:$AE$3&gt;AE$3)+($V$3:$AE$3=AE$3)*($V132:$AE132&lt;AE132)+($V$3:$AE$3=AE$3)*($V132:$AE132=AE132)*($V$2:$AE$2&lt;AE$2))),2))))</f>
      </c>
      <c r="AP132" s="33">
        <f>ROUND(V132-AF132,2)</f>
      </c>
      <c r="AQ132" s="33">
        <f>ROUND(W132-AG132,2)</f>
      </c>
      <c r="AR132" s="33">
        <f>ROUND(X132-AH132,2)</f>
      </c>
      <c r="AS132" s="33">
        <f>ROUND(Y132-AI132,2)</f>
      </c>
      <c r="AT132" s="33">
        <f>ROUND(Z132-AJ132,2)</f>
      </c>
      <c r="AU132" s="33">
        <f>ROUND(AA132-AK132,2)</f>
      </c>
      <c r="AV132" s="33">
        <f>ROUND(AB132-AL132,2)</f>
      </c>
      <c r="AW132" s="33">
        <f>ROUND(AC132-AM132,2)</f>
      </c>
      <c r="AX132" s="33">
        <f>ROUND(AD132-AN132,2)</f>
      </c>
      <c r="AY132" s="33">
        <f>ROUND(AE132-AO132,2)</f>
      </c>
      <c r="AZ132" s="33">
        <f>ROUND(MAX(0,'Your debts'!$D$22-SUM($L132:$U132)),2)</f>
      </c>
      <c r="BA132" s="33">
        <f>ROUND(SUM($B132:$K132)-SUM($AP131:$AY131),2)</f>
      </c>
      <c r="BB132" s="33">
        <f>SUM($AP132:$AY132)</f>
      </c>
      <c r="BC132" s="33">
        <f>ROUND(SUM($L132:$U132)+SUM($AF132:$AO132),2)</f>
      </c>
    </row>
    <row r="133" spans="1:55" x14ac:dyDescent="0.25">
      <c r="A133">
        <v>126</v>
      </c>
      <c r="B133" s="33">
        <f>IF(AP132&lt;=0,0,ROUND(AP132+ROUND(AP132*V$3/12,2),2))</f>
      </c>
      <c r="C133" s="33">
        <f>IF(AQ132&lt;=0,0,ROUND(AQ132+ROUND(AQ132*W$3/12,2),2))</f>
      </c>
      <c r="D133" s="33">
        <f>IF(AR132&lt;=0,0,ROUND(AR132+ROUND(AR132*X$3/12,2),2))</f>
      </c>
      <c r="E133" s="33">
        <f>IF(AS132&lt;=0,0,ROUND(AS132+ROUND(AS132*Y$3/12,2),2))</f>
      </c>
      <c r="F133" s="33">
        <f>IF(AT132&lt;=0,0,ROUND(AT132+ROUND(AT132*Z$3/12,2),2))</f>
      </c>
      <c r="G133" s="33">
        <f>IF(AU132&lt;=0,0,ROUND(AU132+ROUND(AU132*AA$3/12,2),2))</f>
      </c>
      <c r="H133" s="33">
        <f>IF(AV132&lt;=0,0,ROUND(AV132+ROUND(AV132*AB$3/12,2),2))</f>
      </c>
      <c r="I133" s="33">
        <f>IF(AW132&lt;=0,0,ROUND(AW132+ROUND(AW132*AC$3/12,2),2))</f>
      </c>
      <c r="J133" s="33">
        <f>IF(AX132&lt;=0,0,ROUND(AX132+ROUND(AX132*AD$3/12,2),2))</f>
      </c>
      <c r="K133" s="33">
        <f>IF(AY132&lt;=0,0,ROUND(AY132+ROUND(AY132*AE$3/12,2),2))</f>
      </c>
      <c r="L133" s="33">
        <f>ROUND(MIN(MAX(0,N('Your debts'!$E$6)),B133),2)</f>
      </c>
      <c r="M133" s="33">
        <f>ROUND(MIN(MAX(0,N('Your debts'!$E$7)),C133),2)</f>
      </c>
      <c r="N133" s="33">
        <f>ROUND(MIN(MAX(0,N('Your debts'!$E$8)),D133),2)</f>
      </c>
      <c r="O133" s="33">
        <f>ROUND(MIN(MAX(0,N('Your debts'!$E$9)),E133),2)</f>
      </c>
      <c r="P133" s="33">
        <f>ROUND(MIN(MAX(0,N('Your debts'!$E$10)),F133),2)</f>
      </c>
      <c r="Q133" s="33">
        <f>ROUND(MIN(MAX(0,N('Your debts'!$E$11)),G133),2)</f>
      </c>
      <c r="R133" s="33">
        <f>ROUND(MIN(MAX(0,N('Your debts'!$E$12)),H133),2)</f>
      </c>
      <c r="S133" s="33">
        <f>ROUND(MIN(MAX(0,N('Your debts'!$E$13)),I133),2)</f>
      </c>
      <c r="T133" s="33">
        <f>ROUND(MIN(MAX(0,N('Your debts'!$E$14)),J133),2)</f>
      </c>
      <c r="U133" s="33">
        <f>ROUND(MIN(MAX(0,N('Your debts'!$E$15)),K133),2)</f>
      </c>
      <c r="V133" s="33">
        <f>ROUND(B133-L133,2)</f>
      </c>
      <c r="W133" s="33">
        <f>ROUND(C133-M133,2)</f>
      </c>
      <c r="X133" s="33">
        <f>ROUND(D133-N133,2)</f>
      </c>
      <c r="Y133" s="33">
        <f>ROUND(E133-O133,2)</f>
      </c>
      <c r="Z133" s="33">
        <f>ROUND(F133-P133,2)</f>
      </c>
      <c r="AA133" s="33">
        <f>ROUND(G133-Q133,2)</f>
      </c>
      <c r="AB133" s="33">
        <f>ROUND(H133-R133,2)</f>
      </c>
      <c r="AC133" s="33">
        <f>ROUND(I133-S133,2)</f>
      </c>
      <c r="AD133" s="33">
        <f>ROUND(J133-T133,2)</f>
      </c>
      <c r="AE133" s="33">
        <f>ROUND(K133-U133,2)</f>
      </c>
      <c r="AF133" s="33">
        <f>IF(V133&lt;=0,0,MAX(0,MIN(V133,ROUND($AZ133-SUMPRODUCT($V133:$AE133*($V133:$AE133&gt;0)*(($V$3:$AE$3&gt;V$3)+($V$3:$AE$3=V$3)*($V133:$AE133&lt;V133)+($V$3:$AE$3=V$3)*($V133:$AE133=V133)*($V$2:$AE$2&lt;V$2))),2))))</f>
      </c>
      <c r="AG133" s="33">
        <f>IF(W133&lt;=0,0,MAX(0,MIN(W133,ROUND($AZ133-SUMPRODUCT($V133:$AE133*($V133:$AE133&gt;0)*(($V$3:$AE$3&gt;W$3)+($V$3:$AE$3=W$3)*($V133:$AE133&lt;W133)+($V$3:$AE$3=W$3)*($V133:$AE133=W133)*($V$2:$AE$2&lt;W$2))),2))))</f>
      </c>
      <c r="AH133" s="33">
        <f>IF(X133&lt;=0,0,MAX(0,MIN(X133,ROUND($AZ133-SUMPRODUCT($V133:$AE133*($V133:$AE133&gt;0)*(($V$3:$AE$3&gt;X$3)+($V$3:$AE$3=X$3)*($V133:$AE133&lt;X133)+($V$3:$AE$3=X$3)*($V133:$AE133=X133)*($V$2:$AE$2&lt;X$2))),2))))</f>
      </c>
      <c r="AI133" s="33">
        <f>IF(Y133&lt;=0,0,MAX(0,MIN(Y133,ROUND($AZ133-SUMPRODUCT($V133:$AE133*($V133:$AE133&gt;0)*(($V$3:$AE$3&gt;Y$3)+($V$3:$AE$3=Y$3)*($V133:$AE133&lt;Y133)+($V$3:$AE$3=Y$3)*($V133:$AE133=Y133)*($V$2:$AE$2&lt;Y$2))),2))))</f>
      </c>
      <c r="AJ133" s="33">
        <f>IF(Z133&lt;=0,0,MAX(0,MIN(Z133,ROUND($AZ133-SUMPRODUCT($V133:$AE133*($V133:$AE133&gt;0)*(($V$3:$AE$3&gt;Z$3)+($V$3:$AE$3=Z$3)*($V133:$AE133&lt;Z133)+($V$3:$AE$3=Z$3)*($V133:$AE133=Z133)*($V$2:$AE$2&lt;Z$2))),2))))</f>
      </c>
      <c r="AK133" s="33">
        <f>IF(AA133&lt;=0,0,MAX(0,MIN(AA133,ROUND($AZ133-SUMPRODUCT($V133:$AE133*($V133:$AE133&gt;0)*(($V$3:$AE$3&gt;AA$3)+($V$3:$AE$3=AA$3)*($V133:$AE133&lt;AA133)+($V$3:$AE$3=AA$3)*($V133:$AE133=AA133)*($V$2:$AE$2&lt;AA$2))),2))))</f>
      </c>
      <c r="AL133" s="33">
        <f>IF(AB133&lt;=0,0,MAX(0,MIN(AB133,ROUND($AZ133-SUMPRODUCT($V133:$AE133*($V133:$AE133&gt;0)*(($V$3:$AE$3&gt;AB$3)+($V$3:$AE$3=AB$3)*($V133:$AE133&lt;AB133)+($V$3:$AE$3=AB$3)*($V133:$AE133=AB133)*($V$2:$AE$2&lt;AB$2))),2))))</f>
      </c>
      <c r="AM133" s="33">
        <f>IF(AC133&lt;=0,0,MAX(0,MIN(AC133,ROUND($AZ133-SUMPRODUCT($V133:$AE133*($V133:$AE133&gt;0)*(($V$3:$AE$3&gt;AC$3)+($V$3:$AE$3=AC$3)*($V133:$AE133&lt;AC133)+($V$3:$AE$3=AC$3)*($V133:$AE133=AC133)*($V$2:$AE$2&lt;AC$2))),2))))</f>
      </c>
      <c r="AN133" s="33">
        <f>IF(AD133&lt;=0,0,MAX(0,MIN(AD133,ROUND($AZ133-SUMPRODUCT($V133:$AE133*($V133:$AE133&gt;0)*(($V$3:$AE$3&gt;AD$3)+($V$3:$AE$3=AD$3)*($V133:$AE133&lt;AD133)+($V$3:$AE$3=AD$3)*($V133:$AE133=AD133)*($V$2:$AE$2&lt;AD$2))),2))))</f>
      </c>
      <c r="AO133" s="33">
        <f>IF(AE133&lt;=0,0,MAX(0,MIN(AE133,ROUND($AZ133-SUMPRODUCT($V133:$AE133*($V133:$AE133&gt;0)*(($V$3:$AE$3&gt;AE$3)+($V$3:$AE$3=AE$3)*($V133:$AE133&lt;AE133)+($V$3:$AE$3=AE$3)*($V133:$AE133=AE133)*($V$2:$AE$2&lt;AE$2))),2))))</f>
      </c>
      <c r="AP133" s="33">
        <f>ROUND(V133-AF133,2)</f>
      </c>
      <c r="AQ133" s="33">
        <f>ROUND(W133-AG133,2)</f>
      </c>
      <c r="AR133" s="33">
        <f>ROUND(X133-AH133,2)</f>
      </c>
      <c r="AS133" s="33">
        <f>ROUND(Y133-AI133,2)</f>
      </c>
      <c r="AT133" s="33">
        <f>ROUND(Z133-AJ133,2)</f>
      </c>
      <c r="AU133" s="33">
        <f>ROUND(AA133-AK133,2)</f>
      </c>
      <c r="AV133" s="33">
        <f>ROUND(AB133-AL133,2)</f>
      </c>
      <c r="AW133" s="33">
        <f>ROUND(AC133-AM133,2)</f>
      </c>
      <c r="AX133" s="33">
        <f>ROUND(AD133-AN133,2)</f>
      </c>
      <c r="AY133" s="33">
        <f>ROUND(AE133-AO133,2)</f>
      </c>
      <c r="AZ133" s="33">
        <f>ROUND(MAX(0,'Your debts'!$D$22-SUM($L133:$U133)),2)</f>
      </c>
      <c r="BA133" s="33">
        <f>ROUND(SUM($B133:$K133)-SUM($AP132:$AY132),2)</f>
      </c>
      <c r="BB133" s="33">
        <f>SUM($AP133:$AY133)</f>
      </c>
      <c r="BC133" s="33">
        <f>ROUND(SUM($L133:$U133)+SUM($AF133:$AO133),2)</f>
      </c>
    </row>
    <row r="134" spans="1:55" x14ac:dyDescent="0.25">
      <c r="A134">
        <v>127</v>
      </c>
      <c r="B134" s="33">
        <f>IF(AP133&lt;=0,0,ROUND(AP133+ROUND(AP133*V$3/12,2),2))</f>
      </c>
      <c r="C134" s="33">
        <f>IF(AQ133&lt;=0,0,ROUND(AQ133+ROUND(AQ133*W$3/12,2),2))</f>
      </c>
      <c r="D134" s="33">
        <f>IF(AR133&lt;=0,0,ROUND(AR133+ROUND(AR133*X$3/12,2),2))</f>
      </c>
      <c r="E134" s="33">
        <f>IF(AS133&lt;=0,0,ROUND(AS133+ROUND(AS133*Y$3/12,2),2))</f>
      </c>
      <c r="F134" s="33">
        <f>IF(AT133&lt;=0,0,ROUND(AT133+ROUND(AT133*Z$3/12,2),2))</f>
      </c>
      <c r="G134" s="33">
        <f>IF(AU133&lt;=0,0,ROUND(AU133+ROUND(AU133*AA$3/12,2),2))</f>
      </c>
      <c r="H134" s="33">
        <f>IF(AV133&lt;=0,0,ROUND(AV133+ROUND(AV133*AB$3/12,2),2))</f>
      </c>
      <c r="I134" s="33">
        <f>IF(AW133&lt;=0,0,ROUND(AW133+ROUND(AW133*AC$3/12,2),2))</f>
      </c>
      <c r="J134" s="33">
        <f>IF(AX133&lt;=0,0,ROUND(AX133+ROUND(AX133*AD$3/12,2),2))</f>
      </c>
      <c r="K134" s="33">
        <f>IF(AY133&lt;=0,0,ROUND(AY133+ROUND(AY133*AE$3/12,2),2))</f>
      </c>
      <c r="L134" s="33">
        <f>ROUND(MIN(MAX(0,N('Your debts'!$E$6)),B134),2)</f>
      </c>
      <c r="M134" s="33">
        <f>ROUND(MIN(MAX(0,N('Your debts'!$E$7)),C134),2)</f>
      </c>
      <c r="N134" s="33">
        <f>ROUND(MIN(MAX(0,N('Your debts'!$E$8)),D134),2)</f>
      </c>
      <c r="O134" s="33">
        <f>ROUND(MIN(MAX(0,N('Your debts'!$E$9)),E134),2)</f>
      </c>
      <c r="P134" s="33">
        <f>ROUND(MIN(MAX(0,N('Your debts'!$E$10)),F134),2)</f>
      </c>
      <c r="Q134" s="33">
        <f>ROUND(MIN(MAX(0,N('Your debts'!$E$11)),G134),2)</f>
      </c>
      <c r="R134" s="33">
        <f>ROUND(MIN(MAX(0,N('Your debts'!$E$12)),H134),2)</f>
      </c>
      <c r="S134" s="33">
        <f>ROUND(MIN(MAX(0,N('Your debts'!$E$13)),I134),2)</f>
      </c>
      <c r="T134" s="33">
        <f>ROUND(MIN(MAX(0,N('Your debts'!$E$14)),J134),2)</f>
      </c>
      <c r="U134" s="33">
        <f>ROUND(MIN(MAX(0,N('Your debts'!$E$15)),K134),2)</f>
      </c>
      <c r="V134" s="33">
        <f>ROUND(B134-L134,2)</f>
      </c>
      <c r="W134" s="33">
        <f>ROUND(C134-M134,2)</f>
      </c>
      <c r="X134" s="33">
        <f>ROUND(D134-N134,2)</f>
      </c>
      <c r="Y134" s="33">
        <f>ROUND(E134-O134,2)</f>
      </c>
      <c r="Z134" s="33">
        <f>ROUND(F134-P134,2)</f>
      </c>
      <c r="AA134" s="33">
        <f>ROUND(G134-Q134,2)</f>
      </c>
      <c r="AB134" s="33">
        <f>ROUND(H134-R134,2)</f>
      </c>
      <c r="AC134" s="33">
        <f>ROUND(I134-S134,2)</f>
      </c>
      <c r="AD134" s="33">
        <f>ROUND(J134-T134,2)</f>
      </c>
      <c r="AE134" s="33">
        <f>ROUND(K134-U134,2)</f>
      </c>
      <c r="AF134" s="33">
        <f>IF(V134&lt;=0,0,MAX(0,MIN(V134,ROUND($AZ134-SUMPRODUCT($V134:$AE134*($V134:$AE134&gt;0)*(($V$3:$AE$3&gt;V$3)+($V$3:$AE$3=V$3)*($V134:$AE134&lt;V134)+($V$3:$AE$3=V$3)*($V134:$AE134=V134)*($V$2:$AE$2&lt;V$2))),2))))</f>
      </c>
      <c r="AG134" s="33">
        <f>IF(W134&lt;=0,0,MAX(0,MIN(W134,ROUND($AZ134-SUMPRODUCT($V134:$AE134*($V134:$AE134&gt;0)*(($V$3:$AE$3&gt;W$3)+($V$3:$AE$3=W$3)*($V134:$AE134&lt;W134)+($V$3:$AE$3=W$3)*($V134:$AE134=W134)*($V$2:$AE$2&lt;W$2))),2))))</f>
      </c>
      <c r="AH134" s="33">
        <f>IF(X134&lt;=0,0,MAX(0,MIN(X134,ROUND($AZ134-SUMPRODUCT($V134:$AE134*($V134:$AE134&gt;0)*(($V$3:$AE$3&gt;X$3)+($V$3:$AE$3=X$3)*($V134:$AE134&lt;X134)+($V$3:$AE$3=X$3)*($V134:$AE134=X134)*($V$2:$AE$2&lt;X$2))),2))))</f>
      </c>
      <c r="AI134" s="33">
        <f>IF(Y134&lt;=0,0,MAX(0,MIN(Y134,ROUND($AZ134-SUMPRODUCT($V134:$AE134*($V134:$AE134&gt;0)*(($V$3:$AE$3&gt;Y$3)+($V$3:$AE$3=Y$3)*($V134:$AE134&lt;Y134)+($V$3:$AE$3=Y$3)*($V134:$AE134=Y134)*($V$2:$AE$2&lt;Y$2))),2))))</f>
      </c>
      <c r="AJ134" s="33">
        <f>IF(Z134&lt;=0,0,MAX(0,MIN(Z134,ROUND($AZ134-SUMPRODUCT($V134:$AE134*($V134:$AE134&gt;0)*(($V$3:$AE$3&gt;Z$3)+($V$3:$AE$3=Z$3)*($V134:$AE134&lt;Z134)+($V$3:$AE$3=Z$3)*($V134:$AE134=Z134)*($V$2:$AE$2&lt;Z$2))),2))))</f>
      </c>
      <c r="AK134" s="33">
        <f>IF(AA134&lt;=0,0,MAX(0,MIN(AA134,ROUND($AZ134-SUMPRODUCT($V134:$AE134*($V134:$AE134&gt;0)*(($V$3:$AE$3&gt;AA$3)+($V$3:$AE$3=AA$3)*($V134:$AE134&lt;AA134)+($V$3:$AE$3=AA$3)*($V134:$AE134=AA134)*($V$2:$AE$2&lt;AA$2))),2))))</f>
      </c>
      <c r="AL134" s="33">
        <f>IF(AB134&lt;=0,0,MAX(0,MIN(AB134,ROUND($AZ134-SUMPRODUCT($V134:$AE134*($V134:$AE134&gt;0)*(($V$3:$AE$3&gt;AB$3)+($V$3:$AE$3=AB$3)*($V134:$AE134&lt;AB134)+($V$3:$AE$3=AB$3)*($V134:$AE134=AB134)*($V$2:$AE$2&lt;AB$2))),2))))</f>
      </c>
      <c r="AM134" s="33">
        <f>IF(AC134&lt;=0,0,MAX(0,MIN(AC134,ROUND($AZ134-SUMPRODUCT($V134:$AE134*($V134:$AE134&gt;0)*(($V$3:$AE$3&gt;AC$3)+($V$3:$AE$3=AC$3)*($V134:$AE134&lt;AC134)+($V$3:$AE$3=AC$3)*($V134:$AE134=AC134)*($V$2:$AE$2&lt;AC$2))),2))))</f>
      </c>
      <c r="AN134" s="33">
        <f>IF(AD134&lt;=0,0,MAX(0,MIN(AD134,ROUND($AZ134-SUMPRODUCT($V134:$AE134*($V134:$AE134&gt;0)*(($V$3:$AE$3&gt;AD$3)+($V$3:$AE$3=AD$3)*($V134:$AE134&lt;AD134)+($V$3:$AE$3=AD$3)*($V134:$AE134=AD134)*($V$2:$AE$2&lt;AD$2))),2))))</f>
      </c>
      <c r="AO134" s="33">
        <f>IF(AE134&lt;=0,0,MAX(0,MIN(AE134,ROUND($AZ134-SUMPRODUCT($V134:$AE134*($V134:$AE134&gt;0)*(($V$3:$AE$3&gt;AE$3)+($V$3:$AE$3=AE$3)*($V134:$AE134&lt;AE134)+($V$3:$AE$3=AE$3)*($V134:$AE134=AE134)*($V$2:$AE$2&lt;AE$2))),2))))</f>
      </c>
      <c r="AP134" s="33">
        <f>ROUND(V134-AF134,2)</f>
      </c>
      <c r="AQ134" s="33">
        <f>ROUND(W134-AG134,2)</f>
      </c>
      <c r="AR134" s="33">
        <f>ROUND(X134-AH134,2)</f>
      </c>
      <c r="AS134" s="33">
        <f>ROUND(Y134-AI134,2)</f>
      </c>
      <c r="AT134" s="33">
        <f>ROUND(Z134-AJ134,2)</f>
      </c>
      <c r="AU134" s="33">
        <f>ROUND(AA134-AK134,2)</f>
      </c>
      <c r="AV134" s="33">
        <f>ROUND(AB134-AL134,2)</f>
      </c>
      <c r="AW134" s="33">
        <f>ROUND(AC134-AM134,2)</f>
      </c>
      <c r="AX134" s="33">
        <f>ROUND(AD134-AN134,2)</f>
      </c>
      <c r="AY134" s="33">
        <f>ROUND(AE134-AO134,2)</f>
      </c>
      <c r="AZ134" s="33">
        <f>ROUND(MAX(0,'Your debts'!$D$22-SUM($L134:$U134)),2)</f>
      </c>
      <c r="BA134" s="33">
        <f>ROUND(SUM($B134:$K134)-SUM($AP133:$AY133),2)</f>
      </c>
      <c r="BB134" s="33">
        <f>SUM($AP134:$AY134)</f>
      </c>
      <c r="BC134" s="33">
        <f>ROUND(SUM($L134:$U134)+SUM($AF134:$AO134),2)</f>
      </c>
    </row>
    <row r="135" spans="1:55" x14ac:dyDescent="0.25">
      <c r="A135">
        <v>128</v>
      </c>
      <c r="B135" s="33">
        <f>IF(AP134&lt;=0,0,ROUND(AP134+ROUND(AP134*V$3/12,2),2))</f>
      </c>
      <c r="C135" s="33">
        <f>IF(AQ134&lt;=0,0,ROUND(AQ134+ROUND(AQ134*W$3/12,2),2))</f>
      </c>
      <c r="D135" s="33">
        <f>IF(AR134&lt;=0,0,ROUND(AR134+ROUND(AR134*X$3/12,2),2))</f>
      </c>
      <c r="E135" s="33">
        <f>IF(AS134&lt;=0,0,ROUND(AS134+ROUND(AS134*Y$3/12,2),2))</f>
      </c>
      <c r="F135" s="33">
        <f>IF(AT134&lt;=0,0,ROUND(AT134+ROUND(AT134*Z$3/12,2),2))</f>
      </c>
      <c r="G135" s="33">
        <f>IF(AU134&lt;=0,0,ROUND(AU134+ROUND(AU134*AA$3/12,2),2))</f>
      </c>
      <c r="H135" s="33">
        <f>IF(AV134&lt;=0,0,ROUND(AV134+ROUND(AV134*AB$3/12,2),2))</f>
      </c>
      <c r="I135" s="33">
        <f>IF(AW134&lt;=0,0,ROUND(AW134+ROUND(AW134*AC$3/12,2),2))</f>
      </c>
      <c r="J135" s="33">
        <f>IF(AX134&lt;=0,0,ROUND(AX134+ROUND(AX134*AD$3/12,2),2))</f>
      </c>
      <c r="K135" s="33">
        <f>IF(AY134&lt;=0,0,ROUND(AY134+ROUND(AY134*AE$3/12,2),2))</f>
      </c>
      <c r="L135" s="33">
        <f>ROUND(MIN(MAX(0,N('Your debts'!$E$6)),B135),2)</f>
      </c>
      <c r="M135" s="33">
        <f>ROUND(MIN(MAX(0,N('Your debts'!$E$7)),C135),2)</f>
      </c>
      <c r="N135" s="33">
        <f>ROUND(MIN(MAX(0,N('Your debts'!$E$8)),D135),2)</f>
      </c>
      <c r="O135" s="33">
        <f>ROUND(MIN(MAX(0,N('Your debts'!$E$9)),E135),2)</f>
      </c>
      <c r="P135" s="33">
        <f>ROUND(MIN(MAX(0,N('Your debts'!$E$10)),F135),2)</f>
      </c>
      <c r="Q135" s="33">
        <f>ROUND(MIN(MAX(0,N('Your debts'!$E$11)),G135),2)</f>
      </c>
      <c r="R135" s="33">
        <f>ROUND(MIN(MAX(0,N('Your debts'!$E$12)),H135),2)</f>
      </c>
      <c r="S135" s="33">
        <f>ROUND(MIN(MAX(0,N('Your debts'!$E$13)),I135),2)</f>
      </c>
      <c r="T135" s="33">
        <f>ROUND(MIN(MAX(0,N('Your debts'!$E$14)),J135),2)</f>
      </c>
      <c r="U135" s="33">
        <f>ROUND(MIN(MAX(0,N('Your debts'!$E$15)),K135),2)</f>
      </c>
      <c r="V135" s="33">
        <f>ROUND(B135-L135,2)</f>
      </c>
      <c r="W135" s="33">
        <f>ROUND(C135-M135,2)</f>
      </c>
      <c r="X135" s="33">
        <f>ROUND(D135-N135,2)</f>
      </c>
      <c r="Y135" s="33">
        <f>ROUND(E135-O135,2)</f>
      </c>
      <c r="Z135" s="33">
        <f>ROUND(F135-P135,2)</f>
      </c>
      <c r="AA135" s="33">
        <f>ROUND(G135-Q135,2)</f>
      </c>
      <c r="AB135" s="33">
        <f>ROUND(H135-R135,2)</f>
      </c>
      <c r="AC135" s="33">
        <f>ROUND(I135-S135,2)</f>
      </c>
      <c r="AD135" s="33">
        <f>ROUND(J135-T135,2)</f>
      </c>
      <c r="AE135" s="33">
        <f>ROUND(K135-U135,2)</f>
      </c>
      <c r="AF135" s="33">
        <f>IF(V135&lt;=0,0,MAX(0,MIN(V135,ROUND($AZ135-SUMPRODUCT($V135:$AE135*($V135:$AE135&gt;0)*(($V$3:$AE$3&gt;V$3)+($V$3:$AE$3=V$3)*($V135:$AE135&lt;V135)+($V$3:$AE$3=V$3)*($V135:$AE135=V135)*($V$2:$AE$2&lt;V$2))),2))))</f>
      </c>
      <c r="AG135" s="33">
        <f>IF(W135&lt;=0,0,MAX(0,MIN(W135,ROUND($AZ135-SUMPRODUCT($V135:$AE135*($V135:$AE135&gt;0)*(($V$3:$AE$3&gt;W$3)+($V$3:$AE$3=W$3)*($V135:$AE135&lt;W135)+($V$3:$AE$3=W$3)*($V135:$AE135=W135)*($V$2:$AE$2&lt;W$2))),2))))</f>
      </c>
      <c r="AH135" s="33">
        <f>IF(X135&lt;=0,0,MAX(0,MIN(X135,ROUND($AZ135-SUMPRODUCT($V135:$AE135*($V135:$AE135&gt;0)*(($V$3:$AE$3&gt;X$3)+($V$3:$AE$3=X$3)*($V135:$AE135&lt;X135)+($V$3:$AE$3=X$3)*($V135:$AE135=X135)*($V$2:$AE$2&lt;X$2))),2))))</f>
      </c>
      <c r="AI135" s="33">
        <f>IF(Y135&lt;=0,0,MAX(0,MIN(Y135,ROUND($AZ135-SUMPRODUCT($V135:$AE135*($V135:$AE135&gt;0)*(($V$3:$AE$3&gt;Y$3)+($V$3:$AE$3=Y$3)*($V135:$AE135&lt;Y135)+($V$3:$AE$3=Y$3)*($V135:$AE135=Y135)*($V$2:$AE$2&lt;Y$2))),2))))</f>
      </c>
      <c r="AJ135" s="33">
        <f>IF(Z135&lt;=0,0,MAX(0,MIN(Z135,ROUND($AZ135-SUMPRODUCT($V135:$AE135*($V135:$AE135&gt;0)*(($V$3:$AE$3&gt;Z$3)+($V$3:$AE$3=Z$3)*($V135:$AE135&lt;Z135)+($V$3:$AE$3=Z$3)*($V135:$AE135=Z135)*($V$2:$AE$2&lt;Z$2))),2))))</f>
      </c>
      <c r="AK135" s="33">
        <f>IF(AA135&lt;=0,0,MAX(0,MIN(AA135,ROUND($AZ135-SUMPRODUCT($V135:$AE135*($V135:$AE135&gt;0)*(($V$3:$AE$3&gt;AA$3)+($V$3:$AE$3=AA$3)*($V135:$AE135&lt;AA135)+($V$3:$AE$3=AA$3)*($V135:$AE135=AA135)*($V$2:$AE$2&lt;AA$2))),2))))</f>
      </c>
      <c r="AL135" s="33">
        <f>IF(AB135&lt;=0,0,MAX(0,MIN(AB135,ROUND($AZ135-SUMPRODUCT($V135:$AE135*($V135:$AE135&gt;0)*(($V$3:$AE$3&gt;AB$3)+($V$3:$AE$3=AB$3)*($V135:$AE135&lt;AB135)+($V$3:$AE$3=AB$3)*($V135:$AE135=AB135)*($V$2:$AE$2&lt;AB$2))),2))))</f>
      </c>
      <c r="AM135" s="33">
        <f>IF(AC135&lt;=0,0,MAX(0,MIN(AC135,ROUND($AZ135-SUMPRODUCT($V135:$AE135*($V135:$AE135&gt;0)*(($V$3:$AE$3&gt;AC$3)+($V$3:$AE$3=AC$3)*($V135:$AE135&lt;AC135)+($V$3:$AE$3=AC$3)*($V135:$AE135=AC135)*($V$2:$AE$2&lt;AC$2))),2))))</f>
      </c>
      <c r="AN135" s="33">
        <f>IF(AD135&lt;=0,0,MAX(0,MIN(AD135,ROUND($AZ135-SUMPRODUCT($V135:$AE135*($V135:$AE135&gt;0)*(($V$3:$AE$3&gt;AD$3)+($V$3:$AE$3=AD$3)*($V135:$AE135&lt;AD135)+($V$3:$AE$3=AD$3)*($V135:$AE135=AD135)*($V$2:$AE$2&lt;AD$2))),2))))</f>
      </c>
      <c r="AO135" s="33">
        <f>IF(AE135&lt;=0,0,MAX(0,MIN(AE135,ROUND($AZ135-SUMPRODUCT($V135:$AE135*($V135:$AE135&gt;0)*(($V$3:$AE$3&gt;AE$3)+($V$3:$AE$3=AE$3)*($V135:$AE135&lt;AE135)+($V$3:$AE$3=AE$3)*($V135:$AE135=AE135)*($V$2:$AE$2&lt;AE$2))),2))))</f>
      </c>
      <c r="AP135" s="33">
        <f>ROUND(V135-AF135,2)</f>
      </c>
      <c r="AQ135" s="33">
        <f>ROUND(W135-AG135,2)</f>
      </c>
      <c r="AR135" s="33">
        <f>ROUND(X135-AH135,2)</f>
      </c>
      <c r="AS135" s="33">
        <f>ROUND(Y135-AI135,2)</f>
      </c>
      <c r="AT135" s="33">
        <f>ROUND(Z135-AJ135,2)</f>
      </c>
      <c r="AU135" s="33">
        <f>ROUND(AA135-AK135,2)</f>
      </c>
      <c r="AV135" s="33">
        <f>ROUND(AB135-AL135,2)</f>
      </c>
      <c r="AW135" s="33">
        <f>ROUND(AC135-AM135,2)</f>
      </c>
      <c r="AX135" s="33">
        <f>ROUND(AD135-AN135,2)</f>
      </c>
      <c r="AY135" s="33">
        <f>ROUND(AE135-AO135,2)</f>
      </c>
      <c r="AZ135" s="33">
        <f>ROUND(MAX(0,'Your debts'!$D$22-SUM($L135:$U135)),2)</f>
      </c>
      <c r="BA135" s="33">
        <f>ROUND(SUM($B135:$K135)-SUM($AP134:$AY134),2)</f>
      </c>
      <c r="BB135" s="33">
        <f>SUM($AP135:$AY135)</f>
      </c>
      <c r="BC135" s="33">
        <f>ROUND(SUM($L135:$U135)+SUM($AF135:$AO135),2)</f>
      </c>
    </row>
    <row r="136" spans="1:55" x14ac:dyDescent="0.25">
      <c r="A136">
        <v>129</v>
      </c>
      <c r="B136" s="33">
        <f>IF(AP135&lt;=0,0,ROUND(AP135+ROUND(AP135*V$3/12,2),2))</f>
      </c>
      <c r="C136" s="33">
        <f>IF(AQ135&lt;=0,0,ROUND(AQ135+ROUND(AQ135*W$3/12,2),2))</f>
      </c>
      <c r="D136" s="33">
        <f>IF(AR135&lt;=0,0,ROUND(AR135+ROUND(AR135*X$3/12,2),2))</f>
      </c>
      <c r="E136" s="33">
        <f>IF(AS135&lt;=0,0,ROUND(AS135+ROUND(AS135*Y$3/12,2),2))</f>
      </c>
      <c r="F136" s="33">
        <f>IF(AT135&lt;=0,0,ROUND(AT135+ROUND(AT135*Z$3/12,2),2))</f>
      </c>
      <c r="G136" s="33">
        <f>IF(AU135&lt;=0,0,ROUND(AU135+ROUND(AU135*AA$3/12,2),2))</f>
      </c>
      <c r="H136" s="33">
        <f>IF(AV135&lt;=0,0,ROUND(AV135+ROUND(AV135*AB$3/12,2),2))</f>
      </c>
      <c r="I136" s="33">
        <f>IF(AW135&lt;=0,0,ROUND(AW135+ROUND(AW135*AC$3/12,2),2))</f>
      </c>
      <c r="J136" s="33">
        <f>IF(AX135&lt;=0,0,ROUND(AX135+ROUND(AX135*AD$3/12,2),2))</f>
      </c>
      <c r="K136" s="33">
        <f>IF(AY135&lt;=0,0,ROUND(AY135+ROUND(AY135*AE$3/12,2),2))</f>
      </c>
      <c r="L136" s="33">
        <f>ROUND(MIN(MAX(0,N('Your debts'!$E$6)),B136),2)</f>
      </c>
      <c r="M136" s="33">
        <f>ROUND(MIN(MAX(0,N('Your debts'!$E$7)),C136),2)</f>
      </c>
      <c r="N136" s="33">
        <f>ROUND(MIN(MAX(0,N('Your debts'!$E$8)),D136),2)</f>
      </c>
      <c r="O136" s="33">
        <f>ROUND(MIN(MAX(0,N('Your debts'!$E$9)),E136),2)</f>
      </c>
      <c r="P136" s="33">
        <f>ROUND(MIN(MAX(0,N('Your debts'!$E$10)),F136),2)</f>
      </c>
      <c r="Q136" s="33">
        <f>ROUND(MIN(MAX(0,N('Your debts'!$E$11)),G136),2)</f>
      </c>
      <c r="R136" s="33">
        <f>ROUND(MIN(MAX(0,N('Your debts'!$E$12)),H136),2)</f>
      </c>
      <c r="S136" s="33">
        <f>ROUND(MIN(MAX(0,N('Your debts'!$E$13)),I136),2)</f>
      </c>
      <c r="T136" s="33">
        <f>ROUND(MIN(MAX(0,N('Your debts'!$E$14)),J136),2)</f>
      </c>
      <c r="U136" s="33">
        <f>ROUND(MIN(MAX(0,N('Your debts'!$E$15)),K136),2)</f>
      </c>
      <c r="V136" s="33">
        <f>ROUND(B136-L136,2)</f>
      </c>
      <c r="W136" s="33">
        <f>ROUND(C136-M136,2)</f>
      </c>
      <c r="X136" s="33">
        <f>ROUND(D136-N136,2)</f>
      </c>
      <c r="Y136" s="33">
        <f>ROUND(E136-O136,2)</f>
      </c>
      <c r="Z136" s="33">
        <f>ROUND(F136-P136,2)</f>
      </c>
      <c r="AA136" s="33">
        <f>ROUND(G136-Q136,2)</f>
      </c>
      <c r="AB136" s="33">
        <f>ROUND(H136-R136,2)</f>
      </c>
      <c r="AC136" s="33">
        <f>ROUND(I136-S136,2)</f>
      </c>
      <c r="AD136" s="33">
        <f>ROUND(J136-T136,2)</f>
      </c>
      <c r="AE136" s="33">
        <f>ROUND(K136-U136,2)</f>
      </c>
      <c r="AF136" s="33">
        <f>IF(V136&lt;=0,0,MAX(0,MIN(V136,ROUND($AZ136-SUMPRODUCT($V136:$AE136*($V136:$AE136&gt;0)*(($V$3:$AE$3&gt;V$3)+($V$3:$AE$3=V$3)*($V136:$AE136&lt;V136)+($V$3:$AE$3=V$3)*($V136:$AE136=V136)*($V$2:$AE$2&lt;V$2))),2))))</f>
      </c>
      <c r="AG136" s="33">
        <f>IF(W136&lt;=0,0,MAX(0,MIN(W136,ROUND($AZ136-SUMPRODUCT($V136:$AE136*($V136:$AE136&gt;0)*(($V$3:$AE$3&gt;W$3)+($V$3:$AE$3=W$3)*($V136:$AE136&lt;W136)+($V$3:$AE$3=W$3)*($V136:$AE136=W136)*($V$2:$AE$2&lt;W$2))),2))))</f>
      </c>
      <c r="AH136" s="33">
        <f>IF(X136&lt;=0,0,MAX(0,MIN(X136,ROUND($AZ136-SUMPRODUCT($V136:$AE136*($V136:$AE136&gt;0)*(($V$3:$AE$3&gt;X$3)+($V$3:$AE$3=X$3)*($V136:$AE136&lt;X136)+($V$3:$AE$3=X$3)*($V136:$AE136=X136)*($V$2:$AE$2&lt;X$2))),2))))</f>
      </c>
      <c r="AI136" s="33">
        <f>IF(Y136&lt;=0,0,MAX(0,MIN(Y136,ROUND($AZ136-SUMPRODUCT($V136:$AE136*($V136:$AE136&gt;0)*(($V$3:$AE$3&gt;Y$3)+($V$3:$AE$3=Y$3)*($V136:$AE136&lt;Y136)+($V$3:$AE$3=Y$3)*($V136:$AE136=Y136)*($V$2:$AE$2&lt;Y$2))),2))))</f>
      </c>
      <c r="AJ136" s="33">
        <f>IF(Z136&lt;=0,0,MAX(0,MIN(Z136,ROUND($AZ136-SUMPRODUCT($V136:$AE136*($V136:$AE136&gt;0)*(($V$3:$AE$3&gt;Z$3)+($V$3:$AE$3=Z$3)*($V136:$AE136&lt;Z136)+($V$3:$AE$3=Z$3)*($V136:$AE136=Z136)*($V$2:$AE$2&lt;Z$2))),2))))</f>
      </c>
      <c r="AK136" s="33">
        <f>IF(AA136&lt;=0,0,MAX(0,MIN(AA136,ROUND($AZ136-SUMPRODUCT($V136:$AE136*($V136:$AE136&gt;0)*(($V$3:$AE$3&gt;AA$3)+($V$3:$AE$3=AA$3)*($V136:$AE136&lt;AA136)+($V$3:$AE$3=AA$3)*($V136:$AE136=AA136)*($V$2:$AE$2&lt;AA$2))),2))))</f>
      </c>
      <c r="AL136" s="33">
        <f>IF(AB136&lt;=0,0,MAX(0,MIN(AB136,ROUND($AZ136-SUMPRODUCT($V136:$AE136*($V136:$AE136&gt;0)*(($V$3:$AE$3&gt;AB$3)+($V$3:$AE$3=AB$3)*($V136:$AE136&lt;AB136)+($V$3:$AE$3=AB$3)*($V136:$AE136=AB136)*($V$2:$AE$2&lt;AB$2))),2))))</f>
      </c>
      <c r="AM136" s="33">
        <f>IF(AC136&lt;=0,0,MAX(0,MIN(AC136,ROUND($AZ136-SUMPRODUCT($V136:$AE136*($V136:$AE136&gt;0)*(($V$3:$AE$3&gt;AC$3)+($V$3:$AE$3=AC$3)*($V136:$AE136&lt;AC136)+($V$3:$AE$3=AC$3)*($V136:$AE136=AC136)*($V$2:$AE$2&lt;AC$2))),2))))</f>
      </c>
      <c r="AN136" s="33">
        <f>IF(AD136&lt;=0,0,MAX(0,MIN(AD136,ROUND($AZ136-SUMPRODUCT($V136:$AE136*($V136:$AE136&gt;0)*(($V$3:$AE$3&gt;AD$3)+($V$3:$AE$3=AD$3)*($V136:$AE136&lt;AD136)+($V$3:$AE$3=AD$3)*($V136:$AE136=AD136)*($V$2:$AE$2&lt;AD$2))),2))))</f>
      </c>
      <c r="AO136" s="33">
        <f>IF(AE136&lt;=0,0,MAX(0,MIN(AE136,ROUND($AZ136-SUMPRODUCT($V136:$AE136*($V136:$AE136&gt;0)*(($V$3:$AE$3&gt;AE$3)+($V$3:$AE$3=AE$3)*($V136:$AE136&lt;AE136)+($V$3:$AE$3=AE$3)*($V136:$AE136=AE136)*($V$2:$AE$2&lt;AE$2))),2))))</f>
      </c>
      <c r="AP136" s="33">
        <f>ROUND(V136-AF136,2)</f>
      </c>
      <c r="AQ136" s="33">
        <f>ROUND(W136-AG136,2)</f>
      </c>
      <c r="AR136" s="33">
        <f>ROUND(X136-AH136,2)</f>
      </c>
      <c r="AS136" s="33">
        <f>ROUND(Y136-AI136,2)</f>
      </c>
      <c r="AT136" s="33">
        <f>ROUND(Z136-AJ136,2)</f>
      </c>
      <c r="AU136" s="33">
        <f>ROUND(AA136-AK136,2)</f>
      </c>
      <c r="AV136" s="33">
        <f>ROUND(AB136-AL136,2)</f>
      </c>
      <c r="AW136" s="33">
        <f>ROUND(AC136-AM136,2)</f>
      </c>
      <c r="AX136" s="33">
        <f>ROUND(AD136-AN136,2)</f>
      </c>
      <c r="AY136" s="33">
        <f>ROUND(AE136-AO136,2)</f>
      </c>
      <c r="AZ136" s="33">
        <f>ROUND(MAX(0,'Your debts'!$D$22-SUM($L136:$U136)),2)</f>
      </c>
      <c r="BA136" s="33">
        <f>ROUND(SUM($B136:$K136)-SUM($AP135:$AY135),2)</f>
      </c>
      <c r="BB136" s="33">
        <f>SUM($AP136:$AY136)</f>
      </c>
      <c r="BC136" s="33">
        <f>ROUND(SUM($L136:$U136)+SUM($AF136:$AO136),2)</f>
      </c>
    </row>
    <row r="137" spans="1:55" x14ac:dyDescent="0.25">
      <c r="A137">
        <v>130</v>
      </c>
      <c r="B137" s="33">
        <f>IF(AP136&lt;=0,0,ROUND(AP136+ROUND(AP136*V$3/12,2),2))</f>
      </c>
      <c r="C137" s="33">
        <f>IF(AQ136&lt;=0,0,ROUND(AQ136+ROUND(AQ136*W$3/12,2),2))</f>
      </c>
      <c r="D137" s="33">
        <f>IF(AR136&lt;=0,0,ROUND(AR136+ROUND(AR136*X$3/12,2),2))</f>
      </c>
      <c r="E137" s="33">
        <f>IF(AS136&lt;=0,0,ROUND(AS136+ROUND(AS136*Y$3/12,2),2))</f>
      </c>
      <c r="F137" s="33">
        <f>IF(AT136&lt;=0,0,ROUND(AT136+ROUND(AT136*Z$3/12,2),2))</f>
      </c>
      <c r="G137" s="33">
        <f>IF(AU136&lt;=0,0,ROUND(AU136+ROUND(AU136*AA$3/12,2),2))</f>
      </c>
      <c r="H137" s="33">
        <f>IF(AV136&lt;=0,0,ROUND(AV136+ROUND(AV136*AB$3/12,2),2))</f>
      </c>
      <c r="I137" s="33">
        <f>IF(AW136&lt;=0,0,ROUND(AW136+ROUND(AW136*AC$3/12,2),2))</f>
      </c>
      <c r="J137" s="33">
        <f>IF(AX136&lt;=0,0,ROUND(AX136+ROUND(AX136*AD$3/12,2),2))</f>
      </c>
      <c r="K137" s="33">
        <f>IF(AY136&lt;=0,0,ROUND(AY136+ROUND(AY136*AE$3/12,2),2))</f>
      </c>
      <c r="L137" s="33">
        <f>ROUND(MIN(MAX(0,N('Your debts'!$E$6)),B137),2)</f>
      </c>
      <c r="M137" s="33">
        <f>ROUND(MIN(MAX(0,N('Your debts'!$E$7)),C137),2)</f>
      </c>
      <c r="N137" s="33">
        <f>ROUND(MIN(MAX(0,N('Your debts'!$E$8)),D137),2)</f>
      </c>
      <c r="O137" s="33">
        <f>ROUND(MIN(MAX(0,N('Your debts'!$E$9)),E137),2)</f>
      </c>
      <c r="P137" s="33">
        <f>ROUND(MIN(MAX(0,N('Your debts'!$E$10)),F137),2)</f>
      </c>
      <c r="Q137" s="33">
        <f>ROUND(MIN(MAX(0,N('Your debts'!$E$11)),G137),2)</f>
      </c>
      <c r="R137" s="33">
        <f>ROUND(MIN(MAX(0,N('Your debts'!$E$12)),H137),2)</f>
      </c>
      <c r="S137" s="33">
        <f>ROUND(MIN(MAX(0,N('Your debts'!$E$13)),I137),2)</f>
      </c>
      <c r="T137" s="33">
        <f>ROUND(MIN(MAX(0,N('Your debts'!$E$14)),J137),2)</f>
      </c>
      <c r="U137" s="33">
        <f>ROUND(MIN(MAX(0,N('Your debts'!$E$15)),K137),2)</f>
      </c>
      <c r="V137" s="33">
        <f>ROUND(B137-L137,2)</f>
      </c>
      <c r="W137" s="33">
        <f>ROUND(C137-M137,2)</f>
      </c>
      <c r="X137" s="33">
        <f>ROUND(D137-N137,2)</f>
      </c>
      <c r="Y137" s="33">
        <f>ROUND(E137-O137,2)</f>
      </c>
      <c r="Z137" s="33">
        <f>ROUND(F137-P137,2)</f>
      </c>
      <c r="AA137" s="33">
        <f>ROUND(G137-Q137,2)</f>
      </c>
      <c r="AB137" s="33">
        <f>ROUND(H137-R137,2)</f>
      </c>
      <c r="AC137" s="33">
        <f>ROUND(I137-S137,2)</f>
      </c>
      <c r="AD137" s="33">
        <f>ROUND(J137-T137,2)</f>
      </c>
      <c r="AE137" s="33">
        <f>ROUND(K137-U137,2)</f>
      </c>
      <c r="AF137" s="33">
        <f>IF(V137&lt;=0,0,MAX(0,MIN(V137,ROUND($AZ137-SUMPRODUCT($V137:$AE137*($V137:$AE137&gt;0)*(($V$3:$AE$3&gt;V$3)+($V$3:$AE$3=V$3)*($V137:$AE137&lt;V137)+($V$3:$AE$3=V$3)*($V137:$AE137=V137)*($V$2:$AE$2&lt;V$2))),2))))</f>
      </c>
      <c r="AG137" s="33">
        <f>IF(W137&lt;=0,0,MAX(0,MIN(W137,ROUND($AZ137-SUMPRODUCT($V137:$AE137*($V137:$AE137&gt;0)*(($V$3:$AE$3&gt;W$3)+($V$3:$AE$3=W$3)*($V137:$AE137&lt;W137)+($V$3:$AE$3=W$3)*($V137:$AE137=W137)*($V$2:$AE$2&lt;W$2))),2))))</f>
      </c>
      <c r="AH137" s="33">
        <f>IF(X137&lt;=0,0,MAX(0,MIN(X137,ROUND($AZ137-SUMPRODUCT($V137:$AE137*($V137:$AE137&gt;0)*(($V$3:$AE$3&gt;X$3)+($V$3:$AE$3=X$3)*($V137:$AE137&lt;X137)+($V$3:$AE$3=X$3)*($V137:$AE137=X137)*($V$2:$AE$2&lt;X$2))),2))))</f>
      </c>
      <c r="AI137" s="33">
        <f>IF(Y137&lt;=0,0,MAX(0,MIN(Y137,ROUND($AZ137-SUMPRODUCT($V137:$AE137*($V137:$AE137&gt;0)*(($V$3:$AE$3&gt;Y$3)+($V$3:$AE$3=Y$3)*($V137:$AE137&lt;Y137)+($V$3:$AE$3=Y$3)*($V137:$AE137=Y137)*($V$2:$AE$2&lt;Y$2))),2))))</f>
      </c>
      <c r="AJ137" s="33">
        <f>IF(Z137&lt;=0,0,MAX(0,MIN(Z137,ROUND($AZ137-SUMPRODUCT($V137:$AE137*($V137:$AE137&gt;0)*(($V$3:$AE$3&gt;Z$3)+($V$3:$AE$3=Z$3)*($V137:$AE137&lt;Z137)+($V$3:$AE$3=Z$3)*($V137:$AE137=Z137)*($V$2:$AE$2&lt;Z$2))),2))))</f>
      </c>
      <c r="AK137" s="33">
        <f>IF(AA137&lt;=0,0,MAX(0,MIN(AA137,ROUND($AZ137-SUMPRODUCT($V137:$AE137*($V137:$AE137&gt;0)*(($V$3:$AE$3&gt;AA$3)+($V$3:$AE$3=AA$3)*($V137:$AE137&lt;AA137)+($V$3:$AE$3=AA$3)*($V137:$AE137=AA137)*($V$2:$AE$2&lt;AA$2))),2))))</f>
      </c>
      <c r="AL137" s="33">
        <f>IF(AB137&lt;=0,0,MAX(0,MIN(AB137,ROUND($AZ137-SUMPRODUCT($V137:$AE137*($V137:$AE137&gt;0)*(($V$3:$AE$3&gt;AB$3)+($V$3:$AE$3=AB$3)*($V137:$AE137&lt;AB137)+($V$3:$AE$3=AB$3)*($V137:$AE137=AB137)*($V$2:$AE$2&lt;AB$2))),2))))</f>
      </c>
      <c r="AM137" s="33">
        <f>IF(AC137&lt;=0,0,MAX(0,MIN(AC137,ROUND($AZ137-SUMPRODUCT($V137:$AE137*($V137:$AE137&gt;0)*(($V$3:$AE$3&gt;AC$3)+($V$3:$AE$3=AC$3)*($V137:$AE137&lt;AC137)+($V$3:$AE$3=AC$3)*($V137:$AE137=AC137)*($V$2:$AE$2&lt;AC$2))),2))))</f>
      </c>
      <c r="AN137" s="33">
        <f>IF(AD137&lt;=0,0,MAX(0,MIN(AD137,ROUND($AZ137-SUMPRODUCT($V137:$AE137*($V137:$AE137&gt;0)*(($V$3:$AE$3&gt;AD$3)+($V$3:$AE$3=AD$3)*($V137:$AE137&lt;AD137)+($V$3:$AE$3=AD$3)*($V137:$AE137=AD137)*($V$2:$AE$2&lt;AD$2))),2))))</f>
      </c>
      <c r="AO137" s="33">
        <f>IF(AE137&lt;=0,0,MAX(0,MIN(AE137,ROUND($AZ137-SUMPRODUCT($V137:$AE137*($V137:$AE137&gt;0)*(($V$3:$AE$3&gt;AE$3)+($V$3:$AE$3=AE$3)*($V137:$AE137&lt;AE137)+($V$3:$AE$3=AE$3)*($V137:$AE137=AE137)*($V$2:$AE$2&lt;AE$2))),2))))</f>
      </c>
      <c r="AP137" s="33">
        <f>ROUND(V137-AF137,2)</f>
      </c>
      <c r="AQ137" s="33">
        <f>ROUND(W137-AG137,2)</f>
      </c>
      <c r="AR137" s="33">
        <f>ROUND(X137-AH137,2)</f>
      </c>
      <c r="AS137" s="33">
        <f>ROUND(Y137-AI137,2)</f>
      </c>
      <c r="AT137" s="33">
        <f>ROUND(Z137-AJ137,2)</f>
      </c>
      <c r="AU137" s="33">
        <f>ROUND(AA137-AK137,2)</f>
      </c>
      <c r="AV137" s="33">
        <f>ROUND(AB137-AL137,2)</f>
      </c>
      <c r="AW137" s="33">
        <f>ROUND(AC137-AM137,2)</f>
      </c>
      <c r="AX137" s="33">
        <f>ROUND(AD137-AN137,2)</f>
      </c>
      <c r="AY137" s="33">
        <f>ROUND(AE137-AO137,2)</f>
      </c>
      <c r="AZ137" s="33">
        <f>ROUND(MAX(0,'Your debts'!$D$22-SUM($L137:$U137)),2)</f>
      </c>
      <c r="BA137" s="33">
        <f>ROUND(SUM($B137:$K137)-SUM($AP136:$AY136),2)</f>
      </c>
      <c r="BB137" s="33">
        <f>SUM($AP137:$AY137)</f>
      </c>
      <c r="BC137" s="33">
        <f>ROUND(SUM($L137:$U137)+SUM($AF137:$AO137),2)</f>
      </c>
    </row>
    <row r="138" spans="1:55" x14ac:dyDescent="0.25">
      <c r="A138">
        <v>131</v>
      </c>
      <c r="B138" s="33">
        <f>IF(AP137&lt;=0,0,ROUND(AP137+ROUND(AP137*V$3/12,2),2))</f>
      </c>
      <c r="C138" s="33">
        <f>IF(AQ137&lt;=0,0,ROUND(AQ137+ROUND(AQ137*W$3/12,2),2))</f>
      </c>
      <c r="D138" s="33">
        <f>IF(AR137&lt;=0,0,ROUND(AR137+ROUND(AR137*X$3/12,2),2))</f>
      </c>
      <c r="E138" s="33">
        <f>IF(AS137&lt;=0,0,ROUND(AS137+ROUND(AS137*Y$3/12,2),2))</f>
      </c>
      <c r="F138" s="33">
        <f>IF(AT137&lt;=0,0,ROUND(AT137+ROUND(AT137*Z$3/12,2),2))</f>
      </c>
      <c r="G138" s="33">
        <f>IF(AU137&lt;=0,0,ROUND(AU137+ROUND(AU137*AA$3/12,2),2))</f>
      </c>
      <c r="H138" s="33">
        <f>IF(AV137&lt;=0,0,ROUND(AV137+ROUND(AV137*AB$3/12,2),2))</f>
      </c>
      <c r="I138" s="33">
        <f>IF(AW137&lt;=0,0,ROUND(AW137+ROUND(AW137*AC$3/12,2),2))</f>
      </c>
      <c r="J138" s="33">
        <f>IF(AX137&lt;=0,0,ROUND(AX137+ROUND(AX137*AD$3/12,2),2))</f>
      </c>
      <c r="K138" s="33">
        <f>IF(AY137&lt;=0,0,ROUND(AY137+ROUND(AY137*AE$3/12,2),2))</f>
      </c>
      <c r="L138" s="33">
        <f>ROUND(MIN(MAX(0,N('Your debts'!$E$6)),B138),2)</f>
      </c>
      <c r="M138" s="33">
        <f>ROUND(MIN(MAX(0,N('Your debts'!$E$7)),C138),2)</f>
      </c>
      <c r="N138" s="33">
        <f>ROUND(MIN(MAX(0,N('Your debts'!$E$8)),D138),2)</f>
      </c>
      <c r="O138" s="33">
        <f>ROUND(MIN(MAX(0,N('Your debts'!$E$9)),E138),2)</f>
      </c>
      <c r="P138" s="33">
        <f>ROUND(MIN(MAX(0,N('Your debts'!$E$10)),F138),2)</f>
      </c>
      <c r="Q138" s="33">
        <f>ROUND(MIN(MAX(0,N('Your debts'!$E$11)),G138),2)</f>
      </c>
      <c r="R138" s="33">
        <f>ROUND(MIN(MAX(0,N('Your debts'!$E$12)),H138),2)</f>
      </c>
      <c r="S138" s="33">
        <f>ROUND(MIN(MAX(0,N('Your debts'!$E$13)),I138),2)</f>
      </c>
      <c r="T138" s="33">
        <f>ROUND(MIN(MAX(0,N('Your debts'!$E$14)),J138),2)</f>
      </c>
      <c r="U138" s="33">
        <f>ROUND(MIN(MAX(0,N('Your debts'!$E$15)),K138),2)</f>
      </c>
      <c r="V138" s="33">
        <f>ROUND(B138-L138,2)</f>
      </c>
      <c r="W138" s="33">
        <f>ROUND(C138-M138,2)</f>
      </c>
      <c r="X138" s="33">
        <f>ROUND(D138-N138,2)</f>
      </c>
      <c r="Y138" s="33">
        <f>ROUND(E138-O138,2)</f>
      </c>
      <c r="Z138" s="33">
        <f>ROUND(F138-P138,2)</f>
      </c>
      <c r="AA138" s="33">
        <f>ROUND(G138-Q138,2)</f>
      </c>
      <c r="AB138" s="33">
        <f>ROUND(H138-R138,2)</f>
      </c>
      <c r="AC138" s="33">
        <f>ROUND(I138-S138,2)</f>
      </c>
      <c r="AD138" s="33">
        <f>ROUND(J138-T138,2)</f>
      </c>
      <c r="AE138" s="33">
        <f>ROUND(K138-U138,2)</f>
      </c>
      <c r="AF138" s="33">
        <f>IF(V138&lt;=0,0,MAX(0,MIN(V138,ROUND($AZ138-SUMPRODUCT($V138:$AE138*($V138:$AE138&gt;0)*(($V$3:$AE$3&gt;V$3)+($V$3:$AE$3=V$3)*($V138:$AE138&lt;V138)+($V$3:$AE$3=V$3)*($V138:$AE138=V138)*($V$2:$AE$2&lt;V$2))),2))))</f>
      </c>
      <c r="AG138" s="33">
        <f>IF(W138&lt;=0,0,MAX(0,MIN(W138,ROUND($AZ138-SUMPRODUCT($V138:$AE138*($V138:$AE138&gt;0)*(($V$3:$AE$3&gt;W$3)+($V$3:$AE$3=W$3)*($V138:$AE138&lt;W138)+($V$3:$AE$3=W$3)*($V138:$AE138=W138)*($V$2:$AE$2&lt;W$2))),2))))</f>
      </c>
      <c r="AH138" s="33">
        <f>IF(X138&lt;=0,0,MAX(0,MIN(X138,ROUND($AZ138-SUMPRODUCT($V138:$AE138*($V138:$AE138&gt;0)*(($V$3:$AE$3&gt;X$3)+($V$3:$AE$3=X$3)*($V138:$AE138&lt;X138)+($V$3:$AE$3=X$3)*($V138:$AE138=X138)*($V$2:$AE$2&lt;X$2))),2))))</f>
      </c>
      <c r="AI138" s="33">
        <f>IF(Y138&lt;=0,0,MAX(0,MIN(Y138,ROUND($AZ138-SUMPRODUCT($V138:$AE138*($V138:$AE138&gt;0)*(($V$3:$AE$3&gt;Y$3)+($V$3:$AE$3=Y$3)*($V138:$AE138&lt;Y138)+($V$3:$AE$3=Y$3)*($V138:$AE138=Y138)*($V$2:$AE$2&lt;Y$2))),2))))</f>
      </c>
      <c r="AJ138" s="33">
        <f>IF(Z138&lt;=0,0,MAX(0,MIN(Z138,ROUND($AZ138-SUMPRODUCT($V138:$AE138*($V138:$AE138&gt;0)*(($V$3:$AE$3&gt;Z$3)+($V$3:$AE$3=Z$3)*($V138:$AE138&lt;Z138)+($V$3:$AE$3=Z$3)*($V138:$AE138=Z138)*($V$2:$AE$2&lt;Z$2))),2))))</f>
      </c>
      <c r="AK138" s="33">
        <f>IF(AA138&lt;=0,0,MAX(0,MIN(AA138,ROUND($AZ138-SUMPRODUCT($V138:$AE138*($V138:$AE138&gt;0)*(($V$3:$AE$3&gt;AA$3)+($V$3:$AE$3=AA$3)*($V138:$AE138&lt;AA138)+($V$3:$AE$3=AA$3)*($V138:$AE138=AA138)*($V$2:$AE$2&lt;AA$2))),2))))</f>
      </c>
      <c r="AL138" s="33">
        <f>IF(AB138&lt;=0,0,MAX(0,MIN(AB138,ROUND($AZ138-SUMPRODUCT($V138:$AE138*($V138:$AE138&gt;0)*(($V$3:$AE$3&gt;AB$3)+($V$3:$AE$3=AB$3)*($V138:$AE138&lt;AB138)+($V$3:$AE$3=AB$3)*($V138:$AE138=AB138)*($V$2:$AE$2&lt;AB$2))),2))))</f>
      </c>
      <c r="AM138" s="33">
        <f>IF(AC138&lt;=0,0,MAX(0,MIN(AC138,ROUND($AZ138-SUMPRODUCT($V138:$AE138*($V138:$AE138&gt;0)*(($V$3:$AE$3&gt;AC$3)+($V$3:$AE$3=AC$3)*($V138:$AE138&lt;AC138)+($V$3:$AE$3=AC$3)*($V138:$AE138=AC138)*($V$2:$AE$2&lt;AC$2))),2))))</f>
      </c>
      <c r="AN138" s="33">
        <f>IF(AD138&lt;=0,0,MAX(0,MIN(AD138,ROUND($AZ138-SUMPRODUCT($V138:$AE138*($V138:$AE138&gt;0)*(($V$3:$AE$3&gt;AD$3)+($V$3:$AE$3=AD$3)*($V138:$AE138&lt;AD138)+($V$3:$AE$3=AD$3)*($V138:$AE138=AD138)*($V$2:$AE$2&lt;AD$2))),2))))</f>
      </c>
      <c r="AO138" s="33">
        <f>IF(AE138&lt;=0,0,MAX(0,MIN(AE138,ROUND($AZ138-SUMPRODUCT($V138:$AE138*($V138:$AE138&gt;0)*(($V$3:$AE$3&gt;AE$3)+($V$3:$AE$3=AE$3)*($V138:$AE138&lt;AE138)+($V$3:$AE$3=AE$3)*($V138:$AE138=AE138)*($V$2:$AE$2&lt;AE$2))),2))))</f>
      </c>
      <c r="AP138" s="33">
        <f>ROUND(V138-AF138,2)</f>
      </c>
      <c r="AQ138" s="33">
        <f>ROUND(W138-AG138,2)</f>
      </c>
      <c r="AR138" s="33">
        <f>ROUND(X138-AH138,2)</f>
      </c>
      <c r="AS138" s="33">
        <f>ROUND(Y138-AI138,2)</f>
      </c>
      <c r="AT138" s="33">
        <f>ROUND(Z138-AJ138,2)</f>
      </c>
      <c r="AU138" s="33">
        <f>ROUND(AA138-AK138,2)</f>
      </c>
      <c r="AV138" s="33">
        <f>ROUND(AB138-AL138,2)</f>
      </c>
      <c r="AW138" s="33">
        <f>ROUND(AC138-AM138,2)</f>
      </c>
      <c r="AX138" s="33">
        <f>ROUND(AD138-AN138,2)</f>
      </c>
      <c r="AY138" s="33">
        <f>ROUND(AE138-AO138,2)</f>
      </c>
      <c r="AZ138" s="33">
        <f>ROUND(MAX(0,'Your debts'!$D$22-SUM($L138:$U138)),2)</f>
      </c>
      <c r="BA138" s="33">
        <f>ROUND(SUM($B138:$K138)-SUM($AP137:$AY137),2)</f>
      </c>
      <c r="BB138" s="33">
        <f>SUM($AP138:$AY138)</f>
      </c>
      <c r="BC138" s="33">
        <f>ROUND(SUM($L138:$U138)+SUM($AF138:$AO138),2)</f>
      </c>
    </row>
    <row r="139" spans="1:55" x14ac:dyDescent="0.25">
      <c r="A139">
        <v>132</v>
      </c>
      <c r="B139" s="33">
        <f>IF(AP138&lt;=0,0,ROUND(AP138+ROUND(AP138*V$3/12,2),2))</f>
      </c>
      <c r="C139" s="33">
        <f>IF(AQ138&lt;=0,0,ROUND(AQ138+ROUND(AQ138*W$3/12,2),2))</f>
      </c>
      <c r="D139" s="33">
        <f>IF(AR138&lt;=0,0,ROUND(AR138+ROUND(AR138*X$3/12,2),2))</f>
      </c>
      <c r="E139" s="33">
        <f>IF(AS138&lt;=0,0,ROUND(AS138+ROUND(AS138*Y$3/12,2),2))</f>
      </c>
      <c r="F139" s="33">
        <f>IF(AT138&lt;=0,0,ROUND(AT138+ROUND(AT138*Z$3/12,2),2))</f>
      </c>
      <c r="G139" s="33">
        <f>IF(AU138&lt;=0,0,ROUND(AU138+ROUND(AU138*AA$3/12,2),2))</f>
      </c>
      <c r="H139" s="33">
        <f>IF(AV138&lt;=0,0,ROUND(AV138+ROUND(AV138*AB$3/12,2),2))</f>
      </c>
      <c r="I139" s="33">
        <f>IF(AW138&lt;=0,0,ROUND(AW138+ROUND(AW138*AC$3/12,2),2))</f>
      </c>
      <c r="J139" s="33">
        <f>IF(AX138&lt;=0,0,ROUND(AX138+ROUND(AX138*AD$3/12,2),2))</f>
      </c>
      <c r="K139" s="33">
        <f>IF(AY138&lt;=0,0,ROUND(AY138+ROUND(AY138*AE$3/12,2),2))</f>
      </c>
      <c r="L139" s="33">
        <f>ROUND(MIN(MAX(0,N('Your debts'!$E$6)),B139),2)</f>
      </c>
      <c r="M139" s="33">
        <f>ROUND(MIN(MAX(0,N('Your debts'!$E$7)),C139),2)</f>
      </c>
      <c r="N139" s="33">
        <f>ROUND(MIN(MAX(0,N('Your debts'!$E$8)),D139),2)</f>
      </c>
      <c r="O139" s="33">
        <f>ROUND(MIN(MAX(0,N('Your debts'!$E$9)),E139),2)</f>
      </c>
      <c r="P139" s="33">
        <f>ROUND(MIN(MAX(0,N('Your debts'!$E$10)),F139),2)</f>
      </c>
      <c r="Q139" s="33">
        <f>ROUND(MIN(MAX(0,N('Your debts'!$E$11)),G139),2)</f>
      </c>
      <c r="R139" s="33">
        <f>ROUND(MIN(MAX(0,N('Your debts'!$E$12)),H139),2)</f>
      </c>
      <c r="S139" s="33">
        <f>ROUND(MIN(MAX(0,N('Your debts'!$E$13)),I139),2)</f>
      </c>
      <c r="T139" s="33">
        <f>ROUND(MIN(MAX(0,N('Your debts'!$E$14)),J139),2)</f>
      </c>
      <c r="U139" s="33">
        <f>ROUND(MIN(MAX(0,N('Your debts'!$E$15)),K139),2)</f>
      </c>
      <c r="V139" s="33">
        <f>ROUND(B139-L139,2)</f>
      </c>
      <c r="W139" s="33">
        <f>ROUND(C139-M139,2)</f>
      </c>
      <c r="X139" s="33">
        <f>ROUND(D139-N139,2)</f>
      </c>
      <c r="Y139" s="33">
        <f>ROUND(E139-O139,2)</f>
      </c>
      <c r="Z139" s="33">
        <f>ROUND(F139-P139,2)</f>
      </c>
      <c r="AA139" s="33">
        <f>ROUND(G139-Q139,2)</f>
      </c>
      <c r="AB139" s="33">
        <f>ROUND(H139-R139,2)</f>
      </c>
      <c r="AC139" s="33">
        <f>ROUND(I139-S139,2)</f>
      </c>
      <c r="AD139" s="33">
        <f>ROUND(J139-T139,2)</f>
      </c>
      <c r="AE139" s="33">
        <f>ROUND(K139-U139,2)</f>
      </c>
      <c r="AF139" s="33">
        <f>IF(V139&lt;=0,0,MAX(0,MIN(V139,ROUND($AZ139-SUMPRODUCT($V139:$AE139*($V139:$AE139&gt;0)*(($V$3:$AE$3&gt;V$3)+($V$3:$AE$3=V$3)*($V139:$AE139&lt;V139)+($V$3:$AE$3=V$3)*($V139:$AE139=V139)*($V$2:$AE$2&lt;V$2))),2))))</f>
      </c>
      <c r="AG139" s="33">
        <f>IF(W139&lt;=0,0,MAX(0,MIN(W139,ROUND($AZ139-SUMPRODUCT($V139:$AE139*($V139:$AE139&gt;0)*(($V$3:$AE$3&gt;W$3)+($V$3:$AE$3=W$3)*($V139:$AE139&lt;W139)+($V$3:$AE$3=W$3)*($V139:$AE139=W139)*($V$2:$AE$2&lt;W$2))),2))))</f>
      </c>
      <c r="AH139" s="33">
        <f>IF(X139&lt;=0,0,MAX(0,MIN(X139,ROUND($AZ139-SUMPRODUCT($V139:$AE139*($V139:$AE139&gt;0)*(($V$3:$AE$3&gt;X$3)+($V$3:$AE$3=X$3)*($V139:$AE139&lt;X139)+($V$3:$AE$3=X$3)*($V139:$AE139=X139)*($V$2:$AE$2&lt;X$2))),2))))</f>
      </c>
      <c r="AI139" s="33">
        <f>IF(Y139&lt;=0,0,MAX(0,MIN(Y139,ROUND($AZ139-SUMPRODUCT($V139:$AE139*($V139:$AE139&gt;0)*(($V$3:$AE$3&gt;Y$3)+($V$3:$AE$3=Y$3)*($V139:$AE139&lt;Y139)+($V$3:$AE$3=Y$3)*($V139:$AE139=Y139)*($V$2:$AE$2&lt;Y$2))),2))))</f>
      </c>
      <c r="AJ139" s="33">
        <f>IF(Z139&lt;=0,0,MAX(0,MIN(Z139,ROUND($AZ139-SUMPRODUCT($V139:$AE139*($V139:$AE139&gt;0)*(($V$3:$AE$3&gt;Z$3)+($V$3:$AE$3=Z$3)*($V139:$AE139&lt;Z139)+($V$3:$AE$3=Z$3)*($V139:$AE139=Z139)*($V$2:$AE$2&lt;Z$2))),2))))</f>
      </c>
      <c r="AK139" s="33">
        <f>IF(AA139&lt;=0,0,MAX(0,MIN(AA139,ROUND($AZ139-SUMPRODUCT($V139:$AE139*($V139:$AE139&gt;0)*(($V$3:$AE$3&gt;AA$3)+($V$3:$AE$3=AA$3)*($V139:$AE139&lt;AA139)+($V$3:$AE$3=AA$3)*($V139:$AE139=AA139)*($V$2:$AE$2&lt;AA$2))),2))))</f>
      </c>
      <c r="AL139" s="33">
        <f>IF(AB139&lt;=0,0,MAX(0,MIN(AB139,ROUND($AZ139-SUMPRODUCT($V139:$AE139*($V139:$AE139&gt;0)*(($V$3:$AE$3&gt;AB$3)+($V$3:$AE$3=AB$3)*($V139:$AE139&lt;AB139)+($V$3:$AE$3=AB$3)*($V139:$AE139=AB139)*($V$2:$AE$2&lt;AB$2))),2))))</f>
      </c>
      <c r="AM139" s="33">
        <f>IF(AC139&lt;=0,0,MAX(0,MIN(AC139,ROUND($AZ139-SUMPRODUCT($V139:$AE139*($V139:$AE139&gt;0)*(($V$3:$AE$3&gt;AC$3)+($V$3:$AE$3=AC$3)*($V139:$AE139&lt;AC139)+($V$3:$AE$3=AC$3)*($V139:$AE139=AC139)*($V$2:$AE$2&lt;AC$2))),2))))</f>
      </c>
      <c r="AN139" s="33">
        <f>IF(AD139&lt;=0,0,MAX(0,MIN(AD139,ROUND($AZ139-SUMPRODUCT($V139:$AE139*($V139:$AE139&gt;0)*(($V$3:$AE$3&gt;AD$3)+($V$3:$AE$3=AD$3)*($V139:$AE139&lt;AD139)+($V$3:$AE$3=AD$3)*($V139:$AE139=AD139)*($V$2:$AE$2&lt;AD$2))),2))))</f>
      </c>
      <c r="AO139" s="33">
        <f>IF(AE139&lt;=0,0,MAX(0,MIN(AE139,ROUND($AZ139-SUMPRODUCT($V139:$AE139*($V139:$AE139&gt;0)*(($V$3:$AE$3&gt;AE$3)+($V$3:$AE$3=AE$3)*($V139:$AE139&lt;AE139)+($V$3:$AE$3=AE$3)*($V139:$AE139=AE139)*($V$2:$AE$2&lt;AE$2))),2))))</f>
      </c>
      <c r="AP139" s="33">
        <f>ROUND(V139-AF139,2)</f>
      </c>
      <c r="AQ139" s="33">
        <f>ROUND(W139-AG139,2)</f>
      </c>
      <c r="AR139" s="33">
        <f>ROUND(X139-AH139,2)</f>
      </c>
      <c r="AS139" s="33">
        <f>ROUND(Y139-AI139,2)</f>
      </c>
      <c r="AT139" s="33">
        <f>ROUND(Z139-AJ139,2)</f>
      </c>
      <c r="AU139" s="33">
        <f>ROUND(AA139-AK139,2)</f>
      </c>
      <c r="AV139" s="33">
        <f>ROUND(AB139-AL139,2)</f>
      </c>
      <c r="AW139" s="33">
        <f>ROUND(AC139-AM139,2)</f>
      </c>
      <c r="AX139" s="33">
        <f>ROUND(AD139-AN139,2)</f>
      </c>
      <c r="AY139" s="33">
        <f>ROUND(AE139-AO139,2)</f>
      </c>
      <c r="AZ139" s="33">
        <f>ROUND(MAX(0,'Your debts'!$D$22-SUM($L139:$U139)),2)</f>
      </c>
      <c r="BA139" s="33">
        <f>ROUND(SUM($B139:$K139)-SUM($AP138:$AY138),2)</f>
      </c>
      <c r="BB139" s="33">
        <f>SUM($AP139:$AY139)</f>
      </c>
      <c r="BC139" s="33">
        <f>ROUND(SUM($L139:$U139)+SUM($AF139:$AO139),2)</f>
      </c>
    </row>
    <row r="140" spans="1:55" x14ac:dyDescent="0.25">
      <c r="A140">
        <v>133</v>
      </c>
      <c r="B140" s="33">
        <f>IF(AP139&lt;=0,0,ROUND(AP139+ROUND(AP139*V$3/12,2),2))</f>
      </c>
      <c r="C140" s="33">
        <f>IF(AQ139&lt;=0,0,ROUND(AQ139+ROUND(AQ139*W$3/12,2),2))</f>
      </c>
      <c r="D140" s="33">
        <f>IF(AR139&lt;=0,0,ROUND(AR139+ROUND(AR139*X$3/12,2),2))</f>
      </c>
      <c r="E140" s="33">
        <f>IF(AS139&lt;=0,0,ROUND(AS139+ROUND(AS139*Y$3/12,2),2))</f>
      </c>
      <c r="F140" s="33">
        <f>IF(AT139&lt;=0,0,ROUND(AT139+ROUND(AT139*Z$3/12,2),2))</f>
      </c>
      <c r="G140" s="33">
        <f>IF(AU139&lt;=0,0,ROUND(AU139+ROUND(AU139*AA$3/12,2),2))</f>
      </c>
      <c r="H140" s="33">
        <f>IF(AV139&lt;=0,0,ROUND(AV139+ROUND(AV139*AB$3/12,2),2))</f>
      </c>
      <c r="I140" s="33">
        <f>IF(AW139&lt;=0,0,ROUND(AW139+ROUND(AW139*AC$3/12,2),2))</f>
      </c>
      <c r="J140" s="33">
        <f>IF(AX139&lt;=0,0,ROUND(AX139+ROUND(AX139*AD$3/12,2),2))</f>
      </c>
      <c r="K140" s="33">
        <f>IF(AY139&lt;=0,0,ROUND(AY139+ROUND(AY139*AE$3/12,2),2))</f>
      </c>
      <c r="L140" s="33">
        <f>ROUND(MIN(MAX(0,N('Your debts'!$E$6)),B140),2)</f>
      </c>
      <c r="M140" s="33">
        <f>ROUND(MIN(MAX(0,N('Your debts'!$E$7)),C140),2)</f>
      </c>
      <c r="N140" s="33">
        <f>ROUND(MIN(MAX(0,N('Your debts'!$E$8)),D140),2)</f>
      </c>
      <c r="O140" s="33">
        <f>ROUND(MIN(MAX(0,N('Your debts'!$E$9)),E140),2)</f>
      </c>
      <c r="P140" s="33">
        <f>ROUND(MIN(MAX(0,N('Your debts'!$E$10)),F140),2)</f>
      </c>
      <c r="Q140" s="33">
        <f>ROUND(MIN(MAX(0,N('Your debts'!$E$11)),G140),2)</f>
      </c>
      <c r="R140" s="33">
        <f>ROUND(MIN(MAX(0,N('Your debts'!$E$12)),H140),2)</f>
      </c>
      <c r="S140" s="33">
        <f>ROUND(MIN(MAX(0,N('Your debts'!$E$13)),I140),2)</f>
      </c>
      <c r="T140" s="33">
        <f>ROUND(MIN(MAX(0,N('Your debts'!$E$14)),J140),2)</f>
      </c>
      <c r="U140" s="33">
        <f>ROUND(MIN(MAX(0,N('Your debts'!$E$15)),K140),2)</f>
      </c>
      <c r="V140" s="33">
        <f>ROUND(B140-L140,2)</f>
      </c>
      <c r="W140" s="33">
        <f>ROUND(C140-M140,2)</f>
      </c>
      <c r="X140" s="33">
        <f>ROUND(D140-N140,2)</f>
      </c>
      <c r="Y140" s="33">
        <f>ROUND(E140-O140,2)</f>
      </c>
      <c r="Z140" s="33">
        <f>ROUND(F140-P140,2)</f>
      </c>
      <c r="AA140" s="33">
        <f>ROUND(G140-Q140,2)</f>
      </c>
      <c r="AB140" s="33">
        <f>ROUND(H140-R140,2)</f>
      </c>
      <c r="AC140" s="33">
        <f>ROUND(I140-S140,2)</f>
      </c>
      <c r="AD140" s="33">
        <f>ROUND(J140-T140,2)</f>
      </c>
      <c r="AE140" s="33">
        <f>ROUND(K140-U140,2)</f>
      </c>
      <c r="AF140" s="33">
        <f>IF(V140&lt;=0,0,MAX(0,MIN(V140,ROUND($AZ140-SUMPRODUCT($V140:$AE140*($V140:$AE140&gt;0)*(($V$3:$AE$3&gt;V$3)+($V$3:$AE$3=V$3)*($V140:$AE140&lt;V140)+($V$3:$AE$3=V$3)*($V140:$AE140=V140)*($V$2:$AE$2&lt;V$2))),2))))</f>
      </c>
      <c r="AG140" s="33">
        <f>IF(W140&lt;=0,0,MAX(0,MIN(W140,ROUND($AZ140-SUMPRODUCT($V140:$AE140*($V140:$AE140&gt;0)*(($V$3:$AE$3&gt;W$3)+($V$3:$AE$3=W$3)*($V140:$AE140&lt;W140)+($V$3:$AE$3=W$3)*($V140:$AE140=W140)*($V$2:$AE$2&lt;W$2))),2))))</f>
      </c>
      <c r="AH140" s="33">
        <f>IF(X140&lt;=0,0,MAX(0,MIN(X140,ROUND($AZ140-SUMPRODUCT($V140:$AE140*($V140:$AE140&gt;0)*(($V$3:$AE$3&gt;X$3)+($V$3:$AE$3=X$3)*($V140:$AE140&lt;X140)+($V$3:$AE$3=X$3)*($V140:$AE140=X140)*($V$2:$AE$2&lt;X$2))),2))))</f>
      </c>
      <c r="AI140" s="33">
        <f>IF(Y140&lt;=0,0,MAX(0,MIN(Y140,ROUND($AZ140-SUMPRODUCT($V140:$AE140*($V140:$AE140&gt;0)*(($V$3:$AE$3&gt;Y$3)+($V$3:$AE$3=Y$3)*($V140:$AE140&lt;Y140)+($V$3:$AE$3=Y$3)*($V140:$AE140=Y140)*($V$2:$AE$2&lt;Y$2))),2))))</f>
      </c>
      <c r="AJ140" s="33">
        <f>IF(Z140&lt;=0,0,MAX(0,MIN(Z140,ROUND($AZ140-SUMPRODUCT($V140:$AE140*($V140:$AE140&gt;0)*(($V$3:$AE$3&gt;Z$3)+($V$3:$AE$3=Z$3)*($V140:$AE140&lt;Z140)+($V$3:$AE$3=Z$3)*($V140:$AE140=Z140)*($V$2:$AE$2&lt;Z$2))),2))))</f>
      </c>
      <c r="AK140" s="33">
        <f>IF(AA140&lt;=0,0,MAX(0,MIN(AA140,ROUND($AZ140-SUMPRODUCT($V140:$AE140*($V140:$AE140&gt;0)*(($V$3:$AE$3&gt;AA$3)+($V$3:$AE$3=AA$3)*($V140:$AE140&lt;AA140)+($V$3:$AE$3=AA$3)*($V140:$AE140=AA140)*($V$2:$AE$2&lt;AA$2))),2))))</f>
      </c>
      <c r="AL140" s="33">
        <f>IF(AB140&lt;=0,0,MAX(0,MIN(AB140,ROUND($AZ140-SUMPRODUCT($V140:$AE140*($V140:$AE140&gt;0)*(($V$3:$AE$3&gt;AB$3)+($V$3:$AE$3=AB$3)*($V140:$AE140&lt;AB140)+($V$3:$AE$3=AB$3)*($V140:$AE140=AB140)*($V$2:$AE$2&lt;AB$2))),2))))</f>
      </c>
      <c r="AM140" s="33">
        <f>IF(AC140&lt;=0,0,MAX(0,MIN(AC140,ROUND($AZ140-SUMPRODUCT($V140:$AE140*($V140:$AE140&gt;0)*(($V$3:$AE$3&gt;AC$3)+($V$3:$AE$3=AC$3)*($V140:$AE140&lt;AC140)+($V$3:$AE$3=AC$3)*($V140:$AE140=AC140)*($V$2:$AE$2&lt;AC$2))),2))))</f>
      </c>
      <c r="AN140" s="33">
        <f>IF(AD140&lt;=0,0,MAX(0,MIN(AD140,ROUND($AZ140-SUMPRODUCT($V140:$AE140*($V140:$AE140&gt;0)*(($V$3:$AE$3&gt;AD$3)+($V$3:$AE$3=AD$3)*($V140:$AE140&lt;AD140)+($V$3:$AE$3=AD$3)*($V140:$AE140=AD140)*($V$2:$AE$2&lt;AD$2))),2))))</f>
      </c>
      <c r="AO140" s="33">
        <f>IF(AE140&lt;=0,0,MAX(0,MIN(AE140,ROUND($AZ140-SUMPRODUCT($V140:$AE140*($V140:$AE140&gt;0)*(($V$3:$AE$3&gt;AE$3)+($V$3:$AE$3=AE$3)*($V140:$AE140&lt;AE140)+($V$3:$AE$3=AE$3)*($V140:$AE140=AE140)*($V$2:$AE$2&lt;AE$2))),2))))</f>
      </c>
      <c r="AP140" s="33">
        <f>ROUND(V140-AF140,2)</f>
      </c>
      <c r="AQ140" s="33">
        <f>ROUND(W140-AG140,2)</f>
      </c>
      <c r="AR140" s="33">
        <f>ROUND(X140-AH140,2)</f>
      </c>
      <c r="AS140" s="33">
        <f>ROUND(Y140-AI140,2)</f>
      </c>
      <c r="AT140" s="33">
        <f>ROUND(Z140-AJ140,2)</f>
      </c>
      <c r="AU140" s="33">
        <f>ROUND(AA140-AK140,2)</f>
      </c>
      <c r="AV140" s="33">
        <f>ROUND(AB140-AL140,2)</f>
      </c>
      <c r="AW140" s="33">
        <f>ROUND(AC140-AM140,2)</f>
      </c>
      <c r="AX140" s="33">
        <f>ROUND(AD140-AN140,2)</f>
      </c>
      <c r="AY140" s="33">
        <f>ROUND(AE140-AO140,2)</f>
      </c>
      <c r="AZ140" s="33">
        <f>ROUND(MAX(0,'Your debts'!$D$22-SUM($L140:$U140)),2)</f>
      </c>
      <c r="BA140" s="33">
        <f>ROUND(SUM($B140:$K140)-SUM($AP139:$AY139),2)</f>
      </c>
      <c r="BB140" s="33">
        <f>SUM($AP140:$AY140)</f>
      </c>
      <c r="BC140" s="33">
        <f>ROUND(SUM($L140:$U140)+SUM($AF140:$AO140),2)</f>
      </c>
    </row>
    <row r="141" spans="1:55" x14ac:dyDescent="0.25">
      <c r="A141">
        <v>134</v>
      </c>
      <c r="B141" s="33">
        <f>IF(AP140&lt;=0,0,ROUND(AP140+ROUND(AP140*V$3/12,2),2))</f>
      </c>
      <c r="C141" s="33">
        <f>IF(AQ140&lt;=0,0,ROUND(AQ140+ROUND(AQ140*W$3/12,2),2))</f>
      </c>
      <c r="D141" s="33">
        <f>IF(AR140&lt;=0,0,ROUND(AR140+ROUND(AR140*X$3/12,2),2))</f>
      </c>
      <c r="E141" s="33">
        <f>IF(AS140&lt;=0,0,ROUND(AS140+ROUND(AS140*Y$3/12,2),2))</f>
      </c>
      <c r="F141" s="33">
        <f>IF(AT140&lt;=0,0,ROUND(AT140+ROUND(AT140*Z$3/12,2),2))</f>
      </c>
      <c r="G141" s="33">
        <f>IF(AU140&lt;=0,0,ROUND(AU140+ROUND(AU140*AA$3/12,2),2))</f>
      </c>
      <c r="H141" s="33">
        <f>IF(AV140&lt;=0,0,ROUND(AV140+ROUND(AV140*AB$3/12,2),2))</f>
      </c>
      <c r="I141" s="33">
        <f>IF(AW140&lt;=0,0,ROUND(AW140+ROUND(AW140*AC$3/12,2),2))</f>
      </c>
      <c r="J141" s="33">
        <f>IF(AX140&lt;=0,0,ROUND(AX140+ROUND(AX140*AD$3/12,2),2))</f>
      </c>
      <c r="K141" s="33">
        <f>IF(AY140&lt;=0,0,ROUND(AY140+ROUND(AY140*AE$3/12,2),2))</f>
      </c>
      <c r="L141" s="33">
        <f>ROUND(MIN(MAX(0,N('Your debts'!$E$6)),B141),2)</f>
      </c>
      <c r="M141" s="33">
        <f>ROUND(MIN(MAX(0,N('Your debts'!$E$7)),C141),2)</f>
      </c>
      <c r="N141" s="33">
        <f>ROUND(MIN(MAX(0,N('Your debts'!$E$8)),D141),2)</f>
      </c>
      <c r="O141" s="33">
        <f>ROUND(MIN(MAX(0,N('Your debts'!$E$9)),E141),2)</f>
      </c>
      <c r="P141" s="33">
        <f>ROUND(MIN(MAX(0,N('Your debts'!$E$10)),F141),2)</f>
      </c>
      <c r="Q141" s="33">
        <f>ROUND(MIN(MAX(0,N('Your debts'!$E$11)),G141),2)</f>
      </c>
      <c r="R141" s="33">
        <f>ROUND(MIN(MAX(0,N('Your debts'!$E$12)),H141),2)</f>
      </c>
      <c r="S141" s="33">
        <f>ROUND(MIN(MAX(0,N('Your debts'!$E$13)),I141),2)</f>
      </c>
      <c r="T141" s="33">
        <f>ROUND(MIN(MAX(0,N('Your debts'!$E$14)),J141),2)</f>
      </c>
      <c r="U141" s="33">
        <f>ROUND(MIN(MAX(0,N('Your debts'!$E$15)),K141),2)</f>
      </c>
      <c r="V141" s="33">
        <f>ROUND(B141-L141,2)</f>
      </c>
      <c r="W141" s="33">
        <f>ROUND(C141-M141,2)</f>
      </c>
      <c r="X141" s="33">
        <f>ROUND(D141-N141,2)</f>
      </c>
      <c r="Y141" s="33">
        <f>ROUND(E141-O141,2)</f>
      </c>
      <c r="Z141" s="33">
        <f>ROUND(F141-P141,2)</f>
      </c>
      <c r="AA141" s="33">
        <f>ROUND(G141-Q141,2)</f>
      </c>
      <c r="AB141" s="33">
        <f>ROUND(H141-R141,2)</f>
      </c>
      <c r="AC141" s="33">
        <f>ROUND(I141-S141,2)</f>
      </c>
      <c r="AD141" s="33">
        <f>ROUND(J141-T141,2)</f>
      </c>
      <c r="AE141" s="33">
        <f>ROUND(K141-U141,2)</f>
      </c>
      <c r="AF141" s="33">
        <f>IF(V141&lt;=0,0,MAX(0,MIN(V141,ROUND($AZ141-SUMPRODUCT($V141:$AE141*($V141:$AE141&gt;0)*(($V$3:$AE$3&gt;V$3)+($V$3:$AE$3=V$3)*($V141:$AE141&lt;V141)+($V$3:$AE$3=V$3)*($V141:$AE141=V141)*($V$2:$AE$2&lt;V$2))),2))))</f>
      </c>
      <c r="AG141" s="33">
        <f>IF(W141&lt;=0,0,MAX(0,MIN(W141,ROUND($AZ141-SUMPRODUCT($V141:$AE141*($V141:$AE141&gt;0)*(($V$3:$AE$3&gt;W$3)+($V$3:$AE$3=W$3)*($V141:$AE141&lt;W141)+($V$3:$AE$3=W$3)*($V141:$AE141=W141)*($V$2:$AE$2&lt;W$2))),2))))</f>
      </c>
      <c r="AH141" s="33">
        <f>IF(X141&lt;=0,0,MAX(0,MIN(X141,ROUND($AZ141-SUMPRODUCT($V141:$AE141*($V141:$AE141&gt;0)*(($V$3:$AE$3&gt;X$3)+($V$3:$AE$3=X$3)*($V141:$AE141&lt;X141)+($V$3:$AE$3=X$3)*($V141:$AE141=X141)*($V$2:$AE$2&lt;X$2))),2))))</f>
      </c>
      <c r="AI141" s="33">
        <f>IF(Y141&lt;=0,0,MAX(0,MIN(Y141,ROUND($AZ141-SUMPRODUCT($V141:$AE141*($V141:$AE141&gt;0)*(($V$3:$AE$3&gt;Y$3)+($V$3:$AE$3=Y$3)*($V141:$AE141&lt;Y141)+($V$3:$AE$3=Y$3)*($V141:$AE141=Y141)*($V$2:$AE$2&lt;Y$2))),2))))</f>
      </c>
      <c r="AJ141" s="33">
        <f>IF(Z141&lt;=0,0,MAX(0,MIN(Z141,ROUND($AZ141-SUMPRODUCT($V141:$AE141*($V141:$AE141&gt;0)*(($V$3:$AE$3&gt;Z$3)+($V$3:$AE$3=Z$3)*($V141:$AE141&lt;Z141)+($V$3:$AE$3=Z$3)*($V141:$AE141=Z141)*($V$2:$AE$2&lt;Z$2))),2))))</f>
      </c>
      <c r="AK141" s="33">
        <f>IF(AA141&lt;=0,0,MAX(0,MIN(AA141,ROUND($AZ141-SUMPRODUCT($V141:$AE141*($V141:$AE141&gt;0)*(($V$3:$AE$3&gt;AA$3)+($V$3:$AE$3=AA$3)*($V141:$AE141&lt;AA141)+($V$3:$AE$3=AA$3)*($V141:$AE141=AA141)*($V$2:$AE$2&lt;AA$2))),2))))</f>
      </c>
      <c r="AL141" s="33">
        <f>IF(AB141&lt;=0,0,MAX(0,MIN(AB141,ROUND($AZ141-SUMPRODUCT($V141:$AE141*($V141:$AE141&gt;0)*(($V$3:$AE$3&gt;AB$3)+($V$3:$AE$3=AB$3)*($V141:$AE141&lt;AB141)+($V$3:$AE$3=AB$3)*($V141:$AE141=AB141)*($V$2:$AE$2&lt;AB$2))),2))))</f>
      </c>
      <c r="AM141" s="33">
        <f>IF(AC141&lt;=0,0,MAX(0,MIN(AC141,ROUND($AZ141-SUMPRODUCT($V141:$AE141*($V141:$AE141&gt;0)*(($V$3:$AE$3&gt;AC$3)+($V$3:$AE$3=AC$3)*($V141:$AE141&lt;AC141)+($V$3:$AE$3=AC$3)*($V141:$AE141=AC141)*($V$2:$AE$2&lt;AC$2))),2))))</f>
      </c>
      <c r="AN141" s="33">
        <f>IF(AD141&lt;=0,0,MAX(0,MIN(AD141,ROUND($AZ141-SUMPRODUCT($V141:$AE141*($V141:$AE141&gt;0)*(($V$3:$AE$3&gt;AD$3)+($V$3:$AE$3=AD$3)*($V141:$AE141&lt;AD141)+($V$3:$AE$3=AD$3)*($V141:$AE141=AD141)*($V$2:$AE$2&lt;AD$2))),2))))</f>
      </c>
      <c r="AO141" s="33">
        <f>IF(AE141&lt;=0,0,MAX(0,MIN(AE141,ROUND($AZ141-SUMPRODUCT($V141:$AE141*($V141:$AE141&gt;0)*(($V$3:$AE$3&gt;AE$3)+($V$3:$AE$3=AE$3)*($V141:$AE141&lt;AE141)+($V$3:$AE$3=AE$3)*($V141:$AE141=AE141)*($V$2:$AE$2&lt;AE$2))),2))))</f>
      </c>
      <c r="AP141" s="33">
        <f>ROUND(V141-AF141,2)</f>
      </c>
      <c r="AQ141" s="33">
        <f>ROUND(W141-AG141,2)</f>
      </c>
      <c r="AR141" s="33">
        <f>ROUND(X141-AH141,2)</f>
      </c>
      <c r="AS141" s="33">
        <f>ROUND(Y141-AI141,2)</f>
      </c>
      <c r="AT141" s="33">
        <f>ROUND(Z141-AJ141,2)</f>
      </c>
      <c r="AU141" s="33">
        <f>ROUND(AA141-AK141,2)</f>
      </c>
      <c r="AV141" s="33">
        <f>ROUND(AB141-AL141,2)</f>
      </c>
      <c r="AW141" s="33">
        <f>ROUND(AC141-AM141,2)</f>
      </c>
      <c r="AX141" s="33">
        <f>ROUND(AD141-AN141,2)</f>
      </c>
      <c r="AY141" s="33">
        <f>ROUND(AE141-AO141,2)</f>
      </c>
      <c r="AZ141" s="33">
        <f>ROUND(MAX(0,'Your debts'!$D$22-SUM($L141:$U141)),2)</f>
      </c>
      <c r="BA141" s="33">
        <f>ROUND(SUM($B141:$K141)-SUM($AP140:$AY140),2)</f>
      </c>
      <c r="BB141" s="33">
        <f>SUM($AP141:$AY141)</f>
      </c>
      <c r="BC141" s="33">
        <f>ROUND(SUM($L141:$U141)+SUM($AF141:$AO141),2)</f>
      </c>
    </row>
    <row r="142" spans="1:55" x14ac:dyDescent="0.25">
      <c r="A142">
        <v>135</v>
      </c>
      <c r="B142" s="33">
        <f>IF(AP141&lt;=0,0,ROUND(AP141+ROUND(AP141*V$3/12,2),2))</f>
      </c>
      <c r="C142" s="33">
        <f>IF(AQ141&lt;=0,0,ROUND(AQ141+ROUND(AQ141*W$3/12,2),2))</f>
      </c>
      <c r="D142" s="33">
        <f>IF(AR141&lt;=0,0,ROUND(AR141+ROUND(AR141*X$3/12,2),2))</f>
      </c>
      <c r="E142" s="33">
        <f>IF(AS141&lt;=0,0,ROUND(AS141+ROUND(AS141*Y$3/12,2),2))</f>
      </c>
      <c r="F142" s="33">
        <f>IF(AT141&lt;=0,0,ROUND(AT141+ROUND(AT141*Z$3/12,2),2))</f>
      </c>
      <c r="G142" s="33">
        <f>IF(AU141&lt;=0,0,ROUND(AU141+ROUND(AU141*AA$3/12,2),2))</f>
      </c>
      <c r="H142" s="33">
        <f>IF(AV141&lt;=0,0,ROUND(AV141+ROUND(AV141*AB$3/12,2),2))</f>
      </c>
      <c r="I142" s="33">
        <f>IF(AW141&lt;=0,0,ROUND(AW141+ROUND(AW141*AC$3/12,2),2))</f>
      </c>
      <c r="J142" s="33">
        <f>IF(AX141&lt;=0,0,ROUND(AX141+ROUND(AX141*AD$3/12,2),2))</f>
      </c>
      <c r="K142" s="33">
        <f>IF(AY141&lt;=0,0,ROUND(AY141+ROUND(AY141*AE$3/12,2),2))</f>
      </c>
      <c r="L142" s="33">
        <f>ROUND(MIN(MAX(0,N('Your debts'!$E$6)),B142),2)</f>
      </c>
      <c r="M142" s="33">
        <f>ROUND(MIN(MAX(0,N('Your debts'!$E$7)),C142),2)</f>
      </c>
      <c r="N142" s="33">
        <f>ROUND(MIN(MAX(0,N('Your debts'!$E$8)),D142),2)</f>
      </c>
      <c r="O142" s="33">
        <f>ROUND(MIN(MAX(0,N('Your debts'!$E$9)),E142),2)</f>
      </c>
      <c r="P142" s="33">
        <f>ROUND(MIN(MAX(0,N('Your debts'!$E$10)),F142),2)</f>
      </c>
      <c r="Q142" s="33">
        <f>ROUND(MIN(MAX(0,N('Your debts'!$E$11)),G142),2)</f>
      </c>
      <c r="R142" s="33">
        <f>ROUND(MIN(MAX(0,N('Your debts'!$E$12)),H142),2)</f>
      </c>
      <c r="S142" s="33">
        <f>ROUND(MIN(MAX(0,N('Your debts'!$E$13)),I142),2)</f>
      </c>
      <c r="T142" s="33">
        <f>ROUND(MIN(MAX(0,N('Your debts'!$E$14)),J142),2)</f>
      </c>
      <c r="U142" s="33">
        <f>ROUND(MIN(MAX(0,N('Your debts'!$E$15)),K142),2)</f>
      </c>
      <c r="V142" s="33">
        <f>ROUND(B142-L142,2)</f>
      </c>
      <c r="W142" s="33">
        <f>ROUND(C142-M142,2)</f>
      </c>
      <c r="X142" s="33">
        <f>ROUND(D142-N142,2)</f>
      </c>
      <c r="Y142" s="33">
        <f>ROUND(E142-O142,2)</f>
      </c>
      <c r="Z142" s="33">
        <f>ROUND(F142-P142,2)</f>
      </c>
      <c r="AA142" s="33">
        <f>ROUND(G142-Q142,2)</f>
      </c>
      <c r="AB142" s="33">
        <f>ROUND(H142-R142,2)</f>
      </c>
      <c r="AC142" s="33">
        <f>ROUND(I142-S142,2)</f>
      </c>
      <c r="AD142" s="33">
        <f>ROUND(J142-T142,2)</f>
      </c>
      <c r="AE142" s="33">
        <f>ROUND(K142-U142,2)</f>
      </c>
      <c r="AF142" s="33">
        <f>IF(V142&lt;=0,0,MAX(0,MIN(V142,ROUND($AZ142-SUMPRODUCT($V142:$AE142*($V142:$AE142&gt;0)*(($V$3:$AE$3&gt;V$3)+($V$3:$AE$3=V$3)*($V142:$AE142&lt;V142)+($V$3:$AE$3=V$3)*($V142:$AE142=V142)*($V$2:$AE$2&lt;V$2))),2))))</f>
      </c>
      <c r="AG142" s="33">
        <f>IF(W142&lt;=0,0,MAX(0,MIN(W142,ROUND($AZ142-SUMPRODUCT($V142:$AE142*($V142:$AE142&gt;0)*(($V$3:$AE$3&gt;W$3)+($V$3:$AE$3=W$3)*($V142:$AE142&lt;W142)+($V$3:$AE$3=W$3)*($V142:$AE142=W142)*($V$2:$AE$2&lt;W$2))),2))))</f>
      </c>
      <c r="AH142" s="33">
        <f>IF(X142&lt;=0,0,MAX(0,MIN(X142,ROUND($AZ142-SUMPRODUCT($V142:$AE142*($V142:$AE142&gt;0)*(($V$3:$AE$3&gt;X$3)+($V$3:$AE$3=X$3)*($V142:$AE142&lt;X142)+($V$3:$AE$3=X$3)*($V142:$AE142=X142)*($V$2:$AE$2&lt;X$2))),2))))</f>
      </c>
      <c r="AI142" s="33">
        <f>IF(Y142&lt;=0,0,MAX(0,MIN(Y142,ROUND($AZ142-SUMPRODUCT($V142:$AE142*($V142:$AE142&gt;0)*(($V$3:$AE$3&gt;Y$3)+($V$3:$AE$3=Y$3)*($V142:$AE142&lt;Y142)+($V$3:$AE$3=Y$3)*($V142:$AE142=Y142)*($V$2:$AE$2&lt;Y$2))),2))))</f>
      </c>
      <c r="AJ142" s="33">
        <f>IF(Z142&lt;=0,0,MAX(0,MIN(Z142,ROUND($AZ142-SUMPRODUCT($V142:$AE142*($V142:$AE142&gt;0)*(($V$3:$AE$3&gt;Z$3)+($V$3:$AE$3=Z$3)*($V142:$AE142&lt;Z142)+($V$3:$AE$3=Z$3)*($V142:$AE142=Z142)*($V$2:$AE$2&lt;Z$2))),2))))</f>
      </c>
      <c r="AK142" s="33">
        <f>IF(AA142&lt;=0,0,MAX(0,MIN(AA142,ROUND($AZ142-SUMPRODUCT($V142:$AE142*($V142:$AE142&gt;0)*(($V$3:$AE$3&gt;AA$3)+($V$3:$AE$3=AA$3)*($V142:$AE142&lt;AA142)+($V$3:$AE$3=AA$3)*($V142:$AE142=AA142)*($V$2:$AE$2&lt;AA$2))),2))))</f>
      </c>
      <c r="AL142" s="33">
        <f>IF(AB142&lt;=0,0,MAX(0,MIN(AB142,ROUND($AZ142-SUMPRODUCT($V142:$AE142*($V142:$AE142&gt;0)*(($V$3:$AE$3&gt;AB$3)+($V$3:$AE$3=AB$3)*($V142:$AE142&lt;AB142)+($V$3:$AE$3=AB$3)*($V142:$AE142=AB142)*($V$2:$AE$2&lt;AB$2))),2))))</f>
      </c>
      <c r="AM142" s="33">
        <f>IF(AC142&lt;=0,0,MAX(0,MIN(AC142,ROUND($AZ142-SUMPRODUCT($V142:$AE142*($V142:$AE142&gt;0)*(($V$3:$AE$3&gt;AC$3)+($V$3:$AE$3=AC$3)*($V142:$AE142&lt;AC142)+($V$3:$AE$3=AC$3)*($V142:$AE142=AC142)*($V$2:$AE$2&lt;AC$2))),2))))</f>
      </c>
      <c r="AN142" s="33">
        <f>IF(AD142&lt;=0,0,MAX(0,MIN(AD142,ROUND($AZ142-SUMPRODUCT($V142:$AE142*($V142:$AE142&gt;0)*(($V$3:$AE$3&gt;AD$3)+($V$3:$AE$3=AD$3)*($V142:$AE142&lt;AD142)+($V$3:$AE$3=AD$3)*($V142:$AE142=AD142)*($V$2:$AE$2&lt;AD$2))),2))))</f>
      </c>
      <c r="AO142" s="33">
        <f>IF(AE142&lt;=0,0,MAX(0,MIN(AE142,ROUND($AZ142-SUMPRODUCT($V142:$AE142*($V142:$AE142&gt;0)*(($V$3:$AE$3&gt;AE$3)+($V$3:$AE$3=AE$3)*($V142:$AE142&lt;AE142)+($V$3:$AE$3=AE$3)*($V142:$AE142=AE142)*($V$2:$AE$2&lt;AE$2))),2))))</f>
      </c>
      <c r="AP142" s="33">
        <f>ROUND(V142-AF142,2)</f>
      </c>
      <c r="AQ142" s="33">
        <f>ROUND(W142-AG142,2)</f>
      </c>
      <c r="AR142" s="33">
        <f>ROUND(X142-AH142,2)</f>
      </c>
      <c r="AS142" s="33">
        <f>ROUND(Y142-AI142,2)</f>
      </c>
      <c r="AT142" s="33">
        <f>ROUND(Z142-AJ142,2)</f>
      </c>
      <c r="AU142" s="33">
        <f>ROUND(AA142-AK142,2)</f>
      </c>
      <c r="AV142" s="33">
        <f>ROUND(AB142-AL142,2)</f>
      </c>
      <c r="AW142" s="33">
        <f>ROUND(AC142-AM142,2)</f>
      </c>
      <c r="AX142" s="33">
        <f>ROUND(AD142-AN142,2)</f>
      </c>
      <c r="AY142" s="33">
        <f>ROUND(AE142-AO142,2)</f>
      </c>
      <c r="AZ142" s="33">
        <f>ROUND(MAX(0,'Your debts'!$D$22-SUM($L142:$U142)),2)</f>
      </c>
      <c r="BA142" s="33">
        <f>ROUND(SUM($B142:$K142)-SUM($AP141:$AY141),2)</f>
      </c>
      <c r="BB142" s="33">
        <f>SUM($AP142:$AY142)</f>
      </c>
      <c r="BC142" s="33">
        <f>ROUND(SUM($L142:$U142)+SUM($AF142:$AO142),2)</f>
      </c>
    </row>
    <row r="143" spans="1:55" x14ac:dyDescent="0.25">
      <c r="A143">
        <v>136</v>
      </c>
      <c r="B143" s="33">
        <f>IF(AP142&lt;=0,0,ROUND(AP142+ROUND(AP142*V$3/12,2),2))</f>
      </c>
      <c r="C143" s="33">
        <f>IF(AQ142&lt;=0,0,ROUND(AQ142+ROUND(AQ142*W$3/12,2),2))</f>
      </c>
      <c r="D143" s="33">
        <f>IF(AR142&lt;=0,0,ROUND(AR142+ROUND(AR142*X$3/12,2),2))</f>
      </c>
      <c r="E143" s="33">
        <f>IF(AS142&lt;=0,0,ROUND(AS142+ROUND(AS142*Y$3/12,2),2))</f>
      </c>
      <c r="F143" s="33">
        <f>IF(AT142&lt;=0,0,ROUND(AT142+ROUND(AT142*Z$3/12,2),2))</f>
      </c>
      <c r="G143" s="33">
        <f>IF(AU142&lt;=0,0,ROUND(AU142+ROUND(AU142*AA$3/12,2),2))</f>
      </c>
      <c r="H143" s="33">
        <f>IF(AV142&lt;=0,0,ROUND(AV142+ROUND(AV142*AB$3/12,2),2))</f>
      </c>
      <c r="I143" s="33">
        <f>IF(AW142&lt;=0,0,ROUND(AW142+ROUND(AW142*AC$3/12,2),2))</f>
      </c>
      <c r="J143" s="33">
        <f>IF(AX142&lt;=0,0,ROUND(AX142+ROUND(AX142*AD$3/12,2),2))</f>
      </c>
      <c r="K143" s="33">
        <f>IF(AY142&lt;=0,0,ROUND(AY142+ROUND(AY142*AE$3/12,2),2))</f>
      </c>
      <c r="L143" s="33">
        <f>ROUND(MIN(MAX(0,N('Your debts'!$E$6)),B143),2)</f>
      </c>
      <c r="M143" s="33">
        <f>ROUND(MIN(MAX(0,N('Your debts'!$E$7)),C143),2)</f>
      </c>
      <c r="N143" s="33">
        <f>ROUND(MIN(MAX(0,N('Your debts'!$E$8)),D143),2)</f>
      </c>
      <c r="O143" s="33">
        <f>ROUND(MIN(MAX(0,N('Your debts'!$E$9)),E143),2)</f>
      </c>
      <c r="P143" s="33">
        <f>ROUND(MIN(MAX(0,N('Your debts'!$E$10)),F143),2)</f>
      </c>
      <c r="Q143" s="33">
        <f>ROUND(MIN(MAX(0,N('Your debts'!$E$11)),G143),2)</f>
      </c>
      <c r="R143" s="33">
        <f>ROUND(MIN(MAX(0,N('Your debts'!$E$12)),H143),2)</f>
      </c>
      <c r="S143" s="33">
        <f>ROUND(MIN(MAX(0,N('Your debts'!$E$13)),I143),2)</f>
      </c>
      <c r="T143" s="33">
        <f>ROUND(MIN(MAX(0,N('Your debts'!$E$14)),J143),2)</f>
      </c>
      <c r="U143" s="33">
        <f>ROUND(MIN(MAX(0,N('Your debts'!$E$15)),K143),2)</f>
      </c>
      <c r="V143" s="33">
        <f>ROUND(B143-L143,2)</f>
      </c>
      <c r="W143" s="33">
        <f>ROUND(C143-M143,2)</f>
      </c>
      <c r="X143" s="33">
        <f>ROUND(D143-N143,2)</f>
      </c>
      <c r="Y143" s="33">
        <f>ROUND(E143-O143,2)</f>
      </c>
      <c r="Z143" s="33">
        <f>ROUND(F143-P143,2)</f>
      </c>
      <c r="AA143" s="33">
        <f>ROUND(G143-Q143,2)</f>
      </c>
      <c r="AB143" s="33">
        <f>ROUND(H143-R143,2)</f>
      </c>
      <c r="AC143" s="33">
        <f>ROUND(I143-S143,2)</f>
      </c>
      <c r="AD143" s="33">
        <f>ROUND(J143-T143,2)</f>
      </c>
      <c r="AE143" s="33">
        <f>ROUND(K143-U143,2)</f>
      </c>
      <c r="AF143" s="33">
        <f>IF(V143&lt;=0,0,MAX(0,MIN(V143,ROUND($AZ143-SUMPRODUCT($V143:$AE143*($V143:$AE143&gt;0)*(($V$3:$AE$3&gt;V$3)+($V$3:$AE$3=V$3)*($V143:$AE143&lt;V143)+($V$3:$AE$3=V$3)*($V143:$AE143=V143)*($V$2:$AE$2&lt;V$2))),2))))</f>
      </c>
      <c r="AG143" s="33">
        <f>IF(W143&lt;=0,0,MAX(0,MIN(W143,ROUND($AZ143-SUMPRODUCT($V143:$AE143*($V143:$AE143&gt;0)*(($V$3:$AE$3&gt;W$3)+($V$3:$AE$3=W$3)*($V143:$AE143&lt;W143)+($V$3:$AE$3=W$3)*($V143:$AE143=W143)*($V$2:$AE$2&lt;W$2))),2))))</f>
      </c>
      <c r="AH143" s="33">
        <f>IF(X143&lt;=0,0,MAX(0,MIN(X143,ROUND($AZ143-SUMPRODUCT($V143:$AE143*($V143:$AE143&gt;0)*(($V$3:$AE$3&gt;X$3)+($V$3:$AE$3=X$3)*($V143:$AE143&lt;X143)+($V$3:$AE$3=X$3)*($V143:$AE143=X143)*($V$2:$AE$2&lt;X$2))),2))))</f>
      </c>
      <c r="AI143" s="33">
        <f>IF(Y143&lt;=0,0,MAX(0,MIN(Y143,ROUND($AZ143-SUMPRODUCT($V143:$AE143*($V143:$AE143&gt;0)*(($V$3:$AE$3&gt;Y$3)+($V$3:$AE$3=Y$3)*($V143:$AE143&lt;Y143)+($V$3:$AE$3=Y$3)*($V143:$AE143=Y143)*($V$2:$AE$2&lt;Y$2))),2))))</f>
      </c>
      <c r="AJ143" s="33">
        <f>IF(Z143&lt;=0,0,MAX(0,MIN(Z143,ROUND($AZ143-SUMPRODUCT($V143:$AE143*($V143:$AE143&gt;0)*(($V$3:$AE$3&gt;Z$3)+($V$3:$AE$3=Z$3)*($V143:$AE143&lt;Z143)+($V$3:$AE$3=Z$3)*($V143:$AE143=Z143)*($V$2:$AE$2&lt;Z$2))),2))))</f>
      </c>
      <c r="AK143" s="33">
        <f>IF(AA143&lt;=0,0,MAX(0,MIN(AA143,ROUND($AZ143-SUMPRODUCT($V143:$AE143*($V143:$AE143&gt;0)*(($V$3:$AE$3&gt;AA$3)+($V$3:$AE$3=AA$3)*($V143:$AE143&lt;AA143)+($V$3:$AE$3=AA$3)*($V143:$AE143=AA143)*($V$2:$AE$2&lt;AA$2))),2))))</f>
      </c>
      <c r="AL143" s="33">
        <f>IF(AB143&lt;=0,0,MAX(0,MIN(AB143,ROUND($AZ143-SUMPRODUCT($V143:$AE143*($V143:$AE143&gt;0)*(($V$3:$AE$3&gt;AB$3)+($V$3:$AE$3=AB$3)*($V143:$AE143&lt;AB143)+($V$3:$AE$3=AB$3)*($V143:$AE143=AB143)*($V$2:$AE$2&lt;AB$2))),2))))</f>
      </c>
      <c r="AM143" s="33">
        <f>IF(AC143&lt;=0,0,MAX(0,MIN(AC143,ROUND($AZ143-SUMPRODUCT($V143:$AE143*($V143:$AE143&gt;0)*(($V$3:$AE$3&gt;AC$3)+($V$3:$AE$3=AC$3)*($V143:$AE143&lt;AC143)+($V$3:$AE$3=AC$3)*($V143:$AE143=AC143)*($V$2:$AE$2&lt;AC$2))),2))))</f>
      </c>
      <c r="AN143" s="33">
        <f>IF(AD143&lt;=0,0,MAX(0,MIN(AD143,ROUND($AZ143-SUMPRODUCT($V143:$AE143*($V143:$AE143&gt;0)*(($V$3:$AE$3&gt;AD$3)+($V$3:$AE$3=AD$3)*($V143:$AE143&lt;AD143)+($V$3:$AE$3=AD$3)*($V143:$AE143=AD143)*($V$2:$AE$2&lt;AD$2))),2))))</f>
      </c>
      <c r="AO143" s="33">
        <f>IF(AE143&lt;=0,0,MAX(0,MIN(AE143,ROUND($AZ143-SUMPRODUCT($V143:$AE143*($V143:$AE143&gt;0)*(($V$3:$AE$3&gt;AE$3)+($V$3:$AE$3=AE$3)*($V143:$AE143&lt;AE143)+($V$3:$AE$3=AE$3)*($V143:$AE143=AE143)*($V$2:$AE$2&lt;AE$2))),2))))</f>
      </c>
      <c r="AP143" s="33">
        <f>ROUND(V143-AF143,2)</f>
      </c>
      <c r="AQ143" s="33">
        <f>ROUND(W143-AG143,2)</f>
      </c>
      <c r="AR143" s="33">
        <f>ROUND(X143-AH143,2)</f>
      </c>
      <c r="AS143" s="33">
        <f>ROUND(Y143-AI143,2)</f>
      </c>
      <c r="AT143" s="33">
        <f>ROUND(Z143-AJ143,2)</f>
      </c>
      <c r="AU143" s="33">
        <f>ROUND(AA143-AK143,2)</f>
      </c>
      <c r="AV143" s="33">
        <f>ROUND(AB143-AL143,2)</f>
      </c>
      <c r="AW143" s="33">
        <f>ROUND(AC143-AM143,2)</f>
      </c>
      <c r="AX143" s="33">
        <f>ROUND(AD143-AN143,2)</f>
      </c>
      <c r="AY143" s="33">
        <f>ROUND(AE143-AO143,2)</f>
      </c>
      <c r="AZ143" s="33">
        <f>ROUND(MAX(0,'Your debts'!$D$22-SUM($L143:$U143)),2)</f>
      </c>
      <c r="BA143" s="33">
        <f>ROUND(SUM($B143:$K143)-SUM($AP142:$AY142),2)</f>
      </c>
      <c r="BB143" s="33">
        <f>SUM($AP143:$AY143)</f>
      </c>
      <c r="BC143" s="33">
        <f>ROUND(SUM($L143:$U143)+SUM($AF143:$AO143),2)</f>
      </c>
    </row>
    <row r="144" spans="1:55" x14ac:dyDescent="0.25">
      <c r="A144">
        <v>137</v>
      </c>
      <c r="B144" s="33">
        <f>IF(AP143&lt;=0,0,ROUND(AP143+ROUND(AP143*V$3/12,2),2))</f>
      </c>
      <c r="C144" s="33">
        <f>IF(AQ143&lt;=0,0,ROUND(AQ143+ROUND(AQ143*W$3/12,2),2))</f>
      </c>
      <c r="D144" s="33">
        <f>IF(AR143&lt;=0,0,ROUND(AR143+ROUND(AR143*X$3/12,2),2))</f>
      </c>
      <c r="E144" s="33">
        <f>IF(AS143&lt;=0,0,ROUND(AS143+ROUND(AS143*Y$3/12,2),2))</f>
      </c>
      <c r="F144" s="33">
        <f>IF(AT143&lt;=0,0,ROUND(AT143+ROUND(AT143*Z$3/12,2),2))</f>
      </c>
      <c r="G144" s="33">
        <f>IF(AU143&lt;=0,0,ROUND(AU143+ROUND(AU143*AA$3/12,2),2))</f>
      </c>
      <c r="H144" s="33">
        <f>IF(AV143&lt;=0,0,ROUND(AV143+ROUND(AV143*AB$3/12,2),2))</f>
      </c>
      <c r="I144" s="33">
        <f>IF(AW143&lt;=0,0,ROUND(AW143+ROUND(AW143*AC$3/12,2),2))</f>
      </c>
      <c r="J144" s="33">
        <f>IF(AX143&lt;=0,0,ROUND(AX143+ROUND(AX143*AD$3/12,2),2))</f>
      </c>
      <c r="K144" s="33">
        <f>IF(AY143&lt;=0,0,ROUND(AY143+ROUND(AY143*AE$3/12,2),2))</f>
      </c>
      <c r="L144" s="33">
        <f>ROUND(MIN(MAX(0,N('Your debts'!$E$6)),B144),2)</f>
      </c>
      <c r="M144" s="33">
        <f>ROUND(MIN(MAX(0,N('Your debts'!$E$7)),C144),2)</f>
      </c>
      <c r="N144" s="33">
        <f>ROUND(MIN(MAX(0,N('Your debts'!$E$8)),D144),2)</f>
      </c>
      <c r="O144" s="33">
        <f>ROUND(MIN(MAX(0,N('Your debts'!$E$9)),E144),2)</f>
      </c>
      <c r="P144" s="33">
        <f>ROUND(MIN(MAX(0,N('Your debts'!$E$10)),F144),2)</f>
      </c>
      <c r="Q144" s="33">
        <f>ROUND(MIN(MAX(0,N('Your debts'!$E$11)),G144),2)</f>
      </c>
      <c r="R144" s="33">
        <f>ROUND(MIN(MAX(0,N('Your debts'!$E$12)),H144),2)</f>
      </c>
      <c r="S144" s="33">
        <f>ROUND(MIN(MAX(0,N('Your debts'!$E$13)),I144),2)</f>
      </c>
      <c r="T144" s="33">
        <f>ROUND(MIN(MAX(0,N('Your debts'!$E$14)),J144),2)</f>
      </c>
      <c r="U144" s="33">
        <f>ROUND(MIN(MAX(0,N('Your debts'!$E$15)),K144),2)</f>
      </c>
      <c r="V144" s="33">
        <f>ROUND(B144-L144,2)</f>
      </c>
      <c r="W144" s="33">
        <f>ROUND(C144-M144,2)</f>
      </c>
      <c r="X144" s="33">
        <f>ROUND(D144-N144,2)</f>
      </c>
      <c r="Y144" s="33">
        <f>ROUND(E144-O144,2)</f>
      </c>
      <c r="Z144" s="33">
        <f>ROUND(F144-P144,2)</f>
      </c>
      <c r="AA144" s="33">
        <f>ROUND(G144-Q144,2)</f>
      </c>
      <c r="AB144" s="33">
        <f>ROUND(H144-R144,2)</f>
      </c>
      <c r="AC144" s="33">
        <f>ROUND(I144-S144,2)</f>
      </c>
      <c r="AD144" s="33">
        <f>ROUND(J144-T144,2)</f>
      </c>
      <c r="AE144" s="33">
        <f>ROUND(K144-U144,2)</f>
      </c>
      <c r="AF144" s="33">
        <f>IF(V144&lt;=0,0,MAX(0,MIN(V144,ROUND($AZ144-SUMPRODUCT($V144:$AE144*($V144:$AE144&gt;0)*(($V$3:$AE$3&gt;V$3)+($V$3:$AE$3=V$3)*($V144:$AE144&lt;V144)+($V$3:$AE$3=V$3)*($V144:$AE144=V144)*($V$2:$AE$2&lt;V$2))),2))))</f>
      </c>
      <c r="AG144" s="33">
        <f>IF(W144&lt;=0,0,MAX(0,MIN(W144,ROUND($AZ144-SUMPRODUCT($V144:$AE144*($V144:$AE144&gt;0)*(($V$3:$AE$3&gt;W$3)+($V$3:$AE$3=W$3)*($V144:$AE144&lt;W144)+($V$3:$AE$3=W$3)*($V144:$AE144=W144)*($V$2:$AE$2&lt;W$2))),2))))</f>
      </c>
      <c r="AH144" s="33">
        <f>IF(X144&lt;=0,0,MAX(0,MIN(X144,ROUND($AZ144-SUMPRODUCT($V144:$AE144*($V144:$AE144&gt;0)*(($V$3:$AE$3&gt;X$3)+($V$3:$AE$3=X$3)*($V144:$AE144&lt;X144)+($V$3:$AE$3=X$3)*($V144:$AE144=X144)*($V$2:$AE$2&lt;X$2))),2))))</f>
      </c>
      <c r="AI144" s="33">
        <f>IF(Y144&lt;=0,0,MAX(0,MIN(Y144,ROUND($AZ144-SUMPRODUCT($V144:$AE144*($V144:$AE144&gt;0)*(($V$3:$AE$3&gt;Y$3)+($V$3:$AE$3=Y$3)*($V144:$AE144&lt;Y144)+($V$3:$AE$3=Y$3)*($V144:$AE144=Y144)*($V$2:$AE$2&lt;Y$2))),2))))</f>
      </c>
      <c r="AJ144" s="33">
        <f>IF(Z144&lt;=0,0,MAX(0,MIN(Z144,ROUND($AZ144-SUMPRODUCT($V144:$AE144*($V144:$AE144&gt;0)*(($V$3:$AE$3&gt;Z$3)+($V$3:$AE$3=Z$3)*($V144:$AE144&lt;Z144)+($V$3:$AE$3=Z$3)*($V144:$AE144=Z144)*($V$2:$AE$2&lt;Z$2))),2))))</f>
      </c>
      <c r="AK144" s="33">
        <f>IF(AA144&lt;=0,0,MAX(0,MIN(AA144,ROUND($AZ144-SUMPRODUCT($V144:$AE144*($V144:$AE144&gt;0)*(($V$3:$AE$3&gt;AA$3)+($V$3:$AE$3=AA$3)*($V144:$AE144&lt;AA144)+($V$3:$AE$3=AA$3)*($V144:$AE144=AA144)*($V$2:$AE$2&lt;AA$2))),2))))</f>
      </c>
      <c r="AL144" s="33">
        <f>IF(AB144&lt;=0,0,MAX(0,MIN(AB144,ROUND($AZ144-SUMPRODUCT($V144:$AE144*($V144:$AE144&gt;0)*(($V$3:$AE$3&gt;AB$3)+($V$3:$AE$3=AB$3)*($V144:$AE144&lt;AB144)+($V$3:$AE$3=AB$3)*($V144:$AE144=AB144)*($V$2:$AE$2&lt;AB$2))),2))))</f>
      </c>
      <c r="AM144" s="33">
        <f>IF(AC144&lt;=0,0,MAX(0,MIN(AC144,ROUND($AZ144-SUMPRODUCT($V144:$AE144*($V144:$AE144&gt;0)*(($V$3:$AE$3&gt;AC$3)+($V$3:$AE$3=AC$3)*($V144:$AE144&lt;AC144)+($V$3:$AE$3=AC$3)*($V144:$AE144=AC144)*($V$2:$AE$2&lt;AC$2))),2))))</f>
      </c>
      <c r="AN144" s="33">
        <f>IF(AD144&lt;=0,0,MAX(0,MIN(AD144,ROUND($AZ144-SUMPRODUCT($V144:$AE144*($V144:$AE144&gt;0)*(($V$3:$AE$3&gt;AD$3)+($V$3:$AE$3=AD$3)*($V144:$AE144&lt;AD144)+($V$3:$AE$3=AD$3)*($V144:$AE144=AD144)*($V$2:$AE$2&lt;AD$2))),2))))</f>
      </c>
      <c r="AO144" s="33">
        <f>IF(AE144&lt;=0,0,MAX(0,MIN(AE144,ROUND($AZ144-SUMPRODUCT($V144:$AE144*($V144:$AE144&gt;0)*(($V$3:$AE$3&gt;AE$3)+($V$3:$AE$3=AE$3)*($V144:$AE144&lt;AE144)+($V$3:$AE$3=AE$3)*($V144:$AE144=AE144)*($V$2:$AE$2&lt;AE$2))),2))))</f>
      </c>
      <c r="AP144" s="33">
        <f>ROUND(V144-AF144,2)</f>
      </c>
      <c r="AQ144" s="33">
        <f>ROUND(W144-AG144,2)</f>
      </c>
      <c r="AR144" s="33">
        <f>ROUND(X144-AH144,2)</f>
      </c>
      <c r="AS144" s="33">
        <f>ROUND(Y144-AI144,2)</f>
      </c>
      <c r="AT144" s="33">
        <f>ROUND(Z144-AJ144,2)</f>
      </c>
      <c r="AU144" s="33">
        <f>ROUND(AA144-AK144,2)</f>
      </c>
      <c r="AV144" s="33">
        <f>ROUND(AB144-AL144,2)</f>
      </c>
      <c r="AW144" s="33">
        <f>ROUND(AC144-AM144,2)</f>
      </c>
      <c r="AX144" s="33">
        <f>ROUND(AD144-AN144,2)</f>
      </c>
      <c r="AY144" s="33">
        <f>ROUND(AE144-AO144,2)</f>
      </c>
      <c r="AZ144" s="33">
        <f>ROUND(MAX(0,'Your debts'!$D$22-SUM($L144:$U144)),2)</f>
      </c>
      <c r="BA144" s="33">
        <f>ROUND(SUM($B144:$K144)-SUM($AP143:$AY143),2)</f>
      </c>
      <c r="BB144" s="33">
        <f>SUM($AP144:$AY144)</f>
      </c>
      <c r="BC144" s="33">
        <f>ROUND(SUM($L144:$U144)+SUM($AF144:$AO144),2)</f>
      </c>
    </row>
    <row r="145" spans="1:55" x14ac:dyDescent="0.25">
      <c r="A145">
        <v>138</v>
      </c>
      <c r="B145" s="33">
        <f>IF(AP144&lt;=0,0,ROUND(AP144+ROUND(AP144*V$3/12,2),2))</f>
      </c>
      <c r="C145" s="33">
        <f>IF(AQ144&lt;=0,0,ROUND(AQ144+ROUND(AQ144*W$3/12,2),2))</f>
      </c>
      <c r="D145" s="33">
        <f>IF(AR144&lt;=0,0,ROUND(AR144+ROUND(AR144*X$3/12,2),2))</f>
      </c>
      <c r="E145" s="33">
        <f>IF(AS144&lt;=0,0,ROUND(AS144+ROUND(AS144*Y$3/12,2),2))</f>
      </c>
      <c r="F145" s="33">
        <f>IF(AT144&lt;=0,0,ROUND(AT144+ROUND(AT144*Z$3/12,2),2))</f>
      </c>
      <c r="G145" s="33">
        <f>IF(AU144&lt;=0,0,ROUND(AU144+ROUND(AU144*AA$3/12,2),2))</f>
      </c>
      <c r="H145" s="33">
        <f>IF(AV144&lt;=0,0,ROUND(AV144+ROUND(AV144*AB$3/12,2),2))</f>
      </c>
      <c r="I145" s="33">
        <f>IF(AW144&lt;=0,0,ROUND(AW144+ROUND(AW144*AC$3/12,2),2))</f>
      </c>
      <c r="J145" s="33">
        <f>IF(AX144&lt;=0,0,ROUND(AX144+ROUND(AX144*AD$3/12,2),2))</f>
      </c>
      <c r="K145" s="33">
        <f>IF(AY144&lt;=0,0,ROUND(AY144+ROUND(AY144*AE$3/12,2),2))</f>
      </c>
      <c r="L145" s="33">
        <f>ROUND(MIN(MAX(0,N('Your debts'!$E$6)),B145),2)</f>
      </c>
      <c r="M145" s="33">
        <f>ROUND(MIN(MAX(0,N('Your debts'!$E$7)),C145),2)</f>
      </c>
      <c r="N145" s="33">
        <f>ROUND(MIN(MAX(0,N('Your debts'!$E$8)),D145),2)</f>
      </c>
      <c r="O145" s="33">
        <f>ROUND(MIN(MAX(0,N('Your debts'!$E$9)),E145),2)</f>
      </c>
      <c r="P145" s="33">
        <f>ROUND(MIN(MAX(0,N('Your debts'!$E$10)),F145),2)</f>
      </c>
      <c r="Q145" s="33">
        <f>ROUND(MIN(MAX(0,N('Your debts'!$E$11)),G145),2)</f>
      </c>
      <c r="R145" s="33">
        <f>ROUND(MIN(MAX(0,N('Your debts'!$E$12)),H145),2)</f>
      </c>
      <c r="S145" s="33">
        <f>ROUND(MIN(MAX(0,N('Your debts'!$E$13)),I145),2)</f>
      </c>
      <c r="T145" s="33">
        <f>ROUND(MIN(MAX(0,N('Your debts'!$E$14)),J145),2)</f>
      </c>
      <c r="U145" s="33">
        <f>ROUND(MIN(MAX(0,N('Your debts'!$E$15)),K145),2)</f>
      </c>
      <c r="V145" s="33">
        <f>ROUND(B145-L145,2)</f>
      </c>
      <c r="W145" s="33">
        <f>ROUND(C145-M145,2)</f>
      </c>
      <c r="X145" s="33">
        <f>ROUND(D145-N145,2)</f>
      </c>
      <c r="Y145" s="33">
        <f>ROUND(E145-O145,2)</f>
      </c>
      <c r="Z145" s="33">
        <f>ROUND(F145-P145,2)</f>
      </c>
      <c r="AA145" s="33">
        <f>ROUND(G145-Q145,2)</f>
      </c>
      <c r="AB145" s="33">
        <f>ROUND(H145-R145,2)</f>
      </c>
      <c r="AC145" s="33">
        <f>ROUND(I145-S145,2)</f>
      </c>
      <c r="AD145" s="33">
        <f>ROUND(J145-T145,2)</f>
      </c>
      <c r="AE145" s="33">
        <f>ROUND(K145-U145,2)</f>
      </c>
      <c r="AF145" s="33">
        <f>IF(V145&lt;=0,0,MAX(0,MIN(V145,ROUND($AZ145-SUMPRODUCT($V145:$AE145*($V145:$AE145&gt;0)*(($V$3:$AE$3&gt;V$3)+($V$3:$AE$3=V$3)*($V145:$AE145&lt;V145)+($V$3:$AE$3=V$3)*($V145:$AE145=V145)*($V$2:$AE$2&lt;V$2))),2))))</f>
      </c>
      <c r="AG145" s="33">
        <f>IF(W145&lt;=0,0,MAX(0,MIN(W145,ROUND($AZ145-SUMPRODUCT($V145:$AE145*($V145:$AE145&gt;0)*(($V$3:$AE$3&gt;W$3)+($V$3:$AE$3=W$3)*($V145:$AE145&lt;W145)+($V$3:$AE$3=W$3)*($V145:$AE145=W145)*($V$2:$AE$2&lt;W$2))),2))))</f>
      </c>
      <c r="AH145" s="33">
        <f>IF(X145&lt;=0,0,MAX(0,MIN(X145,ROUND($AZ145-SUMPRODUCT($V145:$AE145*($V145:$AE145&gt;0)*(($V$3:$AE$3&gt;X$3)+($V$3:$AE$3=X$3)*($V145:$AE145&lt;X145)+($V$3:$AE$3=X$3)*($V145:$AE145=X145)*($V$2:$AE$2&lt;X$2))),2))))</f>
      </c>
      <c r="AI145" s="33">
        <f>IF(Y145&lt;=0,0,MAX(0,MIN(Y145,ROUND($AZ145-SUMPRODUCT($V145:$AE145*($V145:$AE145&gt;0)*(($V$3:$AE$3&gt;Y$3)+($V$3:$AE$3=Y$3)*($V145:$AE145&lt;Y145)+($V$3:$AE$3=Y$3)*($V145:$AE145=Y145)*($V$2:$AE$2&lt;Y$2))),2))))</f>
      </c>
      <c r="AJ145" s="33">
        <f>IF(Z145&lt;=0,0,MAX(0,MIN(Z145,ROUND($AZ145-SUMPRODUCT($V145:$AE145*($V145:$AE145&gt;0)*(($V$3:$AE$3&gt;Z$3)+($V$3:$AE$3=Z$3)*($V145:$AE145&lt;Z145)+($V$3:$AE$3=Z$3)*($V145:$AE145=Z145)*($V$2:$AE$2&lt;Z$2))),2))))</f>
      </c>
      <c r="AK145" s="33">
        <f>IF(AA145&lt;=0,0,MAX(0,MIN(AA145,ROUND($AZ145-SUMPRODUCT($V145:$AE145*($V145:$AE145&gt;0)*(($V$3:$AE$3&gt;AA$3)+($V$3:$AE$3=AA$3)*($V145:$AE145&lt;AA145)+($V$3:$AE$3=AA$3)*($V145:$AE145=AA145)*($V$2:$AE$2&lt;AA$2))),2))))</f>
      </c>
      <c r="AL145" s="33">
        <f>IF(AB145&lt;=0,0,MAX(0,MIN(AB145,ROUND($AZ145-SUMPRODUCT($V145:$AE145*($V145:$AE145&gt;0)*(($V$3:$AE$3&gt;AB$3)+($V$3:$AE$3=AB$3)*($V145:$AE145&lt;AB145)+($V$3:$AE$3=AB$3)*($V145:$AE145=AB145)*($V$2:$AE$2&lt;AB$2))),2))))</f>
      </c>
      <c r="AM145" s="33">
        <f>IF(AC145&lt;=0,0,MAX(0,MIN(AC145,ROUND($AZ145-SUMPRODUCT($V145:$AE145*($V145:$AE145&gt;0)*(($V$3:$AE$3&gt;AC$3)+($V$3:$AE$3=AC$3)*($V145:$AE145&lt;AC145)+($V$3:$AE$3=AC$3)*($V145:$AE145=AC145)*($V$2:$AE$2&lt;AC$2))),2))))</f>
      </c>
      <c r="AN145" s="33">
        <f>IF(AD145&lt;=0,0,MAX(0,MIN(AD145,ROUND($AZ145-SUMPRODUCT($V145:$AE145*($V145:$AE145&gt;0)*(($V$3:$AE$3&gt;AD$3)+($V$3:$AE$3=AD$3)*($V145:$AE145&lt;AD145)+($V$3:$AE$3=AD$3)*($V145:$AE145=AD145)*($V$2:$AE$2&lt;AD$2))),2))))</f>
      </c>
      <c r="AO145" s="33">
        <f>IF(AE145&lt;=0,0,MAX(0,MIN(AE145,ROUND($AZ145-SUMPRODUCT($V145:$AE145*($V145:$AE145&gt;0)*(($V$3:$AE$3&gt;AE$3)+($V$3:$AE$3=AE$3)*($V145:$AE145&lt;AE145)+($V$3:$AE$3=AE$3)*($V145:$AE145=AE145)*($V$2:$AE$2&lt;AE$2))),2))))</f>
      </c>
      <c r="AP145" s="33">
        <f>ROUND(V145-AF145,2)</f>
      </c>
      <c r="AQ145" s="33">
        <f>ROUND(W145-AG145,2)</f>
      </c>
      <c r="AR145" s="33">
        <f>ROUND(X145-AH145,2)</f>
      </c>
      <c r="AS145" s="33">
        <f>ROUND(Y145-AI145,2)</f>
      </c>
      <c r="AT145" s="33">
        <f>ROUND(Z145-AJ145,2)</f>
      </c>
      <c r="AU145" s="33">
        <f>ROUND(AA145-AK145,2)</f>
      </c>
      <c r="AV145" s="33">
        <f>ROUND(AB145-AL145,2)</f>
      </c>
      <c r="AW145" s="33">
        <f>ROUND(AC145-AM145,2)</f>
      </c>
      <c r="AX145" s="33">
        <f>ROUND(AD145-AN145,2)</f>
      </c>
      <c r="AY145" s="33">
        <f>ROUND(AE145-AO145,2)</f>
      </c>
      <c r="AZ145" s="33">
        <f>ROUND(MAX(0,'Your debts'!$D$22-SUM($L145:$U145)),2)</f>
      </c>
      <c r="BA145" s="33">
        <f>ROUND(SUM($B145:$K145)-SUM($AP144:$AY144),2)</f>
      </c>
      <c r="BB145" s="33">
        <f>SUM($AP145:$AY145)</f>
      </c>
      <c r="BC145" s="33">
        <f>ROUND(SUM($L145:$U145)+SUM($AF145:$AO145),2)</f>
      </c>
    </row>
    <row r="146" spans="1:55" x14ac:dyDescent="0.25">
      <c r="A146">
        <v>139</v>
      </c>
      <c r="B146" s="33">
        <f>IF(AP145&lt;=0,0,ROUND(AP145+ROUND(AP145*V$3/12,2),2))</f>
      </c>
      <c r="C146" s="33">
        <f>IF(AQ145&lt;=0,0,ROUND(AQ145+ROUND(AQ145*W$3/12,2),2))</f>
      </c>
      <c r="D146" s="33">
        <f>IF(AR145&lt;=0,0,ROUND(AR145+ROUND(AR145*X$3/12,2),2))</f>
      </c>
      <c r="E146" s="33">
        <f>IF(AS145&lt;=0,0,ROUND(AS145+ROUND(AS145*Y$3/12,2),2))</f>
      </c>
      <c r="F146" s="33">
        <f>IF(AT145&lt;=0,0,ROUND(AT145+ROUND(AT145*Z$3/12,2),2))</f>
      </c>
      <c r="G146" s="33">
        <f>IF(AU145&lt;=0,0,ROUND(AU145+ROUND(AU145*AA$3/12,2),2))</f>
      </c>
      <c r="H146" s="33">
        <f>IF(AV145&lt;=0,0,ROUND(AV145+ROUND(AV145*AB$3/12,2),2))</f>
      </c>
      <c r="I146" s="33">
        <f>IF(AW145&lt;=0,0,ROUND(AW145+ROUND(AW145*AC$3/12,2),2))</f>
      </c>
      <c r="J146" s="33">
        <f>IF(AX145&lt;=0,0,ROUND(AX145+ROUND(AX145*AD$3/12,2),2))</f>
      </c>
      <c r="K146" s="33">
        <f>IF(AY145&lt;=0,0,ROUND(AY145+ROUND(AY145*AE$3/12,2),2))</f>
      </c>
      <c r="L146" s="33">
        <f>ROUND(MIN(MAX(0,N('Your debts'!$E$6)),B146),2)</f>
      </c>
      <c r="M146" s="33">
        <f>ROUND(MIN(MAX(0,N('Your debts'!$E$7)),C146),2)</f>
      </c>
      <c r="N146" s="33">
        <f>ROUND(MIN(MAX(0,N('Your debts'!$E$8)),D146),2)</f>
      </c>
      <c r="O146" s="33">
        <f>ROUND(MIN(MAX(0,N('Your debts'!$E$9)),E146),2)</f>
      </c>
      <c r="P146" s="33">
        <f>ROUND(MIN(MAX(0,N('Your debts'!$E$10)),F146),2)</f>
      </c>
      <c r="Q146" s="33">
        <f>ROUND(MIN(MAX(0,N('Your debts'!$E$11)),G146),2)</f>
      </c>
      <c r="R146" s="33">
        <f>ROUND(MIN(MAX(0,N('Your debts'!$E$12)),H146),2)</f>
      </c>
      <c r="S146" s="33">
        <f>ROUND(MIN(MAX(0,N('Your debts'!$E$13)),I146),2)</f>
      </c>
      <c r="T146" s="33">
        <f>ROUND(MIN(MAX(0,N('Your debts'!$E$14)),J146),2)</f>
      </c>
      <c r="U146" s="33">
        <f>ROUND(MIN(MAX(0,N('Your debts'!$E$15)),K146),2)</f>
      </c>
      <c r="V146" s="33">
        <f>ROUND(B146-L146,2)</f>
      </c>
      <c r="W146" s="33">
        <f>ROUND(C146-M146,2)</f>
      </c>
      <c r="X146" s="33">
        <f>ROUND(D146-N146,2)</f>
      </c>
      <c r="Y146" s="33">
        <f>ROUND(E146-O146,2)</f>
      </c>
      <c r="Z146" s="33">
        <f>ROUND(F146-P146,2)</f>
      </c>
      <c r="AA146" s="33">
        <f>ROUND(G146-Q146,2)</f>
      </c>
      <c r="AB146" s="33">
        <f>ROUND(H146-R146,2)</f>
      </c>
      <c r="AC146" s="33">
        <f>ROUND(I146-S146,2)</f>
      </c>
      <c r="AD146" s="33">
        <f>ROUND(J146-T146,2)</f>
      </c>
      <c r="AE146" s="33">
        <f>ROUND(K146-U146,2)</f>
      </c>
      <c r="AF146" s="33">
        <f>IF(V146&lt;=0,0,MAX(0,MIN(V146,ROUND($AZ146-SUMPRODUCT($V146:$AE146*($V146:$AE146&gt;0)*(($V$3:$AE$3&gt;V$3)+($V$3:$AE$3=V$3)*($V146:$AE146&lt;V146)+($V$3:$AE$3=V$3)*($V146:$AE146=V146)*($V$2:$AE$2&lt;V$2))),2))))</f>
      </c>
      <c r="AG146" s="33">
        <f>IF(W146&lt;=0,0,MAX(0,MIN(W146,ROUND($AZ146-SUMPRODUCT($V146:$AE146*($V146:$AE146&gt;0)*(($V$3:$AE$3&gt;W$3)+($V$3:$AE$3=W$3)*($V146:$AE146&lt;W146)+($V$3:$AE$3=W$3)*($V146:$AE146=W146)*($V$2:$AE$2&lt;W$2))),2))))</f>
      </c>
      <c r="AH146" s="33">
        <f>IF(X146&lt;=0,0,MAX(0,MIN(X146,ROUND($AZ146-SUMPRODUCT($V146:$AE146*($V146:$AE146&gt;0)*(($V$3:$AE$3&gt;X$3)+($V$3:$AE$3=X$3)*($V146:$AE146&lt;X146)+($V$3:$AE$3=X$3)*($V146:$AE146=X146)*($V$2:$AE$2&lt;X$2))),2))))</f>
      </c>
      <c r="AI146" s="33">
        <f>IF(Y146&lt;=0,0,MAX(0,MIN(Y146,ROUND($AZ146-SUMPRODUCT($V146:$AE146*($V146:$AE146&gt;0)*(($V$3:$AE$3&gt;Y$3)+($V$3:$AE$3=Y$3)*($V146:$AE146&lt;Y146)+($V$3:$AE$3=Y$3)*($V146:$AE146=Y146)*($V$2:$AE$2&lt;Y$2))),2))))</f>
      </c>
      <c r="AJ146" s="33">
        <f>IF(Z146&lt;=0,0,MAX(0,MIN(Z146,ROUND($AZ146-SUMPRODUCT($V146:$AE146*($V146:$AE146&gt;0)*(($V$3:$AE$3&gt;Z$3)+($V$3:$AE$3=Z$3)*($V146:$AE146&lt;Z146)+($V$3:$AE$3=Z$3)*($V146:$AE146=Z146)*($V$2:$AE$2&lt;Z$2))),2))))</f>
      </c>
      <c r="AK146" s="33">
        <f>IF(AA146&lt;=0,0,MAX(0,MIN(AA146,ROUND($AZ146-SUMPRODUCT($V146:$AE146*($V146:$AE146&gt;0)*(($V$3:$AE$3&gt;AA$3)+($V$3:$AE$3=AA$3)*($V146:$AE146&lt;AA146)+($V$3:$AE$3=AA$3)*($V146:$AE146=AA146)*($V$2:$AE$2&lt;AA$2))),2))))</f>
      </c>
      <c r="AL146" s="33">
        <f>IF(AB146&lt;=0,0,MAX(0,MIN(AB146,ROUND($AZ146-SUMPRODUCT($V146:$AE146*($V146:$AE146&gt;0)*(($V$3:$AE$3&gt;AB$3)+($V$3:$AE$3=AB$3)*($V146:$AE146&lt;AB146)+($V$3:$AE$3=AB$3)*($V146:$AE146=AB146)*($V$2:$AE$2&lt;AB$2))),2))))</f>
      </c>
      <c r="AM146" s="33">
        <f>IF(AC146&lt;=0,0,MAX(0,MIN(AC146,ROUND($AZ146-SUMPRODUCT($V146:$AE146*($V146:$AE146&gt;0)*(($V$3:$AE$3&gt;AC$3)+($V$3:$AE$3=AC$3)*($V146:$AE146&lt;AC146)+($V$3:$AE$3=AC$3)*($V146:$AE146=AC146)*($V$2:$AE$2&lt;AC$2))),2))))</f>
      </c>
      <c r="AN146" s="33">
        <f>IF(AD146&lt;=0,0,MAX(0,MIN(AD146,ROUND($AZ146-SUMPRODUCT($V146:$AE146*($V146:$AE146&gt;0)*(($V$3:$AE$3&gt;AD$3)+($V$3:$AE$3=AD$3)*($V146:$AE146&lt;AD146)+($V$3:$AE$3=AD$3)*($V146:$AE146=AD146)*($V$2:$AE$2&lt;AD$2))),2))))</f>
      </c>
      <c r="AO146" s="33">
        <f>IF(AE146&lt;=0,0,MAX(0,MIN(AE146,ROUND($AZ146-SUMPRODUCT($V146:$AE146*($V146:$AE146&gt;0)*(($V$3:$AE$3&gt;AE$3)+($V$3:$AE$3=AE$3)*($V146:$AE146&lt;AE146)+($V$3:$AE$3=AE$3)*($V146:$AE146=AE146)*($V$2:$AE$2&lt;AE$2))),2))))</f>
      </c>
      <c r="AP146" s="33">
        <f>ROUND(V146-AF146,2)</f>
      </c>
      <c r="AQ146" s="33">
        <f>ROUND(W146-AG146,2)</f>
      </c>
      <c r="AR146" s="33">
        <f>ROUND(X146-AH146,2)</f>
      </c>
      <c r="AS146" s="33">
        <f>ROUND(Y146-AI146,2)</f>
      </c>
      <c r="AT146" s="33">
        <f>ROUND(Z146-AJ146,2)</f>
      </c>
      <c r="AU146" s="33">
        <f>ROUND(AA146-AK146,2)</f>
      </c>
      <c r="AV146" s="33">
        <f>ROUND(AB146-AL146,2)</f>
      </c>
      <c r="AW146" s="33">
        <f>ROUND(AC146-AM146,2)</f>
      </c>
      <c r="AX146" s="33">
        <f>ROUND(AD146-AN146,2)</f>
      </c>
      <c r="AY146" s="33">
        <f>ROUND(AE146-AO146,2)</f>
      </c>
      <c r="AZ146" s="33">
        <f>ROUND(MAX(0,'Your debts'!$D$22-SUM($L146:$U146)),2)</f>
      </c>
      <c r="BA146" s="33">
        <f>ROUND(SUM($B146:$K146)-SUM($AP145:$AY145),2)</f>
      </c>
      <c r="BB146" s="33">
        <f>SUM($AP146:$AY146)</f>
      </c>
      <c r="BC146" s="33">
        <f>ROUND(SUM($L146:$U146)+SUM($AF146:$AO146),2)</f>
      </c>
    </row>
    <row r="147" spans="1:55" x14ac:dyDescent="0.25">
      <c r="A147">
        <v>140</v>
      </c>
      <c r="B147" s="33">
        <f>IF(AP146&lt;=0,0,ROUND(AP146+ROUND(AP146*V$3/12,2),2))</f>
      </c>
      <c r="C147" s="33">
        <f>IF(AQ146&lt;=0,0,ROUND(AQ146+ROUND(AQ146*W$3/12,2),2))</f>
      </c>
      <c r="D147" s="33">
        <f>IF(AR146&lt;=0,0,ROUND(AR146+ROUND(AR146*X$3/12,2),2))</f>
      </c>
      <c r="E147" s="33">
        <f>IF(AS146&lt;=0,0,ROUND(AS146+ROUND(AS146*Y$3/12,2),2))</f>
      </c>
      <c r="F147" s="33">
        <f>IF(AT146&lt;=0,0,ROUND(AT146+ROUND(AT146*Z$3/12,2),2))</f>
      </c>
      <c r="G147" s="33">
        <f>IF(AU146&lt;=0,0,ROUND(AU146+ROUND(AU146*AA$3/12,2),2))</f>
      </c>
      <c r="H147" s="33">
        <f>IF(AV146&lt;=0,0,ROUND(AV146+ROUND(AV146*AB$3/12,2),2))</f>
      </c>
      <c r="I147" s="33">
        <f>IF(AW146&lt;=0,0,ROUND(AW146+ROUND(AW146*AC$3/12,2),2))</f>
      </c>
      <c r="J147" s="33">
        <f>IF(AX146&lt;=0,0,ROUND(AX146+ROUND(AX146*AD$3/12,2),2))</f>
      </c>
      <c r="K147" s="33">
        <f>IF(AY146&lt;=0,0,ROUND(AY146+ROUND(AY146*AE$3/12,2),2))</f>
      </c>
      <c r="L147" s="33">
        <f>ROUND(MIN(MAX(0,N('Your debts'!$E$6)),B147),2)</f>
      </c>
      <c r="M147" s="33">
        <f>ROUND(MIN(MAX(0,N('Your debts'!$E$7)),C147),2)</f>
      </c>
      <c r="N147" s="33">
        <f>ROUND(MIN(MAX(0,N('Your debts'!$E$8)),D147),2)</f>
      </c>
      <c r="O147" s="33">
        <f>ROUND(MIN(MAX(0,N('Your debts'!$E$9)),E147),2)</f>
      </c>
      <c r="P147" s="33">
        <f>ROUND(MIN(MAX(0,N('Your debts'!$E$10)),F147),2)</f>
      </c>
      <c r="Q147" s="33">
        <f>ROUND(MIN(MAX(0,N('Your debts'!$E$11)),G147),2)</f>
      </c>
      <c r="R147" s="33">
        <f>ROUND(MIN(MAX(0,N('Your debts'!$E$12)),H147),2)</f>
      </c>
      <c r="S147" s="33">
        <f>ROUND(MIN(MAX(0,N('Your debts'!$E$13)),I147),2)</f>
      </c>
      <c r="T147" s="33">
        <f>ROUND(MIN(MAX(0,N('Your debts'!$E$14)),J147),2)</f>
      </c>
      <c r="U147" s="33">
        <f>ROUND(MIN(MAX(0,N('Your debts'!$E$15)),K147),2)</f>
      </c>
      <c r="V147" s="33">
        <f>ROUND(B147-L147,2)</f>
      </c>
      <c r="W147" s="33">
        <f>ROUND(C147-M147,2)</f>
      </c>
      <c r="X147" s="33">
        <f>ROUND(D147-N147,2)</f>
      </c>
      <c r="Y147" s="33">
        <f>ROUND(E147-O147,2)</f>
      </c>
      <c r="Z147" s="33">
        <f>ROUND(F147-P147,2)</f>
      </c>
      <c r="AA147" s="33">
        <f>ROUND(G147-Q147,2)</f>
      </c>
      <c r="AB147" s="33">
        <f>ROUND(H147-R147,2)</f>
      </c>
      <c r="AC147" s="33">
        <f>ROUND(I147-S147,2)</f>
      </c>
      <c r="AD147" s="33">
        <f>ROUND(J147-T147,2)</f>
      </c>
      <c r="AE147" s="33">
        <f>ROUND(K147-U147,2)</f>
      </c>
      <c r="AF147" s="33">
        <f>IF(V147&lt;=0,0,MAX(0,MIN(V147,ROUND($AZ147-SUMPRODUCT($V147:$AE147*($V147:$AE147&gt;0)*(($V$3:$AE$3&gt;V$3)+($V$3:$AE$3=V$3)*($V147:$AE147&lt;V147)+($V$3:$AE$3=V$3)*($V147:$AE147=V147)*($V$2:$AE$2&lt;V$2))),2))))</f>
      </c>
      <c r="AG147" s="33">
        <f>IF(W147&lt;=0,0,MAX(0,MIN(W147,ROUND($AZ147-SUMPRODUCT($V147:$AE147*($V147:$AE147&gt;0)*(($V$3:$AE$3&gt;W$3)+($V$3:$AE$3=W$3)*($V147:$AE147&lt;W147)+($V$3:$AE$3=W$3)*($V147:$AE147=W147)*($V$2:$AE$2&lt;W$2))),2))))</f>
      </c>
      <c r="AH147" s="33">
        <f>IF(X147&lt;=0,0,MAX(0,MIN(X147,ROUND($AZ147-SUMPRODUCT($V147:$AE147*($V147:$AE147&gt;0)*(($V$3:$AE$3&gt;X$3)+($V$3:$AE$3=X$3)*($V147:$AE147&lt;X147)+($V$3:$AE$3=X$3)*($V147:$AE147=X147)*($V$2:$AE$2&lt;X$2))),2))))</f>
      </c>
      <c r="AI147" s="33">
        <f>IF(Y147&lt;=0,0,MAX(0,MIN(Y147,ROUND($AZ147-SUMPRODUCT($V147:$AE147*($V147:$AE147&gt;0)*(($V$3:$AE$3&gt;Y$3)+($V$3:$AE$3=Y$3)*($V147:$AE147&lt;Y147)+($V$3:$AE$3=Y$3)*($V147:$AE147=Y147)*($V$2:$AE$2&lt;Y$2))),2))))</f>
      </c>
      <c r="AJ147" s="33">
        <f>IF(Z147&lt;=0,0,MAX(0,MIN(Z147,ROUND($AZ147-SUMPRODUCT($V147:$AE147*($V147:$AE147&gt;0)*(($V$3:$AE$3&gt;Z$3)+($V$3:$AE$3=Z$3)*($V147:$AE147&lt;Z147)+($V$3:$AE$3=Z$3)*($V147:$AE147=Z147)*($V$2:$AE$2&lt;Z$2))),2))))</f>
      </c>
      <c r="AK147" s="33">
        <f>IF(AA147&lt;=0,0,MAX(0,MIN(AA147,ROUND($AZ147-SUMPRODUCT($V147:$AE147*($V147:$AE147&gt;0)*(($V$3:$AE$3&gt;AA$3)+($V$3:$AE$3=AA$3)*($V147:$AE147&lt;AA147)+($V$3:$AE$3=AA$3)*($V147:$AE147=AA147)*($V$2:$AE$2&lt;AA$2))),2))))</f>
      </c>
      <c r="AL147" s="33">
        <f>IF(AB147&lt;=0,0,MAX(0,MIN(AB147,ROUND($AZ147-SUMPRODUCT($V147:$AE147*($V147:$AE147&gt;0)*(($V$3:$AE$3&gt;AB$3)+($V$3:$AE$3=AB$3)*($V147:$AE147&lt;AB147)+($V$3:$AE$3=AB$3)*($V147:$AE147=AB147)*($V$2:$AE$2&lt;AB$2))),2))))</f>
      </c>
      <c r="AM147" s="33">
        <f>IF(AC147&lt;=0,0,MAX(0,MIN(AC147,ROUND($AZ147-SUMPRODUCT($V147:$AE147*($V147:$AE147&gt;0)*(($V$3:$AE$3&gt;AC$3)+($V$3:$AE$3=AC$3)*($V147:$AE147&lt;AC147)+($V$3:$AE$3=AC$3)*($V147:$AE147=AC147)*($V$2:$AE$2&lt;AC$2))),2))))</f>
      </c>
      <c r="AN147" s="33">
        <f>IF(AD147&lt;=0,0,MAX(0,MIN(AD147,ROUND($AZ147-SUMPRODUCT($V147:$AE147*($V147:$AE147&gt;0)*(($V$3:$AE$3&gt;AD$3)+($V$3:$AE$3=AD$3)*($V147:$AE147&lt;AD147)+($V$3:$AE$3=AD$3)*($V147:$AE147=AD147)*($V$2:$AE$2&lt;AD$2))),2))))</f>
      </c>
      <c r="AO147" s="33">
        <f>IF(AE147&lt;=0,0,MAX(0,MIN(AE147,ROUND($AZ147-SUMPRODUCT($V147:$AE147*($V147:$AE147&gt;0)*(($V$3:$AE$3&gt;AE$3)+($V$3:$AE$3=AE$3)*($V147:$AE147&lt;AE147)+($V$3:$AE$3=AE$3)*($V147:$AE147=AE147)*($V$2:$AE$2&lt;AE$2))),2))))</f>
      </c>
      <c r="AP147" s="33">
        <f>ROUND(V147-AF147,2)</f>
      </c>
      <c r="AQ147" s="33">
        <f>ROUND(W147-AG147,2)</f>
      </c>
      <c r="AR147" s="33">
        <f>ROUND(X147-AH147,2)</f>
      </c>
      <c r="AS147" s="33">
        <f>ROUND(Y147-AI147,2)</f>
      </c>
      <c r="AT147" s="33">
        <f>ROUND(Z147-AJ147,2)</f>
      </c>
      <c r="AU147" s="33">
        <f>ROUND(AA147-AK147,2)</f>
      </c>
      <c r="AV147" s="33">
        <f>ROUND(AB147-AL147,2)</f>
      </c>
      <c r="AW147" s="33">
        <f>ROUND(AC147-AM147,2)</f>
      </c>
      <c r="AX147" s="33">
        <f>ROUND(AD147-AN147,2)</f>
      </c>
      <c r="AY147" s="33">
        <f>ROUND(AE147-AO147,2)</f>
      </c>
      <c r="AZ147" s="33">
        <f>ROUND(MAX(0,'Your debts'!$D$22-SUM($L147:$U147)),2)</f>
      </c>
      <c r="BA147" s="33">
        <f>ROUND(SUM($B147:$K147)-SUM($AP146:$AY146),2)</f>
      </c>
      <c r="BB147" s="33">
        <f>SUM($AP147:$AY147)</f>
      </c>
      <c r="BC147" s="33">
        <f>ROUND(SUM($L147:$U147)+SUM($AF147:$AO147),2)</f>
      </c>
    </row>
    <row r="148" spans="1:55" x14ac:dyDescent="0.25">
      <c r="A148">
        <v>141</v>
      </c>
      <c r="B148" s="33">
        <f>IF(AP147&lt;=0,0,ROUND(AP147+ROUND(AP147*V$3/12,2),2))</f>
      </c>
      <c r="C148" s="33">
        <f>IF(AQ147&lt;=0,0,ROUND(AQ147+ROUND(AQ147*W$3/12,2),2))</f>
      </c>
      <c r="D148" s="33">
        <f>IF(AR147&lt;=0,0,ROUND(AR147+ROUND(AR147*X$3/12,2),2))</f>
      </c>
      <c r="E148" s="33">
        <f>IF(AS147&lt;=0,0,ROUND(AS147+ROUND(AS147*Y$3/12,2),2))</f>
      </c>
      <c r="F148" s="33">
        <f>IF(AT147&lt;=0,0,ROUND(AT147+ROUND(AT147*Z$3/12,2),2))</f>
      </c>
      <c r="G148" s="33">
        <f>IF(AU147&lt;=0,0,ROUND(AU147+ROUND(AU147*AA$3/12,2),2))</f>
      </c>
      <c r="H148" s="33">
        <f>IF(AV147&lt;=0,0,ROUND(AV147+ROUND(AV147*AB$3/12,2),2))</f>
      </c>
      <c r="I148" s="33">
        <f>IF(AW147&lt;=0,0,ROUND(AW147+ROUND(AW147*AC$3/12,2),2))</f>
      </c>
      <c r="J148" s="33">
        <f>IF(AX147&lt;=0,0,ROUND(AX147+ROUND(AX147*AD$3/12,2),2))</f>
      </c>
      <c r="K148" s="33">
        <f>IF(AY147&lt;=0,0,ROUND(AY147+ROUND(AY147*AE$3/12,2),2))</f>
      </c>
      <c r="L148" s="33">
        <f>ROUND(MIN(MAX(0,N('Your debts'!$E$6)),B148),2)</f>
      </c>
      <c r="M148" s="33">
        <f>ROUND(MIN(MAX(0,N('Your debts'!$E$7)),C148),2)</f>
      </c>
      <c r="N148" s="33">
        <f>ROUND(MIN(MAX(0,N('Your debts'!$E$8)),D148),2)</f>
      </c>
      <c r="O148" s="33">
        <f>ROUND(MIN(MAX(0,N('Your debts'!$E$9)),E148),2)</f>
      </c>
      <c r="P148" s="33">
        <f>ROUND(MIN(MAX(0,N('Your debts'!$E$10)),F148),2)</f>
      </c>
      <c r="Q148" s="33">
        <f>ROUND(MIN(MAX(0,N('Your debts'!$E$11)),G148),2)</f>
      </c>
      <c r="R148" s="33">
        <f>ROUND(MIN(MAX(0,N('Your debts'!$E$12)),H148),2)</f>
      </c>
      <c r="S148" s="33">
        <f>ROUND(MIN(MAX(0,N('Your debts'!$E$13)),I148),2)</f>
      </c>
      <c r="T148" s="33">
        <f>ROUND(MIN(MAX(0,N('Your debts'!$E$14)),J148),2)</f>
      </c>
      <c r="U148" s="33">
        <f>ROUND(MIN(MAX(0,N('Your debts'!$E$15)),K148),2)</f>
      </c>
      <c r="V148" s="33">
        <f>ROUND(B148-L148,2)</f>
      </c>
      <c r="W148" s="33">
        <f>ROUND(C148-M148,2)</f>
      </c>
      <c r="X148" s="33">
        <f>ROUND(D148-N148,2)</f>
      </c>
      <c r="Y148" s="33">
        <f>ROUND(E148-O148,2)</f>
      </c>
      <c r="Z148" s="33">
        <f>ROUND(F148-P148,2)</f>
      </c>
      <c r="AA148" s="33">
        <f>ROUND(G148-Q148,2)</f>
      </c>
      <c r="AB148" s="33">
        <f>ROUND(H148-R148,2)</f>
      </c>
      <c r="AC148" s="33">
        <f>ROUND(I148-S148,2)</f>
      </c>
      <c r="AD148" s="33">
        <f>ROUND(J148-T148,2)</f>
      </c>
      <c r="AE148" s="33">
        <f>ROUND(K148-U148,2)</f>
      </c>
      <c r="AF148" s="33">
        <f>IF(V148&lt;=0,0,MAX(0,MIN(V148,ROUND($AZ148-SUMPRODUCT($V148:$AE148*($V148:$AE148&gt;0)*(($V$3:$AE$3&gt;V$3)+($V$3:$AE$3=V$3)*($V148:$AE148&lt;V148)+($V$3:$AE$3=V$3)*($V148:$AE148=V148)*($V$2:$AE$2&lt;V$2))),2))))</f>
      </c>
      <c r="AG148" s="33">
        <f>IF(W148&lt;=0,0,MAX(0,MIN(W148,ROUND($AZ148-SUMPRODUCT($V148:$AE148*($V148:$AE148&gt;0)*(($V$3:$AE$3&gt;W$3)+($V$3:$AE$3=W$3)*($V148:$AE148&lt;W148)+($V$3:$AE$3=W$3)*($V148:$AE148=W148)*($V$2:$AE$2&lt;W$2))),2))))</f>
      </c>
      <c r="AH148" s="33">
        <f>IF(X148&lt;=0,0,MAX(0,MIN(X148,ROUND($AZ148-SUMPRODUCT($V148:$AE148*($V148:$AE148&gt;0)*(($V$3:$AE$3&gt;X$3)+($V$3:$AE$3=X$3)*($V148:$AE148&lt;X148)+($V$3:$AE$3=X$3)*($V148:$AE148=X148)*($V$2:$AE$2&lt;X$2))),2))))</f>
      </c>
      <c r="AI148" s="33">
        <f>IF(Y148&lt;=0,0,MAX(0,MIN(Y148,ROUND($AZ148-SUMPRODUCT($V148:$AE148*($V148:$AE148&gt;0)*(($V$3:$AE$3&gt;Y$3)+($V$3:$AE$3=Y$3)*($V148:$AE148&lt;Y148)+($V$3:$AE$3=Y$3)*($V148:$AE148=Y148)*($V$2:$AE$2&lt;Y$2))),2))))</f>
      </c>
      <c r="AJ148" s="33">
        <f>IF(Z148&lt;=0,0,MAX(0,MIN(Z148,ROUND($AZ148-SUMPRODUCT($V148:$AE148*($V148:$AE148&gt;0)*(($V$3:$AE$3&gt;Z$3)+($V$3:$AE$3=Z$3)*($V148:$AE148&lt;Z148)+($V$3:$AE$3=Z$3)*($V148:$AE148=Z148)*($V$2:$AE$2&lt;Z$2))),2))))</f>
      </c>
      <c r="AK148" s="33">
        <f>IF(AA148&lt;=0,0,MAX(0,MIN(AA148,ROUND($AZ148-SUMPRODUCT($V148:$AE148*($V148:$AE148&gt;0)*(($V$3:$AE$3&gt;AA$3)+($V$3:$AE$3=AA$3)*($V148:$AE148&lt;AA148)+($V$3:$AE$3=AA$3)*($V148:$AE148=AA148)*($V$2:$AE$2&lt;AA$2))),2))))</f>
      </c>
      <c r="AL148" s="33">
        <f>IF(AB148&lt;=0,0,MAX(0,MIN(AB148,ROUND($AZ148-SUMPRODUCT($V148:$AE148*($V148:$AE148&gt;0)*(($V$3:$AE$3&gt;AB$3)+($V$3:$AE$3=AB$3)*($V148:$AE148&lt;AB148)+($V$3:$AE$3=AB$3)*($V148:$AE148=AB148)*($V$2:$AE$2&lt;AB$2))),2))))</f>
      </c>
      <c r="AM148" s="33">
        <f>IF(AC148&lt;=0,0,MAX(0,MIN(AC148,ROUND($AZ148-SUMPRODUCT($V148:$AE148*($V148:$AE148&gt;0)*(($V$3:$AE$3&gt;AC$3)+($V$3:$AE$3=AC$3)*($V148:$AE148&lt;AC148)+($V$3:$AE$3=AC$3)*($V148:$AE148=AC148)*($V$2:$AE$2&lt;AC$2))),2))))</f>
      </c>
      <c r="AN148" s="33">
        <f>IF(AD148&lt;=0,0,MAX(0,MIN(AD148,ROUND($AZ148-SUMPRODUCT($V148:$AE148*($V148:$AE148&gt;0)*(($V$3:$AE$3&gt;AD$3)+($V$3:$AE$3=AD$3)*($V148:$AE148&lt;AD148)+($V$3:$AE$3=AD$3)*($V148:$AE148=AD148)*($V$2:$AE$2&lt;AD$2))),2))))</f>
      </c>
      <c r="AO148" s="33">
        <f>IF(AE148&lt;=0,0,MAX(0,MIN(AE148,ROUND($AZ148-SUMPRODUCT($V148:$AE148*($V148:$AE148&gt;0)*(($V$3:$AE$3&gt;AE$3)+($V$3:$AE$3=AE$3)*($V148:$AE148&lt;AE148)+($V$3:$AE$3=AE$3)*($V148:$AE148=AE148)*($V$2:$AE$2&lt;AE$2))),2))))</f>
      </c>
      <c r="AP148" s="33">
        <f>ROUND(V148-AF148,2)</f>
      </c>
      <c r="AQ148" s="33">
        <f>ROUND(W148-AG148,2)</f>
      </c>
      <c r="AR148" s="33">
        <f>ROUND(X148-AH148,2)</f>
      </c>
      <c r="AS148" s="33">
        <f>ROUND(Y148-AI148,2)</f>
      </c>
      <c r="AT148" s="33">
        <f>ROUND(Z148-AJ148,2)</f>
      </c>
      <c r="AU148" s="33">
        <f>ROUND(AA148-AK148,2)</f>
      </c>
      <c r="AV148" s="33">
        <f>ROUND(AB148-AL148,2)</f>
      </c>
      <c r="AW148" s="33">
        <f>ROUND(AC148-AM148,2)</f>
      </c>
      <c r="AX148" s="33">
        <f>ROUND(AD148-AN148,2)</f>
      </c>
      <c r="AY148" s="33">
        <f>ROUND(AE148-AO148,2)</f>
      </c>
      <c r="AZ148" s="33">
        <f>ROUND(MAX(0,'Your debts'!$D$22-SUM($L148:$U148)),2)</f>
      </c>
      <c r="BA148" s="33">
        <f>ROUND(SUM($B148:$K148)-SUM($AP147:$AY147),2)</f>
      </c>
      <c r="BB148" s="33">
        <f>SUM($AP148:$AY148)</f>
      </c>
      <c r="BC148" s="33">
        <f>ROUND(SUM($L148:$U148)+SUM($AF148:$AO148),2)</f>
      </c>
    </row>
    <row r="149" spans="1:55" x14ac:dyDescent="0.25">
      <c r="A149">
        <v>142</v>
      </c>
      <c r="B149" s="33">
        <f>IF(AP148&lt;=0,0,ROUND(AP148+ROUND(AP148*V$3/12,2),2))</f>
      </c>
      <c r="C149" s="33">
        <f>IF(AQ148&lt;=0,0,ROUND(AQ148+ROUND(AQ148*W$3/12,2),2))</f>
      </c>
      <c r="D149" s="33">
        <f>IF(AR148&lt;=0,0,ROUND(AR148+ROUND(AR148*X$3/12,2),2))</f>
      </c>
      <c r="E149" s="33">
        <f>IF(AS148&lt;=0,0,ROUND(AS148+ROUND(AS148*Y$3/12,2),2))</f>
      </c>
      <c r="F149" s="33">
        <f>IF(AT148&lt;=0,0,ROUND(AT148+ROUND(AT148*Z$3/12,2),2))</f>
      </c>
      <c r="G149" s="33">
        <f>IF(AU148&lt;=0,0,ROUND(AU148+ROUND(AU148*AA$3/12,2),2))</f>
      </c>
      <c r="H149" s="33">
        <f>IF(AV148&lt;=0,0,ROUND(AV148+ROUND(AV148*AB$3/12,2),2))</f>
      </c>
      <c r="I149" s="33">
        <f>IF(AW148&lt;=0,0,ROUND(AW148+ROUND(AW148*AC$3/12,2),2))</f>
      </c>
      <c r="J149" s="33">
        <f>IF(AX148&lt;=0,0,ROUND(AX148+ROUND(AX148*AD$3/12,2),2))</f>
      </c>
      <c r="K149" s="33">
        <f>IF(AY148&lt;=0,0,ROUND(AY148+ROUND(AY148*AE$3/12,2),2))</f>
      </c>
      <c r="L149" s="33">
        <f>ROUND(MIN(MAX(0,N('Your debts'!$E$6)),B149),2)</f>
      </c>
      <c r="M149" s="33">
        <f>ROUND(MIN(MAX(0,N('Your debts'!$E$7)),C149),2)</f>
      </c>
      <c r="N149" s="33">
        <f>ROUND(MIN(MAX(0,N('Your debts'!$E$8)),D149),2)</f>
      </c>
      <c r="O149" s="33">
        <f>ROUND(MIN(MAX(0,N('Your debts'!$E$9)),E149),2)</f>
      </c>
      <c r="P149" s="33">
        <f>ROUND(MIN(MAX(0,N('Your debts'!$E$10)),F149),2)</f>
      </c>
      <c r="Q149" s="33">
        <f>ROUND(MIN(MAX(0,N('Your debts'!$E$11)),G149),2)</f>
      </c>
      <c r="R149" s="33">
        <f>ROUND(MIN(MAX(0,N('Your debts'!$E$12)),H149),2)</f>
      </c>
      <c r="S149" s="33">
        <f>ROUND(MIN(MAX(0,N('Your debts'!$E$13)),I149),2)</f>
      </c>
      <c r="T149" s="33">
        <f>ROUND(MIN(MAX(0,N('Your debts'!$E$14)),J149),2)</f>
      </c>
      <c r="U149" s="33">
        <f>ROUND(MIN(MAX(0,N('Your debts'!$E$15)),K149),2)</f>
      </c>
      <c r="V149" s="33">
        <f>ROUND(B149-L149,2)</f>
      </c>
      <c r="W149" s="33">
        <f>ROUND(C149-M149,2)</f>
      </c>
      <c r="X149" s="33">
        <f>ROUND(D149-N149,2)</f>
      </c>
      <c r="Y149" s="33">
        <f>ROUND(E149-O149,2)</f>
      </c>
      <c r="Z149" s="33">
        <f>ROUND(F149-P149,2)</f>
      </c>
      <c r="AA149" s="33">
        <f>ROUND(G149-Q149,2)</f>
      </c>
      <c r="AB149" s="33">
        <f>ROUND(H149-R149,2)</f>
      </c>
      <c r="AC149" s="33">
        <f>ROUND(I149-S149,2)</f>
      </c>
      <c r="AD149" s="33">
        <f>ROUND(J149-T149,2)</f>
      </c>
      <c r="AE149" s="33">
        <f>ROUND(K149-U149,2)</f>
      </c>
      <c r="AF149" s="33">
        <f>IF(V149&lt;=0,0,MAX(0,MIN(V149,ROUND($AZ149-SUMPRODUCT($V149:$AE149*($V149:$AE149&gt;0)*(($V$3:$AE$3&gt;V$3)+($V$3:$AE$3=V$3)*($V149:$AE149&lt;V149)+($V$3:$AE$3=V$3)*($V149:$AE149=V149)*($V$2:$AE$2&lt;V$2))),2))))</f>
      </c>
      <c r="AG149" s="33">
        <f>IF(W149&lt;=0,0,MAX(0,MIN(W149,ROUND($AZ149-SUMPRODUCT($V149:$AE149*($V149:$AE149&gt;0)*(($V$3:$AE$3&gt;W$3)+($V$3:$AE$3=W$3)*($V149:$AE149&lt;W149)+($V$3:$AE$3=W$3)*($V149:$AE149=W149)*($V$2:$AE$2&lt;W$2))),2))))</f>
      </c>
      <c r="AH149" s="33">
        <f>IF(X149&lt;=0,0,MAX(0,MIN(X149,ROUND($AZ149-SUMPRODUCT($V149:$AE149*($V149:$AE149&gt;0)*(($V$3:$AE$3&gt;X$3)+($V$3:$AE$3=X$3)*($V149:$AE149&lt;X149)+($V$3:$AE$3=X$3)*($V149:$AE149=X149)*($V$2:$AE$2&lt;X$2))),2))))</f>
      </c>
      <c r="AI149" s="33">
        <f>IF(Y149&lt;=0,0,MAX(0,MIN(Y149,ROUND($AZ149-SUMPRODUCT($V149:$AE149*($V149:$AE149&gt;0)*(($V$3:$AE$3&gt;Y$3)+($V$3:$AE$3=Y$3)*($V149:$AE149&lt;Y149)+($V$3:$AE$3=Y$3)*($V149:$AE149=Y149)*($V$2:$AE$2&lt;Y$2))),2))))</f>
      </c>
      <c r="AJ149" s="33">
        <f>IF(Z149&lt;=0,0,MAX(0,MIN(Z149,ROUND($AZ149-SUMPRODUCT($V149:$AE149*($V149:$AE149&gt;0)*(($V$3:$AE$3&gt;Z$3)+($V$3:$AE$3=Z$3)*($V149:$AE149&lt;Z149)+($V$3:$AE$3=Z$3)*($V149:$AE149=Z149)*($V$2:$AE$2&lt;Z$2))),2))))</f>
      </c>
      <c r="AK149" s="33">
        <f>IF(AA149&lt;=0,0,MAX(0,MIN(AA149,ROUND($AZ149-SUMPRODUCT($V149:$AE149*($V149:$AE149&gt;0)*(($V$3:$AE$3&gt;AA$3)+($V$3:$AE$3=AA$3)*($V149:$AE149&lt;AA149)+($V$3:$AE$3=AA$3)*($V149:$AE149=AA149)*($V$2:$AE$2&lt;AA$2))),2))))</f>
      </c>
      <c r="AL149" s="33">
        <f>IF(AB149&lt;=0,0,MAX(0,MIN(AB149,ROUND($AZ149-SUMPRODUCT($V149:$AE149*($V149:$AE149&gt;0)*(($V$3:$AE$3&gt;AB$3)+($V$3:$AE$3=AB$3)*($V149:$AE149&lt;AB149)+($V$3:$AE$3=AB$3)*($V149:$AE149=AB149)*($V$2:$AE$2&lt;AB$2))),2))))</f>
      </c>
      <c r="AM149" s="33">
        <f>IF(AC149&lt;=0,0,MAX(0,MIN(AC149,ROUND($AZ149-SUMPRODUCT($V149:$AE149*($V149:$AE149&gt;0)*(($V$3:$AE$3&gt;AC$3)+($V$3:$AE$3=AC$3)*($V149:$AE149&lt;AC149)+($V$3:$AE$3=AC$3)*($V149:$AE149=AC149)*($V$2:$AE$2&lt;AC$2))),2))))</f>
      </c>
      <c r="AN149" s="33">
        <f>IF(AD149&lt;=0,0,MAX(0,MIN(AD149,ROUND($AZ149-SUMPRODUCT($V149:$AE149*($V149:$AE149&gt;0)*(($V$3:$AE$3&gt;AD$3)+($V$3:$AE$3=AD$3)*($V149:$AE149&lt;AD149)+($V$3:$AE$3=AD$3)*($V149:$AE149=AD149)*($V$2:$AE$2&lt;AD$2))),2))))</f>
      </c>
      <c r="AO149" s="33">
        <f>IF(AE149&lt;=0,0,MAX(0,MIN(AE149,ROUND($AZ149-SUMPRODUCT($V149:$AE149*($V149:$AE149&gt;0)*(($V$3:$AE$3&gt;AE$3)+($V$3:$AE$3=AE$3)*($V149:$AE149&lt;AE149)+($V$3:$AE$3=AE$3)*($V149:$AE149=AE149)*($V$2:$AE$2&lt;AE$2))),2))))</f>
      </c>
      <c r="AP149" s="33">
        <f>ROUND(V149-AF149,2)</f>
      </c>
      <c r="AQ149" s="33">
        <f>ROUND(W149-AG149,2)</f>
      </c>
      <c r="AR149" s="33">
        <f>ROUND(X149-AH149,2)</f>
      </c>
      <c r="AS149" s="33">
        <f>ROUND(Y149-AI149,2)</f>
      </c>
      <c r="AT149" s="33">
        <f>ROUND(Z149-AJ149,2)</f>
      </c>
      <c r="AU149" s="33">
        <f>ROUND(AA149-AK149,2)</f>
      </c>
      <c r="AV149" s="33">
        <f>ROUND(AB149-AL149,2)</f>
      </c>
      <c r="AW149" s="33">
        <f>ROUND(AC149-AM149,2)</f>
      </c>
      <c r="AX149" s="33">
        <f>ROUND(AD149-AN149,2)</f>
      </c>
      <c r="AY149" s="33">
        <f>ROUND(AE149-AO149,2)</f>
      </c>
      <c r="AZ149" s="33">
        <f>ROUND(MAX(0,'Your debts'!$D$22-SUM($L149:$U149)),2)</f>
      </c>
      <c r="BA149" s="33">
        <f>ROUND(SUM($B149:$K149)-SUM($AP148:$AY148),2)</f>
      </c>
      <c r="BB149" s="33">
        <f>SUM($AP149:$AY149)</f>
      </c>
      <c r="BC149" s="33">
        <f>ROUND(SUM($L149:$U149)+SUM($AF149:$AO149),2)</f>
      </c>
    </row>
    <row r="150" spans="1:55" x14ac:dyDescent="0.25">
      <c r="A150">
        <v>143</v>
      </c>
      <c r="B150" s="33">
        <f>IF(AP149&lt;=0,0,ROUND(AP149+ROUND(AP149*V$3/12,2),2))</f>
      </c>
      <c r="C150" s="33">
        <f>IF(AQ149&lt;=0,0,ROUND(AQ149+ROUND(AQ149*W$3/12,2),2))</f>
      </c>
      <c r="D150" s="33">
        <f>IF(AR149&lt;=0,0,ROUND(AR149+ROUND(AR149*X$3/12,2),2))</f>
      </c>
      <c r="E150" s="33">
        <f>IF(AS149&lt;=0,0,ROUND(AS149+ROUND(AS149*Y$3/12,2),2))</f>
      </c>
      <c r="F150" s="33">
        <f>IF(AT149&lt;=0,0,ROUND(AT149+ROUND(AT149*Z$3/12,2),2))</f>
      </c>
      <c r="G150" s="33">
        <f>IF(AU149&lt;=0,0,ROUND(AU149+ROUND(AU149*AA$3/12,2),2))</f>
      </c>
      <c r="H150" s="33">
        <f>IF(AV149&lt;=0,0,ROUND(AV149+ROUND(AV149*AB$3/12,2),2))</f>
      </c>
      <c r="I150" s="33">
        <f>IF(AW149&lt;=0,0,ROUND(AW149+ROUND(AW149*AC$3/12,2),2))</f>
      </c>
      <c r="J150" s="33">
        <f>IF(AX149&lt;=0,0,ROUND(AX149+ROUND(AX149*AD$3/12,2),2))</f>
      </c>
      <c r="K150" s="33">
        <f>IF(AY149&lt;=0,0,ROUND(AY149+ROUND(AY149*AE$3/12,2),2))</f>
      </c>
      <c r="L150" s="33">
        <f>ROUND(MIN(MAX(0,N('Your debts'!$E$6)),B150),2)</f>
      </c>
      <c r="M150" s="33">
        <f>ROUND(MIN(MAX(0,N('Your debts'!$E$7)),C150),2)</f>
      </c>
      <c r="N150" s="33">
        <f>ROUND(MIN(MAX(0,N('Your debts'!$E$8)),D150),2)</f>
      </c>
      <c r="O150" s="33">
        <f>ROUND(MIN(MAX(0,N('Your debts'!$E$9)),E150),2)</f>
      </c>
      <c r="P150" s="33">
        <f>ROUND(MIN(MAX(0,N('Your debts'!$E$10)),F150),2)</f>
      </c>
      <c r="Q150" s="33">
        <f>ROUND(MIN(MAX(0,N('Your debts'!$E$11)),G150),2)</f>
      </c>
      <c r="R150" s="33">
        <f>ROUND(MIN(MAX(0,N('Your debts'!$E$12)),H150),2)</f>
      </c>
      <c r="S150" s="33">
        <f>ROUND(MIN(MAX(0,N('Your debts'!$E$13)),I150),2)</f>
      </c>
      <c r="T150" s="33">
        <f>ROUND(MIN(MAX(0,N('Your debts'!$E$14)),J150),2)</f>
      </c>
      <c r="U150" s="33">
        <f>ROUND(MIN(MAX(0,N('Your debts'!$E$15)),K150),2)</f>
      </c>
      <c r="V150" s="33">
        <f>ROUND(B150-L150,2)</f>
      </c>
      <c r="W150" s="33">
        <f>ROUND(C150-M150,2)</f>
      </c>
      <c r="X150" s="33">
        <f>ROUND(D150-N150,2)</f>
      </c>
      <c r="Y150" s="33">
        <f>ROUND(E150-O150,2)</f>
      </c>
      <c r="Z150" s="33">
        <f>ROUND(F150-P150,2)</f>
      </c>
      <c r="AA150" s="33">
        <f>ROUND(G150-Q150,2)</f>
      </c>
      <c r="AB150" s="33">
        <f>ROUND(H150-R150,2)</f>
      </c>
      <c r="AC150" s="33">
        <f>ROUND(I150-S150,2)</f>
      </c>
      <c r="AD150" s="33">
        <f>ROUND(J150-T150,2)</f>
      </c>
      <c r="AE150" s="33">
        <f>ROUND(K150-U150,2)</f>
      </c>
      <c r="AF150" s="33">
        <f>IF(V150&lt;=0,0,MAX(0,MIN(V150,ROUND($AZ150-SUMPRODUCT($V150:$AE150*($V150:$AE150&gt;0)*(($V$3:$AE$3&gt;V$3)+($V$3:$AE$3=V$3)*($V150:$AE150&lt;V150)+($V$3:$AE$3=V$3)*($V150:$AE150=V150)*($V$2:$AE$2&lt;V$2))),2))))</f>
      </c>
      <c r="AG150" s="33">
        <f>IF(W150&lt;=0,0,MAX(0,MIN(W150,ROUND($AZ150-SUMPRODUCT($V150:$AE150*($V150:$AE150&gt;0)*(($V$3:$AE$3&gt;W$3)+($V$3:$AE$3=W$3)*($V150:$AE150&lt;W150)+($V$3:$AE$3=W$3)*($V150:$AE150=W150)*($V$2:$AE$2&lt;W$2))),2))))</f>
      </c>
      <c r="AH150" s="33">
        <f>IF(X150&lt;=0,0,MAX(0,MIN(X150,ROUND($AZ150-SUMPRODUCT($V150:$AE150*($V150:$AE150&gt;0)*(($V$3:$AE$3&gt;X$3)+($V$3:$AE$3=X$3)*($V150:$AE150&lt;X150)+($V$3:$AE$3=X$3)*($V150:$AE150=X150)*($V$2:$AE$2&lt;X$2))),2))))</f>
      </c>
      <c r="AI150" s="33">
        <f>IF(Y150&lt;=0,0,MAX(0,MIN(Y150,ROUND($AZ150-SUMPRODUCT($V150:$AE150*($V150:$AE150&gt;0)*(($V$3:$AE$3&gt;Y$3)+($V$3:$AE$3=Y$3)*($V150:$AE150&lt;Y150)+($V$3:$AE$3=Y$3)*($V150:$AE150=Y150)*($V$2:$AE$2&lt;Y$2))),2))))</f>
      </c>
      <c r="AJ150" s="33">
        <f>IF(Z150&lt;=0,0,MAX(0,MIN(Z150,ROUND($AZ150-SUMPRODUCT($V150:$AE150*($V150:$AE150&gt;0)*(($V$3:$AE$3&gt;Z$3)+($V$3:$AE$3=Z$3)*($V150:$AE150&lt;Z150)+($V$3:$AE$3=Z$3)*($V150:$AE150=Z150)*($V$2:$AE$2&lt;Z$2))),2))))</f>
      </c>
      <c r="AK150" s="33">
        <f>IF(AA150&lt;=0,0,MAX(0,MIN(AA150,ROUND($AZ150-SUMPRODUCT($V150:$AE150*($V150:$AE150&gt;0)*(($V$3:$AE$3&gt;AA$3)+($V$3:$AE$3=AA$3)*($V150:$AE150&lt;AA150)+($V$3:$AE$3=AA$3)*($V150:$AE150=AA150)*($V$2:$AE$2&lt;AA$2))),2))))</f>
      </c>
      <c r="AL150" s="33">
        <f>IF(AB150&lt;=0,0,MAX(0,MIN(AB150,ROUND($AZ150-SUMPRODUCT($V150:$AE150*($V150:$AE150&gt;0)*(($V$3:$AE$3&gt;AB$3)+($V$3:$AE$3=AB$3)*($V150:$AE150&lt;AB150)+($V$3:$AE$3=AB$3)*($V150:$AE150=AB150)*($V$2:$AE$2&lt;AB$2))),2))))</f>
      </c>
      <c r="AM150" s="33">
        <f>IF(AC150&lt;=0,0,MAX(0,MIN(AC150,ROUND($AZ150-SUMPRODUCT($V150:$AE150*($V150:$AE150&gt;0)*(($V$3:$AE$3&gt;AC$3)+($V$3:$AE$3=AC$3)*($V150:$AE150&lt;AC150)+($V$3:$AE$3=AC$3)*($V150:$AE150=AC150)*($V$2:$AE$2&lt;AC$2))),2))))</f>
      </c>
      <c r="AN150" s="33">
        <f>IF(AD150&lt;=0,0,MAX(0,MIN(AD150,ROUND($AZ150-SUMPRODUCT($V150:$AE150*($V150:$AE150&gt;0)*(($V$3:$AE$3&gt;AD$3)+($V$3:$AE$3=AD$3)*($V150:$AE150&lt;AD150)+($V$3:$AE$3=AD$3)*($V150:$AE150=AD150)*($V$2:$AE$2&lt;AD$2))),2))))</f>
      </c>
      <c r="AO150" s="33">
        <f>IF(AE150&lt;=0,0,MAX(0,MIN(AE150,ROUND($AZ150-SUMPRODUCT($V150:$AE150*($V150:$AE150&gt;0)*(($V$3:$AE$3&gt;AE$3)+($V$3:$AE$3=AE$3)*($V150:$AE150&lt;AE150)+($V$3:$AE$3=AE$3)*($V150:$AE150=AE150)*($V$2:$AE$2&lt;AE$2))),2))))</f>
      </c>
      <c r="AP150" s="33">
        <f>ROUND(V150-AF150,2)</f>
      </c>
      <c r="AQ150" s="33">
        <f>ROUND(W150-AG150,2)</f>
      </c>
      <c r="AR150" s="33">
        <f>ROUND(X150-AH150,2)</f>
      </c>
      <c r="AS150" s="33">
        <f>ROUND(Y150-AI150,2)</f>
      </c>
      <c r="AT150" s="33">
        <f>ROUND(Z150-AJ150,2)</f>
      </c>
      <c r="AU150" s="33">
        <f>ROUND(AA150-AK150,2)</f>
      </c>
      <c r="AV150" s="33">
        <f>ROUND(AB150-AL150,2)</f>
      </c>
      <c r="AW150" s="33">
        <f>ROUND(AC150-AM150,2)</f>
      </c>
      <c r="AX150" s="33">
        <f>ROUND(AD150-AN150,2)</f>
      </c>
      <c r="AY150" s="33">
        <f>ROUND(AE150-AO150,2)</f>
      </c>
      <c r="AZ150" s="33">
        <f>ROUND(MAX(0,'Your debts'!$D$22-SUM($L150:$U150)),2)</f>
      </c>
      <c r="BA150" s="33">
        <f>ROUND(SUM($B150:$K150)-SUM($AP149:$AY149),2)</f>
      </c>
      <c r="BB150" s="33">
        <f>SUM($AP150:$AY150)</f>
      </c>
      <c r="BC150" s="33">
        <f>ROUND(SUM($L150:$U150)+SUM($AF150:$AO150),2)</f>
      </c>
    </row>
    <row r="151" spans="1:55" x14ac:dyDescent="0.25">
      <c r="A151">
        <v>144</v>
      </c>
      <c r="B151" s="33">
        <f>IF(AP150&lt;=0,0,ROUND(AP150+ROUND(AP150*V$3/12,2),2))</f>
      </c>
      <c r="C151" s="33">
        <f>IF(AQ150&lt;=0,0,ROUND(AQ150+ROUND(AQ150*W$3/12,2),2))</f>
      </c>
      <c r="D151" s="33">
        <f>IF(AR150&lt;=0,0,ROUND(AR150+ROUND(AR150*X$3/12,2),2))</f>
      </c>
      <c r="E151" s="33">
        <f>IF(AS150&lt;=0,0,ROUND(AS150+ROUND(AS150*Y$3/12,2),2))</f>
      </c>
      <c r="F151" s="33">
        <f>IF(AT150&lt;=0,0,ROUND(AT150+ROUND(AT150*Z$3/12,2),2))</f>
      </c>
      <c r="G151" s="33">
        <f>IF(AU150&lt;=0,0,ROUND(AU150+ROUND(AU150*AA$3/12,2),2))</f>
      </c>
      <c r="H151" s="33">
        <f>IF(AV150&lt;=0,0,ROUND(AV150+ROUND(AV150*AB$3/12,2),2))</f>
      </c>
      <c r="I151" s="33">
        <f>IF(AW150&lt;=0,0,ROUND(AW150+ROUND(AW150*AC$3/12,2),2))</f>
      </c>
      <c r="J151" s="33">
        <f>IF(AX150&lt;=0,0,ROUND(AX150+ROUND(AX150*AD$3/12,2),2))</f>
      </c>
      <c r="K151" s="33">
        <f>IF(AY150&lt;=0,0,ROUND(AY150+ROUND(AY150*AE$3/12,2),2))</f>
      </c>
      <c r="L151" s="33">
        <f>ROUND(MIN(MAX(0,N('Your debts'!$E$6)),B151),2)</f>
      </c>
      <c r="M151" s="33">
        <f>ROUND(MIN(MAX(0,N('Your debts'!$E$7)),C151),2)</f>
      </c>
      <c r="N151" s="33">
        <f>ROUND(MIN(MAX(0,N('Your debts'!$E$8)),D151),2)</f>
      </c>
      <c r="O151" s="33">
        <f>ROUND(MIN(MAX(0,N('Your debts'!$E$9)),E151),2)</f>
      </c>
      <c r="P151" s="33">
        <f>ROUND(MIN(MAX(0,N('Your debts'!$E$10)),F151),2)</f>
      </c>
      <c r="Q151" s="33">
        <f>ROUND(MIN(MAX(0,N('Your debts'!$E$11)),G151),2)</f>
      </c>
      <c r="R151" s="33">
        <f>ROUND(MIN(MAX(0,N('Your debts'!$E$12)),H151),2)</f>
      </c>
      <c r="S151" s="33">
        <f>ROUND(MIN(MAX(0,N('Your debts'!$E$13)),I151),2)</f>
      </c>
      <c r="T151" s="33">
        <f>ROUND(MIN(MAX(0,N('Your debts'!$E$14)),J151),2)</f>
      </c>
      <c r="U151" s="33">
        <f>ROUND(MIN(MAX(0,N('Your debts'!$E$15)),K151),2)</f>
      </c>
      <c r="V151" s="33">
        <f>ROUND(B151-L151,2)</f>
      </c>
      <c r="W151" s="33">
        <f>ROUND(C151-M151,2)</f>
      </c>
      <c r="X151" s="33">
        <f>ROUND(D151-N151,2)</f>
      </c>
      <c r="Y151" s="33">
        <f>ROUND(E151-O151,2)</f>
      </c>
      <c r="Z151" s="33">
        <f>ROUND(F151-P151,2)</f>
      </c>
      <c r="AA151" s="33">
        <f>ROUND(G151-Q151,2)</f>
      </c>
      <c r="AB151" s="33">
        <f>ROUND(H151-R151,2)</f>
      </c>
      <c r="AC151" s="33">
        <f>ROUND(I151-S151,2)</f>
      </c>
      <c r="AD151" s="33">
        <f>ROUND(J151-T151,2)</f>
      </c>
      <c r="AE151" s="33">
        <f>ROUND(K151-U151,2)</f>
      </c>
      <c r="AF151" s="33">
        <f>IF(V151&lt;=0,0,MAX(0,MIN(V151,ROUND($AZ151-SUMPRODUCT($V151:$AE151*($V151:$AE151&gt;0)*(($V$3:$AE$3&gt;V$3)+($V$3:$AE$3=V$3)*($V151:$AE151&lt;V151)+($V$3:$AE$3=V$3)*($V151:$AE151=V151)*($V$2:$AE$2&lt;V$2))),2))))</f>
      </c>
      <c r="AG151" s="33">
        <f>IF(W151&lt;=0,0,MAX(0,MIN(W151,ROUND($AZ151-SUMPRODUCT($V151:$AE151*($V151:$AE151&gt;0)*(($V$3:$AE$3&gt;W$3)+($V$3:$AE$3=W$3)*($V151:$AE151&lt;W151)+($V$3:$AE$3=W$3)*($V151:$AE151=W151)*($V$2:$AE$2&lt;W$2))),2))))</f>
      </c>
      <c r="AH151" s="33">
        <f>IF(X151&lt;=0,0,MAX(0,MIN(X151,ROUND($AZ151-SUMPRODUCT($V151:$AE151*($V151:$AE151&gt;0)*(($V$3:$AE$3&gt;X$3)+($V$3:$AE$3=X$3)*($V151:$AE151&lt;X151)+($V$3:$AE$3=X$3)*($V151:$AE151=X151)*($V$2:$AE$2&lt;X$2))),2))))</f>
      </c>
      <c r="AI151" s="33">
        <f>IF(Y151&lt;=0,0,MAX(0,MIN(Y151,ROUND($AZ151-SUMPRODUCT($V151:$AE151*($V151:$AE151&gt;0)*(($V$3:$AE$3&gt;Y$3)+($V$3:$AE$3=Y$3)*($V151:$AE151&lt;Y151)+($V$3:$AE$3=Y$3)*($V151:$AE151=Y151)*($V$2:$AE$2&lt;Y$2))),2))))</f>
      </c>
      <c r="AJ151" s="33">
        <f>IF(Z151&lt;=0,0,MAX(0,MIN(Z151,ROUND($AZ151-SUMPRODUCT($V151:$AE151*($V151:$AE151&gt;0)*(($V$3:$AE$3&gt;Z$3)+($V$3:$AE$3=Z$3)*($V151:$AE151&lt;Z151)+($V$3:$AE$3=Z$3)*($V151:$AE151=Z151)*($V$2:$AE$2&lt;Z$2))),2))))</f>
      </c>
      <c r="AK151" s="33">
        <f>IF(AA151&lt;=0,0,MAX(0,MIN(AA151,ROUND($AZ151-SUMPRODUCT($V151:$AE151*($V151:$AE151&gt;0)*(($V$3:$AE$3&gt;AA$3)+($V$3:$AE$3=AA$3)*($V151:$AE151&lt;AA151)+($V$3:$AE$3=AA$3)*($V151:$AE151=AA151)*($V$2:$AE$2&lt;AA$2))),2))))</f>
      </c>
      <c r="AL151" s="33">
        <f>IF(AB151&lt;=0,0,MAX(0,MIN(AB151,ROUND($AZ151-SUMPRODUCT($V151:$AE151*($V151:$AE151&gt;0)*(($V$3:$AE$3&gt;AB$3)+($V$3:$AE$3=AB$3)*($V151:$AE151&lt;AB151)+($V$3:$AE$3=AB$3)*($V151:$AE151=AB151)*($V$2:$AE$2&lt;AB$2))),2))))</f>
      </c>
      <c r="AM151" s="33">
        <f>IF(AC151&lt;=0,0,MAX(0,MIN(AC151,ROUND($AZ151-SUMPRODUCT($V151:$AE151*($V151:$AE151&gt;0)*(($V$3:$AE$3&gt;AC$3)+($V$3:$AE$3=AC$3)*($V151:$AE151&lt;AC151)+($V$3:$AE$3=AC$3)*($V151:$AE151=AC151)*($V$2:$AE$2&lt;AC$2))),2))))</f>
      </c>
      <c r="AN151" s="33">
        <f>IF(AD151&lt;=0,0,MAX(0,MIN(AD151,ROUND($AZ151-SUMPRODUCT($V151:$AE151*($V151:$AE151&gt;0)*(($V$3:$AE$3&gt;AD$3)+($V$3:$AE$3=AD$3)*($V151:$AE151&lt;AD151)+($V$3:$AE$3=AD$3)*($V151:$AE151=AD151)*($V$2:$AE$2&lt;AD$2))),2))))</f>
      </c>
      <c r="AO151" s="33">
        <f>IF(AE151&lt;=0,0,MAX(0,MIN(AE151,ROUND($AZ151-SUMPRODUCT($V151:$AE151*($V151:$AE151&gt;0)*(($V$3:$AE$3&gt;AE$3)+($V$3:$AE$3=AE$3)*($V151:$AE151&lt;AE151)+($V$3:$AE$3=AE$3)*($V151:$AE151=AE151)*($V$2:$AE$2&lt;AE$2))),2))))</f>
      </c>
      <c r="AP151" s="33">
        <f>ROUND(V151-AF151,2)</f>
      </c>
      <c r="AQ151" s="33">
        <f>ROUND(W151-AG151,2)</f>
      </c>
      <c r="AR151" s="33">
        <f>ROUND(X151-AH151,2)</f>
      </c>
      <c r="AS151" s="33">
        <f>ROUND(Y151-AI151,2)</f>
      </c>
      <c r="AT151" s="33">
        <f>ROUND(Z151-AJ151,2)</f>
      </c>
      <c r="AU151" s="33">
        <f>ROUND(AA151-AK151,2)</f>
      </c>
      <c r="AV151" s="33">
        <f>ROUND(AB151-AL151,2)</f>
      </c>
      <c r="AW151" s="33">
        <f>ROUND(AC151-AM151,2)</f>
      </c>
      <c r="AX151" s="33">
        <f>ROUND(AD151-AN151,2)</f>
      </c>
      <c r="AY151" s="33">
        <f>ROUND(AE151-AO151,2)</f>
      </c>
      <c r="AZ151" s="33">
        <f>ROUND(MAX(0,'Your debts'!$D$22-SUM($L151:$U151)),2)</f>
      </c>
      <c r="BA151" s="33">
        <f>ROUND(SUM($B151:$K151)-SUM($AP150:$AY150),2)</f>
      </c>
      <c r="BB151" s="33">
        <f>SUM($AP151:$AY151)</f>
      </c>
      <c r="BC151" s="33">
        <f>ROUND(SUM($L151:$U151)+SUM($AF151:$AO151),2)</f>
      </c>
    </row>
    <row r="152" spans="1:55" x14ac:dyDescent="0.25">
      <c r="A152">
        <v>145</v>
      </c>
      <c r="B152" s="33">
        <f>IF(AP151&lt;=0,0,ROUND(AP151+ROUND(AP151*V$3/12,2),2))</f>
      </c>
      <c r="C152" s="33">
        <f>IF(AQ151&lt;=0,0,ROUND(AQ151+ROUND(AQ151*W$3/12,2),2))</f>
      </c>
      <c r="D152" s="33">
        <f>IF(AR151&lt;=0,0,ROUND(AR151+ROUND(AR151*X$3/12,2),2))</f>
      </c>
      <c r="E152" s="33">
        <f>IF(AS151&lt;=0,0,ROUND(AS151+ROUND(AS151*Y$3/12,2),2))</f>
      </c>
      <c r="F152" s="33">
        <f>IF(AT151&lt;=0,0,ROUND(AT151+ROUND(AT151*Z$3/12,2),2))</f>
      </c>
      <c r="G152" s="33">
        <f>IF(AU151&lt;=0,0,ROUND(AU151+ROUND(AU151*AA$3/12,2),2))</f>
      </c>
      <c r="H152" s="33">
        <f>IF(AV151&lt;=0,0,ROUND(AV151+ROUND(AV151*AB$3/12,2),2))</f>
      </c>
      <c r="I152" s="33">
        <f>IF(AW151&lt;=0,0,ROUND(AW151+ROUND(AW151*AC$3/12,2),2))</f>
      </c>
      <c r="J152" s="33">
        <f>IF(AX151&lt;=0,0,ROUND(AX151+ROUND(AX151*AD$3/12,2),2))</f>
      </c>
      <c r="K152" s="33">
        <f>IF(AY151&lt;=0,0,ROUND(AY151+ROUND(AY151*AE$3/12,2),2))</f>
      </c>
      <c r="L152" s="33">
        <f>ROUND(MIN(MAX(0,N('Your debts'!$E$6)),B152),2)</f>
      </c>
      <c r="M152" s="33">
        <f>ROUND(MIN(MAX(0,N('Your debts'!$E$7)),C152),2)</f>
      </c>
      <c r="N152" s="33">
        <f>ROUND(MIN(MAX(0,N('Your debts'!$E$8)),D152),2)</f>
      </c>
      <c r="O152" s="33">
        <f>ROUND(MIN(MAX(0,N('Your debts'!$E$9)),E152),2)</f>
      </c>
      <c r="P152" s="33">
        <f>ROUND(MIN(MAX(0,N('Your debts'!$E$10)),F152),2)</f>
      </c>
      <c r="Q152" s="33">
        <f>ROUND(MIN(MAX(0,N('Your debts'!$E$11)),G152),2)</f>
      </c>
      <c r="R152" s="33">
        <f>ROUND(MIN(MAX(0,N('Your debts'!$E$12)),H152),2)</f>
      </c>
      <c r="S152" s="33">
        <f>ROUND(MIN(MAX(0,N('Your debts'!$E$13)),I152),2)</f>
      </c>
      <c r="T152" s="33">
        <f>ROUND(MIN(MAX(0,N('Your debts'!$E$14)),J152),2)</f>
      </c>
      <c r="U152" s="33">
        <f>ROUND(MIN(MAX(0,N('Your debts'!$E$15)),K152),2)</f>
      </c>
      <c r="V152" s="33">
        <f>ROUND(B152-L152,2)</f>
      </c>
      <c r="W152" s="33">
        <f>ROUND(C152-M152,2)</f>
      </c>
      <c r="X152" s="33">
        <f>ROUND(D152-N152,2)</f>
      </c>
      <c r="Y152" s="33">
        <f>ROUND(E152-O152,2)</f>
      </c>
      <c r="Z152" s="33">
        <f>ROUND(F152-P152,2)</f>
      </c>
      <c r="AA152" s="33">
        <f>ROUND(G152-Q152,2)</f>
      </c>
      <c r="AB152" s="33">
        <f>ROUND(H152-R152,2)</f>
      </c>
      <c r="AC152" s="33">
        <f>ROUND(I152-S152,2)</f>
      </c>
      <c r="AD152" s="33">
        <f>ROUND(J152-T152,2)</f>
      </c>
      <c r="AE152" s="33">
        <f>ROUND(K152-U152,2)</f>
      </c>
      <c r="AF152" s="33">
        <f>IF(V152&lt;=0,0,MAX(0,MIN(V152,ROUND($AZ152-SUMPRODUCT($V152:$AE152*($V152:$AE152&gt;0)*(($V$3:$AE$3&gt;V$3)+($V$3:$AE$3=V$3)*($V152:$AE152&lt;V152)+($V$3:$AE$3=V$3)*($V152:$AE152=V152)*($V$2:$AE$2&lt;V$2))),2))))</f>
      </c>
      <c r="AG152" s="33">
        <f>IF(W152&lt;=0,0,MAX(0,MIN(W152,ROUND($AZ152-SUMPRODUCT($V152:$AE152*($V152:$AE152&gt;0)*(($V$3:$AE$3&gt;W$3)+($V$3:$AE$3=W$3)*($V152:$AE152&lt;W152)+($V$3:$AE$3=W$3)*($V152:$AE152=W152)*($V$2:$AE$2&lt;W$2))),2))))</f>
      </c>
      <c r="AH152" s="33">
        <f>IF(X152&lt;=0,0,MAX(0,MIN(X152,ROUND($AZ152-SUMPRODUCT($V152:$AE152*($V152:$AE152&gt;0)*(($V$3:$AE$3&gt;X$3)+($V$3:$AE$3=X$3)*($V152:$AE152&lt;X152)+($V$3:$AE$3=X$3)*($V152:$AE152=X152)*($V$2:$AE$2&lt;X$2))),2))))</f>
      </c>
      <c r="AI152" s="33">
        <f>IF(Y152&lt;=0,0,MAX(0,MIN(Y152,ROUND($AZ152-SUMPRODUCT($V152:$AE152*($V152:$AE152&gt;0)*(($V$3:$AE$3&gt;Y$3)+($V$3:$AE$3=Y$3)*($V152:$AE152&lt;Y152)+($V$3:$AE$3=Y$3)*($V152:$AE152=Y152)*($V$2:$AE$2&lt;Y$2))),2))))</f>
      </c>
      <c r="AJ152" s="33">
        <f>IF(Z152&lt;=0,0,MAX(0,MIN(Z152,ROUND($AZ152-SUMPRODUCT($V152:$AE152*($V152:$AE152&gt;0)*(($V$3:$AE$3&gt;Z$3)+($V$3:$AE$3=Z$3)*($V152:$AE152&lt;Z152)+($V$3:$AE$3=Z$3)*($V152:$AE152=Z152)*($V$2:$AE$2&lt;Z$2))),2))))</f>
      </c>
      <c r="AK152" s="33">
        <f>IF(AA152&lt;=0,0,MAX(0,MIN(AA152,ROUND($AZ152-SUMPRODUCT($V152:$AE152*($V152:$AE152&gt;0)*(($V$3:$AE$3&gt;AA$3)+($V$3:$AE$3=AA$3)*($V152:$AE152&lt;AA152)+($V$3:$AE$3=AA$3)*($V152:$AE152=AA152)*($V$2:$AE$2&lt;AA$2))),2))))</f>
      </c>
      <c r="AL152" s="33">
        <f>IF(AB152&lt;=0,0,MAX(0,MIN(AB152,ROUND($AZ152-SUMPRODUCT($V152:$AE152*($V152:$AE152&gt;0)*(($V$3:$AE$3&gt;AB$3)+($V$3:$AE$3=AB$3)*($V152:$AE152&lt;AB152)+($V$3:$AE$3=AB$3)*($V152:$AE152=AB152)*($V$2:$AE$2&lt;AB$2))),2))))</f>
      </c>
      <c r="AM152" s="33">
        <f>IF(AC152&lt;=0,0,MAX(0,MIN(AC152,ROUND($AZ152-SUMPRODUCT($V152:$AE152*($V152:$AE152&gt;0)*(($V$3:$AE$3&gt;AC$3)+($V$3:$AE$3=AC$3)*($V152:$AE152&lt;AC152)+($V$3:$AE$3=AC$3)*($V152:$AE152=AC152)*($V$2:$AE$2&lt;AC$2))),2))))</f>
      </c>
      <c r="AN152" s="33">
        <f>IF(AD152&lt;=0,0,MAX(0,MIN(AD152,ROUND($AZ152-SUMPRODUCT($V152:$AE152*($V152:$AE152&gt;0)*(($V$3:$AE$3&gt;AD$3)+($V$3:$AE$3=AD$3)*($V152:$AE152&lt;AD152)+($V$3:$AE$3=AD$3)*($V152:$AE152=AD152)*($V$2:$AE$2&lt;AD$2))),2))))</f>
      </c>
      <c r="AO152" s="33">
        <f>IF(AE152&lt;=0,0,MAX(0,MIN(AE152,ROUND($AZ152-SUMPRODUCT($V152:$AE152*($V152:$AE152&gt;0)*(($V$3:$AE$3&gt;AE$3)+($V$3:$AE$3=AE$3)*($V152:$AE152&lt;AE152)+($V$3:$AE$3=AE$3)*($V152:$AE152=AE152)*($V$2:$AE$2&lt;AE$2))),2))))</f>
      </c>
      <c r="AP152" s="33">
        <f>ROUND(V152-AF152,2)</f>
      </c>
      <c r="AQ152" s="33">
        <f>ROUND(W152-AG152,2)</f>
      </c>
      <c r="AR152" s="33">
        <f>ROUND(X152-AH152,2)</f>
      </c>
      <c r="AS152" s="33">
        <f>ROUND(Y152-AI152,2)</f>
      </c>
      <c r="AT152" s="33">
        <f>ROUND(Z152-AJ152,2)</f>
      </c>
      <c r="AU152" s="33">
        <f>ROUND(AA152-AK152,2)</f>
      </c>
      <c r="AV152" s="33">
        <f>ROUND(AB152-AL152,2)</f>
      </c>
      <c r="AW152" s="33">
        <f>ROUND(AC152-AM152,2)</f>
      </c>
      <c r="AX152" s="33">
        <f>ROUND(AD152-AN152,2)</f>
      </c>
      <c r="AY152" s="33">
        <f>ROUND(AE152-AO152,2)</f>
      </c>
      <c r="AZ152" s="33">
        <f>ROUND(MAX(0,'Your debts'!$D$22-SUM($L152:$U152)),2)</f>
      </c>
      <c r="BA152" s="33">
        <f>ROUND(SUM($B152:$K152)-SUM($AP151:$AY151),2)</f>
      </c>
      <c r="BB152" s="33">
        <f>SUM($AP152:$AY152)</f>
      </c>
      <c r="BC152" s="33">
        <f>ROUND(SUM($L152:$U152)+SUM($AF152:$AO152),2)</f>
      </c>
    </row>
    <row r="153" spans="1:55" x14ac:dyDescent="0.25">
      <c r="A153">
        <v>146</v>
      </c>
      <c r="B153" s="33">
        <f>IF(AP152&lt;=0,0,ROUND(AP152+ROUND(AP152*V$3/12,2),2))</f>
      </c>
      <c r="C153" s="33">
        <f>IF(AQ152&lt;=0,0,ROUND(AQ152+ROUND(AQ152*W$3/12,2),2))</f>
      </c>
      <c r="D153" s="33">
        <f>IF(AR152&lt;=0,0,ROUND(AR152+ROUND(AR152*X$3/12,2),2))</f>
      </c>
      <c r="E153" s="33">
        <f>IF(AS152&lt;=0,0,ROUND(AS152+ROUND(AS152*Y$3/12,2),2))</f>
      </c>
      <c r="F153" s="33">
        <f>IF(AT152&lt;=0,0,ROUND(AT152+ROUND(AT152*Z$3/12,2),2))</f>
      </c>
      <c r="G153" s="33">
        <f>IF(AU152&lt;=0,0,ROUND(AU152+ROUND(AU152*AA$3/12,2),2))</f>
      </c>
      <c r="H153" s="33">
        <f>IF(AV152&lt;=0,0,ROUND(AV152+ROUND(AV152*AB$3/12,2),2))</f>
      </c>
      <c r="I153" s="33">
        <f>IF(AW152&lt;=0,0,ROUND(AW152+ROUND(AW152*AC$3/12,2),2))</f>
      </c>
      <c r="J153" s="33">
        <f>IF(AX152&lt;=0,0,ROUND(AX152+ROUND(AX152*AD$3/12,2),2))</f>
      </c>
      <c r="K153" s="33">
        <f>IF(AY152&lt;=0,0,ROUND(AY152+ROUND(AY152*AE$3/12,2),2))</f>
      </c>
      <c r="L153" s="33">
        <f>ROUND(MIN(MAX(0,N('Your debts'!$E$6)),B153),2)</f>
      </c>
      <c r="M153" s="33">
        <f>ROUND(MIN(MAX(0,N('Your debts'!$E$7)),C153),2)</f>
      </c>
      <c r="N153" s="33">
        <f>ROUND(MIN(MAX(0,N('Your debts'!$E$8)),D153),2)</f>
      </c>
      <c r="O153" s="33">
        <f>ROUND(MIN(MAX(0,N('Your debts'!$E$9)),E153),2)</f>
      </c>
      <c r="P153" s="33">
        <f>ROUND(MIN(MAX(0,N('Your debts'!$E$10)),F153),2)</f>
      </c>
      <c r="Q153" s="33">
        <f>ROUND(MIN(MAX(0,N('Your debts'!$E$11)),G153),2)</f>
      </c>
      <c r="R153" s="33">
        <f>ROUND(MIN(MAX(0,N('Your debts'!$E$12)),H153),2)</f>
      </c>
      <c r="S153" s="33">
        <f>ROUND(MIN(MAX(0,N('Your debts'!$E$13)),I153),2)</f>
      </c>
      <c r="T153" s="33">
        <f>ROUND(MIN(MAX(0,N('Your debts'!$E$14)),J153),2)</f>
      </c>
      <c r="U153" s="33">
        <f>ROUND(MIN(MAX(0,N('Your debts'!$E$15)),K153),2)</f>
      </c>
      <c r="V153" s="33">
        <f>ROUND(B153-L153,2)</f>
      </c>
      <c r="W153" s="33">
        <f>ROUND(C153-M153,2)</f>
      </c>
      <c r="X153" s="33">
        <f>ROUND(D153-N153,2)</f>
      </c>
      <c r="Y153" s="33">
        <f>ROUND(E153-O153,2)</f>
      </c>
      <c r="Z153" s="33">
        <f>ROUND(F153-P153,2)</f>
      </c>
      <c r="AA153" s="33">
        <f>ROUND(G153-Q153,2)</f>
      </c>
      <c r="AB153" s="33">
        <f>ROUND(H153-R153,2)</f>
      </c>
      <c r="AC153" s="33">
        <f>ROUND(I153-S153,2)</f>
      </c>
      <c r="AD153" s="33">
        <f>ROUND(J153-T153,2)</f>
      </c>
      <c r="AE153" s="33">
        <f>ROUND(K153-U153,2)</f>
      </c>
      <c r="AF153" s="33">
        <f>IF(V153&lt;=0,0,MAX(0,MIN(V153,ROUND($AZ153-SUMPRODUCT($V153:$AE153*($V153:$AE153&gt;0)*(($V$3:$AE$3&gt;V$3)+($V$3:$AE$3=V$3)*($V153:$AE153&lt;V153)+($V$3:$AE$3=V$3)*($V153:$AE153=V153)*($V$2:$AE$2&lt;V$2))),2))))</f>
      </c>
      <c r="AG153" s="33">
        <f>IF(W153&lt;=0,0,MAX(0,MIN(W153,ROUND($AZ153-SUMPRODUCT($V153:$AE153*($V153:$AE153&gt;0)*(($V$3:$AE$3&gt;W$3)+($V$3:$AE$3=W$3)*($V153:$AE153&lt;W153)+($V$3:$AE$3=W$3)*($V153:$AE153=W153)*($V$2:$AE$2&lt;W$2))),2))))</f>
      </c>
      <c r="AH153" s="33">
        <f>IF(X153&lt;=0,0,MAX(0,MIN(X153,ROUND($AZ153-SUMPRODUCT($V153:$AE153*($V153:$AE153&gt;0)*(($V$3:$AE$3&gt;X$3)+($V$3:$AE$3=X$3)*($V153:$AE153&lt;X153)+($V$3:$AE$3=X$3)*($V153:$AE153=X153)*($V$2:$AE$2&lt;X$2))),2))))</f>
      </c>
      <c r="AI153" s="33">
        <f>IF(Y153&lt;=0,0,MAX(0,MIN(Y153,ROUND($AZ153-SUMPRODUCT($V153:$AE153*($V153:$AE153&gt;0)*(($V$3:$AE$3&gt;Y$3)+($V$3:$AE$3=Y$3)*($V153:$AE153&lt;Y153)+($V$3:$AE$3=Y$3)*($V153:$AE153=Y153)*($V$2:$AE$2&lt;Y$2))),2))))</f>
      </c>
      <c r="AJ153" s="33">
        <f>IF(Z153&lt;=0,0,MAX(0,MIN(Z153,ROUND($AZ153-SUMPRODUCT($V153:$AE153*($V153:$AE153&gt;0)*(($V$3:$AE$3&gt;Z$3)+($V$3:$AE$3=Z$3)*($V153:$AE153&lt;Z153)+($V$3:$AE$3=Z$3)*($V153:$AE153=Z153)*($V$2:$AE$2&lt;Z$2))),2))))</f>
      </c>
      <c r="AK153" s="33">
        <f>IF(AA153&lt;=0,0,MAX(0,MIN(AA153,ROUND($AZ153-SUMPRODUCT($V153:$AE153*($V153:$AE153&gt;0)*(($V$3:$AE$3&gt;AA$3)+($V$3:$AE$3=AA$3)*($V153:$AE153&lt;AA153)+($V$3:$AE$3=AA$3)*($V153:$AE153=AA153)*($V$2:$AE$2&lt;AA$2))),2))))</f>
      </c>
      <c r="AL153" s="33">
        <f>IF(AB153&lt;=0,0,MAX(0,MIN(AB153,ROUND($AZ153-SUMPRODUCT($V153:$AE153*($V153:$AE153&gt;0)*(($V$3:$AE$3&gt;AB$3)+($V$3:$AE$3=AB$3)*($V153:$AE153&lt;AB153)+($V$3:$AE$3=AB$3)*($V153:$AE153=AB153)*($V$2:$AE$2&lt;AB$2))),2))))</f>
      </c>
      <c r="AM153" s="33">
        <f>IF(AC153&lt;=0,0,MAX(0,MIN(AC153,ROUND($AZ153-SUMPRODUCT($V153:$AE153*($V153:$AE153&gt;0)*(($V$3:$AE$3&gt;AC$3)+($V$3:$AE$3=AC$3)*($V153:$AE153&lt;AC153)+($V$3:$AE$3=AC$3)*($V153:$AE153=AC153)*($V$2:$AE$2&lt;AC$2))),2))))</f>
      </c>
      <c r="AN153" s="33">
        <f>IF(AD153&lt;=0,0,MAX(0,MIN(AD153,ROUND($AZ153-SUMPRODUCT($V153:$AE153*($V153:$AE153&gt;0)*(($V$3:$AE$3&gt;AD$3)+($V$3:$AE$3=AD$3)*($V153:$AE153&lt;AD153)+($V$3:$AE$3=AD$3)*($V153:$AE153=AD153)*($V$2:$AE$2&lt;AD$2))),2))))</f>
      </c>
      <c r="AO153" s="33">
        <f>IF(AE153&lt;=0,0,MAX(0,MIN(AE153,ROUND($AZ153-SUMPRODUCT($V153:$AE153*($V153:$AE153&gt;0)*(($V$3:$AE$3&gt;AE$3)+($V$3:$AE$3=AE$3)*($V153:$AE153&lt;AE153)+($V$3:$AE$3=AE$3)*($V153:$AE153=AE153)*($V$2:$AE$2&lt;AE$2))),2))))</f>
      </c>
      <c r="AP153" s="33">
        <f>ROUND(V153-AF153,2)</f>
      </c>
      <c r="AQ153" s="33">
        <f>ROUND(W153-AG153,2)</f>
      </c>
      <c r="AR153" s="33">
        <f>ROUND(X153-AH153,2)</f>
      </c>
      <c r="AS153" s="33">
        <f>ROUND(Y153-AI153,2)</f>
      </c>
      <c r="AT153" s="33">
        <f>ROUND(Z153-AJ153,2)</f>
      </c>
      <c r="AU153" s="33">
        <f>ROUND(AA153-AK153,2)</f>
      </c>
      <c r="AV153" s="33">
        <f>ROUND(AB153-AL153,2)</f>
      </c>
      <c r="AW153" s="33">
        <f>ROUND(AC153-AM153,2)</f>
      </c>
      <c r="AX153" s="33">
        <f>ROUND(AD153-AN153,2)</f>
      </c>
      <c r="AY153" s="33">
        <f>ROUND(AE153-AO153,2)</f>
      </c>
      <c r="AZ153" s="33">
        <f>ROUND(MAX(0,'Your debts'!$D$22-SUM($L153:$U153)),2)</f>
      </c>
      <c r="BA153" s="33">
        <f>ROUND(SUM($B153:$K153)-SUM($AP152:$AY152),2)</f>
      </c>
      <c r="BB153" s="33">
        <f>SUM($AP153:$AY153)</f>
      </c>
      <c r="BC153" s="33">
        <f>ROUND(SUM($L153:$U153)+SUM($AF153:$AO153),2)</f>
      </c>
    </row>
    <row r="154" spans="1:55" x14ac:dyDescent="0.25">
      <c r="A154">
        <v>147</v>
      </c>
      <c r="B154" s="33">
        <f>IF(AP153&lt;=0,0,ROUND(AP153+ROUND(AP153*V$3/12,2),2))</f>
      </c>
      <c r="C154" s="33">
        <f>IF(AQ153&lt;=0,0,ROUND(AQ153+ROUND(AQ153*W$3/12,2),2))</f>
      </c>
      <c r="D154" s="33">
        <f>IF(AR153&lt;=0,0,ROUND(AR153+ROUND(AR153*X$3/12,2),2))</f>
      </c>
      <c r="E154" s="33">
        <f>IF(AS153&lt;=0,0,ROUND(AS153+ROUND(AS153*Y$3/12,2),2))</f>
      </c>
      <c r="F154" s="33">
        <f>IF(AT153&lt;=0,0,ROUND(AT153+ROUND(AT153*Z$3/12,2),2))</f>
      </c>
      <c r="G154" s="33">
        <f>IF(AU153&lt;=0,0,ROUND(AU153+ROUND(AU153*AA$3/12,2),2))</f>
      </c>
      <c r="H154" s="33">
        <f>IF(AV153&lt;=0,0,ROUND(AV153+ROUND(AV153*AB$3/12,2),2))</f>
      </c>
      <c r="I154" s="33">
        <f>IF(AW153&lt;=0,0,ROUND(AW153+ROUND(AW153*AC$3/12,2),2))</f>
      </c>
      <c r="J154" s="33">
        <f>IF(AX153&lt;=0,0,ROUND(AX153+ROUND(AX153*AD$3/12,2),2))</f>
      </c>
      <c r="K154" s="33">
        <f>IF(AY153&lt;=0,0,ROUND(AY153+ROUND(AY153*AE$3/12,2),2))</f>
      </c>
      <c r="L154" s="33">
        <f>ROUND(MIN(MAX(0,N('Your debts'!$E$6)),B154),2)</f>
      </c>
      <c r="M154" s="33">
        <f>ROUND(MIN(MAX(0,N('Your debts'!$E$7)),C154),2)</f>
      </c>
      <c r="N154" s="33">
        <f>ROUND(MIN(MAX(0,N('Your debts'!$E$8)),D154),2)</f>
      </c>
      <c r="O154" s="33">
        <f>ROUND(MIN(MAX(0,N('Your debts'!$E$9)),E154),2)</f>
      </c>
      <c r="P154" s="33">
        <f>ROUND(MIN(MAX(0,N('Your debts'!$E$10)),F154),2)</f>
      </c>
      <c r="Q154" s="33">
        <f>ROUND(MIN(MAX(0,N('Your debts'!$E$11)),G154),2)</f>
      </c>
      <c r="R154" s="33">
        <f>ROUND(MIN(MAX(0,N('Your debts'!$E$12)),H154),2)</f>
      </c>
      <c r="S154" s="33">
        <f>ROUND(MIN(MAX(0,N('Your debts'!$E$13)),I154),2)</f>
      </c>
      <c r="T154" s="33">
        <f>ROUND(MIN(MAX(0,N('Your debts'!$E$14)),J154),2)</f>
      </c>
      <c r="U154" s="33">
        <f>ROUND(MIN(MAX(0,N('Your debts'!$E$15)),K154),2)</f>
      </c>
      <c r="V154" s="33">
        <f>ROUND(B154-L154,2)</f>
      </c>
      <c r="W154" s="33">
        <f>ROUND(C154-M154,2)</f>
      </c>
      <c r="X154" s="33">
        <f>ROUND(D154-N154,2)</f>
      </c>
      <c r="Y154" s="33">
        <f>ROUND(E154-O154,2)</f>
      </c>
      <c r="Z154" s="33">
        <f>ROUND(F154-P154,2)</f>
      </c>
      <c r="AA154" s="33">
        <f>ROUND(G154-Q154,2)</f>
      </c>
      <c r="AB154" s="33">
        <f>ROUND(H154-R154,2)</f>
      </c>
      <c r="AC154" s="33">
        <f>ROUND(I154-S154,2)</f>
      </c>
      <c r="AD154" s="33">
        <f>ROUND(J154-T154,2)</f>
      </c>
      <c r="AE154" s="33">
        <f>ROUND(K154-U154,2)</f>
      </c>
      <c r="AF154" s="33">
        <f>IF(V154&lt;=0,0,MAX(0,MIN(V154,ROUND($AZ154-SUMPRODUCT($V154:$AE154*($V154:$AE154&gt;0)*(($V$3:$AE$3&gt;V$3)+($V$3:$AE$3=V$3)*($V154:$AE154&lt;V154)+($V$3:$AE$3=V$3)*($V154:$AE154=V154)*($V$2:$AE$2&lt;V$2))),2))))</f>
      </c>
      <c r="AG154" s="33">
        <f>IF(W154&lt;=0,0,MAX(0,MIN(W154,ROUND($AZ154-SUMPRODUCT($V154:$AE154*($V154:$AE154&gt;0)*(($V$3:$AE$3&gt;W$3)+($V$3:$AE$3=W$3)*($V154:$AE154&lt;W154)+($V$3:$AE$3=W$3)*($V154:$AE154=W154)*($V$2:$AE$2&lt;W$2))),2))))</f>
      </c>
      <c r="AH154" s="33">
        <f>IF(X154&lt;=0,0,MAX(0,MIN(X154,ROUND($AZ154-SUMPRODUCT($V154:$AE154*($V154:$AE154&gt;0)*(($V$3:$AE$3&gt;X$3)+($V$3:$AE$3=X$3)*($V154:$AE154&lt;X154)+($V$3:$AE$3=X$3)*($V154:$AE154=X154)*($V$2:$AE$2&lt;X$2))),2))))</f>
      </c>
      <c r="AI154" s="33">
        <f>IF(Y154&lt;=0,0,MAX(0,MIN(Y154,ROUND($AZ154-SUMPRODUCT($V154:$AE154*($V154:$AE154&gt;0)*(($V$3:$AE$3&gt;Y$3)+($V$3:$AE$3=Y$3)*($V154:$AE154&lt;Y154)+($V$3:$AE$3=Y$3)*($V154:$AE154=Y154)*($V$2:$AE$2&lt;Y$2))),2))))</f>
      </c>
      <c r="AJ154" s="33">
        <f>IF(Z154&lt;=0,0,MAX(0,MIN(Z154,ROUND($AZ154-SUMPRODUCT($V154:$AE154*($V154:$AE154&gt;0)*(($V$3:$AE$3&gt;Z$3)+($V$3:$AE$3=Z$3)*($V154:$AE154&lt;Z154)+($V$3:$AE$3=Z$3)*($V154:$AE154=Z154)*($V$2:$AE$2&lt;Z$2))),2))))</f>
      </c>
      <c r="AK154" s="33">
        <f>IF(AA154&lt;=0,0,MAX(0,MIN(AA154,ROUND($AZ154-SUMPRODUCT($V154:$AE154*($V154:$AE154&gt;0)*(($V$3:$AE$3&gt;AA$3)+($V$3:$AE$3=AA$3)*($V154:$AE154&lt;AA154)+($V$3:$AE$3=AA$3)*($V154:$AE154=AA154)*($V$2:$AE$2&lt;AA$2))),2))))</f>
      </c>
      <c r="AL154" s="33">
        <f>IF(AB154&lt;=0,0,MAX(0,MIN(AB154,ROUND($AZ154-SUMPRODUCT($V154:$AE154*($V154:$AE154&gt;0)*(($V$3:$AE$3&gt;AB$3)+($V$3:$AE$3=AB$3)*($V154:$AE154&lt;AB154)+($V$3:$AE$3=AB$3)*($V154:$AE154=AB154)*($V$2:$AE$2&lt;AB$2))),2))))</f>
      </c>
      <c r="AM154" s="33">
        <f>IF(AC154&lt;=0,0,MAX(0,MIN(AC154,ROUND($AZ154-SUMPRODUCT($V154:$AE154*($V154:$AE154&gt;0)*(($V$3:$AE$3&gt;AC$3)+($V$3:$AE$3=AC$3)*($V154:$AE154&lt;AC154)+($V$3:$AE$3=AC$3)*($V154:$AE154=AC154)*($V$2:$AE$2&lt;AC$2))),2))))</f>
      </c>
      <c r="AN154" s="33">
        <f>IF(AD154&lt;=0,0,MAX(0,MIN(AD154,ROUND($AZ154-SUMPRODUCT($V154:$AE154*($V154:$AE154&gt;0)*(($V$3:$AE$3&gt;AD$3)+($V$3:$AE$3=AD$3)*($V154:$AE154&lt;AD154)+($V$3:$AE$3=AD$3)*($V154:$AE154=AD154)*($V$2:$AE$2&lt;AD$2))),2))))</f>
      </c>
      <c r="AO154" s="33">
        <f>IF(AE154&lt;=0,0,MAX(0,MIN(AE154,ROUND($AZ154-SUMPRODUCT($V154:$AE154*($V154:$AE154&gt;0)*(($V$3:$AE$3&gt;AE$3)+($V$3:$AE$3=AE$3)*($V154:$AE154&lt;AE154)+($V$3:$AE$3=AE$3)*($V154:$AE154=AE154)*($V$2:$AE$2&lt;AE$2))),2))))</f>
      </c>
      <c r="AP154" s="33">
        <f>ROUND(V154-AF154,2)</f>
      </c>
      <c r="AQ154" s="33">
        <f>ROUND(W154-AG154,2)</f>
      </c>
      <c r="AR154" s="33">
        <f>ROUND(X154-AH154,2)</f>
      </c>
      <c r="AS154" s="33">
        <f>ROUND(Y154-AI154,2)</f>
      </c>
      <c r="AT154" s="33">
        <f>ROUND(Z154-AJ154,2)</f>
      </c>
      <c r="AU154" s="33">
        <f>ROUND(AA154-AK154,2)</f>
      </c>
      <c r="AV154" s="33">
        <f>ROUND(AB154-AL154,2)</f>
      </c>
      <c r="AW154" s="33">
        <f>ROUND(AC154-AM154,2)</f>
      </c>
      <c r="AX154" s="33">
        <f>ROUND(AD154-AN154,2)</f>
      </c>
      <c r="AY154" s="33">
        <f>ROUND(AE154-AO154,2)</f>
      </c>
      <c r="AZ154" s="33">
        <f>ROUND(MAX(0,'Your debts'!$D$22-SUM($L154:$U154)),2)</f>
      </c>
      <c r="BA154" s="33">
        <f>ROUND(SUM($B154:$K154)-SUM($AP153:$AY153),2)</f>
      </c>
      <c r="BB154" s="33">
        <f>SUM($AP154:$AY154)</f>
      </c>
      <c r="BC154" s="33">
        <f>ROUND(SUM($L154:$U154)+SUM($AF154:$AO154),2)</f>
      </c>
    </row>
    <row r="155" spans="1:55" x14ac:dyDescent="0.25">
      <c r="A155">
        <v>148</v>
      </c>
      <c r="B155" s="33">
        <f>IF(AP154&lt;=0,0,ROUND(AP154+ROUND(AP154*V$3/12,2),2))</f>
      </c>
      <c r="C155" s="33">
        <f>IF(AQ154&lt;=0,0,ROUND(AQ154+ROUND(AQ154*W$3/12,2),2))</f>
      </c>
      <c r="D155" s="33">
        <f>IF(AR154&lt;=0,0,ROUND(AR154+ROUND(AR154*X$3/12,2),2))</f>
      </c>
      <c r="E155" s="33">
        <f>IF(AS154&lt;=0,0,ROUND(AS154+ROUND(AS154*Y$3/12,2),2))</f>
      </c>
      <c r="F155" s="33">
        <f>IF(AT154&lt;=0,0,ROUND(AT154+ROUND(AT154*Z$3/12,2),2))</f>
      </c>
      <c r="G155" s="33">
        <f>IF(AU154&lt;=0,0,ROUND(AU154+ROUND(AU154*AA$3/12,2),2))</f>
      </c>
      <c r="H155" s="33">
        <f>IF(AV154&lt;=0,0,ROUND(AV154+ROUND(AV154*AB$3/12,2),2))</f>
      </c>
      <c r="I155" s="33">
        <f>IF(AW154&lt;=0,0,ROUND(AW154+ROUND(AW154*AC$3/12,2),2))</f>
      </c>
      <c r="J155" s="33">
        <f>IF(AX154&lt;=0,0,ROUND(AX154+ROUND(AX154*AD$3/12,2),2))</f>
      </c>
      <c r="K155" s="33">
        <f>IF(AY154&lt;=0,0,ROUND(AY154+ROUND(AY154*AE$3/12,2),2))</f>
      </c>
      <c r="L155" s="33">
        <f>ROUND(MIN(MAX(0,N('Your debts'!$E$6)),B155),2)</f>
      </c>
      <c r="M155" s="33">
        <f>ROUND(MIN(MAX(0,N('Your debts'!$E$7)),C155),2)</f>
      </c>
      <c r="N155" s="33">
        <f>ROUND(MIN(MAX(0,N('Your debts'!$E$8)),D155),2)</f>
      </c>
      <c r="O155" s="33">
        <f>ROUND(MIN(MAX(0,N('Your debts'!$E$9)),E155),2)</f>
      </c>
      <c r="P155" s="33">
        <f>ROUND(MIN(MAX(0,N('Your debts'!$E$10)),F155),2)</f>
      </c>
      <c r="Q155" s="33">
        <f>ROUND(MIN(MAX(0,N('Your debts'!$E$11)),G155),2)</f>
      </c>
      <c r="R155" s="33">
        <f>ROUND(MIN(MAX(0,N('Your debts'!$E$12)),H155),2)</f>
      </c>
      <c r="S155" s="33">
        <f>ROUND(MIN(MAX(0,N('Your debts'!$E$13)),I155),2)</f>
      </c>
      <c r="T155" s="33">
        <f>ROUND(MIN(MAX(0,N('Your debts'!$E$14)),J155),2)</f>
      </c>
      <c r="U155" s="33">
        <f>ROUND(MIN(MAX(0,N('Your debts'!$E$15)),K155),2)</f>
      </c>
      <c r="V155" s="33">
        <f>ROUND(B155-L155,2)</f>
      </c>
      <c r="W155" s="33">
        <f>ROUND(C155-M155,2)</f>
      </c>
      <c r="X155" s="33">
        <f>ROUND(D155-N155,2)</f>
      </c>
      <c r="Y155" s="33">
        <f>ROUND(E155-O155,2)</f>
      </c>
      <c r="Z155" s="33">
        <f>ROUND(F155-P155,2)</f>
      </c>
      <c r="AA155" s="33">
        <f>ROUND(G155-Q155,2)</f>
      </c>
      <c r="AB155" s="33">
        <f>ROUND(H155-R155,2)</f>
      </c>
      <c r="AC155" s="33">
        <f>ROUND(I155-S155,2)</f>
      </c>
      <c r="AD155" s="33">
        <f>ROUND(J155-T155,2)</f>
      </c>
      <c r="AE155" s="33">
        <f>ROUND(K155-U155,2)</f>
      </c>
      <c r="AF155" s="33">
        <f>IF(V155&lt;=0,0,MAX(0,MIN(V155,ROUND($AZ155-SUMPRODUCT($V155:$AE155*($V155:$AE155&gt;0)*(($V$3:$AE$3&gt;V$3)+($V$3:$AE$3=V$3)*($V155:$AE155&lt;V155)+($V$3:$AE$3=V$3)*($V155:$AE155=V155)*($V$2:$AE$2&lt;V$2))),2))))</f>
      </c>
      <c r="AG155" s="33">
        <f>IF(W155&lt;=0,0,MAX(0,MIN(W155,ROUND($AZ155-SUMPRODUCT($V155:$AE155*($V155:$AE155&gt;0)*(($V$3:$AE$3&gt;W$3)+($V$3:$AE$3=W$3)*($V155:$AE155&lt;W155)+($V$3:$AE$3=W$3)*($V155:$AE155=W155)*($V$2:$AE$2&lt;W$2))),2))))</f>
      </c>
      <c r="AH155" s="33">
        <f>IF(X155&lt;=0,0,MAX(0,MIN(X155,ROUND($AZ155-SUMPRODUCT($V155:$AE155*($V155:$AE155&gt;0)*(($V$3:$AE$3&gt;X$3)+($V$3:$AE$3=X$3)*($V155:$AE155&lt;X155)+($V$3:$AE$3=X$3)*($V155:$AE155=X155)*($V$2:$AE$2&lt;X$2))),2))))</f>
      </c>
      <c r="AI155" s="33">
        <f>IF(Y155&lt;=0,0,MAX(0,MIN(Y155,ROUND($AZ155-SUMPRODUCT($V155:$AE155*($V155:$AE155&gt;0)*(($V$3:$AE$3&gt;Y$3)+($V$3:$AE$3=Y$3)*($V155:$AE155&lt;Y155)+($V$3:$AE$3=Y$3)*($V155:$AE155=Y155)*($V$2:$AE$2&lt;Y$2))),2))))</f>
      </c>
      <c r="AJ155" s="33">
        <f>IF(Z155&lt;=0,0,MAX(0,MIN(Z155,ROUND($AZ155-SUMPRODUCT($V155:$AE155*($V155:$AE155&gt;0)*(($V$3:$AE$3&gt;Z$3)+($V$3:$AE$3=Z$3)*($V155:$AE155&lt;Z155)+($V$3:$AE$3=Z$3)*($V155:$AE155=Z155)*($V$2:$AE$2&lt;Z$2))),2))))</f>
      </c>
      <c r="AK155" s="33">
        <f>IF(AA155&lt;=0,0,MAX(0,MIN(AA155,ROUND($AZ155-SUMPRODUCT($V155:$AE155*($V155:$AE155&gt;0)*(($V$3:$AE$3&gt;AA$3)+($V$3:$AE$3=AA$3)*($V155:$AE155&lt;AA155)+($V$3:$AE$3=AA$3)*($V155:$AE155=AA155)*($V$2:$AE$2&lt;AA$2))),2))))</f>
      </c>
      <c r="AL155" s="33">
        <f>IF(AB155&lt;=0,0,MAX(0,MIN(AB155,ROUND($AZ155-SUMPRODUCT($V155:$AE155*($V155:$AE155&gt;0)*(($V$3:$AE$3&gt;AB$3)+($V$3:$AE$3=AB$3)*($V155:$AE155&lt;AB155)+($V$3:$AE$3=AB$3)*($V155:$AE155=AB155)*($V$2:$AE$2&lt;AB$2))),2))))</f>
      </c>
      <c r="AM155" s="33">
        <f>IF(AC155&lt;=0,0,MAX(0,MIN(AC155,ROUND($AZ155-SUMPRODUCT($V155:$AE155*($V155:$AE155&gt;0)*(($V$3:$AE$3&gt;AC$3)+($V$3:$AE$3=AC$3)*($V155:$AE155&lt;AC155)+($V$3:$AE$3=AC$3)*($V155:$AE155=AC155)*($V$2:$AE$2&lt;AC$2))),2))))</f>
      </c>
      <c r="AN155" s="33">
        <f>IF(AD155&lt;=0,0,MAX(0,MIN(AD155,ROUND($AZ155-SUMPRODUCT($V155:$AE155*($V155:$AE155&gt;0)*(($V$3:$AE$3&gt;AD$3)+($V$3:$AE$3=AD$3)*($V155:$AE155&lt;AD155)+($V$3:$AE$3=AD$3)*($V155:$AE155=AD155)*($V$2:$AE$2&lt;AD$2))),2))))</f>
      </c>
      <c r="AO155" s="33">
        <f>IF(AE155&lt;=0,0,MAX(0,MIN(AE155,ROUND($AZ155-SUMPRODUCT($V155:$AE155*($V155:$AE155&gt;0)*(($V$3:$AE$3&gt;AE$3)+($V$3:$AE$3=AE$3)*($V155:$AE155&lt;AE155)+($V$3:$AE$3=AE$3)*($V155:$AE155=AE155)*($V$2:$AE$2&lt;AE$2))),2))))</f>
      </c>
      <c r="AP155" s="33">
        <f>ROUND(V155-AF155,2)</f>
      </c>
      <c r="AQ155" s="33">
        <f>ROUND(W155-AG155,2)</f>
      </c>
      <c r="AR155" s="33">
        <f>ROUND(X155-AH155,2)</f>
      </c>
      <c r="AS155" s="33">
        <f>ROUND(Y155-AI155,2)</f>
      </c>
      <c r="AT155" s="33">
        <f>ROUND(Z155-AJ155,2)</f>
      </c>
      <c r="AU155" s="33">
        <f>ROUND(AA155-AK155,2)</f>
      </c>
      <c r="AV155" s="33">
        <f>ROUND(AB155-AL155,2)</f>
      </c>
      <c r="AW155" s="33">
        <f>ROUND(AC155-AM155,2)</f>
      </c>
      <c r="AX155" s="33">
        <f>ROUND(AD155-AN155,2)</f>
      </c>
      <c r="AY155" s="33">
        <f>ROUND(AE155-AO155,2)</f>
      </c>
      <c r="AZ155" s="33">
        <f>ROUND(MAX(0,'Your debts'!$D$22-SUM($L155:$U155)),2)</f>
      </c>
      <c r="BA155" s="33">
        <f>ROUND(SUM($B155:$K155)-SUM($AP154:$AY154),2)</f>
      </c>
      <c r="BB155" s="33">
        <f>SUM($AP155:$AY155)</f>
      </c>
      <c r="BC155" s="33">
        <f>ROUND(SUM($L155:$U155)+SUM($AF155:$AO155),2)</f>
      </c>
    </row>
    <row r="156" spans="1:55" x14ac:dyDescent="0.25">
      <c r="A156">
        <v>149</v>
      </c>
      <c r="B156" s="33">
        <f>IF(AP155&lt;=0,0,ROUND(AP155+ROUND(AP155*V$3/12,2),2))</f>
      </c>
      <c r="C156" s="33">
        <f>IF(AQ155&lt;=0,0,ROUND(AQ155+ROUND(AQ155*W$3/12,2),2))</f>
      </c>
      <c r="D156" s="33">
        <f>IF(AR155&lt;=0,0,ROUND(AR155+ROUND(AR155*X$3/12,2),2))</f>
      </c>
      <c r="E156" s="33">
        <f>IF(AS155&lt;=0,0,ROUND(AS155+ROUND(AS155*Y$3/12,2),2))</f>
      </c>
      <c r="F156" s="33">
        <f>IF(AT155&lt;=0,0,ROUND(AT155+ROUND(AT155*Z$3/12,2),2))</f>
      </c>
      <c r="G156" s="33">
        <f>IF(AU155&lt;=0,0,ROUND(AU155+ROUND(AU155*AA$3/12,2),2))</f>
      </c>
      <c r="H156" s="33">
        <f>IF(AV155&lt;=0,0,ROUND(AV155+ROUND(AV155*AB$3/12,2),2))</f>
      </c>
      <c r="I156" s="33">
        <f>IF(AW155&lt;=0,0,ROUND(AW155+ROUND(AW155*AC$3/12,2),2))</f>
      </c>
      <c r="J156" s="33">
        <f>IF(AX155&lt;=0,0,ROUND(AX155+ROUND(AX155*AD$3/12,2),2))</f>
      </c>
      <c r="K156" s="33">
        <f>IF(AY155&lt;=0,0,ROUND(AY155+ROUND(AY155*AE$3/12,2),2))</f>
      </c>
      <c r="L156" s="33">
        <f>ROUND(MIN(MAX(0,N('Your debts'!$E$6)),B156),2)</f>
      </c>
      <c r="M156" s="33">
        <f>ROUND(MIN(MAX(0,N('Your debts'!$E$7)),C156),2)</f>
      </c>
      <c r="N156" s="33">
        <f>ROUND(MIN(MAX(0,N('Your debts'!$E$8)),D156),2)</f>
      </c>
      <c r="O156" s="33">
        <f>ROUND(MIN(MAX(0,N('Your debts'!$E$9)),E156),2)</f>
      </c>
      <c r="P156" s="33">
        <f>ROUND(MIN(MAX(0,N('Your debts'!$E$10)),F156),2)</f>
      </c>
      <c r="Q156" s="33">
        <f>ROUND(MIN(MAX(0,N('Your debts'!$E$11)),G156),2)</f>
      </c>
      <c r="R156" s="33">
        <f>ROUND(MIN(MAX(0,N('Your debts'!$E$12)),H156),2)</f>
      </c>
      <c r="S156" s="33">
        <f>ROUND(MIN(MAX(0,N('Your debts'!$E$13)),I156),2)</f>
      </c>
      <c r="T156" s="33">
        <f>ROUND(MIN(MAX(0,N('Your debts'!$E$14)),J156),2)</f>
      </c>
      <c r="U156" s="33">
        <f>ROUND(MIN(MAX(0,N('Your debts'!$E$15)),K156),2)</f>
      </c>
      <c r="V156" s="33">
        <f>ROUND(B156-L156,2)</f>
      </c>
      <c r="W156" s="33">
        <f>ROUND(C156-M156,2)</f>
      </c>
      <c r="X156" s="33">
        <f>ROUND(D156-N156,2)</f>
      </c>
      <c r="Y156" s="33">
        <f>ROUND(E156-O156,2)</f>
      </c>
      <c r="Z156" s="33">
        <f>ROUND(F156-P156,2)</f>
      </c>
      <c r="AA156" s="33">
        <f>ROUND(G156-Q156,2)</f>
      </c>
      <c r="AB156" s="33">
        <f>ROUND(H156-R156,2)</f>
      </c>
      <c r="AC156" s="33">
        <f>ROUND(I156-S156,2)</f>
      </c>
      <c r="AD156" s="33">
        <f>ROUND(J156-T156,2)</f>
      </c>
      <c r="AE156" s="33">
        <f>ROUND(K156-U156,2)</f>
      </c>
      <c r="AF156" s="33">
        <f>IF(V156&lt;=0,0,MAX(0,MIN(V156,ROUND($AZ156-SUMPRODUCT($V156:$AE156*($V156:$AE156&gt;0)*(($V$3:$AE$3&gt;V$3)+($V$3:$AE$3=V$3)*($V156:$AE156&lt;V156)+($V$3:$AE$3=V$3)*($V156:$AE156=V156)*($V$2:$AE$2&lt;V$2))),2))))</f>
      </c>
      <c r="AG156" s="33">
        <f>IF(W156&lt;=0,0,MAX(0,MIN(W156,ROUND($AZ156-SUMPRODUCT($V156:$AE156*($V156:$AE156&gt;0)*(($V$3:$AE$3&gt;W$3)+($V$3:$AE$3=W$3)*($V156:$AE156&lt;W156)+($V$3:$AE$3=W$3)*($V156:$AE156=W156)*($V$2:$AE$2&lt;W$2))),2))))</f>
      </c>
      <c r="AH156" s="33">
        <f>IF(X156&lt;=0,0,MAX(0,MIN(X156,ROUND($AZ156-SUMPRODUCT($V156:$AE156*($V156:$AE156&gt;0)*(($V$3:$AE$3&gt;X$3)+($V$3:$AE$3=X$3)*($V156:$AE156&lt;X156)+($V$3:$AE$3=X$3)*($V156:$AE156=X156)*($V$2:$AE$2&lt;X$2))),2))))</f>
      </c>
      <c r="AI156" s="33">
        <f>IF(Y156&lt;=0,0,MAX(0,MIN(Y156,ROUND($AZ156-SUMPRODUCT($V156:$AE156*($V156:$AE156&gt;0)*(($V$3:$AE$3&gt;Y$3)+($V$3:$AE$3=Y$3)*($V156:$AE156&lt;Y156)+($V$3:$AE$3=Y$3)*($V156:$AE156=Y156)*($V$2:$AE$2&lt;Y$2))),2))))</f>
      </c>
      <c r="AJ156" s="33">
        <f>IF(Z156&lt;=0,0,MAX(0,MIN(Z156,ROUND($AZ156-SUMPRODUCT($V156:$AE156*($V156:$AE156&gt;0)*(($V$3:$AE$3&gt;Z$3)+($V$3:$AE$3=Z$3)*($V156:$AE156&lt;Z156)+($V$3:$AE$3=Z$3)*($V156:$AE156=Z156)*($V$2:$AE$2&lt;Z$2))),2))))</f>
      </c>
      <c r="AK156" s="33">
        <f>IF(AA156&lt;=0,0,MAX(0,MIN(AA156,ROUND($AZ156-SUMPRODUCT($V156:$AE156*($V156:$AE156&gt;0)*(($V$3:$AE$3&gt;AA$3)+($V$3:$AE$3=AA$3)*($V156:$AE156&lt;AA156)+($V$3:$AE$3=AA$3)*($V156:$AE156=AA156)*($V$2:$AE$2&lt;AA$2))),2))))</f>
      </c>
      <c r="AL156" s="33">
        <f>IF(AB156&lt;=0,0,MAX(0,MIN(AB156,ROUND($AZ156-SUMPRODUCT($V156:$AE156*($V156:$AE156&gt;0)*(($V$3:$AE$3&gt;AB$3)+($V$3:$AE$3=AB$3)*($V156:$AE156&lt;AB156)+($V$3:$AE$3=AB$3)*($V156:$AE156=AB156)*($V$2:$AE$2&lt;AB$2))),2))))</f>
      </c>
      <c r="AM156" s="33">
        <f>IF(AC156&lt;=0,0,MAX(0,MIN(AC156,ROUND($AZ156-SUMPRODUCT($V156:$AE156*($V156:$AE156&gt;0)*(($V$3:$AE$3&gt;AC$3)+($V$3:$AE$3=AC$3)*($V156:$AE156&lt;AC156)+($V$3:$AE$3=AC$3)*($V156:$AE156=AC156)*($V$2:$AE$2&lt;AC$2))),2))))</f>
      </c>
      <c r="AN156" s="33">
        <f>IF(AD156&lt;=0,0,MAX(0,MIN(AD156,ROUND($AZ156-SUMPRODUCT($V156:$AE156*($V156:$AE156&gt;0)*(($V$3:$AE$3&gt;AD$3)+($V$3:$AE$3=AD$3)*($V156:$AE156&lt;AD156)+($V$3:$AE$3=AD$3)*($V156:$AE156=AD156)*($V$2:$AE$2&lt;AD$2))),2))))</f>
      </c>
      <c r="AO156" s="33">
        <f>IF(AE156&lt;=0,0,MAX(0,MIN(AE156,ROUND($AZ156-SUMPRODUCT($V156:$AE156*($V156:$AE156&gt;0)*(($V$3:$AE$3&gt;AE$3)+($V$3:$AE$3=AE$3)*($V156:$AE156&lt;AE156)+($V$3:$AE$3=AE$3)*($V156:$AE156=AE156)*($V$2:$AE$2&lt;AE$2))),2))))</f>
      </c>
      <c r="AP156" s="33">
        <f>ROUND(V156-AF156,2)</f>
      </c>
      <c r="AQ156" s="33">
        <f>ROUND(W156-AG156,2)</f>
      </c>
      <c r="AR156" s="33">
        <f>ROUND(X156-AH156,2)</f>
      </c>
      <c r="AS156" s="33">
        <f>ROUND(Y156-AI156,2)</f>
      </c>
      <c r="AT156" s="33">
        <f>ROUND(Z156-AJ156,2)</f>
      </c>
      <c r="AU156" s="33">
        <f>ROUND(AA156-AK156,2)</f>
      </c>
      <c r="AV156" s="33">
        <f>ROUND(AB156-AL156,2)</f>
      </c>
      <c r="AW156" s="33">
        <f>ROUND(AC156-AM156,2)</f>
      </c>
      <c r="AX156" s="33">
        <f>ROUND(AD156-AN156,2)</f>
      </c>
      <c r="AY156" s="33">
        <f>ROUND(AE156-AO156,2)</f>
      </c>
      <c r="AZ156" s="33">
        <f>ROUND(MAX(0,'Your debts'!$D$22-SUM($L156:$U156)),2)</f>
      </c>
      <c r="BA156" s="33">
        <f>ROUND(SUM($B156:$K156)-SUM($AP155:$AY155),2)</f>
      </c>
      <c r="BB156" s="33">
        <f>SUM($AP156:$AY156)</f>
      </c>
      <c r="BC156" s="33">
        <f>ROUND(SUM($L156:$U156)+SUM($AF156:$AO156),2)</f>
      </c>
    </row>
    <row r="157" spans="1:55" x14ac:dyDescent="0.25">
      <c r="A157">
        <v>150</v>
      </c>
      <c r="B157" s="33">
        <f>IF(AP156&lt;=0,0,ROUND(AP156+ROUND(AP156*V$3/12,2),2))</f>
      </c>
      <c r="C157" s="33">
        <f>IF(AQ156&lt;=0,0,ROUND(AQ156+ROUND(AQ156*W$3/12,2),2))</f>
      </c>
      <c r="D157" s="33">
        <f>IF(AR156&lt;=0,0,ROUND(AR156+ROUND(AR156*X$3/12,2),2))</f>
      </c>
      <c r="E157" s="33">
        <f>IF(AS156&lt;=0,0,ROUND(AS156+ROUND(AS156*Y$3/12,2),2))</f>
      </c>
      <c r="F157" s="33">
        <f>IF(AT156&lt;=0,0,ROUND(AT156+ROUND(AT156*Z$3/12,2),2))</f>
      </c>
      <c r="G157" s="33">
        <f>IF(AU156&lt;=0,0,ROUND(AU156+ROUND(AU156*AA$3/12,2),2))</f>
      </c>
      <c r="H157" s="33">
        <f>IF(AV156&lt;=0,0,ROUND(AV156+ROUND(AV156*AB$3/12,2),2))</f>
      </c>
      <c r="I157" s="33">
        <f>IF(AW156&lt;=0,0,ROUND(AW156+ROUND(AW156*AC$3/12,2),2))</f>
      </c>
      <c r="J157" s="33">
        <f>IF(AX156&lt;=0,0,ROUND(AX156+ROUND(AX156*AD$3/12,2),2))</f>
      </c>
      <c r="K157" s="33">
        <f>IF(AY156&lt;=0,0,ROUND(AY156+ROUND(AY156*AE$3/12,2),2))</f>
      </c>
      <c r="L157" s="33">
        <f>ROUND(MIN(MAX(0,N('Your debts'!$E$6)),B157),2)</f>
      </c>
      <c r="M157" s="33">
        <f>ROUND(MIN(MAX(0,N('Your debts'!$E$7)),C157),2)</f>
      </c>
      <c r="N157" s="33">
        <f>ROUND(MIN(MAX(0,N('Your debts'!$E$8)),D157),2)</f>
      </c>
      <c r="O157" s="33">
        <f>ROUND(MIN(MAX(0,N('Your debts'!$E$9)),E157),2)</f>
      </c>
      <c r="P157" s="33">
        <f>ROUND(MIN(MAX(0,N('Your debts'!$E$10)),F157),2)</f>
      </c>
      <c r="Q157" s="33">
        <f>ROUND(MIN(MAX(0,N('Your debts'!$E$11)),G157),2)</f>
      </c>
      <c r="R157" s="33">
        <f>ROUND(MIN(MAX(0,N('Your debts'!$E$12)),H157),2)</f>
      </c>
      <c r="S157" s="33">
        <f>ROUND(MIN(MAX(0,N('Your debts'!$E$13)),I157),2)</f>
      </c>
      <c r="T157" s="33">
        <f>ROUND(MIN(MAX(0,N('Your debts'!$E$14)),J157),2)</f>
      </c>
      <c r="U157" s="33">
        <f>ROUND(MIN(MAX(0,N('Your debts'!$E$15)),K157),2)</f>
      </c>
      <c r="V157" s="33">
        <f>ROUND(B157-L157,2)</f>
      </c>
      <c r="W157" s="33">
        <f>ROUND(C157-M157,2)</f>
      </c>
      <c r="X157" s="33">
        <f>ROUND(D157-N157,2)</f>
      </c>
      <c r="Y157" s="33">
        <f>ROUND(E157-O157,2)</f>
      </c>
      <c r="Z157" s="33">
        <f>ROUND(F157-P157,2)</f>
      </c>
      <c r="AA157" s="33">
        <f>ROUND(G157-Q157,2)</f>
      </c>
      <c r="AB157" s="33">
        <f>ROUND(H157-R157,2)</f>
      </c>
      <c r="AC157" s="33">
        <f>ROUND(I157-S157,2)</f>
      </c>
      <c r="AD157" s="33">
        <f>ROUND(J157-T157,2)</f>
      </c>
      <c r="AE157" s="33">
        <f>ROUND(K157-U157,2)</f>
      </c>
      <c r="AF157" s="33">
        <f>IF(V157&lt;=0,0,MAX(0,MIN(V157,ROUND($AZ157-SUMPRODUCT($V157:$AE157*($V157:$AE157&gt;0)*(($V$3:$AE$3&gt;V$3)+($V$3:$AE$3=V$3)*($V157:$AE157&lt;V157)+($V$3:$AE$3=V$3)*($V157:$AE157=V157)*($V$2:$AE$2&lt;V$2))),2))))</f>
      </c>
      <c r="AG157" s="33">
        <f>IF(W157&lt;=0,0,MAX(0,MIN(W157,ROUND($AZ157-SUMPRODUCT($V157:$AE157*($V157:$AE157&gt;0)*(($V$3:$AE$3&gt;W$3)+($V$3:$AE$3=W$3)*($V157:$AE157&lt;W157)+($V$3:$AE$3=W$3)*($V157:$AE157=W157)*($V$2:$AE$2&lt;W$2))),2))))</f>
      </c>
      <c r="AH157" s="33">
        <f>IF(X157&lt;=0,0,MAX(0,MIN(X157,ROUND($AZ157-SUMPRODUCT($V157:$AE157*($V157:$AE157&gt;0)*(($V$3:$AE$3&gt;X$3)+($V$3:$AE$3=X$3)*($V157:$AE157&lt;X157)+($V$3:$AE$3=X$3)*($V157:$AE157=X157)*($V$2:$AE$2&lt;X$2))),2))))</f>
      </c>
      <c r="AI157" s="33">
        <f>IF(Y157&lt;=0,0,MAX(0,MIN(Y157,ROUND($AZ157-SUMPRODUCT($V157:$AE157*($V157:$AE157&gt;0)*(($V$3:$AE$3&gt;Y$3)+($V$3:$AE$3=Y$3)*($V157:$AE157&lt;Y157)+($V$3:$AE$3=Y$3)*($V157:$AE157=Y157)*($V$2:$AE$2&lt;Y$2))),2))))</f>
      </c>
      <c r="AJ157" s="33">
        <f>IF(Z157&lt;=0,0,MAX(0,MIN(Z157,ROUND($AZ157-SUMPRODUCT($V157:$AE157*($V157:$AE157&gt;0)*(($V$3:$AE$3&gt;Z$3)+($V$3:$AE$3=Z$3)*($V157:$AE157&lt;Z157)+($V$3:$AE$3=Z$3)*($V157:$AE157=Z157)*($V$2:$AE$2&lt;Z$2))),2))))</f>
      </c>
      <c r="AK157" s="33">
        <f>IF(AA157&lt;=0,0,MAX(0,MIN(AA157,ROUND($AZ157-SUMPRODUCT($V157:$AE157*($V157:$AE157&gt;0)*(($V$3:$AE$3&gt;AA$3)+($V$3:$AE$3=AA$3)*($V157:$AE157&lt;AA157)+($V$3:$AE$3=AA$3)*($V157:$AE157=AA157)*($V$2:$AE$2&lt;AA$2))),2))))</f>
      </c>
      <c r="AL157" s="33">
        <f>IF(AB157&lt;=0,0,MAX(0,MIN(AB157,ROUND($AZ157-SUMPRODUCT($V157:$AE157*($V157:$AE157&gt;0)*(($V$3:$AE$3&gt;AB$3)+($V$3:$AE$3=AB$3)*($V157:$AE157&lt;AB157)+($V$3:$AE$3=AB$3)*($V157:$AE157=AB157)*($V$2:$AE$2&lt;AB$2))),2))))</f>
      </c>
      <c r="AM157" s="33">
        <f>IF(AC157&lt;=0,0,MAX(0,MIN(AC157,ROUND($AZ157-SUMPRODUCT($V157:$AE157*($V157:$AE157&gt;0)*(($V$3:$AE$3&gt;AC$3)+($V$3:$AE$3=AC$3)*($V157:$AE157&lt;AC157)+($V$3:$AE$3=AC$3)*($V157:$AE157=AC157)*($V$2:$AE$2&lt;AC$2))),2))))</f>
      </c>
      <c r="AN157" s="33">
        <f>IF(AD157&lt;=0,0,MAX(0,MIN(AD157,ROUND($AZ157-SUMPRODUCT($V157:$AE157*($V157:$AE157&gt;0)*(($V$3:$AE$3&gt;AD$3)+($V$3:$AE$3=AD$3)*($V157:$AE157&lt;AD157)+($V$3:$AE$3=AD$3)*($V157:$AE157=AD157)*($V$2:$AE$2&lt;AD$2))),2))))</f>
      </c>
      <c r="AO157" s="33">
        <f>IF(AE157&lt;=0,0,MAX(0,MIN(AE157,ROUND($AZ157-SUMPRODUCT($V157:$AE157*($V157:$AE157&gt;0)*(($V$3:$AE$3&gt;AE$3)+($V$3:$AE$3=AE$3)*($V157:$AE157&lt;AE157)+($V$3:$AE$3=AE$3)*($V157:$AE157=AE157)*($V$2:$AE$2&lt;AE$2))),2))))</f>
      </c>
      <c r="AP157" s="33">
        <f>ROUND(V157-AF157,2)</f>
      </c>
      <c r="AQ157" s="33">
        <f>ROUND(W157-AG157,2)</f>
      </c>
      <c r="AR157" s="33">
        <f>ROUND(X157-AH157,2)</f>
      </c>
      <c r="AS157" s="33">
        <f>ROUND(Y157-AI157,2)</f>
      </c>
      <c r="AT157" s="33">
        <f>ROUND(Z157-AJ157,2)</f>
      </c>
      <c r="AU157" s="33">
        <f>ROUND(AA157-AK157,2)</f>
      </c>
      <c r="AV157" s="33">
        <f>ROUND(AB157-AL157,2)</f>
      </c>
      <c r="AW157" s="33">
        <f>ROUND(AC157-AM157,2)</f>
      </c>
      <c r="AX157" s="33">
        <f>ROUND(AD157-AN157,2)</f>
      </c>
      <c r="AY157" s="33">
        <f>ROUND(AE157-AO157,2)</f>
      </c>
      <c r="AZ157" s="33">
        <f>ROUND(MAX(0,'Your debts'!$D$22-SUM($L157:$U157)),2)</f>
      </c>
      <c r="BA157" s="33">
        <f>ROUND(SUM($B157:$K157)-SUM($AP156:$AY156),2)</f>
      </c>
      <c r="BB157" s="33">
        <f>SUM($AP157:$AY157)</f>
      </c>
      <c r="BC157" s="33">
        <f>ROUND(SUM($L157:$U157)+SUM($AF157:$AO157),2)</f>
      </c>
    </row>
    <row r="158" spans="1:55" x14ac:dyDescent="0.25">
      <c r="A158">
        <v>151</v>
      </c>
      <c r="B158" s="33">
        <f>IF(AP157&lt;=0,0,ROUND(AP157+ROUND(AP157*V$3/12,2),2))</f>
      </c>
      <c r="C158" s="33">
        <f>IF(AQ157&lt;=0,0,ROUND(AQ157+ROUND(AQ157*W$3/12,2),2))</f>
      </c>
      <c r="D158" s="33">
        <f>IF(AR157&lt;=0,0,ROUND(AR157+ROUND(AR157*X$3/12,2),2))</f>
      </c>
      <c r="E158" s="33">
        <f>IF(AS157&lt;=0,0,ROUND(AS157+ROUND(AS157*Y$3/12,2),2))</f>
      </c>
      <c r="F158" s="33">
        <f>IF(AT157&lt;=0,0,ROUND(AT157+ROUND(AT157*Z$3/12,2),2))</f>
      </c>
      <c r="G158" s="33">
        <f>IF(AU157&lt;=0,0,ROUND(AU157+ROUND(AU157*AA$3/12,2),2))</f>
      </c>
      <c r="H158" s="33">
        <f>IF(AV157&lt;=0,0,ROUND(AV157+ROUND(AV157*AB$3/12,2),2))</f>
      </c>
      <c r="I158" s="33">
        <f>IF(AW157&lt;=0,0,ROUND(AW157+ROUND(AW157*AC$3/12,2),2))</f>
      </c>
      <c r="J158" s="33">
        <f>IF(AX157&lt;=0,0,ROUND(AX157+ROUND(AX157*AD$3/12,2),2))</f>
      </c>
      <c r="K158" s="33">
        <f>IF(AY157&lt;=0,0,ROUND(AY157+ROUND(AY157*AE$3/12,2),2))</f>
      </c>
      <c r="L158" s="33">
        <f>ROUND(MIN(MAX(0,N('Your debts'!$E$6)),B158),2)</f>
      </c>
      <c r="M158" s="33">
        <f>ROUND(MIN(MAX(0,N('Your debts'!$E$7)),C158),2)</f>
      </c>
      <c r="N158" s="33">
        <f>ROUND(MIN(MAX(0,N('Your debts'!$E$8)),D158),2)</f>
      </c>
      <c r="O158" s="33">
        <f>ROUND(MIN(MAX(0,N('Your debts'!$E$9)),E158),2)</f>
      </c>
      <c r="P158" s="33">
        <f>ROUND(MIN(MAX(0,N('Your debts'!$E$10)),F158),2)</f>
      </c>
      <c r="Q158" s="33">
        <f>ROUND(MIN(MAX(0,N('Your debts'!$E$11)),G158),2)</f>
      </c>
      <c r="R158" s="33">
        <f>ROUND(MIN(MAX(0,N('Your debts'!$E$12)),H158),2)</f>
      </c>
      <c r="S158" s="33">
        <f>ROUND(MIN(MAX(0,N('Your debts'!$E$13)),I158),2)</f>
      </c>
      <c r="T158" s="33">
        <f>ROUND(MIN(MAX(0,N('Your debts'!$E$14)),J158),2)</f>
      </c>
      <c r="U158" s="33">
        <f>ROUND(MIN(MAX(0,N('Your debts'!$E$15)),K158),2)</f>
      </c>
      <c r="V158" s="33">
        <f>ROUND(B158-L158,2)</f>
      </c>
      <c r="W158" s="33">
        <f>ROUND(C158-M158,2)</f>
      </c>
      <c r="X158" s="33">
        <f>ROUND(D158-N158,2)</f>
      </c>
      <c r="Y158" s="33">
        <f>ROUND(E158-O158,2)</f>
      </c>
      <c r="Z158" s="33">
        <f>ROUND(F158-P158,2)</f>
      </c>
      <c r="AA158" s="33">
        <f>ROUND(G158-Q158,2)</f>
      </c>
      <c r="AB158" s="33">
        <f>ROUND(H158-R158,2)</f>
      </c>
      <c r="AC158" s="33">
        <f>ROUND(I158-S158,2)</f>
      </c>
      <c r="AD158" s="33">
        <f>ROUND(J158-T158,2)</f>
      </c>
      <c r="AE158" s="33">
        <f>ROUND(K158-U158,2)</f>
      </c>
      <c r="AF158" s="33">
        <f>IF(V158&lt;=0,0,MAX(0,MIN(V158,ROUND($AZ158-SUMPRODUCT($V158:$AE158*($V158:$AE158&gt;0)*(($V$3:$AE$3&gt;V$3)+($V$3:$AE$3=V$3)*($V158:$AE158&lt;V158)+($V$3:$AE$3=V$3)*($V158:$AE158=V158)*($V$2:$AE$2&lt;V$2))),2))))</f>
      </c>
      <c r="AG158" s="33">
        <f>IF(W158&lt;=0,0,MAX(0,MIN(W158,ROUND($AZ158-SUMPRODUCT($V158:$AE158*($V158:$AE158&gt;0)*(($V$3:$AE$3&gt;W$3)+($V$3:$AE$3=W$3)*($V158:$AE158&lt;W158)+($V$3:$AE$3=W$3)*($V158:$AE158=W158)*($V$2:$AE$2&lt;W$2))),2))))</f>
      </c>
      <c r="AH158" s="33">
        <f>IF(X158&lt;=0,0,MAX(0,MIN(X158,ROUND($AZ158-SUMPRODUCT($V158:$AE158*($V158:$AE158&gt;0)*(($V$3:$AE$3&gt;X$3)+($V$3:$AE$3=X$3)*($V158:$AE158&lt;X158)+($V$3:$AE$3=X$3)*($V158:$AE158=X158)*($V$2:$AE$2&lt;X$2))),2))))</f>
      </c>
      <c r="AI158" s="33">
        <f>IF(Y158&lt;=0,0,MAX(0,MIN(Y158,ROUND($AZ158-SUMPRODUCT($V158:$AE158*($V158:$AE158&gt;0)*(($V$3:$AE$3&gt;Y$3)+($V$3:$AE$3=Y$3)*($V158:$AE158&lt;Y158)+($V$3:$AE$3=Y$3)*($V158:$AE158=Y158)*($V$2:$AE$2&lt;Y$2))),2))))</f>
      </c>
      <c r="AJ158" s="33">
        <f>IF(Z158&lt;=0,0,MAX(0,MIN(Z158,ROUND($AZ158-SUMPRODUCT($V158:$AE158*($V158:$AE158&gt;0)*(($V$3:$AE$3&gt;Z$3)+($V$3:$AE$3=Z$3)*($V158:$AE158&lt;Z158)+($V$3:$AE$3=Z$3)*($V158:$AE158=Z158)*($V$2:$AE$2&lt;Z$2))),2))))</f>
      </c>
      <c r="AK158" s="33">
        <f>IF(AA158&lt;=0,0,MAX(0,MIN(AA158,ROUND($AZ158-SUMPRODUCT($V158:$AE158*($V158:$AE158&gt;0)*(($V$3:$AE$3&gt;AA$3)+($V$3:$AE$3=AA$3)*($V158:$AE158&lt;AA158)+($V$3:$AE$3=AA$3)*($V158:$AE158=AA158)*($V$2:$AE$2&lt;AA$2))),2))))</f>
      </c>
      <c r="AL158" s="33">
        <f>IF(AB158&lt;=0,0,MAX(0,MIN(AB158,ROUND($AZ158-SUMPRODUCT($V158:$AE158*($V158:$AE158&gt;0)*(($V$3:$AE$3&gt;AB$3)+($V$3:$AE$3=AB$3)*($V158:$AE158&lt;AB158)+($V$3:$AE$3=AB$3)*($V158:$AE158=AB158)*($V$2:$AE$2&lt;AB$2))),2))))</f>
      </c>
      <c r="AM158" s="33">
        <f>IF(AC158&lt;=0,0,MAX(0,MIN(AC158,ROUND($AZ158-SUMPRODUCT($V158:$AE158*($V158:$AE158&gt;0)*(($V$3:$AE$3&gt;AC$3)+($V$3:$AE$3=AC$3)*($V158:$AE158&lt;AC158)+($V$3:$AE$3=AC$3)*($V158:$AE158=AC158)*($V$2:$AE$2&lt;AC$2))),2))))</f>
      </c>
      <c r="AN158" s="33">
        <f>IF(AD158&lt;=0,0,MAX(0,MIN(AD158,ROUND($AZ158-SUMPRODUCT($V158:$AE158*($V158:$AE158&gt;0)*(($V$3:$AE$3&gt;AD$3)+($V$3:$AE$3=AD$3)*($V158:$AE158&lt;AD158)+($V$3:$AE$3=AD$3)*($V158:$AE158=AD158)*($V$2:$AE$2&lt;AD$2))),2))))</f>
      </c>
      <c r="AO158" s="33">
        <f>IF(AE158&lt;=0,0,MAX(0,MIN(AE158,ROUND($AZ158-SUMPRODUCT($V158:$AE158*($V158:$AE158&gt;0)*(($V$3:$AE$3&gt;AE$3)+($V$3:$AE$3=AE$3)*($V158:$AE158&lt;AE158)+($V$3:$AE$3=AE$3)*($V158:$AE158=AE158)*($V$2:$AE$2&lt;AE$2))),2))))</f>
      </c>
      <c r="AP158" s="33">
        <f>ROUND(V158-AF158,2)</f>
      </c>
      <c r="AQ158" s="33">
        <f>ROUND(W158-AG158,2)</f>
      </c>
      <c r="AR158" s="33">
        <f>ROUND(X158-AH158,2)</f>
      </c>
      <c r="AS158" s="33">
        <f>ROUND(Y158-AI158,2)</f>
      </c>
      <c r="AT158" s="33">
        <f>ROUND(Z158-AJ158,2)</f>
      </c>
      <c r="AU158" s="33">
        <f>ROUND(AA158-AK158,2)</f>
      </c>
      <c r="AV158" s="33">
        <f>ROUND(AB158-AL158,2)</f>
      </c>
      <c r="AW158" s="33">
        <f>ROUND(AC158-AM158,2)</f>
      </c>
      <c r="AX158" s="33">
        <f>ROUND(AD158-AN158,2)</f>
      </c>
      <c r="AY158" s="33">
        <f>ROUND(AE158-AO158,2)</f>
      </c>
      <c r="AZ158" s="33">
        <f>ROUND(MAX(0,'Your debts'!$D$22-SUM($L158:$U158)),2)</f>
      </c>
      <c r="BA158" s="33">
        <f>ROUND(SUM($B158:$K158)-SUM($AP157:$AY157),2)</f>
      </c>
      <c r="BB158" s="33">
        <f>SUM($AP158:$AY158)</f>
      </c>
      <c r="BC158" s="33">
        <f>ROUND(SUM($L158:$U158)+SUM($AF158:$AO158),2)</f>
      </c>
    </row>
    <row r="159" spans="1:55" x14ac:dyDescent="0.25">
      <c r="A159">
        <v>152</v>
      </c>
      <c r="B159" s="33">
        <f>IF(AP158&lt;=0,0,ROUND(AP158+ROUND(AP158*V$3/12,2),2))</f>
      </c>
      <c r="C159" s="33">
        <f>IF(AQ158&lt;=0,0,ROUND(AQ158+ROUND(AQ158*W$3/12,2),2))</f>
      </c>
      <c r="D159" s="33">
        <f>IF(AR158&lt;=0,0,ROUND(AR158+ROUND(AR158*X$3/12,2),2))</f>
      </c>
      <c r="E159" s="33">
        <f>IF(AS158&lt;=0,0,ROUND(AS158+ROUND(AS158*Y$3/12,2),2))</f>
      </c>
      <c r="F159" s="33">
        <f>IF(AT158&lt;=0,0,ROUND(AT158+ROUND(AT158*Z$3/12,2),2))</f>
      </c>
      <c r="G159" s="33">
        <f>IF(AU158&lt;=0,0,ROUND(AU158+ROUND(AU158*AA$3/12,2),2))</f>
      </c>
      <c r="H159" s="33">
        <f>IF(AV158&lt;=0,0,ROUND(AV158+ROUND(AV158*AB$3/12,2),2))</f>
      </c>
      <c r="I159" s="33">
        <f>IF(AW158&lt;=0,0,ROUND(AW158+ROUND(AW158*AC$3/12,2),2))</f>
      </c>
      <c r="J159" s="33">
        <f>IF(AX158&lt;=0,0,ROUND(AX158+ROUND(AX158*AD$3/12,2),2))</f>
      </c>
      <c r="K159" s="33">
        <f>IF(AY158&lt;=0,0,ROUND(AY158+ROUND(AY158*AE$3/12,2),2))</f>
      </c>
      <c r="L159" s="33">
        <f>ROUND(MIN(MAX(0,N('Your debts'!$E$6)),B159),2)</f>
      </c>
      <c r="M159" s="33">
        <f>ROUND(MIN(MAX(0,N('Your debts'!$E$7)),C159),2)</f>
      </c>
      <c r="N159" s="33">
        <f>ROUND(MIN(MAX(0,N('Your debts'!$E$8)),D159),2)</f>
      </c>
      <c r="O159" s="33">
        <f>ROUND(MIN(MAX(0,N('Your debts'!$E$9)),E159),2)</f>
      </c>
      <c r="P159" s="33">
        <f>ROUND(MIN(MAX(0,N('Your debts'!$E$10)),F159),2)</f>
      </c>
      <c r="Q159" s="33">
        <f>ROUND(MIN(MAX(0,N('Your debts'!$E$11)),G159),2)</f>
      </c>
      <c r="R159" s="33">
        <f>ROUND(MIN(MAX(0,N('Your debts'!$E$12)),H159),2)</f>
      </c>
      <c r="S159" s="33">
        <f>ROUND(MIN(MAX(0,N('Your debts'!$E$13)),I159),2)</f>
      </c>
      <c r="T159" s="33">
        <f>ROUND(MIN(MAX(0,N('Your debts'!$E$14)),J159),2)</f>
      </c>
      <c r="U159" s="33">
        <f>ROUND(MIN(MAX(0,N('Your debts'!$E$15)),K159),2)</f>
      </c>
      <c r="V159" s="33">
        <f>ROUND(B159-L159,2)</f>
      </c>
      <c r="W159" s="33">
        <f>ROUND(C159-M159,2)</f>
      </c>
      <c r="X159" s="33">
        <f>ROUND(D159-N159,2)</f>
      </c>
      <c r="Y159" s="33">
        <f>ROUND(E159-O159,2)</f>
      </c>
      <c r="Z159" s="33">
        <f>ROUND(F159-P159,2)</f>
      </c>
      <c r="AA159" s="33">
        <f>ROUND(G159-Q159,2)</f>
      </c>
      <c r="AB159" s="33">
        <f>ROUND(H159-R159,2)</f>
      </c>
      <c r="AC159" s="33">
        <f>ROUND(I159-S159,2)</f>
      </c>
      <c r="AD159" s="33">
        <f>ROUND(J159-T159,2)</f>
      </c>
      <c r="AE159" s="33">
        <f>ROUND(K159-U159,2)</f>
      </c>
      <c r="AF159" s="33">
        <f>IF(V159&lt;=0,0,MAX(0,MIN(V159,ROUND($AZ159-SUMPRODUCT($V159:$AE159*($V159:$AE159&gt;0)*(($V$3:$AE$3&gt;V$3)+($V$3:$AE$3=V$3)*($V159:$AE159&lt;V159)+($V$3:$AE$3=V$3)*($V159:$AE159=V159)*($V$2:$AE$2&lt;V$2))),2))))</f>
      </c>
      <c r="AG159" s="33">
        <f>IF(W159&lt;=0,0,MAX(0,MIN(W159,ROUND($AZ159-SUMPRODUCT($V159:$AE159*($V159:$AE159&gt;0)*(($V$3:$AE$3&gt;W$3)+($V$3:$AE$3=W$3)*($V159:$AE159&lt;W159)+($V$3:$AE$3=W$3)*($V159:$AE159=W159)*($V$2:$AE$2&lt;W$2))),2))))</f>
      </c>
      <c r="AH159" s="33">
        <f>IF(X159&lt;=0,0,MAX(0,MIN(X159,ROUND($AZ159-SUMPRODUCT($V159:$AE159*($V159:$AE159&gt;0)*(($V$3:$AE$3&gt;X$3)+($V$3:$AE$3=X$3)*($V159:$AE159&lt;X159)+($V$3:$AE$3=X$3)*($V159:$AE159=X159)*($V$2:$AE$2&lt;X$2))),2))))</f>
      </c>
      <c r="AI159" s="33">
        <f>IF(Y159&lt;=0,0,MAX(0,MIN(Y159,ROUND($AZ159-SUMPRODUCT($V159:$AE159*($V159:$AE159&gt;0)*(($V$3:$AE$3&gt;Y$3)+($V$3:$AE$3=Y$3)*($V159:$AE159&lt;Y159)+($V$3:$AE$3=Y$3)*($V159:$AE159=Y159)*($V$2:$AE$2&lt;Y$2))),2))))</f>
      </c>
      <c r="AJ159" s="33">
        <f>IF(Z159&lt;=0,0,MAX(0,MIN(Z159,ROUND($AZ159-SUMPRODUCT($V159:$AE159*($V159:$AE159&gt;0)*(($V$3:$AE$3&gt;Z$3)+($V$3:$AE$3=Z$3)*($V159:$AE159&lt;Z159)+($V$3:$AE$3=Z$3)*($V159:$AE159=Z159)*($V$2:$AE$2&lt;Z$2))),2))))</f>
      </c>
      <c r="AK159" s="33">
        <f>IF(AA159&lt;=0,0,MAX(0,MIN(AA159,ROUND($AZ159-SUMPRODUCT($V159:$AE159*($V159:$AE159&gt;0)*(($V$3:$AE$3&gt;AA$3)+($V$3:$AE$3=AA$3)*($V159:$AE159&lt;AA159)+($V$3:$AE$3=AA$3)*($V159:$AE159=AA159)*($V$2:$AE$2&lt;AA$2))),2))))</f>
      </c>
      <c r="AL159" s="33">
        <f>IF(AB159&lt;=0,0,MAX(0,MIN(AB159,ROUND($AZ159-SUMPRODUCT($V159:$AE159*($V159:$AE159&gt;0)*(($V$3:$AE$3&gt;AB$3)+($V$3:$AE$3=AB$3)*($V159:$AE159&lt;AB159)+($V$3:$AE$3=AB$3)*($V159:$AE159=AB159)*($V$2:$AE$2&lt;AB$2))),2))))</f>
      </c>
      <c r="AM159" s="33">
        <f>IF(AC159&lt;=0,0,MAX(0,MIN(AC159,ROUND($AZ159-SUMPRODUCT($V159:$AE159*($V159:$AE159&gt;0)*(($V$3:$AE$3&gt;AC$3)+($V$3:$AE$3=AC$3)*($V159:$AE159&lt;AC159)+($V$3:$AE$3=AC$3)*($V159:$AE159=AC159)*($V$2:$AE$2&lt;AC$2))),2))))</f>
      </c>
      <c r="AN159" s="33">
        <f>IF(AD159&lt;=0,0,MAX(0,MIN(AD159,ROUND($AZ159-SUMPRODUCT($V159:$AE159*($V159:$AE159&gt;0)*(($V$3:$AE$3&gt;AD$3)+($V$3:$AE$3=AD$3)*($V159:$AE159&lt;AD159)+($V$3:$AE$3=AD$3)*($V159:$AE159=AD159)*($V$2:$AE$2&lt;AD$2))),2))))</f>
      </c>
      <c r="AO159" s="33">
        <f>IF(AE159&lt;=0,0,MAX(0,MIN(AE159,ROUND($AZ159-SUMPRODUCT($V159:$AE159*($V159:$AE159&gt;0)*(($V$3:$AE$3&gt;AE$3)+($V$3:$AE$3=AE$3)*($V159:$AE159&lt;AE159)+($V$3:$AE$3=AE$3)*($V159:$AE159=AE159)*($V$2:$AE$2&lt;AE$2))),2))))</f>
      </c>
      <c r="AP159" s="33">
        <f>ROUND(V159-AF159,2)</f>
      </c>
      <c r="AQ159" s="33">
        <f>ROUND(W159-AG159,2)</f>
      </c>
      <c r="AR159" s="33">
        <f>ROUND(X159-AH159,2)</f>
      </c>
      <c r="AS159" s="33">
        <f>ROUND(Y159-AI159,2)</f>
      </c>
      <c r="AT159" s="33">
        <f>ROUND(Z159-AJ159,2)</f>
      </c>
      <c r="AU159" s="33">
        <f>ROUND(AA159-AK159,2)</f>
      </c>
      <c r="AV159" s="33">
        <f>ROUND(AB159-AL159,2)</f>
      </c>
      <c r="AW159" s="33">
        <f>ROUND(AC159-AM159,2)</f>
      </c>
      <c r="AX159" s="33">
        <f>ROUND(AD159-AN159,2)</f>
      </c>
      <c r="AY159" s="33">
        <f>ROUND(AE159-AO159,2)</f>
      </c>
      <c r="AZ159" s="33">
        <f>ROUND(MAX(0,'Your debts'!$D$22-SUM($L159:$U159)),2)</f>
      </c>
      <c r="BA159" s="33">
        <f>ROUND(SUM($B159:$K159)-SUM($AP158:$AY158),2)</f>
      </c>
      <c r="BB159" s="33">
        <f>SUM($AP159:$AY159)</f>
      </c>
      <c r="BC159" s="33">
        <f>ROUND(SUM($L159:$U159)+SUM($AF159:$AO159),2)</f>
      </c>
    </row>
    <row r="160" spans="1:55" x14ac:dyDescent="0.25">
      <c r="A160">
        <v>153</v>
      </c>
      <c r="B160" s="33">
        <f>IF(AP159&lt;=0,0,ROUND(AP159+ROUND(AP159*V$3/12,2),2))</f>
      </c>
      <c r="C160" s="33">
        <f>IF(AQ159&lt;=0,0,ROUND(AQ159+ROUND(AQ159*W$3/12,2),2))</f>
      </c>
      <c r="D160" s="33">
        <f>IF(AR159&lt;=0,0,ROUND(AR159+ROUND(AR159*X$3/12,2),2))</f>
      </c>
      <c r="E160" s="33">
        <f>IF(AS159&lt;=0,0,ROUND(AS159+ROUND(AS159*Y$3/12,2),2))</f>
      </c>
      <c r="F160" s="33">
        <f>IF(AT159&lt;=0,0,ROUND(AT159+ROUND(AT159*Z$3/12,2),2))</f>
      </c>
      <c r="G160" s="33">
        <f>IF(AU159&lt;=0,0,ROUND(AU159+ROUND(AU159*AA$3/12,2),2))</f>
      </c>
      <c r="H160" s="33">
        <f>IF(AV159&lt;=0,0,ROUND(AV159+ROUND(AV159*AB$3/12,2),2))</f>
      </c>
      <c r="I160" s="33">
        <f>IF(AW159&lt;=0,0,ROUND(AW159+ROUND(AW159*AC$3/12,2),2))</f>
      </c>
      <c r="J160" s="33">
        <f>IF(AX159&lt;=0,0,ROUND(AX159+ROUND(AX159*AD$3/12,2),2))</f>
      </c>
      <c r="K160" s="33">
        <f>IF(AY159&lt;=0,0,ROUND(AY159+ROUND(AY159*AE$3/12,2),2))</f>
      </c>
      <c r="L160" s="33">
        <f>ROUND(MIN(MAX(0,N('Your debts'!$E$6)),B160),2)</f>
      </c>
      <c r="M160" s="33">
        <f>ROUND(MIN(MAX(0,N('Your debts'!$E$7)),C160),2)</f>
      </c>
      <c r="N160" s="33">
        <f>ROUND(MIN(MAX(0,N('Your debts'!$E$8)),D160),2)</f>
      </c>
      <c r="O160" s="33">
        <f>ROUND(MIN(MAX(0,N('Your debts'!$E$9)),E160),2)</f>
      </c>
      <c r="P160" s="33">
        <f>ROUND(MIN(MAX(0,N('Your debts'!$E$10)),F160),2)</f>
      </c>
      <c r="Q160" s="33">
        <f>ROUND(MIN(MAX(0,N('Your debts'!$E$11)),G160),2)</f>
      </c>
      <c r="R160" s="33">
        <f>ROUND(MIN(MAX(0,N('Your debts'!$E$12)),H160),2)</f>
      </c>
      <c r="S160" s="33">
        <f>ROUND(MIN(MAX(0,N('Your debts'!$E$13)),I160),2)</f>
      </c>
      <c r="T160" s="33">
        <f>ROUND(MIN(MAX(0,N('Your debts'!$E$14)),J160),2)</f>
      </c>
      <c r="U160" s="33">
        <f>ROUND(MIN(MAX(0,N('Your debts'!$E$15)),K160),2)</f>
      </c>
      <c r="V160" s="33">
        <f>ROUND(B160-L160,2)</f>
      </c>
      <c r="W160" s="33">
        <f>ROUND(C160-M160,2)</f>
      </c>
      <c r="X160" s="33">
        <f>ROUND(D160-N160,2)</f>
      </c>
      <c r="Y160" s="33">
        <f>ROUND(E160-O160,2)</f>
      </c>
      <c r="Z160" s="33">
        <f>ROUND(F160-P160,2)</f>
      </c>
      <c r="AA160" s="33">
        <f>ROUND(G160-Q160,2)</f>
      </c>
      <c r="AB160" s="33">
        <f>ROUND(H160-R160,2)</f>
      </c>
      <c r="AC160" s="33">
        <f>ROUND(I160-S160,2)</f>
      </c>
      <c r="AD160" s="33">
        <f>ROUND(J160-T160,2)</f>
      </c>
      <c r="AE160" s="33">
        <f>ROUND(K160-U160,2)</f>
      </c>
      <c r="AF160" s="33">
        <f>IF(V160&lt;=0,0,MAX(0,MIN(V160,ROUND($AZ160-SUMPRODUCT($V160:$AE160*($V160:$AE160&gt;0)*(($V$3:$AE$3&gt;V$3)+($V$3:$AE$3=V$3)*($V160:$AE160&lt;V160)+($V$3:$AE$3=V$3)*($V160:$AE160=V160)*($V$2:$AE$2&lt;V$2))),2))))</f>
      </c>
      <c r="AG160" s="33">
        <f>IF(W160&lt;=0,0,MAX(0,MIN(W160,ROUND($AZ160-SUMPRODUCT($V160:$AE160*($V160:$AE160&gt;0)*(($V$3:$AE$3&gt;W$3)+($V$3:$AE$3=W$3)*($V160:$AE160&lt;W160)+($V$3:$AE$3=W$3)*($V160:$AE160=W160)*($V$2:$AE$2&lt;W$2))),2))))</f>
      </c>
      <c r="AH160" s="33">
        <f>IF(X160&lt;=0,0,MAX(0,MIN(X160,ROUND($AZ160-SUMPRODUCT($V160:$AE160*($V160:$AE160&gt;0)*(($V$3:$AE$3&gt;X$3)+($V$3:$AE$3=X$3)*($V160:$AE160&lt;X160)+($V$3:$AE$3=X$3)*($V160:$AE160=X160)*($V$2:$AE$2&lt;X$2))),2))))</f>
      </c>
      <c r="AI160" s="33">
        <f>IF(Y160&lt;=0,0,MAX(0,MIN(Y160,ROUND($AZ160-SUMPRODUCT($V160:$AE160*($V160:$AE160&gt;0)*(($V$3:$AE$3&gt;Y$3)+($V$3:$AE$3=Y$3)*($V160:$AE160&lt;Y160)+($V$3:$AE$3=Y$3)*($V160:$AE160=Y160)*($V$2:$AE$2&lt;Y$2))),2))))</f>
      </c>
      <c r="AJ160" s="33">
        <f>IF(Z160&lt;=0,0,MAX(0,MIN(Z160,ROUND($AZ160-SUMPRODUCT($V160:$AE160*($V160:$AE160&gt;0)*(($V$3:$AE$3&gt;Z$3)+($V$3:$AE$3=Z$3)*($V160:$AE160&lt;Z160)+($V$3:$AE$3=Z$3)*($V160:$AE160=Z160)*($V$2:$AE$2&lt;Z$2))),2))))</f>
      </c>
      <c r="AK160" s="33">
        <f>IF(AA160&lt;=0,0,MAX(0,MIN(AA160,ROUND($AZ160-SUMPRODUCT($V160:$AE160*($V160:$AE160&gt;0)*(($V$3:$AE$3&gt;AA$3)+($V$3:$AE$3=AA$3)*($V160:$AE160&lt;AA160)+($V$3:$AE$3=AA$3)*($V160:$AE160=AA160)*($V$2:$AE$2&lt;AA$2))),2))))</f>
      </c>
      <c r="AL160" s="33">
        <f>IF(AB160&lt;=0,0,MAX(0,MIN(AB160,ROUND($AZ160-SUMPRODUCT($V160:$AE160*($V160:$AE160&gt;0)*(($V$3:$AE$3&gt;AB$3)+($V$3:$AE$3=AB$3)*($V160:$AE160&lt;AB160)+($V$3:$AE$3=AB$3)*($V160:$AE160=AB160)*($V$2:$AE$2&lt;AB$2))),2))))</f>
      </c>
      <c r="AM160" s="33">
        <f>IF(AC160&lt;=0,0,MAX(0,MIN(AC160,ROUND($AZ160-SUMPRODUCT($V160:$AE160*($V160:$AE160&gt;0)*(($V$3:$AE$3&gt;AC$3)+($V$3:$AE$3=AC$3)*($V160:$AE160&lt;AC160)+($V$3:$AE$3=AC$3)*($V160:$AE160=AC160)*($V$2:$AE$2&lt;AC$2))),2))))</f>
      </c>
      <c r="AN160" s="33">
        <f>IF(AD160&lt;=0,0,MAX(0,MIN(AD160,ROUND($AZ160-SUMPRODUCT($V160:$AE160*($V160:$AE160&gt;0)*(($V$3:$AE$3&gt;AD$3)+($V$3:$AE$3=AD$3)*($V160:$AE160&lt;AD160)+($V$3:$AE$3=AD$3)*($V160:$AE160=AD160)*($V$2:$AE$2&lt;AD$2))),2))))</f>
      </c>
      <c r="AO160" s="33">
        <f>IF(AE160&lt;=0,0,MAX(0,MIN(AE160,ROUND($AZ160-SUMPRODUCT($V160:$AE160*($V160:$AE160&gt;0)*(($V$3:$AE$3&gt;AE$3)+($V$3:$AE$3=AE$3)*($V160:$AE160&lt;AE160)+($V$3:$AE$3=AE$3)*($V160:$AE160=AE160)*($V$2:$AE$2&lt;AE$2))),2))))</f>
      </c>
      <c r="AP160" s="33">
        <f>ROUND(V160-AF160,2)</f>
      </c>
      <c r="AQ160" s="33">
        <f>ROUND(W160-AG160,2)</f>
      </c>
      <c r="AR160" s="33">
        <f>ROUND(X160-AH160,2)</f>
      </c>
      <c r="AS160" s="33">
        <f>ROUND(Y160-AI160,2)</f>
      </c>
      <c r="AT160" s="33">
        <f>ROUND(Z160-AJ160,2)</f>
      </c>
      <c r="AU160" s="33">
        <f>ROUND(AA160-AK160,2)</f>
      </c>
      <c r="AV160" s="33">
        <f>ROUND(AB160-AL160,2)</f>
      </c>
      <c r="AW160" s="33">
        <f>ROUND(AC160-AM160,2)</f>
      </c>
      <c r="AX160" s="33">
        <f>ROUND(AD160-AN160,2)</f>
      </c>
      <c r="AY160" s="33">
        <f>ROUND(AE160-AO160,2)</f>
      </c>
      <c r="AZ160" s="33">
        <f>ROUND(MAX(0,'Your debts'!$D$22-SUM($L160:$U160)),2)</f>
      </c>
      <c r="BA160" s="33">
        <f>ROUND(SUM($B160:$K160)-SUM($AP159:$AY159),2)</f>
      </c>
      <c r="BB160" s="33">
        <f>SUM($AP160:$AY160)</f>
      </c>
      <c r="BC160" s="33">
        <f>ROUND(SUM($L160:$U160)+SUM($AF160:$AO160),2)</f>
      </c>
    </row>
    <row r="161" spans="1:55" x14ac:dyDescent="0.25">
      <c r="A161">
        <v>154</v>
      </c>
      <c r="B161" s="33">
        <f>IF(AP160&lt;=0,0,ROUND(AP160+ROUND(AP160*V$3/12,2),2))</f>
      </c>
      <c r="C161" s="33">
        <f>IF(AQ160&lt;=0,0,ROUND(AQ160+ROUND(AQ160*W$3/12,2),2))</f>
      </c>
      <c r="D161" s="33">
        <f>IF(AR160&lt;=0,0,ROUND(AR160+ROUND(AR160*X$3/12,2),2))</f>
      </c>
      <c r="E161" s="33">
        <f>IF(AS160&lt;=0,0,ROUND(AS160+ROUND(AS160*Y$3/12,2),2))</f>
      </c>
      <c r="F161" s="33">
        <f>IF(AT160&lt;=0,0,ROUND(AT160+ROUND(AT160*Z$3/12,2),2))</f>
      </c>
      <c r="G161" s="33">
        <f>IF(AU160&lt;=0,0,ROUND(AU160+ROUND(AU160*AA$3/12,2),2))</f>
      </c>
      <c r="H161" s="33">
        <f>IF(AV160&lt;=0,0,ROUND(AV160+ROUND(AV160*AB$3/12,2),2))</f>
      </c>
      <c r="I161" s="33">
        <f>IF(AW160&lt;=0,0,ROUND(AW160+ROUND(AW160*AC$3/12,2),2))</f>
      </c>
      <c r="J161" s="33">
        <f>IF(AX160&lt;=0,0,ROUND(AX160+ROUND(AX160*AD$3/12,2),2))</f>
      </c>
      <c r="K161" s="33">
        <f>IF(AY160&lt;=0,0,ROUND(AY160+ROUND(AY160*AE$3/12,2),2))</f>
      </c>
      <c r="L161" s="33">
        <f>ROUND(MIN(MAX(0,N('Your debts'!$E$6)),B161),2)</f>
      </c>
      <c r="M161" s="33">
        <f>ROUND(MIN(MAX(0,N('Your debts'!$E$7)),C161),2)</f>
      </c>
      <c r="N161" s="33">
        <f>ROUND(MIN(MAX(0,N('Your debts'!$E$8)),D161),2)</f>
      </c>
      <c r="O161" s="33">
        <f>ROUND(MIN(MAX(0,N('Your debts'!$E$9)),E161),2)</f>
      </c>
      <c r="P161" s="33">
        <f>ROUND(MIN(MAX(0,N('Your debts'!$E$10)),F161),2)</f>
      </c>
      <c r="Q161" s="33">
        <f>ROUND(MIN(MAX(0,N('Your debts'!$E$11)),G161),2)</f>
      </c>
      <c r="R161" s="33">
        <f>ROUND(MIN(MAX(0,N('Your debts'!$E$12)),H161),2)</f>
      </c>
      <c r="S161" s="33">
        <f>ROUND(MIN(MAX(0,N('Your debts'!$E$13)),I161),2)</f>
      </c>
      <c r="T161" s="33">
        <f>ROUND(MIN(MAX(0,N('Your debts'!$E$14)),J161),2)</f>
      </c>
      <c r="U161" s="33">
        <f>ROUND(MIN(MAX(0,N('Your debts'!$E$15)),K161),2)</f>
      </c>
      <c r="V161" s="33">
        <f>ROUND(B161-L161,2)</f>
      </c>
      <c r="W161" s="33">
        <f>ROUND(C161-M161,2)</f>
      </c>
      <c r="X161" s="33">
        <f>ROUND(D161-N161,2)</f>
      </c>
      <c r="Y161" s="33">
        <f>ROUND(E161-O161,2)</f>
      </c>
      <c r="Z161" s="33">
        <f>ROUND(F161-P161,2)</f>
      </c>
      <c r="AA161" s="33">
        <f>ROUND(G161-Q161,2)</f>
      </c>
      <c r="AB161" s="33">
        <f>ROUND(H161-R161,2)</f>
      </c>
      <c r="AC161" s="33">
        <f>ROUND(I161-S161,2)</f>
      </c>
      <c r="AD161" s="33">
        <f>ROUND(J161-T161,2)</f>
      </c>
      <c r="AE161" s="33">
        <f>ROUND(K161-U161,2)</f>
      </c>
      <c r="AF161" s="33">
        <f>IF(V161&lt;=0,0,MAX(0,MIN(V161,ROUND($AZ161-SUMPRODUCT($V161:$AE161*($V161:$AE161&gt;0)*(($V$3:$AE$3&gt;V$3)+($V$3:$AE$3=V$3)*($V161:$AE161&lt;V161)+($V$3:$AE$3=V$3)*($V161:$AE161=V161)*($V$2:$AE$2&lt;V$2))),2))))</f>
      </c>
      <c r="AG161" s="33">
        <f>IF(W161&lt;=0,0,MAX(0,MIN(W161,ROUND($AZ161-SUMPRODUCT($V161:$AE161*($V161:$AE161&gt;0)*(($V$3:$AE$3&gt;W$3)+($V$3:$AE$3=W$3)*($V161:$AE161&lt;W161)+($V$3:$AE$3=W$3)*($V161:$AE161=W161)*($V$2:$AE$2&lt;W$2))),2))))</f>
      </c>
      <c r="AH161" s="33">
        <f>IF(X161&lt;=0,0,MAX(0,MIN(X161,ROUND($AZ161-SUMPRODUCT($V161:$AE161*($V161:$AE161&gt;0)*(($V$3:$AE$3&gt;X$3)+($V$3:$AE$3=X$3)*($V161:$AE161&lt;X161)+($V$3:$AE$3=X$3)*($V161:$AE161=X161)*($V$2:$AE$2&lt;X$2))),2))))</f>
      </c>
      <c r="AI161" s="33">
        <f>IF(Y161&lt;=0,0,MAX(0,MIN(Y161,ROUND($AZ161-SUMPRODUCT($V161:$AE161*($V161:$AE161&gt;0)*(($V$3:$AE$3&gt;Y$3)+($V$3:$AE$3=Y$3)*($V161:$AE161&lt;Y161)+($V$3:$AE$3=Y$3)*($V161:$AE161=Y161)*($V$2:$AE$2&lt;Y$2))),2))))</f>
      </c>
      <c r="AJ161" s="33">
        <f>IF(Z161&lt;=0,0,MAX(0,MIN(Z161,ROUND($AZ161-SUMPRODUCT($V161:$AE161*($V161:$AE161&gt;0)*(($V$3:$AE$3&gt;Z$3)+($V$3:$AE$3=Z$3)*($V161:$AE161&lt;Z161)+($V$3:$AE$3=Z$3)*($V161:$AE161=Z161)*($V$2:$AE$2&lt;Z$2))),2))))</f>
      </c>
      <c r="AK161" s="33">
        <f>IF(AA161&lt;=0,0,MAX(0,MIN(AA161,ROUND($AZ161-SUMPRODUCT($V161:$AE161*($V161:$AE161&gt;0)*(($V$3:$AE$3&gt;AA$3)+($V$3:$AE$3=AA$3)*($V161:$AE161&lt;AA161)+($V$3:$AE$3=AA$3)*($V161:$AE161=AA161)*($V$2:$AE$2&lt;AA$2))),2))))</f>
      </c>
      <c r="AL161" s="33">
        <f>IF(AB161&lt;=0,0,MAX(0,MIN(AB161,ROUND($AZ161-SUMPRODUCT($V161:$AE161*($V161:$AE161&gt;0)*(($V$3:$AE$3&gt;AB$3)+($V$3:$AE$3=AB$3)*($V161:$AE161&lt;AB161)+($V$3:$AE$3=AB$3)*($V161:$AE161=AB161)*($V$2:$AE$2&lt;AB$2))),2))))</f>
      </c>
      <c r="AM161" s="33">
        <f>IF(AC161&lt;=0,0,MAX(0,MIN(AC161,ROUND($AZ161-SUMPRODUCT($V161:$AE161*($V161:$AE161&gt;0)*(($V$3:$AE$3&gt;AC$3)+($V$3:$AE$3=AC$3)*($V161:$AE161&lt;AC161)+($V$3:$AE$3=AC$3)*($V161:$AE161=AC161)*($V$2:$AE$2&lt;AC$2))),2))))</f>
      </c>
      <c r="AN161" s="33">
        <f>IF(AD161&lt;=0,0,MAX(0,MIN(AD161,ROUND($AZ161-SUMPRODUCT($V161:$AE161*($V161:$AE161&gt;0)*(($V$3:$AE$3&gt;AD$3)+($V$3:$AE$3=AD$3)*($V161:$AE161&lt;AD161)+($V$3:$AE$3=AD$3)*($V161:$AE161=AD161)*($V$2:$AE$2&lt;AD$2))),2))))</f>
      </c>
      <c r="AO161" s="33">
        <f>IF(AE161&lt;=0,0,MAX(0,MIN(AE161,ROUND($AZ161-SUMPRODUCT($V161:$AE161*($V161:$AE161&gt;0)*(($V$3:$AE$3&gt;AE$3)+($V$3:$AE$3=AE$3)*($V161:$AE161&lt;AE161)+($V$3:$AE$3=AE$3)*($V161:$AE161=AE161)*($V$2:$AE$2&lt;AE$2))),2))))</f>
      </c>
      <c r="AP161" s="33">
        <f>ROUND(V161-AF161,2)</f>
      </c>
      <c r="AQ161" s="33">
        <f>ROUND(W161-AG161,2)</f>
      </c>
      <c r="AR161" s="33">
        <f>ROUND(X161-AH161,2)</f>
      </c>
      <c r="AS161" s="33">
        <f>ROUND(Y161-AI161,2)</f>
      </c>
      <c r="AT161" s="33">
        <f>ROUND(Z161-AJ161,2)</f>
      </c>
      <c r="AU161" s="33">
        <f>ROUND(AA161-AK161,2)</f>
      </c>
      <c r="AV161" s="33">
        <f>ROUND(AB161-AL161,2)</f>
      </c>
      <c r="AW161" s="33">
        <f>ROUND(AC161-AM161,2)</f>
      </c>
      <c r="AX161" s="33">
        <f>ROUND(AD161-AN161,2)</f>
      </c>
      <c r="AY161" s="33">
        <f>ROUND(AE161-AO161,2)</f>
      </c>
      <c r="AZ161" s="33">
        <f>ROUND(MAX(0,'Your debts'!$D$22-SUM($L161:$U161)),2)</f>
      </c>
      <c r="BA161" s="33">
        <f>ROUND(SUM($B161:$K161)-SUM($AP160:$AY160),2)</f>
      </c>
      <c r="BB161" s="33">
        <f>SUM($AP161:$AY161)</f>
      </c>
      <c r="BC161" s="33">
        <f>ROUND(SUM($L161:$U161)+SUM($AF161:$AO161),2)</f>
      </c>
    </row>
    <row r="162" spans="1:55" x14ac:dyDescent="0.25">
      <c r="A162">
        <v>155</v>
      </c>
      <c r="B162" s="33">
        <f>IF(AP161&lt;=0,0,ROUND(AP161+ROUND(AP161*V$3/12,2),2))</f>
      </c>
      <c r="C162" s="33">
        <f>IF(AQ161&lt;=0,0,ROUND(AQ161+ROUND(AQ161*W$3/12,2),2))</f>
      </c>
      <c r="D162" s="33">
        <f>IF(AR161&lt;=0,0,ROUND(AR161+ROUND(AR161*X$3/12,2),2))</f>
      </c>
      <c r="E162" s="33">
        <f>IF(AS161&lt;=0,0,ROUND(AS161+ROUND(AS161*Y$3/12,2),2))</f>
      </c>
      <c r="F162" s="33">
        <f>IF(AT161&lt;=0,0,ROUND(AT161+ROUND(AT161*Z$3/12,2),2))</f>
      </c>
      <c r="G162" s="33">
        <f>IF(AU161&lt;=0,0,ROUND(AU161+ROUND(AU161*AA$3/12,2),2))</f>
      </c>
      <c r="H162" s="33">
        <f>IF(AV161&lt;=0,0,ROUND(AV161+ROUND(AV161*AB$3/12,2),2))</f>
      </c>
      <c r="I162" s="33">
        <f>IF(AW161&lt;=0,0,ROUND(AW161+ROUND(AW161*AC$3/12,2),2))</f>
      </c>
      <c r="J162" s="33">
        <f>IF(AX161&lt;=0,0,ROUND(AX161+ROUND(AX161*AD$3/12,2),2))</f>
      </c>
      <c r="K162" s="33">
        <f>IF(AY161&lt;=0,0,ROUND(AY161+ROUND(AY161*AE$3/12,2),2))</f>
      </c>
      <c r="L162" s="33">
        <f>ROUND(MIN(MAX(0,N('Your debts'!$E$6)),B162),2)</f>
      </c>
      <c r="M162" s="33">
        <f>ROUND(MIN(MAX(0,N('Your debts'!$E$7)),C162),2)</f>
      </c>
      <c r="N162" s="33">
        <f>ROUND(MIN(MAX(0,N('Your debts'!$E$8)),D162),2)</f>
      </c>
      <c r="O162" s="33">
        <f>ROUND(MIN(MAX(0,N('Your debts'!$E$9)),E162),2)</f>
      </c>
      <c r="P162" s="33">
        <f>ROUND(MIN(MAX(0,N('Your debts'!$E$10)),F162),2)</f>
      </c>
      <c r="Q162" s="33">
        <f>ROUND(MIN(MAX(0,N('Your debts'!$E$11)),G162),2)</f>
      </c>
      <c r="R162" s="33">
        <f>ROUND(MIN(MAX(0,N('Your debts'!$E$12)),H162),2)</f>
      </c>
      <c r="S162" s="33">
        <f>ROUND(MIN(MAX(0,N('Your debts'!$E$13)),I162),2)</f>
      </c>
      <c r="T162" s="33">
        <f>ROUND(MIN(MAX(0,N('Your debts'!$E$14)),J162),2)</f>
      </c>
      <c r="U162" s="33">
        <f>ROUND(MIN(MAX(0,N('Your debts'!$E$15)),K162),2)</f>
      </c>
      <c r="V162" s="33">
        <f>ROUND(B162-L162,2)</f>
      </c>
      <c r="W162" s="33">
        <f>ROUND(C162-M162,2)</f>
      </c>
      <c r="X162" s="33">
        <f>ROUND(D162-N162,2)</f>
      </c>
      <c r="Y162" s="33">
        <f>ROUND(E162-O162,2)</f>
      </c>
      <c r="Z162" s="33">
        <f>ROUND(F162-P162,2)</f>
      </c>
      <c r="AA162" s="33">
        <f>ROUND(G162-Q162,2)</f>
      </c>
      <c r="AB162" s="33">
        <f>ROUND(H162-R162,2)</f>
      </c>
      <c r="AC162" s="33">
        <f>ROUND(I162-S162,2)</f>
      </c>
      <c r="AD162" s="33">
        <f>ROUND(J162-T162,2)</f>
      </c>
      <c r="AE162" s="33">
        <f>ROUND(K162-U162,2)</f>
      </c>
      <c r="AF162" s="33">
        <f>IF(V162&lt;=0,0,MAX(0,MIN(V162,ROUND($AZ162-SUMPRODUCT($V162:$AE162*($V162:$AE162&gt;0)*(($V$3:$AE$3&gt;V$3)+($V$3:$AE$3=V$3)*($V162:$AE162&lt;V162)+($V$3:$AE$3=V$3)*($V162:$AE162=V162)*($V$2:$AE$2&lt;V$2))),2))))</f>
      </c>
      <c r="AG162" s="33">
        <f>IF(W162&lt;=0,0,MAX(0,MIN(W162,ROUND($AZ162-SUMPRODUCT($V162:$AE162*($V162:$AE162&gt;0)*(($V$3:$AE$3&gt;W$3)+($V$3:$AE$3=W$3)*($V162:$AE162&lt;W162)+($V$3:$AE$3=W$3)*($V162:$AE162=W162)*($V$2:$AE$2&lt;W$2))),2))))</f>
      </c>
      <c r="AH162" s="33">
        <f>IF(X162&lt;=0,0,MAX(0,MIN(X162,ROUND($AZ162-SUMPRODUCT($V162:$AE162*($V162:$AE162&gt;0)*(($V$3:$AE$3&gt;X$3)+($V$3:$AE$3=X$3)*($V162:$AE162&lt;X162)+($V$3:$AE$3=X$3)*($V162:$AE162=X162)*($V$2:$AE$2&lt;X$2))),2))))</f>
      </c>
      <c r="AI162" s="33">
        <f>IF(Y162&lt;=0,0,MAX(0,MIN(Y162,ROUND($AZ162-SUMPRODUCT($V162:$AE162*($V162:$AE162&gt;0)*(($V$3:$AE$3&gt;Y$3)+($V$3:$AE$3=Y$3)*($V162:$AE162&lt;Y162)+($V$3:$AE$3=Y$3)*($V162:$AE162=Y162)*($V$2:$AE$2&lt;Y$2))),2))))</f>
      </c>
      <c r="AJ162" s="33">
        <f>IF(Z162&lt;=0,0,MAX(0,MIN(Z162,ROUND($AZ162-SUMPRODUCT($V162:$AE162*($V162:$AE162&gt;0)*(($V$3:$AE$3&gt;Z$3)+($V$3:$AE$3=Z$3)*($V162:$AE162&lt;Z162)+($V$3:$AE$3=Z$3)*($V162:$AE162=Z162)*($V$2:$AE$2&lt;Z$2))),2))))</f>
      </c>
      <c r="AK162" s="33">
        <f>IF(AA162&lt;=0,0,MAX(0,MIN(AA162,ROUND($AZ162-SUMPRODUCT($V162:$AE162*($V162:$AE162&gt;0)*(($V$3:$AE$3&gt;AA$3)+($V$3:$AE$3=AA$3)*($V162:$AE162&lt;AA162)+($V$3:$AE$3=AA$3)*($V162:$AE162=AA162)*($V$2:$AE$2&lt;AA$2))),2))))</f>
      </c>
      <c r="AL162" s="33">
        <f>IF(AB162&lt;=0,0,MAX(0,MIN(AB162,ROUND($AZ162-SUMPRODUCT($V162:$AE162*($V162:$AE162&gt;0)*(($V$3:$AE$3&gt;AB$3)+($V$3:$AE$3=AB$3)*($V162:$AE162&lt;AB162)+($V$3:$AE$3=AB$3)*($V162:$AE162=AB162)*($V$2:$AE$2&lt;AB$2))),2))))</f>
      </c>
      <c r="AM162" s="33">
        <f>IF(AC162&lt;=0,0,MAX(0,MIN(AC162,ROUND($AZ162-SUMPRODUCT($V162:$AE162*($V162:$AE162&gt;0)*(($V$3:$AE$3&gt;AC$3)+($V$3:$AE$3=AC$3)*($V162:$AE162&lt;AC162)+($V$3:$AE$3=AC$3)*($V162:$AE162=AC162)*($V$2:$AE$2&lt;AC$2))),2))))</f>
      </c>
      <c r="AN162" s="33">
        <f>IF(AD162&lt;=0,0,MAX(0,MIN(AD162,ROUND($AZ162-SUMPRODUCT($V162:$AE162*($V162:$AE162&gt;0)*(($V$3:$AE$3&gt;AD$3)+($V$3:$AE$3=AD$3)*($V162:$AE162&lt;AD162)+($V$3:$AE$3=AD$3)*($V162:$AE162=AD162)*($V$2:$AE$2&lt;AD$2))),2))))</f>
      </c>
      <c r="AO162" s="33">
        <f>IF(AE162&lt;=0,0,MAX(0,MIN(AE162,ROUND($AZ162-SUMPRODUCT($V162:$AE162*($V162:$AE162&gt;0)*(($V$3:$AE$3&gt;AE$3)+($V$3:$AE$3=AE$3)*($V162:$AE162&lt;AE162)+($V$3:$AE$3=AE$3)*($V162:$AE162=AE162)*($V$2:$AE$2&lt;AE$2))),2))))</f>
      </c>
      <c r="AP162" s="33">
        <f>ROUND(V162-AF162,2)</f>
      </c>
      <c r="AQ162" s="33">
        <f>ROUND(W162-AG162,2)</f>
      </c>
      <c r="AR162" s="33">
        <f>ROUND(X162-AH162,2)</f>
      </c>
      <c r="AS162" s="33">
        <f>ROUND(Y162-AI162,2)</f>
      </c>
      <c r="AT162" s="33">
        <f>ROUND(Z162-AJ162,2)</f>
      </c>
      <c r="AU162" s="33">
        <f>ROUND(AA162-AK162,2)</f>
      </c>
      <c r="AV162" s="33">
        <f>ROUND(AB162-AL162,2)</f>
      </c>
      <c r="AW162" s="33">
        <f>ROUND(AC162-AM162,2)</f>
      </c>
      <c r="AX162" s="33">
        <f>ROUND(AD162-AN162,2)</f>
      </c>
      <c r="AY162" s="33">
        <f>ROUND(AE162-AO162,2)</f>
      </c>
      <c r="AZ162" s="33">
        <f>ROUND(MAX(0,'Your debts'!$D$22-SUM($L162:$U162)),2)</f>
      </c>
      <c r="BA162" s="33">
        <f>ROUND(SUM($B162:$K162)-SUM($AP161:$AY161),2)</f>
      </c>
      <c r="BB162" s="33">
        <f>SUM($AP162:$AY162)</f>
      </c>
      <c r="BC162" s="33">
        <f>ROUND(SUM($L162:$U162)+SUM($AF162:$AO162),2)</f>
      </c>
    </row>
    <row r="163" spans="1:55" x14ac:dyDescent="0.25">
      <c r="A163">
        <v>156</v>
      </c>
      <c r="B163" s="33">
        <f>IF(AP162&lt;=0,0,ROUND(AP162+ROUND(AP162*V$3/12,2),2))</f>
      </c>
      <c r="C163" s="33">
        <f>IF(AQ162&lt;=0,0,ROUND(AQ162+ROUND(AQ162*W$3/12,2),2))</f>
      </c>
      <c r="D163" s="33">
        <f>IF(AR162&lt;=0,0,ROUND(AR162+ROUND(AR162*X$3/12,2),2))</f>
      </c>
      <c r="E163" s="33">
        <f>IF(AS162&lt;=0,0,ROUND(AS162+ROUND(AS162*Y$3/12,2),2))</f>
      </c>
      <c r="F163" s="33">
        <f>IF(AT162&lt;=0,0,ROUND(AT162+ROUND(AT162*Z$3/12,2),2))</f>
      </c>
      <c r="G163" s="33">
        <f>IF(AU162&lt;=0,0,ROUND(AU162+ROUND(AU162*AA$3/12,2),2))</f>
      </c>
      <c r="H163" s="33">
        <f>IF(AV162&lt;=0,0,ROUND(AV162+ROUND(AV162*AB$3/12,2),2))</f>
      </c>
      <c r="I163" s="33">
        <f>IF(AW162&lt;=0,0,ROUND(AW162+ROUND(AW162*AC$3/12,2),2))</f>
      </c>
      <c r="J163" s="33">
        <f>IF(AX162&lt;=0,0,ROUND(AX162+ROUND(AX162*AD$3/12,2),2))</f>
      </c>
      <c r="K163" s="33">
        <f>IF(AY162&lt;=0,0,ROUND(AY162+ROUND(AY162*AE$3/12,2),2))</f>
      </c>
      <c r="L163" s="33">
        <f>ROUND(MIN(MAX(0,N('Your debts'!$E$6)),B163),2)</f>
      </c>
      <c r="M163" s="33">
        <f>ROUND(MIN(MAX(0,N('Your debts'!$E$7)),C163),2)</f>
      </c>
      <c r="N163" s="33">
        <f>ROUND(MIN(MAX(0,N('Your debts'!$E$8)),D163),2)</f>
      </c>
      <c r="O163" s="33">
        <f>ROUND(MIN(MAX(0,N('Your debts'!$E$9)),E163),2)</f>
      </c>
      <c r="P163" s="33">
        <f>ROUND(MIN(MAX(0,N('Your debts'!$E$10)),F163),2)</f>
      </c>
      <c r="Q163" s="33">
        <f>ROUND(MIN(MAX(0,N('Your debts'!$E$11)),G163),2)</f>
      </c>
      <c r="R163" s="33">
        <f>ROUND(MIN(MAX(0,N('Your debts'!$E$12)),H163),2)</f>
      </c>
      <c r="S163" s="33">
        <f>ROUND(MIN(MAX(0,N('Your debts'!$E$13)),I163),2)</f>
      </c>
      <c r="T163" s="33">
        <f>ROUND(MIN(MAX(0,N('Your debts'!$E$14)),J163),2)</f>
      </c>
      <c r="U163" s="33">
        <f>ROUND(MIN(MAX(0,N('Your debts'!$E$15)),K163),2)</f>
      </c>
      <c r="V163" s="33">
        <f>ROUND(B163-L163,2)</f>
      </c>
      <c r="W163" s="33">
        <f>ROUND(C163-M163,2)</f>
      </c>
      <c r="X163" s="33">
        <f>ROUND(D163-N163,2)</f>
      </c>
      <c r="Y163" s="33">
        <f>ROUND(E163-O163,2)</f>
      </c>
      <c r="Z163" s="33">
        <f>ROUND(F163-P163,2)</f>
      </c>
      <c r="AA163" s="33">
        <f>ROUND(G163-Q163,2)</f>
      </c>
      <c r="AB163" s="33">
        <f>ROUND(H163-R163,2)</f>
      </c>
      <c r="AC163" s="33">
        <f>ROUND(I163-S163,2)</f>
      </c>
      <c r="AD163" s="33">
        <f>ROUND(J163-T163,2)</f>
      </c>
      <c r="AE163" s="33">
        <f>ROUND(K163-U163,2)</f>
      </c>
      <c r="AF163" s="33">
        <f>IF(V163&lt;=0,0,MAX(0,MIN(V163,ROUND($AZ163-SUMPRODUCT($V163:$AE163*($V163:$AE163&gt;0)*(($V$3:$AE$3&gt;V$3)+($V$3:$AE$3=V$3)*($V163:$AE163&lt;V163)+($V$3:$AE$3=V$3)*($V163:$AE163=V163)*($V$2:$AE$2&lt;V$2))),2))))</f>
      </c>
      <c r="AG163" s="33">
        <f>IF(W163&lt;=0,0,MAX(0,MIN(W163,ROUND($AZ163-SUMPRODUCT($V163:$AE163*($V163:$AE163&gt;0)*(($V$3:$AE$3&gt;W$3)+($V$3:$AE$3=W$3)*($V163:$AE163&lt;W163)+($V$3:$AE$3=W$3)*($V163:$AE163=W163)*($V$2:$AE$2&lt;W$2))),2))))</f>
      </c>
      <c r="AH163" s="33">
        <f>IF(X163&lt;=0,0,MAX(0,MIN(X163,ROUND($AZ163-SUMPRODUCT($V163:$AE163*($V163:$AE163&gt;0)*(($V$3:$AE$3&gt;X$3)+($V$3:$AE$3=X$3)*($V163:$AE163&lt;X163)+($V$3:$AE$3=X$3)*($V163:$AE163=X163)*($V$2:$AE$2&lt;X$2))),2))))</f>
      </c>
      <c r="AI163" s="33">
        <f>IF(Y163&lt;=0,0,MAX(0,MIN(Y163,ROUND($AZ163-SUMPRODUCT($V163:$AE163*($V163:$AE163&gt;0)*(($V$3:$AE$3&gt;Y$3)+($V$3:$AE$3=Y$3)*($V163:$AE163&lt;Y163)+($V$3:$AE$3=Y$3)*($V163:$AE163=Y163)*($V$2:$AE$2&lt;Y$2))),2))))</f>
      </c>
      <c r="AJ163" s="33">
        <f>IF(Z163&lt;=0,0,MAX(0,MIN(Z163,ROUND($AZ163-SUMPRODUCT($V163:$AE163*($V163:$AE163&gt;0)*(($V$3:$AE$3&gt;Z$3)+($V$3:$AE$3=Z$3)*($V163:$AE163&lt;Z163)+($V$3:$AE$3=Z$3)*($V163:$AE163=Z163)*($V$2:$AE$2&lt;Z$2))),2))))</f>
      </c>
      <c r="AK163" s="33">
        <f>IF(AA163&lt;=0,0,MAX(0,MIN(AA163,ROUND($AZ163-SUMPRODUCT($V163:$AE163*($V163:$AE163&gt;0)*(($V$3:$AE$3&gt;AA$3)+($V$3:$AE$3=AA$3)*($V163:$AE163&lt;AA163)+($V$3:$AE$3=AA$3)*($V163:$AE163=AA163)*($V$2:$AE$2&lt;AA$2))),2))))</f>
      </c>
      <c r="AL163" s="33">
        <f>IF(AB163&lt;=0,0,MAX(0,MIN(AB163,ROUND($AZ163-SUMPRODUCT($V163:$AE163*($V163:$AE163&gt;0)*(($V$3:$AE$3&gt;AB$3)+($V$3:$AE$3=AB$3)*($V163:$AE163&lt;AB163)+($V$3:$AE$3=AB$3)*($V163:$AE163=AB163)*($V$2:$AE$2&lt;AB$2))),2))))</f>
      </c>
      <c r="AM163" s="33">
        <f>IF(AC163&lt;=0,0,MAX(0,MIN(AC163,ROUND($AZ163-SUMPRODUCT($V163:$AE163*($V163:$AE163&gt;0)*(($V$3:$AE$3&gt;AC$3)+($V$3:$AE$3=AC$3)*($V163:$AE163&lt;AC163)+($V$3:$AE$3=AC$3)*($V163:$AE163=AC163)*($V$2:$AE$2&lt;AC$2))),2))))</f>
      </c>
      <c r="AN163" s="33">
        <f>IF(AD163&lt;=0,0,MAX(0,MIN(AD163,ROUND($AZ163-SUMPRODUCT($V163:$AE163*($V163:$AE163&gt;0)*(($V$3:$AE$3&gt;AD$3)+($V$3:$AE$3=AD$3)*($V163:$AE163&lt;AD163)+($V$3:$AE$3=AD$3)*($V163:$AE163=AD163)*($V$2:$AE$2&lt;AD$2))),2))))</f>
      </c>
      <c r="AO163" s="33">
        <f>IF(AE163&lt;=0,0,MAX(0,MIN(AE163,ROUND($AZ163-SUMPRODUCT($V163:$AE163*($V163:$AE163&gt;0)*(($V$3:$AE$3&gt;AE$3)+($V$3:$AE$3=AE$3)*($V163:$AE163&lt;AE163)+($V$3:$AE$3=AE$3)*($V163:$AE163=AE163)*($V$2:$AE$2&lt;AE$2))),2))))</f>
      </c>
      <c r="AP163" s="33">
        <f>ROUND(V163-AF163,2)</f>
      </c>
      <c r="AQ163" s="33">
        <f>ROUND(W163-AG163,2)</f>
      </c>
      <c r="AR163" s="33">
        <f>ROUND(X163-AH163,2)</f>
      </c>
      <c r="AS163" s="33">
        <f>ROUND(Y163-AI163,2)</f>
      </c>
      <c r="AT163" s="33">
        <f>ROUND(Z163-AJ163,2)</f>
      </c>
      <c r="AU163" s="33">
        <f>ROUND(AA163-AK163,2)</f>
      </c>
      <c r="AV163" s="33">
        <f>ROUND(AB163-AL163,2)</f>
      </c>
      <c r="AW163" s="33">
        <f>ROUND(AC163-AM163,2)</f>
      </c>
      <c r="AX163" s="33">
        <f>ROUND(AD163-AN163,2)</f>
      </c>
      <c r="AY163" s="33">
        <f>ROUND(AE163-AO163,2)</f>
      </c>
      <c r="AZ163" s="33">
        <f>ROUND(MAX(0,'Your debts'!$D$22-SUM($L163:$U163)),2)</f>
      </c>
      <c r="BA163" s="33">
        <f>ROUND(SUM($B163:$K163)-SUM($AP162:$AY162),2)</f>
      </c>
      <c r="BB163" s="33">
        <f>SUM($AP163:$AY163)</f>
      </c>
      <c r="BC163" s="33">
        <f>ROUND(SUM($L163:$U163)+SUM($AF163:$AO163),2)</f>
      </c>
    </row>
    <row r="164" spans="1:55" x14ac:dyDescent="0.25">
      <c r="A164">
        <v>157</v>
      </c>
      <c r="B164" s="33">
        <f>IF(AP163&lt;=0,0,ROUND(AP163+ROUND(AP163*V$3/12,2),2))</f>
      </c>
      <c r="C164" s="33">
        <f>IF(AQ163&lt;=0,0,ROUND(AQ163+ROUND(AQ163*W$3/12,2),2))</f>
      </c>
      <c r="D164" s="33">
        <f>IF(AR163&lt;=0,0,ROUND(AR163+ROUND(AR163*X$3/12,2),2))</f>
      </c>
      <c r="E164" s="33">
        <f>IF(AS163&lt;=0,0,ROUND(AS163+ROUND(AS163*Y$3/12,2),2))</f>
      </c>
      <c r="F164" s="33">
        <f>IF(AT163&lt;=0,0,ROUND(AT163+ROUND(AT163*Z$3/12,2),2))</f>
      </c>
      <c r="G164" s="33">
        <f>IF(AU163&lt;=0,0,ROUND(AU163+ROUND(AU163*AA$3/12,2),2))</f>
      </c>
      <c r="H164" s="33">
        <f>IF(AV163&lt;=0,0,ROUND(AV163+ROUND(AV163*AB$3/12,2),2))</f>
      </c>
      <c r="I164" s="33">
        <f>IF(AW163&lt;=0,0,ROUND(AW163+ROUND(AW163*AC$3/12,2),2))</f>
      </c>
      <c r="J164" s="33">
        <f>IF(AX163&lt;=0,0,ROUND(AX163+ROUND(AX163*AD$3/12,2),2))</f>
      </c>
      <c r="K164" s="33">
        <f>IF(AY163&lt;=0,0,ROUND(AY163+ROUND(AY163*AE$3/12,2),2))</f>
      </c>
      <c r="L164" s="33">
        <f>ROUND(MIN(MAX(0,N('Your debts'!$E$6)),B164),2)</f>
      </c>
      <c r="M164" s="33">
        <f>ROUND(MIN(MAX(0,N('Your debts'!$E$7)),C164),2)</f>
      </c>
      <c r="N164" s="33">
        <f>ROUND(MIN(MAX(0,N('Your debts'!$E$8)),D164),2)</f>
      </c>
      <c r="O164" s="33">
        <f>ROUND(MIN(MAX(0,N('Your debts'!$E$9)),E164),2)</f>
      </c>
      <c r="P164" s="33">
        <f>ROUND(MIN(MAX(0,N('Your debts'!$E$10)),F164),2)</f>
      </c>
      <c r="Q164" s="33">
        <f>ROUND(MIN(MAX(0,N('Your debts'!$E$11)),G164),2)</f>
      </c>
      <c r="R164" s="33">
        <f>ROUND(MIN(MAX(0,N('Your debts'!$E$12)),H164),2)</f>
      </c>
      <c r="S164" s="33">
        <f>ROUND(MIN(MAX(0,N('Your debts'!$E$13)),I164),2)</f>
      </c>
      <c r="T164" s="33">
        <f>ROUND(MIN(MAX(0,N('Your debts'!$E$14)),J164),2)</f>
      </c>
      <c r="U164" s="33">
        <f>ROUND(MIN(MAX(0,N('Your debts'!$E$15)),K164),2)</f>
      </c>
      <c r="V164" s="33">
        <f>ROUND(B164-L164,2)</f>
      </c>
      <c r="W164" s="33">
        <f>ROUND(C164-M164,2)</f>
      </c>
      <c r="X164" s="33">
        <f>ROUND(D164-N164,2)</f>
      </c>
      <c r="Y164" s="33">
        <f>ROUND(E164-O164,2)</f>
      </c>
      <c r="Z164" s="33">
        <f>ROUND(F164-P164,2)</f>
      </c>
      <c r="AA164" s="33">
        <f>ROUND(G164-Q164,2)</f>
      </c>
      <c r="AB164" s="33">
        <f>ROUND(H164-R164,2)</f>
      </c>
      <c r="AC164" s="33">
        <f>ROUND(I164-S164,2)</f>
      </c>
      <c r="AD164" s="33">
        <f>ROUND(J164-T164,2)</f>
      </c>
      <c r="AE164" s="33">
        <f>ROUND(K164-U164,2)</f>
      </c>
      <c r="AF164" s="33">
        <f>IF(V164&lt;=0,0,MAX(0,MIN(V164,ROUND($AZ164-SUMPRODUCT($V164:$AE164*($V164:$AE164&gt;0)*(($V$3:$AE$3&gt;V$3)+($V$3:$AE$3=V$3)*($V164:$AE164&lt;V164)+($V$3:$AE$3=V$3)*($V164:$AE164=V164)*($V$2:$AE$2&lt;V$2))),2))))</f>
      </c>
      <c r="AG164" s="33">
        <f>IF(W164&lt;=0,0,MAX(0,MIN(W164,ROUND($AZ164-SUMPRODUCT($V164:$AE164*($V164:$AE164&gt;0)*(($V$3:$AE$3&gt;W$3)+($V$3:$AE$3=W$3)*($V164:$AE164&lt;W164)+($V$3:$AE$3=W$3)*($V164:$AE164=W164)*($V$2:$AE$2&lt;W$2))),2))))</f>
      </c>
      <c r="AH164" s="33">
        <f>IF(X164&lt;=0,0,MAX(0,MIN(X164,ROUND($AZ164-SUMPRODUCT($V164:$AE164*($V164:$AE164&gt;0)*(($V$3:$AE$3&gt;X$3)+($V$3:$AE$3=X$3)*($V164:$AE164&lt;X164)+($V$3:$AE$3=X$3)*($V164:$AE164=X164)*($V$2:$AE$2&lt;X$2))),2))))</f>
      </c>
      <c r="AI164" s="33">
        <f>IF(Y164&lt;=0,0,MAX(0,MIN(Y164,ROUND($AZ164-SUMPRODUCT($V164:$AE164*($V164:$AE164&gt;0)*(($V$3:$AE$3&gt;Y$3)+($V$3:$AE$3=Y$3)*($V164:$AE164&lt;Y164)+($V$3:$AE$3=Y$3)*($V164:$AE164=Y164)*($V$2:$AE$2&lt;Y$2))),2))))</f>
      </c>
      <c r="AJ164" s="33">
        <f>IF(Z164&lt;=0,0,MAX(0,MIN(Z164,ROUND($AZ164-SUMPRODUCT($V164:$AE164*($V164:$AE164&gt;0)*(($V$3:$AE$3&gt;Z$3)+($V$3:$AE$3=Z$3)*($V164:$AE164&lt;Z164)+($V$3:$AE$3=Z$3)*($V164:$AE164=Z164)*($V$2:$AE$2&lt;Z$2))),2))))</f>
      </c>
      <c r="AK164" s="33">
        <f>IF(AA164&lt;=0,0,MAX(0,MIN(AA164,ROUND($AZ164-SUMPRODUCT($V164:$AE164*($V164:$AE164&gt;0)*(($V$3:$AE$3&gt;AA$3)+($V$3:$AE$3=AA$3)*($V164:$AE164&lt;AA164)+($V$3:$AE$3=AA$3)*($V164:$AE164=AA164)*($V$2:$AE$2&lt;AA$2))),2))))</f>
      </c>
      <c r="AL164" s="33">
        <f>IF(AB164&lt;=0,0,MAX(0,MIN(AB164,ROUND($AZ164-SUMPRODUCT($V164:$AE164*($V164:$AE164&gt;0)*(($V$3:$AE$3&gt;AB$3)+($V$3:$AE$3=AB$3)*($V164:$AE164&lt;AB164)+($V$3:$AE$3=AB$3)*($V164:$AE164=AB164)*($V$2:$AE$2&lt;AB$2))),2))))</f>
      </c>
      <c r="AM164" s="33">
        <f>IF(AC164&lt;=0,0,MAX(0,MIN(AC164,ROUND($AZ164-SUMPRODUCT($V164:$AE164*($V164:$AE164&gt;0)*(($V$3:$AE$3&gt;AC$3)+($V$3:$AE$3=AC$3)*($V164:$AE164&lt;AC164)+($V$3:$AE$3=AC$3)*($V164:$AE164=AC164)*($V$2:$AE$2&lt;AC$2))),2))))</f>
      </c>
      <c r="AN164" s="33">
        <f>IF(AD164&lt;=0,0,MAX(0,MIN(AD164,ROUND($AZ164-SUMPRODUCT($V164:$AE164*($V164:$AE164&gt;0)*(($V$3:$AE$3&gt;AD$3)+($V$3:$AE$3=AD$3)*($V164:$AE164&lt;AD164)+($V$3:$AE$3=AD$3)*($V164:$AE164=AD164)*($V$2:$AE$2&lt;AD$2))),2))))</f>
      </c>
      <c r="AO164" s="33">
        <f>IF(AE164&lt;=0,0,MAX(0,MIN(AE164,ROUND($AZ164-SUMPRODUCT($V164:$AE164*($V164:$AE164&gt;0)*(($V$3:$AE$3&gt;AE$3)+($V$3:$AE$3=AE$3)*($V164:$AE164&lt;AE164)+($V$3:$AE$3=AE$3)*($V164:$AE164=AE164)*($V$2:$AE$2&lt;AE$2))),2))))</f>
      </c>
      <c r="AP164" s="33">
        <f>ROUND(V164-AF164,2)</f>
      </c>
      <c r="AQ164" s="33">
        <f>ROUND(W164-AG164,2)</f>
      </c>
      <c r="AR164" s="33">
        <f>ROUND(X164-AH164,2)</f>
      </c>
      <c r="AS164" s="33">
        <f>ROUND(Y164-AI164,2)</f>
      </c>
      <c r="AT164" s="33">
        <f>ROUND(Z164-AJ164,2)</f>
      </c>
      <c r="AU164" s="33">
        <f>ROUND(AA164-AK164,2)</f>
      </c>
      <c r="AV164" s="33">
        <f>ROUND(AB164-AL164,2)</f>
      </c>
      <c r="AW164" s="33">
        <f>ROUND(AC164-AM164,2)</f>
      </c>
      <c r="AX164" s="33">
        <f>ROUND(AD164-AN164,2)</f>
      </c>
      <c r="AY164" s="33">
        <f>ROUND(AE164-AO164,2)</f>
      </c>
      <c r="AZ164" s="33">
        <f>ROUND(MAX(0,'Your debts'!$D$22-SUM($L164:$U164)),2)</f>
      </c>
      <c r="BA164" s="33">
        <f>ROUND(SUM($B164:$K164)-SUM($AP163:$AY163),2)</f>
      </c>
      <c r="BB164" s="33">
        <f>SUM($AP164:$AY164)</f>
      </c>
      <c r="BC164" s="33">
        <f>ROUND(SUM($L164:$U164)+SUM($AF164:$AO164),2)</f>
      </c>
    </row>
    <row r="165" spans="1:55" x14ac:dyDescent="0.25">
      <c r="A165">
        <v>158</v>
      </c>
      <c r="B165" s="33">
        <f>IF(AP164&lt;=0,0,ROUND(AP164+ROUND(AP164*V$3/12,2),2))</f>
      </c>
      <c r="C165" s="33">
        <f>IF(AQ164&lt;=0,0,ROUND(AQ164+ROUND(AQ164*W$3/12,2),2))</f>
      </c>
      <c r="D165" s="33">
        <f>IF(AR164&lt;=0,0,ROUND(AR164+ROUND(AR164*X$3/12,2),2))</f>
      </c>
      <c r="E165" s="33">
        <f>IF(AS164&lt;=0,0,ROUND(AS164+ROUND(AS164*Y$3/12,2),2))</f>
      </c>
      <c r="F165" s="33">
        <f>IF(AT164&lt;=0,0,ROUND(AT164+ROUND(AT164*Z$3/12,2),2))</f>
      </c>
      <c r="G165" s="33">
        <f>IF(AU164&lt;=0,0,ROUND(AU164+ROUND(AU164*AA$3/12,2),2))</f>
      </c>
      <c r="H165" s="33">
        <f>IF(AV164&lt;=0,0,ROUND(AV164+ROUND(AV164*AB$3/12,2),2))</f>
      </c>
      <c r="I165" s="33">
        <f>IF(AW164&lt;=0,0,ROUND(AW164+ROUND(AW164*AC$3/12,2),2))</f>
      </c>
      <c r="J165" s="33">
        <f>IF(AX164&lt;=0,0,ROUND(AX164+ROUND(AX164*AD$3/12,2),2))</f>
      </c>
      <c r="K165" s="33">
        <f>IF(AY164&lt;=0,0,ROUND(AY164+ROUND(AY164*AE$3/12,2),2))</f>
      </c>
      <c r="L165" s="33">
        <f>ROUND(MIN(MAX(0,N('Your debts'!$E$6)),B165),2)</f>
      </c>
      <c r="M165" s="33">
        <f>ROUND(MIN(MAX(0,N('Your debts'!$E$7)),C165),2)</f>
      </c>
      <c r="N165" s="33">
        <f>ROUND(MIN(MAX(0,N('Your debts'!$E$8)),D165),2)</f>
      </c>
      <c r="O165" s="33">
        <f>ROUND(MIN(MAX(0,N('Your debts'!$E$9)),E165),2)</f>
      </c>
      <c r="P165" s="33">
        <f>ROUND(MIN(MAX(0,N('Your debts'!$E$10)),F165),2)</f>
      </c>
      <c r="Q165" s="33">
        <f>ROUND(MIN(MAX(0,N('Your debts'!$E$11)),G165),2)</f>
      </c>
      <c r="R165" s="33">
        <f>ROUND(MIN(MAX(0,N('Your debts'!$E$12)),H165),2)</f>
      </c>
      <c r="S165" s="33">
        <f>ROUND(MIN(MAX(0,N('Your debts'!$E$13)),I165),2)</f>
      </c>
      <c r="T165" s="33">
        <f>ROUND(MIN(MAX(0,N('Your debts'!$E$14)),J165),2)</f>
      </c>
      <c r="U165" s="33">
        <f>ROUND(MIN(MAX(0,N('Your debts'!$E$15)),K165),2)</f>
      </c>
      <c r="V165" s="33">
        <f>ROUND(B165-L165,2)</f>
      </c>
      <c r="W165" s="33">
        <f>ROUND(C165-M165,2)</f>
      </c>
      <c r="X165" s="33">
        <f>ROUND(D165-N165,2)</f>
      </c>
      <c r="Y165" s="33">
        <f>ROUND(E165-O165,2)</f>
      </c>
      <c r="Z165" s="33">
        <f>ROUND(F165-P165,2)</f>
      </c>
      <c r="AA165" s="33">
        <f>ROUND(G165-Q165,2)</f>
      </c>
      <c r="AB165" s="33">
        <f>ROUND(H165-R165,2)</f>
      </c>
      <c r="AC165" s="33">
        <f>ROUND(I165-S165,2)</f>
      </c>
      <c r="AD165" s="33">
        <f>ROUND(J165-T165,2)</f>
      </c>
      <c r="AE165" s="33">
        <f>ROUND(K165-U165,2)</f>
      </c>
      <c r="AF165" s="33">
        <f>IF(V165&lt;=0,0,MAX(0,MIN(V165,ROUND($AZ165-SUMPRODUCT($V165:$AE165*($V165:$AE165&gt;0)*(($V$3:$AE$3&gt;V$3)+($V$3:$AE$3=V$3)*($V165:$AE165&lt;V165)+($V$3:$AE$3=V$3)*($V165:$AE165=V165)*($V$2:$AE$2&lt;V$2))),2))))</f>
      </c>
      <c r="AG165" s="33">
        <f>IF(W165&lt;=0,0,MAX(0,MIN(W165,ROUND($AZ165-SUMPRODUCT($V165:$AE165*($V165:$AE165&gt;0)*(($V$3:$AE$3&gt;W$3)+($V$3:$AE$3=W$3)*($V165:$AE165&lt;W165)+($V$3:$AE$3=W$3)*($V165:$AE165=W165)*($V$2:$AE$2&lt;W$2))),2))))</f>
      </c>
      <c r="AH165" s="33">
        <f>IF(X165&lt;=0,0,MAX(0,MIN(X165,ROUND($AZ165-SUMPRODUCT($V165:$AE165*($V165:$AE165&gt;0)*(($V$3:$AE$3&gt;X$3)+($V$3:$AE$3=X$3)*($V165:$AE165&lt;X165)+($V$3:$AE$3=X$3)*($V165:$AE165=X165)*($V$2:$AE$2&lt;X$2))),2))))</f>
      </c>
      <c r="AI165" s="33">
        <f>IF(Y165&lt;=0,0,MAX(0,MIN(Y165,ROUND($AZ165-SUMPRODUCT($V165:$AE165*($V165:$AE165&gt;0)*(($V$3:$AE$3&gt;Y$3)+($V$3:$AE$3=Y$3)*($V165:$AE165&lt;Y165)+($V$3:$AE$3=Y$3)*($V165:$AE165=Y165)*($V$2:$AE$2&lt;Y$2))),2))))</f>
      </c>
      <c r="AJ165" s="33">
        <f>IF(Z165&lt;=0,0,MAX(0,MIN(Z165,ROUND($AZ165-SUMPRODUCT($V165:$AE165*($V165:$AE165&gt;0)*(($V$3:$AE$3&gt;Z$3)+($V$3:$AE$3=Z$3)*($V165:$AE165&lt;Z165)+($V$3:$AE$3=Z$3)*($V165:$AE165=Z165)*($V$2:$AE$2&lt;Z$2))),2))))</f>
      </c>
      <c r="AK165" s="33">
        <f>IF(AA165&lt;=0,0,MAX(0,MIN(AA165,ROUND($AZ165-SUMPRODUCT($V165:$AE165*($V165:$AE165&gt;0)*(($V$3:$AE$3&gt;AA$3)+($V$3:$AE$3=AA$3)*($V165:$AE165&lt;AA165)+($V$3:$AE$3=AA$3)*($V165:$AE165=AA165)*($V$2:$AE$2&lt;AA$2))),2))))</f>
      </c>
      <c r="AL165" s="33">
        <f>IF(AB165&lt;=0,0,MAX(0,MIN(AB165,ROUND($AZ165-SUMPRODUCT($V165:$AE165*($V165:$AE165&gt;0)*(($V$3:$AE$3&gt;AB$3)+($V$3:$AE$3=AB$3)*($V165:$AE165&lt;AB165)+($V$3:$AE$3=AB$3)*($V165:$AE165=AB165)*($V$2:$AE$2&lt;AB$2))),2))))</f>
      </c>
      <c r="AM165" s="33">
        <f>IF(AC165&lt;=0,0,MAX(0,MIN(AC165,ROUND($AZ165-SUMPRODUCT($V165:$AE165*($V165:$AE165&gt;0)*(($V$3:$AE$3&gt;AC$3)+($V$3:$AE$3=AC$3)*($V165:$AE165&lt;AC165)+($V$3:$AE$3=AC$3)*($V165:$AE165=AC165)*($V$2:$AE$2&lt;AC$2))),2))))</f>
      </c>
      <c r="AN165" s="33">
        <f>IF(AD165&lt;=0,0,MAX(0,MIN(AD165,ROUND($AZ165-SUMPRODUCT($V165:$AE165*($V165:$AE165&gt;0)*(($V$3:$AE$3&gt;AD$3)+($V$3:$AE$3=AD$3)*($V165:$AE165&lt;AD165)+($V$3:$AE$3=AD$3)*($V165:$AE165=AD165)*($V$2:$AE$2&lt;AD$2))),2))))</f>
      </c>
      <c r="AO165" s="33">
        <f>IF(AE165&lt;=0,0,MAX(0,MIN(AE165,ROUND($AZ165-SUMPRODUCT($V165:$AE165*($V165:$AE165&gt;0)*(($V$3:$AE$3&gt;AE$3)+($V$3:$AE$3=AE$3)*($V165:$AE165&lt;AE165)+($V$3:$AE$3=AE$3)*($V165:$AE165=AE165)*($V$2:$AE$2&lt;AE$2))),2))))</f>
      </c>
      <c r="AP165" s="33">
        <f>ROUND(V165-AF165,2)</f>
      </c>
      <c r="AQ165" s="33">
        <f>ROUND(W165-AG165,2)</f>
      </c>
      <c r="AR165" s="33">
        <f>ROUND(X165-AH165,2)</f>
      </c>
      <c r="AS165" s="33">
        <f>ROUND(Y165-AI165,2)</f>
      </c>
      <c r="AT165" s="33">
        <f>ROUND(Z165-AJ165,2)</f>
      </c>
      <c r="AU165" s="33">
        <f>ROUND(AA165-AK165,2)</f>
      </c>
      <c r="AV165" s="33">
        <f>ROUND(AB165-AL165,2)</f>
      </c>
      <c r="AW165" s="33">
        <f>ROUND(AC165-AM165,2)</f>
      </c>
      <c r="AX165" s="33">
        <f>ROUND(AD165-AN165,2)</f>
      </c>
      <c r="AY165" s="33">
        <f>ROUND(AE165-AO165,2)</f>
      </c>
      <c r="AZ165" s="33">
        <f>ROUND(MAX(0,'Your debts'!$D$22-SUM($L165:$U165)),2)</f>
      </c>
      <c r="BA165" s="33">
        <f>ROUND(SUM($B165:$K165)-SUM($AP164:$AY164),2)</f>
      </c>
      <c r="BB165" s="33">
        <f>SUM($AP165:$AY165)</f>
      </c>
      <c r="BC165" s="33">
        <f>ROUND(SUM($L165:$U165)+SUM($AF165:$AO165),2)</f>
      </c>
    </row>
    <row r="166" spans="1:55" x14ac:dyDescent="0.25">
      <c r="A166">
        <v>159</v>
      </c>
      <c r="B166" s="33">
        <f>IF(AP165&lt;=0,0,ROUND(AP165+ROUND(AP165*V$3/12,2),2))</f>
      </c>
      <c r="C166" s="33">
        <f>IF(AQ165&lt;=0,0,ROUND(AQ165+ROUND(AQ165*W$3/12,2),2))</f>
      </c>
      <c r="D166" s="33">
        <f>IF(AR165&lt;=0,0,ROUND(AR165+ROUND(AR165*X$3/12,2),2))</f>
      </c>
      <c r="E166" s="33">
        <f>IF(AS165&lt;=0,0,ROUND(AS165+ROUND(AS165*Y$3/12,2),2))</f>
      </c>
      <c r="F166" s="33">
        <f>IF(AT165&lt;=0,0,ROUND(AT165+ROUND(AT165*Z$3/12,2),2))</f>
      </c>
      <c r="G166" s="33">
        <f>IF(AU165&lt;=0,0,ROUND(AU165+ROUND(AU165*AA$3/12,2),2))</f>
      </c>
      <c r="H166" s="33">
        <f>IF(AV165&lt;=0,0,ROUND(AV165+ROUND(AV165*AB$3/12,2),2))</f>
      </c>
      <c r="I166" s="33">
        <f>IF(AW165&lt;=0,0,ROUND(AW165+ROUND(AW165*AC$3/12,2),2))</f>
      </c>
      <c r="J166" s="33">
        <f>IF(AX165&lt;=0,0,ROUND(AX165+ROUND(AX165*AD$3/12,2),2))</f>
      </c>
      <c r="K166" s="33">
        <f>IF(AY165&lt;=0,0,ROUND(AY165+ROUND(AY165*AE$3/12,2),2))</f>
      </c>
      <c r="L166" s="33">
        <f>ROUND(MIN(MAX(0,N('Your debts'!$E$6)),B166),2)</f>
      </c>
      <c r="M166" s="33">
        <f>ROUND(MIN(MAX(0,N('Your debts'!$E$7)),C166),2)</f>
      </c>
      <c r="N166" s="33">
        <f>ROUND(MIN(MAX(0,N('Your debts'!$E$8)),D166),2)</f>
      </c>
      <c r="O166" s="33">
        <f>ROUND(MIN(MAX(0,N('Your debts'!$E$9)),E166),2)</f>
      </c>
      <c r="P166" s="33">
        <f>ROUND(MIN(MAX(0,N('Your debts'!$E$10)),F166),2)</f>
      </c>
      <c r="Q166" s="33">
        <f>ROUND(MIN(MAX(0,N('Your debts'!$E$11)),G166),2)</f>
      </c>
      <c r="R166" s="33">
        <f>ROUND(MIN(MAX(0,N('Your debts'!$E$12)),H166),2)</f>
      </c>
      <c r="S166" s="33">
        <f>ROUND(MIN(MAX(0,N('Your debts'!$E$13)),I166),2)</f>
      </c>
      <c r="T166" s="33">
        <f>ROUND(MIN(MAX(0,N('Your debts'!$E$14)),J166),2)</f>
      </c>
      <c r="U166" s="33">
        <f>ROUND(MIN(MAX(0,N('Your debts'!$E$15)),K166),2)</f>
      </c>
      <c r="V166" s="33">
        <f>ROUND(B166-L166,2)</f>
      </c>
      <c r="W166" s="33">
        <f>ROUND(C166-M166,2)</f>
      </c>
      <c r="X166" s="33">
        <f>ROUND(D166-N166,2)</f>
      </c>
      <c r="Y166" s="33">
        <f>ROUND(E166-O166,2)</f>
      </c>
      <c r="Z166" s="33">
        <f>ROUND(F166-P166,2)</f>
      </c>
      <c r="AA166" s="33">
        <f>ROUND(G166-Q166,2)</f>
      </c>
      <c r="AB166" s="33">
        <f>ROUND(H166-R166,2)</f>
      </c>
      <c r="AC166" s="33">
        <f>ROUND(I166-S166,2)</f>
      </c>
      <c r="AD166" s="33">
        <f>ROUND(J166-T166,2)</f>
      </c>
      <c r="AE166" s="33">
        <f>ROUND(K166-U166,2)</f>
      </c>
      <c r="AF166" s="33">
        <f>IF(V166&lt;=0,0,MAX(0,MIN(V166,ROUND($AZ166-SUMPRODUCT($V166:$AE166*($V166:$AE166&gt;0)*(($V$3:$AE$3&gt;V$3)+($V$3:$AE$3=V$3)*($V166:$AE166&lt;V166)+($V$3:$AE$3=V$3)*($V166:$AE166=V166)*($V$2:$AE$2&lt;V$2))),2))))</f>
      </c>
      <c r="AG166" s="33">
        <f>IF(W166&lt;=0,0,MAX(0,MIN(W166,ROUND($AZ166-SUMPRODUCT($V166:$AE166*($V166:$AE166&gt;0)*(($V$3:$AE$3&gt;W$3)+($V$3:$AE$3=W$3)*($V166:$AE166&lt;W166)+($V$3:$AE$3=W$3)*($V166:$AE166=W166)*($V$2:$AE$2&lt;W$2))),2))))</f>
      </c>
      <c r="AH166" s="33">
        <f>IF(X166&lt;=0,0,MAX(0,MIN(X166,ROUND($AZ166-SUMPRODUCT($V166:$AE166*($V166:$AE166&gt;0)*(($V$3:$AE$3&gt;X$3)+($V$3:$AE$3=X$3)*($V166:$AE166&lt;X166)+($V$3:$AE$3=X$3)*($V166:$AE166=X166)*($V$2:$AE$2&lt;X$2))),2))))</f>
      </c>
      <c r="AI166" s="33">
        <f>IF(Y166&lt;=0,0,MAX(0,MIN(Y166,ROUND($AZ166-SUMPRODUCT($V166:$AE166*($V166:$AE166&gt;0)*(($V$3:$AE$3&gt;Y$3)+($V$3:$AE$3=Y$3)*($V166:$AE166&lt;Y166)+($V$3:$AE$3=Y$3)*($V166:$AE166=Y166)*($V$2:$AE$2&lt;Y$2))),2))))</f>
      </c>
      <c r="AJ166" s="33">
        <f>IF(Z166&lt;=0,0,MAX(0,MIN(Z166,ROUND($AZ166-SUMPRODUCT($V166:$AE166*($V166:$AE166&gt;0)*(($V$3:$AE$3&gt;Z$3)+($V$3:$AE$3=Z$3)*($V166:$AE166&lt;Z166)+($V$3:$AE$3=Z$3)*($V166:$AE166=Z166)*($V$2:$AE$2&lt;Z$2))),2))))</f>
      </c>
      <c r="AK166" s="33">
        <f>IF(AA166&lt;=0,0,MAX(0,MIN(AA166,ROUND($AZ166-SUMPRODUCT($V166:$AE166*($V166:$AE166&gt;0)*(($V$3:$AE$3&gt;AA$3)+($V$3:$AE$3=AA$3)*($V166:$AE166&lt;AA166)+($V$3:$AE$3=AA$3)*($V166:$AE166=AA166)*($V$2:$AE$2&lt;AA$2))),2))))</f>
      </c>
      <c r="AL166" s="33">
        <f>IF(AB166&lt;=0,0,MAX(0,MIN(AB166,ROUND($AZ166-SUMPRODUCT($V166:$AE166*($V166:$AE166&gt;0)*(($V$3:$AE$3&gt;AB$3)+($V$3:$AE$3=AB$3)*($V166:$AE166&lt;AB166)+($V$3:$AE$3=AB$3)*($V166:$AE166=AB166)*($V$2:$AE$2&lt;AB$2))),2))))</f>
      </c>
      <c r="AM166" s="33">
        <f>IF(AC166&lt;=0,0,MAX(0,MIN(AC166,ROUND($AZ166-SUMPRODUCT($V166:$AE166*($V166:$AE166&gt;0)*(($V$3:$AE$3&gt;AC$3)+($V$3:$AE$3=AC$3)*($V166:$AE166&lt;AC166)+($V$3:$AE$3=AC$3)*($V166:$AE166=AC166)*($V$2:$AE$2&lt;AC$2))),2))))</f>
      </c>
      <c r="AN166" s="33">
        <f>IF(AD166&lt;=0,0,MAX(0,MIN(AD166,ROUND($AZ166-SUMPRODUCT($V166:$AE166*($V166:$AE166&gt;0)*(($V$3:$AE$3&gt;AD$3)+($V$3:$AE$3=AD$3)*($V166:$AE166&lt;AD166)+($V$3:$AE$3=AD$3)*($V166:$AE166=AD166)*($V$2:$AE$2&lt;AD$2))),2))))</f>
      </c>
      <c r="AO166" s="33">
        <f>IF(AE166&lt;=0,0,MAX(0,MIN(AE166,ROUND($AZ166-SUMPRODUCT($V166:$AE166*($V166:$AE166&gt;0)*(($V$3:$AE$3&gt;AE$3)+($V$3:$AE$3=AE$3)*($V166:$AE166&lt;AE166)+($V$3:$AE$3=AE$3)*($V166:$AE166=AE166)*($V$2:$AE$2&lt;AE$2))),2))))</f>
      </c>
      <c r="AP166" s="33">
        <f>ROUND(V166-AF166,2)</f>
      </c>
      <c r="AQ166" s="33">
        <f>ROUND(W166-AG166,2)</f>
      </c>
      <c r="AR166" s="33">
        <f>ROUND(X166-AH166,2)</f>
      </c>
      <c r="AS166" s="33">
        <f>ROUND(Y166-AI166,2)</f>
      </c>
      <c r="AT166" s="33">
        <f>ROUND(Z166-AJ166,2)</f>
      </c>
      <c r="AU166" s="33">
        <f>ROUND(AA166-AK166,2)</f>
      </c>
      <c r="AV166" s="33">
        <f>ROUND(AB166-AL166,2)</f>
      </c>
      <c r="AW166" s="33">
        <f>ROUND(AC166-AM166,2)</f>
      </c>
      <c r="AX166" s="33">
        <f>ROUND(AD166-AN166,2)</f>
      </c>
      <c r="AY166" s="33">
        <f>ROUND(AE166-AO166,2)</f>
      </c>
      <c r="AZ166" s="33">
        <f>ROUND(MAX(0,'Your debts'!$D$22-SUM($L166:$U166)),2)</f>
      </c>
      <c r="BA166" s="33">
        <f>ROUND(SUM($B166:$K166)-SUM($AP165:$AY165),2)</f>
      </c>
      <c r="BB166" s="33">
        <f>SUM($AP166:$AY166)</f>
      </c>
      <c r="BC166" s="33">
        <f>ROUND(SUM($L166:$U166)+SUM($AF166:$AO166),2)</f>
      </c>
    </row>
    <row r="167" spans="1:55" x14ac:dyDescent="0.25">
      <c r="A167">
        <v>160</v>
      </c>
      <c r="B167" s="33">
        <f>IF(AP166&lt;=0,0,ROUND(AP166+ROUND(AP166*V$3/12,2),2))</f>
      </c>
      <c r="C167" s="33">
        <f>IF(AQ166&lt;=0,0,ROUND(AQ166+ROUND(AQ166*W$3/12,2),2))</f>
      </c>
      <c r="D167" s="33">
        <f>IF(AR166&lt;=0,0,ROUND(AR166+ROUND(AR166*X$3/12,2),2))</f>
      </c>
      <c r="E167" s="33">
        <f>IF(AS166&lt;=0,0,ROUND(AS166+ROUND(AS166*Y$3/12,2),2))</f>
      </c>
      <c r="F167" s="33">
        <f>IF(AT166&lt;=0,0,ROUND(AT166+ROUND(AT166*Z$3/12,2),2))</f>
      </c>
      <c r="G167" s="33">
        <f>IF(AU166&lt;=0,0,ROUND(AU166+ROUND(AU166*AA$3/12,2),2))</f>
      </c>
      <c r="H167" s="33">
        <f>IF(AV166&lt;=0,0,ROUND(AV166+ROUND(AV166*AB$3/12,2),2))</f>
      </c>
      <c r="I167" s="33">
        <f>IF(AW166&lt;=0,0,ROUND(AW166+ROUND(AW166*AC$3/12,2),2))</f>
      </c>
      <c r="J167" s="33">
        <f>IF(AX166&lt;=0,0,ROUND(AX166+ROUND(AX166*AD$3/12,2),2))</f>
      </c>
      <c r="K167" s="33">
        <f>IF(AY166&lt;=0,0,ROUND(AY166+ROUND(AY166*AE$3/12,2),2))</f>
      </c>
      <c r="L167" s="33">
        <f>ROUND(MIN(MAX(0,N('Your debts'!$E$6)),B167),2)</f>
      </c>
      <c r="M167" s="33">
        <f>ROUND(MIN(MAX(0,N('Your debts'!$E$7)),C167),2)</f>
      </c>
      <c r="N167" s="33">
        <f>ROUND(MIN(MAX(0,N('Your debts'!$E$8)),D167),2)</f>
      </c>
      <c r="O167" s="33">
        <f>ROUND(MIN(MAX(0,N('Your debts'!$E$9)),E167),2)</f>
      </c>
      <c r="P167" s="33">
        <f>ROUND(MIN(MAX(0,N('Your debts'!$E$10)),F167),2)</f>
      </c>
      <c r="Q167" s="33">
        <f>ROUND(MIN(MAX(0,N('Your debts'!$E$11)),G167),2)</f>
      </c>
      <c r="R167" s="33">
        <f>ROUND(MIN(MAX(0,N('Your debts'!$E$12)),H167),2)</f>
      </c>
      <c r="S167" s="33">
        <f>ROUND(MIN(MAX(0,N('Your debts'!$E$13)),I167),2)</f>
      </c>
      <c r="T167" s="33">
        <f>ROUND(MIN(MAX(0,N('Your debts'!$E$14)),J167),2)</f>
      </c>
      <c r="U167" s="33">
        <f>ROUND(MIN(MAX(0,N('Your debts'!$E$15)),K167),2)</f>
      </c>
      <c r="V167" s="33">
        <f>ROUND(B167-L167,2)</f>
      </c>
      <c r="W167" s="33">
        <f>ROUND(C167-M167,2)</f>
      </c>
      <c r="X167" s="33">
        <f>ROUND(D167-N167,2)</f>
      </c>
      <c r="Y167" s="33">
        <f>ROUND(E167-O167,2)</f>
      </c>
      <c r="Z167" s="33">
        <f>ROUND(F167-P167,2)</f>
      </c>
      <c r="AA167" s="33">
        <f>ROUND(G167-Q167,2)</f>
      </c>
      <c r="AB167" s="33">
        <f>ROUND(H167-R167,2)</f>
      </c>
      <c r="AC167" s="33">
        <f>ROUND(I167-S167,2)</f>
      </c>
      <c r="AD167" s="33">
        <f>ROUND(J167-T167,2)</f>
      </c>
      <c r="AE167" s="33">
        <f>ROUND(K167-U167,2)</f>
      </c>
      <c r="AF167" s="33">
        <f>IF(V167&lt;=0,0,MAX(0,MIN(V167,ROUND($AZ167-SUMPRODUCT($V167:$AE167*($V167:$AE167&gt;0)*(($V$3:$AE$3&gt;V$3)+($V$3:$AE$3=V$3)*($V167:$AE167&lt;V167)+($V$3:$AE$3=V$3)*($V167:$AE167=V167)*($V$2:$AE$2&lt;V$2))),2))))</f>
      </c>
      <c r="AG167" s="33">
        <f>IF(W167&lt;=0,0,MAX(0,MIN(W167,ROUND($AZ167-SUMPRODUCT($V167:$AE167*($V167:$AE167&gt;0)*(($V$3:$AE$3&gt;W$3)+($V$3:$AE$3=W$3)*($V167:$AE167&lt;W167)+($V$3:$AE$3=W$3)*($V167:$AE167=W167)*($V$2:$AE$2&lt;W$2))),2))))</f>
      </c>
      <c r="AH167" s="33">
        <f>IF(X167&lt;=0,0,MAX(0,MIN(X167,ROUND($AZ167-SUMPRODUCT($V167:$AE167*($V167:$AE167&gt;0)*(($V$3:$AE$3&gt;X$3)+($V$3:$AE$3=X$3)*($V167:$AE167&lt;X167)+($V$3:$AE$3=X$3)*($V167:$AE167=X167)*($V$2:$AE$2&lt;X$2))),2))))</f>
      </c>
      <c r="AI167" s="33">
        <f>IF(Y167&lt;=0,0,MAX(0,MIN(Y167,ROUND($AZ167-SUMPRODUCT($V167:$AE167*($V167:$AE167&gt;0)*(($V$3:$AE$3&gt;Y$3)+($V$3:$AE$3=Y$3)*($V167:$AE167&lt;Y167)+($V$3:$AE$3=Y$3)*($V167:$AE167=Y167)*($V$2:$AE$2&lt;Y$2))),2))))</f>
      </c>
      <c r="AJ167" s="33">
        <f>IF(Z167&lt;=0,0,MAX(0,MIN(Z167,ROUND($AZ167-SUMPRODUCT($V167:$AE167*($V167:$AE167&gt;0)*(($V$3:$AE$3&gt;Z$3)+($V$3:$AE$3=Z$3)*($V167:$AE167&lt;Z167)+($V$3:$AE$3=Z$3)*($V167:$AE167=Z167)*($V$2:$AE$2&lt;Z$2))),2))))</f>
      </c>
      <c r="AK167" s="33">
        <f>IF(AA167&lt;=0,0,MAX(0,MIN(AA167,ROUND($AZ167-SUMPRODUCT($V167:$AE167*($V167:$AE167&gt;0)*(($V$3:$AE$3&gt;AA$3)+($V$3:$AE$3=AA$3)*($V167:$AE167&lt;AA167)+($V$3:$AE$3=AA$3)*($V167:$AE167=AA167)*($V$2:$AE$2&lt;AA$2))),2))))</f>
      </c>
      <c r="AL167" s="33">
        <f>IF(AB167&lt;=0,0,MAX(0,MIN(AB167,ROUND($AZ167-SUMPRODUCT($V167:$AE167*($V167:$AE167&gt;0)*(($V$3:$AE$3&gt;AB$3)+($V$3:$AE$3=AB$3)*($V167:$AE167&lt;AB167)+($V$3:$AE$3=AB$3)*($V167:$AE167=AB167)*($V$2:$AE$2&lt;AB$2))),2))))</f>
      </c>
      <c r="AM167" s="33">
        <f>IF(AC167&lt;=0,0,MAX(0,MIN(AC167,ROUND($AZ167-SUMPRODUCT($V167:$AE167*($V167:$AE167&gt;0)*(($V$3:$AE$3&gt;AC$3)+($V$3:$AE$3=AC$3)*($V167:$AE167&lt;AC167)+($V$3:$AE$3=AC$3)*($V167:$AE167=AC167)*($V$2:$AE$2&lt;AC$2))),2))))</f>
      </c>
      <c r="AN167" s="33">
        <f>IF(AD167&lt;=0,0,MAX(0,MIN(AD167,ROUND($AZ167-SUMPRODUCT($V167:$AE167*($V167:$AE167&gt;0)*(($V$3:$AE$3&gt;AD$3)+($V$3:$AE$3=AD$3)*($V167:$AE167&lt;AD167)+($V$3:$AE$3=AD$3)*($V167:$AE167=AD167)*($V$2:$AE$2&lt;AD$2))),2))))</f>
      </c>
      <c r="AO167" s="33">
        <f>IF(AE167&lt;=0,0,MAX(0,MIN(AE167,ROUND($AZ167-SUMPRODUCT($V167:$AE167*($V167:$AE167&gt;0)*(($V$3:$AE$3&gt;AE$3)+($V$3:$AE$3=AE$3)*($V167:$AE167&lt;AE167)+($V$3:$AE$3=AE$3)*($V167:$AE167=AE167)*($V$2:$AE$2&lt;AE$2))),2))))</f>
      </c>
      <c r="AP167" s="33">
        <f>ROUND(V167-AF167,2)</f>
      </c>
      <c r="AQ167" s="33">
        <f>ROUND(W167-AG167,2)</f>
      </c>
      <c r="AR167" s="33">
        <f>ROUND(X167-AH167,2)</f>
      </c>
      <c r="AS167" s="33">
        <f>ROUND(Y167-AI167,2)</f>
      </c>
      <c r="AT167" s="33">
        <f>ROUND(Z167-AJ167,2)</f>
      </c>
      <c r="AU167" s="33">
        <f>ROUND(AA167-AK167,2)</f>
      </c>
      <c r="AV167" s="33">
        <f>ROUND(AB167-AL167,2)</f>
      </c>
      <c r="AW167" s="33">
        <f>ROUND(AC167-AM167,2)</f>
      </c>
      <c r="AX167" s="33">
        <f>ROUND(AD167-AN167,2)</f>
      </c>
      <c r="AY167" s="33">
        <f>ROUND(AE167-AO167,2)</f>
      </c>
      <c r="AZ167" s="33">
        <f>ROUND(MAX(0,'Your debts'!$D$22-SUM($L167:$U167)),2)</f>
      </c>
      <c r="BA167" s="33">
        <f>ROUND(SUM($B167:$K167)-SUM($AP166:$AY166),2)</f>
      </c>
      <c r="BB167" s="33">
        <f>SUM($AP167:$AY167)</f>
      </c>
      <c r="BC167" s="33">
        <f>ROUND(SUM($L167:$U167)+SUM($AF167:$AO167),2)</f>
      </c>
    </row>
    <row r="168" spans="1:55" x14ac:dyDescent="0.25">
      <c r="A168">
        <v>161</v>
      </c>
      <c r="B168" s="33">
        <f>IF(AP167&lt;=0,0,ROUND(AP167+ROUND(AP167*V$3/12,2),2))</f>
      </c>
      <c r="C168" s="33">
        <f>IF(AQ167&lt;=0,0,ROUND(AQ167+ROUND(AQ167*W$3/12,2),2))</f>
      </c>
      <c r="D168" s="33">
        <f>IF(AR167&lt;=0,0,ROUND(AR167+ROUND(AR167*X$3/12,2),2))</f>
      </c>
      <c r="E168" s="33">
        <f>IF(AS167&lt;=0,0,ROUND(AS167+ROUND(AS167*Y$3/12,2),2))</f>
      </c>
      <c r="F168" s="33">
        <f>IF(AT167&lt;=0,0,ROUND(AT167+ROUND(AT167*Z$3/12,2),2))</f>
      </c>
      <c r="G168" s="33">
        <f>IF(AU167&lt;=0,0,ROUND(AU167+ROUND(AU167*AA$3/12,2),2))</f>
      </c>
      <c r="H168" s="33">
        <f>IF(AV167&lt;=0,0,ROUND(AV167+ROUND(AV167*AB$3/12,2),2))</f>
      </c>
      <c r="I168" s="33">
        <f>IF(AW167&lt;=0,0,ROUND(AW167+ROUND(AW167*AC$3/12,2),2))</f>
      </c>
      <c r="J168" s="33">
        <f>IF(AX167&lt;=0,0,ROUND(AX167+ROUND(AX167*AD$3/12,2),2))</f>
      </c>
      <c r="K168" s="33">
        <f>IF(AY167&lt;=0,0,ROUND(AY167+ROUND(AY167*AE$3/12,2),2))</f>
      </c>
      <c r="L168" s="33">
        <f>ROUND(MIN(MAX(0,N('Your debts'!$E$6)),B168),2)</f>
      </c>
      <c r="M168" s="33">
        <f>ROUND(MIN(MAX(0,N('Your debts'!$E$7)),C168),2)</f>
      </c>
      <c r="N168" s="33">
        <f>ROUND(MIN(MAX(0,N('Your debts'!$E$8)),D168),2)</f>
      </c>
      <c r="O168" s="33">
        <f>ROUND(MIN(MAX(0,N('Your debts'!$E$9)),E168),2)</f>
      </c>
      <c r="P168" s="33">
        <f>ROUND(MIN(MAX(0,N('Your debts'!$E$10)),F168),2)</f>
      </c>
      <c r="Q168" s="33">
        <f>ROUND(MIN(MAX(0,N('Your debts'!$E$11)),G168),2)</f>
      </c>
      <c r="R168" s="33">
        <f>ROUND(MIN(MAX(0,N('Your debts'!$E$12)),H168),2)</f>
      </c>
      <c r="S168" s="33">
        <f>ROUND(MIN(MAX(0,N('Your debts'!$E$13)),I168),2)</f>
      </c>
      <c r="T168" s="33">
        <f>ROUND(MIN(MAX(0,N('Your debts'!$E$14)),J168),2)</f>
      </c>
      <c r="U168" s="33">
        <f>ROUND(MIN(MAX(0,N('Your debts'!$E$15)),K168),2)</f>
      </c>
      <c r="V168" s="33">
        <f>ROUND(B168-L168,2)</f>
      </c>
      <c r="W168" s="33">
        <f>ROUND(C168-M168,2)</f>
      </c>
      <c r="X168" s="33">
        <f>ROUND(D168-N168,2)</f>
      </c>
      <c r="Y168" s="33">
        <f>ROUND(E168-O168,2)</f>
      </c>
      <c r="Z168" s="33">
        <f>ROUND(F168-P168,2)</f>
      </c>
      <c r="AA168" s="33">
        <f>ROUND(G168-Q168,2)</f>
      </c>
      <c r="AB168" s="33">
        <f>ROUND(H168-R168,2)</f>
      </c>
      <c r="AC168" s="33">
        <f>ROUND(I168-S168,2)</f>
      </c>
      <c r="AD168" s="33">
        <f>ROUND(J168-T168,2)</f>
      </c>
      <c r="AE168" s="33">
        <f>ROUND(K168-U168,2)</f>
      </c>
      <c r="AF168" s="33">
        <f>IF(V168&lt;=0,0,MAX(0,MIN(V168,ROUND($AZ168-SUMPRODUCT($V168:$AE168*($V168:$AE168&gt;0)*(($V$3:$AE$3&gt;V$3)+($V$3:$AE$3=V$3)*($V168:$AE168&lt;V168)+($V$3:$AE$3=V$3)*($V168:$AE168=V168)*($V$2:$AE$2&lt;V$2))),2))))</f>
      </c>
      <c r="AG168" s="33">
        <f>IF(W168&lt;=0,0,MAX(0,MIN(W168,ROUND($AZ168-SUMPRODUCT($V168:$AE168*($V168:$AE168&gt;0)*(($V$3:$AE$3&gt;W$3)+($V$3:$AE$3=W$3)*($V168:$AE168&lt;W168)+($V$3:$AE$3=W$3)*($V168:$AE168=W168)*($V$2:$AE$2&lt;W$2))),2))))</f>
      </c>
      <c r="AH168" s="33">
        <f>IF(X168&lt;=0,0,MAX(0,MIN(X168,ROUND($AZ168-SUMPRODUCT($V168:$AE168*($V168:$AE168&gt;0)*(($V$3:$AE$3&gt;X$3)+($V$3:$AE$3=X$3)*($V168:$AE168&lt;X168)+($V$3:$AE$3=X$3)*($V168:$AE168=X168)*($V$2:$AE$2&lt;X$2))),2))))</f>
      </c>
      <c r="AI168" s="33">
        <f>IF(Y168&lt;=0,0,MAX(0,MIN(Y168,ROUND($AZ168-SUMPRODUCT($V168:$AE168*($V168:$AE168&gt;0)*(($V$3:$AE$3&gt;Y$3)+($V$3:$AE$3=Y$3)*($V168:$AE168&lt;Y168)+($V$3:$AE$3=Y$3)*($V168:$AE168=Y168)*($V$2:$AE$2&lt;Y$2))),2))))</f>
      </c>
      <c r="AJ168" s="33">
        <f>IF(Z168&lt;=0,0,MAX(0,MIN(Z168,ROUND($AZ168-SUMPRODUCT($V168:$AE168*($V168:$AE168&gt;0)*(($V$3:$AE$3&gt;Z$3)+($V$3:$AE$3=Z$3)*($V168:$AE168&lt;Z168)+($V$3:$AE$3=Z$3)*($V168:$AE168=Z168)*($V$2:$AE$2&lt;Z$2))),2))))</f>
      </c>
      <c r="AK168" s="33">
        <f>IF(AA168&lt;=0,0,MAX(0,MIN(AA168,ROUND($AZ168-SUMPRODUCT($V168:$AE168*($V168:$AE168&gt;0)*(($V$3:$AE$3&gt;AA$3)+($V$3:$AE$3=AA$3)*($V168:$AE168&lt;AA168)+($V$3:$AE$3=AA$3)*($V168:$AE168=AA168)*($V$2:$AE$2&lt;AA$2))),2))))</f>
      </c>
      <c r="AL168" s="33">
        <f>IF(AB168&lt;=0,0,MAX(0,MIN(AB168,ROUND($AZ168-SUMPRODUCT($V168:$AE168*($V168:$AE168&gt;0)*(($V$3:$AE$3&gt;AB$3)+($V$3:$AE$3=AB$3)*($V168:$AE168&lt;AB168)+($V$3:$AE$3=AB$3)*($V168:$AE168=AB168)*($V$2:$AE$2&lt;AB$2))),2))))</f>
      </c>
      <c r="AM168" s="33">
        <f>IF(AC168&lt;=0,0,MAX(0,MIN(AC168,ROUND($AZ168-SUMPRODUCT($V168:$AE168*($V168:$AE168&gt;0)*(($V$3:$AE$3&gt;AC$3)+($V$3:$AE$3=AC$3)*($V168:$AE168&lt;AC168)+($V$3:$AE$3=AC$3)*($V168:$AE168=AC168)*($V$2:$AE$2&lt;AC$2))),2))))</f>
      </c>
      <c r="AN168" s="33">
        <f>IF(AD168&lt;=0,0,MAX(0,MIN(AD168,ROUND($AZ168-SUMPRODUCT($V168:$AE168*($V168:$AE168&gt;0)*(($V$3:$AE$3&gt;AD$3)+($V$3:$AE$3=AD$3)*($V168:$AE168&lt;AD168)+($V$3:$AE$3=AD$3)*($V168:$AE168=AD168)*($V$2:$AE$2&lt;AD$2))),2))))</f>
      </c>
      <c r="AO168" s="33">
        <f>IF(AE168&lt;=0,0,MAX(0,MIN(AE168,ROUND($AZ168-SUMPRODUCT($V168:$AE168*($V168:$AE168&gt;0)*(($V$3:$AE$3&gt;AE$3)+($V$3:$AE$3=AE$3)*($V168:$AE168&lt;AE168)+($V$3:$AE$3=AE$3)*($V168:$AE168=AE168)*($V$2:$AE$2&lt;AE$2))),2))))</f>
      </c>
      <c r="AP168" s="33">
        <f>ROUND(V168-AF168,2)</f>
      </c>
      <c r="AQ168" s="33">
        <f>ROUND(W168-AG168,2)</f>
      </c>
      <c r="AR168" s="33">
        <f>ROUND(X168-AH168,2)</f>
      </c>
      <c r="AS168" s="33">
        <f>ROUND(Y168-AI168,2)</f>
      </c>
      <c r="AT168" s="33">
        <f>ROUND(Z168-AJ168,2)</f>
      </c>
      <c r="AU168" s="33">
        <f>ROUND(AA168-AK168,2)</f>
      </c>
      <c r="AV168" s="33">
        <f>ROUND(AB168-AL168,2)</f>
      </c>
      <c r="AW168" s="33">
        <f>ROUND(AC168-AM168,2)</f>
      </c>
      <c r="AX168" s="33">
        <f>ROUND(AD168-AN168,2)</f>
      </c>
      <c r="AY168" s="33">
        <f>ROUND(AE168-AO168,2)</f>
      </c>
      <c r="AZ168" s="33">
        <f>ROUND(MAX(0,'Your debts'!$D$22-SUM($L168:$U168)),2)</f>
      </c>
      <c r="BA168" s="33">
        <f>ROUND(SUM($B168:$K168)-SUM($AP167:$AY167),2)</f>
      </c>
      <c r="BB168" s="33">
        <f>SUM($AP168:$AY168)</f>
      </c>
      <c r="BC168" s="33">
        <f>ROUND(SUM($L168:$U168)+SUM($AF168:$AO168),2)</f>
      </c>
    </row>
    <row r="169" spans="1:55" x14ac:dyDescent="0.25">
      <c r="A169">
        <v>162</v>
      </c>
      <c r="B169" s="33">
        <f>IF(AP168&lt;=0,0,ROUND(AP168+ROUND(AP168*V$3/12,2),2))</f>
      </c>
      <c r="C169" s="33">
        <f>IF(AQ168&lt;=0,0,ROUND(AQ168+ROUND(AQ168*W$3/12,2),2))</f>
      </c>
      <c r="D169" s="33">
        <f>IF(AR168&lt;=0,0,ROUND(AR168+ROUND(AR168*X$3/12,2),2))</f>
      </c>
      <c r="E169" s="33">
        <f>IF(AS168&lt;=0,0,ROUND(AS168+ROUND(AS168*Y$3/12,2),2))</f>
      </c>
      <c r="F169" s="33">
        <f>IF(AT168&lt;=0,0,ROUND(AT168+ROUND(AT168*Z$3/12,2),2))</f>
      </c>
      <c r="G169" s="33">
        <f>IF(AU168&lt;=0,0,ROUND(AU168+ROUND(AU168*AA$3/12,2),2))</f>
      </c>
      <c r="H169" s="33">
        <f>IF(AV168&lt;=0,0,ROUND(AV168+ROUND(AV168*AB$3/12,2),2))</f>
      </c>
      <c r="I169" s="33">
        <f>IF(AW168&lt;=0,0,ROUND(AW168+ROUND(AW168*AC$3/12,2),2))</f>
      </c>
      <c r="J169" s="33">
        <f>IF(AX168&lt;=0,0,ROUND(AX168+ROUND(AX168*AD$3/12,2),2))</f>
      </c>
      <c r="K169" s="33">
        <f>IF(AY168&lt;=0,0,ROUND(AY168+ROUND(AY168*AE$3/12,2),2))</f>
      </c>
      <c r="L169" s="33">
        <f>ROUND(MIN(MAX(0,N('Your debts'!$E$6)),B169),2)</f>
      </c>
      <c r="M169" s="33">
        <f>ROUND(MIN(MAX(0,N('Your debts'!$E$7)),C169),2)</f>
      </c>
      <c r="N169" s="33">
        <f>ROUND(MIN(MAX(0,N('Your debts'!$E$8)),D169),2)</f>
      </c>
      <c r="O169" s="33">
        <f>ROUND(MIN(MAX(0,N('Your debts'!$E$9)),E169),2)</f>
      </c>
      <c r="P169" s="33">
        <f>ROUND(MIN(MAX(0,N('Your debts'!$E$10)),F169),2)</f>
      </c>
      <c r="Q169" s="33">
        <f>ROUND(MIN(MAX(0,N('Your debts'!$E$11)),G169),2)</f>
      </c>
      <c r="R169" s="33">
        <f>ROUND(MIN(MAX(0,N('Your debts'!$E$12)),H169),2)</f>
      </c>
      <c r="S169" s="33">
        <f>ROUND(MIN(MAX(0,N('Your debts'!$E$13)),I169),2)</f>
      </c>
      <c r="T169" s="33">
        <f>ROUND(MIN(MAX(0,N('Your debts'!$E$14)),J169),2)</f>
      </c>
      <c r="U169" s="33">
        <f>ROUND(MIN(MAX(0,N('Your debts'!$E$15)),K169),2)</f>
      </c>
      <c r="V169" s="33">
        <f>ROUND(B169-L169,2)</f>
      </c>
      <c r="W169" s="33">
        <f>ROUND(C169-M169,2)</f>
      </c>
      <c r="X169" s="33">
        <f>ROUND(D169-N169,2)</f>
      </c>
      <c r="Y169" s="33">
        <f>ROUND(E169-O169,2)</f>
      </c>
      <c r="Z169" s="33">
        <f>ROUND(F169-P169,2)</f>
      </c>
      <c r="AA169" s="33">
        <f>ROUND(G169-Q169,2)</f>
      </c>
      <c r="AB169" s="33">
        <f>ROUND(H169-R169,2)</f>
      </c>
      <c r="AC169" s="33">
        <f>ROUND(I169-S169,2)</f>
      </c>
      <c r="AD169" s="33">
        <f>ROUND(J169-T169,2)</f>
      </c>
      <c r="AE169" s="33">
        <f>ROUND(K169-U169,2)</f>
      </c>
      <c r="AF169" s="33">
        <f>IF(V169&lt;=0,0,MAX(0,MIN(V169,ROUND($AZ169-SUMPRODUCT($V169:$AE169*($V169:$AE169&gt;0)*(($V$3:$AE$3&gt;V$3)+($V$3:$AE$3=V$3)*($V169:$AE169&lt;V169)+($V$3:$AE$3=V$3)*($V169:$AE169=V169)*($V$2:$AE$2&lt;V$2))),2))))</f>
      </c>
      <c r="AG169" s="33">
        <f>IF(W169&lt;=0,0,MAX(0,MIN(W169,ROUND($AZ169-SUMPRODUCT($V169:$AE169*($V169:$AE169&gt;0)*(($V$3:$AE$3&gt;W$3)+($V$3:$AE$3=W$3)*($V169:$AE169&lt;W169)+($V$3:$AE$3=W$3)*($V169:$AE169=W169)*($V$2:$AE$2&lt;W$2))),2))))</f>
      </c>
      <c r="AH169" s="33">
        <f>IF(X169&lt;=0,0,MAX(0,MIN(X169,ROUND($AZ169-SUMPRODUCT($V169:$AE169*($V169:$AE169&gt;0)*(($V$3:$AE$3&gt;X$3)+($V$3:$AE$3=X$3)*($V169:$AE169&lt;X169)+($V$3:$AE$3=X$3)*($V169:$AE169=X169)*($V$2:$AE$2&lt;X$2))),2))))</f>
      </c>
      <c r="AI169" s="33">
        <f>IF(Y169&lt;=0,0,MAX(0,MIN(Y169,ROUND($AZ169-SUMPRODUCT($V169:$AE169*($V169:$AE169&gt;0)*(($V$3:$AE$3&gt;Y$3)+($V$3:$AE$3=Y$3)*($V169:$AE169&lt;Y169)+($V$3:$AE$3=Y$3)*($V169:$AE169=Y169)*($V$2:$AE$2&lt;Y$2))),2))))</f>
      </c>
      <c r="AJ169" s="33">
        <f>IF(Z169&lt;=0,0,MAX(0,MIN(Z169,ROUND($AZ169-SUMPRODUCT($V169:$AE169*($V169:$AE169&gt;0)*(($V$3:$AE$3&gt;Z$3)+($V$3:$AE$3=Z$3)*($V169:$AE169&lt;Z169)+($V$3:$AE$3=Z$3)*($V169:$AE169=Z169)*($V$2:$AE$2&lt;Z$2))),2))))</f>
      </c>
      <c r="AK169" s="33">
        <f>IF(AA169&lt;=0,0,MAX(0,MIN(AA169,ROUND($AZ169-SUMPRODUCT($V169:$AE169*($V169:$AE169&gt;0)*(($V$3:$AE$3&gt;AA$3)+($V$3:$AE$3=AA$3)*($V169:$AE169&lt;AA169)+($V$3:$AE$3=AA$3)*($V169:$AE169=AA169)*($V$2:$AE$2&lt;AA$2))),2))))</f>
      </c>
      <c r="AL169" s="33">
        <f>IF(AB169&lt;=0,0,MAX(0,MIN(AB169,ROUND($AZ169-SUMPRODUCT($V169:$AE169*($V169:$AE169&gt;0)*(($V$3:$AE$3&gt;AB$3)+($V$3:$AE$3=AB$3)*($V169:$AE169&lt;AB169)+($V$3:$AE$3=AB$3)*($V169:$AE169=AB169)*($V$2:$AE$2&lt;AB$2))),2))))</f>
      </c>
      <c r="AM169" s="33">
        <f>IF(AC169&lt;=0,0,MAX(0,MIN(AC169,ROUND($AZ169-SUMPRODUCT($V169:$AE169*($V169:$AE169&gt;0)*(($V$3:$AE$3&gt;AC$3)+($V$3:$AE$3=AC$3)*($V169:$AE169&lt;AC169)+($V$3:$AE$3=AC$3)*($V169:$AE169=AC169)*($V$2:$AE$2&lt;AC$2))),2))))</f>
      </c>
      <c r="AN169" s="33">
        <f>IF(AD169&lt;=0,0,MAX(0,MIN(AD169,ROUND($AZ169-SUMPRODUCT($V169:$AE169*($V169:$AE169&gt;0)*(($V$3:$AE$3&gt;AD$3)+($V$3:$AE$3=AD$3)*($V169:$AE169&lt;AD169)+($V$3:$AE$3=AD$3)*($V169:$AE169=AD169)*($V$2:$AE$2&lt;AD$2))),2))))</f>
      </c>
      <c r="AO169" s="33">
        <f>IF(AE169&lt;=0,0,MAX(0,MIN(AE169,ROUND($AZ169-SUMPRODUCT($V169:$AE169*($V169:$AE169&gt;0)*(($V$3:$AE$3&gt;AE$3)+($V$3:$AE$3=AE$3)*($V169:$AE169&lt;AE169)+($V$3:$AE$3=AE$3)*($V169:$AE169=AE169)*($V$2:$AE$2&lt;AE$2))),2))))</f>
      </c>
      <c r="AP169" s="33">
        <f>ROUND(V169-AF169,2)</f>
      </c>
      <c r="AQ169" s="33">
        <f>ROUND(W169-AG169,2)</f>
      </c>
      <c r="AR169" s="33">
        <f>ROUND(X169-AH169,2)</f>
      </c>
      <c r="AS169" s="33">
        <f>ROUND(Y169-AI169,2)</f>
      </c>
      <c r="AT169" s="33">
        <f>ROUND(Z169-AJ169,2)</f>
      </c>
      <c r="AU169" s="33">
        <f>ROUND(AA169-AK169,2)</f>
      </c>
      <c r="AV169" s="33">
        <f>ROUND(AB169-AL169,2)</f>
      </c>
      <c r="AW169" s="33">
        <f>ROUND(AC169-AM169,2)</f>
      </c>
      <c r="AX169" s="33">
        <f>ROUND(AD169-AN169,2)</f>
      </c>
      <c r="AY169" s="33">
        <f>ROUND(AE169-AO169,2)</f>
      </c>
      <c r="AZ169" s="33">
        <f>ROUND(MAX(0,'Your debts'!$D$22-SUM($L169:$U169)),2)</f>
      </c>
      <c r="BA169" s="33">
        <f>ROUND(SUM($B169:$K169)-SUM($AP168:$AY168),2)</f>
      </c>
      <c r="BB169" s="33">
        <f>SUM($AP169:$AY169)</f>
      </c>
      <c r="BC169" s="33">
        <f>ROUND(SUM($L169:$U169)+SUM($AF169:$AO169),2)</f>
      </c>
    </row>
    <row r="170" spans="1:55" x14ac:dyDescent="0.25">
      <c r="A170">
        <v>163</v>
      </c>
      <c r="B170" s="33">
        <f>IF(AP169&lt;=0,0,ROUND(AP169+ROUND(AP169*V$3/12,2),2))</f>
      </c>
      <c r="C170" s="33">
        <f>IF(AQ169&lt;=0,0,ROUND(AQ169+ROUND(AQ169*W$3/12,2),2))</f>
      </c>
      <c r="D170" s="33">
        <f>IF(AR169&lt;=0,0,ROUND(AR169+ROUND(AR169*X$3/12,2),2))</f>
      </c>
      <c r="E170" s="33">
        <f>IF(AS169&lt;=0,0,ROUND(AS169+ROUND(AS169*Y$3/12,2),2))</f>
      </c>
      <c r="F170" s="33">
        <f>IF(AT169&lt;=0,0,ROUND(AT169+ROUND(AT169*Z$3/12,2),2))</f>
      </c>
      <c r="G170" s="33">
        <f>IF(AU169&lt;=0,0,ROUND(AU169+ROUND(AU169*AA$3/12,2),2))</f>
      </c>
      <c r="H170" s="33">
        <f>IF(AV169&lt;=0,0,ROUND(AV169+ROUND(AV169*AB$3/12,2),2))</f>
      </c>
      <c r="I170" s="33">
        <f>IF(AW169&lt;=0,0,ROUND(AW169+ROUND(AW169*AC$3/12,2),2))</f>
      </c>
      <c r="J170" s="33">
        <f>IF(AX169&lt;=0,0,ROUND(AX169+ROUND(AX169*AD$3/12,2),2))</f>
      </c>
      <c r="K170" s="33">
        <f>IF(AY169&lt;=0,0,ROUND(AY169+ROUND(AY169*AE$3/12,2),2))</f>
      </c>
      <c r="L170" s="33">
        <f>ROUND(MIN(MAX(0,N('Your debts'!$E$6)),B170),2)</f>
      </c>
      <c r="M170" s="33">
        <f>ROUND(MIN(MAX(0,N('Your debts'!$E$7)),C170),2)</f>
      </c>
      <c r="N170" s="33">
        <f>ROUND(MIN(MAX(0,N('Your debts'!$E$8)),D170),2)</f>
      </c>
      <c r="O170" s="33">
        <f>ROUND(MIN(MAX(0,N('Your debts'!$E$9)),E170),2)</f>
      </c>
      <c r="P170" s="33">
        <f>ROUND(MIN(MAX(0,N('Your debts'!$E$10)),F170),2)</f>
      </c>
      <c r="Q170" s="33">
        <f>ROUND(MIN(MAX(0,N('Your debts'!$E$11)),G170),2)</f>
      </c>
      <c r="R170" s="33">
        <f>ROUND(MIN(MAX(0,N('Your debts'!$E$12)),H170),2)</f>
      </c>
      <c r="S170" s="33">
        <f>ROUND(MIN(MAX(0,N('Your debts'!$E$13)),I170),2)</f>
      </c>
      <c r="T170" s="33">
        <f>ROUND(MIN(MAX(0,N('Your debts'!$E$14)),J170),2)</f>
      </c>
      <c r="U170" s="33">
        <f>ROUND(MIN(MAX(0,N('Your debts'!$E$15)),K170),2)</f>
      </c>
      <c r="V170" s="33">
        <f>ROUND(B170-L170,2)</f>
      </c>
      <c r="W170" s="33">
        <f>ROUND(C170-M170,2)</f>
      </c>
      <c r="X170" s="33">
        <f>ROUND(D170-N170,2)</f>
      </c>
      <c r="Y170" s="33">
        <f>ROUND(E170-O170,2)</f>
      </c>
      <c r="Z170" s="33">
        <f>ROUND(F170-P170,2)</f>
      </c>
      <c r="AA170" s="33">
        <f>ROUND(G170-Q170,2)</f>
      </c>
      <c r="AB170" s="33">
        <f>ROUND(H170-R170,2)</f>
      </c>
      <c r="AC170" s="33">
        <f>ROUND(I170-S170,2)</f>
      </c>
      <c r="AD170" s="33">
        <f>ROUND(J170-T170,2)</f>
      </c>
      <c r="AE170" s="33">
        <f>ROUND(K170-U170,2)</f>
      </c>
      <c r="AF170" s="33">
        <f>IF(V170&lt;=0,0,MAX(0,MIN(V170,ROUND($AZ170-SUMPRODUCT($V170:$AE170*($V170:$AE170&gt;0)*(($V$3:$AE$3&gt;V$3)+($V$3:$AE$3=V$3)*($V170:$AE170&lt;V170)+($V$3:$AE$3=V$3)*($V170:$AE170=V170)*($V$2:$AE$2&lt;V$2))),2))))</f>
      </c>
      <c r="AG170" s="33">
        <f>IF(W170&lt;=0,0,MAX(0,MIN(W170,ROUND($AZ170-SUMPRODUCT($V170:$AE170*($V170:$AE170&gt;0)*(($V$3:$AE$3&gt;W$3)+($V$3:$AE$3=W$3)*($V170:$AE170&lt;W170)+($V$3:$AE$3=W$3)*($V170:$AE170=W170)*($V$2:$AE$2&lt;W$2))),2))))</f>
      </c>
      <c r="AH170" s="33">
        <f>IF(X170&lt;=0,0,MAX(0,MIN(X170,ROUND($AZ170-SUMPRODUCT($V170:$AE170*($V170:$AE170&gt;0)*(($V$3:$AE$3&gt;X$3)+($V$3:$AE$3=X$3)*($V170:$AE170&lt;X170)+($V$3:$AE$3=X$3)*($V170:$AE170=X170)*($V$2:$AE$2&lt;X$2))),2))))</f>
      </c>
      <c r="AI170" s="33">
        <f>IF(Y170&lt;=0,0,MAX(0,MIN(Y170,ROUND($AZ170-SUMPRODUCT($V170:$AE170*($V170:$AE170&gt;0)*(($V$3:$AE$3&gt;Y$3)+($V$3:$AE$3=Y$3)*($V170:$AE170&lt;Y170)+($V$3:$AE$3=Y$3)*($V170:$AE170=Y170)*($V$2:$AE$2&lt;Y$2))),2))))</f>
      </c>
      <c r="AJ170" s="33">
        <f>IF(Z170&lt;=0,0,MAX(0,MIN(Z170,ROUND($AZ170-SUMPRODUCT($V170:$AE170*($V170:$AE170&gt;0)*(($V$3:$AE$3&gt;Z$3)+($V$3:$AE$3=Z$3)*($V170:$AE170&lt;Z170)+($V$3:$AE$3=Z$3)*($V170:$AE170=Z170)*($V$2:$AE$2&lt;Z$2))),2))))</f>
      </c>
      <c r="AK170" s="33">
        <f>IF(AA170&lt;=0,0,MAX(0,MIN(AA170,ROUND($AZ170-SUMPRODUCT($V170:$AE170*($V170:$AE170&gt;0)*(($V$3:$AE$3&gt;AA$3)+($V$3:$AE$3=AA$3)*($V170:$AE170&lt;AA170)+($V$3:$AE$3=AA$3)*($V170:$AE170=AA170)*($V$2:$AE$2&lt;AA$2))),2))))</f>
      </c>
      <c r="AL170" s="33">
        <f>IF(AB170&lt;=0,0,MAX(0,MIN(AB170,ROUND($AZ170-SUMPRODUCT($V170:$AE170*($V170:$AE170&gt;0)*(($V$3:$AE$3&gt;AB$3)+($V$3:$AE$3=AB$3)*($V170:$AE170&lt;AB170)+($V$3:$AE$3=AB$3)*($V170:$AE170=AB170)*($V$2:$AE$2&lt;AB$2))),2))))</f>
      </c>
      <c r="AM170" s="33">
        <f>IF(AC170&lt;=0,0,MAX(0,MIN(AC170,ROUND($AZ170-SUMPRODUCT($V170:$AE170*($V170:$AE170&gt;0)*(($V$3:$AE$3&gt;AC$3)+($V$3:$AE$3=AC$3)*($V170:$AE170&lt;AC170)+($V$3:$AE$3=AC$3)*($V170:$AE170=AC170)*($V$2:$AE$2&lt;AC$2))),2))))</f>
      </c>
      <c r="AN170" s="33">
        <f>IF(AD170&lt;=0,0,MAX(0,MIN(AD170,ROUND($AZ170-SUMPRODUCT($V170:$AE170*($V170:$AE170&gt;0)*(($V$3:$AE$3&gt;AD$3)+($V$3:$AE$3=AD$3)*($V170:$AE170&lt;AD170)+($V$3:$AE$3=AD$3)*($V170:$AE170=AD170)*($V$2:$AE$2&lt;AD$2))),2))))</f>
      </c>
      <c r="AO170" s="33">
        <f>IF(AE170&lt;=0,0,MAX(0,MIN(AE170,ROUND($AZ170-SUMPRODUCT($V170:$AE170*($V170:$AE170&gt;0)*(($V$3:$AE$3&gt;AE$3)+($V$3:$AE$3=AE$3)*($V170:$AE170&lt;AE170)+($V$3:$AE$3=AE$3)*($V170:$AE170=AE170)*($V$2:$AE$2&lt;AE$2))),2))))</f>
      </c>
      <c r="AP170" s="33">
        <f>ROUND(V170-AF170,2)</f>
      </c>
      <c r="AQ170" s="33">
        <f>ROUND(W170-AG170,2)</f>
      </c>
      <c r="AR170" s="33">
        <f>ROUND(X170-AH170,2)</f>
      </c>
      <c r="AS170" s="33">
        <f>ROUND(Y170-AI170,2)</f>
      </c>
      <c r="AT170" s="33">
        <f>ROUND(Z170-AJ170,2)</f>
      </c>
      <c r="AU170" s="33">
        <f>ROUND(AA170-AK170,2)</f>
      </c>
      <c r="AV170" s="33">
        <f>ROUND(AB170-AL170,2)</f>
      </c>
      <c r="AW170" s="33">
        <f>ROUND(AC170-AM170,2)</f>
      </c>
      <c r="AX170" s="33">
        <f>ROUND(AD170-AN170,2)</f>
      </c>
      <c r="AY170" s="33">
        <f>ROUND(AE170-AO170,2)</f>
      </c>
      <c r="AZ170" s="33">
        <f>ROUND(MAX(0,'Your debts'!$D$22-SUM($L170:$U170)),2)</f>
      </c>
      <c r="BA170" s="33">
        <f>ROUND(SUM($B170:$K170)-SUM($AP169:$AY169),2)</f>
      </c>
      <c r="BB170" s="33">
        <f>SUM($AP170:$AY170)</f>
      </c>
      <c r="BC170" s="33">
        <f>ROUND(SUM($L170:$U170)+SUM($AF170:$AO170),2)</f>
      </c>
    </row>
    <row r="171" spans="1:55" x14ac:dyDescent="0.25">
      <c r="A171">
        <v>164</v>
      </c>
      <c r="B171" s="33">
        <f>IF(AP170&lt;=0,0,ROUND(AP170+ROUND(AP170*V$3/12,2),2))</f>
      </c>
      <c r="C171" s="33">
        <f>IF(AQ170&lt;=0,0,ROUND(AQ170+ROUND(AQ170*W$3/12,2),2))</f>
      </c>
      <c r="D171" s="33">
        <f>IF(AR170&lt;=0,0,ROUND(AR170+ROUND(AR170*X$3/12,2),2))</f>
      </c>
      <c r="E171" s="33">
        <f>IF(AS170&lt;=0,0,ROUND(AS170+ROUND(AS170*Y$3/12,2),2))</f>
      </c>
      <c r="F171" s="33">
        <f>IF(AT170&lt;=0,0,ROUND(AT170+ROUND(AT170*Z$3/12,2),2))</f>
      </c>
      <c r="G171" s="33">
        <f>IF(AU170&lt;=0,0,ROUND(AU170+ROUND(AU170*AA$3/12,2),2))</f>
      </c>
      <c r="H171" s="33">
        <f>IF(AV170&lt;=0,0,ROUND(AV170+ROUND(AV170*AB$3/12,2),2))</f>
      </c>
      <c r="I171" s="33">
        <f>IF(AW170&lt;=0,0,ROUND(AW170+ROUND(AW170*AC$3/12,2),2))</f>
      </c>
      <c r="J171" s="33">
        <f>IF(AX170&lt;=0,0,ROUND(AX170+ROUND(AX170*AD$3/12,2),2))</f>
      </c>
      <c r="K171" s="33">
        <f>IF(AY170&lt;=0,0,ROUND(AY170+ROUND(AY170*AE$3/12,2),2))</f>
      </c>
      <c r="L171" s="33">
        <f>ROUND(MIN(MAX(0,N('Your debts'!$E$6)),B171),2)</f>
      </c>
      <c r="M171" s="33">
        <f>ROUND(MIN(MAX(0,N('Your debts'!$E$7)),C171),2)</f>
      </c>
      <c r="N171" s="33">
        <f>ROUND(MIN(MAX(0,N('Your debts'!$E$8)),D171),2)</f>
      </c>
      <c r="O171" s="33">
        <f>ROUND(MIN(MAX(0,N('Your debts'!$E$9)),E171),2)</f>
      </c>
      <c r="P171" s="33">
        <f>ROUND(MIN(MAX(0,N('Your debts'!$E$10)),F171),2)</f>
      </c>
      <c r="Q171" s="33">
        <f>ROUND(MIN(MAX(0,N('Your debts'!$E$11)),G171),2)</f>
      </c>
      <c r="R171" s="33">
        <f>ROUND(MIN(MAX(0,N('Your debts'!$E$12)),H171),2)</f>
      </c>
      <c r="S171" s="33">
        <f>ROUND(MIN(MAX(0,N('Your debts'!$E$13)),I171),2)</f>
      </c>
      <c r="T171" s="33">
        <f>ROUND(MIN(MAX(0,N('Your debts'!$E$14)),J171),2)</f>
      </c>
      <c r="U171" s="33">
        <f>ROUND(MIN(MAX(0,N('Your debts'!$E$15)),K171),2)</f>
      </c>
      <c r="V171" s="33">
        <f>ROUND(B171-L171,2)</f>
      </c>
      <c r="W171" s="33">
        <f>ROUND(C171-M171,2)</f>
      </c>
      <c r="X171" s="33">
        <f>ROUND(D171-N171,2)</f>
      </c>
      <c r="Y171" s="33">
        <f>ROUND(E171-O171,2)</f>
      </c>
      <c r="Z171" s="33">
        <f>ROUND(F171-P171,2)</f>
      </c>
      <c r="AA171" s="33">
        <f>ROUND(G171-Q171,2)</f>
      </c>
      <c r="AB171" s="33">
        <f>ROUND(H171-R171,2)</f>
      </c>
      <c r="AC171" s="33">
        <f>ROUND(I171-S171,2)</f>
      </c>
      <c r="AD171" s="33">
        <f>ROUND(J171-T171,2)</f>
      </c>
      <c r="AE171" s="33">
        <f>ROUND(K171-U171,2)</f>
      </c>
      <c r="AF171" s="33">
        <f>IF(V171&lt;=0,0,MAX(0,MIN(V171,ROUND($AZ171-SUMPRODUCT($V171:$AE171*($V171:$AE171&gt;0)*(($V$3:$AE$3&gt;V$3)+($V$3:$AE$3=V$3)*($V171:$AE171&lt;V171)+($V$3:$AE$3=V$3)*($V171:$AE171=V171)*($V$2:$AE$2&lt;V$2))),2))))</f>
      </c>
      <c r="AG171" s="33">
        <f>IF(W171&lt;=0,0,MAX(0,MIN(W171,ROUND($AZ171-SUMPRODUCT($V171:$AE171*($V171:$AE171&gt;0)*(($V$3:$AE$3&gt;W$3)+($V$3:$AE$3=W$3)*($V171:$AE171&lt;W171)+($V$3:$AE$3=W$3)*($V171:$AE171=W171)*($V$2:$AE$2&lt;W$2))),2))))</f>
      </c>
      <c r="AH171" s="33">
        <f>IF(X171&lt;=0,0,MAX(0,MIN(X171,ROUND($AZ171-SUMPRODUCT($V171:$AE171*($V171:$AE171&gt;0)*(($V$3:$AE$3&gt;X$3)+($V$3:$AE$3=X$3)*($V171:$AE171&lt;X171)+($V$3:$AE$3=X$3)*($V171:$AE171=X171)*($V$2:$AE$2&lt;X$2))),2))))</f>
      </c>
      <c r="AI171" s="33">
        <f>IF(Y171&lt;=0,0,MAX(0,MIN(Y171,ROUND($AZ171-SUMPRODUCT($V171:$AE171*($V171:$AE171&gt;0)*(($V$3:$AE$3&gt;Y$3)+($V$3:$AE$3=Y$3)*($V171:$AE171&lt;Y171)+($V$3:$AE$3=Y$3)*($V171:$AE171=Y171)*($V$2:$AE$2&lt;Y$2))),2))))</f>
      </c>
      <c r="AJ171" s="33">
        <f>IF(Z171&lt;=0,0,MAX(0,MIN(Z171,ROUND($AZ171-SUMPRODUCT($V171:$AE171*($V171:$AE171&gt;0)*(($V$3:$AE$3&gt;Z$3)+($V$3:$AE$3=Z$3)*($V171:$AE171&lt;Z171)+($V$3:$AE$3=Z$3)*($V171:$AE171=Z171)*($V$2:$AE$2&lt;Z$2))),2))))</f>
      </c>
      <c r="AK171" s="33">
        <f>IF(AA171&lt;=0,0,MAX(0,MIN(AA171,ROUND($AZ171-SUMPRODUCT($V171:$AE171*($V171:$AE171&gt;0)*(($V$3:$AE$3&gt;AA$3)+($V$3:$AE$3=AA$3)*($V171:$AE171&lt;AA171)+($V$3:$AE$3=AA$3)*($V171:$AE171=AA171)*($V$2:$AE$2&lt;AA$2))),2))))</f>
      </c>
      <c r="AL171" s="33">
        <f>IF(AB171&lt;=0,0,MAX(0,MIN(AB171,ROUND($AZ171-SUMPRODUCT($V171:$AE171*($V171:$AE171&gt;0)*(($V$3:$AE$3&gt;AB$3)+($V$3:$AE$3=AB$3)*($V171:$AE171&lt;AB171)+($V$3:$AE$3=AB$3)*($V171:$AE171=AB171)*($V$2:$AE$2&lt;AB$2))),2))))</f>
      </c>
      <c r="AM171" s="33">
        <f>IF(AC171&lt;=0,0,MAX(0,MIN(AC171,ROUND($AZ171-SUMPRODUCT($V171:$AE171*($V171:$AE171&gt;0)*(($V$3:$AE$3&gt;AC$3)+($V$3:$AE$3=AC$3)*($V171:$AE171&lt;AC171)+($V$3:$AE$3=AC$3)*($V171:$AE171=AC171)*($V$2:$AE$2&lt;AC$2))),2))))</f>
      </c>
      <c r="AN171" s="33">
        <f>IF(AD171&lt;=0,0,MAX(0,MIN(AD171,ROUND($AZ171-SUMPRODUCT($V171:$AE171*($V171:$AE171&gt;0)*(($V$3:$AE$3&gt;AD$3)+($V$3:$AE$3=AD$3)*($V171:$AE171&lt;AD171)+($V$3:$AE$3=AD$3)*($V171:$AE171=AD171)*($V$2:$AE$2&lt;AD$2))),2))))</f>
      </c>
      <c r="AO171" s="33">
        <f>IF(AE171&lt;=0,0,MAX(0,MIN(AE171,ROUND($AZ171-SUMPRODUCT($V171:$AE171*($V171:$AE171&gt;0)*(($V$3:$AE$3&gt;AE$3)+($V$3:$AE$3=AE$3)*($V171:$AE171&lt;AE171)+($V$3:$AE$3=AE$3)*($V171:$AE171=AE171)*($V$2:$AE$2&lt;AE$2))),2))))</f>
      </c>
      <c r="AP171" s="33">
        <f>ROUND(V171-AF171,2)</f>
      </c>
      <c r="AQ171" s="33">
        <f>ROUND(W171-AG171,2)</f>
      </c>
      <c r="AR171" s="33">
        <f>ROUND(X171-AH171,2)</f>
      </c>
      <c r="AS171" s="33">
        <f>ROUND(Y171-AI171,2)</f>
      </c>
      <c r="AT171" s="33">
        <f>ROUND(Z171-AJ171,2)</f>
      </c>
      <c r="AU171" s="33">
        <f>ROUND(AA171-AK171,2)</f>
      </c>
      <c r="AV171" s="33">
        <f>ROUND(AB171-AL171,2)</f>
      </c>
      <c r="AW171" s="33">
        <f>ROUND(AC171-AM171,2)</f>
      </c>
      <c r="AX171" s="33">
        <f>ROUND(AD171-AN171,2)</f>
      </c>
      <c r="AY171" s="33">
        <f>ROUND(AE171-AO171,2)</f>
      </c>
      <c r="AZ171" s="33">
        <f>ROUND(MAX(0,'Your debts'!$D$22-SUM($L171:$U171)),2)</f>
      </c>
      <c r="BA171" s="33">
        <f>ROUND(SUM($B171:$K171)-SUM($AP170:$AY170),2)</f>
      </c>
      <c r="BB171" s="33">
        <f>SUM($AP171:$AY171)</f>
      </c>
      <c r="BC171" s="33">
        <f>ROUND(SUM($L171:$U171)+SUM($AF171:$AO171),2)</f>
      </c>
    </row>
    <row r="172" spans="1:55" x14ac:dyDescent="0.25">
      <c r="A172">
        <v>165</v>
      </c>
      <c r="B172" s="33">
        <f>IF(AP171&lt;=0,0,ROUND(AP171+ROUND(AP171*V$3/12,2),2))</f>
      </c>
      <c r="C172" s="33">
        <f>IF(AQ171&lt;=0,0,ROUND(AQ171+ROUND(AQ171*W$3/12,2),2))</f>
      </c>
      <c r="D172" s="33">
        <f>IF(AR171&lt;=0,0,ROUND(AR171+ROUND(AR171*X$3/12,2),2))</f>
      </c>
      <c r="E172" s="33">
        <f>IF(AS171&lt;=0,0,ROUND(AS171+ROUND(AS171*Y$3/12,2),2))</f>
      </c>
      <c r="F172" s="33">
        <f>IF(AT171&lt;=0,0,ROUND(AT171+ROUND(AT171*Z$3/12,2),2))</f>
      </c>
      <c r="G172" s="33">
        <f>IF(AU171&lt;=0,0,ROUND(AU171+ROUND(AU171*AA$3/12,2),2))</f>
      </c>
      <c r="H172" s="33">
        <f>IF(AV171&lt;=0,0,ROUND(AV171+ROUND(AV171*AB$3/12,2),2))</f>
      </c>
      <c r="I172" s="33">
        <f>IF(AW171&lt;=0,0,ROUND(AW171+ROUND(AW171*AC$3/12,2),2))</f>
      </c>
      <c r="J172" s="33">
        <f>IF(AX171&lt;=0,0,ROUND(AX171+ROUND(AX171*AD$3/12,2),2))</f>
      </c>
      <c r="K172" s="33">
        <f>IF(AY171&lt;=0,0,ROUND(AY171+ROUND(AY171*AE$3/12,2),2))</f>
      </c>
      <c r="L172" s="33">
        <f>ROUND(MIN(MAX(0,N('Your debts'!$E$6)),B172),2)</f>
      </c>
      <c r="M172" s="33">
        <f>ROUND(MIN(MAX(0,N('Your debts'!$E$7)),C172),2)</f>
      </c>
      <c r="N172" s="33">
        <f>ROUND(MIN(MAX(0,N('Your debts'!$E$8)),D172),2)</f>
      </c>
      <c r="O172" s="33">
        <f>ROUND(MIN(MAX(0,N('Your debts'!$E$9)),E172),2)</f>
      </c>
      <c r="P172" s="33">
        <f>ROUND(MIN(MAX(0,N('Your debts'!$E$10)),F172),2)</f>
      </c>
      <c r="Q172" s="33">
        <f>ROUND(MIN(MAX(0,N('Your debts'!$E$11)),G172),2)</f>
      </c>
      <c r="R172" s="33">
        <f>ROUND(MIN(MAX(0,N('Your debts'!$E$12)),H172),2)</f>
      </c>
      <c r="S172" s="33">
        <f>ROUND(MIN(MAX(0,N('Your debts'!$E$13)),I172),2)</f>
      </c>
      <c r="T172" s="33">
        <f>ROUND(MIN(MAX(0,N('Your debts'!$E$14)),J172),2)</f>
      </c>
      <c r="U172" s="33">
        <f>ROUND(MIN(MAX(0,N('Your debts'!$E$15)),K172),2)</f>
      </c>
      <c r="V172" s="33">
        <f>ROUND(B172-L172,2)</f>
      </c>
      <c r="W172" s="33">
        <f>ROUND(C172-M172,2)</f>
      </c>
      <c r="X172" s="33">
        <f>ROUND(D172-N172,2)</f>
      </c>
      <c r="Y172" s="33">
        <f>ROUND(E172-O172,2)</f>
      </c>
      <c r="Z172" s="33">
        <f>ROUND(F172-P172,2)</f>
      </c>
      <c r="AA172" s="33">
        <f>ROUND(G172-Q172,2)</f>
      </c>
      <c r="AB172" s="33">
        <f>ROUND(H172-R172,2)</f>
      </c>
      <c r="AC172" s="33">
        <f>ROUND(I172-S172,2)</f>
      </c>
      <c r="AD172" s="33">
        <f>ROUND(J172-T172,2)</f>
      </c>
      <c r="AE172" s="33">
        <f>ROUND(K172-U172,2)</f>
      </c>
      <c r="AF172" s="33">
        <f>IF(V172&lt;=0,0,MAX(0,MIN(V172,ROUND($AZ172-SUMPRODUCT($V172:$AE172*($V172:$AE172&gt;0)*(($V$3:$AE$3&gt;V$3)+($V$3:$AE$3=V$3)*($V172:$AE172&lt;V172)+($V$3:$AE$3=V$3)*($V172:$AE172=V172)*($V$2:$AE$2&lt;V$2))),2))))</f>
      </c>
      <c r="AG172" s="33">
        <f>IF(W172&lt;=0,0,MAX(0,MIN(W172,ROUND($AZ172-SUMPRODUCT($V172:$AE172*($V172:$AE172&gt;0)*(($V$3:$AE$3&gt;W$3)+($V$3:$AE$3=W$3)*($V172:$AE172&lt;W172)+($V$3:$AE$3=W$3)*($V172:$AE172=W172)*($V$2:$AE$2&lt;W$2))),2))))</f>
      </c>
      <c r="AH172" s="33">
        <f>IF(X172&lt;=0,0,MAX(0,MIN(X172,ROUND($AZ172-SUMPRODUCT($V172:$AE172*($V172:$AE172&gt;0)*(($V$3:$AE$3&gt;X$3)+($V$3:$AE$3=X$3)*($V172:$AE172&lt;X172)+($V$3:$AE$3=X$3)*($V172:$AE172=X172)*($V$2:$AE$2&lt;X$2))),2))))</f>
      </c>
      <c r="AI172" s="33">
        <f>IF(Y172&lt;=0,0,MAX(0,MIN(Y172,ROUND($AZ172-SUMPRODUCT($V172:$AE172*($V172:$AE172&gt;0)*(($V$3:$AE$3&gt;Y$3)+($V$3:$AE$3=Y$3)*($V172:$AE172&lt;Y172)+($V$3:$AE$3=Y$3)*($V172:$AE172=Y172)*($V$2:$AE$2&lt;Y$2))),2))))</f>
      </c>
      <c r="AJ172" s="33">
        <f>IF(Z172&lt;=0,0,MAX(0,MIN(Z172,ROUND($AZ172-SUMPRODUCT($V172:$AE172*($V172:$AE172&gt;0)*(($V$3:$AE$3&gt;Z$3)+($V$3:$AE$3=Z$3)*($V172:$AE172&lt;Z172)+($V$3:$AE$3=Z$3)*($V172:$AE172=Z172)*($V$2:$AE$2&lt;Z$2))),2))))</f>
      </c>
      <c r="AK172" s="33">
        <f>IF(AA172&lt;=0,0,MAX(0,MIN(AA172,ROUND($AZ172-SUMPRODUCT($V172:$AE172*($V172:$AE172&gt;0)*(($V$3:$AE$3&gt;AA$3)+($V$3:$AE$3=AA$3)*($V172:$AE172&lt;AA172)+($V$3:$AE$3=AA$3)*($V172:$AE172=AA172)*($V$2:$AE$2&lt;AA$2))),2))))</f>
      </c>
      <c r="AL172" s="33">
        <f>IF(AB172&lt;=0,0,MAX(0,MIN(AB172,ROUND($AZ172-SUMPRODUCT($V172:$AE172*($V172:$AE172&gt;0)*(($V$3:$AE$3&gt;AB$3)+($V$3:$AE$3=AB$3)*($V172:$AE172&lt;AB172)+($V$3:$AE$3=AB$3)*($V172:$AE172=AB172)*($V$2:$AE$2&lt;AB$2))),2))))</f>
      </c>
      <c r="AM172" s="33">
        <f>IF(AC172&lt;=0,0,MAX(0,MIN(AC172,ROUND($AZ172-SUMPRODUCT($V172:$AE172*($V172:$AE172&gt;0)*(($V$3:$AE$3&gt;AC$3)+($V$3:$AE$3=AC$3)*($V172:$AE172&lt;AC172)+($V$3:$AE$3=AC$3)*($V172:$AE172=AC172)*($V$2:$AE$2&lt;AC$2))),2))))</f>
      </c>
      <c r="AN172" s="33">
        <f>IF(AD172&lt;=0,0,MAX(0,MIN(AD172,ROUND($AZ172-SUMPRODUCT($V172:$AE172*($V172:$AE172&gt;0)*(($V$3:$AE$3&gt;AD$3)+($V$3:$AE$3=AD$3)*($V172:$AE172&lt;AD172)+($V$3:$AE$3=AD$3)*($V172:$AE172=AD172)*($V$2:$AE$2&lt;AD$2))),2))))</f>
      </c>
      <c r="AO172" s="33">
        <f>IF(AE172&lt;=0,0,MAX(0,MIN(AE172,ROUND($AZ172-SUMPRODUCT($V172:$AE172*($V172:$AE172&gt;0)*(($V$3:$AE$3&gt;AE$3)+($V$3:$AE$3=AE$3)*($V172:$AE172&lt;AE172)+($V$3:$AE$3=AE$3)*($V172:$AE172=AE172)*($V$2:$AE$2&lt;AE$2))),2))))</f>
      </c>
      <c r="AP172" s="33">
        <f>ROUND(V172-AF172,2)</f>
      </c>
      <c r="AQ172" s="33">
        <f>ROUND(W172-AG172,2)</f>
      </c>
      <c r="AR172" s="33">
        <f>ROUND(X172-AH172,2)</f>
      </c>
      <c r="AS172" s="33">
        <f>ROUND(Y172-AI172,2)</f>
      </c>
      <c r="AT172" s="33">
        <f>ROUND(Z172-AJ172,2)</f>
      </c>
      <c r="AU172" s="33">
        <f>ROUND(AA172-AK172,2)</f>
      </c>
      <c r="AV172" s="33">
        <f>ROUND(AB172-AL172,2)</f>
      </c>
      <c r="AW172" s="33">
        <f>ROUND(AC172-AM172,2)</f>
      </c>
      <c r="AX172" s="33">
        <f>ROUND(AD172-AN172,2)</f>
      </c>
      <c r="AY172" s="33">
        <f>ROUND(AE172-AO172,2)</f>
      </c>
      <c r="AZ172" s="33">
        <f>ROUND(MAX(0,'Your debts'!$D$22-SUM($L172:$U172)),2)</f>
      </c>
      <c r="BA172" s="33">
        <f>ROUND(SUM($B172:$K172)-SUM($AP171:$AY171),2)</f>
      </c>
      <c r="BB172" s="33">
        <f>SUM($AP172:$AY172)</f>
      </c>
      <c r="BC172" s="33">
        <f>ROUND(SUM($L172:$U172)+SUM($AF172:$AO172),2)</f>
      </c>
    </row>
    <row r="173" spans="1:55" x14ac:dyDescent="0.25">
      <c r="A173">
        <v>166</v>
      </c>
      <c r="B173" s="33">
        <f>IF(AP172&lt;=0,0,ROUND(AP172+ROUND(AP172*V$3/12,2),2))</f>
      </c>
      <c r="C173" s="33">
        <f>IF(AQ172&lt;=0,0,ROUND(AQ172+ROUND(AQ172*W$3/12,2),2))</f>
      </c>
      <c r="D173" s="33">
        <f>IF(AR172&lt;=0,0,ROUND(AR172+ROUND(AR172*X$3/12,2),2))</f>
      </c>
      <c r="E173" s="33">
        <f>IF(AS172&lt;=0,0,ROUND(AS172+ROUND(AS172*Y$3/12,2),2))</f>
      </c>
      <c r="F173" s="33">
        <f>IF(AT172&lt;=0,0,ROUND(AT172+ROUND(AT172*Z$3/12,2),2))</f>
      </c>
      <c r="G173" s="33">
        <f>IF(AU172&lt;=0,0,ROUND(AU172+ROUND(AU172*AA$3/12,2),2))</f>
      </c>
      <c r="H173" s="33">
        <f>IF(AV172&lt;=0,0,ROUND(AV172+ROUND(AV172*AB$3/12,2),2))</f>
      </c>
      <c r="I173" s="33">
        <f>IF(AW172&lt;=0,0,ROUND(AW172+ROUND(AW172*AC$3/12,2),2))</f>
      </c>
      <c r="J173" s="33">
        <f>IF(AX172&lt;=0,0,ROUND(AX172+ROUND(AX172*AD$3/12,2),2))</f>
      </c>
      <c r="K173" s="33">
        <f>IF(AY172&lt;=0,0,ROUND(AY172+ROUND(AY172*AE$3/12,2),2))</f>
      </c>
      <c r="L173" s="33">
        <f>ROUND(MIN(MAX(0,N('Your debts'!$E$6)),B173),2)</f>
      </c>
      <c r="M173" s="33">
        <f>ROUND(MIN(MAX(0,N('Your debts'!$E$7)),C173),2)</f>
      </c>
      <c r="N173" s="33">
        <f>ROUND(MIN(MAX(0,N('Your debts'!$E$8)),D173),2)</f>
      </c>
      <c r="O173" s="33">
        <f>ROUND(MIN(MAX(0,N('Your debts'!$E$9)),E173),2)</f>
      </c>
      <c r="P173" s="33">
        <f>ROUND(MIN(MAX(0,N('Your debts'!$E$10)),F173),2)</f>
      </c>
      <c r="Q173" s="33">
        <f>ROUND(MIN(MAX(0,N('Your debts'!$E$11)),G173),2)</f>
      </c>
      <c r="R173" s="33">
        <f>ROUND(MIN(MAX(0,N('Your debts'!$E$12)),H173),2)</f>
      </c>
      <c r="S173" s="33">
        <f>ROUND(MIN(MAX(0,N('Your debts'!$E$13)),I173),2)</f>
      </c>
      <c r="T173" s="33">
        <f>ROUND(MIN(MAX(0,N('Your debts'!$E$14)),J173),2)</f>
      </c>
      <c r="U173" s="33">
        <f>ROUND(MIN(MAX(0,N('Your debts'!$E$15)),K173),2)</f>
      </c>
      <c r="V173" s="33">
        <f>ROUND(B173-L173,2)</f>
      </c>
      <c r="W173" s="33">
        <f>ROUND(C173-M173,2)</f>
      </c>
      <c r="X173" s="33">
        <f>ROUND(D173-N173,2)</f>
      </c>
      <c r="Y173" s="33">
        <f>ROUND(E173-O173,2)</f>
      </c>
      <c r="Z173" s="33">
        <f>ROUND(F173-P173,2)</f>
      </c>
      <c r="AA173" s="33">
        <f>ROUND(G173-Q173,2)</f>
      </c>
      <c r="AB173" s="33">
        <f>ROUND(H173-R173,2)</f>
      </c>
      <c r="AC173" s="33">
        <f>ROUND(I173-S173,2)</f>
      </c>
      <c r="AD173" s="33">
        <f>ROUND(J173-T173,2)</f>
      </c>
      <c r="AE173" s="33">
        <f>ROUND(K173-U173,2)</f>
      </c>
      <c r="AF173" s="33">
        <f>IF(V173&lt;=0,0,MAX(0,MIN(V173,ROUND($AZ173-SUMPRODUCT($V173:$AE173*($V173:$AE173&gt;0)*(($V$3:$AE$3&gt;V$3)+($V$3:$AE$3=V$3)*($V173:$AE173&lt;V173)+($V$3:$AE$3=V$3)*($V173:$AE173=V173)*($V$2:$AE$2&lt;V$2))),2))))</f>
      </c>
      <c r="AG173" s="33">
        <f>IF(W173&lt;=0,0,MAX(0,MIN(W173,ROUND($AZ173-SUMPRODUCT($V173:$AE173*($V173:$AE173&gt;0)*(($V$3:$AE$3&gt;W$3)+($V$3:$AE$3=W$3)*($V173:$AE173&lt;W173)+($V$3:$AE$3=W$3)*($V173:$AE173=W173)*($V$2:$AE$2&lt;W$2))),2))))</f>
      </c>
      <c r="AH173" s="33">
        <f>IF(X173&lt;=0,0,MAX(0,MIN(X173,ROUND($AZ173-SUMPRODUCT($V173:$AE173*($V173:$AE173&gt;0)*(($V$3:$AE$3&gt;X$3)+($V$3:$AE$3=X$3)*($V173:$AE173&lt;X173)+($V$3:$AE$3=X$3)*($V173:$AE173=X173)*($V$2:$AE$2&lt;X$2))),2))))</f>
      </c>
      <c r="AI173" s="33">
        <f>IF(Y173&lt;=0,0,MAX(0,MIN(Y173,ROUND($AZ173-SUMPRODUCT($V173:$AE173*($V173:$AE173&gt;0)*(($V$3:$AE$3&gt;Y$3)+($V$3:$AE$3=Y$3)*($V173:$AE173&lt;Y173)+($V$3:$AE$3=Y$3)*($V173:$AE173=Y173)*($V$2:$AE$2&lt;Y$2))),2))))</f>
      </c>
      <c r="AJ173" s="33">
        <f>IF(Z173&lt;=0,0,MAX(0,MIN(Z173,ROUND($AZ173-SUMPRODUCT($V173:$AE173*($V173:$AE173&gt;0)*(($V$3:$AE$3&gt;Z$3)+($V$3:$AE$3=Z$3)*($V173:$AE173&lt;Z173)+($V$3:$AE$3=Z$3)*($V173:$AE173=Z173)*($V$2:$AE$2&lt;Z$2))),2))))</f>
      </c>
      <c r="AK173" s="33">
        <f>IF(AA173&lt;=0,0,MAX(0,MIN(AA173,ROUND($AZ173-SUMPRODUCT($V173:$AE173*($V173:$AE173&gt;0)*(($V$3:$AE$3&gt;AA$3)+($V$3:$AE$3=AA$3)*($V173:$AE173&lt;AA173)+($V$3:$AE$3=AA$3)*($V173:$AE173=AA173)*($V$2:$AE$2&lt;AA$2))),2))))</f>
      </c>
      <c r="AL173" s="33">
        <f>IF(AB173&lt;=0,0,MAX(0,MIN(AB173,ROUND($AZ173-SUMPRODUCT($V173:$AE173*($V173:$AE173&gt;0)*(($V$3:$AE$3&gt;AB$3)+($V$3:$AE$3=AB$3)*($V173:$AE173&lt;AB173)+($V$3:$AE$3=AB$3)*($V173:$AE173=AB173)*($V$2:$AE$2&lt;AB$2))),2))))</f>
      </c>
      <c r="AM173" s="33">
        <f>IF(AC173&lt;=0,0,MAX(0,MIN(AC173,ROUND($AZ173-SUMPRODUCT($V173:$AE173*($V173:$AE173&gt;0)*(($V$3:$AE$3&gt;AC$3)+($V$3:$AE$3=AC$3)*($V173:$AE173&lt;AC173)+($V$3:$AE$3=AC$3)*($V173:$AE173=AC173)*($V$2:$AE$2&lt;AC$2))),2))))</f>
      </c>
      <c r="AN173" s="33">
        <f>IF(AD173&lt;=0,0,MAX(0,MIN(AD173,ROUND($AZ173-SUMPRODUCT($V173:$AE173*($V173:$AE173&gt;0)*(($V$3:$AE$3&gt;AD$3)+($V$3:$AE$3=AD$3)*($V173:$AE173&lt;AD173)+($V$3:$AE$3=AD$3)*($V173:$AE173=AD173)*($V$2:$AE$2&lt;AD$2))),2))))</f>
      </c>
      <c r="AO173" s="33">
        <f>IF(AE173&lt;=0,0,MAX(0,MIN(AE173,ROUND($AZ173-SUMPRODUCT($V173:$AE173*($V173:$AE173&gt;0)*(($V$3:$AE$3&gt;AE$3)+($V$3:$AE$3=AE$3)*($V173:$AE173&lt;AE173)+($V$3:$AE$3=AE$3)*($V173:$AE173=AE173)*($V$2:$AE$2&lt;AE$2))),2))))</f>
      </c>
      <c r="AP173" s="33">
        <f>ROUND(V173-AF173,2)</f>
      </c>
      <c r="AQ173" s="33">
        <f>ROUND(W173-AG173,2)</f>
      </c>
      <c r="AR173" s="33">
        <f>ROUND(X173-AH173,2)</f>
      </c>
      <c r="AS173" s="33">
        <f>ROUND(Y173-AI173,2)</f>
      </c>
      <c r="AT173" s="33">
        <f>ROUND(Z173-AJ173,2)</f>
      </c>
      <c r="AU173" s="33">
        <f>ROUND(AA173-AK173,2)</f>
      </c>
      <c r="AV173" s="33">
        <f>ROUND(AB173-AL173,2)</f>
      </c>
      <c r="AW173" s="33">
        <f>ROUND(AC173-AM173,2)</f>
      </c>
      <c r="AX173" s="33">
        <f>ROUND(AD173-AN173,2)</f>
      </c>
      <c r="AY173" s="33">
        <f>ROUND(AE173-AO173,2)</f>
      </c>
      <c r="AZ173" s="33">
        <f>ROUND(MAX(0,'Your debts'!$D$22-SUM($L173:$U173)),2)</f>
      </c>
      <c r="BA173" s="33">
        <f>ROUND(SUM($B173:$K173)-SUM($AP172:$AY172),2)</f>
      </c>
      <c r="BB173" s="33">
        <f>SUM($AP173:$AY173)</f>
      </c>
      <c r="BC173" s="33">
        <f>ROUND(SUM($L173:$U173)+SUM($AF173:$AO173),2)</f>
      </c>
    </row>
    <row r="174" spans="1:55" x14ac:dyDescent="0.25">
      <c r="A174">
        <v>167</v>
      </c>
      <c r="B174" s="33">
        <f>IF(AP173&lt;=0,0,ROUND(AP173+ROUND(AP173*V$3/12,2),2))</f>
      </c>
      <c r="C174" s="33">
        <f>IF(AQ173&lt;=0,0,ROUND(AQ173+ROUND(AQ173*W$3/12,2),2))</f>
      </c>
      <c r="D174" s="33">
        <f>IF(AR173&lt;=0,0,ROUND(AR173+ROUND(AR173*X$3/12,2),2))</f>
      </c>
      <c r="E174" s="33">
        <f>IF(AS173&lt;=0,0,ROUND(AS173+ROUND(AS173*Y$3/12,2),2))</f>
      </c>
      <c r="F174" s="33">
        <f>IF(AT173&lt;=0,0,ROUND(AT173+ROUND(AT173*Z$3/12,2),2))</f>
      </c>
      <c r="G174" s="33">
        <f>IF(AU173&lt;=0,0,ROUND(AU173+ROUND(AU173*AA$3/12,2),2))</f>
      </c>
      <c r="H174" s="33">
        <f>IF(AV173&lt;=0,0,ROUND(AV173+ROUND(AV173*AB$3/12,2),2))</f>
      </c>
      <c r="I174" s="33">
        <f>IF(AW173&lt;=0,0,ROUND(AW173+ROUND(AW173*AC$3/12,2),2))</f>
      </c>
      <c r="J174" s="33">
        <f>IF(AX173&lt;=0,0,ROUND(AX173+ROUND(AX173*AD$3/12,2),2))</f>
      </c>
      <c r="K174" s="33">
        <f>IF(AY173&lt;=0,0,ROUND(AY173+ROUND(AY173*AE$3/12,2),2))</f>
      </c>
      <c r="L174" s="33">
        <f>ROUND(MIN(MAX(0,N('Your debts'!$E$6)),B174),2)</f>
      </c>
      <c r="M174" s="33">
        <f>ROUND(MIN(MAX(0,N('Your debts'!$E$7)),C174),2)</f>
      </c>
      <c r="N174" s="33">
        <f>ROUND(MIN(MAX(0,N('Your debts'!$E$8)),D174),2)</f>
      </c>
      <c r="O174" s="33">
        <f>ROUND(MIN(MAX(0,N('Your debts'!$E$9)),E174),2)</f>
      </c>
      <c r="P174" s="33">
        <f>ROUND(MIN(MAX(0,N('Your debts'!$E$10)),F174),2)</f>
      </c>
      <c r="Q174" s="33">
        <f>ROUND(MIN(MAX(0,N('Your debts'!$E$11)),G174),2)</f>
      </c>
      <c r="R174" s="33">
        <f>ROUND(MIN(MAX(0,N('Your debts'!$E$12)),H174),2)</f>
      </c>
      <c r="S174" s="33">
        <f>ROUND(MIN(MAX(0,N('Your debts'!$E$13)),I174),2)</f>
      </c>
      <c r="T174" s="33">
        <f>ROUND(MIN(MAX(0,N('Your debts'!$E$14)),J174),2)</f>
      </c>
      <c r="U174" s="33">
        <f>ROUND(MIN(MAX(0,N('Your debts'!$E$15)),K174),2)</f>
      </c>
      <c r="V174" s="33">
        <f>ROUND(B174-L174,2)</f>
      </c>
      <c r="W174" s="33">
        <f>ROUND(C174-M174,2)</f>
      </c>
      <c r="X174" s="33">
        <f>ROUND(D174-N174,2)</f>
      </c>
      <c r="Y174" s="33">
        <f>ROUND(E174-O174,2)</f>
      </c>
      <c r="Z174" s="33">
        <f>ROUND(F174-P174,2)</f>
      </c>
      <c r="AA174" s="33">
        <f>ROUND(G174-Q174,2)</f>
      </c>
      <c r="AB174" s="33">
        <f>ROUND(H174-R174,2)</f>
      </c>
      <c r="AC174" s="33">
        <f>ROUND(I174-S174,2)</f>
      </c>
      <c r="AD174" s="33">
        <f>ROUND(J174-T174,2)</f>
      </c>
      <c r="AE174" s="33">
        <f>ROUND(K174-U174,2)</f>
      </c>
      <c r="AF174" s="33">
        <f>IF(V174&lt;=0,0,MAX(0,MIN(V174,ROUND($AZ174-SUMPRODUCT($V174:$AE174*($V174:$AE174&gt;0)*(($V$3:$AE$3&gt;V$3)+($V$3:$AE$3=V$3)*($V174:$AE174&lt;V174)+($V$3:$AE$3=V$3)*($V174:$AE174=V174)*($V$2:$AE$2&lt;V$2))),2))))</f>
      </c>
      <c r="AG174" s="33">
        <f>IF(W174&lt;=0,0,MAX(0,MIN(W174,ROUND($AZ174-SUMPRODUCT($V174:$AE174*($V174:$AE174&gt;0)*(($V$3:$AE$3&gt;W$3)+($V$3:$AE$3=W$3)*($V174:$AE174&lt;W174)+($V$3:$AE$3=W$3)*($V174:$AE174=W174)*($V$2:$AE$2&lt;W$2))),2))))</f>
      </c>
      <c r="AH174" s="33">
        <f>IF(X174&lt;=0,0,MAX(0,MIN(X174,ROUND($AZ174-SUMPRODUCT($V174:$AE174*($V174:$AE174&gt;0)*(($V$3:$AE$3&gt;X$3)+($V$3:$AE$3=X$3)*($V174:$AE174&lt;X174)+($V$3:$AE$3=X$3)*($V174:$AE174=X174)*($V$2:$AE$2&lt;X$2))),2))))</f>
      </c>
      <c r="AI174" s="33">
        <f>IF(Y174&lt;=0,0,MAX(0,MIN(Y174,ROUND($AZ174-SUMPRODUCT($V174:$AE174*($V174:$AE174&gt;0)*(($V$3:$AE$3&gt;Y$3)+($V$3:$AE$3=Y$3)*($V174:$AE174&lt;Y174)+($V$3:$AE$3=Y$3)*($V174:$AE174=Y174)*($V$2:$AE$2&lt;Y$2))),2))))</f>
      </c>
      <c r="AJ174" s="33">
        <f>IF(Z174&lt;=0,0,MAX(0,MIN(Z174,ROUND($AZ174-SUMPRODUCT($V174:$AE174*($V174:$AE174&gt;0)*(($V$3:$AE$3&gt;Z$3)+($V$3:$AE$3=Z$3)*($V174:$AE174&lt;Z174)+($V$3:$AE$3=Z$3)*($V174:$AE174=Z174)*($V$2:$AE$2&lt;Z$2))),2))))</f>
      </c>
      <c r="AK174" s="33">
        <f>IF(AA174&lt;=0,0,MAX(0,MIN(AA174,ROUND($AZ174-SUMPRODUCT($V174:$AE174*($V174:$AE174&gt;0)*(($V$3:$AE$3&gt;AA$3)+($V$3:$AE$3=AA$3)*($V174:$AE174&lt;AA174)+($V$3:$AE$3=AA$3)*($V174:$AE174=AA174)*($V$2:$AE$2&lt;AA$2))),2))))</f>
      </c>
      <c r="AL174" s="33">
        <f>IF(AB174&lt;=0,0,MAX(0,MIN(AB174,ROUND($AZ174-SUMPRODUCT($V174:$AE174*($V174:$AE174&gt;0)*(($V$3:$AE$3&gt;AB$3)+($V$3:$AE$3=AB$3)*($V174:$AE174&lt;AB174)+($V$3:$AE$3=AB$3)*($V174:$AE174=AB174)*($V$2:$AE$2&lt;AB$2))),2))))</f>
      </c>
      <c r="AM174" s="33">
        <f>IF(AC174&lt;=0,0,MAX(0,MIN(AC174,ROUND($AZ174-SUMPRODUCT($V174:$AE174*($V174:$AE174&gt;0)*(($V$3:$AE$3&gt;AC$3)+($V$3:$AE$3=AC$3)*($V174:$AE174&lt;AC174)+($V$3:$AE$3=AC$3)*($V174:$AE174=AC174)*($V$2:$AE$2&lt;AC$2))),2))))</f>
      </c>
      <c r="AN174" s="33">
        <f>IF(AD174&lt;=0,0,MAX(0,MIN(AD174,ROUND($AZ174-SUMPRODUCT($V174:$AE174*($V174:$AE174&gt;0)*(($V$3:$AE$3&gt;AD$3)+($V$3:$AE$3=AD$3)*($V174:$AE174&lt;AD174)+($V$3:$AE$3=AD$3)*($V174:$AE174=AD174)*($V$2:$AE$2&lt;AD$2))),2))))</f>
      </c>
      <c r="AO174" s="33">
        <f>IF(AE174&lt;=0,0,MAX(0,MIN(AE174,ROUND($AZ174-SUMPRODUCT($V174:$AE174*($V174:$AE174&gt;0)*(($V$3:$AE$3&gt;AE$3)+($V$3:$AE$3=AE$3)*($V174:$AE174&lt;AE174)+($V$3:$AE$3=AE$3)*($V174:$AE174=AE174)*($V$2:$AE$2&lt;AE$2))),2))))</f>
      </c>
      <c r="AP174" s="33">
        <f>ROUND(V174-AF174,2)</f>
      </c>
      <c r="AQ174" s="33">
        <f>ROUND(W174-AG174,2)</f>
      </c>
      <c r="AR174" s="33">
        <f>ROUND(X174-AH174,2)</f>
      </c>
      <c r="AS174" s="33">
        <f>ROUND(Y174-AI174,2)</f>
      </c>
      <c r="AT174" s="33">
        <f>ROUND(Z174-AJ174,2)</f>
      </c>
      <c r="AU174" s="33">
        <f>ROUND(AA174-AK174,2)</f>
      </c>
      <c r="AV174" s="33">
        <f>ROUND(AB174-AL174,2)</f>
      </c>
      <c r="AW174" s="33">
        <f>ROUND(AC174-AM174,2)</f>
      </c>
      <c r="AX174" s="33">
        <f>ROUND(AD174-AN174,2)</f>
      </c>
      <c r="AY174" s="33">
        <f>ROUND(AE174-AO174,2)</f>
      </c>
      <c r="AZ174" s="33">
        <f>ROUND(MAX(0,'Your debts'!$D$22-SUM($L174:$U174)),2)</f>
      </c>
      <c r="BA174" s="33">
        <f>ROUND(SUM($B174:$K174)-SUM($AP173:$AY173),2)</f>
      </c>
      <c r="BB174" s="33">
        <f>SUM($AP174:$AY174)</f>
      </c>
      <c r="BC174" s="33">
        <f>ROUND(SUM($L174:$U174)+SUM($AF174:$AO174),2)</f>
      </c>
    </row>
    <row r="175" spans="1:55" x14ac:dyDescent="0.25">
      <c r="A175">
        <v>168</v>
      </c>
      <c r="B175" s="33">
        <f>IF(AP174&lt;=0,0,ROUND(AP174+ROUND(AP174*V$3/12,2),2))</f>
      </c>
      <c r="C175" s="33">
        <f>IF(AQ174&lt;=0,0,ROUND(AQ174+ROUND(AQ174*W$3/12,2),2))</f>
      </c>
      <c r="D175" s="33">
        <f>IF(AR174&lt;=0,0,ROUND(AR174+ROUND(AR174*X$3/12,2),2))</f>
      </c>
      <c r="E175" s="33">
        <f>IF(AS174&lt;=0,0,ROUND(AS174+ROUND(AS174*Y$3/12,2),2))</f>
      </c>
      <c r="F175" s="33">
        <f>IF(AT174&lt;=0,0,ROUND(AT174+ROUND(AT174*Z$3/12,2),2))</f>
      </c>
      <c r="G175" s="33">
        <f>IF(AU174&lt;=0,0,ROUND(AU174+ROUND(AU174*AA$3/12,2),2))</f>
      </c>
      <c r="H175" s="33">
        <f>IF(AV174&lt;=0,0,ROUND(AV174+ROUND(AV174*AB$3/12,2),2))</f>
      </c>
      <c r="I175" s="33">
        <f>IF(AW174&lt;=0,0,ROUND(AW174+ROUND(AW174*AC$3/12,2),2))</f>
      </c>
      <c r="J175" s="33">
        <f>IF(AX174&lt;=0,0,ROUND(AX174+ROUND(AX174*AD$3/12,2),2))</f>
      </c>
      <c r="K175" s="33">
        <f>IF(AY174&lt;=0,0,ROUND(AY174+ROUND(AY174*AE$3/12,2),2))</f>
      </c>
      <c r="L175" s="33">
        <f>ROUND(MIN(MAX(0,N('Your debts'!$E$6)),B175),2)</f>
      </c>
      <c r="M175" s="33">
        <f>ROUND(MIN(MAX(0,N('Your debts'!$E$7)),C175),2)</f>
      </c>
      <c r="N175" s="33">
        <f>ROUND(MIN(MAX(0,N('Your debts'!$E$8)),D175),2)</f>
      </c>
      <c r="O175" s="33">
        <f>ROUND(MIN(MAX(0,N('Your debts'!$E$9)),E175),2)</f>
      </c>
      <c r="P175" s="33">
        <f>ROUND(MIN(MAX(0,N('Your debts'!$E$10)),F175),2)</f>
      </c>
      <c r="Q175" s="33">
        <f>ROUND(MIN(MAX(0,N('Your debts'!$E$11)),G175),2)</f>
      </c>
      <c r="R175" s="33">
        <f>ROUND(MIN(MAX(0,N('Your debts'!$E$12)),H175),2)</f>
      </c>
      <c r="S175" s="33">
        <f>ROUND(MIN(MAX(0,N('Your debts'!$E$13)),I175),2)</f>
      </c>
      <c r="T175" s="33">
        <f>ROUND(MIN(MAX(0,N('Your debts'!$E$14)),J175),2)</f>
      </c>
      <c r="U175" s="33">
        <f>ROUND(MIN(MAX(0,N('Your debts'!$E$15)),K175),2)</f>
      </c>
      <c r="V175" s="33">
        <f>ROUND(B175-L175,2)</f>
      </c>
      <c r="W175" s="33">
        <f>ROUND(C175-M175,2)</f>
      </c>
      <c r="X175" s="33">
        <f>ROUND(D175-N175,2)</f>
      </c>
      <c r="Y175" s="33">
        <f>ROUND(E175-O175,2)</f>
      </c>
      <c r="Z175" s="33">
        <f>ROUND(F175-P175,2)</f>
      </c>
      <c r="AA175" s="33">
        <f>ROUND(G175-Q175,2)</f>
      </c>
      <c r="AB175" s="33">
        <f>ROUND(H175-R175,2)</f>
      </c>
      <c r="AC175" s="33">
        <f>ROUND(I175-S175,2)</f>
      </c>
      <c r="AD175" s="33">
        <f>ROUND(J175-T175,2)</f>
      </c>
      <c r="AE175" s="33">
        <f>ROUND(K175-U175,2)</f>
      </c>
      <c r="AF175" s="33">
        <f>IF(V175&lt;=0,0,MAX(0,MIN(V175,ROUND($AZ175-SUMPRODUCT($V175:$AE175*($V175:$AE175&gt;0)*(($V$3:$AE$3&gt;V$3)+($V$3:$AE$3=V$3)*($V175:$AE175&lt;V175)+($V$3:$AE$3=V$3)*($V175:$AE175=V175)*($V$2:$AE$2&lt;V$2))),2))))</f>
      </c>
      <c r="AG175" s="33">
        <f>IF(W175&lt;=0,0,MAX(0,MIN(W175,ROUND($AZ175-SUMPRODUCT($V175:$AE175*($V175:$AE175&gt;0)*(($V$3:$AE$3&gt;W$3)+($V$3:$AE$3=W$3)*($V175:$AE175&lt;W175)+($V$3:$AE$3=W$3)*($V175:$AE175=W175)*($V$2:$AE$2&lt;W$2))),2))))</f>
      </c>
      <c r="AH175" s="33">
        <f>IF(X175&lt;=0,0,MAX(0,MIN(X175,ROUND($AZ175-SUMPRODUCT($V175:$AE175*($V175:$AE175&gt;0)*(($V$3:$AE$3&gt;X$3)+($V$3:$AE$3=X$3)*($V175:$AE175&lt;X175)+($V$3:$AE$3=X$3)*($V175:$AE175=X175)*($V$2:$AE$2&lt;X$2))),2))))</f>
      </c>
      <c r="AI175" s="33">
        <f>IF(Y175&lt;=0,0,MAX(0,MIN(Y175,ROUND($AZ175-SUMPRODUCT($V175:$AE175*($V175:$AE175&gt;0)*(($V$3:$AE$3&gt;Y$3)+($V$3:$AE$3=Y$3)*($V175:$AE175&lt;Y175)+($V$3:$AE$3=Y$3)*($V175:$AE175=Y175)*($V$2:$AE$2&lt;Y$2))),2))))</f>
      </c>
      <c r="AJ175" s="33">
        <f>IF(Z175&lt;=0,0,MAX(0,MIN(Z175,ROUND($AZ175-SUMPRODUCT($V175:$AE175*($V175:$AE175&gt;0)*(($V$3:$AE$3&gt;Z$3)+($V$3:$AE$3=Z$3)*($V175:$AE175&lt;Z175)+($V$3:$AE$3=Z$3)*($V175:$AE175=Z175)*($V$2:$AE$2&lt;Z$2))),2))))</f>
      </c>
      <c r="AK175" s="33">
        <f>IF(AA175&lt;=0,0,MAX(0,MIN(AA175,ROUND($AZ175-SUMPRODUCT($V175:$AE175*($V175:$AE175&gt;0)*(($V$3:$AE$3&gt;AA$3)+($V$3:$AE$3=AA$3)*($V175:$AE175&lt;AA175)+($V$3:$AE$3=AA$3)*($V175:$AE175=AA175)*($V$2:$AE$2&lt;AA$2))),2))))</f>
      </c>
      <c r="AL175" s="33">
        <f>IF(AB175&lt;=0,0,MAX(0,MIN(AB175,ROUND($AZ175-SUMPRODUCT($V175:$AE175*($V175:$AE175&gt;0)*(($V$3:$AE$3&gt;AB$3)+($V$3:$AE$3=AB$3)*($V175:$AE175&lt;AB175)+($V$3:$AE$3=AB$3)*($V175:$AE175=AB175)*($V$2:$AE$2&lt;AB$2))),2))))</f>
      </c>
      <c r="AM175" s="33">
        <f>IF(AC175&lt;=0,0,MAX(0,MIN(AC175,ROUND($AZ175-SUMPRODUCT($V175:$AE175*($V175:$AE175&gt;0)*(($V$3:$AE$3&gt;AC$3)+($V$3:$AE$3=AC$3)*($V175:$AE175&lt;AC175)+($V$3:$AE$3=AC$3)*($V175:$AE175=AC175)*($V$2:$AE$2&lt;AC$2))),2))))</f>
      </c>
      <c r="AN175" s="33">
        <f>IF(AD175&lt;=0,0,MAX(0,MIN(AD175,ROUND($AZ175-SUMPRODUCT($V175:$AE175*($V175:$AE175&gt;0)*(($V$3:$AE$3&gt;AD$3)+($V$3:$AE$3=AD$3)*($V175:$AE175&lt;AD175)+($V$3:$AE$3=AD$3)*($V175:$AE175=AD175)*($V$2:$AE$2&lt;AD$2))),2))))</f>
      </c>
      <c r="AO175" s="33">
        <f>IF(AE175&lt;=0,0,MAX(0,MIN(AE175,ROUND($AZ175-SUMPRODUCT($V175:$AE175*($V175:$AE175&gt;0)*(($V$3:$AE$3&gt;AE$3)+($V$3:$AE$3=AE$3)*($V175:$AE175&lt;AE175)+($V$3:$AE$3=AE$3)*($V175:$AE175=AE175)*($V$2:$AE$2&lt;AE$2))),2))))</f>
      </c>
      <c r="AP175" s="33">
        <f>ROUND(V175-AF175,2)</f>
      </c>
      <c r="AQ175" s="33">
        <f>ROUND(W175-AG175,2)</f>
      </c>
      <c r="AR175" s="33">
        <f>ROUND(X175-AH175,2)</f>
      </c>
      <c r="AS175" s="33">
        <f>ROUND(Y175-AI175,2)</f>
      </c>
      <c r="AT175" s="33">
        <f>ROUND(Z175-AJ175,2)</f>
      </c>
      <c r="AU175" s="33">
        <f>ROUND(AA175-AK175,2)</f>
      </c>
      <c r="AV175" s="33">
        <f>ROUND(AB175-AL175,2)</f>
      </c>
      <c r="AW175" s="33">
        <f>ROUND(AC175-AM175,2)</f>
      </c>
      <c r="AX175" s="33">
        <f>ROUND(AD175-AN175,2)</f>
      </c>
      <c r="AY175" s="33">
        <f>ROUND(AE175-AO175,2)</f>
      </c>
      <c r="AZ175" s="33">
        <f>ROUND(MAX(0,'Your debts'!$D$22-SUM($L175:$U175)),2)</f>
      </c>
      <c r="BA175" s="33">
        <f>ROUND(SUM($B175:$K175)-SUM($AP174:$AY174),2)</f>
      </c>
      <c r="BB175" s="33">
        <f>SUM($AP175:$AY175)</f>
      </c>
      <c r="BC175" s="33">
        <f>ROUND(SUM($L175:$U175)+SUM($AF175:$AO175),2)</f>
      </c>
    </row>
    <row r="176" spans="1:55" x14ac:dyDescent="0.25">
      <c r="A176">
        <v>169</v>
      </c>
      <c r="B176" s="33">
        <f>IF(AP175&lt;=0,0,ROUND(AP175+ROUND(AP175*V$3/12,2),2))</f>
      </c>
      <c r="C176" s="33">
        <f>IF(AQ175&lt;=0,0,ROUND(AQ175+ROUND(AQ175*W$3/12,2),2))</f>
      </c>
      <c r="D176" s="33">
        <f>IF(AR175&lt;=0,0,ROUND(AR175+ROUND(AR175*X$3/12,2),2))</f>
      </c>
      <c r="E176" s="33">
        <f>IF(AS175&lt;=0,0,ROUND(AS175+ROUND(AS175*Y$3/12,2),2))</f>
      </c>
      <c r="F176" s="33">
        <f>IF(AT175&lt;=0,0,ROUND(AT175+ROUND(AT175*Z$3/12,2),2))</f>
      </c>
      <c r="G176" s="33">
        <f>IF(AU175&lt;=0,0,ROUND(AU175+ROUND(AU175*AA$3/12,2),2))</f>
      </c>
      <c r="H176" s="33">
        <f>IF(AV175&lt;=0,0,ROUND(AV175+ROUND(AV175*AB$3/12,2),2))</f>
      </c>
      <c r="I176" s="33">
        <f>IF(AW175&lt;=0,0,ROUND(AW175+ROUND(AW175*AC$3/12,2),2))</f>
      </c>
      <c r="J176" s="33">
        <f>IF(AX175&lt;=0,0,ROUND(AX175+ROUND(AX175*AD$3/12,2),2))</f>
      </c>
      <c r="K176" s="33">
        <f>IF(AY175&lt;=0,0,ROUND(AY175+ROUND(AY175*AE$3/12,2),2))</f>
      </c>
      <c r="L176" s="33">
        <f>ROUND(MIN(MAX(0,N('Your debts'!$E$6)),B176),2)</f>
      </c>
      <c r="M176" s="33">
        <f>ROUND(MIN(MAX(0,N('Your debts'!$E$7)),C176),2)</f>
      </c>
      <c r="N176" s="33">
        <f>ROUND(MIN(MAX(0,N('Your debts'!$E$8)),D176),2)</f>
      </c>
      <c r="O176" s="33">
        <f>ROUND(MIN(MAX(0,N('Your debts'!$E$9)),E176),2)</f>
      </c>
      <c r="P176" s="33">
        <f>ROUND(MIN(MAX(0,N('Your debts'!$E$10)),F176),2)</f>
      </c>
      <c r="Q176" s="33">
        <f>ROUND(MIN(MAX(0,N('Your debts'!$E$11)),G176),2)</f>
      </c>
      <c r="R176" s="33">
        <f>ROUND(MIN(MAX(0,N('Your debts'!$E$12)),H176),2)</f>
      </c>
      <c r="S176" s="33">
        <f>ROUND(MIN(MAX(0,N('Your debts'!$E$13)),I176),2)</f>
      </c>
      <c r="T176" s="33">
        <f>ROUND(MIN(MAX(0,N('Your debts'!$E$14)),J176),2)</f>
      </c>
      <c r="U176" s="33">
        <f>ROUND(MIN(MAX(0,N('Your debts'!$E$15)),K176),2)</f>
      </c>
      <c r="V176" s="33">
        <f>ROUND(B176-L176,2)</f>
      </c>
      <c r="W176" s="33">
        <f>ROUND(C176-M176,2)</f>
      </c>
      <c r="X176" s="33">
        <f>ROUND(D176-N176,2)</f>
      </c>
      <c r="Y176" s="33">
        <f>ROUND(E176-O176,2)</f>
      </c>
      <c r="Z176" s="33">
        <f>ROUND(F176-P176,2)</f>
      </c>
      <c r="AA176" s="33">
        <f>ROUND(G176-Q176,2)</f>
      </c>
      <c r="AB176" s="33">
        <f>ROUND(H176-R176,2)</f>
      </c>
      <c r="AC176" s="33">
        <f>ROUND(I176-S176,2)</f>
      </c>
      <c r="AD176" s="33">
        <f>ROUND(J176-T176,2)</f>
      </c>
      <c r="AE176" s="33">
        <f>ROUND(K176-U176,2)</f>
      </c>
      <c r="AF176" s="33">
        <f>IF(V176&lt;=0,0,MAX(0,MIN(V176,ROUND($AZ176-SUMPRODUCT($V176:$AE176*($V176:$AE176&gt;0)*(($V$3:$AE$3&gt;V$3)+($V$3:$AE$3=V$3)*($V176:$AE176&lt;V176)+($V$3:$AE$3=V$3)*($V176:$AE176=V176)*($V$2:$AE$2&lt;V$2))),2))))</f>
      </c>
      <c r="AG176" s="33">
        <f>IF(W176&lt;=0,0,MAX(0,MIN(W176,ROUND($AZ176-SUMPRODUCT($V176:$AE176*($V176:$AE176&gt;0)*(($V$3:$AE$3&gt;W$3)+($V$3:$AE$3=W$3)*($V176:$AE176&lt;W176)+($V$3:$AE$3=W$3)*($V176:$AE176=W176)*($V$2:$AE$2&lt;W$2))),2))))</f>
      </c>
      <c r="AH176" s="33">
        <f>IF(X176&lt;=0,0,MAX(0,MIN(X176,ROUND($AZ176-SUMPRODUCT($V176:$AE176*($V176:$AE176&gt;0)*(($V$3:$AE$3&gt;X$3)+($V$3:$AE$3=X$3)*($V176:$AE176&lt;X176)+($V$3:$AE$3=X$3)*($V176:$AE176=X176)*($V$2:$AE$2&lt;X$2))),2))))</f>
      </c>
      <c r="AI176" s="33">
        <f>IF(Y176&lt;=0,0,MAX(0,MIN(Y176,ROUND($AZ176-SUMPRODUCT($V176:$AE176*($V176:$AE176&gt;0)*(($V$3:$AE$3&gt;Y$3)+($V$3:$AE$3=Y$3)*($V176:$AE176&lt;Y176)+($V$3:$AE$3=Y$3)*($V176:$AE176=Y176)*($V$2:$AE$2&lt;Y$2))),2))))</f>
      </c>
      <c r="AJ176" s="33">
        <f>IF(Z176&lt;=0,0,MAX(0,MIN(Z176,ROUND($AZ176-SUMPRODUCT($V176:$AE176*($V176:$AE176&gt;0)*(($V$3:$AE$3&gt;Z$3)+($V$3:$AE$3=Z$3)*($V176:$AE176&lt;Z176)+($V$3:$AE$3=Z$3)*($V176:$AE176=Z176)*($V$2:$AE$2&lt;Z$2))),2))))</f>
      </c>
      <c r="AK176" s="33">
        <f>IF(AA176&lt;=0,0,MAX(0,MIN(AA176,ROUND($AZ176-SUMPRODUCT($V176:$AE176*($V176:$AE176&gt;0)*(($V$3:$AE$3&gt;AA$3)+($V$3:$AE$3=AA$3)*($V176:$AE176&lt;AA176)+($V$3:$AE$3=AA$3)*($V176:$AE176=AA176)*($V$2:$AE$2&lt;AA$2))),2))))</f>
      </c>
      <c r="AL176" s="33">
        <f>IF(AB176&lt;=0,0,MAX(0,MIN(AB176,ROUND($AZ176-SUMPRODUCT($V176:$AE176*($V176:$AE176&gt;0)*(($V$3:$AE$3&gt;AB$3)+($V$3:$AE$3=AB$3)*($V176:$AE176&lt;AB176)+($V$3:$AE$3=AB$3)*($V176:$AE176=AB176)*($V$2:$AE$2&lt;AB$2))),2))))</f>
      </c>
      <c r="AM176" s="33">
        <f>IF(AC176&lt;=0,0,MAX(0,MIN(AC176,ROUND($AZ176-SUMPRODUCT($V176:$AE176*($V176:$AE176&gt;0)*(($V$3:$AE$3&gt;AC$3)+($V$3:$AE$3=AC$3)*($V176:$AE176&lt;AC176)+($V$3:$AE$3=AC$3)*($V176:$AE176=AC176)*($V$2:$AE$2&lt;AC$2))),2))))</f>
      </c>
      <c r="AN176" s="33">
        <f>IF(AD176&lt;=0,0,MAX(0,MIN(AD176,ROUND($AZ176-SUMPRODUCT($V176:$AE176*($V176:$AE176&gt;0)*(($V$3:$AE$3&gt;AD$3)+($V$3:$AE$3=AD$3)*($V176:$AE176&lt;AD176)+($V$3:$AE$3=AD$3)*($V176:$AE176=AD176)*($V$2:$AE$2&lt;AD$2))),2))))</f>
      </c>
      <c r="AO176" s="33">
        <f>IF(AE176&lt;=0,0,MAX(0,MIN(AE176,ROUND($AZ176-SUMPRODUCT($V176:$AE176*($V176:$AE176&gt;0)*(($V$3:$AE$3&gt;AE$3)+($V$3:$AE$3=AE$3)*($V176:$AE176&lt;AE176)+($V$3:$AE$3=AE$3)*($V176:$AE176=AE176)*($V$2:$AE$2&lt;AE$2))),2))))</f>
      </c>
      <c r="AP176" s="33">
        <f>ROUND(V176-AF176,2)</f>
      </c>
      <c r="AQ176" s="33">
        <f>ROUND(W176-AG176,2)</f>
      </c>
      <c r="AR176" s="33">
        <f>ROUND(X176-AH176,2)</f>
      </c>
      <c r="AS176" s="33">
        <f>ROUND(Y176-AI176,2)</f>
      </c>
      <c r="AT176" s="33">
        <f>ROUND(Z176-AJ176,2)</f>
      </c>
      <c r="AU176" s="33">
        <f>ROUND(AA176-AK176,2)</f>
      </c>
      <c r="AV176" s="33">
        <f>ROUND(AB176-AL176,2)</f>
      </c>
      <c r="AW176" s="33">
        <f>ROUND(AC176-AM176,2)</f>
      </c>
      <c r="AX176" s="33">
        <f>ROUND(AD176-AN176,2)</f>
      </c>
      <c r="AY176" s="33">
        <f>ROUND(AE176-AO176,2)</f>
      </c>
      <c r="AZ176" s="33">
        <f>ROUND(MAX(0,'Your debts'!$D$22-SUM($L176:$U176)),2)</f>
      </c>
      <c r="BA176" s="33">
        <f>ROUND(SUM($B176:$K176)-SUM($AP175:$AY175),2)</f>
      </c>
      <c r="BB176" s="33">
        <f>SUM($AP176:$AY176)</f>
      </c>
      <c r="BC176" s="33">
        <f>ROUND(SUM($L176:$U176)+SUM($AF176:$AO176),2)</f>
      </c>
    </row>
    <row r="177" spans="1:55" x14ac:dyDescent="0.25">
      <c r="A177">
        <v>170</v>
      </c>
      <c r="B177" s="33">
        <f>IF(AP176&lt;=0,0,ROUND(AP176+ROUND(AP176*V$3/12,2),2))</f>
      </c>
      <c r="C177" s="33">
        <f>IF(AQ176&lt;=0,0,ROUND(AQ176+ROUND(AQ176*W$3/12,2),2))</f>
      </c>
      <c r="D177" s="33">
        <f>IF(AR176&lt;=0,0,ROUND(AR176+ROUND(AR176*X$3/12,2),2))</f>
      </c>
      <c r="E177" s="33">
        <f>IF(AS176&lt;=0,0,ROUND(AS176+ROUND(AS176*Y$3/12,2),2))</f>
      </c>
      <c r="F177" s="33">
        <f>IF(AT176&lt;=0,0,ROUND(AT176+ROUND(AT176*Z$3/12,2),2))</f>
      </c>
      <c r="G177" s="33">
        <f>IF(AU176&lt;=0,0,ROUND(AU176+ROUND(AU176*AA$3/12,2),2))</f>
      </c>
      <c r="H177" s="33">
        <f>IF(AV176&lt;=0,0,ROUND(AV176+ROUND(AV176*AB$3/12,2),2))</f>
      </c>
      <c r="I177" s="33">
        <f>IF(AW176&lt;=0,0,ROUND(AW176+ROUND(AW176*AC$3/12,2),2))</f>
      </c>
      <c r="J177" s="33">
        <f>IF(AX176&lt;=0,0,ROUND(AX176+ROUND(AX176*AD$3/12,2),2))</f>
      </c>
      <c r="K177" s="33">
        <f>IF(AY176&lt;=0,0,ROUND(AY176+ROUND(AY176*AE$3/12,2),2))</f>
      </c>
      <c r="L177" s="33">
        <f>ROUND(MIN(MAX(0,N('Your debts'!$E$6)),B177),2)</f>
      </c>
      <c r="M177" s="33">
        <f>ROUND(MIN(MAX(0,N('Your debts'!$E$7)),C177),2)</f>
      </c>
      <c r="N177" s="33">
        <f>ROUND(MIN(MAX(0,N('Your debts'!$E$8)),D177),2)</f>
      </c>
      <c r="O177" s="33">
        <f>ROUND(MIN(MAX(0,N('Your debts'!$E$9)),E177),2)</f>
      </c>
      <c r="P177" s="33">
        <f>ROUND(MIN(MAX(0,N('Your debts'!$E$10)),F177),2)</f>
      </c>
      <c r="Q177" s="33">
        <f>ROUND(MIN(MAX(0,N('Your debts'!$E$11)),G177),2)</f>
      </c>
      <c r="R177" s="33">
        <f>ROUND(MIN(MAX(0,N('Your debts'!$E$12)),H177),2)</f>
      </c>
      <c r="S177" s="33">
        <f>ROUND(MIN(MAX(0,N('Your debts'!$E$13)),I177),2)</f>
      </c>
      <c r="T177" s="33">
        <f>ROUND(MIN(MAX(0,N('Your debts'!$E$14)),J177),2)</f>
      </c>
      <c r="U177" s="33">
        <f>ROUND(MIN(MAX(0,N('Your debts'!$E$15)),K177),2)</f>
      </c>
      <c r="V177" s="33">
        <f>ROUND(B177-L177,2)</f>
      </c>
      <c r="W177" s="33">
        <f>ROUND(C177-M177,2)</f>
      </c>
      <c r="X177" s="33">
        <f>ROUND(D177-N177,2)</f>
      </c>
      <c r="Y177" s="33">
        <f>ROUND(E177-O177,2)</f>
      </c>
      <c r="Z177" s="33">
        <f>ROUND(F177-P177,2)</f>
      </c>
      <c r="AA177" s="33">
        <f>ROUND(G177-Q177,2)</f>
      </c>
      <c r="AB177" s="33">
        <f>ROUND(H177-R177,2)</f>
      </c>
      <c r="AC177" s="33">
        <f>ROUND(I177-S177,2)</f>
      </c>
      <c r="AD177" s="33">
        <f>ROUND(J177-T177,2)</f>
      </c>
      <c r="AE177" s="33">
        <f>ROUND(K177-U177,2)</f>
      </c>
      <c r="AF177" s="33">
        <f>IF(V177&lt;=0,0,MAX(0,MIN(V177,ROUND($AZ177-SUMPRODUCT($V177:$AE177*($V177:$AE177&gt;0)*(($V$3:$AE$3&gt;V$3)+($V$3:$AE$3=V$3)*($V177:$AE177&lt;V177)+($V$3:$AE$3=V$3)*($V177:$AE177=V177)*($V$2:$AE$2&lt;V$2))),2))))</f>
      </c>
      <c r="AG177" s="33">
        <f>IF(W177&lt;=0,0,MAX(0,MIN(W177,ROUND($AZ177-SUMPRODUCT($V177:$AE177*($V177:$AE177&gt;0)*(($V$3:$AE$3&gt;W$3)+($V$3:$AE$3=W$3)*($V177:$AE177&lt;W177)+($V$3:$AE$3=W$3)*($V177:$AE177=W177)*($V$2:$AE$2&lt;W$2))),2))))</f>
      </c>
      <c r="AH177" s="33">
        <f>IF(X177&lt;=0,0,MAX(0,MIN(X177,ROUND($AZ177-SUMPRODUCT($V177:$AE177*($V177:$AE177&gt;0)*(($V$3:$AE$3&gt;X$3)+($V$3:$AE$3=X$3)*($V177:$AE177&lt;X177)+($V$3:$AE$3=X$3)*($V177:$AE177=X177)*($V$2:$AE$2&lt;X$2))),2))))</f>
      </c>
      <c r="AI177" s="33">
        <f>IF(Y177&lt;=0,0,MAX(0,MIN(Y177,ROUND($AZ177-SUMPRODUCT($V177:$AE177*($V177:$AE177&gt;0)*(($V$3:$AE$3&gt;Y$3)+($V$3:$AE$3=Y$3)*($V177:$AE177&lt;Y177)+($V$3:$AE$3=Y$3)*($V177:$AE177=Y177)*($V$2:$AE$2&lt;Y$2))),2))))</f>
      </c>
      <c r="AJ177" s="33">
        <f>IF(Z177&lt;=0,0,MAX(0,MIN(Z177,ROUND($AZ177-SUMPRODUCT($V177:$AE177*($V177:$AE177&gt;0)*(($V$3:$AE$3&gt;Z$3)+($V$3:$AE$3=Z$3)*($V177:$AE177&lt;Z177)+($V$3:$AE$3=Z$3)*($V177:$AE177=Z177)*($V$2:$AE$2&lt;Z$2))),2))))</f>
      </c>
      <c r="AK177" s="33">
        <f>IF(AA177&lt;=0,0,MAX(0,MIN(AA177,ROUND($AZ177-SUMPRODUCT($V177:$AE177*($V177:$AE177&gt;0)*(($V$3:$AE$3&gt;AA$3)+($V$3:$AE$3=AA$3)*($V177:$AE177&lt;AA177)+($V$3:$AE$3=AA$3)*($V177:$AE177=AA177)*($V$2:$AE$2&lt;AA$2))),2))))</f>
      </c>
      <c r="AL177" s="33">
        <f>IF(AB177&lt;=0,0,MAX(0,MIN(AB177,ROUND($AZ177-SUMPRODUCT($V177:$AE177*($V177:$AE177&gt;0)*(($V$3:$AE$3&gt;AB$3)+($V$3:$AE$3=AB$3)*($V177:$AE177&lt;AB177)+($V$3:$AE$3=AB$3)*($V177:$AE177=AB177)*($V$2:$AE$2&lt;AB$2))),2))))</f>
      </c>
      <c r="AM177" s="33">
        <f>IF(AC177&lt;=0,0,MAX(0,MIN(AC177,ROUND($AZ177-SUMPRODUCT($V177:$AE177*($V177:$AE177&gt;0)*(($V$3:$AE$3&gt;AC$3)+($V$3:$AE$3=AC$3)*($V177:$AE177&lt;AC177)+($V$3:$AE$3=AC$3)*($V177:$AE177=AC177)*($V$2:$AE$2&lt;AC$2))),2))))</f>
      </c>
      <c r="AN177" s="33">
        <f>IF(AD177&lt;=0,0,MAX(0,MIN(AD177,ROUND($AZ177-SUMPRODUCT($V177:$AE177*($V177:$AE177&gt;0)*(($V$3:$AE$3&gt;AD$3)+($V$3:$AE$3=AD$3)*($V177:$AE177&lt;AD177)+($V$3:$AE$3=AD$3)*($V177:$AE177=AD177)*($V$2:$AE$2&lt;AD$2))),2))))</f>
      </c>
      <c r="AO177" s="33">
        <f>IF(AE177&lt;=0,0,MAX(0,MIN(AE177,ROUND($AZ177-SUMPRODUCT($V177:$AE177*($V177:$AE177&gt;0)*(($V$3:$AE$3&gt;AE$3)+($V$3:$AE$3=AE$3)*($V177:$AE177&lt;AE177)+($V$3:$AE$3=AE$3)*($V177:$AE177=AE177)*($V$2:$AE$2&lt;AE$2))),2))))</f>
      </c>
      <c r="AP177" s="33">
        <f>ROUND(V177-AF177,2)</f>
      </c>
      <c r="AQ177" s="33">
        <f>ROUND(W177-AG177,2)</f>
      </c>
      <c r="AR177" s="33">
        <f>ROUND(X177-AH177,2)</f>
      </c>
      <c r="AS177" s="33">
        <f>ROUND(Y177-AI177,2)</f>
      </c>
      <c r="AT177" s="33">
        <f>ROUND(Z177-AJ177,2)</f>
      </c>
      <c r="AU177" s="33">
        <f>ROUND(AA177-AK177,2)</f>
      </c>
      <c r="AV177" s="33">
        <f>ROUND(AB177-AL177,2)</f>
      </c>
      <c r="AW177" s="33">
        <f>ROUND(AC177-AM177,2)</f>
      </c>
      <c r="AX177" s="33">
        <f>ROUND(AD177-AN177,2)</f>
      </c>
      <c r="AY177" s="33">
        <f>ROUND(AE177-AO177,2)</f>
      </c>
      <c r="AZ177" s="33">
        <f>ROUND(MAX(0,'Your debts'!$D$22-SUM($L177:$U177)),2)</f>
      </c>
      <c r="BA177" s="33">
        <f>ROUND(SUM($B177:$K177)-SUM($AP176:$AY176),2)</f>
      </c>
      <c r="BB177" s="33">
        <f>SUM($AP177:$AY177)</f>
      </c>
      <c r="BC177" s="33">
        <f>ROUND(SUM($L177:$U177)+SUM($AF177:$AO177),2)</f>
      </c>
    </row>
    <row r="178" spans="1:55" x14ac:dyDescent="0.25">
      <c r="A178">
        <v>171</v>
      </c>
      <c r="B178" s="33">
        <f>IF(AP177&lt;=0,0,ROUND(AP177+ROUND(AP177*V$3/12,2),2))</f>
      </c>
      <c r="C178" s="33">
        <f>IF(AQ177&lt;=0,0,ROUND(AQ177+ROUND(AQ177*W$3/12,2),2))</f>
      </c>
      <c r="D178" s="33">
        <f>IF(AR177&lt;=0,0,ROUND(AR177+ROUND(AR177*X$3/12,2),2))</f>
      </c>
      <c r="E178" s="33">
        <f>IF(AS177&lt;=0,0,ROUND(AS177+ROUND(AS177*Y$3/12,2),2))</f>
      </c>
      <c r="F178" s="33">
        <f>IF(AT177&lt;=0,0,ROUND(AT177+ROUND(AT177*Z$3/12,2),2))</f>
      </c>
      <c r="G178" s="33">
        <f>IF(AU177&lt;=0,0,ROUND(AU177+ROUND(AU177*AA$3/12,2),2))</f>
      </c>
      <c r="H178" s="33">
        <f>IF(AV177&lt;=0,0,ROUND(AV177+ROUND(AV177*AB$3/12,2),2))</f>
      </c>
      <c r="I178" s="33">
        <f>IF(AW177&lt;=0,0,ROUND(AW177+ROUND(AW177*AC$3/12,2),2))</f>
      </c>
      <c r="J178" s="33">
        <f>IF(AX177&lt;=0,0,ROUND(AX177+ROUND(AX177*AD$3/12,2),2))</f>
      </c>
      <c r="K178" s="33">
        <f>IF(AY177&lt;=0,0,ROUND(AY177+ROUND(AY177*AE$3/12,2),2))</f>
      </c>
      <c r="L178" s="33">
        <f>ROUND(MIN(MAX(0,N('Your debts'!$E$6)),B178),2)</f>
      </c>
      <c r="M178" s="33">
        <f>ROUND(MIN(MAX(0,N('Your debts'!$E$7)),C178),2)</f>
      </c>
      <c r="N178" s="33">
        <f>ROUND(MIN(MAX(0,N('Your debts'!$E$8)),D178),2)</f>
      </c>
      <c r="O178" s="33">
        <f>ROUND(MIN(MAX(0,N('Your debts'!$E$9)),E178),2)</f>
      </c>
      <c r="P178" s="33">
        <f>ROUND(MIN(MAX(0,N('Your debts'!$E$10)),F178),2)</f>
      </c>
      <c r="Q178" s="33">
        <f>ROUND(MIN(MAX(0,N('Your debts'!$E$11)),G178),2)</f>
      </c>
      <c r="R178" s="33">
        <f>ROUND(MIN(MAX(0,N('Your debts'!$E$12)),H178),2)</f>
      </c>
      <c r="S178" s="33">
        <f>ROUND(MIN(MAX(0,N('Your debts'!$E$13)),I178),2)</f>
      </c>
      <c r="T178" s="33">
        <f>ROUND(MIN(MAX(0,N('Your debts'!$E$14)),J178),2)</f>
      </c>
      <c r="U178" s="33">
        <f>ROUND(MIN(MAX(0,N('Your debts'!$E$15)),K178),2)</f>
      </c>
      <c r="V178" s="33">
        <f>ROUND(B178-L178,2)</f>
      </c>
      <c r="W178" s="33">
        <f>ROUND(C178-M178,2)</f>
      </c>
      <c r="X178" s="33">
        <f>ROUND(D178-N178,2)</f>
      </c>
      <c r="Y178" s="33">
        <f>ROUND(E178-O178,2)</f>
      </c>
      <c r="Z178" s="33">
        <f>ROUND(F178-P178,2)</f>
      </c>
      <c r="AA178" s="33">
        <f>ROUND(G178-Q178,2)</f>
      </c>
      <c r="AB178" s="33">
        <f>ROUND(H178-R178,2)</f>
      </c>
      <c r="AC178" s="33">
        <f>ROUND(I178-S178,2)</f>
      </c>
      <c r="AD178" s="33">
        <f>ROUND(J178-T178,2)</f>
      </c>
      <c r="AE178" s="33">
        <f>ROUND(K178-U178,2)</f>
      </c>
      <c r="AF178" s="33">
        <f>IF(V178&lt;=0,0,MAX(0,MIN(V178,ROUND($AZ178-SUMPRODUCT($V178:$AE178*($V178:$AE178&gt;0)*(($V$3:$AE$3&gt;V$3)+($V$3:$AE$3=V$3)*($V178:$AE178&lt;V178)+($V$3:$AE$3=V$3)*($V178:$AE178=V178)*($V$2:$AE$2&lt;V$2))),2))))</f>
      </c>
      <c r="AG178" s="33">
        <f>IF(W178&lt;=0,0,MAX(0,MIN(W178,ROUND($AZ178-SUMPRODUCT($V178:$AE178*($V178:$AE178&gt;0)*(($V$3:$AE$3&gt;W$3)+($V$3:$AE$3=W$3)*($V178:$AE178&lt;W178)+($V$3:$AE$3=W$3)*($V178:$AE178=W178)*($V$2:$AE$2&lt;W$2))),2))))</f>
      </c>
      <c r="AH178" s="33">
        <f>IF(X178&lt;=0,0,MAX(0,MIN(X178,ROUND($AZ178-SUMPRODUCT($V178:$AE178*($V178:$AE178&gt;0)*(($V$3:$AE$3&gt;X$3)+($V$3:$AE$3=X$3)*($V178:$AE178&lt;X178)+($V$3:$AE$3=X$3)*($V178:$AE178=X178)*($V$2:$AE$2&lt;X$2))),2))))</f>
      </c>
      <c r="AI178" s="33">
        <f>IF(Y178&lt;=0,0,MAX(0,MIN(Y178,ROUND($AZ178-SUMPRODUCT($V178:$AE178*($V178:$AE178&gt;0)*(($V$3:$AE$3&gt;Y$3)+($V$3:$AE$3=Y$3)*($V178:$AE178&lt;Y178)+($V$3:$AE$3=Y$3)*($V178:$AE178=Y178)*($V$2:$AE$2&lt;Y$2))),2))))</f>
      </c>
      <c r="AJ178" s="33">
        <f>IF(Z178&lt;=0,0,MAX(0,MIN(Z178,ROUND($AZ178-SUMPRODUCT($V178:$AE178*($V178:$AE178&gt;0)*(($V$3:$AE$3&gt;Z$3)+($V$3:$AE$3=Z$3)*($V178:$AE178&lt;Z178)+($V$3:$AE$3=Z$3)*($V178:$AE178=Z178)*($V$2:$AE$2&lt;Z$2))),2))))</f>
      </c>
      <c r="AK178" s="33">
        <f>IF(AA178&lt;=0,0,MAX(0,MIN(AA178,ROUND($AZ178-SUMPRODUCT($V178:$AE178*($V178:$AE178&gt;0)*(($V$3:$AE$3&gt;AA$3)+($V$3:$AE$3=AA$3)*($V178:$AE178&lt;AA178)+($V$3:$AE$3=AA$3)*($V178:$AE178=AA178)*($V$2:$AE$2&lt;AA$2))),2))))</f>
      </c>
      <c r="AL178" s="33">
        <f>IF(AB178&lt;=0,0,MAX(0,MIN(AB178,ROUND($AZ178-SUMPRODUCT($V178:$AE178*($V178:$AE178&gt;0)*(($V$3:$AE$3&gt;AB$3)+($V$3:$AE$3=AB$3)*($V178:$AE178&lt;AB178)+($V$3:$AE$3=AB$3)*($V178:$AE178=AB178)*($V$2:$AE$2&lt;AB$2))),2))))</f>
      </c>
      <c r="AM178" s="33">
        <f>IF(AC178&lt;=0,0,MAX(0,MIN(AC178,ROUND($AZ178-SUMPRODUCT($V178:$AE178*($V178:$AE178&gt;0)*(($V$3:$AE$3&gt;AC$3)+($V$3:$AE$3=AC$3)*($V178:$AE178&lt;AC178)+($V$3:$AE$3=AC$3)*($V178:$AE178=AC178)*($V$2:$AE$2&lt;AC$2))),2))))</f>
      </c>
      <c r="AN178" s="33">
        <f>IF(AD178&lt;=0,0,MAX(0,MIN(AD178,ROUND($AZ178-SUMPRODUCT($V178:$AE178*($V178:$AE178&gt;0)*(($V$3:$AE$3&gt;AD$3)+($V$3:$AE$3=AD$3)*($V178:$AE178&lt;AD178)+($V$3:$AE$3=AD$3)*($V178:$AE178=AD178)*($V$2:$AE$2&lt;AD$2))),2))))</f>
      </c>
      <c r="AO178" s="33">
        <f>IF(AE178&lt;=0,0,MAX(0,MIN(AE178,ROUND($AZ178-SUMPRODUCT($V178:$AE178*($V178:$AE178&gt;0)*(($V$3:$AE$3&gt;AE$3)+($V$3:$AE$3=AE$3)*($V178:$AE178&lt;AE178)+($V$3:$AE$3=AE$3)*($V178:$AE178=AE178)*($V$2:$AE$2&lt;AE$2))),2))))</f>
      </c>
      <c r="AP178" s="33">
        <f>ROUND(V178-AF178,2)</f>
      </c>
      <c r="AQ178" s="33">
        <f>ROUND(W178-AG178,2)</f>
      </c>
      <c r="AR178" s="33">
        <f>ROUND(X178-AH178,2)</f>
      </c>
      <c r="AS178" s="33">
        <f>ROUND(Y178-AI178,2)</f>
      </c>
      <c r="AT178" s="33">
        <f>ROUND(Z178-AJ178,2)</f>
      </c>
      <c r="AU178" s="33">
        <f>ROUND(AA178-AK178,2)</f>
      </c>
      <c r="AV178" s="33">
        <f>ROUND(AB178-AL178,2)</f>
      </c>
      <c r="AW178" s="33">
        <f>ROUND(AC178-AM178,2)</f>
      </c>
      <c r="AX178" s="33">
        <f>ROUND(AD178-AN178,2)</f>
      </c>
      <c r="AY178" s="33">
        <f>ROUND(AE178-AO178,2)</f>
      </c>
      <c r="AZ178" s="33">
        <f>ROUND(MAX(0,'Your debts'!$D$22-SUM($L178:$U178)),2)</f>
      </c>
      <c r="BA178" s="33">
        <f>ROUND(SUM($B178:$K178)-SUM($AP177:$AY177),2)</f>
      </c>
      <c r="BB178" s="33">
        <f>SUM($AP178:$AY178)</f>
      </c>
      <c r="BC178" s="33">
        <f>ROUND(SUM($L178:$U178)+SUM($AF178:$AO178),2)</f>
      </c>
    </row>
    <row r="179" spans="1:55" x14ac:dyDescent="0.25">
      <c r="A179">
        <v>172</v>
      </c>
      <c r="B179" s="33">
        <f>IF(AP178&lt;=0,0,ROUND(AP178+ROUND(AP178*V$3/12,2),2))</f>
      </c>
      <c r="C179" s="33">
        <f>IF(AQ178&lt;=0,0,ROUND(AQ178+ROUND(AQ178*W$3/12,2),2))</f>
      </c>
      <c r="D179" s="33">
        <f>IF(AR178&lt;=0,0,ROUND(AR178+ROUND(AR178*X$3/12,2),2))</f>
      </c>
      <c r="E179" s="33">
        <f>IF(AS178&lt;=0,0,ROUND(AS178+ROUND(AS178*Y$3/12,2),2))</f>
      </c>
      <c r="F179" s="33">
        <f>IF(AT178&lt;=0,0,ROUND(AT178+ROUND(AT178*Z$3/12,2),2))</f>
      </c>
      <c r="G179" s="33">
        <f>IF(AU178&lt;=0,0,ROUND(AU178+ROUND(AU178*AA$3/12,2),2))</f>
      </c>
      <c r="H179" s="33">
        <f>IF(AV178&lt;=0,0,ROUND(AV178+ROUND(AV178*AB$3/12,2),2))</f>
      </c>
      <c r="I179" s="33">
        <f>IF(AW178&lt;=0,0,ROUND(AW178+ROUND(AW178*AC$3/12,2),2))</f>
      </c>
      <c r="J179" s="33">
        <f>IF(AX178&lt;=0,0,ROUND(AX178+ROUND(AX178*AD$3/12,2),2))</f>
      </c>
      <c r="K179" s="33">
        <f>IF(AY178&lt;=0,0,ROUND(AY178+ROUND(AY178*AE$3/12,2),2))</f>
      </c>
      <c r="L179" s="33">
        <f>ROUND(MIN(MAX(0,N('Your debts'!$E$6)),B179),2)</f>
      </c>
      <c r="M179" s="33">
        <f>ROUND(MIN(MAX(0,N('Your debts'!$E$7)),C179),2)</f>
      </c>
      <c r="N179" s="33">
        <f>ROUND(MIN(MAX(0,N('Your debts'!$E$8)),D179),2)</f>
      </c>
      <c r="O179" s="33">
        <f>ROUND(MIN(MAX(0,N('Your debts'!$E$9)),E179),2)</f>
      </c>
      <c r="P179" s="33">
        <f>ROUND(MIN(MAX(0,N('Your debts'!$E$10)),F179),2)</f>
      </c>
      <c r="Q179" s="33">
        <f>ROUND(MIN(MAX(0,N('Your debts'!$E$11)),G179),2)</f>
      </c>
      <c r="R179" s="33">
        <f>ROUND(MIN(MAX(0,N('Your debts'!$E$12)),H179),2)</f>
      </c>
      <c r="S179" s="33">
        <f>ROUND(MIN(MAX(0,N('Your debts'!$E$13)),I179),2)</f>
      </c>
      <c r="T179" s="33">
        <f>ROUND(MIN(MAX(0,N('Your debts'!$E$14)),J179),2)</f>
      </c>
      <c r="U179" s="33">
        <f>ROUND(MIN(MAX(0,N('Your debts'!$E$15)),K179),2)</f>
      </c>
      <c r="V179" s="33">
        <f>ROUND(B179-L179,2)</f>
      </c>
      <c r="W179" s="33">
        <f>ROUND(C179-M179,2)</f>
      </c>
      <c r="X179" s="33">
        <f>ROUND(D179-N179,2)</f>
      </c>
      <c r="Y179" s="33">
        <f>ROUND(E179-O179,2)</f>
      </c>
      <c r="Z179" s="33">
        <f>ROUND(F179-P179,2)</f>
      </c>
      <c r="AA179" s="33">
        <f>ROUND(G179-Q179,2)</f>
      </c>
      <c r="AB179" s="33">
        <f>ROUND(H179-R179,2)</f>
      </c>
      <c r="AC179" s="33">
        <f>ROUND(I179-S179,2)</f>
      </c>
      <c r="AD179" s="33">
        <f>ROUND(J179-T179,2)</f>
      </c>
      <c r="AE179" s="33">
        <f>ROUND(K179-U179,2)</f>
      </c>
      <c r="AF179" s="33">
        <f>IF(V179&lt;=0,0,MAX(0,MIN(V179,ROUND($AZ179-SUMPRODUCT($V179:$AE179*($V179:$AE179&gt;0)*(($V$3:$AE$3&gt;V$3)+($V$3:$AE$3=V$3)*($V179:$AE179&lt;V179)+($V$3:$AE$3=V$3)*($V179:$AE179=V179)*($V$2:$AE$2&lt;V$2))),2))))</f>
      </c>
      <c r="AG179" s="33">
        <f>IF(W179&lt;=0,0,MAX(0,MIN(W179,ROUND($AZ179-SUMPRODUCT($V179:$AE179*($V179:$AE179&gt;0)*(($V$3:$AE$3&gt;W$3)+($V$3:$AE$3=W$3)*($V179:$AE179&lt;W179)+($V$3:$AE$3=W$3)*($V179:$AE179=W179)*($V$2:$AE$2&lt;W$2))),2))))</f>
      </c>
      <c r="AH179" s="33">
        <f>IF(X179&lt;=0,0,MAX(0,MIN(X179,ROUND($AZ179-SUMPRODUCT($V179:$AE179*($V179:$AE179&gt;0)*(($V$3:$AE$3&gt;X$3)+($V$3:$AE$3=X$3)*($V179:$AE179&lt;X179)+($V$3:$AE$3=X$3)*($V179:$AE179=X179)*($V$2:$AE$2&lt;X$2))),2))))</f>
      </c>
      <c r="AI179" s="33">
        <f>IF(Y179&lt;=0,0,MAX(0,MIN(Y179,ROUND($AZ179-SUMPRODUCT($V179:$AE179*($V179:$AE179&gt;0)*(($V$3:$AE$3&gt;Y$3)+($V$3:$AE$3=Y$3)*($V179:$AE179&lt;Y179)+($V$3:$AE$3=Y$3)*($V179:$AE179=Y179)*($V$2:$AE$2&lt;Y$2))),2))))</f>
      </c>
      <c r="AJ179" s="33">
        <f>IF(Z179&lt;=0,0,MAX(0,MIN(Z179,ROUND($AZ179-SUMPRODUCT($V179:$AE179*($V179:$AE179&gt;0)*(($V$3:$AE$3&gt;Z$3)+($V$3:$AE$3=Z$3)*($V179:$AE179&lt;Z179)+($V$3:$AE$3=Z$3)*($V179:$AE179=Z179)*($V$2:$AE$2&lt;Z$2))),2))))</f>
      </c>
      <c r="AK179" s="33">
        <f>IF(AA179&lt;=0,0,MAX(0,MIN(AA179,ROUND($AZ179-SUMPRODUCT($V179:$AE179*($V179:$AE179&gt;0)*(($V$3:$AE$3&gt;AA$3)+($V$3:$AE$3=AA$3)*($V179:$AE179&lt;AA179)+($V$3:$AE$3=AA$3)*($V179:$AE179=AA179)*($V$2:$AE$2&lt;AA$2))),2))))</f>
      </c>
      <c r="AL179" s="33">
        <f>IF(AB179&lt;=0,0,MAX(0,MIN(AB179,ROUND($AZ179-SUMPRODUCT($V179:$AE179*($V179:$AE179&gt;0)*(($V$3:$AE$3&gt;AB$3)+($V$3:$AE$3=AB$3)*($V179:$AE179&lt;AB179)+($V$3:$AE$3=AB$3)*($V179:$AE179=AB179)*($V$2:$AE$2&lt;AB$2))),2))))</f>
      </c>
      <c r="AM179" s="33">
        <f>IF(AC179&lt;=0,0,MAX(0,MIN(AC179,ROUND($AZ179-SUMPRODUCT($V179:$AE179*($V179:$AE179&gt;0)*(($V$3:$AE$3&gt;AC$3)+($V$3:$AE$3=AC$3)*($V179:$AE179&lt;AC179)+($V$3:$AE$3=AC$3)*($V179:$AE179=AC179)*($V$2:$AE$2&lt;AC$2))),2))))</f>
      </c>
      <c r="AN179" s="33">
        <f>IF(AD179&lt;=0,0,MAX(0,MIN(AD179,ROUND($AZ179-SUMPRODUCT($V179:$AE179*($V179:$AE179&gt;0)*(($V$3:$AE$3&gt;AD$3)+($V$3:$AE$3=AD$3)*($V179:$AE179&lt;AD179)+($V$3:$AE$3=AD$3)*($V179:$AE179=AD179)*($V$2:$AE$2&lt;AD$2))),2))))</f>
      </c>
      <c r="AO179" s="33">
        <f>IF(AE179&lt;=0,0,MAX(0,MIN(AE179,ROUND($AZ179-SUMPRODUCT($V179:$AE179*($V179:$AE179&gt;0)*(($V$3:$AE$3&gt;AE$3)+($V$3:$AE$3=AE$3)*($V179:$AE179&lt;AE179)+($V$3:$AE$3=AE$3)*($V179:$AE179=AE179)*($V$2:$AE$2&lt;AE$2))),2))))</f>
      </c>
      <c r="AP179" s="33">
        <f>ROUND(V179-AF179,2)</f>
      </c>
      <c r="AQ179" s="33">
        <f>ROUND(W179-AG179,2)</f>
      </c>
      <c r="AR179" s="33">
        <f>ROUND(X179-AH179,2)</f>
      </c>
      <c r="AS179" s="33">
        <f>ROUND(Y179-AI179,2)</f>
      </c>
      <c r="AT179" s="33">
        <f>ROUND(Z179-AJ179,2)</f>
      </c>
      <c r="AU179" s="33">
        <f>ROUND(AA179-AK179,2)</f>
      </c>
      <c r="AV179" s="33">
        <f>ROUND(AB179-AL179,2)</f>
      </c>
      <c r="AW179" s="33">
        <f>ROUND(AC179-AM179,2)</f>
      </c>
      <c r="AX179" s="33">
        <f>ROUND(AD179-AN179,2)</f>
      </c>
      <c r="AY179" s="33">
        <f>ROUND(AE179-AO179,2)</f>
      </c>
      <c r="AZ179" s="33">
        <f>ROUND(MAX(0,'Your debts'!$D$22-SUM($L179:$U179)),2)</f>
      </c>
      <c r="BA179" s="33">
        <f>ROUND(SUM($B179:$K179)-SUM($AP178:$AY178),2)</f>
      </c>
      <c r="BB179" s="33">
        <f>SUM($AP179:$AY179)</f>
      </c>
      <c r="BC179" s="33">
        <f>ROUND(SUM($L179:$U179)+SUM($AF179:$AO179),2)</f>
      </c>
    </row>
    <row r="180" spans="1:55" x14ac:dyDescent="0.25">
      <c r="A180">
        <v>173</v>
      </c>
      <c r="B180" s="33">
        <f>IF(AP179&lt;=0,0,ROUND(AP179+ROUND(AP179*V$3/12,2),2))</f>
      </c>
      <c r="C180" s="33">
        <f>IF(AQ179&lt;=0,0,ROUND(AQ179+ROUND(AQ179*W$3/12,2),2))</f>
      </c>
      <c r="D180" s="33">
        <f>IF(AR179&lt;=0,0,ROUND(AR179+ROUND(AR179*X$3/12,2),2))</f>
      </c>
      <c r="E180" s="33">
        <f>IF(AS179&lt;=0,0,ROUND(AS179+ROUND(AS179*Y$3/12,2),2))</f>
      </c>
      <c r="F180" s="33">
        <f>IF(AT179&lt;=0,0,ROUND(AT179+ROUND(AT179*Z$3/12,2),2))</f>
      </c>
      <c r="G180" s="33">
        <f>IF(AU179&lt;=0,0,ROUND(AU179+ROUND(AU179*AA$3/12,2),2))</f>
      </c>
      <c r="H180" s="33">
        <f>IF(AV179&lt;=0,0,ROUND(AV179+ROUND(AV179*AB$3/12,2),2))</f>
      </c>
      <c r="I180" s="33">
        <f>IF(AW179&lt;=0,0,ROUND(AW179+ROUND(AW179*AC$3/12,2),2))</f>
      </c>
      <c r="J180" s="33">
        <f>IF(AX179&lt;=0,0,ROUND(AX179+ROUND(AX179*AD$3/12,2),2))</f>
      </c>
      <c r="K180" s="33">
        <f>IF(AY179&lt;=0,0,ROUND(AY179+ROUND(AY179*AE$3/12,2),2))</f>
      </c>
      <c r="L180" s="33">
        <f>ROUND(MIN(MAX(0,N('Your debts'!$E$6)),B180),2)</f>
      </c>
      <c r="M180" s="33">
        <f>ROUND(MIN(MAX(0,N('Your debts'!$E$7)),C180),2)</f>
      </c>
      <c r="N180" s="33">
        <f>ROUND(MIN(MAX(0,N('Your debts'!$E$8)),D180),2)</f>
      </c>
      <c r="O180" s="33">
        <f>ROUND(MIN(MAX(0,N('Your debts'!$E$9)),E180),2)</f>
      </c>
      <c r="P180" s="33">
        <f>ROUND(MIN(MAX(0,N('Your debts'!$E$10)),F180),2)</f>
      </c>
      <c r="Q180" s="33">
        <f>ROUND(MIN(MAX(0,N('Your debts'!$E$11)),G180),2)</f>
      </c>
      <c r="R180" s="33">
        <f>ROUND(MIN(MAX(0,N('Your debts'!$E$12)),H180),2)</f>
      </c>
      <c r="S180" s="33">
        <f>ROUND(MIN(MAX(0,N('Your debts'!$E$13)),I180),2)</f>
      </c>
      <c r="T180" s="33">
        <f>ROUND(MIN(MAX(0,N('Your debts'!$E$14)),J180),2)</f>
      </c>
      <c r="U180" s="33">
        <f>ROUND(MIN(MAX(0,N('Your debts'!$E$15)),K180),2)</f>
      </c>
      <c r="V180" s="33">
        <f>ROUND(B180-L180,2)</f>
      </c>
      <c r="W180" s="33">
        <f>ROUND(C180-M180,2)</f>
      </c>
      <c r="X180" s="33">
        <f>ROUND(D180-N180,2)</f>
      </c>
      <c r="Y180" s="33">
        <f>ROUND(E180-O180,2)</f>
      </c>
      <c r="Z180" s="33">
        <f>ROUND(F180-P180,2)</f>
      </c>
      <c r="AA180" s="33">
        <f>ROUND(G180-Q180,2)</f>
      </c>
      <c r="AB180" s="33">
        <f>ROUND(H180-R180,2)</f>
      </c>
      <c r="AC180" s="33">
        <f>ROUND(I180-S180,2)</f>
      </c>
      <c r="AD180" s="33">
        <f>ROUND(J180-T180,2)</f>
      </c>
      <c r="AE180" s="33">
        <f>ROUND(K180-U180,2)</f>
      </c>
      <c r="AF180" s="33">
        <f>IF(V180&lt;=0,0,MAX(0,MIN(V180,ROUND($AZ180-SUMPRODUCT($V180:$AE180*($V180:$AE180&gt;0)*(($V$3:$AE$3&gt;V$3)+($V$3:$AE$3=V$3)*($V180:$AE180&lt;V180)+($V$3:$AE$3=V$3)*($V180:$AE180=V180)*($V$2:$AE$2&lt;V$2))),2))))</f>
      </c>
      <c r="AG180" s="33">
        <f>IF(W180&lt;=0,0,MAX(0,MIN(W180,ROUND($AZ180-SUMPRODUCT($V180:$AE180*($V180:$AE180&gt;0)*(($V$3:$AE$3&gt;W$3)+($V$3:$AE$3=W$3)*($V180:$AE180&lt;W180)+($V$3:$AE$3=W$3)*($V180:$AE180=W180)*($V$2:$AE$2&lt;W$2))),2))))</f>
      </c>
      <c r="AH180" s="33">
        <f>IF(X180&lt;=0,0,MAX(0,MIN(X180,ROUND($AZ180-SUMPRODUCT($V180:$AE180*($V180:$AE180&gt;0)*(($V$3:$AE$3&gt;X$3)+($V$3:$AE$3=X$3)*($V180:$AE180&lt;X180)+($V$3:$AE$3=X$3)*($V180:$AE180=X180)*($V$2:$AE$2&lt;X$2))),2))))</f>
      </c>
      <c r="AI180" s="33">
        <f>IF(Y180&lt;=0,0,MAX(0,MIN(Y180,ROUND($AZ180-SUMPRODUCT($V180:$AE180*($V180:$AE180&gt;0)*(($V$3:$AE$3&gt;Y$3)+($V$3:$AE$3=Y$3)*($V180:$AE180&lt;Y180)+($V$3:$AE$3=Y$3)*($V180:$AE180=Y180)*($V$2:$AE$2&lt;Y$2))),2))))</f>
      </c>
      <c r="AJ180" s="33">
        <f>IF(Z180&lt;=0,0,MAX(0,MIN(Z180,ROUND($AZ180-SUMPRODUCT($V180:$AE180*($V180:$AE180&gt;0)*(($V$3:$AE$3&gt;Z$3)+($V$3:$AE$3=Z$3)*($V180:$AE180&lt;Z180)+($V$3:$AE$3=Z$3)*($V180:$AE180=Z180)*($V$2:$AE$2&lt;Z$2))),2))))</f>
      </c>
      <c r="AK180" s="33">
        <f>IF(AA180&lt;=0,0,MAX(0,MIN(AA180,ROUND($AZ180-SUMPRODUCT($V180:$AE180*($V180:$AE180&gt;0)*(($V$3:$AE$3&gt;AA$3)+($V$3:$AE$3=AA$3)*($V180:$AE180&lt;AA180)+($V$3:$AE$3=AA$3)*($V180:$AE180=AA180)*($V$2:$AE$2&lt;AA$2))),2))))</f>
      </c>
      <c r="AL180" s="33">
        <f>IF(AB180&lt;=0,0,MAX(0,MIN(AB180,ROUND($AZ180-SUMPRODUCT($V180:$AE180*($V180:$AE180&gt;0)*(($V$3:$AE$3&gt;AB$3)+($V$3:$AE$3=AB$3)*($V180:$AE180&lt;AB180)+($V$3:$AE$3=AB$3)*($V180:$AE180=AB180)*($V$2:$AE$2&lt;AB$2))),2))))</f>
      </c>
      <c r="AM180" s="33">
        <f>IF(AC180&lt;=0,0,MAX(0,MIN(AC180,ROUND($AZ180-SUMPRODUCT($V180:$AE180*($V180:$AE180&gt;0)*(($V$3:$AE$3&gt;AC$3)+($V$3:$AE$3=AC$3)*($V180:$AE180&lt;AC180)+($V$3:$AE$3=AC$3)*($V180:$AE180=AC180)*($V$2:$AE$2&lt;AC$2))),2))))</f>
      </c>
      <c r="AN180" s="33">
        <f>IF(AD180&lt;=0,0,MAX(0,MIN(AD180,ROUND($AZ180-SUMPRODUCT($V180:$AE180*($V180:$AE180&gt;0)*(($V$3:$AE$3&gt;AD$3)+($V$3:$AE$3=AD$3)*($V180:$AE180&lt;AD180)+($V$3:$AE$3=AD$3)*($V180:$AE180=AD180)*($V$2:$AE$2&lt;AD$2))),2))))</f>
      </c>
      <c r="AO180" s="33">
        <f>IF(AE180&lt;=0,0,MAX(0,MIN(AE180,ROUND($AZ180-SUMPRODUCT($V180:$AE180*($V180:$AE180&gt;0)*(($V$3:$AE$3&gt;AE$3)+($V$3:$AE$3=AE$3)*($V180:$AE180&lt;AE180)+($V$3:$AE$3=AE$3)*($V180:$AE180=AE180)*($V$2:$AE$2&lt;AE$2))),2))))</f>
      </c>
      <c r="AP180" s="33">
        <f>ROUND(V180-AF180,2)</f>
      </c>
      <c r="AQ180" s="33">
        <f>ROUND(W180-AG180,2)</f>
      </c>
      <c r="AR180" s="33">
        <f>ROUND(X180-AH180,2)</f>
      </c>
      <c r="AS180" s="33">
        <f>ROUND(Y180-AI180,2)</f>
      </c>
      <c r="AT180" s="33">
        <f>ROUND(Z180-AJ180,2)</f>
      </c>
      <c r="AU180" s="33">
        <f>ROUND(AA180-AK180,2)</f>
      </c>
      <c r="AV180" s="33">
        <f>ROUND(AB180-AL180,2)</f>
      </c>
      <c r="AW180" s="33">
        <f>ROUND(AC180-AM180,2)</f>
      </c>
      <c r="AX180" s="33">
        <f>ROUND(AD180-AN180,2)</f>
      </c>
      <c r="AY180" s="33">
        <f>ROUND(AE180-AO180,2)</f>
      </c>
      <c r="AZ180" s="33">
        <f>ROUND(MAX(0,'Your debts'!$D$22-SUM($L180:$U180)),2)</f>
      </c>
      <c r="BA180" s="33">
        <f>ROUND(SUM($B180:$K180)-SUM($AP179:$AY179),2)</f>
      </c>
      <c r="BB180" s="33">
        <f>SUM($AP180:$AY180)</f>
      </c>
      <c r="BC180" s="33">
        <f>ROUND(SUM($L180:$U180)+SUM($AF180:$AO180),2)</f>
      </c>
    </row>
    <row r="181" spans="1:55" x14ac:dyDescent="0.25">
      <c r="A181">
        <v>174</v>
      </c>
      <c r="B181" s="33">
        <f>IF(AP180&lt;=0,0,ROUND(AP180+ROUND(AP180*V$3/12,2),2))</f>
      </c>
      <c r="C181" s="33">
        <f>IF(AQ180&lt;=0,0,ROUND(AQ180+ROUND(AQ180*W$3/12,2),2))</f>
      </c>
      <c r="D181" s="33">
        <f>IF(AR180&lt;=0,0,ROUND(AR180+ROUND(AR180*X$3/12,2),2))</f>
      </c>
      <c r="E181" s="33">
        <f>IF(AS180&lt;=0,0,ROUND(AS180+ROUND(AS180*Y$3/12,2),2))</f>
      </c>
      <c r="F181" s="33">
        <f>IF(AT180&lt;=0,0,ROUND(AT180+ROUND(AT180*Z$3/12,2),2))</f>
      </c>
      <c r="G181" s="33">
        <f>IF(AU180&lt;=0,0,ROUND(AU180+ROUND(AU180*AA$3/12,2),2))</f>
      </c>
      <c r="H181" s="33">
        <f>IF(AV180&lt;=0,0,ROUND(AV180+ROUND(AV180*AB$3/12,2),2))</f>
      </c>
      <c r="I181" s="33">
        <f>IF(AW180&lt;=0,0,ROUND(AW180+ROUND(AW180*AC$3/12,2),2))</f>
      </c>
      <c r="J181" s="33">
        <f>IF(AX180&lt;=0,0,ROUND(AX180+ROUND(AX180*AD$3/12,2),2))</f>
      </c>
      <c r="K181" s="33">
        <f>IF(AY180&lt;=0,0,ROUND(AY180+ROUND(AY180*AE$3/12,2),2))</f>
      </c>
      <c r="L181" s="33">
        <f>ROUND(MIN(MAX(0,N('Your debts'!$E$6)),B181),2)</f>
      </c>
      <c r="M181" s="33">
        <f>ROUND(MIN(MAX(0,N('Your debts'!$E$7)),C181),2)</f>
      </c>
      <c r="N181" s="33">
        <f>ROUND(MIN(MAX(0,N('Your debts'!$E$8)),D181),2)</f>
      </c>
      <c r="O181" s="33">
        <f>ROUND(MIN(MAX(0,N('Your debts'!$E$9)),E181),2)</f>
      </c>
      <c r="P181" s="33">
        <f>ROUND(MIN(MAX(0,N('Your debts'!$E$10)),F181),2)</f>
      </c>
      <c r="Q181" s="33">
        <f>ROUND(MIN(MAX(0,N('Your debts'!$E$11)),G181),2)</f>
      </c>
      <c r="R181" s="33">
        <f>ROUND(MIN(MAX(0,N('Your debts'!$E$12)),H181),2)</f>
      </c>
      <c r="S181" s="33">
        <f>ROUND(MIN(MAX(0,N('Your debts'!$E$13)),I181),2)</f>
      </c>
      <c r="T181" s="33">
        <f>ROUND(MIN(MAX(0,N('Your debts'!$E$14)),J181),2)</f>
      </c>
      <c r="U181" s="33">
        <f>ROUND(MIN(MAX(0,N('Your debts'!$E$15)),K181),2)</f>
      </c>
      <c r="V181" s="33">
        <f>ROUND(B181-L181,2)</f>
      </c>
      <c r="W181" s="33">
        <f>ROUND(C181-M181,2)</f>
      </c>
      <c r="X181" s="33">
        <f>ROUND(D181-N181,2)</f>
      </c>
      <c r="Y181" s="33">
        <f>ROUND(E181-O181,2)</f>
      </c>
      <c r="Z181" s="33">
        <f>ROUND(F181-P181,2)</f>
      </c>
      <c r="AA181" s="33">
        <f>ROUND(G181-Q181,2)</f>
      </c>
      <c r="AB181" s="33">
        <f>ROUND(H181-R181,2)</f>
      </c>
      <c r="AC181" s="33">
        <f>ROUND(I181-S181,2)</f>
      </c>
      <c r="AD181" s="33">
        <f>ROUND(J181-T181,2)</f>
      </c>
      <c r="AE181" s="33">
        <f>ROUND(K181-U181,2)</f>
      </c>
      <c r="AF181" s="33">
        <f>IF(V181&lt;=0,0,MAX(0,MIN(V181,ROUND($AZ181-SUMPRODUCT($V181:$AE181*($V181:$AE181&gt;0)*(($V$3:$AE$3&gt;V$3)+($V$3:$AE$3=V$3)*($V181:$AE181&lt;V181)+($V$3:$AE$3=V$3)*($V181:$AE181=V181)*($V$2:$AE$2&lt;V$2))),2))))</f>
      </c>
      <c r="AG181" s="33">
        <f>IF(W181&lt;=0,0,MAX(0,MIN(W181,ROUND($AZ181-SUMPRODUCT($V181:$AE181*($V181:$AE181&gt;0)*(($V$3:$AE$3&gt;W$3)+($V$3:$AE$3=W$3)*($V181:$AE181&lt;W181)+($V$3:$AE$3=W$3)*($V181:$AE181=W181)*($V$2:$AE$2&lt;W$2))),2))))</f>
      </c>
      <c r="AH181" s="33">
        <f>IF(X181&lt;=0,0,MAX(0,MIN(X181,ROUND($AZ181-SUMPRODUCT($V181:$AE181*($V181:$AE181&gt;0)*(($V$3:$AE$3&gt;X$3)+($V$3:$AE$3=X$3)*($V181:$AE181&lt;X181)+($V$3:$AE$3=X$3)*($V181:$AE181=X181)*($V$2:$AE$2&lt;X$2))),2))))</f>
      </c>
      <c r="AI181" s="33">
        <f>IF(Y181&lt;=0,0,MAX(0,MIN(Y181,ROUND($AZ181-SUMPRODUCT($V181:$AE181*($V181:$AE181&gt;0)*(($V$3:$AE$3&gt;Y$3)+($V$3:$AE$3=Y$3)*($V181:$AE181&lt;Y181)+($V$3:$AE$3=Y$3)*($V181:$AE181=Y181)*($V$2:$AE$2&lt;Y$2))),2))))</f>
      </c>
      <c r="AJ181" s="33">
        <f>IF(Z181&lt;=0,0,MAX(0,MIN(Z181,ROUND($AZ181-SUMPRODUCT($V181:$AE181*($V181:$AE181&gt;0)*(($V$3:$AE$3&gt;Z$3)+($V$3:$AE$3=Z$3)*($V181:$AE181&lt;Z181)+($V$3:$AE$3=Z$3)*($V181:$AE181=Z181)*($V$2:$AE$2&lt;Z$2))),2))))</f>
      </c>
      <c r="AK181" s="33">
        <f>IF(AA181&lt;=0,0,MAX(0,MIN(AA181,ROUND($AZ181-SUMPRODUCT($V181:$AE181*($V181:$AE181&gt;0)*(($V$3:$AE$3&gt;AA$3)+($V$3:$AE$3=AA$3)*($V181:$AE181&lt;AA181)+($V$3:$AE$3=AA$3)*($V181:$AE181=AA181)*($V$2:$AE$2&lt;AA$2))),2))))</f>
      </c>
      <c r="AL181" s="33">
        <f>IF(AB181&lt;=0,0,MAX(0,MIN(AB181,ROUND($AZ181-SUMPRODUCT($V181:$AE181*($V181:$AE181&gt;0)*(($V$3:$AE$3&gt;AB$3)+($V$3:$AE$3=AB$3)*($V181:$AE181&lt;AB181)+($V$3:$AE$3=AB$3)*($V181:$AE181=AB181)*($V$2:$AE$2&lt;AB$2))),2))))</f>
      </c>
      <c r="AM181" s="33">
        <f>IF(AC181&lt;=0,0,MAX(0,MIN(AC181,ROUND($AZ181-SUMPRODUCT($V181:$AE181*($V181:$AE181&gt;0)*(($V$3:$AE$3&gt;AC$3)+($V$3:$AE$3=AC$3)*($V181:$AE181&lt;AC181)+($V$3:$AE$3=AC$3)*($V181:$AE181=AC181)*($V$2:$AE$2&lt;AC$2))),2))))</f>
      </c>
      <c r="AN181" s="33">
        <f>IF(AD181&lt;=0,0,MAX(0,MIN(AD181,ROUND($AZ181-SUMPRODUCT($V181:$AE181*($V181:$AE181&gt;0)*(($V$3:$AE$3&gt;AD$3)+($V$3:$AE$3=AD$3)*($V181:$AE181&lt;AD181)+($V$3:$AE$3=AD$3)*($V181:$AE181=AD181)*($V$2:$AE$2&lt;AD$2))),2))))</f>
      </c>
      <c r="AO181" s="33">
        <f>IF(AE181&lt;=0,0,MAX(0,MIN(AE181,ROUND($AZ181-SUMPRODUCT($V181:$AE181*($V181:$AE181&gt;0)*(($V$3:$AE$3&gt;AE$3)+($V$3:$AE$3=AE$3)*($V181:$AE181&lt;AE181)+($V$3:$AE$3=AE$3)*($V181:$AE181=AE181)*($V$2:$AE$2&lt;AE$2))),2))))</f>
      </c>
      <c r="AP181" s="33">
        <f>ROUND(V181-AF181,2)</f>
      </c>
      <c r="AQ181" s="33">
        <f>ROUND(W181-AG181,2)</f>
      </c>
      <c r="AR181" s="33">
        <f>ROUND(X181-AH181,2)</f>
      </c>
      <c r="AS181" s="33">
        <f>ROUND(Y181-AI181,2)</f>
      </c>
      <c r="AT181" s="33">
        <f>ROUND(Z181-AJ181,2)</f>
      </c>
      <c r="AU181" s="33">
        <f>ROUND(AA181-AK181,2)</f>
      </c>
      <c r="AV181" s="33">
        <f>ROUND(AB181-AL181,2)</f>
      </c>
      <c r="AW181" s="33">
        <f>ROUND(AC181-AM181,2)</f>
      </c>
      <c r="AX181" s="33">
        <f>ROUND(AD181-AN181,2)</f>
      </c>
      <c r="AY181" s="33">
        <f>ROUND(AE181-AO181,2)</f>
      </c>
      <c r="AZ181" s="33">
        <f>ROUND(MAX(0,'Your debts'!$D$22-SUM($L181:$U181)),2)</f>
      </c>
      <c r="BA181" s="33">
        <f>ROUND(SUM($B181:$K181)-SUM($AP180:$AY180),2)</f>
      </c>
      <c r="BB181" s="33">
        <f>SUM($AP181:$AY181)</f>
      </c>
      <c r="BC181" s="33">
        <f>ROUND(SUM($L181:$U181)+SUM($AF181:$AO181),2)</f>
      </c>
    </row>
    <row r="182" spans="1:55" x14ac:dyDescent="0.25">
      <c r="A182">
        <v>175</v>
      </c>
      <c r="B182" s="33">
        <f>IF(AP181&lt;=0,0,ROUND(AP181+ROUND(AP181*V$3/12,2),2))</f>
      </c>
      <c r="C182" s="33">
        <f>IF(AQ181&lt;=0,0,ROUND(AQ181+ROUND(AQ181*W$3/12,2),2))</f>
      </c>
      <c r="D182" s="33">
        <f>IF(AR181&lt;=0,0,ROUND(AR181+ROUND(AR181*X$3/12,2),2))</f>
      </c>
      <c r="E182" s="33">
        <f>IF(AS181&lt;=0,0,ROUND(AS181+ROUND(AS181*Y$3/12,2),2))</f>
      </c>
      <c r="F182" s="33">
        <f>IF(AT181&lt;=0,0,ROUND(AT181+ROUND(AT181*Z$3/12,2),2))</f>
      </c>
      <c r="G182" s="33">
        <f>IF(AU181&lt;=0,0,ROUND(AU181+ROUND(AU181*AA$3/12,2),2))</f>
      </c>
      <c r="H182" s="33">
        <f>IF(AV181&lt;=0,0,ROUND(AV181+ROUND(AV181*AB$3/12,2),2))</f>
      </c>
      <c r="I182" s="33">
        <f>IF(AW181&lt;=0,0,ROUND(AW181+ROUND(AW181*AC$3/12,2),2))</f>
      </c>
      <c r="J182" s="33">
        <f>IF(AX181&lt;=0,0,ROUND(AX181+ROUND(AX181*AD$3/12,2),2))</f>
      </c>
      <c r="K182" s="33">
        <f>IF(AY181&lt;=0,0,ROUND(AY181+ROUND(AY181*AE$3/12,2),2))</f>
      </c>
      <c r="L182" s="33">
        <f>ROUND(MIN(MAX(0,N('Your debts'!$E$6)),B182),2)</f>
      </c>
      <c r="M182" s="33">
        <f>ROUND(MIN(MAX(0,N('Your debts'!$E$7)),C182),2)</f>
      </c>
      <c r="N182" s="33">
        <f>ROUND(MIN(MAX(0,N('Your debts'!$E$8)),D182),2)</f>
      </c>
      <c r="O182" s="33">
        <f>ROUND(MIN(MAX(0,N('Your debts'!$E$9)),E182),2)</f>
      </c>
      <c r="P182" s="33">
        <f>ROUND(MIN(MAX(0,N('Your debts'!$E$10)),F182),2)</f>
      </c>
      <c r="Q182" s="33">
        <f>ROUND(MIN(MAX(0,N('Your debts'!$E$11)),G182),2)</f>
      </c>
      <c r="R182" s="33">
        <f>ROUND(MIN(MAX(0,N('Your debts'!$E$12)),H182),2)</f>
      </c>
      <c r="S182" s="33">
        <f>ROUND(MIN(MAX(0,N('Your debts'!$E$13)),I182),2)</f>
      </c>
      <c r="T182" s="33">
        <f>ROUND(MIN(MAX(0,N('Your debts'!$E$14)),J182),2)</f>
      </c>
      <c r="U182" s="33">
        <f>ROUND(MIN(MAX(0,N('Your debts'!$E$15)),K182),2)</f>
      </c>
      <c r="V182" s="33">
        <f>ROUND(B182-L182,2)</f>
      </c>
      <c r="W182" s="33">
        <f>ROUND(C182-M182,2)</f>
      </c>
      <c r="X182" s="33">
        <f>ROUND(D182-N182,2)</f>
      </c>
      <c r="Y182" s="33">
        <f>ROUND(E182-O182,2)</f>
      </c>
      <c r="Z182" s="33">
        <f>ROUND(F182-P182,2)</f>
      </c>
      <c r="AA182" s="33">
        <f>ROUND(G182-Q182,2)</f>
      </c>
      <c r="AB182" s="33">
        <f>ROUND(H182-R182,2)</f>
      </c>
      <c r="AC182" s="33">
        <f>ROUND(I182-S182,2)</f>
      </c>
      <c r="AD182" s="33">
        <f>ROUND(J182-T182,2)</f>
      </c>
      <c r="AE182" s="33">
        <f>ROUND(K182-U182,2)</f>
      </c>
      <c r="AF182" s="33">
        <f>IF(V182&lt;=0,0,MAX(0,MIN(V182,ROUND($AZ182-SUMPRODUCT($V182:$AE182*($V182:$AE182&gt;0)*(($V$3:$AE$3&gt;V$3)+($V$3:$AE$3=V$3)*($V182:$AE182&lt;V182)+($V$3:$AE$3=V$3)*($V182:$AE182=V182)*($V$2:$AE$2&lt;V$2))),2))))</f>
      </c>
      <c r="AG182" s="33">
        <f>IF(W182&lt;=0,0,MAX(0,MIN(W182,ROUND($AZ182-SUMPRODUCT($V182:$AE182*($V182:$AE182&gt;0)*(($V$3:$AE$3&gt;W$3)+($V$3:$AE$3=W$3)*($V182:$AE182&lt;W182)+($V$3:$AE$3=W$3)*($V182:$AE182=W182)*($V$2:$AE$2&lt;W$2))),2))))</f>
      </c>
      <c r="AH182" s="33">
        <f>IF(X182&lt;=0,0,MAX(0,MIN(X182,ROUND($AZ182-SUMPRODUCT($V182:$AE182*($V182:$AE182&gt;0)*(($V$3:$AE$3&gt;X$3)+($V$3:$AE$3=X$3)*($V182:$AE182&lt;X182)+($V$3:$AE$3=X$3)*($V182:$AE182=X182)*($V$2:$AE$2&lt;X$2))),2))))</f>
      </c>
      <c r="AI182" s="33">
        <f>IF(Y182&lt;=0,0,MAX(0,MIN(Y182,ROUND($AZ182-SUMPRODUCT($V182:$AE182*($V182:$AE182&gt;0)*(($V$3:$AE$3&gt;Y$3)+($V$3:$AE$3=Y$3)*($V182:$AE182&lt;Y182)+($V$3:$AE$3=Y$3)*($V182:$AE182=Y182)*($V$2:$AE$2&lt;Y$2))),2))))</f>
      </c>
      <c r="AJ182" s="33">
        <f>IF(Z182&lt;=0,0,MAX(0,MIN(Z182,ROUND($AZ182-SUMPRODUCT($V182:$AE182*($V182:$AE182&gt;0)*(($V$3:$AE$3&gt;Z$3)+($V$3:$AE$3=Z$3)*($V182:$AE182&lt;Z182)+($V$3:$AE$3=Z$3)*($V182:$AE182=Z182)*($V$2:$AE$2&lt;Z$2))),2))))</f>
      </c>
      <c r="AK182" s="33">
        <f>IF(AA182&lt;=0,0,MAX(0,MIN(AA182,ROUND($AZ182-SUMPRODUCT($V182:$AE182*($V182:$AE182&gt;0)*(($V$3:$AE$3&gt;AA$3)+($V$3:$AE$3=AA$3)*($V182:$AE182&lt;AA182)+($V$3:$AE$3=AA$3)*($V182:$AE182=AA182)*($V$2:$AE$2&lt;AA$2))),2))))</f>
      </c>
      <c r="AL182" s="33">
        <f>IF(AB182&lt;=0,0,MAX(0,MIN(AB182,ROUND($AZ182-SUMPRODUCT($V182:$AE182*($V182:$AE182&gt;0)*(($V$3:$AE$3&gt;AB$3)+($V$3:$AE$3=AB$3)*($V182:$AE182&lt;AB182)+($V$3:$AE$3=AB$3)*($V182:$AE182=AB182)*($V$2:$AE$2&lt;AB$2))),2))))</f>
      </c>
      <c r="AM182" s="33">
        <f>IF(AC182&lt;=0,0,MAX(0,MIN(AC182,ROUND($AZ182-SUMPRODUCT($V182:$AE182*($V182:$AE182&gt;0)*(($V$3:$AE$3&gt;AC$3)+($V$3:$AE$3=AC$3)*($V182:$AE182&lt;AC182)+($V$3:$AE$3=AC$3)*($V182:$AE182=AC182)*($V$2:$AE$2&lt;AC$2))),2))))</f>
      </c>
      <c r="AN182" s="33">
        <f>IF(AD182&lt;=0,0,MAX(0,MIN(AD182,ROUND($AZ182-SUMPRODUCT($V182:$AE182*($V182:$AE182&gt;0)*(($V$3:$AE$3&gt;AD$3)+($V$3:$AE$3=AD$3)*($V182:$AE182&lt;AD182)+($V$3:$AE$3=AD$3)*($V182:$AE182=AD182)*($V$2:$AE$2&lt;AD$2))),2))))</f>
      </c>
      <c r="AO182" s="33">
        <f>IF(AE182&lt;=0,0,MAX(0,MIN(AE182,ROUND($AZ182-SUMPRODUCT($V182:$AE182*($V182:$AE182&gt;0)*(($V$3:$AE$3&gt;AE$3)+($V$3:$AE$3=AE$3)*($V182:$AE182&lt;AE182)+($V$3:$AE$3=AE$3)*($V182:$AE182=AE182)*($V$2:$AE$2&lt;AE$2))),2))))</f>
      </c>
      <c r="AP182" s="33">
        <f>ROUND(V182-AF182,2)</f>
      </c>
      <c r="AQ182" s="33">
        <f>ROUND(W182-AG182,2)</f>
      </c>
      <c r="AR182" s="33">
        <f>ROUND(X182-AH182,2)</f>
      </c>
      <c r="AS182" s="33">
        <f>ROUND(Y182-AI182,2)</f>
      </c>
      <c r="AT182" s="33">
        <f>ROUND(Z182-AJ182,2)</f>
      </c>
      <c r="AU182" s="33">
        <f>ROUND(AA182-AK182,2)</f>
      </c>
      <c r="AV182" s="33">
        <f>ROUND(AB182-AL182,2)</f>
      </c>
      <c r="AW182" s="33">
        <f>ROUND(AC182-AM182,2)</f>
      </c>
      <c r="AX182" s="33">
        <f>ROUND(AD182-AN182,2)</f>
      </c>
      <c r="AY182" s="33">
        <f>ROUND(AE182-AO182,2)</f>
      </c>
      <c r="AZ182" s="33">
        <f>ROUND(MAX(0,'Your debts'!$D$22-SUM($L182:$U182)),2)</f>
      </c>
      <c r="BA182" s="33">
        <f>ROUND(SUM($B182:$K182)-SUM($AP181:$AY181),2)</f>
      </c>
      <c r="BB182" s="33">
        <f>SUM($AP182:$AY182)</f>
      </c>
      <c r="BC182" s="33">
        <f>ROUND(SUM($L182:$U182)+SUM($AF182:$AO182),2)</f>
      </c>
    </row>
    <row r="183" spans="1:55" x14ac:dyDescent="0.25">
      <c r="A183">
        <v>176</v>
      </c>
      <c r="B183" s="33">
        <f>IF(AP182&lt;=0,0,ROUND(AP182+ROUND(AP182*V$3/12,2),2))</f>
      </c>
      <c r="C183" s="33">
        <f>IF(AQ182&lt;=0,0,ROUND(AQ182+ROUND(AQ182*W$3/12,2),2))</f>
      </c>
      <c r="D183" s="33">
        <f>IF(AR182&lt;=0,0,ROUND(AR182+ROUND(AR182*X$3/12,2),2))</f>
      </c>
      <c r="E183" s="33">
        <f>IF(AS182&lt;=0,0,ROUND(AS182+ROUND(AS182*Y$3/12,2),2))</f>
      </c>
      <c r="F183" s="33">
        <f>IF(AT182&lt;=0,0,ROUND(AT182+ROUND(AT182*Z$3/12,2),2))</f>
      </c>
      <c r="G183" s="33">
        <f>IF(AU182&lt;=0,0,ROUND(AU182+ROUND(AU182*AA$3/12,2),2))</f>
      </c>
      <c r="H183" s="33">
        <f>IF(AV182&lt;=0,0,ROUND(AV182+ROUND(AV182*AB$3/12,2),2))</f>
      </c>
      <c r="I183" s="33">
        <f>IF(AW182&lt;=0,0,ROUND(AW182+ROUND(AW182*AC$3/12,2),2))</f>
      </c>
      <c r="J183" s="33">
        <f>IF(AX182&lt;=0,0,ROUND(AX182+ROUND(AX182*AD$3/12,2),2))</f>
      </c>
      <c r="K183" s="33">
        <f>IF(AY182&lt;=0,0,ROUND(AY182+ROUND(AY182*AE$3/12,2),2))</f>
      </c>
      <c r="L183" s="33">
        <f>ROUND(MIN(MAX(0,N('Your debts'!$E$6)),B183),2)</f>
      </c>
      <c r="M183" s="33">
        <f>ROUND(MIN(MAX(0,N('Your debts'!$E$7)),C183),2)</f>
      </c>
      <c r="N183" s="33">
        <f>ROUND(MIN(MAX(0,N('Your debts'!$E$8)),D183),2)</f>
      </c>
      <c r="O183" s="33">
        <f>ROUND(MIN(MAX(0,N('Your debts'!$E$9)),E183),2)</f>
      </c>
      <c r="P183" s="33">
        <f>ROUND(MIN(MAX(0,N('Your debts'!$E$10)),F183),2)</f>
      </c>
      <c r="Q183" s="33">
        <f>ROUND(MIN(MAX(0,N('Your debts'!$E$11)),G183),2)</f>
      </c>
      <c r="R183" s="33">
        <f>ROUND(MIN(MAX(0,N('Your debts'!$E$12)),H183),2)</f>
      </c>
      <c r="S183" s="33">
        <f>ROUND(MIN(MAX(0,N('Your debts'!$E$13)),I183),2)</f>
      </c>
      <c r="T183" s="33">
        <f>ROUND(MIN(MAX(0,N('Your debts'!$E$14)),J183),2)</f>
      </c>
      <c r="U183" s="33">
        <f>ROUND(MIN(MAX(0,N('Your debts'!$E$15)),K183),2)</f>
      </c>
      <c r="V183" s="33">
        <f>ROUND(B183-L183,2)</f>
      </c>
      <c r="W183" s="33">
        <f>ROUND(C183-M183,2)</f>
      </c>
      <c r="X183" s="33">
        <f>ROUND(D183-N183,2)</f>
      </c>
      <c r="Y183" s="33">
        <f>ROUND(E183-O183,2)</f>
      </c>
      <c r="Z183" s="33">
        <f>ROUND(F183-P183,2)</f>
      </c>
      <c r="AA183" s="33">
        <f>ROUND(G183-Q183,2)</f>
      </c>
      <c r="AB183" s="33">
        <f>ROUND(H183-R183,2)</f>
      </c>
      <c r="AC183" s="33">
        <f>ROUND(I183-S183,2)</f>
      </c>
      <c r="AD183" s="33">
        <f>ROUND(J183-T183,2)</f>
      </c>
      <c r="AE183" s="33">
        <f>ROUND(K183-U183,2)</f>
      </c>
      <c r="AF183" s="33">
        <f>IF(V183&lt;=0,0,MAX(0,MIN(V183,ROUND($AZ183-SUMPRODUCT($V183:$AE183*($V183:$AE183&gt;0)*(($V$3:$AE$3&gt;V$3)+($V$3:$AE$3=V$3)*($V183:$AE183&lt;V183)+($V$3:$AE$3=V$3)*($V183:$AE183=V183)*($V$2:$AE$2&lt;V$2))),2))))</f>
      </c>
      <c r="AG183" s="33">
        <f>IF(W183&lt;=0,0,MAX(0,MIN(W183,ROUND($AZ183-SUMPRODUCT($V183:$AE183*($V183:$AE183&gt;0)*(($V$3:$AE$3&gt;W$3)+($V$3:$AE$3=W$3)*($V183:$AE183&lt;W183)+($V$3:$AE$3=W$3)*($V183:$AE183=W183)*($V$2:$AE$2&lt;W$2))),2))))</f>
      </c>
      <c r="AH183" s="33">
        <f>IF(X183&lt;=0,0,MAX(0,MIN(X183,ROUND($AZ183-SUMPRODUCT($V183:$AE183*($V183:$AE183&gt;0)*(($V$3:$AE$3&gt;X$3)+($V$3:$AE$3=X$3)*($V183:$AE183&lt;X183)+($V$3:$AE$3=X$3)*($V183:$AE183=X183)*($V$2:$AE$2&lt;X$2))),2))))</f>
      </c>
      <c r="AI183" s="33">
        <f>IF(Y183&lt;=0,0,MAX(0,MIN(Y183,ROUND($AZ183-SUMPRODUCT($V183:$AE183*($V183:$AE183&gt;0)*(($V$3:$AE$3&gt;Y$3)+($V$3:$AE$3=Y$3)*($V183:$AE183&lt;Y183)+($V$3:$AE$3=Y$3)*($V183:$AE183=Y183)*($V$2:$AE$2&lt;Y$2))),2))))</f>
      </c>
      <c r="AJ183" s="33">
        <f>IF(Z183&lt;=0,0,MAX(0,MIN(Z183,ROUND($AZ183-SUMPRODUCT($V183:$AE183*($V183:$AE183&gt;0)*(($V$3:$AE$3&gt;Z$3)+($V$3:$AE$3=Z$3)*($V183:$AE183&lt;Z183)+($V$3:$AE$3=Z$3)*($V183:$AE183=Z183)*($V$2:$AE$2&lt;Z$2))),2))))</f>
      </c>
      <c r="AK183" s="33">
        <f>IF(AA183&lt;=0,0,MAX(0,MIN(AA183,ROUND($AZ183-SUMPRODUCT($V183:$AE183*($V183:$AE183&gt;0)*(($V$3:$AE$3&gt;AA$3)+($V$3:$AE$3=AA$3)*($V183:$AE183&lt;AA183)+($V$3:$AE$3=AA$3)*($V183:$AE183=AA183)*($V$2:$AE$2&lt;AA$2))),2))))</f>
      </c>
      <c r="AL183" s="33">
        <f>IF(AB183&lt;=0,0,MAX(0,MIN(AB183,ROUND($AZ183-SUMPRODUCT($V183:$AE183*($V183:$AE183&gt;0)*(($V$3:$AE$3&gt;AB$3)+($V$3:$AE$3=AB$3)*($V183:$AE183&lt;AB183)+($V$3:$AE$3=AB$3)*($V183:$AE183=AB183)*($V$2:$AE$2&lt;AB$2))),2))))</f>
      </c>
      <c r="AM183" s="33">
        <f>IF(AC183&lt;=0,0,MAX(0,MIN(AC183,ROUND($AZ183-SUMPRODUCT($V183:$AE183*($V183:$AE183&gt;0)*(($V$3:$AE$3&gt;AC$3)+($V$3:$AE$3=AC$3)*($V183:$AE183&lt;AC183)+($V$3:$AE$3=AC$3)*($V183:$AE183=AC183)*($V$2:$AE$2&lt;AC$2))),2))))</f>
      </c>
      <c r="AN183" s="33">
        <f>IF(AD183&lt;=0,0,MAX(0,MIN(AD183,ROUND($AZ183-SUMPRODUCT($V183:$AE183*($V183:$AE183&gt;0)*(($V$3:$AE$3&gt;AD$3)+($V$3:$AE$3=AD$3)*($V183:$AE183&lt;AD183)+($V$3:$AE$3=AD$3)*($V183:$AE183=AD183)*($V$2:$AE$2&lt;AD$2))),2))))</f>
      </c>
      <c r="AO183" s="33">
        <f>IF(AE183&lt;=0,0,MAX(0,MIN(AE183,ROUND($AZ183-SUMPRODUCT($V183:$AE183*($V183:$AE183&gt;0)*(($V$3:$AE$3&gt;AE$3)+($V$3:$AE$3=AE$3)*($V183:$AE183&lt;AE183)+($V$3:$AE$3=AE$3)*($V183:$AE183=AE183)*($V$2:$AE$2&lt;AE$2))),2))))</f>
      </c>
      <c r="AP183" s="33">
        <f>ROUND(V183-AF183,2)</f>
      </c>
      <c r="AQ183" s="33">
        <f>ROUND(W183-AG183,2)</f>
      </c>
      <c r="AR183" s="33">
        <f>ROUND(X183-AH183,2)</f>
      </c>
      <c r="AS183" s="33">
        <f>ROUND(Y183-AI183,2)</f>
      </c>
      <c r="AT183" s="33">
        <f>ROUND(Z183-AJ183,2)</f>
      </c>
      <c r="AU183" s="33">
        <f>ROUND(AA183-AK183,2)</f>
      </c>
      <c r="AV183" s="33">
        <f>ROUND(AB183-AL183,2)</f>
      </c>
      <c r="AW183" s="33">
        <f>ROUND(AC183-AM183,2)</f>
      </c>
      <c r="AX183" s="33">
        <f>ROUND(AD183-AN183,2)</f>
      </c>
      <c r="AY183" s="33">
        <f>ROUND(AE183-AO183,2)</f>
      </c>
      <c r="AZ183" s="33">
        <f>ROUND(MAX(0,'Your debts'!$D$22-SUM($L183:$U183)),2)</f>
      </c>
      <c r="BA183" s="33">
        <f>ROUND(SUM($B183:$K183)-SUM($AP182:$AY182),2)</f>
      </c>
      <c r="BB183" s="33">
        <f>SUM($AP183:$AY183)</f>
      </c>
      <c r="BC183" s="33">
        <f>ROUND(SUM($L183:$U183)+SUM($AF183:$AO183),2)</f>
      </c>
    </row>
    <row r="184" spans="1:55" x14ac:dyDescent="0.25">
      <c r="A184">
        <v>177</v>
      </c>
      <c r="B184" s="33">
        <f>IF(AP183&lt;=0,0,ROUND(AP183+ROUND(AP183*V$3/12,2),2))</f>
      </c>
      <c r="C184" s="33">
        <f>IF(AQ183&lt;=0,0,ROUND(AQ183+ROUND(AQ183*W$3/12,2),2))</f>
      </c>
      <c r="D184" s="33">
        <f>IF(AR183&lt;=0,0,ROUND(AR183+ROUND(AR183*X$3/12,2),2))</f>
      </c>
      <c r="E184" s="33">
        <f>IF(AS183&lt;=0,0,ROUND(AS183+ROUND(AS183*Y$3/12,2),2))</f>
      </c>
      <c r="F184" s="33">
        <f>IF(AT183&lt;=0,0,ROUND(AT183+ROUND(AT183*Z$3/12,2),2))</f>
      </c>
      <c r="G184" s="33">
        <f>IF(AU183&lt;=0,0,ROUND(AU183+ROUND(AU183*AA$3/12,2),2))</f>
      </c>
      <c r="H184" s="33">
        <f>IF(AV183&lt;=0,0,ROUND(AV183+ROUND(AV183*AB$3/12,2),2))</f>
      </c>
      <c r="I184" s="33">
        <f>IF(AW183&lt;=0,0,ROUND(AW183+ROUND(AW183*AC$3/12,2),2))</f>
      </c>
      <c r="J184" s="33">
        <f>IF(AX183&lt;=0,0,ROUND(AX183+ROUND(AX183*AD$3/12,2),2))</f>
      </c>
      <c r="K184" s="33">
        <f>IF(AY183&lt;=0,0,ROUND(AY183+ROUND(AY183*AE$3/12,2),2))</f>
      </c>
      <c r="L184" s="33">
        <f>ROUND(MIN(MAX(0,N('Your debts'!$E$6)),B184),2)</f>
      </c>
      <c r="M184" s="33">
        <f>ROUND(MIN(MAX(0,N('Your debts'!$E$7)),C184),2)</f>
      </c>
      <c r="N184" s="33">
        <f>ROUND(MIN(MAX(0,N('Your debts'!$E$8)),D184),2)</f>
      </c>
      <c r="O184" s="33">
        <f>ROUND(MIN(MAX(0,N('Your debts'!$E$9)),E184),2)</f>
      </c>
      <c r="P184" s="33">
        <f>ROUND(MIN(MAX(0,N('Your debts'!$E$10)),F184),2)</f>
      </c>
      <c r="Q184" s="33">
        <f>ROUND(MIN(MAX(0,N('Your debts'!$E$11)),G184),2)</f>
      </c>
      <c r="R184" s="33">
        <f>ROUND(MIN(MAX(0,N('Your debts'!$E$12)),H184),2)</f>
      </c>
      <c r="S184" s="33">
        <f>ROUND(MIN(MAX(0,N('Your debts'!$E$13)),I184),2)</f>
      </c>
      <c r="T184" s="33">
        <f>ROUND(MIN(MAX(0,N('Your debts'!$E$14)),J184),2)</f>
      </c>
      <c r="U184" s="33">
        <f>ROUND(MIN(MAX(0,N('Your debts'!$E$15)),K184),2)</f>
      </c>
      <c r="V184" s="33">
        <f>ROUND(B184-L184,2)</f>
      </c>
      <c r="W184" s="33">
        <f>ROUND(C184-M184,2)</f>
      </c>
      <c r="X184" s="33">
        <f>ROUND(D184-N184,2)</f>
      </c>
      <c r="Y184" s="33">
        <f>ROUND(E184-O184,2)</f>
      </c>
      <c r="Z184" s="33">
        <f>ROUND(F184-P184,2)</f>
      </c>
      <c r="AA184" s="33">
        <f>ROUND(G184-Q184,2)</f>
      </c>
      <c r="AB184" s="33">
        <f>ROUND(H184-R184,2)</f>
      </c>
      <c r="AC184" s="33">
        <f>ROUND(I184-S184,2)</f>
      </c>
      <c r="AD184" s="33">
        <f>ROUND(J184-T184,2)</f>
      </c>
      <c r="AE184" s="33">
        <f>ROUND(K184-U184,2)</f>
      </c>
      <c r="AF184" s="33">
        <f>IF(V184&lt;=0,0,MAX(0,MIN(V184,ROUND($AZ184-SUMPRODUCT($V184:$AE184*($V184:$AE184&gt;0)*(($V$3:$AE$3&gt;V$3)+($V$3:$AE$3=V$3)*($V184:$AE184&lt;V184)+($V$3:$AE$3=V$3)*($V184:$AE184=V184)*($V$2:$AE$2&lt;V$2))),2))))</f>
      </c>
      <c r="AG184" s="33">
        <f>IF(W184&lt;=0,0,MAX(0,MIN(W184,ROUND($AZ184-SUMPRODUCT($V184:$AE184*($V184:$AE184&gt;0)*(($V$3:$AE$3&gt;W$3)+($V$3:$AE$3=W$3)*($V184:$AE184&lt;W184)+($V$3:$AE$3=W$3)*($V184:$AE184=W184)*($V$2:$AE$2&lt;W$2))),2))))</f>
      </c>
      <c r="AH184" s="33">
        <f>IF(X184&lt;=0,0,MAX(0,MIN(X184,ROUND($AZ184-SUMPRODUCT($V184:$AE184*($V184:$AE184&gt;0)*(($V$3:$AE$3&gt;X$3)+($V$3:$AE$3=X$3)*($V184:$AE184&lt;X184)+($V$3:$AE$3=X$3)*($V184:$AE184=X184)*($V$2:$AE$2&lt;X$2))),2))))</f>
      </c>
      <c r="AI184" s="33">
        <f>IF(Y184&lt;=0,0,MAX(0,MIN(Y184,ROUND($AZ184-SUMPRODUCT($V184:$AE184*($V184:$AE184&gt;0)*(($V$3:$AE$3&gt;Y$3)+($V$3:$AE$3=Y$3)*($V184:$AE184&lt;Y184)+($V$3:$AE$3=Y$3)*($V184:$AE184=Y184)*($V$2:$AE$2&lt;Y$2))),2))))</f>
      </c>
      <c r="AJ184" s="33">
        <f>IF(Z184&lt;=0,0,MAX(0,MIN(Z184,ROUND($AZ184-SUMPRODUCT($V184:$AE184*($V184:$AE184&gt;0)*(($V$3:$AE$3&gt;Z$3)+($V$3:$AE$3=Z$3)*($V184:$AE184&lt;Z184)+($V$3:$AE$3=Z$3)*($V184:$AE184=Z184)*($V$2:$AE$2&lt;Z$2))),2))))</f>
      </c>
      <c r="AK184" s="33">
        <f>IF(AA184&lt;=0,0,MAX(0,MIN(AA184,ROUND($AZ184-SUMPRODUCT($V184:$AE184*($V184:$AE184&gt;0)*(($V$3:$AE$3&gt;AA$3)+($V$3:$AE$3=AA$3)*($V184:$AE184&lt;AA184)+($V$3:$AE$3=AA$3)*($V184:$AE184=AA184)*($V$2:$AE$2&lt;AA$2))),2))))</f>
      </c>
      <c r="AL184" s="33">
        <f>IF(AB184&lt;=0,0,MAX(0,MIN(AB184,ROUND($AZ184-SUMPRODUCT($V184:$AE184*($V184:$AE184&gt;0)*(($V$3:$AE$3&gt;AB$3)+($V$3:$AE$3=AB$3)*($V184:$AE184&lt;AB184)+($V$3:$AE$3=AB$3)*($V184:$AE184=AB184)*($V$2:$AE$2&lt;AB$2))),2))))</f>
      </c>
      <c r="AM184" s="33">
        <f>IF(AC184&lt;=0,0,MAX(0,MIN(AC184,ROUND($AZ184-SUMPRODUCT($V184:$AE184*($V184:$AE184&gt;0)*(($V$3:$AE$3&gt;AC$3)+($V$3:$AE$3=AC$3)*($V184:$AE184&lt;AC184)+($V$3:$AE$3=AC$3)*($V184:$AE184=AC184)*($V$2:$AE$2&lt;AC$2))),2))))</f>
      </c>
      <c r="AN184" s="33">
        <f>IF(AD184&lt;=0,0,MAX(0,MIN(AD184,ROUND($AZ184-SUMPRODUCT($V184:$AE184*($V184:$AE184&gt;0)*(($V$3:$AE$3&gt;AD$3)+($V$3:$AE$3=AD$3)*($V184:$AE184&lt;AD184)+($V$3:$AE$3=AD$3)*($V184:$AE184=AD184)*($V$2:$AE$2&lt;AD$2))),2))))</f>
      </c>
      <c r="AO184" s="33">
        <f>IF(AE184&lt;=0,0,MAX(0,MIN(AE184,ROUND($AZ184-SUMPRODUCT($V184:$AE184*($V184:$AE184&gt;0)*(($V$3:$AE$3&gt;AE$3)+($V$3:$AE$3=AE$3)*($V184:$AE184&lt;AE184)+($V$3:$AE$3=AE$3)*($V184:$AE184=AE184)*($V$2:$AE$2&lt;AE$2))),2))))</f>
      </c>
      <c r="AP184" s="33">
        <f>ROUND(V184-AF184,2)</f>
      </c>
      <c r="AQ184" s="33">
        <f>ROUND(W184-AG184,2)</f>
      </c>
      <c r="AR184" s="33">
        <f>ROUND(X184-AH184,2)</f>
      </c>
      <c r="AS184" s="33">
        <f>ROUND(Y184-AI184,2)</f>
      </c>
      <c r="AT184" s="33">
        <f>ROUND(Z184-AJ184,2)</f>
      </c>
      <c r="AU184" s="33">
        <f>ROUND(AA184-AK184,2)</f>
      </c>
      <c r="AV184" s="33">
        <f>ROUND(AB184-AL184,2)</f>
      </c>
      <c r="AW184" s="33">
        <f>ROUND(AC184-AM184,2)</f>
      </c>
      <c r="AX184" s="33">
        <f>ROUND(AD184-AN184,2)</f>
      </c>
      <c r="AY184" s="33">
        <f>ROUND(AE184-AO184,2)</f>
      </c>
      <c r="AZ184" s="33">
        <f>ROUND(MAX(0,'Your debts'!$D$22-SUM($L184:$U184)),2)</f>
      </c>
      <c r="BA184" s="33">
        <f>ROUND(SUM($B184:$K184)-SUM($AP183:$AY183),2)</f>
      </c>
      <c r="BB184" s="33">
        <f>SUM($AP184:$AY184)</f>
      </c>
      <c r="BC184" s="33">
        <f>ROUND(SUM($L184:$U184)+SUM($AF184:$AO184),2)</f>
      </c>
    </row>
    <row r="185" spans="1:55" x14ac:dyDescent="0.25">
      <c r="A185">
        <v>178</v>
      </c>
      <c r="B185" s="33">
        <f>IF(AP184&lt;=0,0,ROUND(AP184+ROUND(AP184*V$3/12,2),2))</f>
      </c>
      <c r="C185" s="33">
        <f>IF(AQ184&lt;=0,0,ROUND(AQ184+ROUND(AQ184*W$3/12,2),2))</f>
      </c>
      <c r="D185" s="33">
        <f>IF(AR184&lt;=0,0,ROUND(AR184+ROUND(AR184*X$3/12,2),2))</f>
      </c>
      <c r="E185" s="33">
        <f>IF(AS184&lt;=0,0,ROUND(AS184+ROUND(AS184*Y$3/12,2),2))</f>
      </c>
      <c r="F185" s="33">
        <f>IF(AT184&lt;=0,0,ROUND(AT184+ROUND(AT184*Z$3/12,2),2))</f>
      </c>
      <c r="G185" s="33">
        <f>IF(AU184&lt;=0,0,ROUND(AU184+ROUND(AU184*AA$3/12,2),2))</f>
      </c>
      <c r="H185" s="33">
        <f>IF(AV184&lt;=0,0,ROUND(AV184+ROUND(AV184*AB$3/12,2),2))</f>
      </c>
      <c r="I185" s="33">
        <f>IF(AW184&lt;=0,0,ROUND(AW184+ROUND(AW184*AC$3/12,2),2))</f>
      </c>
      <c r="J185" s="33">
        <f>IF(AX184&lt;=0,0,ROUND(AX184+ROUND(AX184*AD$3/12,2),2))</f>
      </c>
      <c r="K185" s="33">
        <f>IF(AY184&lt;=0,0,ROUND(AY184+ROUND(AY184*AE$3/12,2),2))</f>
      </c>
      <c r="L185" s="33">
        <f>ROUND(MIN(MAX(0,N('Your debts'!$E$6)),B185),2)</f>
      </c>
      <c r="M185" s="33">
        <f>ROUND(MIN(MAX(0,N('Your debts'!$E$7)),C185),2)</f>
      </c>
      <c r="N185" s="33">
        <f>ROUND(MIN(MAX(0,N('Your debts'!$E$8)),D185),2)</f>
      </c>
      <c r="O185" s="33">
        <f>ROUND(MIN(MAX(0,N('Your debts'!$E$9)),E185),2)</f>
      </c>
      <c r="P185" s="33">
        <f>ROUND(MIN(MAX(0,N('Your debts'!$E$10)),F185),2)</f>
      </c>
      <c r="Q185" s="33">
        <f>ROUND(MIN(MAX(0,N('Your debts'!$E$11)),G185),2)</f>
      </c>
      <c r="R185" s="33">
        <f>ROUND(MIN(MAX(0,N('Your debts'!$E$12)),H185),2)</f>
      </c>
      <c r="S185" s="33">
        <f>ROUND(MIN(MAX(0,N('Your debts'!$E$13)),I185),2)</f>
      </c>
      <c r="T185" s="33">
        <f>ROUND(MIN(MAX(0,N('Your debts'!$E$14)),J185),2)</f>
      </c>
      <c r="U185" s="33">
        <f>ROUND(MIN(MAX(0,N('Your debts'!$E$15)),K185),2)</f>
      </c>
      <c r="V185" s="33">
        <f>ROUND(B185-L185,2)</f>
      </c>
      <c r="W185" s="33">
        <f>ROUND(C185-M185,2)</f>
      </c>
      <c r="X185" s="33">
        <f>ROUND(D185-N185,2)</f>
      </c>
      <c r="Y185" s="33">
        <f>ROUND(E185-O185,2)</f>
      </c>
      <c r="Z185" s="33">
        <f>ROUND(F185-P185,2)</f>
      </c>
      <c r="AA185" s="33">
        <f>ROUND(G185-Q185,2)</f>
      </c>
      <c r="AB185" s="33">
        <f>ROUND(H185-R185,2)</f>
      </c>
      <c r="AC185" s="33">
        <f>ROUND(I185-S185,2)</f>
      </c>
      <c r="AD185" s="33">
        <f>ROUND(J185-T185,2)</f>
      </c>
      <c r="AE185" s="33">
        <f>ROUND(K185-U185,2)</f>
      </c>
      <c r="AF185" s="33">
        <f>IF(V185&lt;=0,0,MAX(0,MIN(V185,ROUND($AZ185-SUMPRODUCT($V185:$AE185*($V185:$AE185&gt;0)*(($V$3:$AE$3&gt;V$3)+($V$3:$AE$3=V$3)*($V185:$AE185&lt;V185)+($V$3:$AE$3=V$3)*($V185:$AE185=V185)*($V$2:$AE$2&lt;V$2))),2))))</f>
      </c>
      <c r="AG185" s="33">
        <f>IF(W185&lt;=0,0,MAX(0,MIN(W185,ROUND($AZ185-SUMPRODUCT($V185:$AE185*($V185:$AE185&gt;0)*(($V$3:$AE$3&gt;W$3)+($V$3:$AE$3=W$3)*($V185:$AE185&lt;W185)+($V$3:$AE$3=W$3)*($V185:$AE185=W185)*($V$2:$AE$2&lt;W$2))),2))))</f>
      </c>
      <c r="AH185" s="33">
        <f>IF(X185&lt;=0,0,MAX(0,MIN(X185,ROUND($AZ185-SUMPRODUCT($V185:$AE185*($V185:$AE185&gt;0)*(($V$3:$AE$3&gt;X$3)+($V$3:$AE$3=X$3)*($V185:$AE185&lt;X185)+($V$3:$AE$3=X$3)*($V185:$AE185=X185)*($V$2:$AE$2&lt;X$2))),2))))</f>
      </c>
      <c r="AI185" s="33">
        <f>IF(Y185&lt;=0,0,MAX(0,MIN(Y185,ROUND($AZ185-SUMPRODUCT($V185:$AE185*($V185:$AE185&gt;0)*(($V$3:$AE$3&gt;Y$3)+($V$3:$AE$3=Y$3)*($V185:$AE185&lt;Y185)+($V$3:$AE$3=Y$3)*($V185:$AE185=Y185)*($V$2:$AE$2&lt;Y$2))),2))))</f>
      </c>
      <c r="AJ185" s="33">
        <f>IF(Z185&lt;=0,0,MAX(0,MIN(Z185,ROUND($AZ185-SUMPRODUCT($V185:$AE185*($V185:$AE185&gt;0)*(($V$3:$AE$3&gt;Z$3)+($V$3:$AE$3=Z$3)*($V185:$AE185&lt;Z185)+($V$3:$AE$3=Z$3)*($V185:$AE185=Z185)*($V$2:$AE$2&lt;Z$2))),2))))</f>
      </c>
      <c r="AK185" s="33">
        <f>IF(AA185&lt;=0,0,MAX(0,MIN(AA185,ROUND($AZ185-SUMPRODUCT($V185:$AE185*($V185:$AE185&gt;0)*(($V$3:$AE$3&gt;AA$3)+($V$3:$AE$3=AA$3)*($V185:$AE185&lt;AA185)+($V$3:$AE$3=AA$3)*($V185:$AE185=AA185)*($V$2:$AE$2&lt;AA$2))),2))))</f>
      </c>
      <c r="AL185" s="33">
        <f>IF(AB185&lt;=0,0,MAX(0,MIN(AB185,ROUND($AZ185-SUMPRODUCT($V185:$AE185*($V185:$AE185&gt;0)*(($V$3:$AE$3&gt;AB$3)+($V$3:$AE$3=AB$3)*($V185:$AE185&lt;AB185)+($V$3:$AE$3=AB$3)*($V185:$AE185=AB185)*($V$2:$AE$2&lt;AB$2))),2))))</f>
      </c>
      <c r="AM185" s="33">
        <f>IF(AC185&lt;=0,0,MAX(0,MIN(AC185,ROUND($AZ185-SUMPRODUCT($V185:$AE185*($V185:$AE185&gt;0)*(($V$3:$AE$3&gt;AC$3)+($V$3:$AE$3=AC$3)*($V185:$AE185&lt;AC185)+($V$3:$AE$3=AC$3)*($V185:$AE185=AC185)*($V$2:$AE$2&lt;AC$2))),2))))</f>
      </c>
      <c r="AN185" s="33">
        <f>IF(AD185&lt;=0,0,MAX(0,MIN(AD185,ROUND($AZ185-SUMPRODUCT($V185:$AE185*($V185:$AE185&gt;0)*(($V$3:$AE$3&gt;AD$3)+($V$3:$AE$3=AD$3)*($V185:$AE185&lt;AD185)+($V$3:$AE$3=AD$3)*($V185:$AE185=AD185)*($V$2:$AE$2&lt;AD$2))),2))))</f>
      </c>
      <c r="AO185" s="33">
        <f>IF(AE185&lt;=0,0,MAX(0,MIN(AE185,ROUND($AZ185-SUMPRODUCT($V185:$AE185*($V185:$AE185&gt;0)*(($V$3:$AE$3&gt;AE$3)+($V$3:$AE$3=AE$3)*($V185:$AE185&lt;AE185)+($V$3:$AE$3=AE$3)*($V185:$AE185=AE185)*($V$2:$AE$2&lt;AE$2))),2))))</f>
      </c>
      <c r="AP185" s="33">
        <f>ROUND(V185-AF185,2)</f>
      </c>
      <c r="AQ185" s="33">
        <f>ROUND(W185-AG185,2)</f>
      </c>
      <c r="AR185" s="33">
        <f>ROUND(X185-AH185,2)</f>
      </c>
      <c r="AS185" s="33">
        <f>ROUND(Y185-AI185,2)</f>
      </c>
      <c r="AT185" s="33">
        <f>ROUND(Z185-AJ185,2)</f>
      </c>
      <c r="AU185" s="33">
        <f>ROUND(AA185-AK185,2)</f>
      </c>
      <c r="AV185" s="33">
        <f>ROUND(AB185-AL185,2)</f>
      </c>
      <c r="AW185" s="33">
        <f>ROUND(AC185-AM185,2)</f>
      </c>
      <c r="AX185" s="33">
        <f>ROUND(AD185-AN185,2)</f>
      </c>
      <c r="AY185" s="33">
        <f>ROUND(AE185-AO185,2)</f>
      </c>
      <c r="AZ185" s="33">
        <f>ROUND(MAX(0,'Your debts'!$D$22-SUM($L185:$U185)),2)</f>
      </c>
      <c r="BA185" s="33">
        <f>ROUND(SUM($B185:$K185)-SUM($AP184:$AY184),2)</f>
      </c>
      <c r="BB185" s="33">
        <f>SUM($AP185:$AY185)</f>
      </c>
      <c r="BC185" s="33">
        <f>ROUND(SUM($L185:$U185)+SUM($AF185:$AO185),2)</f>
      </c>
    </row>
    <row r="186" spans="1:55" x14ac:dyDescent="0.25">
      <c r="A186">
        <v>179</v>
      </c>
      <c r="B186" s="33">
        <f>IF(AP185&lt;=0,0,ROUND(AP185+ROUND(AP185*V$3/12,2),2))</f>
      </c>
      <c r="C186" s="33">
        <f>IF(AQ185&lt;=0,0,ROUND(AQ185+ROUND(AQ185*W$3/12,2),2))</f>
      </c>
      <c r="D186" s="33">
        <f>IF(AR185&lt;=0,0,ROUND(AR185+ROUND(AR185*X$3/12,2),2))</f>
      </c>
      <c r="E186" s="33">
        <f>IF(AS185&lt;=0,0,ROUND(AS185+ROUND(AS185*Y$3/12,2),2))</f>
      </c>
      <c r="F186" s="33">
        <f>IF(AT185&lt;=0,0,ROUND(AT185+ROUND(AT185*Z$3/12,2),2))</f>
      </c>
      <c r="G186" s="33">
        <f>IF(AU185&lt;=0,0,ROUND(AU185+ROUND(AU185*AA$3/12,2),2))</f>
      </c>
      <c r="H186" s="33">
        <f>IF(AV185&lt;=0,0,ROUND(AV185+ROUND(AV185*AB$3/12,2),2))</f>
      </c>
      <c r="I186" s="33">
        <f>IF(AW185&lt;=0,0,ROUND(AW185+ROUND(AW185*AC$3/12,2),2))</f>
      </c>
      <c r="J186" s="33">
        <f>IF(AX185&lt;=0,0,ROUND(AX185+ROUND(AX185*AD$3/12,2),2))</f>
      </c>
      <c r="K186" s="33">
        <f>IF(AY185&lt;=0,0,ROUND(AY185+ROUND(AY185*AE$3/12,2),2))</f>
      </c>
      <c r="L186" s="33">
        <f>ROUND(MIN(MAX(0,N('Your debts'!$E$6)),B186),2)</f>
      </c>
      <c r="M186" s="33">
        <f>ROUND(MIN(MAX(0,N('Your debts'!$E$7)),C186),2)</f>
      </c>
      <c r="N186" s="33">
        <f>ROUND(MIN(MAX(0,N('Your debts'!$E$8)),D186),2)</f>
      </c>
      <c r="O186" s="33">
        <f>ROUND(MIN(MAX(0,N('Your debts'!$E$9)),E186),2)</f>
      </c>
      <c r="P186" s="33">
        <f>ROUND(MIN(MAX(0,N('Your debts'!$E$10)),F186),2)</f>
      </c>
      <c r="Q186" s="33">
        <f>ROUND(MIN(MAX(0,N('Your debts'!$E$11)),G186),2)</f>
      </c>
      <c r="R186" s="33">
        <f>ROUND(MIN(MAX(0,N('Your debts'!$E$12)),H186),2)</f>
      </c>
      <c r="S186" s="33">
        <f>ROUND(MIN(MAX(0,N('Your debts'!$E$13)),I186),2)</f>
      </c>
      <c r="T186" s="33">
        <f>ROUND(MIN(MAX(0,N('Your debts'!$E$14)),J186),2)</f>
      </c>
      <c r="U186" s="33">
        <f>ROUND(MIN(MAX(0,N('Your debts'!$E$15)),K186),2)</f>
      </c>
      <c r="V186" s="33">
        <f>ROUND(B186-L186,2)</f>
      </c>
      <c r="W186" s="33">
        <f>ROUND(C186-M186,2)</f>
      </c>
      <c r="X186" s="33">
        <f>ROUND(D186-N186,2)</f>
      </c>
      <c r="Y186" s="33">
        <f>ROUND(E186-O186,2)</f>
      </c>
      <c r="Z186" s="33">
        <f>ROUND(F186-P186,2)</f>
      </c>
      <c r="AA186" s="33">
        <f>ROUND(G186-Q186,2)</f>
      </c>
      <c r="AB186" s="33">
        <f>ROUND(H186-R186,2)</f>
      </c>
      <c r="AC186" s="33">
        <f>ROUND(I186-S186,2)</f>
      </c>
      <c r="AD186" s="33">
        <f>ROUND(J186-T186,2)</f>
      </c>
      <c r="AE186" s="33">
        <f>ROUND(K186-U186,2)</f>
      </c>
      <c r="AF186" s="33">
        <f>IF(V186&lt;=0,0,MAX(0,MIN(V186,ROUND($AZ186-SUMPRODUCT($V186:$AE186*($V186:$AE186&gt;0)*(($V$3:$AE$3&gt;V$3)+($V$3:$AE$3=V$3)*($V186:$AE186&lt;V186)+($V$3:$AE$3=V$3)*($V186:$AE186=V186)*($V$2:$AE$2&lt;V$2))),2))))</f>
      </c>
      <c r="AG186" s="33">
        <f>IF(W186&lt;=0,0,MAX(0,MIN(W186,ROUND($AZ186-SUMPRODUCT($V186:$AE186*($V186:$AE186&gt;0)*(($V$3:$AE$3&gt;W$3)+($V$3:$AE$3=W$3)*($V186:$AE186&lt;W186)+($V$3:$AE$3=W$3)*($V186:$AE186=W186)*($V$2:$AE$2&lt;W$2))),2))))</f>
      </c>
      <c r="AH186" s="33">
        <f>IF(X186&lt;=0,0,MAX(0,MIN(X186,ROUND($AZ186-SUMPRODUCT($V186:$AE186*($V186:$AE186&gt;0)*(($V$3:$AE$3&gt;X$3)+($V$3:$AE$3=X$3)*($V186:$AE186&lt;X186)+($V$3:$AE$3=X$3)*($V186:$AE186=X186)*($V$2:$AE$2&lt;X$2))),2))))</f>
      </c>
      <c r="AI186" s="33">
        <f>IF(Y186&lt;=0,0,MAX(0,MIN(Y186,ROUND($AZ186-SUMPRODUCT($V186:$AE186*($V186:$AE186&gt;0)*(($V$3:$AE$3&gt;Y$3)+($V$3:$AE$3=Y$3)*($V186:$AE186&lt;Y186)+($V$3:$AE$3=Y$3)*($V186:$AE186=Y186)*($V$2:$AE$2&lt;Y$2))),2))))</f>
      </c>
      <c r="AJ186" s="33">
        <f>IF(Z186&lt;=0,0,MAX(0,MIN(Z186,ROUND($AZ186-SUMPRODUCT($V186:$AE186*($V186:$AE186&gt;0)*(($V$3:$AE$3&gt;Z$3)+($V$3:$AE$3=Z$3)*($V186:$AE186&lt;Z186)+($V$3:$AE$3=Z$3)*($V186:$AE186=Z186)*($V$2:$AE$2&lt;Z$2))),2))))</f>
      </c>
      <c r="AK186" s="33">
        <f>IF(AA186&lt;=0,0,MAX(0,MIN(AA186,ROUND($AZ186-SUMPRODUCT($V186:$AE186*($V186:$AE186&gt;0)*(($V$3:$AE$3&gt;AA$3)+($V$3:$AE$3=AA$3)*($V186:$AE186&lt;AA186)+($V$3:$AE$3=AA$3)*($V186:$AE186=AA186)*($V$2:$AE$2&lt;AA$2))),2))))</f>
      </c>
      <c r="AL186" s="33">
        <f>IF(AB186&lt;=0,0,MAX(0,MIN(AB186,ROUND($AZ186-SUMPRODUCT($V186:$AE186*($V186:$AE186&gt;0)*(($V$3:$AE$3&gt;AB$3)+($V$3:$AE$3=AB$3)*($V186:$AE186&lt;AB186)+($V$3:$AE$3=AB$3)*($V186:$AE186=AB186)*($V$2:$AE$2&lt;AB$2))),2))))</f>
      </c>
      <c r="AM186" s="33">
        <f>IF(AC186&lt;=0,0,MAX(0,MIN(AC186,ROUND($AZ186-SUMPRODUCT($V186:$AE186*($V186:$AE186&gt;0)*(($V$3:$AE$3&gt;AC$3)+($V$3:$AE$3=AC$3)*($V186:$AE186&lt;AC186)+($V$3:$AE$3=AC$3)*($V186:$AE186=AC186)*($V$2:$AE$2&lt;AC$2))),2))))</f>
      </c>
      <c r="AN186" s="33">
        <f>IF(AD186&lt;=0,0,MAX(0,MIN(AD186,ROUND($AZ186-SUMPRODUCT($V186:$AE186*($V186:$AE186&gt;0)*(($V$3:$AE$3&gt;AD$3)+($V$3:$AE$3=AD$3)*($V186:$AE186&lt;AD186)+($V$3:$AE$3=AD$3)*($V186:$AE186=AD186)*($V$2:$AE$2&lt;AD$2))),2))))</f>
      </c>
      <c r="AO186" s="33">
        <f>IF(AE186&lt;=0,0,MAX(0,MIN(AE186,ROUND($AZ186-SUMPRODUCT($V186:$AE186*($V186:$AE186&gt;0)*(($V$3:$AE$3&gt;AE$3)+($V$3:$AE$3=AE$3)*($V186:$AE186&lt;AE186)+($V$3:$AE$3=AE$3)*($V186:$AE186=AE186)*($V$2:$AE$2&lt;AE$2))),2))))</f>
      </c>
      <c r="AP186" s="33">
        <f>ROUND(V186-AF186,2)</f>
      </c>
      <c r="AQ186" s="33">
        <f>ROUND(W186-AG186,2)</f>
      </c>
      <c r="AR186" s="33">
        <f>ROUND(X186-AH186,2)</f>
      </c>
      <c r="AS186" s="33">
        <f>ROUND(Y186-AI186,2)</f>
      </c>
      <c r="AT186" s="33">
        <f>ROUND(Z186-AJ186,2)</f>
      </c>
      <c r="AU186" s="33">
        <f>ROUND(AA186-AK186,2)</f>
      </c>
      <c r="AV186" s="33">
        <f>ROUND(AB186-AL186,2)</f>
      </c>
      <c r="AW186" s="33">
        <f>ROUND(AC186-AM186,2)</f>
      </c>
      <c r="AX186" s="33">
        <f>ROUND(AD186-AN186,2)</f>
      </c>
      <c r="AY186" s="33">
        <f>ROUND(AE186-AO186,2)</f>
      </c>
      <c r="AZ186" s="33">
        <f>ROUND(MAX(0,'Your debts'!$D$22-SUM($L186:$U186)),2)</f>
      </c>
      <c r="BA186" s="33">
        <f>ROUND(SUM($B186:$K186)-SUM($AP185:$AY185),2)</f>
      </c>
      <c r="BB186" s="33">
        <f>SUM($AP186:$AY186)</f>
      </c>
      <c r="BC186" s="33">
        <f>ROUND(SUM($L186:$U186)+SUM($AF186:$AO186),2)</f>
      </c>
    </row>
    <row r="187" spans="1:55" x14ac:dyDescent="0.25">
      <c r="A187">
        <v>180</v>
      </c>
      <c r="B187" s="33">
        <f>IF(AP186&lt;=0,0,ROUND(AP186+ROUND(AP186*V$3/12,2),2))</f>
      </c>
      <c r="C187" s="33">
        <f>IF(AQ186&lt;=0,0,ROUND(AQ186+ROUND(AQ186*W$3/12,2),2))</f>
      </c>
      <c r="D187" s="33">
        <f>IF(AR186&lt;=0,0,ROUND(AR186+ROUND(AR186*X$3/12,2),2))</f>
      </c>
      <c r="E187" s="33">
        <f>IF(AS186&lt;=0,0,ROUND(AS186+ROUND(AS186*Y$3/12,2),2))</f>
      </c>
      <c r="F187" s="33">
        <f>IF(AT186&lt;=0,0,ROUND(AT186+ROUND(AT186*Z$3/12,2),2))</f>
      </c>
      <c r="G187" s="33">
        <f>IF(AU186&lt;=0,0,ROUND(AU186+ROUND(AU186*AA$3/12,2),2))</f>
      </c>
      <c r="H187" s="33">
        <f>IF(AV186&lt;=0,0,ROUND(AV186+ROUND(AV186*AB$3/12,2),2))</f>
      </c>
      <c r="I187" s="33">
        <f>IF(AW186&lt;=0,0,ROUND(AW186+ROUND(AW186*AC$3/12,2),2))</f>
      </c>
      <c r="J187" s="33">
        <f>IF(AX186&lt;=0,0,ROUND(AX186+ROUND(AX186*AD$3/12,2),2))</f>
      </c>
      <c r="K187" s="33">
        <f>IF(AY186&lt;=0,0,ROUND(AY186+ROUND(AY186*AE$3/12,2),2))</f>
      </c>
      <c r="L187" s="33">
        <f>ROUND(MIN(MAX(0,N('Your debts'!$E$6)),B187),2)</f>
      </c>
      <c r="M187" s="33">
        <f>ROUND(MIN(MAX(0,N('Your debts'!$E$7)),C187),2)</f>
      </c>
      <c r="N187" s="33">
        <f>ROUND(MIN(MAX(0,N('Your debts'!$E$8)),D187),2)</f>
      </c>
      <c r="O187" s="33">
        <f>ROUND(MIN(MAX(0,N('Your debts'!$E$9)),E187),2)</f>
      </c>
      <c r="P187" s="33">
        <f>ROUND(MIN(MAX(0,N('Your debts'!$E$10)),F187),2)</f>
      </c>
      <c r="Q187" s="33">
        <f>ROUND(MIN(MAX(0,N('Your debts'!$E$11)),G187),2)</f>
      </c>
      <c r="R187" s="33">
        <f>ROUND(MIN(MAX(0,N('Your debts'!$E$12)),H187),2)</f>
      </c>
      <c r="S187" s="33">
        <f>ROUND(MIN(MAX(0,N('Your debts'!$E$13)),I187),2)</f>
      </c>
      <c r="T187" s="33">
        <f>ROUND(MIN(MAX(0,N('Your debts'!$E$14)),J187),2)</f>
      </c>
      <c r="U187" s="33">
        <f>ROUND(MIN(MAX(0,N('Your debts'!$E$15)),K187),2)</f>
      </c>
      <c r="V187" s="33">
        <f>ROUND(B187-L187,2)</f>
      </c>
      <c r="W187" s="33">
        <f>ROUND(C187-M187,2)</f>
      </c>
      <c r="X187" s="33">
        <f>ROUND(D187-N187,2)</f>
      </c>
      <c r="Y187" s="33">
        <f>ROUND(E187-O187,2)</f>
      </c>
      <c r="Z187" s="33">
        <f>ROUND(F187-P187,2)</f>
      </c>
      <c r="AA187" s="33">
        <f>ROUND(G187-Q187,2)</f>
      </c>
      <c r="AB187" s="33">
        <f>ROUND(H187-R187,2)</f>
      </c>
      <c r="AC187" s="33">
        <f>ROUND(I187-S187,2)</f>
      </c>
      <c r="AD187" s="33">
        <f>ROUND(J187-T187,2)</f>
      </c>
      <c r="AE187" s="33">
        <f>ROUND(K187-U187,2)</f>
      </c>
      <c r="AF187" s="33">
        <f>IF(V187&lt;=0,0,MAX(0,MIN(V187,ROUND($AZ187-SUMPRODUCT($V187:$AE187*($V187:$AE187&gt;0)*(($V$3:$AE$3&gt;V$3)+($V$3:$AE$3=V$3)*($V187:$AE187&lt;V187)+($V$3:$AE$3=V$3)*($V187:$AE187=V187)*($V$2:$AE$2&lt;V$2))),2))))</f>
      </c>
      <c r="AG187" s="33">
        <f>IF(W187&lt;=0,0,MAX(0,MIN(W187,ROUND($AZ187-SUMPRODUCT($V187:$AE187*($V187:$AE187&gt;0)*(($V$3:$AE$3&gt;W$3)+($V$3:$AE$3=W$3)*($V187:$AE187&lt;W187)+($V$3:$AE$3=W$3)*($V187:$AE187=W187)*($V$2:$AE$2&lt;W$2))),2))))</f>
      </c>
      <c r="AH187" s="33">
        <f>IF(X187&lt;=0,0,MAX(0,MIN(X187,ROUND($AZ187-SUMPRODUCT($V187:$AE187*($V187:$AE187&gt;0)*(($V$3:$AE$3&gt;X$3)+($V$3:$AE$3=X$3)*($V187:$AE187&lt;X187)+($V$3:$AE$3=X$3)*($V187:$AE187=X187)*($V$2:$AE$2&lt;X$2))),2))))</f>
      </c>
      <c r="AI187" s="33">
        <f>IF(Y187&lt;=0,0,MAX(0,MIN(Y187,ROUND($AZ187-SUMPRODUCT($V187:$AE187*($V187:$AE187&gt;0)*(($V$3:$AE$3&gt;Y$3)+($V$3:$AE$3=Y$3)*($V187:$AE187&lt;Y187)+($V$3:$AE$3=Y$3)*($V187:$AE187=Y187)*($V$2:$AE$2&lt;Y$2))),2))))</f>
      </c>
      <c r="AJ187" s="33">
        <f>IF(Z187&lt;=0,0,MAX(0,MIN(Z187,ROUND($AZ187-SUMPRODUCT($V187:$AE187*($V187:$AE187&gt;0)*(($V$3:$AE$3&gt;Z$3)+($V$3:$AE$3=Z$3)*($V187:$AE187&lt;Z187)+($V$3:$AE$3=Z$3)*($V187:$AE187=Z187)*($V$2:$AE$2&lt;Z$2))),2))))</f>
      </c>
      <c r="AK187" s="33">
        <f>IF(AA187&lt;=0,0,MAX(0,MIN(AA187,ROUND($AZ187-SUMPRODUCT($V187:$AE187*($V187:$AE187&gt;0)*(($V$3:$AE$3&gt;AA$3)+($V$3:$AE$3=AA$3)*($V187:$AE187&lt;AA187)+($V$3:$AE$3=AA$3)*($V187:$AE187=AA187)*($V$2:$AE$2&lt;AA$2))),2))))</f>
      </c>
      <c r="AL187" s="33">
        <f>IF(AB187&lt;=0,0,MAX(0,MIN(AB187,ROUND($AZ187-SUMPRODUCT($V187:$AE187*($V187:$AE187&gt;0)*(($V$3:$AE$3&gt;AB$3)+($V$3:$AE$3=AB$3)*($V187:$AE187&lt;AB187)+($V$3:$AE$3=AB$3)*($V187:$AE187=AB187)*($V$2:$AE$2&lt;AB$2))),2))))</f>
      </c>
      <c r="AM187" s="33">
        <f>IF(AC187&lt;=0,0,MAX(0,MIN(AC187,ROUND($AZ187-SUMPRODUCT($V187:$AE187*($V187:$AE187&gt;0)*(($V$3:$AE$3&gt;AC$3)+($V$3:$AE$3=AC$3)*($V187:$AE187&lt;AC187)+($V$3:$AE$3=AC$3)*($V187:$AE187=AC187)*($V$2:$AE$2&lt;AC$2))),2))))</f>
      </c>
      <c r="AN187" s="33">
        <f>IF(AD187&lt;=0,0,MAX(0,MIN(AD187,ROUND($AZ187-SUMPRODUCT($V187:$AE187*($V187:$AE187&gt;0)*(($V$3:$AE$3&gt;AD$3)+($V$3:$AE$3=AD$3)*($V187:$AE187&lt;AD187)+($V$3:$AE$3=AD$3)*($V187:$AE187=AD187)*($V$2:$AE$2&lt;AD$2))),2))))</f>
      </c>
      <c r="AO187" s="33">
        <f>IF(AE187&lt;=0,0,MAX(0,MIN(AE187,ROUND($AZ187-SUMPRODUCT($V187:$AE187*($V187:$AE187&gt;0)*(($V$3:$AE$3&gt;AE$3)+($V$3:$AE$3=AE$3)*($V187:$AE187&lt;AE187)+($V$3:$AE$3=AE$3)*($V187:$AE187=AE187)*($V$2:$AE$2&lt;AE$2))),2))))</f>
      </c>
      <c r="AP187" s="33">
        <f>ROUND(V187-AF187,2)</f>
      </c>
      <c r="AQ187" s="33">
        <f>ROUND(W187-AG187,2)</f>
      </c>
      <c r="AR187" s="33">
        <f>ROUND(X187-AH187,2)</f>
      </c>
      <c r="AS187" s="33">
        <f>ROUND(Y187-AI187,2)</f>
      </c>
      <c r="AT187" s="33">
        <f>ROUND(Z187-AJ187,2)</f>
      </c>
      <c r="AU187" s="33">
        <f>ROUND(AA187-AK187,2)</f>
      </c>
      <c r="AV187" s="33">
        <f>ROUND(AB187-AL187,2)</f>
      </c>
      <c r="AW187" s="33">
        <f>ROUND(AC187-AM187,2)</f>
      </c>
      <c r="AX187" s="33">
        <f>ROUND(AD187-AN187,2)</f>
      </c>
      <c r="AY187" s="33">
        <f>ROUND(AE187-AO187,2)</f>
      </c>
      <c r="AZ187" s="33">
        <f>ROUND(MAX(0,'Your debts'!$D$22-SUM($L187:$U187)),2)</f>
      </c>
      <c r="BA187" s="33">
        <f>ROUND(SUM($B187:$K187)-SUM($AP186:$AY186),2)</f>
      </c>
      <c r="BB187" s="33">
        <f>SUM($AP187:$AY187)</f>
      </c>
      <c r="BC187" s="33">
        <f>ROUND(SUM($L187:$U187)+SUM($AF187:$AO187),2)</f>
      </c>
    </row>
    <row r="188" spans="1:55" x14ac:dyDescent="0.25">
      <c r="A188">
        <v>181</v>
      </c>
      <c r="B188" s="33">
        <f>IF(AP187&lt;=0,0,ROUND(AP187+ROUND(AP187*V$3/12,2),2))</f>
      </c>
      <c r="C188" s="33">
        <f>IF(AQ187&lt;=0,0,ROUND(AQ187+ROUND(AQ187*W$3/12,2),2))</f>
      </c>
      <c r="D188" s="33">
        <f>IF(AR187&lt;=0,0,ROUND(AR187+ROUND(AR187*X$3/12,2),2))</f>
      </c>
      <c r="E188" s="33">
        <f>IF(AS187&lt;=0,0,ROUND(AS187+ROUND(AS187*Y$3/12,2),2))</f>
      </c>
      <c r="F188" s="33">
        <f>IF(AT187&lt;=0,0,ROUND(AT187+ROUND(AT187*Z$3/12,2),2))</f>
      </c>
      <c r="G188" s="33">
        <f>IF(AU187&lt;=0,0,ROUND(AU187+ROUND(AU187*AA$3/12,2),2))</f>
      </c>
      <c r="H188" s="33">
        <f>IF(AV187&lt;=0,0,ROUND(AV187+ROUND(AV187*AB$3/12,2),2))</f>
      </c>
      <c r="I188" s="33">
        <f>IF(AW187&lt;=0,0,ROUND(AW187+ROUND(AW187*AC$3/12,2),2))</f>
      </c>
      <c r="J188" s="33">
        <f>IF(AX187&lt;=0,0,ROUND(AX187+ROUND(AX187*AD$3/12,2),2))</f>
      </c>
      <c r="K188" s="33">
        <f>IF(AY187&lt;=0,0,ROUND(AY187+ROUND(AY187*AE$3/12,2),2))</f>
      </c>
      <c r="L188" s="33">
        <f>ROUND(MIN(MAX(0,N('Your debts'!$E$6)),B188),2)</f>
      </c>
      <c r="M188" s="33">
        <f>ROUND(MIN(MAX(0,N('Your debts'!$E$7)),C188),2)</f>
      </c>
      <c r="N188" s="33">
        <f>ROUND(MIN(MAX(0,N('Your debts'!$E$8)),D188),2)</f>
      </c>
      <c r="O188" s="33">
        <f>ROUND(MIN(MAX(0,N('Your debts'!$E$9)),E188),2)</f>
      </c>
      <c r="P188" s="33">
        <f>ROUND(MIN(MAX(0,N('Your debts'!$E$10)),F188),2)</f>
      </c>
      <c r="Q188" s="33">
        <f>ROUND(MIN(MAX(0,N('Your debts'!$E$11)),G188),2)</f>
      </c>
      <c r="R188" s="33">
        <f>ROUND(MIN(MAX(0,N('Your debts'!$E$12)),H188),2)</f>
      </c>
      <c r="S188" s="33">
        <f>ROUND(MIN(MAX(0,N('Your debts'!$E$13)),I188),2)</f>
      </c>
      <c r="T188" s="33">
        <f>ROUND(MIN(MAX(0,N('Your debts'!$E$14)),J188),2)</f>
      </c>
      <c r="U188" s="33">
        <f>ROUND(MIN(MAX(0,N('Your debts'!$E$15)),K188),2)</f>
      </c>
      <c r="V188" s="33">
        <f>ROUND(B188-L188,2)</f>
      </c>
      <c r="W188" s="33">
        <f>ROUND(C188-M188,2)</f>
      </c>
      <c r="X188" s="33">
        <f>ROUND(D188-N188,2)</f>
      </c>
      <c r="Y188" s="33">
        <f>ROUND(E188-O188,2)</f>
      </c>
      <c r="Z188" s="33">
        <f>ROUND(F188-P188,2)</f>
      </c>
      <c r="AA188" s="33">
        <f>ROUND(G188-Q188,2)</f>
      </c>
      <c r="AB188" s="33">
        <f>ROUND(H188-R188,2)</f>
      </c>
      <c r="AC188" s="33">
        <f>ROUND(I188-S188,2)</f>
      </c>
      <c r="AD188" s="33">
        <f>ROUND(J188-T188,2)</f>
      </c>
      <c r="AE188" s="33">
        <f>ROUND(K188-U188,2)</f>
      </c>
      <c r="AF188" s="33">
        <f>IF(V188&lt;=0,0,MAX(0,MIN(V188,ROUND($AZ188-SUMPRODUCT($V188:$AE188*($V188:$AE188&gt;0)*(($V$3:$AE$3&gt;V$3)+($V$3:$AE$3=V$3)*($V188:$AE188&lt;V188)+($V$3:$AE$3=V$3)*($V188:$AE188=V188)*($V$2:$AE$2&lt;V$2))),2))))</f>
      </c>
      <c r="AG188" s="33">
        <f>IF(W188&lt;=0,0,MAX(0,MIN(W188,ROUND($AZ188-SUMPRODUCT($V188:$AE188*($V188:$AE188&gt;0)*(($V$3:$AE$3&gt;W$3)+($V$3:$AE$3=W$3)*($V188:$AE188&lt;W188)+($V$3:$AE$3=W$3)*($V188:$AE188=W188)*($V$2:$AE$2&lt;W$2))),2))))</f>
      </c>
      <c r="AH188" s="33">
        <f>IF(X188&lt;=0,0,MAX(0,MIN(X188,ROUND($AZ188-SUMPRODUCT($V188:$AE188*($V188:$AE188&gt;0)*(($V$3:$AE$3&gt;X$3)+($V$3:$AE$3=X$3)*($V188:$AE188&lt;X188)+($V$3:$AE$3=X$3)*($V188:$AE188=X188)*($V$2:$AE$2&lt;X$2))),2))))</f>
      </c>
      <c r="AI188" s="33">
        <f>IF(Y188&lt;=0,0,MAX(0,MIN(Y188,ROUND($AZ188-SUMPRODUCT($V188:$AE188*($V188:$AE188&gt;0)*(($V$3:$AE$3&gt;Y$3)+($V$3:$AE$3=Y$3)*($V188:$AE188&lt;Y188)+($V$3:$AE$3=Y$3)*($V188:$AE188=Y188)*($V$2:$AE$2&lt;Y$2))),2))))</f>
      </c>
      <c r="AJ188" s="33">
        <f>IF(Z188&lt;=0,0,MAX(0,MIN(Z188,ROUND($AZ188-SUMPRODUCT($V188:$AE188*($V188:$AE188&gt;0)*(($V$3:$AE$3&gt;Z$3)+($V$3:$AE$3=Z$3)*($V188:$AE188&lt;Z188)+($V$3:$AE$3=Z$3)*($V188:$AE188=Z188)*($V$2:$AE$2&lt;Z$2))),2))))</f>
      </c>
      <c r="AK188" s="33">
        <f>IF(AA188&lt;=0,0,MAX(0,MIN(AA188,ROUND($AZ188-SUMPRODUCT($V188:$AE188*($V188:$AE188&gt;0)*(($V$3:$AE$3&gt;AA$3)+($V$3:$AE$3=AA$3)*($V188:$AE188&lt;AA188)+($V$3:$AE$3=AA$3)*($V188:$AE188=AA188)*($V$2:$AE$2&lt;AA$2))),2))))</f>
      </c>
      <c r="AL188" s="33">
        <f>IF(AB188&lt;=0,0,MAX(0,MIN(AB188,ROUND($AZ188-SUMPRODUCT($V188:$AE188*($V188:$AE188&gt;0)*(($V$3:$AE$3&gt;AB$3)+($V$3:$AE$3=AB$3)*($V188:$AE188&lt;AB188)+($V$3:$AE$3=AB$3)*($V188:$AE188=AB188)*($V$2:$AE$2&lt;AB$2))),2))))</f>
      </c>
      <c r="AM188" s="33">
        <f>IF(AC188&lt;=0,0,MAX(0,MIN(AC188,ROUND($AZ188-SUMPRODUCT($V188:$AE188*($V188:$AE188&gt;0)*(($V$3:$AE$3&gt;AC$3)+($V$3:$AE$3=AC$3)*($V188:$AE188&lt;AC188)+($V$3:$AE$3=AC$3)*($V188:$AE188=AC188)*($V$2:$AE$2&lt;AC$2))),2))))</f>
      </c>
      <c r="AN188" s="33">
        <f>IF(AD188&lt;=0,0,MAX(0,MIN(AD188,ROUND($AZ188-SUMPRODUCT($V188:$AE188*($V188:$AE188&gt;0)*(($V$3:$AE$3&gt;AD$3)+($V$3:$AE$3=AD$3)*($V188:$AE188&lt;AD188)+($V$3:$AE$3=AD$3)*($V188:$AE188=AD188)*($V$2:$AE$2&lt;AD$2))),2))))</f>
      </c>
      <c r="AO188" s="33">
        <f>IF(AE188&lt;=0,0,MAX(0,MIN(AE188,ROUND($AZ188-SUMPRODUCT($V188:$AE188*($V188:$AE188&gt;0)*(($V$3:$AE$3&gt;AE$3)+($V$3:$AE$3=AE$3)*($V188:$AE188&lt;AE188)+($V$3:$AE$3=AE$3)*($V188:$AE188=AE188)*($V$2:$AE$2&lt;AE$2))),2))))</f>
      </c>
      <c r="AP188" s="33">
        <f>ROUND(V188-AF188,2)</f>
      </c>
      <c r="AQ188" s="33">
        <f>ROUND(W188-AG188,2)</f>
      </c>
      <c r="AR188" s="33">
        <f>ROUND(X188-AH188,2)</f>
      </c>
      <c r="AS188" s="33">
        <f>ROUND(Y188-AI188,2)</f>
      </c>
      <c r="AT188" s="33">
        <f>ROUND(Z188-AJ188,2)</f>
      </c>
      <c r="AU188" s="33">
        <f>ROUND(AA188-AK188,2)</f>
      </c>
      <c r="AV188" s="33">
        <f>ROUND(AB188-AL188,2)</f>
      </c>
      <c r="AW188" s="33">
        <f>ROUND(AC188-AM188,2)</f>
      </c>
      <c r="AX188" s="33">
        <f>ROUND(AD188-AN188,2)</f>
      </c>
      <c r="AY188" s="33">
        <f>ROUND(AE188-AO188,2)</f>
      </c>
      <c r="AZ188" s="33">
        <f>ROUND(MAX(0,'Your debts'!$D$22-SUM($L188:$U188)),2)</f>
      </c>
      <c r="BA188" s="33">
        <f>ROUND(SUM($B188:$K188)-SUM($AP187:$AY187),2)</f>
      </c>
      <c r="BB188" s="33">
        <f>SUM($AP188:$AY188)</f>
      </c>
      <c r="BC188" s="33">
        <f>ROUND(SUM($L188:$U188)+SUM($AF188:$AO188),2)</f>
      </c>
    </row>
    <row r="189" spans="1:55" x14ac:dyDescent="0.25">
      <c r="A189">
        <v>182</v>
      </c>
      <c r="B189" s="33">
        <f>IF(AP188&lt;=0,0,ROUND(AP188+ROUND(AP188*V$3/12,2),2))</f>
      </c>
      <c r="C189" s="33">
        <f>IF(AQ188&lt;=0,0,ROUND(AQ188+ROUND(AQ188*W$3/12,2),2))</f>
      </c>
      <c r="D189" s="33">
        <f>IF(AR188&lt;=0,0,ROUND(AR188+ROUND(AR188*X$3/12,2),2))</f>
      </c>
      <c r="E189" s="33">
        <f>IF(AS188&lt;=0,0,ROUND(AS188+ROUND(AS188*Y$3/12,2),2))</f>
      </c>
      <c r="F189" s="33">
        <f>IF(AT188&lt;=0,0,ROUND(AT188+ROUND(AT188*Z$3/12,2),2))</f>
      </c>
      <c r="G189" s="33">
        <f>IF(AU188&lt;=0,0,ROUND(AU188+ROUND(AU188*AA$3/12,2),2))</f>
      </c>
      <c r="H189" s="33">
        <f>IF(AV188&lt;=0,0,ROUND(AV188+ROUND(AV188*AB$3/12,2),2))</f>
      </c>
      <c r="I189" s="33">
        <f>IF(AW188&lt;=0,0,ROUND(AW188+ROUND(AW188*AC$3/12,2),2))</f>
      </c>
      <c r="J189" s="33">
        <f>IF(AX188&lt;=0,0,ROUND(AX188+ROUND(AX188*AD$3/12,2),2))</f>
      </c>
      <c r="K189" s="33">
        <f>IF(AY188&lt;=0,0,ROUND(AY188+ROUND(AY188*AE$3/12,2),2))</f>
      </c>
      <c r="L189" s="33">
        <f>ROUND(MIN(MAX(0,N('Your debts'!$E$6)),B189),2)</f>
      </c>
      <c r="M189" s="33">
        <f>ROUND(MIN(MAX(0,N('Your debts'!$E$7)),C189),2)</f>
      </c>
      <c r="N189" s="33">
        <f>ROUND(MIN(MAX(0,N('Your debts'!$E$8)),D189),2)</f>
      </c>
      <c r="O189" s="33">
        <f>ROUND(MIN(MAX(0,N('Your debts'!$E$9)),E189),2)</f>
      </c>
      <c r="P189" s="33">
        <f>ROUND(MIN(MAX(0,N('Your debts'!$E$10)),F189),2)</f>
      </c>
      <c r="Q189" s="33">
        <f>ROUND(MIN(MAX(0,N('Your debts'!$E$11)),G189),2)</f>
      </c>
      <c r="R189" s="33">
        <f>ROUND(MIN(MAX(0,N('Your debts'!$E$12)),H189),2)</f>
      </c>
      <c r="S189" s="33">
        <f>ROUND(MIN(MAX(0,N('Your debts'!$E$13)),I189),2)</f>
      </c>
      <c r="T189" s="33">
        <f>ROUND(MIN(MAX(0,N('Your debts'!$E$14)),J189),2)</f>
      </c>
      <c r="U189" s="33">
        <f>ROUND(MIN(MAX(0,N('Your debts'!$E$15)),K189),2)</f>
      </c>
      <c r="V189" s="33">
        <f>ROUND(B189-L189,2)</f>
      </c>
      <c r="W189" s="33">
        <f>ROUND(C189-M189,2)</f>
      </c>
      <c r="X189" s="33">
        <f>ROUND(D189-N189,2)</f>
      </c>
      <c r="Y189" s="33">
        <f>ROUND(E189-O189,2)</f>
      </c>
      <c r="Z189" s="33">
        <f>ROUND(F189-P189,2)</f>
      </c>
      <c r="AA189" s="33">
        <f>ROUND(G189-Q189,2)</f>
      </c>
      <c r="AB189" s="33">
        <f>ROUND(H189-R189,2)</f>
      </c>
      <c r="AC189" s="33">
        <f>ROUND(I189-S189,2)</f>
      </c>
      <c r="AD189" s="33">
        <f>ROUND(J189-T189,2)</f>
      </c>
      <c r="AE189" s="33">
        <f>ROUND(K189-U189,2)</f>
      </c>
      <c r="AF189" s="33">
        <f>IF(V189&lt;=0,0,MAX(0,MIN(V189,ROUND($AZ189-SUMPRODUCT($V189:$AE189*($V189:$AE189&gt;0)*(($V$3:$AE$3&gt;V$3)+($V$3:$AE$3=V$3)*($V189:$AE189&lt;V189)+($V$3:$AE$3=V$3)*($V189:$AE189=V189)*($V$2:$AE$2&lt;V$2))),2))))</f>
      </c>
      <c r="AG189" s="33">
        <f>IF(W189&lt;=0,0,MAX(0,MIN(W189,ROUND($AZ189-SUMPRODUCT($V189:$AE189*($V189:$AE189&gt;0)*(($V$3:$AE$3&gt;W$3)+($V$3:$AE$3=W$3)*($V189:$AE189&lt;W189)+($V$3:$AE$3=W$3)*($V189:$AE189=W189)*($V$2:$AE$2&lt;W$2))),2))))</f>
      </c>
      <c r="AH189" s="33">
        <f>IF(X189&lt;=0,0,MAX(0,MIN(X189,ROUND($AZ189-SUMPRODUCT($V189:$AE189*($V189:$AE189&gt;0)*(($V$3:$AE$3&gt;X$3)+($V$3:$AE$3=X$3)*($V189:$AE189&lt;X189)+($V$3:$AE$3=X$3)*($V189:$AE189=X189)*($V$2:$AE$2&lt;X$2))),2))))</f>
      </c>
      <c r="AI189" s="33">
        <f>IF(Y189&lt;=0,0,MAX(0,MIN(Y189,ROUND($AZ189-SUMPRODUCT($V189:$AE189*($V189:$AE189&gt;0)*(($V$3:$AE$3&gt;Y$3)+($V$3:$AE$3=Y$3)*($V189:$AE189&lt;Y189)+($V$3:$AE$3=Y$3)*($V189:$AE189=Y189)*($V$2:$AE$2&lt;Y$2))),2))))</f>
      </c>
      <c r="AJ189" s="33">
        <f>IF(Z189&lt;=0,0,MAX(0,MIN(Z189,ROUND($AZ189-SUMPRODUCT($V189:$AE189*($V189:$AE189&gt;0)*(($V$3:$AE$3&gt;Z$3)+($V$3:$AE$3=Z$3)*($V189:$AE189&lt;Z189)+($V$3:$AE$3=Z$3)*($V189:$AE189=Z189)*($V$2:$AE$2&lt;Z$2))),2))))</f>
      </c>
      <c r="AK189" s="33">
        <f>IF(AA189&lt;=0,0,MAX(0,MIN(AA189,ROUND($AZ189-SUMPRODUCT($V189:$AE189*($V189:$AE189&gt;0)*(($V$3:$AE$3&gt;AA$3)+($V$3:$AE$3=AA$3)*($V189:$AE189&lt;AA189)+($V$3:$AE$3=AA$3)*($V189:$AE189=AA189)*($V$2:$AE$2&lt;AA$2))),2))))</f>
      </c>
      <c r="AL189" s="33">
        <f>IF(AB189&lt;=0,0,MAX(0,MIN(AB189,ROUND($AZ189-SUMPRODUCT($V189:$AE189*($V189:$AE189&gt;0)*(($V$3:$AE$3&gt;AB$3)+($V$3:$AE$3=AB$3)*($V189:$AE189&lt;AB189)+($V$3:$AE$3=AB$3)*($V189:$AE189=AB189)*($V$2:$AE$2&lt;AB$2))),2))))</f>
      </c>
      <c r="AM189" s="33">
        <f>IF(AC189&lt;=0,0,MAX(0,MIN(AC189,ROUND($AZ189-SUMPRODUCT($V189:$AE189*($V189:$AE189&gt;0)*(($V$3:$AE$3&gt;AC$3)+($V$3:$AE$3=AC$3)*($V189:$AE189&lt;AC189)+($V$3:$AE$3=AC$3)*($V189:$AE189=AC189)*($V$2:$AE$2&lt;AC$2))),2))))</f>
      </c>
      <c r="AN189" s="33">
        <f>IF(AD189&lt;=0,0,MAX(0,MIN(AD189,ROUND($AZ189-SUMPRODUCT($V189:$AE189*($V189:$AE189&gt;0)*(($V$3:$AE$3&gt;AD$3)+($V$3:$AE$3=AD$3)*($V189:$AE189&lt;AD189)+($V$3:$AE$3=AD$3)*($V189:$AE189=AD189)*($V$2:$AE$2&lt;AD$2))),2))))</f>
      </c>
      <c r="AO189" s="33">
        <f>IF(AE189&lt;=0,0,MAX(0,MIN(AE189,ROUND($AZ189-SUMPRODUCT($V189:$AE189*($V189:$AE189&gt;0)*(($V$3:$AE$3&gt;AE$3)+($V$3:$AE$3=AE$3)*($V189:$AE189&lt;AE189)+($V$3:$AE$3=AE$3)*($V189:$AE189=AE189)*($V$2:$AE$2&lt;AE$2))),2))))</f>
      </c>
      <c r="AP189" s="33">
        <f>ROUND(V189-AF189,2)</f>
      </c>
      <c r="AQ189" s="33">
        <f>ROUND(W189-AG189,2)</f>
      </c>
      <c r="AR189" s="33">
        <f>ROUND(X189-AH189,2)</f>
      </c>
      <c r="AS189" s="33">
        <f>ROUND(Y189-AI189,2)</f>
      </c>
      <c r="AT189" s="33">
        <f>ROUND(Z189-AJ189,2)</f>
      </c>
      <c r="AU189" s="33">
        <f>ROUND(AA189-AK189,2)</f>
      </c>
      <c r="AV189" s="33">
        <f>ROUND(AB189-AL189,2)</f>
      </c>
      <c r="AW189" s="33">
        <f>ROUND(AC189-AM189,2)</f>
      </c>
      <c r="AX189" s="33">
        <f>ROUND(AD189-AN189,2)</f>
      </c>
      <c r="AY189" s="33">
        <f>ROUND(AE189-AO189,2)</f>
      </c>
      <c r="AZ189" s="33">
        <f>ROUND(MAX(0,'Your debts'!$D$22-SUM($L189:$U189)),2)</f>
      </c>
      <c r="BA189" s="33">
        <f>ROUND(SUM($B189:$K189)-SUM($AP188:$AY188),2)</f>
      </c>
      <c r="BB189" s="33">
        <f>SUM($AP189:$AY189)</f>
      </c>
      <c r="BC189" s="33">
        <f>ROUND(SUM($L189:$U189)+SUM($AF189:$AO189),2)</f>
      </c>
    </row>
    <row r="190" spans="1:55" x14ac:dyDescent="0.25">
      <c r="A190">
        <v>183</v>
      </c>
      <c r="B190" s="33">
        <f>IF(AP189&lt;=0,0,ROUND(AP189+ROUND(AP189*V$3/12,2),2))</f>
      </c>
      <c r="C190" s="33">
        <f>IF(AQ189&lt;=0,0,ROUND(AQ189+ROUND(AQ189*W$3/12,2),2))</f>
      </c>
      <c r="D190" s="33">
        <f>IF(AR189&lt;=0,0,ROUND(AR189+ROUND(AR189*X$3/12,2),2))</f>
      </c>
      <c r="E190" s="33">
        <f>IF(AS189&lt;=0,0,ROUND(AS189+ROUND(AS189*Y$3/12,2),2))</f>
      </c>
      <c r="F190" s="33">
        <f>IF(AT189&lt;=0,0,ROUND(AT189+ROUND(AT189*Z$3/12,2),2))</f>
      </c>
      <c r="G190" s="33">
        <f>IF(AU189&lt;=0,0,ROUND(AU189+ROUND(AU189*AA$3/12,2),2))</f>
      </c>
      <c r="H190" s="33">
        <f>IF(AV189&lt;=0,0,ROUND(AV189+ROUND(AV189*AB$3/12,2),2))</f>
      </c>
      <c r="I190" s="33">
        <f>IF(AW189&lt;=0,0,ROUND(AW189+ROUND(AW189*AC$3/12,2),2))</f>
      </c>
      <c r="J190" s="33">
        <f>IF(AX189&lt;=0,0,ROUND(AX189+ROUND(AX189*AD$3/12,2),2))</f>
      </c>
      <c r="K190" s="33">
        <f>IF(AY189&lt;=0,0,ROUND(AY189+ROUND(AY189*AE$3/12,2),2))</f>
      </c>
      <c r="L190" s="33">
        <f>ROUND(MIN(MAX(0,N('Your debts'!$E$6)),B190),2)</f>
      </c>
      <c r="M190" s="33">
        <f>ROUND(MIN(MAX(0,N('Your debts'!$E$7)),C190),2)</f>
      </c>
      <c r="N190" s="33">
        <f>ROUND(MIN(MAX(0,N('Your debts'!$E$8)),D190),2)</f>
      </c>
      <c r="O190" s="33">
        <f>ROUND(MIN(MAX(0,N('Your debts'!$E$9)),E190),2)</f>
      </c>
      <c r="P190" s="33">
        <f>ROUND(MIN(MAX(0,N('Your debts'!$E$10)),F190),2)</f>
      </c>
      <c r="Q190" s="33">
        <f>ROUND(MIN(MAX(0,N('Your debts'!$E$11)),G190),2)</f>
      </c>
      <c r="R190" s="33">
        <f>ROUND(MIN(MAX(0,N('Your debts'!$E$12)),H190),2)</f>
      </c>
      <c r="S190" s="33">
        <f>ROUND(MIN(MAX(0,N('Your debts'!$E$13)),I190),2)</f>
      </c>
      <c r="T190" s="33">
        <f>ROUND(MIN(MAX(0,N('Your debts'!$E$14)),J190),2)</f>
      </c>
      <c r="U190" s="33">
        <f>ROUND(MIN(MAX(0,N('Your debts'!$E$15)),K190),2)</f>
      </c>
      <c r="V190" s="33">
        <f>ROUND(B190-L190,2)</f>
      </c>
      <c r="W190" s="33">
        <f>ROUND(C190-M190,2)</f>
      </c>
      <c r="X190" s="33">
        <f>ROUND(D190-N190,2)</f>
      </c>
      <c r="Y190" s="33">
        <f>ROUND(E190-O190,2)</f>
      </c>
      <c r="Z190" s="33">
        <f>ROUND(F190-P190,2)</f>
      </c>
      <c r="AA190" s="33">
        <f>ROUND(G190-Q190,2)</f>
      </c>
      <c r="AB190" s="33">
        <f>ROUND(H190-R190,2)</f>
      </c>
      <c r="AC190" s="33">
        <f>ROUND(I190-S190,2)</f>
      </c>
      <c r="AD190" s="33">
        <f>ROUND(J190-T190,2)</f>
      </c>
      <c r="AE190" s="33">
        <f>ROUND(K190-U190,2)</f>
      </c>
      <c r="AF190" s="33">
        <f>IF(V190&lt;=0,0,MAX(0,MIN(V190,ROUND($AZ190-SUMPRODUCT($V190:$AE190*($V190:$AE190&gt;0)*(($V$3:$AE$3&gt;V$3)+($V$3:$AE$3=V$3)*($V190:$AE190&lt;V190)+($V$3:$AE$3=V$3)*($V190:$AE190=V190)*($V$2:$AE$2&lt;V$2))),2))))</f>
      </c>
      <c r="AG190" s="33">
        <f>IF(W190&lt;=0,0,MAX(0,MIN(W190,ROUND($AZ190-SUMPRODUCT($V190:$AE190*($V190:$AE190&gt;0)*(($V$3:$AE$3&gt;W$3)+($V$3:$AE$3=W$3)*($V190:$AE190&lt;W190)+($V$3:$AE$3=W$3)*($V190:$AE190=W190)*($V$2:$AE$2&lt;W$2))),2))))</f>
      </c>
      <c r="AH190" s="33">
        <f>IF(X190&lt;=0,0,MAX(0,MIN(X190,ROUND($AZ190-SUMPRODUCT($V190:$AE190*($V190:$AE190&gt;0)*(($V$3:$AE$3&gt;X$3)+($V$3:$AE$3=X$3)*($V190:$AE190&lt;X190)+($V$3:$AE$3=X$3)*($V190:$AE190=X190)*($V$2:$AE$2&lt;X$2))),2))))</f>
      </c>
      <c r="AI190" s="33">
        <f>IF(Y190&lt;=0,0,MAX(0,MIN(Y190,ROUND($AZ190-SUMPRODUCT($V190:$AE190*($V190:$AE190&gt;0)*(($V$3:$AE$3&gt;Y$3)+($V$3:$AE$3=Y$3)*($V190:$AE190&lt;Y190)+($V$3:$AE$3=Y$3)*($V190:$AE190=Y190)*($V$2:$AE$2&lt;Y$2))),2))))</f>
      </c>
      <c r="AJ190" s="33">
        <f>IF(Z190&lt;=0,0,MAX(0,MIN(Z190,ROUND($AZ190-SUMPRODUCT($V190:$AE190*($V190:$AE190&gt;0)*(($V$3:$AE$3&gt;Z$3)+($V$3:$AE$3=Z$3)*($V190:$AE190&lt;Z190)+($V$3:$AE$3=Z$3)*($V190:$AE190=Z190)*($V$2:$AE$2&lt;Z$2))),2))))</f>
      </c>
      <c r="AK190" s="33">
        <f>IF(AA190&lt;=0,0,MAX(0,MIN(AA190,ROUND($AZ190-SUMPRODUCT($V190:$AE190*($V190:$AE190&gt;0)*(($V$3:$AE$3&gt;AA$3)+($V$3:$AE$3=AA$3)*($V190:$AE190&lt;AA190)+($V$3:$AE$3=AA$3)*($V190:$AE190=AA190)*($V$2:$AE$2&lt;AA$2))),2))))</f>
      </c>
      <c r="AL190" s="33">
        <f>IF(AB190&lt;=0,0,MAX(0,MIN(AB190,ROUND($AZ190-SUMPRODUCT($V190:$AE190*($V190:$AE190&gt;0)*(($V$3:$AE$3&gt;AB$3)+($V$3:$AE$3=AB$3)*($V190:$AE190&lt;AB190)+($V$3:$AE$3=AB$3)*($V190:$AE190=AB190)*($V$2:$AE$2&lt;AB$2))),2))))</f>
      </c>
      <c r="AM190" s="33">
        <f>IF(AC190&lt;=0,0,MAX(0,MIN(AC190,ROUND($AZ190-SUMPRODUCT($V190:$AE190*($V190:$AE190&gt;0)*(($V$3:$AE$3&gt;AC$3)+($V$3:$AE$3=AC$3)*($V190:$AE190&lt;AC190)+($V$3:$AE$3=AC$3)*($V190:$AE190=AC190)*($V$2:$AE$2&lt;AC$2))),2))))</f>
      </c>
      <c r="AN190" s="33">
        <f>IF(AD190&lt;=0,0,MAX(0,MIN(AD190,ROUND($AZ190-SUMPRODUCT($V190:$AE190*($V190:$AE190&gt;0)*(($V$3:$AE$3&gt;AD$3)+($V$3:$AE$3=AD$3)*($V190:$AE190&lt;AD190)+($V$3:$AE$3=AD$3)*($V190:$AE190=AD190)*($V$2:$AE$2&lt;AD$2))),2))))</f>
      </c>
      <c r="AO190" s="33">
        <f>IF(AE190&lt;=0,0,MAX(0,MIN(AE190,ROUND($AZ190-SUMPRODUCT($V190:$AE190*($V190:$AE190&gt;0)*(($V$3:$AE$3&gt;AE$3)+($V$3:$AE$3=AE$3)*($V190:$AE190&lt;AE190)+($V$3:$AE$3=AE$3)*($V190:$AE190=AE190)*($V$2:$AE$2&lt;AE$2))),2))))</f>
      </c>
      <c r="AP190" s="33">
        <f>ROUND(V190-AF190,2)</f>
      </c>
      <c r="AQ190" s="33">
        <f>ROUND(W190-AG190,2)</f>
      </c>
      <c r="AR190" s="33">
        <f>ROUND(X190-AH190,2)</f>
      </c>
      <c r="AS190" s="33">
        <f>ROUND(Y190-AI190,2)</f>
      </c>
      <c r="AT190" s="33">
        <f>ROUND(Z190-AJ190,2)</f>
      </c>
      <c r="AU190" s="33">
        <f>ROUND(AA190-AK190,2)</f>
      </c>
      <c r="AV190" s="33">
        <f>ROUND(AB190-AL190,2)</f>
      </c>
      <c r="AW190" s="33">
        <f>ROUND(AC190-AM190,2)</f>
      </c>
      <c r="AX190" s="33">
        <f>ROUND(AD190-AN190,2)</f>
      </c>
      <c r="AY190" s="33">
        <f>ROUND(AE190-AO190,2)</f>
      </c>
      <c r="AZ190" s="33">
        <f>ROUND(MAX(0,'Your debts'!$D$22-SUM($L190:$U190)),2)</f>
      </c>
      <c r="BA190" s="33">
        <f>ROUND(SUM($B190:$K190)-SUM($AP189:$AY189),2)</f>
      </c>
      <c r="BB190" s="33">
        <f>SUM($AP190:$AY190)</f>
      </c>
      <c r="BC190" s="33">
        <f>ROUND(SUM($L190:$U190)+SUM($AF190:$AO190),2)</f>
      </c>
    </row>
    <row r="191" spans="1:55" x14ac:dyDescent="0.25">
      <c r="A191">
        <v>184</v>
      </c>
      <c r="B191" s="33">
        <f>IF(AP190&lt;=0,0,ROUND(AP190+ROUND(AP190*V$3/12,2),2))</f>
      </c>
      <c r="C191" s="33">
        <f>IF(AQ190&lt;=0,0,ROUND(AQ190+ROUND(AQ190*W$3/12,2),2))</f>
      </c>
      <c r="D191" s="33">
        <f>IF(AR190&lt;=0,0,ROUND(AR190+ROUND(AR190*X$3/12,2),2))</f>
      </c>
      <c r="E191" s="33">
        <f>IF(AS190&lt;=0,0,ROUND(AS190+ROUND(AS190*Y$3/12,2),2))</f>
      </c>
      <c r="F191" s="33">
        <f>IF(AT190&lt;=0,0,ROUND(AT190+ROUND(AT190*Z$3/12,2),2))</f>
      </c>
      <c r="G191" s="33">
        <f>IF(AU190&lt;=0,0,ROUND(AU190+ROUND(AU190*AA$3/12,2),2))</f>
      </c>
      <c r="H191" s="33">
        <f>IF(AV190&lt;=0,0,ROUND(AV190+ROUND(AV190*AB$3/12,2),2))</f>
      </c>
      <c r="I191" s="33">
        <f>IF(AW190&lt;=0,0,ROUND(AW190+ROUND(AW190*AC$3/12,2),2))</f>
      </c>
      <c r="J191" s="33">
        <f>IF(AX190&lt;=0,0,ROUND(AX190+ROUND(AX190*AD$3/12,2),2))</f>
      </c>
      <c r="K191" s="33">
        <f>IF(AY190&lt;=0,0,ROUND(AY190+ROUND(AY190*AE$3/12,2),2))</f>
      </c>
      <c r="L191" s="33">
        <f>ROUND(MIN(MAX(0,N('Your debts'!$E$6)),B191),2)</f>
      </c>
      <c r="M191" s="33">
        <f>ROUND(MIN(MAX(0,N('Your debts'!$E$7)),C191),2)</f>
      </c>
      <c r="N191" s="33">
        <f>ROUND(MIN(MAX(0,N('Your debts'!$E$8)),D191),2)</f>
      </c>
      <c r="O191" s="33">
        <f>ROUND(MIN(MAX(0,N('Your debts'!$E$9)),E191),2)</f>
      </c>
      <c r="P191" s="33">
        <f>ROUND(MIN(MAX(0,N('Your debts'!$E$10)),F191),2)</f>
      </c>
      <c r="Q191" s="33">
        <f>ROUND(MIN(MAX(0,N('Your debts'!$E$11)),G191),2)</f>
      </c>
      <c r="R191" s="33">
        <f>ROUND(MIN(MAX(0,N('Your debts'!$E$12)),H191),2)</f>
      </c>
      <c r="S191" s="33">
        <f>ROUND(MIN(MAX(0,N('Your debts'!$E$13)),I191),2)</f>
      </c>
      <c r="T191" s="33">
        <f>ROUND(MIN(MAX(0,N('Your debts'!$E$14)),J191),2)</f>
      </c>
      <c r="U191" s="33">
        <f>ROUND(MIN(MAX(0,N('Your debts'!$E$15)),K191),2)</f>
      </c>
      <c r="V191" s="33">
        <f>ROUND(B191-L191,2)</f>
      </c>
      <c r="W191" s="33">
        <f>ROUND(C191-M191,2)</f>
      </c>
      <c r="X191" s="33">
        <f>ROUND(D191-N191,2)</f>
      </c>
      <c r="Y191" s="33">
        <f>ROUND(E191-O191,2)</f>
      </c>
      <c r="Z191" s="33">
        <f>ROUND(F191-P191,2)</f>
      </c>
      <c r="AA191" s="33">
        <f>ROUND(G191-Q191,2)</f>
      </c>
      <c r="AB191" s="33">
        <f>ROUND(H191-R191,2)</f>
      </c>
      <c r="AC191" s="33">
        <f>ROUND(I191-S191,2)</f>
      </c>
      <c r="AD191" s="33">
        <f>ROUND(J191-T191,2)</f>
      </c>
      <c r="AE191" s="33">
        <f>ROUND(K191-U191,2)</f>
      </c>
      <c r="AF191" s="33">
        <f>IF(V191&lt;=0,0,MAX(0,MIN(V191,ROUND($AZ191-SUMPRODUCT($V191:$AE191*($V191:$AE191&gt;0)*(($V$3:$AE$3&gt;V$3)+($V$3:$AE$3=V$3)*($V191:$AE191&lt;V191)+($V$3:$AE$3=V$3)*($V191:$AE191=V191)*($V$2:$AE$2&lt;V$2))),2))))</f>
      </c>
      <c r="AG191" s="33">
        <f>IF(W191&lt;=0,0,MAX(0,MIN(W191,ROUND($AZ191-SUMPRODUCT($V191:$AE191*($V191:$AE191&gt;0)*(($V$3:$AE$3&gt;W$3)+($V$3:$AE$3=W$3)*($V191:$AE191&lt;W191)+($V$3:$AE$3=W$3)*($V191:$AE191=W191)*($V$2:$AE$2&lt;W$2))),2))))</f>
      </c>
      <c r="AH191" s="33">
        <f>IF(X191&lt;=0,0,MAX(0,MIN(X191,ROUND($AZ191-SUMPRODUCT($V191:$AE191*($V191:$AE191&gt;0)*(($V$3:$AE$3&gt;X$3)+($V$3:$AE$3=X$3)*($V191:$AE191&lt;X191)+($V$3:$AE$3=X$3)*($V191:$AE191=X191)*($V$2:$AE$2&lt;X$2))),2))))</f>
      </c>
      <c r="AI191" s="33">
        <f>IF(Y191&lt;=0,0,MAX(0,MIN(Y191,ROUND($AZ191-SUMPRODUCT($V191:$AE191*($V191:$AE191&gt;0)*(($V$3:$AE$3&gt;Y$3)+($V$3:$AE$3=Y$3)*($V191:$AE191&lt;Y191)+($V$3:$AE$3=Y$3)*($V191:$AE191=Y191)*($V$2:$AE$2&lt;Y$2))),2))))</f>
      </c>
      <c r="AJ191" s="33">
        <f>IF(Z191&lt;=0,0,MAX(0,MIN(Z191,ROUND($AZ191-SUMPRODUCT($V191:$AE191*($V191:$AE191&gt;0)*(($V$3:$AE$3&gt;Z$3)+($V$3:$AE$3=Z$3)*($V191:$AE191&lt;Z191)+($V$3:$AE$3=Z$3)*($V191:$AE191=Z191)*($V$2:$AE$2&lt;Z$2))),2))))</f>
      </c>
      <c r="AK191" s="33">
        <f>IF(AA191&lt;=0,0,MAX(0,MIN(AA191,ROUND($AZ191-SUMPRODUCT($V191:$AE191*($V191:$AE191&gt;0)*(($V$3:$AE$3&gt;AA$3)+($V$3:$AE$3=AA$3)*($V191:$AE191&lt;AA191)+($V$3:$AE$3=AA$3)*($V191:$AE191=AA191)*($V$2:$AE$2&lt;AA$2))),2))))</f>
      </c>
      <c r="AL191" s="33">
        <f>IF(AB191&lt;=0,0,MAX(0,MIN(AB191,ROUND($AZ191-SUMPRODUCT($V191:$AE191*($V191:$AE191&gt;0)*(($V$3:$AE$3&gt;AB$3)+($V$3:$AE$3=AB$3)*($V191:$AE191&lt;AB191)+($V$3:$AE$3=AB$3)*($V191:$AE191=AB191)*($V$2:$AE$2&lt;AB$2))),2))))</f>
      </c>
      <c r="AM191" s="33">
        <f>IF(AC191&lt;=0,0,MAX(0,MIN(AC191,ROUND($AZ191-SUMPRODUCT($V191:$AE191*($V191:$AE191&gt;0)*(($V$3:$AE$3&gt;AC$3)+($V$3:$AE$3=AC$3)*($V191:$AE191&lt;AC191)+($V$3:$AE$3=AC$3)*($V191:$AE191=AC191)*($V$2:$AE$2&lt;AC$2))),2))))</f>
      </c>
      <c r="AN191" s="33">
        <f>IF(AD191&lt;=0,0,MAX(0,MIN(AD191,ROUND($AZ191-SUMPRODUCT($V191:$AE191*($V191:$AE191&gt;0)*(($V$3:$AE$3&gt;AD$3)+($V$3:$AE$3=AD$3)*($V191:$AE191&lt;AD191)+($V$3:$AE$3=AD$3)*($V191:$AE191=AD191)*($V$2:$AE$2&lt;AD$2))),2))))</f>
      </c>
      <c r="AO191" s="33">
        <f>IF(AE191&lt;=0,0,MAX(0,MIN(AE191,ROUND($AZ191-SUMPRODUCT($V191:$AE191*($V191:$AE191&gt;0)*(($V$3:$AE$3&gt;AE$3)+($V$3:$AE$3=AE$3)*($V191:$AE191&lt;AE191)+($V$3:$AE$3=AE$3)*($V191:$AE191=AE191)*($V$2:$AE$2&lt;AE$2))),2))))</f>
      </c>
      <c r="AP191" s="33">
        <f>ROUND(V191-AF191,2)</f>
      </c>
      <c r="AQ191" s="33">
        <f>ROUND(W191-AG191,2)</f>
      </c>
      <c r="AR191" s="33">
        <f>ROUND(X191-AH191,2)</f>
      </c>
      <c r="AS191" s="33">
        <f>ROUND(Y191-AI191,2)</f>
      </c>
      <c r="AT191" s="33">
        <f>ROUND(Z191-AJ191,2)</f>
      </c>
      <c r="AU191" s="33">
        <f>ROUND(AA191-AK191,2)</f>
      </c>
      <c r="AV191" s="33">
        <f>ROUND(AB191-AL191,2)</f>
      </c>
      <c r="AW191" s="33">
        <f>ROUND(AC191-AM191,2)</f>
      </c>
      <c r="AX191" s="33">
        <f>ROUND(AD191-AN191,2)</f>
      </c>
      <c r="AY191" s="33">
        <f>ROUND(AE191-AO191,2)</f>
      </c>
      <c r="AZ191" s="33">
        <f>ROUND(MAX(0,'Your debts'!$D$22-SUM($L191:$U191)),2)</f>
      </c>
      <c r="BA191" s="33">
        <f>ROUND(SUM($B191:$K191)-SUM($AP190:$AY190),2)</f>
      </c>
      <c r="BB191" s="33">
        <f>SUM($AP191:$AY191)</f>
      </c>
      <c r="BC191" s="33">
        <f>ROUND(SUM($L191:$U191)+SUM($AF191:$AO191),2)</f>
      </c>
    </row>
    <row r="192" spans="1:55" x14ac:dyDescent="0.25">
      <c r="A192">
        <v>185</v>
      </c>
      <c r="B192" s="33">
        <f>IF(AP191&lt;=0,0,ROUND(AP191+ROUND(AP191*V$3/12,2),2))</f>
      </c>
      <c r="C192" s="33">
        <f>IF(AQ191&lt;=0,0,ROUND(AQ191+ROUND(AQ191*W$3/12,2),2))</f>
      </c>
      <c r="D192" s="33">
        <f>IF(AR191&lt;=0,0,ROUND(AR191+ROUND(AR191*X$3/12,2),2))</f>
      </c>
      <c r="E192" s="33">
        <f>IF(AS191&lt;=0,0,ROUND(AS191+ROUND(AS191*Y$3/12,2),2))</f>
      </c>
      <c r="F192" s="33">
        <f>IF(AT191&lt;=0,0,ROUND(AT191+ROUND(AT191*Z$3/12,2),2))</f>
      </c>
      <c r="G192" s="33">
        <f>IF(AU191&lt;=0,0,ROUND(AU191+ROUND(AU191*AA$3/12,2),2))</f>
      </c>
      <c r="H192" s="33">
        <f>IF(AV191&lt;=0,0,ROUND(AV191+ROUND(AV191*AB$3/12,2),2))</f>
      </c>
      <c r="I192" s="33">
        <f>IF(AW191&lt;=0,0,ROUND(AW191+ROUND(AW191*AC$3/12,2),2))</f>
      </c>
      <c r="J192" s="33">
        <f>IF(AX191&lt;=0,0,ROUND(AX191+ROUND(AX191*AD$3/12,2),2))</f>
      </c>
      <c r="K192" s="33">
        <f>IF(AY191&lt;=0,0,ROUND(AY191+ROUND(AY191*AE$3/12,2),2))</f>
      </c>
      <c r="L192" s="33">
        <f>ROUND(MIN(MAX(0,N('Your debts'!$E$6)),B192),2)</f>
      </c>
      <c r="M192" s="33">
        <f>ROUND(MIN(MAX(0,N('Your debts'!$E$7)),C192),2)</f>
      </c>
      <c r="N192" s="33">
        <f>ROUND(MIN(MAX(0,N('Your debts'!$E$8)),D192),2)</f>
      </c>
      <c r="O192" s="33">
        <f>ROUND(MIN(MAX(0,N('Your debts'!$E$9)),E192),2)</f>
      </c>
      <c r="P192" s="33">
        <f>ROUND(MIN(MAX(0,N('Your debts'!$E$10)),F192),2)</f>
      </c>
      <c r="Q192" s="33">
        <f>ROUND(MIN(MAX(0,N('Your debts'!$E$11)),G192),2)</f>
      </c>
      <c r="R192" s="33">
        <f>ROUND(MIN(MAX(0,N('Your debts'!$E$12)),H192),2)</f>
      </c>
      <c r="S192" s="33">
        <f>ROUND(MIN(MAX(0,N('Your debts'!$E$13)),I192),2)</f>
      </c>
      <c r="T192" s="33">
        <f>ROUND(MIN(MAX(0,N('Your debts'!$E$14)),J192),2)</f>
      </c>
      <c r="U192" s="33">
        <f>ROUND(MIN(MAX(0,N('Your debts'!$E$15)),K192),2)</f>
      </c>
      <c r="V192" s="33">
        <f>ROUND(B192-L192,2)</f>
      </c>
      <c r="W192" s="33">
        <f>ROUND(C192-M192,2)</f>
      </c>
      <c r="X192" s="33">
        <f>ROUND(D192-N192,2)</f>
      </c>
      <c r="Y192" s="33">
        <f>ROUND(E192-O192,2)</f>
      </c>
      <c r="Z192" s="33">
        <f>ROUND(F192-P192,2)</f>
      </c>
      <c r="AA192" s="33">
        <f>ROUND(G192-Q192,2)</f>
      </c>
      <c r="AB192" s="33">
        <f>ROUND(H192-R192,2)</f>
      </c>
      <c r="AC192" s="33">
        <f>ROUND(I192-S192,2)</f>
      </c>
      <c r="AD192" s="33">
        <f>ROUND(J192-T192,2)</f>
      </c>
      <c r="AE192" s="33">
        <f>ROUND(K192-U192,2)</f>
      </c>
      <c r="AF192" s="33">
        <f>IF(V192&lt;=0,0,MAX(0,MIN(V192,ROUND($AZ192-SUMPRODUCT($V192:$AE192*($V192:$AE192&gt;0)*(($V$3:$AE$3&gt;V$3)+($V$3:$AE$3=V$3)*($V192:$AE192&lt;V192)+($V$3:$AE$3=V$3)*($V192:$AE192=V192)*($V$2:$AE$2&lt;V$2))),2))))</f>
      </c>
      <c r="AG192" s="33">
        <f>IF(W192&lt;=0,0,MAX(0,MIN(W192,ROUND($AZ192-SUMPRODUCT($V192:$AE192*($V192:$AE192&gt;0)*(($V$3:$AE$3&gt;W$3)+($V$3:$AE$3=W$3)*($V192:$AE192&lt;W192)+($V$3:$AE$3=W$3)*($V192:$AE192=W192)*($V$2:$AE$2&lt;W$2))),2))))</f>
      </c>
      <c r="AH192" s="33">
        <f>IF(X192&lt;=0,0,MAX(0,MIN(X192,ROUND($AZ192-SUMPRODUCT($V192:$AE192*($V192:$AE192&gt;0)*(($V$3:$AE$3&gt;X$3)+($V$3:$AE$3=X$3)*($V192:$AE192&lt;X192)+($V$3:$AE$3=X$3)*($V192:$AE192=X192)*($V$2:$AE$2&lt;X$2))),2))))</f>
      </c>
      <c r="AI192" s="33">
        <f>IF(Y192&lt;=0,0,MAX(0,MIN(Y192,ROUND($AZ192-SUMPRODUCT($V192:$AE192*($V192:$AE192&gt;0)*(($V$3:$AE$3&gt;Y$3)+($V$3:$AE$3=Y$3)*($V192:$AE192&lt;Y192)+($V$3:$AE$3=Y$3)*($V192:$AE192=Y192)*($V$2:$AE$2&lt;Y$2))),2))))</f>
      </c>
      <c r="AJ192" s="33">
        <f>IF(Z192&lt;=0,0,MAX(0,MIN(Z192,ROUND($AZ192-SUMPRODUCT($V192:$AE192*($V192:$AE192&gt;0)*(($V$3:$AE$3&gt;Z$3)+($V$3:$AE$3=Z$3)*($V192:$AE192&lt;Z192)+($V$3:$AE$3=Z$3)*($V192:$AE192=Z192)*($V$2:$AE$2&lt;Z$2))),2))))</f>
      </c>
      <c r="AK192" s="33">
        <f>IF(AA192&lt;=0,0,MAX(0,MIN(AA192,ROUND($AZ192-SUMPRODUCT($V192:$AE192*($V192:$AE192&gt;0)*(($V$3:$AE$3&gt;AA$3)+($V$3:$AE$3=AA$3)*($V192:$AE192&lt;AA192)+($V$3:$AE$3=AA$3)*($V192:$AE192=AA192)*($V$2:$AE$2&lt;AA$2))),2))))</f>
      </c>
      <c r="AL192" s="33">
        <f>IF(AB192&lt;=0,0,MAX(0,MIN(AB192,ROUND($AZ192-SUMPRODUCT($V192:$AE192*($V192:$AE192&gt;0)*(($V$3:$AE$3&gt;AB$3)+($V$3:$AE$3=AB$3)*($V192:$AE192&lt;AB192)+($V$3:$AE$3=AB$3)*($V192:$AE192=AB192)*($V$2:$AE$2&lt;AB$2))),2))))</f>
      </c>
      <c r="AM192" s="33">
        <f>IF(AC192&lt;=0,0,MAX(0,MIN(AC192,ROUND($AZ192-SUMPRODUCT($V192:$AE192*($V192:$AE192&gt;0)*(($V$3:$AE$3&gt;AC$3)+($V$3:$AE$3=AC$3)*($V192:$AE192&lt;AC192)+($V$3:$AE$3=AC$3)*($V192:$AE192=AC192)*($V$2:$AE$2&lt;AC$2))),2))))</f>
      </c>
      <c r="AN192" s="33">
        <f>IF(AD192&lt;=0,0,MAX(0,MIN(AD192,ROUND($AZ192-SUMPRODUCT($V192:$AE192*($V192:$AE192&gt;0)*(($V$3:$AE$3&gt;AD$3)+($V$3:$AE$3=AD$3)*($V192:$AE192&lt;AD192)+($V$3:$AE$3=AD$3)*($V192:$AE192=AD192)*($V$2:$AE$2&lt;AD$2))),2))))</f>
      </c>
      <c r="AO192" s="33">
        <f>IF(AE192&lt;=0,0,MAX(0,MIN(AE192,ROUND($AZ192-SUMPRODUCT($V192:$AE192*($V192:$AE192&gt;0)*(($V$3:$AE$3&gt;AE$3)+($V$3:$AE$3=AE$3)*($V192:$AE192&lt;AE192)+($V$3:$AE$3=AE$3)*($V192:$AE192=AE192)*($V$2:$AE$2&lt;AE$2))),2))))</f>
      </c>
      <c r="AP192" s="33">
        <f>ROUND(V192-AF192,2)</f>
      </c>
      <c r="AQ192" s="33">
        <f>ROUND(W192-AG192,2)</f>
      </c>
      <c r="AR192" s="33">
        <f>ROUND(X192-AH192,2)</f>
      </c>
      <c r="AS192" s="33">
        <f>ROUND(Y192-AI192,2)</f>
      </c>
      <c r="AT192" s="33">
        <f>ROUND(Z192-AJ192,2)</f>
      </c>
      <c r="AU192" s="33">
        <f>ROUND(AA192-AK192,2)</f>
      </c>
      <c r="AV192" s="33">
        <f>ROUND(AB192-AL192,2)</f>
      </c>
      <c r="AW192" s="33">
        <f>ROUND(AC192-AM192,2)</f>
      </c>
      <c r="AX192" s="33">
        <f>ROUND(AD192-AN192,2)</f>
      </c>
      <c r="AY192" s="33">
        <f>ROUND(AE192-AO192,2)</f>
      </c>
      <c r="AZ192" s="33">
        <f>ROUND(MAX(0,'Your debts'!$D$22-SUM($L192:$U192)),2)</f>
      </c>
      <c r="BA192" s="33">
        <f>ROUND(SUM($B192:$K192)-SUM($AP191:$AY191),2)</f>
      </c>
      <c r="BB192" s="33">
        <f>SUM($AP192:$AY192)</f>
      </c>
      <c r="BC192" s="33">
        <f>ROUND(SUM($L192:$U192)+SUM($AF192:$AO192),2)</f>
      </c>
    </row>
    <row r="193" spans="1:55" x14ac:dyDescent="0.25">
      <c r="A193">
        <v>186</v>
      </c>
      <c r="B193" s="33">
        <f>IF(AP192&lt;=0,0,ROUND(AP192+ROUND(AP192*V$3/12,2),2))</f>
      </c>
      <c r="C193" s="33">
        <f>IF(AQ192&lt;=0,0,ROUND(AQ192+ROUND(AQ192*W$3/12,2),2))</f>
      </c>
      <c r="D193" s="33">
        <f>IF(AR192&lt;=0,0,ROUND(AR192+ROUND(AR192*X$3/12,2),2))</f>
      </c>
      <c r="E193" s="33">
        <f>IF(AS192&lt;=0,0,ROUND(AS192+ROUND(AS192*Y$3/12,2),2))</f>
      </c>
      <c r="F193" s="33">
        <f>IF(AT192&lt;=0,0,ROUND(AT192+ROUND(AT192*Z$3/12,2),2))</f>
      </c>
      <c r="G193" s="33">
        <f>IF(AU192&lt;=0,0,ROUND(AU192+ROUND(AU192*AA$3/12,2),2))</f>
      </c>
      <c r="H193" s="33">
        <f>IF(AV192&lt;=0,0,ROUND(AV192+ROUND(AV192*AB$3/12,2),2))</f>
      </c>
      <c r="I193" s="33">
        <f>IF(AW192&lt;=0,0,ROUND(AW192+ROUND(AW192*AC$3/12,2),2))</f>
      </c>
      <c r="J193" s="33">
        <f>IF(AX192&lt;=0,0,ROUND(AX192+ROUND(AX192*AD$3/12,2),2))</f>
      </c>
      <c r="K193" s="33">
        <f>IF(AY192&lt;=0,0,ROUND(AY192+ROUND(AY192*AE$3/12,2),2))</f>
      </c>
      <c r="L193" s="33">
        <f>ROUND(MIN(MAX(0,N('Your debts'!$E$6)),B193),2)</f>
      </c>
      <c r="M193" s="33">
        <f>ROUND(MIN(MAX(0,N('Your debts'!$E$7)),C193),2)</f>
      </c>
      <c r="N193" s="33">
        <f>ROUND(MIN(MAX(0,N('Your debts'!$E$8)),D193),2)</f>
      </c>
      <c r="O193" s="33">
        <f>ROUND(MIN(MAX(0,N('Your debts'!$E$9)),E193),2)</f>
      </c>
      <c r="P193" s="33">
        <f>ROUND(MIN(MAX(0,N('Your debts'!$E$10)),F193),2)</f>
      </c>
      <c r="Q193" s="33">
        <f>ROUND(MIN(MAX(0,N('Your debts'!$E$11)),G193),2)</f>
      </c>
      <c r="R193" s="33">
        <f>ROUND(MIN(MAX(0,N('Your debts'!$E$12)),H193),2)</f>
      </c>
      <c r="S193" s="33">
        <f>ROUND(MIN(MAX(0,N('Your debts'!$E$13)),I193),2)</f>
      </c>
      <c r="T193" s="33">
        <f>ROUND(MIN(MAX(0,N('Your debts'!$E$14)),J193),2)</f>
      </c>
      <c r="U193" s="33">
        <f>ROUND(MIN(MAX(0,N('Your debts'!$E$15)),K193),2)</f>
      </c>
      <c r="V193" s="33">
        <f>ROUND(B193-L193,2)</f>
      </c>
      <c r="W193" s="33">
        <f>ROUND(C193-M193,2)</f>
      </c>
      <c r="X193" s="33">
        <f>ROUND(D193-N193,2)</f>
      </c>
      <c r="Y193" s="33">
        <f>ROUND(E193-O193,2)</f>
      </c>
      <c r="Z193" s="33">
        <f>ROUND(F193-P193,2)</f>
      </c>
      <c r="AA193" s="33">
        <f>ROUND(G193-Q193,2)</f>
      </c>
      <c r="AB193" s="33">
        <f>ROUND(H193-R193,2)</f>
      </c>
      <c r="AC193" s="33">
        <f>ROUND(I193-S193,2)</f>
      </c>
      <c r="AD193" s="33">
        <f>ROUND(J193-T193,2)</f>
      </c>
      <c r="AE193" s="33">
        <f>ROUND(K193-U193,2)</f>
      </c>
      <c r="AF193" s="33">
        <f>IF(V193&lt;=0,0,MAX(0,MIN(V193,ROUND($AZ193-SUMPRODUCT($V193:$AE193*($V193:$AE193&gt;0)*(($V$3:$AE$3&gt;V$3)+($V$3:$AE$3=V$3)*($V193:$AE193&lt;V193)+($V$3:$AE$3=V$3)*($V193:$AE193=V193)*($V$2:$AE$2&lt;V$2))),2))))</f>
      </c>
      <c r="AG193" s="33">
        <f>IF(W193&lt;=0,0,MAX(0,MIN(W193,ROUND($AZ193-SUMPRODUCT($V193:$AE193*($V193:$AE193&gt;0)*(($V$3:$AE$3&gt;W$3)+($V$3:$AE$3=W$3)*($V193:$AE193&lt;W193)+($V$3:$AE$3=W$3)*($V193:$AE193=W193)*($V$2:$AE$2&lt;W$2))),2))))</f>
      </c>
      <c r="AH193" s="33">
        <f>IF(X193&lt;=0,0,MAX(0,MIN(X193,ROUND($AZ193-SUMPRODUCT($V193:$AE193*($V193:$AE193&gt;0)*(($V$3:$AE$3&gt;X$3)+($V$3:$AE$3=X$3)*($V193:$AE193&lt;X193)+($V$3:$AE$3=X$3)*($V193:$AE193=X193)*($V$2:$AE$2&lt;X$2))),2))))</f>
      </c>
      <c r="AI193" s="33">
        <f>IF(Y193&lt;=0,0,MAX(0,MIN(Y193,ROUND($AZ193-SUMPRODUCT($V193:$AE193*($V193:$AE193&gt;0)*(($V$3:$AE$3&gt;Y$3)+($V$3:$AE$3=Y$3)*($V193:$AE193&lt;Y193)+($V$3:$AE$3=Y$3)*($V193:$AE193=Y193)*($V$2:$AE$2&lt;Y$2))),2))))</f>
      </c>
      <c r="AJ193" s="33">
        <f>IF(Z193&lt;=0,0,MAX(0,MIN(Z193,ROUND($AZ193-SUMPRODUCT($V193:$AE193*($V193:$AE193&gt;0)*(($V$3:$AE$3&gt;Z$3)+($V$3:$AE$3=Z$3)*($V193:$AE193&lt;Z193)+($V$3:$AE$3=Z$3)*($V193:$AE193=Z193)*($V$2:$AE$2&lt;Z$2))),2))))</f>
      </c>
      <c r="AK193" s="33">
        <f>IF(AA193&lt;=0,0,MAX(0,MIN(AA193,ROUND($AZ193-SUMPRODUCT($V193:$AE193*($V193:$AE193&gt;0)*(($V$3:$AE$3&gt;AA$3)+($V$3:$AE$3=AA$3)*($V193:$AE193&lt;AA193)+($V$3:$AE$3=AA$3)*($V193:$AE193=AA193)*($V$2:$AE$2&lt;AA$2))),2))))</f>
      </c>
      <c r="AL193" s="33">
        <f>IF(AB193&lt;=0,0,MAX(0,MIN(AB193,ROUND($AZ193-SUMPRODUCT($V193:$AE193*($V193:$AE193&gt;0)*(($V$3:$AE$3&gt;AB$3)+($V$3:$AE$3=AB$3)*($V193:$AE193&lt;AB193)+($V$3:$AE$3=AB$3)*($V193:$AE193=AB193)*($V$2:$AE$2&lt;AB$2))),2))))</f>
      </c>
      <c r="AM193" s="33">
        <f>IF(AC193&lt;=0,0,MAX(0,MIN(AC193,ROUND($AZ193-SUMPRODUCT($V193:$AE193*($V193:$AE193&gt;0)*(($V$3:$AE$3&gt;AC$3)+($V$3:$AE$3=AC$3)*($V193:$AE193&lt;AC193)+($V$3:$AE$3=AC$3)*($V193:$AE193=AC193)*($V$2:$AE$2&lt;AC$2))),2))))</f>
      </c>
      <c r="AN193" s="33">
        <f>IF(AD193&lt;=0,0,MAX(0,MIN(AD193,ROUND($AZ193-SUMPRODUCT($V193:$AE193*($V193:$AE193&gt;0)*(($V$3:$AE$3&gt;AD$3)+($V$3:$AE$3=AD$3)*($V193:$AE193&lt;AD193)+($V$3:$AE$3=AD$3)*($V193:$AE193=AD193)*($V$2:$AE$2&lt;AD$2))),2))))</f>
      </c>
      <c r="AO193" s="33">
        <f>IF(AE193&lt;=0,0,MAX(0,MIN(AE193,ROUND($AZ193-SUMPRODUCT($V193:$AE193*($V193:$AE193&gt;0)*(($V$3:$AE$3&gt;AE$3)+($V$3:$AE$3=AE$3)*($V193:$AE193&lt;AE193)+($V$3:$AE$3=AE$3)*($V193:$AE193=AE193)*($V$2:$AE$2&lt;AE$2))),2))))</f>
      </c>
      <c r="AP193" s="33">
        <f>ROUND(V193-AF193,2)</f>
      </c>
      <c r="AQ193" s="33">
        <f>ROUND(W193-AG193,2)</f>
      </c>
      <c r="AR193" s="33">
        <f>ROUND(X193-AH193,2)</f>
      </c>
      <c r="AS193" s="33">
        <f>ROUND(Y193-AI193,2)</f>
      </c>
      <c r="AT193" s="33">
        <f>ROUND(Z193-AJ193,2)</f>
      </c>
      <c r="AU193" s="33">
        <f>ROUND(AA193-AK193,2)</f>
      </c>
      <c r="AV193" s="33">
        <f>ROUND(AB193-AL193,2)</f>
      </c>
      <c r="AW193" s="33">
        <f>ROUND(AC193-AM193,2)</f>
      </c>
      <c r="AX193" s="33">
        <f>ROUND(AD193-AN193,2)</f>
      </c>
      <c r="AY193" s="33">
        <f>ROUND(AE193-AO193,2)</f>
      </c>
      <c r="AZ193" s="33">
        <f>ROUND(MAX(0,'Your debts'!$D$22-SUM($L193:$U193)),2)</f>
      </c>
      <c r="BA193" s="33">
        <f>ROUND(SUM($B193:$K193)-SUM($AP192:$AY192),2)</f>
      </c>
      <c r="BB193" s="33">
        <f>SUM($AP193:$AY193)</f>
      </c>
      <c r="BC193" s="33">
        <f>ROUND(SUM($L193:$U193)+SUM($AF193:$AO193),2)</f>
      </c>
    </row>
    <row r="194" spans="1:55" x14ac:dyDescent="0.25">
      <c r="A194">
        <v>187</v>
      </c>
      <c r="B194" s="33">
        <f>IF(AP193&lt;=0,0,ROUND(AP193+ROUND(AP193*V$3/12,2),2))</f>
      </c>
      <c r="C194" s="33">
        <f>IF(AQ193&lt;=0,0,ROUND(AQ193+ROUND(AQ193*W$3/12,2),2))</f>
      </c>
      <c r="D194" s="33">
        <f>IF(AR193&lt;=0,0,ROUND(AR193+ROUND(AR193*X$3/12,2),2))</f>
      </c>
      <c r="E194" s="33">
        <f>IF(AS193&lt;=0,0,ROUND(AS193+ROUND(AS193*Y$3/12,2),2))</f>
      </c>
      <c r="F194" s="33">
        <f>IF(AT193&lt;=0,0,ROUND(AT193+ROUND(AT193*Z$3/12,2),2))</f>
      </c>
      <c r="G194" s="33">
        <f>IF(AU193&lt;=0,0,ROUND(AU193+ROUND(AU193*AA$3/12,2),2))</f>
      </c>
      <c r="H194" s="33">
        <f>IF(AV193&lt;=0,0,ROUND(AV193+ROUND(AV193*AB$3/12,2),2))</f>
      </c>
      <c r="I194" s="33">
        <f>IF(AW193&lt;=0,0,ROUND(AW193+ROUND(AW193*AC$3/12,2),2))</f>
      </c>
      <c r="J194" s="33">
        <f>IF(AX193&lt;=0,0,ROUND(AX193+ROUND(AX193*AD$3/12,2),2))</f>
      </c>
      <c r="K194" s="33">
        <f>IF(AY193&lt;=0,0,ROUND(AY193+ROUND(AY193*AE$3/12,2),2))</f>
      </c>
      <c r="L194" s="33">
        <f>ROUND(MIN(MAX(0,N('Your debts'!$E$6)),B194),2)</f>
      </c>
      <c r="M194" s="33">
        <f>ROUND(MIN(MAX(0,N('Your debts'!$E$7)),C194),2)</f>
      </c>
      <c r="N194" s="33">
        <f>ROUND(MIN(MAX(0,N('Your debts'!$E$8)),D194),2)</f>
      </c>
      <c r="O194" s="33">
        <f>ROUND(MIN(MAX(0,N('Your debts'!$E$9)),E194),2)</f>
      </c>
      <c r="P194" s="33">
        <f>ROUND(MIN(MAX(0,N('Your debts'!$E$10)),F194),2)</f>
      </c>
      <c r="Q194" s="33">
        <f>ROUND(MIN(MAX(0,N('Your debts'!$E$11)),G194),2)</f>
      </c>
      <c r="R194" s="33">
        <f>ROUND(MIN(MAX(0,N('Your debts'!$E$12)),H194),2)</f>
      </c>
      <c r="S194" s="33">
        <f>ROUND(MIN(MAX(0,N('Your debts'!$E$13)),I194),2)</f>
      </c>
      <c r="T194" s="33">
        <f>ROUND(MIN(MAX(0,N('Your debts'!$E$14)),J194),2)</f>
      </c>
      <c r="U194" s="33">
        <f>ROUND(MIN(MAX(0,N('Your debts'!$E$15)),K194),2)</f>
      </c>
      <c r="V194" s="33">
        <f>ROUND(B194-L194,2)</f>
      </c>
      <c r="W194" s="33">
        <f>ROUND(C194-M194,2)</f>
      </c>
      <c r="X194" s="33">
        <f>ROUND(D194-N194,2)</f>
      </c>
      <c r="Y194" s="33">
        <f>ROUND(E194-O194,2)</f>
      </c>
      <c r="Z194" s="33">
        <f>ROUND(F194-P194,2)</f>
      </c>
      <c r="AA194" s="33">
        <f>ROUND(G194-Q194,2)</f>
      </c>
      <c r="AB194" s="33">
        <f>ROUND(H194-R194,2)</f>
      </c>
      <c r="AC194" s="33">
        <f>ROUND(I194-S194,2)</f>
      </c>
      <c r="AD194" s="33">
        <f>ROUND(J194-T194,2)</f>
      </c>
      <c r="AE194" s="33">
        <f>ROUND(K194-U194,2)</f>
      </c>
      <c r="AF194" s="33">
        <f>IF(V194&lt;=0,0,MAX(0,MIN(V194,ROUND($AZ194-SUMPRODUCT($V194:$AE194*($V194:$AE194&gt;0)*(($V$3:$AE$3&gt;V$3)+($V$3:$AE$3=V$3)*($V194:$AE194&lt;V194)+($V$3:$AE$3=V$3)*($V194:$AE194=V194)*($V$2:$AE$2&lt;V$2))),2))))</f>
      </c>
      <c r="AG194" s="33">
        <f>IF(W194&lt;=0,0,MAX(0,MIN(W194,ROUND($AZ194-SUMPRODUCT($V194:$AE194*($V194:$AE194&gt;0)*(($V$3:$AE$3&gt;W$3)+($V$3:$AE$3=W$3)*($V194:$AE194&lt;W194)+($V$3:$AE$3=W$3)*($V194:$AE194=W194)*($V$2:$AE$2&lt;W$2))),2))))</f>
      </c>
      <c r="AH194" s="33">
        <f>IF(X194&lt;=0,0,MAX(0,MIN(X194,ROUND($AZ194-SUMPRODUCT($V194:$AE194*($V194:$AE194&gt;0)*(($V$3:$AE$3&gt;X$3)+($V$3:$AE$3=X$3)*($V194:$AE194&lt;X194)+($V$3:$AE$3=X$3)*($V194:$AE194=X194)*($V$2:$AE$2&lt;X$2))),2))))</f>
      </c>
      <c r="AI194" s="33">
        <f>IF(Y194&lt;=0,0,MAX(0,MIN(Y194,ROUND($AZ194-SUMPRODUCT($V194:$AE194*($V194:$AE194&gt;0)*(($V$3:$AE$3&gt;Y$3)+($V$3:$AE$3=Y$3)*($V194:$AE194&lt;Y194)+($V$3:$AE$3=Y$3)*($V194:$AE194=Y194)*($V$2:$AE$2&lt;Y$2))),2))))</f>
      </c>
      <c r="AJ194" s="33">
        <f>IF(Z194&lt;=0,0,MAX(0,MIN(Z194,ROUND($AZ194-SUMPRODUCT($V194:$AE194*($V194:$AE194&gt;0)*(($V$3:$AE$3&gt;Z$3)+($V$3:$AE$3=Z$3)*($V194:$AE194&lt;Z194)+($V$3:$AE$3=Z$3)*($V194:$AE194=Z194)*($V$2:$AE$2&lt;Z$2))),2))))</f>
      </c>
      <c r="AK194" s="33">
        <f>IF(AA194&lt;=0,0,MAX(0,MIN(AA194,ROUND($AZ194-SUMPRODUCT($V194:$AE194*($V194:$AE194&gt;0)*(($V$3:$AE$3&gt;AA$3)+($V$3:$AE$3=AA$3)*($V194:$AE194&lt;AA194)+($V$3:$AE$3=AA$3)*($V194:$AE194=AA194)*($V$2:$AE$2&lt;AA$2))),2))))</f>
      </c>
      <c r="AL194" s="33">
        <f>IF(AB194&lt;=0,0,MAX(0,MIN(AB194,ROUND($AZ194-SUMPRODUCT($V194:$AE194*($V194:$AE194&gt;0)*(($V$3:$AE$3&gt;AB$3)+($V$3:$AE$3=AB$3)*($V194:$AE194&lt;AB194)+($V$3:$AE$3=AB$3)*($V194:$AE194=AB194)*($V$2:$AE$2&lt;AB$2))),2))))</f>
      </c>
      <c r="AM194" s="33">
        <f>IF(AC194&lt;=0,0,MAX(0,MIN(AC194,ROUND($AZ194-SUMPRODUCT($V194:$AE194*($V194:$AE194&gt;0)*(($V$3:$AE$3&gt;AC$3)+($V$3:$AE$3=AC$3)*($V194:$AE194&lt;AC194)+($V$3:$AE$3=AC$3)*($V194:$AE194=AC194)*($V$2:$AE$2&lt;AC$2))),2))))</f>
      </c>
      <c r="AN194" s="33">
        <f>IF(AD194&lt;=0,0,MAX(0,MIN(AD194,ROUND($AZ194-SUMPRODUCT($V194:$AE194*($V194:$AE194&gt;0)*(($V$3:$AE$3&gt;AD$3)+($V$3:$AE$3=AD$3)*($V194:$AE194&lt;AD194)+($V$3:$AE$3=AD$3)*($V194:$AE194=AD194)*($V$2:$AE$2&lt;AD$2))),2))))</f>
      </c>
      <c r="AO194" s="33">
        <f>IF(AE194&lt;=0,0,MAX(0,MIN(AE194,ROUND($AZ194-SUMPRODUCT($V194:$AE194*($V194:$AE194&gt;0)*(($V$3:$AE$3&gt;AE$3)+($V$3:$AE$3=AE$3)*($V194:$AE194&lt;AE194)+($V$3:$AE$3=AE$3)*($V194:$AE194=AE194)*($V$2:$AE$2&lt;AE$2))),2))))</f>
      </c>
      <c r="AP194" s="33">
        <f>ROUND(V194-AF194,2)</f>
      </c>
      <c r="AQ194" s="33">
        <f>ROUND(W194-AG194,2)</f>
      </c>
      <c r="AR194" s="33">
        <f>ROUND(X194-AH194,2)</f>
      </c>
      <c r="AS194" s="33">
        <f>ROUND(Y194-AI194,2)</f>
      </c>
      <c r="AT194" s="33">
        <f>ROUND(Z194-AJ194,2)</f>
      </c>
      <c r="AU194" s="33">
        <f>ROUND(AA194-AK194,2)</f>
      </c>
      <c r="AV194" s="33">
        <f>ROUND(AB194-AL194,2)</f>
      </c>
      <c r="AW194" s="33">
        <f>ROUND(AC194-AM194,2)</f>
      </c>
      <c r="AX194" s="33">
        <f>ROUND(AD194-AN194,2)</f>
      </c>
      <c r="AY194" s="33">
        <f>ROUND(AE194-AO194,2)</f>
      </c>
      <c r="AZ194" s="33">
        <f>ROUND(MAX(0,'Your debts'!$D$22-SUM($L194:$U194)),2)</f>
      </c>
      <c r="BA194" s="33">
        <f>ROUND(SUM($B194:$K194)-SUM($AP193:$AY193),2)</f>
      </c>
      <c r="BB194" s="33">
        <f>SUM($AP194:$AY194)</f>
      </c>
      <c r="BC194" s="33">
        <f>ROUND(SUM($L194:$U194)+SUM($AF194:$AO194),2)</f>
      </c>
    </row>
    <row r="195" spans="1:55" x14ac:dyDescent="0.25">
      <c r="A195">
        <v>188</v>
      </c>
      <c r="B195" s="33">
        <f>IF(AP194&lt;=0,0,ROUND(AP194+ROUND(AP194*V$3/12,2),2))</f>
      </c>
      <c r="C195" s="33">
        <f>IF(AQ194&lt;=0,0,ROUND(AQ194+ROUND(AQ194*W$3/12,2),2))</f>
      </c>
      <c r="D195" s="33">
        <f>IF(AR194&lt;=0,0,ROUND(AR194+ROUND(AR194*X$3/12,2),2))</f>
      </c>
      <c r="E195" s="33">
        <f>IF(AS194&lt;=0,0,ROUND(AS194+ROUND(AS194*Y$3/12,2),2))</f>
      </c>
      <c r="F195" s="33">
        <f>IF(AT194&lt;=0,0,ROUND(AT194+ROUND(AT194*Z$3/12,2),2))</f>
      </c>
      <c r="G195" s="33">
        <f>IF(AU194&lt;=0,0,ROUND(AU194+ROUND(AU194*AA$3/12,2),2))</f>
      </c>
      <c r="H195" s="33">
        <f>IF(AV194&lt;=0,0,ROUND(AV194+ROUND(AV194*AB$3/12,2),2))</f>
      </c>
      <c r="I195" s="33">
        <f>IF(AW194&lt;=0,0,ROUND(AW194+ROUND(AW194*AC$3/12,2),2))</f>
      </c>
      <c r="J195" s="33">
        <f>IF(AX194&lt;=0,0,ROUND(AX194+ROUND(AX194*AD$3/12,2),2))</f>
      </c>
      <c r="K195" s="33">
        <f>IF(AY194&lt;=0,0,ROUND(AY194+ROUND(AY194*AE$3/12,2),2))</f>
      </c>
      <c r="L195" s="33">
        <f>ROUND(MIN(MAX(0,N('Your debts'!$E$6)),B195),2)</f>
      </c>
      <c r="M195" s="33">
        <f>ROUND(MIN(MAX(0,N('Your debts'!$E$7)),C195),2)</f>
      </c>
      <c r="N195" s="33">
        <f>ROUND(MIN(MAX(0,N('Your debts'!$E$8)),D195),2)</f>
      </c>
      <c r="O195" s="33">
        <f>ROUND(MIN(MAX(0,N('Your debts'!$E$9)),E195),2)</f>
      </c>
      <c r="P195" s="33">
        <f>ROUND(MIN(MAX(0,N('Your debts'!$E$10)),F195),2)</f>
      </c>
      <c r="Q195" s="33">
        <f>ROUND(MIN(MAX(0,N('Your debts'!$E$11)),G195),2)</f>
      </c>
      <c r="R195" s="33">
        <f>ROUND(MIN(MAX(0,N('Your debts'!$E$12)),H195),2)</f>
      </c>
      <c r="S195" s="33">
        <f>ROUND(MIN(MAX(0,N('Your debts'!$E$13)),I195),2)</f>
      </c>
      <c r="T195" s="33">
        <f>ROUND(MIN(MAX(0,N('Your debts'!$E$14)),J195),2)</f>
      </c>
      <c r="U195" s="33">
        <f>ROUND(MIN(MAX(0,N('Your debts'!$E$15)),K195),2)</f>
      </c>
      <c r="V195" s="33">
        <f>ROUND(B195-L195,2)</f>
      </c>
      <c r="W195" s="33">
        <f>ROUND(C195-M195,2)</f>
      </c>
      <c r="X195" s="33">
        <f>ROUND(D195-N195,2)</f>
      </c>
      <c r="Y195" s="33">
        <f>ROUND(E195-O195,2)</f>
      </c>
      <c r="Z195" s="33">
        <f>ROUND(F195-P195,2)</f>
      </c>
      <c r="AA195" s="33">
        <f>ROUND(G195-Q195,2)</f>
      </c>
      <c r="AB195" s="33">
        <f>ROUND(H195-R195,2)</f>
      </c>
      <c r="AC195" s="33">
        <f>ROUND(I195-S195,2)</f>
      </c>
      <c r="AD195" s="33">
        <f>ROUND(J195-T195,2)</f>
      </c>
      <c r="AE195" s="33">
        <f>ROUND(K195-U195,2)</f>
      </c>
      <c r="AF195" s="33">
        <f>IF(V195&lt;=0,0,MAX(0,MIN(V195,ROUND($AZ195-SUMPRODUCT($V195:$AE195*($V195:$AE195&gt;0)*(($V$3:$AE$3&gt;V$3)+($V$3:$AE$3=V$3)*($V195:$AE195&lt;V195)+($V$3:$AE$3=V$3)*($V195:$AE195=V195)*($V$2:$AE$2&lt;V$2))),2))))</f>
      </c>
      <c r="AG195" s="33">
        <f>IF(W195&lt;=0,0,MAX(0,MIN(W195,ROUND($AZ195-SUMPRODUCT($V195:$AE195*($V195:$AE195&gt;0)*(($V$3:$AE$3&gt;W$3)+($V$3:$AE$3=W$3)*($V195:$AE195&lt;W195)+($V$3:$AE$3=W$3)*($V195:$AE195=W195)*($V$2:$AE$2&lt;W$2))),2))))</f>
      </c>
      <c r="AH195" s="33">
        <f>IF(X195&lt;=0,0,MAX(0,MIN(X195,ROUND($AZ195-SUMPRODUCT($V195:$AE195*($V195:$AE195&gt;0)*(($V$3:$AE$3&gt;X$3)+($V$3:$AE$3=X$3)*($V195:$AE195&lt;X195)+($V$3:$AE$3=X$3)*($V195:$AE195=X195)*($V$2:$AE$2&lt;X$2))),2))))</f>
      </c>
      <c r="AI195" s="33">
        <f>IF(Y195&lt;=0,0,MAX(0,MIN(Y195,ROUND($AZ195-SUMPRODUCT($V195:$AE195*($V195:$AE195&gt;0)*(($V$3:$AE$3&gt;Y$3)+($V$3:$AE$3=Y$3)*($V195:$AE195&lt;Y195)+($V$3:$AE$3=Y$3)*($V195:$AE195=Y195)*($V$2:$AE$2&lt;Y$2))),2))))</f>
      </c>
      <c r="AJ195" s="33">
        <f>IF(Z195&lt;=0,0,MAX(0,MIN(Z195,ROUND($AZ195-SUMPRODUCT($V195:$AE195*($V195:$AE195&gt;0)*(($V$3:$AE$3&gt;Z$3)+($V$3:$AE$3=Z$3)*($V195:$AE195&lt;Z195)+($V$3:$AE$3=Z$3)*($V195:$AE195=Z195)*($V$2:$AE$2&lt;Z$2))),2))))</f>
      </c>
      <c r="AK195" s="33">
        <f>IF(AA195&lt;=0,0,MAX(0,MIN(AA195,ROUND($AZ195-SUMPRODUCT($V195:$AE195*($V195:$AE195&gt;0)*(($V$3:$AE$3&gt;AA$3)+($V$3:$AE$3=AA$3)*($V195:$AE195&lt;AA195)+($V$3:$AE$3=AA$3)*($V195:$AE195=AA195)*($V$2:$AE$2&lt;AA$2))),2))))</f>
      </c>
      <c r="AL195" s="33">
        <f>IF(AB195&lt;=0,0,MAX(0,MIN(AB195,ROUND($AZ195-SUMPRODUCT($V195:$AE195*($V195:$AE195&gt;0)*(($V$3:$AE$3&gt;AB$3)+($V$3:$AE$3=AB$3)*($V195:$AE195&lt;AB195)+($V$3:$AE$3=AB$3)*($V195:$AE195=AB195)*($V$2:$AE$2&lt;AB$2))),2))))</f>
      </c>
      <c r="AM195" s="33">
        <f>IF(AC195&lt;=0,0,MAX(0,MIN(AC195,ROUND($AZ195-SUMPRODUCT($V195:$AE195*($V195:$AE195&gt;0)*(($V$3:$AE$3&gt;AC$3)+($V$3:$AE$3=AC$3)*($V195:$AE195&lt;AC195)+($V$3:$AE$3=AC$3)*($V195:$AE195=AC195)*($V$2:$AE$2&lt;AC$2))),2))))</f>
      </c>
      <c r="AN195" s="33">
        <f>IF(AD195&lt;=0,0,MAX(0,MIN(AD195,ROUND($AZ195-SUMPRODUCT($V195:$AE195*($V195:$AE195&gt;0)*(($V$3:$AE$3&gt;AD$3)+($V$3:$AE$3=AD$3)*($V195:$AE195&lt;AD195)+($V$3:$AE$3=AD$3)*($V195:$AE195=AD195)*($V$2:$AE$2&lt;AD$2))),2))))</f>
      </c>
      <c r="AO195" s="33">
        <f>IF(AE195&lt;=0,0,MAX(0,MIN(AE195,ROUND($AZ195-SUMPRODUCT($V195:$AE195*($V195:$AE195&gt;0)*(($V$3:$AE$3&gt;AE$3)+($V$3:$AE$3=AE$3)*($V195:$AE195&lt;AE195)+($V$3:$AE$3=AE$3)*($V195:$AE195=AE195)*($V$2:$AE$2&lt;AE$2))),2))))</f>
      </c>
      <c r="AP195" s="33">
        <f>ROUND(V195-AF195,2)</f>
      </c>
      <c r="AQ195" s="33">
        <f>ROUND(W195-AG195,2)</f>
      </c>
      <c r="AR195" s="33">
        <f>ROUND(X195-AH195,2)</f>
      </c>
      <c r="AS195" s="33">
        <f>ROUND(Y195-AI195,2)</f>
      </c>
      <c r="AT195" s="33">
        <f>ROUND(Z195-AJ195,2)</f>
      </c>
      <c r="AU195" s="33">
        <f>ROUND(AA195-AK195,2)</f>
      </c>
      <c r="AV195" s="33">
        <f>ROUND(AB195-AL195,2)</f>
      </c>
      <c r="AW195" s="33">
        <f>ROUND(AC195-AM195,2)</f>
      </c>
      <c r="AX195" s="33">
        <f>ROUND(AD195-AN195,2)</f>
      </c>
      <c r="AY195" s="33">
        <f>ROUND(AE195-AO195,2)</f>
      </c>
      <c r="AZ195" s="33">
        <f>ROUND(MAX(0,'Your debts'!$D$22-SUM($L195:$U195)),2)</f>
      </c>
      <c r="BA195" s="33">
        <f>ROUND(SUM($B195:$K195)-SUM($AP194:$AY194),2)</f>
      </c>
      <c r="BB195" s="33">
        <f>SUM($AP195:$AY195)</f>
      </c>
      <c r="BC195" s="33">
        <f>ROUND(SUM($L195:$U195)+SUM($AF195:$AO195),2)</f>
      </c>
    </row>
    <row r="196" spans="1:55" x14ac:dyDescent="0.25">
      <c r="A196">
        <v>189</v>
      </c>
      <c r="B196" s="33">
        <f>IF(AP195&lt;=0,0,ROUND(AP195+ROUND(AP195*V$3/12,2),2))</f>
      </c>
      <c r="C196" s="33">
        <f>IF(AQ195&lt;=0,0,ROUND(AQ195+ROUND(AQ195*W$3/12,2),2))</f>
      </c>
      <c r="D196" s="33">
        <f>IF(AR195&lt;=0,0,ROUND(AR195+ROUND(AR195*X$3/12,2),2))</f>
      </c>
      <c r="E196" s="33">
        <f>IF(AS195&lt;=0,0,ROUND(AS195+ROUND(AS195*Y$3/12,2),2))</f>
      </c>
      <c r="F196" s="33">
        <f>IF(AT195&lt;=0,0,ROUND(AT195+ROUND(AT195*Z$3/12,2),2))</f>
      </c>
      <c r="G196" s="33">
        <f>IF(AU195&lt;=0,0,ROUND(AU195+ROUND(AU195*AA$3/12,2),2))</f>
      </c>
      <c r="H196" s="33">
        <f>IF(AV195&lt;=0,0,ROUND(AV195+ROUND(AV195*AB$3/12,2),2))</f>
      </c>
      <c r="I196" s="33">
        <f>IF(AW195&lt;=0,0,ROUND(AW195+ROUND(AW195*AC$3/12,2),2))</f>
      </c>
      <c r="J196" s="33">
        <f>IF(AX195&lt;=0,0,ROUND(AX195+ROUND(AX195*AD$3/12,2),2))</f>
      </c>
      <c r="K196" s="33">
        <f>IF(AY195&lt;=0,0,ROUND(AY195+ROUND(AY195*AE$3/12,2),2))</f>
      </c>
      <c r="L196" s="33">
        <f>ROUND(MIN(MAX(0,N('Your debts'!$E$6)),B196),2)</f>
      </c>
      <c r="M196" s="33">
        <f>ROUND(MIN(MAX(0,N('Your debts'!$E$7)),C196),2)</f>
      </c>
      <c r="N196" s="33">
        <f>ROUND(MIN(MAX(0,N('Your debts'!$E$8)),D196),2)</f>
      </c>
      <c r="O196" s="33">
        <f>ROUND(MIN(MAX(0,N('Your debts'!$E$9)),E196),2)</f>
      </c>
      <c r="P196" s="33">
        <f>ROUND(MIN(MAX(0,N('Your debts'!$E$10)),F196),2)</f>
      </c>
      <c r="Q196" s="33">
        <f>ROUND(MIN(MAX(0,N('Your debts'!$E$11)),G196),2)</f>
      </c>
      <c r="R196" s="33">
        <f>ROUND(MIN(MAX(0,N('Your debts'!$E$12)),H196),2)</f>
      </c>
      <c r="S196" s="33">
        <f>ROUND(MIN(MAX(0,N('Your debts'!$E$13)),I196),2)</f>
      </c>
      <c r="T196" s="33">
        <f>ROUND(MIN(MAX(0,N('Your debts'!$E$14)),J196),2)</f>
      </c>
      <c r="U196" s="33">
        <f>ROUND(MIN(MAX(0,N('Your debts'!$E$15)),K196),2)</f>
      </c>
      <c r="V196" s="33">
        <f>ROUND(B196-L196,2)</f>
      </c>
      <c r="W196" s="33">
        <f>ROUND(C196-M196,2)</f>
      </c>
      <c r="X196" s="33">
        <f>ROUND(D196-N196,2)</f>
      </c>
      <c r="Y196" s="33">
        <f>ROUND(E196-O196,2)</f>
      </c>
      <c r="Z196" s="33">
        <f>ROUND(F196-P196,2)</f>
      </c>
      <c r="AA196" s="33">
        <f>ROUND(G196-Q196,2)</f>
      </c>
      <c r="AB196" s="33">
        <f>ROUND(H196-R196,2)</f>
      </c>
      <c r="AC196" s="33">
        <f>ROUND(I196-S196,2)</f>
      </c>
      <c r="AD196" s="33">
        <f>ROUND(J196-T196,2)</f>
      </c>
      <c r="AE196" s="33">
        <f>ROUND(K196-U196,2)</f>
      </c>
      <c r="AF196" s="33">
        <f>IF(V196&lt;=0,0,MAX(0,MIN(V196,ROUND($AZ196-SUMPRODUCT($V196:$AE196*($V196:$AE196&gt;0)*(($V$3:$AE$3&gt;V$3)+($V$3:$AE$3=V$3)*($V196:$AE196&lt;V196)+($V$3:$AE$3=V$3)*($V196:$AE196=V196)*($V$2:$AE$2&lt;V$2))),2))))</f>
      </c>
      <c r="AG196" s="33">
        <f>IF(W196&lt;=0,0,MAX(0,MIN(W196,ROUND($AZ196-SUMPRODUCT($V196:$AE196*($V196:$AE196&gt;0)*(($V$3:$AE$3&gt;W$3)+($V$3:$AE$3=W$3)*($V196:$AE196&lt;W196)+($V$3:$AE$3=W$3)*($V196:$AE196=W196)*($V$2:$AE$2&lt;W$2))),2))))</f>
      </c>
      <c r="AH196" s="33">
        <f>IF(X196&lt;=0,0,MAX(0,MIN(X196,ROUND($AZ196-SUMPRODUCT($V196:$AE196*($V196:$AE196&gt;0)*(($V$3:$AE$3&gt;X$3)+($V$3:$AE$3=X$3)*($V196:$AE196&lt;X196)+($V$3:$AE$3=X$3)*($V196:$AE196=X196)*($V$2:$AE$2&lt;X$2))),2))))</f>
      </c>
      <c r="AI196" s="33">
        <f>IF(Y196&lt;=0,0,MAX(0,MIN(Y196,ROUND($AZ196-SUMPRODUCT($V196:$AE196*($V196:$AE196&gt;0)*(($V$3:$AE$3&gt;Y$3)+($V$3:$AE$3=Y$3)*($V196:$AE196&lt;Y196)+($V$3:$AE$3=Y$3)*($V196:$AE196=Y196)*($V$2:$AE$2&lt;Y$2))),2))))</f>
      </c>
      <c r="AJ196" s="33">
        <f>IF(Z196&lt;=0,0,MAX(0,MIN(Z196,ROUND($AZ196-SUMPRODUCT($V196:$AE196*($V196:$AE196&gt;0)*(($V$3:$AE$3&gt;Z$3)+($V$3:$AE$3=Z$3)*($V196:$AE196&lt;Z196)+($V$3:$AE$3=Z$3)*($V196:$AE196=Z196)*($V$2:$AE$2&lt;Z$2))),2))))</f>
      </c>
      <c r="AK196" s="33">
        <f>IF(AA196&lt;=0,0,MAX(0,MIN(AA196,ROUND($AZ196-SUMPRODUCT($V196:$AE196*($V196:$AE196&gt;0)*(($V$3:$AE$3&gt;AA$3)+($V$3:$AE$3=AA$3)*($V196:$AE196&lt;AA196)+($V$3:$AE$3=AA$3)*($V196:$AE196=AA196)*($V$2:$AE$2&lt;AA$2))),2))))</f>
      </c>
      <c r="AL196" s="33">
        <f>IF(AB196&lt;=0,0,MAX(0,MIN(AB196,ROUND($AZ196-SUMPRODUCT($V196:$AE196*($V196:$AE196&gt;0)*(($V$3:$AE$3&gt;AB$3)+($V$3:$AE$3=AB$3)*($V196:$AE196&lt;AB196)+($V$3:$AE$3=AB$3)*($V196:$AE196=AB196)*($V$2:$AE$2&lt;AB$2))),2))))</f>
      </c>
      <c r="AM196" s="33">
        <f>IF(AC196&lt;=0,0,MAX(0,MIN(AC196,ROUND($AZ196-SUMPRODUCT($V196:$AE196*($V196:$AE196&gt;0)*(($V$3:$AE$3&gt;AC$3)+($V$3:$AE$3=AC$3)*($V196:$AE196&lt;AC196)+($V$3:$AE$3=AC$3)*($V196:$AE196=AC196)*($V$2:$AE$2&lt;AC$2))),2))))</f>
      </c>
      <c r="AN196" s="33">
        <f>IF(AD196&lt;=0,0,MAX(0,MIN(AD196,ROUND($AZ196-SUMPRODUCT($V196:$AE196*($V196:$AE196&gt;0)*(($V$3:$AE$3&gt;AD$3)+($V$3:$AE$3=AD$3)*($V196:$AE196&lt;AD196)+($V$3:$AE$3=AD$3)*($V196:$AE196=AD196)*($V$2:$AE$2&lt;AD$2))),2))))</f>
      </c>
      <c r="AO196" s="33">
        <f>IF(AE196&lt;=0,0,MAX(0,MIN(AE196,ROUND($AZ196-SUMPRODUCT($V196:$AE196*($V196:$AE196&gt;0)*(($V$3:$AE$3&gt;AE$3)+($V$3:$AE$3=AE$3)*($V196:$AE196&lt;AE196)+($V$3:$AE$3=AE$3)*($V196:$AE196=AE196)*($V$2:$AE$2&lt;AE$2))),2))))</f>
      </c>
      <c r="AP196" s="33">
        <f>ROUND(V196-AF196,2)</f>
      </c>
      <c r="AQ196" s="33">
        <f>ROUND(W196-AG196,2)</f>
      </c>
      <c r="AR196" s="33">
        <f>ROUND(X196-AH196,2)</f>
      </c>
      <c r="AS196" s="33">
        <f>ROUND(Y196-AI196,2)</f>
      </c>
      <c r="AT196" s="33">
        <f>ROUND(Z196-AJ196,2)</f>
      </c>
      <c r="AU196" s="33">
        <f>ROUND(AA196-AK196,2)</f>
      </c>
      <c r="AV196" s="33">
        <f>ROUND(AB196-AL196,2)</f>
      </c>
      <c r="AW196" s="33">
        <f>ROUND(AC196-AM196,2)</f>
      </c>
      <c r="AX196" s="33">
        <f>ROUND(AD196-AN196,2)</f>
      </c>
      <c r="AY196" s="33">
        <f>ROUND(AE196-AO196,2)</f>
      </c>
      <c r="AZ196" s="33">
        <f>ROUND(MAX(0,'Your debts'!$D$22-SUM($L196:$U196)),2)</f>
      </c>
      <c r="BA196" s="33">
        <f>ROUND(SUM($B196:$K196)-SUM($AP195:$AY195),2)</f>
      </c>
      <c r="BB196" s="33">
        <f>SUM($AP196:$AY196)</f>
      </c>
      <c r="BC196" s="33">
        <f>ROUND(SUM($L196:$U196)+SUM($AF196:$AO196),2)</f>
      </c>
    </row>
    <row r="197" spans="1:55" x14ac:dyDescent="0.25">
      <c r="A197">
        <v>190</v>
      </c>
      <c r="B197" s="33">
        <f>IF(AP196&lt;=0,0,ROUND(AP196+ROUND(AP196*V$3/12,2),2))</f>
      </c>
      <c r="C197" s="33">
        <f>IF(AQ196&lt;=0,0,ROUND(AQ196+ROUND(AQ196*W$3/12,2),2))</f>
      </c>
      <c r="D197" s="33">
        <f>IF(AR196&lt;=0,0,ROUND(AR196+ROUND(AR196*X$3/12,2),2))</f>
      </c>
      <c r="E197" s="33">
        <f>IF(AS196&lt;=0,0,ROUND(AS196+ROUND(AS196*Y$3/12,2),2))</f>
      </c>
      <c r="F197" s="33">
        <f>IF(AT196&lt;=0,0,ROUND(AT196+ROUND(AT196*Z$3/12,2),2))</f>
      </c>
      <c r="G197" s="33">
        <f>IF(AU196&lt;=0,0,ROUND(AU196+ROUND(AU196*AA$3/12,2),2))</f>
      </c>
      <c r="H197" s="33">
        <f>IF(AV196&lt;=0,0,ROUND(AV196+ROUND(AV196*AB$3/12,2),2))</f>
      </c>
      <c r="I197" s="33">
        <f>IF(AW196&lt;=0,0,ROUND(AW196+ROUND(AW196*AC$3/12,2),2))</f>
      </c>
      <c r="J197" s="33">
        <f>IF(AX196&lt;=0,0,ROUND(AX196+ROUND(AX196*AD$3/12,2),2))</f>
      </c>
      <c r="K197" s="33">
        <f>IF(AY196&lt;=0,0,ROUND(AY196+ROUND(AY196*AE$3/12,2),2))</f>
      </c>
      <c r="L197" s="33">
        <f>ROUND(MIN(MAX(0,N('Your debts'!$E$6)),B197),2)</f>
      </c>
      <c r="M197" s="33">
        <f>ROUND(MIN(MAX(0,N('Your debts'!$E$7)),C197),2)</f>
      </c>
      <c r="N197" s="33">
        <f>ROUND(MIN(MAX(0,N('Your debts'!$E$8)),D197),2)</f>
      </c>
      <c r="O197" s="33">
        <f>ROUND(MIN(MAX(0,N('Your debts'!$E$9)),E197),2)</f>
      </c>
      <c r="P197" s="33">
        <f>ROUND(MIN(MAX(0,N('Your debts'!$E$10)),F197),2)</f>
      </c>
      <c r="Q197" s="33">
        <f>ROUND(MIN(MAX(0,N('Your debts'!$E$11)),G197),2)</f>
      </c>
      <c r="R197" s="33">
        <f>ROUND(MIN(MAX(0,N('Your debts'!$E$12)),H197),2)</f>
      </c>
      <c r="S197" s="33">
        <f>ROUND(MIN(MAX(0,N('Your debts'!$E$13)),I197),2)</f>
      </c>
      <c r="T197" s="33">
        <f>ROUND(MIN(MAX(0,N('Your debts'!$E$14)),J197),2)</f>
      </c>
      <c r="U197" s="33">
        <f>ROUND(MIN(MAX(0,N('Your debts'!$E$15)),K197),2)</f>
      </c>
      <c r="V197" s="33">
        <f>ROUND(B197-L197,2)</f>
      </c>
      <c r="W197" s="33">
        <f>ROUND(C197-M197,2)</f>
      </c>
      <c r="X197" s="33">
        <f>ROUND(D197-N197,2)</f>
      </c>
      <c r="Y197" s="33">
        <f>ROUND(E197-O197,2)</f>
      </c>
      <c r="Z197" s="33">
        <f>ROUND(F197-P197,2)</f>
      </c>
      <c r="AA197" s="33">
        <f>ROUND(G197-Q197,2)</f>
      </c>
      <c r="AB197" s="33">
        <f>ROUND(H197-R197,2)</f>
      </c>
      <c r="AC197" s="33">
        <f>ROUND(I197-S197,2)</f>
      </c>
      <c r="AD197" s="33">
        <f>ROUND(J197-T197,2)</f>
      </c>
      <c r="AE197" s="33">
        <f>ROUND(K197-U197,2)</f>
      </c>
      <c r="AF197" s="33">
        <f>IF(V197&lt;=0,0,MAX(0,MIN(V197,ROUND($AZ197-SUMPRODUCT($V197:$AE197*($V197:$AE197&gt;0)*(($V$3:$AE$3&gt;V$3)+($V$3:$AE$3=V$3)*($V197:$AE197&lt;V197)+($V$3:$AE$3=V$3)*($V197:$AE197=V197)*($V$2:$AE$2&lt;V$2))),2))))</f>
      </c>
      <c r="AG197" s="33">
        <f>IF(W197&lt;=0,0,MAX(0,MIN(W197,ROUND($AZ197-SUMPRODUCT($V197:$AE197*($V197:$AE197&gt;0)*(($V$3:$AE$3&gt;W$3)+($V$3:$AE$3=W$3)*($V197:$AE197&lt;W197)+($V$3:$AE$3=W$3)*($V197:$AE197=W197)*($V$2:$AE$2&lt;W$2))),2))))</f>
      </c>
      <c r="AH197" s="33">
        <f>IF(X197&lt;=0,0,MAX(0,MIN(X197,ROUND($AZ197-SUMPRODUCT($V197:$AE197*($V197:$AE197&gt;0)*(($V$3:$AE$3&gt;X$3)+($V$3:$AE$3=X$3)*($V197:$AE197&lt;X197)+($V$3:$AE$3=X$3)*($V197:$AE197=X197)*($V$2:$AE$2&lt;X$2))),2))))</f>
      </c>
      <c r="AI197" s="33">
        <f>IF(Y197&lt;=0,0,MAX(0,MIN(Y197,ROUND($AZ197-SUMPRODUCT($V197:$AE197*($V197:$AE197&gt;0)*(($V$3:$AE$3&gt;Y$3)+($V$3:$AE$3=Y$3)*($V197:$AE197&lt;Y197)+($V$3:$AE$3=Y$3)*($V197:$AE197=Y197)*($V$2:$AE$2&lt;Y$2))),2))))</f>
      </c>
      <c r="AJ197" s="33">
        <f>IF(Z197&lt;=0,0,MAX(0,MIN(Z197,ROUND($AZ197-SUMPRODUCT($V197:$AE197*($V197:$AE197&gt;0)*(($V$3:$AE$3&gt;Z$3)+($V$3:$AE$3=Z$3)*($V197:$AE197&lt;Z197)+($V$3:$AE$3=Z$3)*($V197:$AE197=Z197)*($V$2:$AE$2&lt;Z$2))),2))))</f>
      </c>
      <c r="AK197" s="33">
        <f>IF(AA197&lt;=0,0,MAX(0,MIN(AA197,ROUND($AZ197-SUMPRODUCT($V197:$AE197*($V197:$AE197&gt;0)*(($V$3:$AE$3&gt;AA$3)+($V$3:$AE$3=AA$3)*($V197:$AE197&lt;AA197)+($V$3:$AE$3=AA$3)*($V197:$AE197=AA197)*($V$2:$AE$2&lt;AA$2))),2))))</f>
      </c>
      <c r="AL197" s="33">
        <f>IF(AB197&lt;=0,0,MAX(0,MIN(AB197,ROUND($AZ197-SUMPRODUCT($V197:$AE197*($V197:$AE197&gt;0)*(($V$3:$AE$3&gt;AB$3)+($V$3:$AE$3=AB$3)*($V197:$AE197&lt;AB197)+($V$3:$AE$3=AB$3)*($V197:$AE197=AB197)*($V$2:$AE$2&lt;AB$2))),2))))</f>
      </c>
      <c r="AM197" s="33">
        <f>IF(AC197&lt;=0,0,MAX(0,MIN(AC197,ROUND($AZ197-SUMPRODUCT($V197:$AE197*($V197:$AE197&gt;0)*(($V$3:$AE$3&gt;AC$3)+($V$3:$AE$3=AC$3)*($V197:$AE197&lt;AC197)+($V$3:$AE$3=AC$3)*($V197:$AE197=AC197)*($V$2:$AE$2&lt;AC$2))),2))))</f>
      </c>
      <c r="AN197" s="33">
        <f>IF(AD197&lt;=0,0,MAX(0,MIN(AD197,ROUND($AZ197-SUMPRODUCT($V197:$AE197*($V197:$AE197&gt;0)*(($V$3:$AE$3&gt;AD$3)+($V$3:$AE$3=AD$3)*($V197:$AE197&lt;AD197)+($V$3:$AE$3=AD$3)*($V197:$AE197=AD197)*($V$2:$AE$2&lt;AD$2))),2))))</f>
      </c>
      <c r="AO197" s="33">
        <f>IF(AE197&lt;=0,0,MAX(0,MIN(AE197,ROUND($AZ197-SUMPRODUCT($V197:$AE197*($V197:$AE197&gt;0)*(($V$3:$AE$3&gt;AE$3)+($V$3:$AE$3=AE$3)*($V197:$AE197&lt;AE197)+($V$3:$AE$3=AE$3)*($V197:$AE197=AE197)*($V$2:$AE$2&lt;AE$2))),2))))</f>
      </c>
      <c r="AP197" s="33">
        <f>ROUND(V197-AF197,2)</f>
      </c>
      <c r="AQ197" s="33">
        <f>ROUND(W197-AG197,2)</f>
      </c>
      <c r="AR197" s="33">
        <f>ROUND(X197-AH197,2)</f>
      </c>
      <c r="AS197" s="33">
        <f>ROUND(Y197-AI197,2)</f>
      </c>
      <c r="AT197" s="33">
        <f>ROUND(Z197-AJ197,2)</f>
      </c>
      <c r="AU197" s="33">
        <f>ROUND(AA197-AK197,2)</f>
      </c>
      <c r="AV197" s="33">
        <f>ROUND(AB197-AL197,2)</f>
      </c>
      <c r="AW197" s="33">
        <f>ROUND(AC197-AM197,2)</f>
      </c>
      <c r="AX197" s="33">
        <f>ROUND(AD197-AN197,2)</f>
      </c>
      <c r="AY197" s="33">
        <f>ROUND(AE197-AO197,2)</f>
      </c>
      <c r="AZ197" s="33">
        <f>ROUND(MAX(0,'Your debts'!$D$22-SUM($L197:$U197)),2)</f>
      </c>
      <c r="BA197" s="33">
        <f>ROUND(SUM($B197:$K197)-SUM($AP196:$AY196),2)</f>
      </c>
      <c r="BB197" s="33">
        <f>SUM($AP197:$AY197)</f>
      </c>
      <c r="BC197" s="33">
        <f>ROUND(SUM($L197:$U197)+SUM($AF197:$AO197),2)</f>
      </c>
    </row>
    <row r="198" spans="1:55" x14ac:dyDescent="0.25">
      <c r="A198">
        <v>191</v>
      </c>
      <c r="B198" s="33">
        <f>IF(AP197&lt;=0,0,ROUND(AP197+ROUND(AP197*V$3/12,2),2))</f>
      </c>
      <c r="C198" s="33">
        <f>IF(AQ197&lt;=0,0,ROUND(AQ197+ROUND(AQ197*W$3/12,2),2))</f>
      </c>
      <c r="D198" s="33">
        <f>IF(AR197&lt;=0,0,ROUND(AR197+ROUND(AR197*X$3/12,2),2))</f>
      </c>
      <c r="E198" s="33">
        <f>IF(AS197&lt;=0,0,ROUND(AS197+ROUND(AS197*Y$3/12,2),2))</f>
      </c>
      <c r="F198" s="33">
        <f>IF(AT197&lt;=0,0,ROUND(AT197+ROUND(AT197*Z$3/12,2),2))</f>
      </c>
      <c r="G198" s="33">
        <f>IF(AU197&lt;=0,0,ROUND(AU197+ROUND(AU197*AA$3/12,2),2))</f>
      </c>
      <c r="H198" s="33">
        <f>IF(AV197&lt;=0,0,ROUND(AV197+ROUND(AV197*AB$3/12,2),2))</f>
      </c>
      <c r="I198" s="33">
        <f>IF(AW197&lt;=0,0,ROUND(AW197+ROUND(AW197*AC$3/12,2),2))</f>
      </c>
      <c r="J198" s="33">
        <f>IF(AX197&lt;=0,0,ROUND(AX197+ROUND(AX197*AD$3/12,2),2))</f>
      </c>
      <c r="K198" s="33">
        <f>IF(AY197&lt;=0,0,ROUND(AY197+ROUND(AY197*AE$3/12,2),2))</f>
      </c>
      <c r="L198" s="33">
        <f>ROUND(MIN(MAX(0,N('Your debts'!$E$6)),B198),2)</f>
      </c>
      <c r="M198" s="33">
        <f>ROUND(MIN(MAX(0,N('Your debts'!$E$7)),C198),2)</f>
      </c>
      <c r="N198" s="33">
        <f>ROUND(MIN(MAX(0,N('Your debts'!$E$8)),D198),2)</f>
      </c>
      <c r="O198" s="33">
        <f>ROUND(MIN(MAX(0,N('Your debts'!$E$9)),E198),2)</f>
      </c>
      <c r="P198" s="33">
        <f>ROUND(MIN(MAX(0,N('Your debts'!$E$10)),F198),2)</f>
      </c>
      <c r="Q198" s="33">
        <f>ROUND(MIN(MAX(0,N('Your debts'!$E$11)),G198),2)</f>
      </c>
      <c r="R198" s="33">
        <f>ROUND(MIN(MAX(0,N('Your debts'!$E$12)),H198),2)</f>
      </c>
      <c r="S198" s="33">
        <f>ROUND(MIN(MAX(0,N('Your debts'!$E$13)),I198),2)</f>
      </c>
      <c r="T198" s="33">
        <f>ROUND(MIN(MAX(0,N('Your debts'!$E$14)),J198),2)</f>
      </c>
      <c r="U198" s="33">
        <f>ROUND(MIN(MAX(0,N('Your debts'!$E$15)),K198),2)</f>
      </c>
      <c r="V198" s="33">
        <f>ROUND(B198-L198,2)</f>
      </c>
      <c r="W198" s="33">
        <f>ROUND(C198-M198,2)</f>
      </c>
      <c r="X198" s="33">
        <f>ROUND(D198-N198,2)</f>
      </c>
      <c r="Y198" s="33">
        <f>ROUND(E198-O198,2)</f>
      </c>
      <c r="Z198" s="33">
        <f>ROUND(F198-P198,2)</f>
      </c>
      <c r="AA198" s="33">
        <f>ROUND(G198-Q198,2)</f>
      </c>
      <c r="AB198" s="33">
        <f>ROUND(H198-R198,2)</f>
      </c>
      <c r="AC198" s="33">
        <f>ROUND(I198-S198,2)</f>
      </c>
      <c r="AD198" s="33">
        <f>ROUND(J198-T198,2)</f>
      </c>
      <c r="AE198" s="33">
        <f>ROUND(K198-U198,2)</f>
      </c>
      <c r="AF198" s="33">
        <f>IF(V198&lt;=0,0,MAX(0,MIN(V198,ROUND($AZ198-SUMPRODUCT($V198:$AE198*($V198:$AE198&gt;0)*(($V$3:$AE$3&gt;V$3)+($V$3:$AE$3=V$3)*($V198:$AE198&lt;V198)+($V$3:$AE$3=V$3)*($V198:$AE198=V198)*($V$2:$AE$2&lt;V$2))),2))))</f>
      </c>
      <c r="AG198" s="33">
        <f>IF(W198&lt;=0,0,MAX(0,MIN(W198,ROUND($AZ198-SUMPRODUCT($V198:$AE198*($V198:$AE198&gt;0)*(($V$3:$AE$3&gt;W$3)+($V$3:$AE$3=W$3)*($V198:$AE198&lt;W198)+($V$3:$AE$3=W$3)*($V198:$AE198=W198)*($V$2:$AE$2&lt;W$2))),2))))</f>
      </c>
      <c r="AH198" s="33">
        <f>IF(X198&lt;=0,0,MAX(0,MIN(X198,ROUND($AZ198-SUMPRODUCT($V198:$AE198*($V198:$AE198&gt;0)*(($V$3:$AE$3&gt;X$3)+($V$3:$AE$3=X$3)*($V198:$AE198&lt;X198)+($V$3:$AE$3=X$3)*($V198:$AE198=X198)*($V$2:$AE$2&lt;X$2))),2))))</f>
      </c>
      <c r="AI198" s="33">
        <f>IF(Y198&lt;=0,0,MAX(0,MIN(Y198,ROUND($AZ198-SUMPRODUCT($V198:$AE198*($V198:$AE198&gt;0)*(($V$3:$AE$3&gt;Y$3)+($V$3:$AE$3=Y$3)*($V198:$AE198&lt;Y198)+($V$3:$AE$3=Y$3)*($V198:$AE198=Y198)*($V$2:$AE$2&lt;Y$2))),2))))</f>
      </c>
      <c r="AJ198" s="33">
        <f>IF(Z198&lt;=0,0,MAX(0,MIN(Z198,ROUND($AZ198-SUMPRODUCT($V198:$AE198*($V198:$AE198&gt;0)*(($V$3:$AE$3&gt;Z$3)+($V$3:$AE$3=Z$3)*($V198:$AE198&lt;Z198)+($V$3:$AE$3=Z$3)*($V198:$AE198=Z198)*($V$2:$AE$2&lt;Z$2))),2))))</f>
      </c>
      <c r="AK198" s="33">
        <f>IF(AA198&lt;=0,0,MAX(0,MIN(AA198,ROUND($AZ198-SUMPRODUCT($V198:$AE198*($V198:$AE198&gt;0)*(($V$3:$AE$3&gt;AA$3)+($V$3:$AE$3=AA$3)*($V198:$AE198&lt;AA198)+($V$3:$AE$3=AA$3)*($V198:$AE198=AA198)*($V$2:$AE$2&lt;AA$2))),2))))</f>
      </c>
      <c r="AL198" s="33">
        <f>IF(AB198&lt;=0,0,MAX(0,MIN(AB198,ROUND($AZ198-SUMPRODUCT($V198:$AE198*($V198:$AE198&gt;0)*(($V$3:$AE$3&gt;AB$3)+($V$3:$AE$3=AB$3)*($V198:$AE198&lt;AB198)+($V$3:$AE$3=AB$3)*($V198:$AE198=AB198)*($V$2:$AE$2&lt;AB$2))),2))))</f>
      </c>
      <c r="AM198" s="33">
        <f>IF(AC198&lt;=0,0,MAX(0,MIN(AC198,ROUND($AZ198-SUMPRODUCT($V198:$AE198*($V198:$AE198&gt;0)*(($V$3:$AE$3&gt;AC$3)+($V$3:$AE$3=AC$3)*($V198:$AE198&lt;AC198)+($V$3:$AE$3=AC$3)*($V198:$AE198=AC198)*($V$2:$AE$2&lt;AC$2))),2))))</f>
      </c>
      <c r="AN198" s="33">
        <f>IF(AD198&lt;=0,0,MAX(0,MIN(AD198,ROUND($AZ198-SUMPRODUCT($V198:$AE198*($V198:$AE198&gt;0)*(($V$3:$AE$3&gt;AD$3)+($V$3:$AE$3=AD$3)*($V198:$AE198&lt;AD198)+($V$3:$AE$3=AD$3)*($V198:$AE198=AD198)*($V$2:$AE$2&lt;AD$2))),2))))</f>
      </c>
      <c r="AO198" s="33">
        <f>IF(AE198&lt;=0,0,MAX(0,MIN(AE198,ROUND($AZ198-SUMPRODUCT($V198:$AE198*($V198:$AE198&gt;0)*(($V$3:$AE$3&gt;AE$3)+($V$3:$AE$3=AE$3)*($V198:$AE198&lt;AE198)+($V$3:$AE$3=AE$3)*($V198:$AE198=AE198)*($V$2:$AE$2&lt;AE$2))),2))))</f>
      </c>
      <c r="AP198" s="33">
        <f>ROUND(V198-AF198,2)</f>
      </c>
      <c r="AQ198" s="33">
        <f>ROUND(W198-AG198,2)</f>
      </c>
      <c r="AR198" s="33">
        <f>ROUND(X198-AH198,2)</f>
      </c>
      <c r="AS198" s="33">
        <f>ROUND(Y198-AI198,2)</f>
      </c>
      <c r="AT198" s="33">
        <f>ROUND(Z198-AJ198,2)</f>
      </c>
      <c r="AU198" s="33">
        <f>ROUND(AA198-AK198,2)</f>
      </c>
      <c r="AV198" s="33">
        <f>ROUND(AB198-AL198,2)</f>
      </c>
      <c r="AW198" s="33">
        <f>ROUND(AC198-AM198,2)</f>
      </c>
      <c r="AX198" s="33">
        <f>ROUND(AD198-AN198,2)</f>
      </c>
      <c r="AY198" s="33">
        <f>ROUND(AE198-AO198,2)</f>
      </c>
      <c r="AZ198" s="33">
        <f>ROUND(MAX(0,'Your debts'!$D$22-SUM($L198:$U198)),2)</f>
      </c>
      <c r="BA198" s="33">
        <f>ROUND(SUM($B198:$K198)-SUM($AP197:$AY197),2)</f>
      </c>
      <c r="BB198" s="33">
        <f>SUM($AP198:$AY198)</f>
      </c>
      <c r="BC198" s="33">
        <f>ROUND(SUM($L198:$U198)+SUM($AF198:$AO198),2)</f>
      </c>
    </row>
    <row r="199" spans="1:55" x14ac:dyDescent="0.25">
      <c r="A199">
        <v>192</v>
      </c>
      <c r="B199" s="33">
        <f>IF(AP198&lt;=0,0,ROUND(AP198+ROUND(AP198*V$3/12,2),2))</f>
      </c>
      <c r="C199" s="33">
        <f>IF(AQ198&lt;=0,0,ROUND(AQ198+ROUND(AQ198*W$3/12,2),2))</f>
      </c>
      <c r="D199" s="33">
        <f>IF(AR198&lt;=0,0,ROUND(AR198+ROUND(AR198*X$3/12,2),2))</f>
      </c>
      <c r="E199" s="33">
        <f>IF(AS198&lt;=0,0,ROUND(AS198+ROUND(AS198*Y$3/12,2),2))</f>
      </c>
      <c r="F199" s="33">
        <f>IF(AT198&lt;=0,0,ROUND(AT198+ROUND(AT198*Z$3/12,2),2))</f>
      </c>
      <c r="G199" s="33">
        <f>IF(AU198&lt;=0,0,ROUND(AU198+ROUND(AU198*AA$3/12,2),2))</f>
      </c>
      <c r="H199" s="33">
        <f>IF(AV198&lt;=0,0,ROUND(AV198+ROUND(AV198*AB$3/12,2),2))</f>
      </c>
      <c r="I199" s="33">
        <f>IF(AW198&lt;=0,0,ROUND(AW198+ROUND(AW198*AC$3/12,2),2))</f>
      </c>
      <c r="J199" s="33">
        <f>IF(AX198&lt;=0,0,ROUND(AX198+ROUND(AX198*AD$3/12,2),2))</f>
      </c>
      <c r="K199" s="33">
        <f>IF(AY198&lt;=0,0,ROUND(AY198+ROUND(AY198*AE$3/12,2),2))</f>
      </c>
      <c r="L199" s="33">
        <f>ROUND(MIN(MAX(0,N('Your debts'!$E$6)),B199),2)</f>
      </c>
      <c r="M199" s="33">
        <f>ROUND(MIN(MAX(0,N('Your debts'!$E$7)),C199),2)</f>
      </c>
      <c r="N199" s="33">
        <f>ROUND(MIN(MAX(0,N('Your debts'!$E$8)),D199),2)</f>
      </c>
      <c r="O199" s="33">
        <f>ROUND(MIN(MAX(0,N('Your debts'!$E$9)),E199),2)</f>
      </c>
      <c r="P199" s="33">
        <f>ROUND(MIN(MAX(0,N('Your debts'!$E$10)),F199),2)</f>
      </c>
      <c r="Q199" s="33">
        <f>ROUND(MIN(MAX(0,N('Your debts'!$E$11)),G199),2)</f>
      </c>
      <c r="R199" s="33">
        <f>ROUND(MIN(MAX(0,N('Your debts'!$E$12)),H199),2)</f>
      </c>
      <c r="S199" s="33">
        <f>ROUND(MIN(MAX(0,N('Your debts'!$E$13)),I199),2)</f>
      </c>
      <c r="T199" s="33">
        <f>ROUND(MIN(MAX(0,N('Your debts'!$E$14)),J199),2)</f>
      </c>
      <c r="U199" s="33">
        <f>ROUND(MIN(MAX(0,N('Your debts'!$E$15)),K199),2)</f>
      </c>
      <c r="V199" s="33">
        <f>ROUND(B199-L199,2)</f>
      </c>
      <c r="W199" s="33">
        <f>ROUND(C199-M199,2)</f>
      </c>
      <c r="X199" s="33">
        <f>ROUND(D199-N199,2)</f>
      </c>
      <c r="Y199" s="33">
        <f>ROUND(E199-O199,2)</f>
      </c>
      <c r="Z199" s="33">
        <f>ROUND(F199-P199,2)</f>
      </c>
      <c r="AA199" s="33">
        <f>ROUND(G199-Q199,2)</f>
      </c>
      <c r="AB199" s="33">
        <f>ROUND(H199-R199,2)</f>
      </c>
      <c r="AC199" s="33">
        <f>ROUND(I199-S199,2)</f>
      </c>
      <c r="AD199" s="33">
        <f>ROUND(J199-T199,2)</f>
      </c>
      <c r="AE199" s="33">
        <f>ROUND(K199-U199,2)</f>
      </c>
      <c r="AF199" s="33">
        <f>IF(V199&lt;=0,0,MAX(0,MIN(V199,ROUND($AZ199-SUMPRODUCT($V199:$AE199*($V199:$AE199&gt;0)*(($V$3:$AE$3&gt;V$3)+($V$3:$AE$3=V$3)*($V199:$AE199&lt;V199)+($V$3:$AE$3=V$3)*($V199:$AE199=V199)*($V$2:$AE$2&lt;V$2))),2))))</f>
      </c>
      <c r="AG199" s="33">
        <f>IF(W199&lt;=0,0,MAX(0,MIN(W199,ROUND($AZ199-SUMPRODUCT($V199:$AE199*($V199:$AE199&gt;0)*(($V$3:$AE$3&gt;W$3)+($V$3:$AE$3=W$3)*($V199:$AE199&lt;W199)+($V$3:$AE$3=W$3)*($V199:$AE199=W199)*($V$2:$AE$2&lt;W$2))),2))))</f>
      </c>
      <c r="AH199" s="33">
        <f>IF(X199&lt;=0,0,MAX(0,MIN(X199,ROUND($AZ199-SUMPRODUCT($V199:$AE199*($V199:$AE199&gt;0)*(($V$3:$AE$3&gt;X$3)+($V$3:$AE$3=X$3)*($V199:$AE199&lt;X199)+($V$3:$AE$3=X$3)*($V199:$AE199=X199)*($V$2:$AE$2&lt;X$2))),2))))</f>
      </c>
      <c r="AI199" s="33">
        <f>IF(Y199&lt;=0,0,MAX(0,MIN(Y199,ROUND($AZ199-SUMPRODUCT($V199:$AE199*($V199:$AE199&gt;0)*(($V$3:$AE$3&gt;Y$3)+($V$3:$AE$3=Y$3)*($V199:$AE199&lt;Y199)+($V$3:$AE$3=Y$3)*($V199:$AE199=Y199)*($V$2:$AE$2&lt;Y$2))),2))))</f>
      </c>
      <c r="AJ199" s="33">
        <f>IF(Z199&lt;=0,0,MAX(0,MIN(Z199,ROUND($AZ199-SUMPRODUCT($V199:$AE199*($V199:$AE199&gt;0)*(($V$3:$AE$3&gt;Z$3)+($V$3:$AE$3=Z$3)*($V199:$AE199&lt;Z199)+($V$3:$AE$3=Z$3)*($V199:$AE199=Z199)*($V$2:$AE$2&lt;Z$2))),2))))</f>
      </c>
      <c r="AK199" s="33">
        <f>IF(AA199&lt;=0,0,MAX(0,MIN(AA199,ROUND($AZ199-SUMPRODUCT($V199:$AE199*($V199:$AE199&gt;0)*(($V$3:$AE$3&gt;AA$3)+($V$3:$AE$3=AA$3)*($V199:$AE199&lt;AA199)+($V$3:$AE$3=AA$3)*($V199:$AE199=AA199)*($V$2:$AE$2&lt;AA$2))),2))))</f>
      </c>
      <c r="AL199" s="33">
        <f>IF(AB199&lt;=0,0,MAX(0,MIN(AB199,ROUND($AZ199-SUMPRODUCT($V199:$AE199*($V199:$AE199&gt;0)*(($V$3:$AE$3&gt;AB$3)+($V$3:$AE$3=AB$3)*($V199:$AE199&lt;AB199)+($V$3:$AE$3=AB$3)*($V199:$AE199=AB199)*($V$2:$AE$2&lt;AB$2))),2))))</f>
      </c>
      <c r="AM199" s="33">
        <f>IF(AC199&lt;=0,0,MAX(0,MIN(AC199,ROUND($AZ199-SUMPRODUCT($V199:$AE199*($V199:$AE199&gt;0)*(($V$3:$AE$3&gt;AC$3)+($V$3:$AE$3=AC$3)*($V199:$AE199&lt;AC199)+($V$3:$AE$3=AC$3)*($V199:$AE199=AC199)*($V$2:$AE$2&lt;AC$2))),2))))</f>
      </c>
      <c r="AN199" s="33">
        <f>IF(AD199&lt;=0,0,MAX(0,MIN(AD199,ROUND($AZ199-SUMPRODUCT($V199:$AE199*($V199:$AE199&gt;0)*(($V$3:$AE$3&gt;AD$3)+($V$3:$AE$3=AD$3)*($V199:$AE199&lt;AD199)+($V$3:$AE$3=AD$3)*($V199:$AE199=AD199)*($V$2:$AE$2&lt;AD$2))),2))))</f>
      </c>
      <c r="AO199" s="33">
        <f>IF(AE199&lt;=0,0,MAX(0,MIN(AE199,ROUND($AZ199-SUMPRODUCT($V199:$AE199*($V199:$AE199&gt;0)*(($V$3:$AE$3&gt;AE$3)+($V$3:$AE$3=AE$3)*($V199:$AE199&lt;AE199)+($V$3:$AE$3=AE$3)*($V199:$AE199=AE199)*($V$2:$AE$2&lt;AE$2))),2))))</f>
      </c>
      <c r="AP199" s="33">
        <f>ROUND(V199-AF199,2)</f>
      </c>
      <c r="AQ199" s="33">
        <f>ROUND(W199-AG199,2)</f>
      </c>
      <c r="AR199" s="33">
        <f>ROUND(X199-AH199,2)</f>
      </c>
      <c r="AS199" s="33">
        <f>ROUND(Y199-AI199,2)</f>
      </c>
      <c r="AT199" s="33">
        <f>ROUND(Z199-AJ199,2)</f>
      </c>
      <c r="AU199" s="33">
        <f>ROUND(AA199-AK199,2)</f>
      </c>
      <c r="AV199" s="33">
        <f>ROUND(AB199-AL199,2)</f>
      </c>
      <c r="AW199" s="33">
        <f>ROUND(AC199-AM199,2)</f>
      </c>
      <c r="AX199" s="33">
        <f>ROUND(AD199-AN199,2)</f>
      </c>
      <c r="AY199" s="33">
        <f>ROUND(AE199-AO199,2)</f>
      </c>
      <c r="AZ199" s="33">
        <f>ROUND(MAX(0,'Your debts'!$D$22-SUM($L199:$U199)),2)</f>
      </c>
      <c r="BA199" s="33">
        <f>ROUND(SUM($B199:$K199)-SUM($AP198:$AY198),2)</f>
      </c>
      <c r="BB199" s="33">
        <f>SUM($AP199:$AY199)</f>
      </c>
      <c r="BC199" s="33">
        <f>ROUND(SUM($L199:$U199)+SUM($AF199:$AO199),2)</f>
      </c>
    </row>
    <row r="200" spans="1:55" x14ac:dyDescent="0.25">
      <c r="A200">
        <v>193</v>
      </c>
      <c r="B200" s="33">
        <f>IF(AP199&lt;=0,0,ROUND(AP199+ROUND(AP199*V$3/12,2),2))</f>
      </c>
      <c r="C200" s="33">
        <f>IF(AQ199&lt;=0,0,ROUND(AQ199+ROUND(AQ199*W$3/12,2),2))</f>
      </c>
      <c r="D200" s="33">
        <f>IF(AR199&lt;=0,0,ROUND(AR199+ROUND(AR199*X$3/12,2),2))</f>
      </c>
      <c r="E200" s="33">
        <f>IF(AS199&lt;=0,0,ROUND(AS199+ROUND(AS199*Y$3/12,2),2))</f>
      </c>
      <c r="F200" s="33">
        <f>IF(AT199&lt;=0,0,ROUND(AT199+ROUND(AT199*Z$3/12,2),2))</f>
      </c>
      <c r="G200" s="33">
        <f>IF(AU199&lt;=0,0,ROUND(AU199+ROUND(AU199*AA$3/12,2),2))</f>
      </c>
      <c r="H200" s="33">
        <f>IF(AV199&lt;=0,0,ROUND(AV199+ROUND(AV199*AB$3/12,2),2))</f>
      </c>
      <c r="I200" s="33">
        <f>IF(AW199&lt;=0,0,ROUND(AW199+ROUND(AW199*AC$3/12,2),2))</f>
      </c>
      <c r="J200" s="33">
        <f>IF(AX199&lt;=0,0,ROUND(AX199+ROUND(AX199*AD$3/12,2),2))</f>
      </c>
      <c r="K200" s="33">
        <f>IF(AY199&lt;=0,0,ROUND(AY199+ROUND(AY199*AE$3/12,2),2))</f>
      </c>
      <c r="L200" s="33">
        <f>ROUND(MIN(MAX(0,N('Your debts'!$E$6)),B200),2)</f>
      </c>
      <c r="M200" s="33">
        <f>ROUND(MIN(MAX(0,N('Your debts'!$E$7)),C200),2)</f>
      </c>
      <c r="N200" s="33">
        <f>ROUND(MIN(MAX(0,N('Your debts'!$E$8)),D200),2)</f>
      </c>
      <c r="O200" s="33">
        <f>ROUND(MIN(MAX(0,N('Your debts'!$E$9)),E200),2)</f>
      </c>
      <c r="P200" s="33">
        <f>ROUND(MIN(MAX(0,N('Your debts'!$E$10)),F200),2)</f>
      </c>
      <c r="Q200" s="33">
        <f>ROUND(MIN(MAX(0,N('Your debts'!$E$11)),G200),2)</f>
      </c>
      <c r="R200" s="33">
        <f>ROUND(MIN(MAX(0,N('Your debts'!$E$12)),H200),2)</f>
      </c>
      <c r="S200" s="33">
        <f>ROUND(MIN(MAX(0,N('Your debts'!$E$13)),I200),2)</f>
      </c>
      <c r="T200" s="33">
        <f>ROUND(MIN(MAX(0,N('Your debts'!$E$14)),J200),2)</f>
      </c>
      <c r="U200" s="33">
        <f>ROUND(MIN(MAX(0,N('Your debts'!$E$15)),K200),2)</f>
      </c>
      <c r="V200" s="33">
        <f>ROUND(B200-L200,2)</f>
      </c>
      <c r="W200" s="33">
        <f>ROUND(C200-M200,2)</f>
      </c>
      <c r="X200" s="33">
        <f>ROUND(D200-N200,2)</f>
      </c>
      <c r="Y200" s="33">
        <f>ROUND(E200-O200,2)</f>
      </c>
      <c r="Z200" s="33">
        <f>ROUND(F200-P200,2)</f>
      </c>
      <c r="AA200" s="33">
        <f>ROUND(G200-Q200,2)</f>
      </c>
      <c r="AB200" s="33">
        <f>ROUND(H200-R200,2)</f>
      </c>
      <c r="AC200" s="33">
        <f>ROUND(I200-S200,2)</f>
      </c>
      <c r="AD200" s="33">
        <f>ROUND(J200-T200,2)</f>
      </c>
      <c r="AE200" s="33">
        <f>ROUND(K200-U200,2)</f>
      </c>
      <c r="AF200" s="33">
        <f>IF(V200&lt;=0,0,MAX(0,MIN(V200,ROUND($AZ200-SUMPRODUCT($V200:$AE200*($V200:$AE200&gt;0)*(($V$3:$AE$3&gt;V$3)+($V$3:$AE$3=V$3)*($V200:$AE200&lt;V200)+($V$3:$AE$3=V$3)*($V200:$AE200=V200)*($V$2:$AE$2&lt;V$2))),2))))</f>
      </c>
      <c r="AG200" s="33">
        <f>IF(W200&lt;=0,0,MAX(0,MIN(W200,ROUND($AZ200-SUMPRODUCT($V200:$AE200*($V200:$AE200&gt;0)*(($V$3:$AE$3&gt;W$3)+($V$3:$AE$3=W$3)*($V200:$AE200&lt;W200)+($V$3:$AE$3=W$3)*($V200:$AE200=W200)*($V$2:$AE$2&lt;W$2))),2))))</f>
      </c>
      <c r="AH200" s="33">
        <f>IF(X200&lt;=0,0,MAX(0,MIN(X200,ROUND($AZ200-SUMPRODUCT($V200:$AE200*($V200:$AE200&gt;0)*(($V$3:$AE$3&gt;X$3)+($V$3:$AE$3=X$3)*($V200:$AE200&lt;X200)+($V$3:$AE$3=X$3)*($V200:$AE200=X200)*($V$2:$AE$2&lt;X$2))),2))))</f>
      </c>
      <c r="AI200" s="33">
        <f>IF(Y200&lt;=0,0,MAX(0,MIN(Y200,ROUND($AZ200-SUMPRODUCT($V200:$AE200*($V200:$AE200&gt;0)*(($V$3:$AE$3&gt;Y$3)+($V$3:$AE$3=Y$3)*($V200:$AE200&lt;Y200)+($V$3:$AE$3=Y$3)*($V200:$AE200=Y200)*($V$2:$AE$2&lt;Y$2))),2))))</f>
      </c>
      <c r="AJ200" s="33">
        <f>IF(Z200&lt;=0,0,MAX(0,MIN(Z200,ROUND($AZ200-SUMPRODUCT($V200:$AE200*($V200:$AE200&gt;0)*(($V$3:$AE$3&gt;Z$3)+($V$3:$AE$3=Z$3)*($V200:$AE200&lt;Z200)+($V$3:$AE$3=Z$3)*($V200:$AE200=Z200)*($V$2:$AE$2&lt;Z$2))),2))))</f>
      </c>
      <c r="AK200" s="33">
        <f>IF(AA200&lt;=0,0,MAX(0,MIN(AA200,ROUND($AZ200-SUMPRODUCT($V200:$AE200*($V200:$AE200&gt;0)*(($V$3:$AE$3&gt;AA$3)+($V$3:$AE$3=AA$3)*($V200:$AE200&lt;AA200)+($V$3:$AE$3=AA$3)*($V200:$AE200=AA200)*($V$2:$AE$2&lt;AA$2))),2))))</f>
      </c>
      <c r="AL200" s="33">
        <f>IF(AB200&lt;=0,0,MAX(0,MIN(AB200,ROUND($AZ200-SUMPRODUCT($V200:$AE200*($V200:$AE200&gt;0)*(($V$3:$AE$3&gt;AB$3)+($V$3:$AE$3=AB$3)*($V200:$AE200&lt;AB200)+($V$3:$AE$3=AB$3)*($V200:$AE200=AB200)*($V$2:$AE$2&lt;AB$2))),2))))</f>
      </c>
      <c r="AM200" s="33">
        <f>IF(AC200&lt;=0,0,MAX(0,MIN(AC200,ROUND($AZ200-SUMPRODUCT($V200:$AE200*($V200:$AE200&gt;0)*(($V$3:$AE$3&gt;AC$3)+($V$3:$AE$3=AC$3)*($V200:$AE200&lt;AC200)+($V$3:$AE$3=AC$3)*($V200:$AE200=AC200)*($V$2:$AE$2&lt;AC$2))),2))))</f>
      </c>
      <c r="AN200" s="33">
        <f>IF(AD200&lt;=0,0,MAX(0,MIN(AD200,ROUND($AZ200-SUMPRODUCT($V200:$AE200*($V200:$AE200&gt;0)*(($V$3:$AE$3&gt;AD$3)+($V$3:$AE$3=AD$3)*($V200:$AE200&lt;AD200)+($V$3:$AE$3=AD$3)*($V200:$AE200=AD200)*($V$2:$AE$2&lt;AD$2))),2))))</f>
      </c>
      <c r="AO200" s="33">
        <f>IF(AE200&lt;=0,0,MAX(0,MIN(AE200,ROUND($AZ200-SUMPRODUCT($V200:$AE200*($V200:$AE200&gt;0)*(($V$3:$AE$3&gt;AE$3)+($V$3:$AE$3=AE$3)*($V200:$AE200&lt;AE200)+($V$3:$AE$3=AE$3)*($V200:$AE200=AE200)*($V$2:$AE$2&lt;AE$2))),2))))</f>
      </c>
      <c r="AP200" s="33">
        <f>ROUND(V200-AF200,2)</f>
      </c>
      <c r="AQ200" s="33">
        <f>ROUND(W200-AG200,2)</f>
      </c>
      <c r="AR200" s="33">
        <f>ROUND(X200-AH200,2)</f>
      </c>
      <c r="AS200" s="33">
        <f>ROUND(Y200-AI200,2)</f>
      </c>
      <c r="AT200" s="33">
        <f>ROUND(Z200-AJ200,2)</f>
      </c>
      <c r="AU200" s="33">
        <f>ROUND(AA200-AK200,2)</f>
      </c>
      <c r="AV200" s="33">
        <f>ROUND(AB200-AL200,2)</f>
      </c>
      <c r="AW200" s="33">
        <f>ROUND(AC200-AM200,2)</f>
      </c>
      <c r="AX200" s="33">
        <f>ROUND(AD200-AN200,2)</f>
      </c>
      <c r="AY200" s="33">
        <f>ROUND(AE200-AO200,2)</f>
      </c>
      <c r="AZ200" s="33">
        <f>ROUND(MAX(0,'Your debts'!$D$22-SUM($L200:$U200)),2)</f>
      </c>
      <c r="BA200" s="33">
        <f>ROUND(SUM($B200:$K200)-SUM($AP199:$AY199),2)</f>
      </c>
      <c r="BB200" s="33">
        <f>SUM($AP200:$AY200)</f>
      </c>
      <c r="BC200" s="33">
        <f>ROUND(SUM($L200:$U200)+SUM($AF200:$AO200),2)</f>
      </c>
    </row>
    <row r="201" spans="1:55" x14ac:dyDescent="0.25">
      <c r="A201">
        <v>194</v>
      </c>
      <c r="B201" s="33">
        <f>IF(AP200&lt;=0,0,ROUND(AP200+ROUND(AP200*V$3/12,2),2))</f>
      </c>
      <c r="C201" s="33">
        <f>IF(AQ200&lt;=0,0,ROUND(AQ200+ROUND(AQ200*W$3/12,2),2))</f>
      </c>
      <c r="D201" s="33">
        <f>IF(AR200&lt;=0,0,ROUND(AR200+ROUND(AR200*X$3/12,2),2))</f>
      </c>
      <c r="E201" s="33">
        <f>IF(AS200&lt;=0,0,ROUND(AS200+ROUND(AS200*Y$3/12,2),2))</f>
      </c>
      <c r="F201" s="33">
        <f>IF(AT200&lt;=0,0,ROUND(AT200+ROUND(AT200*Z$3/12,2),2))</f>
      </c>
      <c r="G201" s="33">
        <f>IF(AU200&lt;=0,0,ROUND(AU200+ROUND(AU200*AA$3/12,2),2))</f>
      </c>
      <c r="H201" s="33">
        <f>IF(AV200&lt;=0,0,ROUND(AV200+ROUND(AV200*AB$3/12,2),2))</f>
      </c>
      <c r="I201" s="33">
        <f>IF(AW200&lt;=0,0,ROUND(AW200+ROUND(AW200*AC$3/12,2),2))</f>
      </c>
      <c r="J201" s="33">
        <f>IF(AX200&lt;=0,0,ROUND(AX200+ROUND(AX200*AD$3/12,2),2))</f>
      </c>
      <c r="K201" s="33">
        <f>IF(AY200&lt;=0,0,ROUND(AY200+ROUND(AY200*AE$3/12,2),2))</f>
      </c>
      <c r="L201" s="33">
        <f>ROUND(MIN(MAX(0,N('Your debts'!$E$6)),B201),2)</f>
      </c>
      <c r="M201" s="33">
        <f>ROUND(MIN(MAX(0,N('Your debts'!$E$7)),C201),2)</f>
      </c>
      <c r="N201" s="33">
        <f>ROUND(MIN(MAX(0,N('Your debts'!$E$8)),D201),2)</f>
      </c>
      <c r="O201" s="33">
        <f>ROUND(MIN(MAX(0,N('Your debts'!$E$9)),E201),2)</f>
      </c>
      <c r="P201" s="33">
        <f>ROUND(MIN(MAX(0,N('Your debts'!$E$10)),F201),2)</f>
      </c>
      <c r="Q201" s="33">
        <f>ROUND(MIN(MAX(0,N('Your debts'!$E$11)),G201),2)</f>
      </c>
      <c r="R201" s="33">
        <f>ROUND(MIN(MAX(0,N('Your debts'!$E$12)),H201),2)</f>
      </c>
      <c r="S201" s="33">
        <f>ROUND(MIN(MAX(0,N('Your debts'!$E$13)),I201),2)</f>
      </c>
      <c r="T201" s="33">
        <f>ROUND(MIN(MAX(0,N('Your debts'!$E$14)),J201),2)</f>
      </c>
      <c r="U201" s="33">
        <f>ROUND(MIN(MAX(0,N('Your debts'!$E$15)),K201),2)</f>
      </c>
      <c r="V201" s="33">
        <f>ROUND(B201-L201,2)</f>
      </c>
      <c r="W201" s="33">
        <f>ROUND(C201-M201,2)</f>
      </c>
      <c r="X201" s="33">
        <f>ROUND(D201-N201,2)</f>
      </c>
      <c r="Y201" s="33">
        <f>ROUND(E201-O201,2)</f>
      </c>
      <c r="Z201" s="33">
        <f>ROUND(F201-P201,2)</f>
      </c>
      <c r="AA201" s="33">
        <f>ROUND(G201-Q201,2)</f>
      </c>
      <c r="AB201" s="33">
        <f>ROUND(H201-R201,2)</f>
      </c>
      <c r="AC201" s="33">
        <f>ROUND(I201-S201,2)</f>
      </c>
      <c r="AD201" s="33">
        <f>ROUND(J201-T201,2)</f>
      </c>
      <c r="AE201" s="33">
        <f>ROUND(K201-U201,2)</f>
      </c>
      <c r="AF201" s="33">
        <f>IF(V201&lt;=0,0,MAX(0,MIN(V201,ROUND($AZ201-SUMPRODUCT($V201:$AE201*($V201:$AE201&gt;0)*(($V$3:$AE$3&gt;V$3)+($V$3:$AE$3=V$3)*($V201:$AE201&lt;V201)+($V$3:$AE$3=V$3)*($V201:$AE201=V201)*($V$2:$AE$2&lt;V$2))),2))))</f>
      </c>
      <c r="AG201" s="33">
        <f>IF(W201&lt;=0,0,MAX(0,MIN(W201,ROUND($AZ201-SUMPRODUCT($V201:$AE201*($V201:$AE201&gt;0)*(($V$3:$AE$3&gt;W$3)+($V$3:$AE$3=W$3)*($V201:$AE201&lt;W201)+($V$3:$AE$3=W$3)*($V201:$AE201=W201)*($V$2:$AE$2&lt;W$2))),2))))</f>
      </c>
      <c r="AH201" s="33">
        <f>IF(X201&lt;=0,0,MAX(0,MIN(X201,ROUND($AZ201-SUMPRODUCT($V201:$AE201*($V201:$AE201&gt;0)*(($V$3:$AE$3&gt;X$3)+($V$3:$AE$3=X$3)*($V201:$AE201&lt;X201)+($V$3:$AE$3=X$3)*($V201:$AE201=X201)*($V$2:$AE$2&lt;X$2))),2))))</f>
      </c>
      <c r="AI201" s="33">
        <f>IF(Y201&lt;=0,0,MAX(0,MIN(Y201,ROUND($AZ201-SUMPRODUCT($V201:$AE201*($V201:$AE201&gt;0)*(($V$3:$AE$3&gt;Y$3)+($V$3:$AE$3=Y$3)*($V201:$AE201&lt;Y201)+($V$3:$AE$3=Y$3)*($V201:$AE201=Y201)*($V$2:$AE$2&lt;Y$2))),2))))</f>
      </c>
      <c r="AJ201" s="33">
        <f>IF(Z201&lt;=0,0,MAX(0,MIN(Z201,ROUND($AZ201-SUMPRODUCT($V201:$AE201*($V201:$AE201&gt;0)*(($V$3:$AE$3&gt;Z$3)+($V$3:$AE$3=Z$3)*($V201:$AE201&lt;Z201)+($V$3:$AE$3=Z$3)*($V201:$AE201=Z201)*($V$2:$AE$2&lt;Z$2))),2))))</f>
      </c>
      <c r="AK201" s="33">
        <f>IF(AA201&lt;=0,0,MAX(0,MIN(AA201,ROUND($AZ201-SUMPRODUCT($V201:$AE201*($V201:$AE201&gt;0)*(($V$3:$AE$3&gt;AA$3)+($V$3:$AE$3=AA$3)*($V201:$AE201&lt;AA201)+($V$3:$AE$3=AA$3)*($V201:$AE201=AA201)*($V$2:$AE$2&lt;AA$2))),2))))</f>
      </c>
      <c r="AL201" s="33">
        <f>IF(AB201&lt;=0,0,MAX(0,MIN(AB201,ROUND($AZ201-SUMPRODUCT($V201:$AE201*($V201:$AE201&gt;0)*(($V$3:$AE$3&gt;AB$3)+($V$3:$AE$3=AB$3)*($V201:$AE201&lt;AB201)+($V$3:$AE$3=AB$3)*($V201:$AE201=AB201)*($V$2:$AE$2&lt;AB$2))),2))))</f>
      </c>
      <c r="AM201" s="33">
        <f>IF(AC201&lt;=0,0,MAX(0,MIN(AC201,ROUND($AZ201-SUMPRODUCT($V201:$AE201*($V201:$AE201&gt;0)*(($V$3:$AE$3&gt;AC$3)+($V$3:$AE$3=AC$3)*($V201:$AE201&lt;AC201)+($V$3:$AE$3=AC$3)*($V201:$AE201=AC201)*($V$2:$AE$2&lt;AC$2))),2))))</f>
      </c>
      <c r="AN201" s="33">
        <f>IF(AD201&lt;=0,0,MAX(0,MIN(AD201,ROUND($AZ201-SUMPRODUCT($V201:$AE201*($V201:$AE201&gt;0)*(($V$3:$AE$3&gt;AD$3)+($V$3:$AE$3=AD$3)*($V201:$AE201&lt;AD201)+($V$3:$AE$3=AD$3)*($V201:$AE201=AD201)*($V$2:$AE$2&lt;AD$2))),2))))</f>
      </c>
      <c r="AO201" s="33">
        <f>IF(AE201&lt;=0,0,MAX(0,MIN(AE201,ROUND($AZ201-SUMPRODUCT($V201:$AE201*($V201:$AE201&gt;0)*(($V$3:$AE$3&gt;AE$3)+($V$3:$AE$3=AE$3)*($V201:$AE201&lt;AE201)+($V$3:$AE$3=AE$3)*($V201:$AE201=AE201)*($V$2:$AE$2&lt;AE$2))),2))))</f>
      </c>
      <c r="AP201" s="33">
        <f>ROUND(V201-AF201,2)</f>
      </c>
      <c r="AQ201" s="33">
        <f>ROUND(W201-AG201,2)</f>
      </c>
      <c r="AR201" s="33">
        <f>ROUND(X201-AH201,2)</f>
      </c>
      <c r="AS201" s="33">
        <f>ROUND(Y201-AI201,2)</f>
      </c>
      <c r="AT201" s="33">
        <f>ROUND(Z201-AJ201,2)</f>
      </c>
      <c r="AU201" s="33">
        <f>ROUND(AA201-AK201,2)</f>
      </c>
      <c r="AV201" s="33">
        <f>ROUND(AB201-AL201,2)</f>
      </c>
      <c r="AW201" s="33">
        <f>ROUND(AC201-AM201,2)</f>
      </c>
      <c r="AX201" s="33">
        <f>ROUND(AD201-AN201,2)</f>
      </c>
      <c r="AY201" s="33">
        <f>ROUND(AE201-AO201,2)</f>
      </c>
      <c r="AZ201" s="33">
        <f>ROUND(MAX(0,'Your debts'!$D$22-SUM($L201:$U201)),2)</f>
      </c>
      <c r="BA201" s="33">
        <f>ROUND(SUM($B201:$K201)-SUM($AP200:$AY200),2)</f>
      </c>
      <c r="BB201" s="33">
        <f>SUM($AP201:$AY201)</f>
      </c>
      <c r="BC201" s="33">
        <f>ROUND(SUM($L201:$U201)+SUM($AF201:$AO201),2)</f>
      </c>
    </row>
    <row r="202" spans="1:55" x14ac:dyDescent="0.25">
      <c r="A202">
        <v>195</v>
      </c>
      <c r="B202" s="33">
        <f>IF(AP201&lt;=0,0,ROUND(AP201+ROUND(AP201*V$3/12,2),2))</f>
      </c>
      <c r="C202" s="33">
        <f>IF(AQ201&lt;=0,0,ROUND(AQ201+ROUND(AQ201*W$3/12,2),2))</f>
      </c>
      <c r="D202" s="33">
        <f>IF(AR201&lt;=0,0,ROUND(AR201+ROUND(AR201*X$3/12,2),2))</f>
      </c>
      <c r="E202" s="33">
        <f>IF(AS201&lt;=0,0,ROUND(AS201+ROUND(AS201*Y$3/12,2),2))</f>
      </c>
      <c r="F202" s="33">
        <f>IF(AT201&lt;=0,0,ROUND(AT201+ROUND(AT201*Z$3/12,2),2))</f>
      </c>
      <c r="G202" s="33">
        <f>IF(AU201&lt;=0,0,ROUND(AU201+ROUND(AU201*AA$3/12,2),2))</f>
      </c>
      <c r="H202" s="33">
        <f>IF(AV201&lt;=0,0,ROUND(AV201+ROUND(AV201*AB$3/12,2),2))</f>
      </c>
      <c r="I202" s="33">
        <f>IF(AW201&lt;=0,0,ROUND(AW201+ROUND(AW201*AC$3/12,2),2))</f>
      </c>
      <c r="J202" s="33">
        <f>IF(AX201&lt;=0,0,ROUND(AX201+ROUND(AX201*AD$3/12,2),2))</f>
      </c>
      <c r="K202" s="33">
        <f>IF(AY201&lt;=0,0,ROUND(AY201+ROUND(AY201*AE$3/12,2),2))</f>
      </c>
      <c r="L202" s="33">
        <f>ROUND(MIN(MAX(0,N('Your debts'!$E$6)),B202),2)</f>
      </c>
      <c r="M202" s="33">
        <f>ROUND(MIN(MAX(0,N('Your debts'!$E$7)),C202),2)</f>
      </c>
      <c r="N202" s="33">
        <f>ROUND(MIN(MAX(0,N('Your debts'!$E$8)),D202),2)</f>
      </c>
      <c r="O202" s="33">
        <f>ROUND(MIN(MAX(0,N('Your debts'!$E$9)),E202),2)</f>
      </c>
      <c r="P202" s="33">
        <f>ROUND(MIN(MAX(0,N('Your debts'!$E$10)),F202),2)</f>
      </c>
      <c r="Q202" s="33">
        <f>ROUND(MIN(MAX(0,N('Your debts'!$E$11)),G202),2)</f>
      </c>
      <c r="R202" s="33">
        <f>ROUND(MIN(MAX(0,N('Your debts'!$E$12)),H202),2)</f>
      </c>
      <c r="S202" s="33">
        <f>ROUND(MIN(MAX(0,N('Your debts'!$E$13)),I202),2)</f>
      </c>
      <c r="T202" s="33">
        <f>ROUND(MIN(MAX(0,N('Your debts'!$E$14)),J202),2)</f>
      </c>
      <c r="U202" s="33">
        <f>ROUND(MIN(MAX(0,N('Your debts'!$E$15)),K202),2)</f>
      </c>
      <c r="V202" s="33">
        <f>ROUND(B202-L202,2)</f>
      </c>
      <c r="W202" s="33">
        <f>ROUND(C202-M202,2)</f>
      </c>
      <c r="X202" s="33">
        <f>ROUND(D202-N202,2)</f>
      </c>
      <c r="Y202" s="33">
        <f>ROUND(E202-O202,2)</f>
      </c>
      <c r="Z202" s="33">
        <f>ROUND(F202-P202,2)</f>
      </c>
      <c r="AA202" s="33">
        <f>ROUND(G202-Q202,2)</f>
      </c>
      <c r="AB202" s="33">
        <f>ROUND(H202-R202,2)</f>
      </c>
      <c r="AC202" s="33">
        <f>ROUND(I202-S202,2)</f>
      </c>
      <c r="AD202" s="33">
        <f>ROUND(J202-T202,2)</f>
      </c>
      <c r="AE202" s="33">
        <f>ROUND(K202-U202,2)</f>
      </c>
      <c r="AF202" s="33">
        <f>IF(V202&lt;=0,0,MAX(0,MIN(V202,ROUND($AZ202-SUMPRODUCT($V202:$AE202*($V202:$AE202&gt;0)*(($V$3:$AE$3&gt;V$3)+($V$3:$AE$3=V$3)*($V202:$AE202&lt;V202)+($V$3:$AE$3=V$3)*($V202:$AE202=V202)*($V$2:$AE$2&lt;V$2))),2))))</f>
      </c>
      <c r="AG202" s="33">
        <f>IF(W202&lt;=0,0,MAX(0,MIN(W202,ROUND($AZ202-SUMPRODUCT($V202:$AE202*($V202:$AE202&gt;0)*(($V$3:$AE$3&gt;W$3)+($V$3:$AE$3=W$3)*($V202:$AE202&lt;W202)+($V$3:$AE$3=W$3)*($V202:$AE202=W202)*($V$2:$AE$2&lt;W$2))),2))))</f>
      </c>
      <c r="AH202" s="33">
        <f>IF(X202&lt;=0,0,MAX(0,MIN(X202,ROUND($AZ202-SUMPRODUCT($V202:$AE202*($V202:$AE202&gt;0)*(($V$3:$AE$3&gt;X$3)+($V$3:$AE$3=X$3)*($V202:$AE202&lt;X202)+($V$3:$AE$3=X$3)*($V202:$AE202=X202)*($V$2:$AE$2&lt;X$2))),2))))</f>
      </c>
      <c r="AI202" s="33">
        <f>IF(Y202&lt;=0,0,MAX(0,MIN(Y202,ROUND($AZ202-SUMPRODUCT($V202:$AE202*($V202:$AE202&gt;0)*(($V$3:$AE$3&gt;Y$3)+($V$3:$AE$3=Y$3)*($V202:$AE202&lt;Y202)+($V$3:$AE$3=Y$3)*($V202:$AE202=Y202)*($V$2:$AE$2&lt;Y$2))),2))))</f>
      </c>
      <c r="AJ202" s="33">
        <f>IF(Z202&lt;=0,0,MAX(0,MIN(Z202,ROUND($AZ202-SUMPRODUCT($V202:$AE202*($V202:$AE202&gt;0)*(($V$3:$AE$3&gt;Z$3)+($V$3:$AE$3=Z$3)*($V202:$AE202&lt;Z202)+($V$3:$AE$3=Z$3)*($V202:$AE202=Z202)*($V$2:$AE$2&lt;Z$2))),2))))</f>
      </c>
      <c r="AK202" s="33">
        <f>IF(AA202&lt;=0,0,MAX(0,MIN(AA202,ROUND($AZ202-SUMPRODUCT($V202:$AE202*($V202:$AE202&gt;0)*(($V$3:$AE$3&gt;AA$3)+($V$3:$AE$3=AA$3)*($V202:$AE202&lt;AA202)+($V$3:$AE$3=AA$3)*($V202:$AE202=AA202)*($V$2:$AE$2&lt;AA$2))),2))))</f>
      </c>
      <c r="AL202" s="33">
        <f>IF(AB202&lt;=0,0,MAX(0,MIN(AB202,ROUND($AZ202-SUMPRODUCT($V202:$AE202*($V202:$AE202&gt;0)*(($V$3:$AE$3&gt;AB$3)+($V$3:$AE$3=AB$3)*($V202:$AE202&lt;AB202)+($V$3:$AE$3=AB$3)*($V202:$AE202=AB202)*($V$2:$AE$2&lt;AB$2))),2))))</f>
      </c>
      <c r="AM202" s="33">
        <f>IF(AC202&lt;=0,0,MAX(0,MIN(AC202,ROUND($AZ202-SUMPRODUCT($V202:$AE202*($V202:$AE202&gt;0)*(($V$3:$AE$3&gt;AC$3)+($V$3:$AE$3=AC$3)*($V202:$AE202&lt;AC202)+($V$3:$AE$3=AC$3)*($V202:$AE202=AC202)*($V$2:$AE$2&lt;AC$2))),2))))</f>
      </c>
      <c r="AN202" s="33">
        <f>IF(AD202&lt;=0,0,MAX(0,MIN(AD202,ROUND($AZ202-SUMPRODUCT($V202:$AE202*($V202:$AE202&gt;0)*(($V$3:$AE$3&gt;AD$3)+($V$3:$AE$3=AD$3)*($V202:$AE202&lt;AD202)+($V$3:$AE$3=AD$3)*($V202:$AE202=AD202)*($V$2:$AE$2&lt;AD$2))),2))))</f>
      </c>
      <c r="AO202" s="33">
        <f>IF(AE202&lt;=0,0,MAX(0,MIN(AE202,ROUND($AZ202-SUMPRODUCT($V202:$AE202*($V202:$AE202&gt;0)*(($V$3:$AE$3&gt;AE$3)+($V$3:$AE$3=AE$3)*($V202:$AE202&lt;AE202)+($V$3:$AE$3=AE$3)*($V202:$AE202=AE202)*($V$2:$AE$2&lt;AE$2))),2))))</f>
      </c>
      <c r="AP202" s="33">
        <f>ROUND(V202-AF202,2)</f>
      </c>
      <c r="AQ202" s="33">
        <f>ROUND(W202-AG202,2)</f>
      </c>
      <c r="AR202" s="33">
        <f>ROUND(X202-AH202,2)</f>
      </c>
      <c r="AS202" s="33">
        <f>ROUND(Y202-AI202,2)</f>
      </c>
      <c r="AT202" s="33">
        <f>ROUND(Z202-AJ202,2)</f>
      </c>
      <c r="AU202" s="33">
        <f>ROUND(AA202-AK202,2)</f>
      </c>
      <c r="AV202" s="33">
        <f>ROUND(AB202-AL202,2)</f>
      </c>
      <c r="AW202" s="33">
        <f>ROUND(AC202-AM202,2)</f>
      </c>
      <c r="AX202" s="33">
        <f>ROUND(AD202-AN202,2)</f>
      </c>
      <c r="AY202" s="33">
        <f>ROUND(AE202-AO202,2)</f>
      </c>
      <c r="AZ202" s="33">
        <f>ROUND(MAX(0,'Your debts'!$D$22-SUM($L202:$U202)),2)</f>
      </c>
      <c r="BA202" s="33">
        <f>ROUND(SUM($B202:$K202)-SUM($AP201:$AY201),2)</f>
      </c>
      <c r="BB202" s="33">
        <f>SUM($AP202:$AY202)</f>
      </c>
      <c r="BC202" s="33">
        <f>ROUND(SUM($L202:$U202)+SUM($AF202:$AO202),2)</f>
      </c>
    </row>
    <row r="203" spans="1:55" x14ac:dyDescent="0.25">
      <c r="A203">
        <v>196</v>
      </c>
      <c r="B203" s="33">
        <f>IF(AP202&lt;=0,0,ROUND(AP202+ROUND(AP202*V$3/12,2),2))</f>
      </c>
      <c r="C203" s="33">
        <f>IF(AQ202&lt;=0,0,ROUND(AQ202+ROUND(AQ202*W$3/12,2),2))</f>
      </c>
      <c r="D203" s="33">
        <f>IF(AR202&lt;=0,0,ROUND(AR202+ROUND(AR202*X$3/12,2),2))</f>
      </c>
      <c r="E203" s="33">
        <f>IF(AS202&lt;=0,0,ROUND(AS202+ROUND(AS202*Y$3/12,2),2))</f>
      </c>
      <c r="F203" s="33">
        <f>IF(AT202&lt;=0,0,ROUND(AT202+ROUND(AT202*Z$3/12,2),2))</f>
      </c>
      <c r="G203" s="33">
        <f>IF(AU202&lt;=0,0,ROUND(AU202+ROUND(AU202*AA$3/12,2),2))</f>
      </c>
      <c r="H203" s="33">
        <f>IF(AV202&lt;=0,0,ROUND(AV202+ROUND(AV202*AB$3/12,2),2))</f>
      </c>
      <c r="I203" s="33">
        <f>IF(AW202&lt;=0,0,ROUND(AW202+ROUND(AW202*AC$3/12,2),2))</f>
      </c>
      <c r="J203" s="33">
        <f>IF(AX202&lt;=0,0,ROUND(AX202+ROUND(AX202*AD$3/12,2),2))</f>
      </c>
      <c r="K203" s="33">
        <f>IF(AY202&lt;=0,0,ROUND(AY202+ROUND(AY202*AE$3/12,2),2))</f>
      </c>
      <c r="L203" s="33">
        <f>ROUND(MIN(MAX(0,N('Your debts'!$E$6)),B203),2)</f>
      </c>
      <c r="M203" s="33">
        <f>ROUND(MIN(MAX(0,N('Your debts'!$E$7)),C203),2)</f>
      </c>
      <c r="N203" s="33">
        <f>ROUND(MIN(MAX(0,N('Your debts'!$E$8)),D203),2)</f>
      </c>
      <c r="O203" s="33">
        <f>ROUND(MIN(MAX(0,N('Your debts'!$E$9)),E203),2)</f>
      </c>
      <c r="P203" s="33">
        <f>ROUND(MIN(MAX(0,N('Your debts'!$E$10)),F203),2)</f>
      </c>
      <c r="Q203" s="33">
        <f>ROUND(MIN(MAX(0,N('Your debts'!$E$11)),G203),2)</f>
      </c>
      <c r="R203" s="33">
        <f>ROUND(MIN(MAX(0,N('Your debts'!$E$12)),H203),2)</f>
      </c>
      <c r="S203" s="33">
        <f>ROUND(MIN(MAX(0,N('Your debts'!$E$13)),I203),2)</f>
      </c>
      <c r="T203" s="33">
        <f>ROUND(MIN(MAX(0,N('Your debts'!$E$14)),J203),2)</f>
      </c>
      <c r="U203" s="33">
        <f>ROUND(MIN(MAX(0,N('Your debts'!$E$15)),K203),2)</f>
      </c>
      <c r="V203" s="33">
        <f>ROUND(B203-L203,2)</f>
      </c>
      <c r="W203" s="33">
        <f>ROUND(C203-M203,2)</f>
      </c>
      <c r="X203" s="33">
        <f>ROUND(D203-N203,2)</f>
      </c>
      <c r="Y203" s="33">
        <f>ROUND(E203-O203,2)</f>
      </c>
      <c r="Z203" s="33">
        <f>ROUND(F203-P203,2)</f>
      </c>
      <c r="AA203" s="33">
        <f>ROUND(G203-Q203,2)</f>
      </c>
      <c r="AB203" s="33">
        <f>ROUND(H203-R203,2)</f>
      </c>
      <c r="AC203" s="33">
        <f>ROUND(I203-S203,2)</f>
      </c>
      <c r="AD203" s="33">
        <f>ROUND(J203-T203,2)</f>
      </c>
      <c r="AE203" s="33">
        <f>ROUND(K203-U203,2)</f>
      </c>
      <c r="AF203" s="33">
        <f>IF(V203&lt;=0,0,MAX(0,MIN(V203,ROUND($AZ203-SUMPRODUCT($V203:$AE203*($V203:$AE203&gt;0)*(($V$3:$AE$3&gt;V$3)+($V$3:$AE$3=V$3)*($V203:$AE203&lt;V203)+($V$3:$AE$3=V$3)*($V203:$AE203=V203)*($V$2:$AE$2&lt;V$2))),2))))</f>
      </c>
      <c r="AG203" s="33">
        <f>IF(W203&lt;=0,0,MAX(0,MIN(W203,ROUND($AZ203-SUMPRODUCT($V203:$AE203*($V203:$AE203&gt;0)*(($V$3:$AE$3&gt;W$3)+($V$3:$AE$3=W$3)*($V203:$AE203&lt;W203)+($V$3:$AE$3=W$3)*($V203:$AE203=W203)*($V$2:$AE$2&lt;W$2))),2))))</f>
      </c>
      <c r="AH203" s="33">
        <f>IF(X203&lt;=0,0,MAX(0,MIN(X203,ROUND($AZ203-SUMPRODUCT($V203:$AE203*($V203:$AE203&gt;0)*(($V$3:$AE$3&gt;X$3)+($V$3:$AE$3=X$3)*($V203:$AE203&lt;X203)+($V$3:$AE$3=X$3)*($V203:$AE203=X203)*($V$2:$AE$2&lt;X$2))),2))))</f>
      </c>
      <c r="AI203" s="33">
        <f>IF(Y203&lt;=0,0,MAX(0,MIN(Y203,ROUND($AZ203-SUMPRODUCT($V203:$AE203*($V203:$AE203&gt;0)*(($V$3:$AE$3&gt;Y$3)+($V$3:$AE$3=Y$3)*($V203:$AE203&lt;Y203)+($V$3:$AE$3=Y$3)*($V203:$AE203=Y203)*($V$2:$AE$2&lt;Y$2))),2))))</f>
      </c>
      <c r="AJ203" s="33">
        <f>IF(Z203&lt;=0,0,MAX(0,MIN(Z203,ROUND($AZ203-SUMPRODUCT($V203:$AE203*($V203:$AE203&gt;0)*(($V$3:$AE$3&gt;Z$3)+($V$3:$AE$3=Z$3)*($V203:$AE203&lt;Z203)+($V$3:$AE$3=Z$3)*($V203:$AE203=Z203)*($V$2:$AE$2&lt;Z$2))),2))))</f>
      </c>
      <c r="AK203" s="33">
        <f>IF(AA203&lt;=0,0,MAX(0,MIN(AA203,ROUND($AZ203-SUMPRODUCT($V203:$AE203*($V203:$AE203&gt;0)*(($V$3:$AE$3&gt;AA$3)+($V$3:$AE$3=AA$3)*($V203:$AE203&lt;AA203)+($V$3:$AE$3=AA$3)*($V203:$AE203=AA203)*($V$2:$AE$2&lt;AA$2))),2))))</f>
      </c>
      <c r="AL203" s="33">
        <f>IF(AB203&lt;=0,0,MAX(0,MIN(AB203,ROUND($AZ203-SUMPRODUCT($V203:$AE203*($V203:$AE203&gt;0)*(($V$3:$AE$3&gt;AB$3)+($V$3:$AE$3=AB$3)*($V203:$AE203&lt;AB203)+($V$3:$AE$3=AB$3)*($V203:$AE203=AB203)*($V$2:$AE$2&lt;AB$2))),2))))</f>
      </c>
      <c r="AM203" s="33">
        <f>IF(AC203&lt;=0,0,MAX(0,MIN(AC203,ROUND($AZ203-SUMPRODUCT($V203:$AE203*($V203:$AE203&gt;0)*(($V$3:$AE$3&gt;AC$3)+($V$3:$AE$3=AC$3)*($V203:$AE203&lt;AC203)+($V$3:$AE$3=AC$3)*($V203:$AE203=AC203)*($V$2:$AE$2&lt;AC$2))),2))))</f>
      </c>
      <c r="AN203" s="33">
        <f>IF(AD203&lt;=0,0,MAX(0,MIN(AD203,ROUND($AZ203-SUMPRODUCT($V203:$AE203*($V203:$AE203&gt;0)*(($V$3:$AE$3&gt;AD$3)+($V$3:$AE$3=AD$3)*($V203:$AE203&lt;AD203)+($V$3:$AE$3=AD$3)*($V203:$AE203=AD203)*($V$2:$AE$2&lt;AD$2))),2))))</f>
      </c>
      <c r="AO203" s="33">
        <f>IF(AE203&lt;=0,0,MAX(0,MIN(AE203,ROUND($AZ203-SUMPRODUCT($V203:$AE203*($V203:$AE203&gt;0)*(($V$3:$AE$3&gt;AE$3)+($V$3:$AE$3=AE$3)*($V203:$AE203&lt;AE203)+($V$3:$AE$3=AE$3)*($V203:$AE203=AE203)*($V$2:$AE$2&lt;AE$2))),2))))</f>
      </c>
      <c r="AP203" s="33">
        <f>ROUND(V203-AF203,2)</f>
      </c>
      <c r="AQ203" s="33">
        <f>ROUND(W203-AG203,2)</f>
      </c>
      <c r="AR203" s="33">
        <f>ROUND(X203-AH203,2)</f>
      </c>
      <c r="AS203" s="33">
        <f>ROUND(Y203-AI203,2)</f>
      </c>
      <c r="AT203" s="33">
        <f>ROUND(Z203-AJ203,2)</f>
      </c>
      <c r="AU203" s="33">
        <f>ROUND(AA203-AK203,2)</f>
      </c>
      <c r="AV203" s="33">
        <f>ROUND(AB203-AL203,2)</f>
      </c>
      <c r="AW203" s="33">
        <f>ROUND(AC203-AM203,2)</f>
      </c>
      <c r="AX203" s="33">
        <f>ROUND(AD203-AN203,2)</f>
      </c>
      <c r="AY203" s="33">
        <f>ROUND(AE203-AO203,2)</f>
      </c>
      <c r="AZ203" s="33">
        <f>ROUND(MAX(0,'Your debts'!$D$22-SUM($L203:$U203)),2)</f>
      </c>
      <c r="BA203" s="33">
        <f>ROUND(SUM($B203:$K203)-SUM($AP202:$AY202),2)</f>
      </c>
      <c r="BB203" s="33">
        <f>SUM($AP203:$AY203)</f>
      </c>
      <c r="BC203" s="33">
        <f>ROUND(SUM($L203:$U203)+SUM($AF203:$AO203),2)</f>
      </c>
    </row>
    <row r="204" spans="1:55" x14ac:dyDescent="0.25">
      <c r="A204">
        <v>197</v>
      </c>
      <c r="B204" s="33">
        <f>IF(AP203&lt;=0,0,ROUND(AP203+ROUND(AP203*V$3/12,2),2))</f>
      </c>
      <c r="C204" s="33">
        <f>IF(AQ203&lt;=0,0,ROUND(AQ203+ROUND(AQ203*W$3/12,2),2))</f>
      </c>
      <c r="D204" s="33">
        <f>IF(AR203&lt;=0,0,ROUND(AR203+ROUND(AR203*X$3/12,2),2))</f>
      </c>
      <c r="E204" s="33">
        <f>IF(AS203&lt;=0,0,ROUND(AS203+ROUND(AS203*Y$3/12,2),2))</f>
      </c>
      <c r="F204" s="33">
        <f>IF(AT203&lt;=0,0,ROUND(AT203+ROUND(AT203*Z$3/12,2),2))</f>
      </c>
      <c r="G204" s="33">
        <f>IF(AU203&lt;=0,0,ROUND(AU203+ROUND(AU203*AA$3/12,2),2))</f>
      </c>
      <c r="H204" s="33">
        <f>IF(AV203&lt;=0,0,ROUND(AV203+ROUND(AV203*AB$3/12,2),2))</f>
      </c>
      <c r="I204" s="33">
        <f>IF(AW203&lt;=0,0,ROUND(AW203+ROUND(AW203*AC$3/12,2),2))</f>
      </c>
      <c r="J204" s="33">
        <f>IF(AX203&lt;=0,0,ROUND(AX203+ROUND(AX203*AD$3/12,2),2))</f>
      </c>
      <c r="K204" s="33">
        <f>IF(AY203&lt;=0,0,ROUND(AY203+ROUND(AY203*AE$3/12,2),2))</f>
      </c>
      <c r="L204" s="33">
        <f>ROUND(MIN(MAX(0,N('Your debts'!$E$6)),B204),2)</f>
      </c>
      <c r="M204" s="33">
        <f>ROUND(MIN(MAX(0,N('Your debts'!$E$7)),C204),2)</f>
      </c>
      <c r="N204" s="33">
        <f>ROUND(MIN(MAX(0,N('Your debts'!$E$8)),D204),2)</f>
      </c>
      <c r="O204" s="33">
        <f>ROUND(MIN(MAX(0,N('Your debts'!$E$9)),E204),2)</f>
      </c>
      <c r="P204" s="33">
        <f>ROUND(MIN(MAX(0,N('Your debts'!$E$10)),F204),2)</f>
      </c>
      <c r="Q204" s="33">
        <f>ROUND(MIN(MAX(0,N('Your debts'!$E$11)),G204),2)</f>
      </c>
      <c r="R204" s="33">
        <f>ROUND(MIN(MAX(0,N('Your debts'!$E$12)),H204),2)</f>
      </c>
      <c r="S204" s="33">
        <f>ROUND(MIN(MAX(0,N('Your debts'!$E$13)),I204),2)</f>
      </c>
      <c r="T204" s="33">
        <f>ROUND(MIN(MAX(0,N('Your debts'!$E$14)),J204),2)</f>
      </c>
      <c r="U204" s="33">
        <f>ROUND(MIN(MAX(0,N('Your debts'!$E$15)),K204),2)</f>
      </c>
      <c r="V204" s="33">
        <f>ROUND(B204-L204,2)</f>
      </c>
      <c r="W204" s="33">
        <f>ROUND(C204-M204,2)</f>
      </c>
      <c r="X204" s="33">
        <f>ROUND(D204-N204,2)</f>
      </c>
      <c r="Y204" s="33">
        <f>ROUND(E204-O204,2)</f>
      </c>
      <c r="Z204" s="33">
        <f>ROUND(F204-P204,2)</f>
      </c>
      <c r="AA204" s="33">
        <f>ROUND(G204-Q204,2)</f>
      </c>
      <c r="AB204" s="33">
        <f>ROUND(H204-R204,2)</f>
      </c>
      <c r="AC204" s="33">
        <f>ROUND(I204-S204,2)</f>
      </c>
      <c r="AD204" s="33">
        <f>ROUND(J204-T204,2)</f>
      </c>
      <c r="AE204" s="33">
        <f>ROUND(K204-U204,2)</f>
      </c>
      <c r="AF204" s="33">
        <f>IF(V204&lt;=0,0,MAX(0,MIN(V204,ROUND($AZ204-SUMPRODUCT($V204:$AE204*($V204:$AE204&gt;0)*(($V$3:$AE$3&gt;V$3)+($V$3:$AE$3=V$3)*($V204:$AE204&lt;V204)+($V$3:$AE$3=V$3)*($V204:$AE204=V204)*($V$2:$AE$2&lt;V$2))),2))))</f>
      </c>
      <c r="AG204" s="33">
        <f>IF(W204&lt;=0,0,MAX(0,MIN(W204,ROUND($AZ204-SUMPRODUCT($V204:$AE204*($V204:$AE204&gt;0)*(($V$3:$AE$3&gt;W$3)+($V$3:$AE$3=W$3)*($V204:$AE204&lt;W204)+($V$3:$AE$3=W$3)*($V204:$AE204=W204)*($V$2:$AE$2&lt;W$2))),2))))</f>
      </c>
      <c r="AH204" s="33">
        <f>IF(X204&lt;=0,0,MAX(0,MIN(X204,ROUND($AZ204-SUMPRODUCT($V204:$AE204*($V204:$AE204&gt;0)*(($V$3:$AE$3&gt;X$3)+($V$3:$AE$3=X$3)*($V204:$AE204&lt;X204)+($V$3:$AE$3=X$3)*($V204:$AE204=X204)*($V$2:$AE$2&lt;X$2))),2))))</f>
      </c>
      <c r="AI204" s="33">
        <f>IF(Y204&lt;=0,0,MAX(0,MIN(Y204,ROUND($AZ204-SUMPRODUCT($V204:$AE204*($V204:$AE204&gt;0)*(($V$3:$AE$3&gt;Y$3)+($V$3:$AE$3=Y$3)*($V204:$AE204&lt;Y204)+($V$3:$AE$3=Y$3)*($V204:$AE204=Y204)*($V$2:$AE$2&lt;Y$2))),2))))</f>
      </c>
      <c r="AJ204" s="33">
        <f>IF(Z204&lt;=0,0,MAX(0,MIN(Z204,ROUND($AZ204-SUMPRODUCT($V204:$AE204*($V204:$AE204&gt;0)*(($V$3:$AE$3&gt;Z$3)+($V$3:$AE$3=Z$3)*($V204:$AE204&lt;Z204)+($V$3:$AE$3=Z$3)*($V204:$AE204=Z204)*($V$2:$AE$2&lt;Z$2))),2))))</f>
      </c>
      <c r="AK204" s="33">
        <f>IF(AA204&lt;=0,0,MAX(0,MIN(AA204,ROUND($AZ204-SUMPRODUCT($V204:$AE204*($V204:$AE204&gt;0)*(($V$3:$AE$3&gt;AA$3)+($V$3:$AE$3=AA$3)*($V204:$AE204&lt;AA204)+($V$3:$AE$3=AA$3)*($V204:$AE204=AA204)*($V$2:$AE$2&lt;AA$2))),2))))</f>
      </c>
      <c r="AL204" s="33">
        <f>IF(AB204&lt;=0,0,MAX(0,MIN(AB204,ROUND($AZ204-SUMPRODUCT($V204:$AE204*($V204:$AE204&gt;0)*(($V$3:$AE$3&gt;AB$3)+($V$3:$AE$3=AB$3)*($V204:$AE204&lt;AB204)+($V$3:$AE$3=AB$3)*($V204:$AE204=AB204)*($V$2:$AE$2&lt;AB$2))),2))))</f>
      </c>
      <c r="AM204" s="33">
        <f>IF(AC204&lt;=0,0,MAX(0,MIN(AC204,ROUND($AZ204-SUMPRODUCT($V204:$AE204*($V204:$AE204&gt;0)*(($V$3:$AE$3&gt;AC$3)+($V$3:$AE$3=AC$3)*($V204:$AE204&lt;AC204)+($V$3:$AE$3=AC$3)*($V204:$AE204=AC204)*($V$2:$AE$2&lt;AC$2))),2))))</f>
      </c>
      <c r="AN204" s="33">
        <f>IF(AD204&lt;=0,0,MAX(0,MIN(AD204,ROUND($AZ204-SUMPRODUCT($V204:$AE204*($V204:$AE204&gt;0)*(($V$3:$AE$3&gt;AD$3)+($V$3:$AE$3=AD$3)*($V204:$AE204&lt;AD204)+($V$3:$AE$3=AD$3)*($V204:$AE204=AD204)*($V$2:$AE$2&lt;AD$2))),2))))</f>
      </c>
      <c r="AO204" s="33">
        <f>IF(AE204&lt;=0,0,MAX(0,MIN(AE204,ROUND($AZ204-SUMPRODUCT($V204:$AE204*($V204:$AE204&gt;0)*(($V$3:$AE$3&gt;AE$3)+($V$3:$AE$3=AE$3)*($V204:$AE204&lt;AE204)+($V$3:$AE$3=AE$3)*($V204:$AE204=AE204)*($V$2:$AE$2&lt;AE$2))),2))))</f>
      </c>
      <c r="AP204" s="33">
        <f>ROUND(V204-AF204,2)</f>
      </c>
      <c r="AQ204" s="33">
        <f>ROUND(W204-AG204,2)</f>
      </c>
      <c r="AR204" s="33">
        <f>ROUND(X204-AH204,2)</f>
      </c>
      <c r="AS204" s="33">
        <f>ROUND(Y204-AI204,2)</f>
      </c>
      <c r="AT204" s="33">
        <f>ROUND(Z204-AJ204,2)</f>
      </c>
      <c r="AU204" s="33">
        <f>ROUND(AA204-AK204,2)</f>
      </c>
      <c r="AV204" s="33">
        <f>ROUND(AB204-AL204,2)</f>
      </c>
      <c r="AW204" s="33">
        <f>ROUND(AC204-AM204,2)</f>
      </c>
      <c r="AX204" s="33">
        <f>ROUND(AD204-AN204,2)</f>
      </c>
      <c r="AY204" s="33">
        <f>ROUND(AE204-AO204,2)</f>
      </c>
      <c r="AZ204" s="33">
        <f>ROUND(MAX(0,'Your debts'!$D$22-SUM($L204:$U204)),2)</f>
      </c>
      <c r="BA204" s="33">
        <f>ROUND(SUM($B204:$K204)-SUM($AP203:$AY203),2)</f>
      </c>
      <c r="BB204" s="33">
        <f>SUM($AP204:$AY204)</f>
      </c>
      <c r="BC204" s="33">
        <f>ROUND(SUM($L204:$U204)+SUM($AF204:$AO204),2)</f>
      </c>
    </row>
    <row r="205" spans="1:55" x14ac:dyDescent="0.25">
      <c r="A205">
        <v>198</v>
      </c>
      <c r="B205" s="33">
        <f>IF(AP204&lt;=0,0,ROUND(AP204+ROUND(AP204*V$3/12,2),2))</f>
      </c>
      <c r="C205" s="33">
        <f>IF(AQ204&lt;=0,0,ROUND(AQ204+ROUND(AQ204*W$3/12,2),2))</f>
      </c>
      <c r="D205" s="33">
        <f>IF(AR204&lt;=0,0,ROUND(AR204+ROUND(AR204*X$3/12,2),2))</f>
      </c>
      <c r="E205" s="33">
        <f>IF(AS204&lt;=0,0,ROUND(AS204+ROUND(AS204*Y$3/12,2),2))</f>
      </c>
      <c r="F205" s="33">
        <f>IF(AT204&lt;=0,0,ROUND(AT204+ROUND(AT204*Z$3/12,2),2))</f>
      </c>
      <c r="G205" s="33">
        <f>IF(AU204&lt;=0,0,ROUND(AU204+ROUND(AU204*AA$3/12,2),2))</f>
      </c>
      <c r="H205" s="33">
        <f>IF(AV204&lt;=0,0,ROUND(AV204+ROUND(AV204*AB$3/12,2),2))</f>
      </c>
      <c r="I205" s="33">
        <f>IF(AW204&lt;=0,0,ROUND(AW204+ROUND(AW204*AC$3/12,2),2))</f>
      </c>
      <c r="J205" s="33">
        <f>IF(AX204&lt;=0,0,ROUND(AX204+ROUND(AX204*AD$3/12,2),2))</f>
      </c>
      <c r="K205" s="33">
        <f>IF(AY204&lt;=0,0,ROUND(AY204+ROUND(AY204*AE$3/12,2),2))</f>
      </c>
      <c r="L205" s="33">
        <f>ROUND(MIN(MAX(0,N('Your debts'!$E$6)),B205),2)</f>
      </c>
      <c r="M205" s="33">
        <f>ROUND(MIN(MAX(0,N('Your debts'!$E$7)),C205),2)</f>
      </c>
      <c r="N205" s="33">
        <f>ROUND(MIN(MAX(0,N('Your debts'!$E$8)),D205),2)</f>
      </c>
      <c r="O205" s="33">
        <f>ROUND(MIN(MAX(0,N('Your debts'!$E$9)),E205),2)</f>
      </c>
      <c r="P205" s="33">
        <f>ROUND(MIN(MAX(0,N('Your debts'!$E$10)),F205),2)</f>
      </c>
      <c r="Q205" s="33">
        <f>ROUND(MIN(MAX(0,N('Your debts'!$E$11)),G205),2)</f>
      </c>
      <c r="R205" s="33">
        <f>ROUND(MIN(MAX(0,N('Your debts'!$E$12)),H205),2)</f>
      </c>
      <c r="S205" s="33">
        <f>ROUND(MIN(MAX(0,N('Your debts'!$E$13)),I205),2)</f>
      </c>
      <c r="T205" s="33">
        <f>ROUND(MIN(MAX(0,N('Your debts'!$E$14)),J205),2)</f>
      </c>
      <c r="U205" s="33">
        <f>ROUND(MIN(MAX(0,N('Your debts'!$E$15)),K205),2)</f>
      </c>
      <c r="V205" s="33">
        <f>ROUND(B205-L205,2)</f>
      </c>
      <c r="W205" s="33">
        <f>ROUND(C205-M205,2)</f>
      </c>
      <c r="X205" s="33">
        <f>ROUND(D205-N205,2)</f>
      </c>
      <c r="Y205" s="33">
        <f>ROUND(E205-O205,2)</f>
      </c>
      <c r="Z205" s="33">
        <f>ROUND(F205-P205,2)</f>
      </c>
      <c r="AA205" s="33">
        <f>ROUND(G205-Q205,2)</f>
      </c>
      <c r="AB205" s="33">
        <f>ROUND(H205-R205,2)</f>
      </c>
      <c r="AC205" s="33">
        <f>ROUND(I205-S205,2)</f>
      </c>
      <c r="AD205" s="33">
        <f>ROUND(J205-T205,2)</f>
      </c>
      <c r="AE205" s="33">
        <f>ROUND(K205-U205,2)</f>
      </c>
      <c r="AF205" s="33">
        <f>IF(V205&lt;=0,0,MAX(0,MIN(V205,ROUND($AZ205-SUMPRODUCT($V205:$AE205*($V205:$AE205&gt;0)*(($V$3:$AE$3&gt;V$3)+($V$3:$AE$3=V$3)*($V205:$AE205&lt;V205)+($V$3:$AE$3=V$3)*($V205:$AE205=V205)*($V$2:$AE$2&lt;V$2))),2))))</f>
      </c>
      <c r="AG205" s="33">
        <f>IF(W205&lt;=0,0,MAX(0,MIN(W205,ROUND($AZ205-SUMPRODUCT($V205:$AE205*($V205:$AE205&gt;0)*(($V$3:$AE$3&gt;W$3)+($V$3:$AE$3=W$3)*($V205:$AE205&lt;W205)+($V$3:$AE$3=W$3)*($V205:$AE205=W205)*($V$2:$AE$2&lt;W$2))),2))))</f>
      </c>
      <c r="AH205" s="33">
        <f>IF(X205&lt;=0,0,MAX(0,MIN(X205,ROUND($AZ205-SUMPRODUCT($V205:$AE205*($V205:$AE205&gt;0)*(($V$3:$AE$3&gt;X$3)+($V$3:$AE$3=X$3)*($V205:$AE205&lt;X205)+($V$3:$AE$3=X$3)*($V205:$AE205=X205)*($V$2:$AE$2&lt;X$2))),2))))</f>
      </c>
      <c r="AI205" s="33">
        <f>IF(Y205&lt;=0,0,MAX(0,MIN(Y205,ROUND($AZ205-SUMPRODUCT($V205:$AE205*($V205:$AE205&gt;0)*(($V$3:$AE$3&gt;Y$3)+($V$3:$AE$3=Y$3)*($V205:$AE205&lt;Y205)+($V$3:$AE$3=Y$3)*($V205:$AE205=Y205)*($V$2:$AE$2&lt;Y$2))),2))))</f>
      </c>
      <c r="AJ205" s="33">
        <f>IF(Z205&lt;=0,0,MAX(0,MIN(Z205,ROUND($AZ205-SUMPRODUCT($V205:$AE205*($V205:$AE205&gt;0)*(($V$3:$AE$3&gt;Z$3)+($V$3:$AE$3=Z$3)*($V205:$AE205&lt;Z205)+($V$3:$AE$3=Z$3)*($V205:$AE205=Z205)*($V$2:$AE$2&lt;Z$2))),2))))</f>
      </c>
      <c r="AK205" s="33">
        <f>IF(AA205&lt;=0,0,MAX(0,MIN(AA205,ROUND($AZ205-SUMPRODUCT($V205:$AE205*($V205:$AE205&gt;0)*(($V$3:$AE$3&gt;AA$3)+($V$3:$AE$3=AA$3)*($V205:$AE205&lt;AA205)+($V$3:$AE$3=AA$3)*($V205:$AE205=AA205)*($V$2:$AE$2&lt;AA$2))),2))))</f>
      </c>
      <c r="AL205" s="33">
        <f>IF(AB205&lt;=0,0,MAX(0,MIN(AB205,ROUND($AZ205-SUMPRODUCT($V205:$AE205*($V205:$AE205&gt;0)*(($V$3:$AE$3&gt;AB$3)+($V$3:$AE$3=AB$3)*($V205:$AE205&lt;AB205)+($V$3:$AE$3=AB$3)*($V205:$AE205=AB205)*($V$2:$AE$2&lt;AB$2))),2))))</f>
      </c>
      <c r="AM205" s="33">
        <f>IF(AC205&lt;=0,0,MAX(0,MIN(AC205,ROUND($AZ205-SUMPRODUCT($V205:$AE205*($V205:$AE205&gt;0)*(($V$3:$AE$3&gt;AC$3)+($V$3:$AE$3=AC$3)*($V205:$AE205&lt;AC205)+($V$3:$AE$3=AC$3)*($V205:$AE205=AC205)*($V$2:$AE$2&lt;AC$2))),2))))</f>
      </c>
      <c r="AN205" s="33">
        <f>IF(AD205&lt;=0,0,MAX(0,MIN(AD205,ROUND($AZ205-SUMPRODUCT($V205:$AE205*($V205:$AE205&gt;0)*(($V$3:$AE$3&gt;AD$3)+($V$3:$AE$3=AD$3)*($V205:$AE205&lt;AD205)+($V$3:$AE$3=AD$3)*($V205:$AE205=AD205)*($V$2:$AE$2&lt;AD$2))),2))))</f>
      </c>
      <c r="AO205" s="33">
        <f>IF(AE205&lt;=0,0,MAX(0,MIN(AE205,ROUND($AZ205-SUMPRODUCT($V205:$AE205*($V205:$AE205&gt;0)*(($V$3:$AE$3&gt;AE$3)+($V$3:$AE$3=AE$3)*($V205:$AE205&lt;AE205)+($V$3:$AE$3=AE$3)*($V205:$AE205=AE205)*($V$2:$AE$2&lt;AE$2))),2))))</f>
      </c>
      <c r="AP205" s="33">
        <f>ROUND(V205-AF205,2)</f>
      </c>
      <c r="AQ205" s="33">
        <f>ROUND(W205-AG205,2)</f>
      </c>
      <c r="AR205" s="33">
        <f>ROUND(X205-AH205,2)</f>
      </c>
      <c r="AS205" s="33">
        <f>ROUND(Y205-AI205,2)</f>
      </c>
      <c r="AT205" s="33">
        <f>ROUND(Z205-AJ205,2)</f>
      </c>
      <c r="AU205" s="33">
        <f>ROUND(AA205-AK205,2)</f>
      </c>
      <c r="AV205" s="33">
        <f>ROUND(AB205-AL205,2)</f>
      </c>
      <c r="AW205" s="33">
        <f>ROUND(AC205-AM205,2)</f>
      </c>
      <c r="AX205" s="33">
        <f>ROUND(AD205-AN205,2)</f>
      </c>
      <c r="AY205" s="33">
        <f>ROUND(AE205-AO205,2)</f>
      </c>
      <c r="AZ205" s="33">
        <f>ROUND(MAX(0,'Your debts'!$D$22-SUM($L205:$U205)),2)</f>
      </c>
      <c r="BA205" s="33">
        <f>ROUND(SUM($B205:$K205)-SUM($AP204:$AY204),2)</f>
      </c>
      <c r="BB205" s="33">
        <f>SUM($AP205:$AY205)</f>
      </c>
      <c r="BC205" s="33">
        <f>ROUND(SUM($L205:$U205)+SUM($AF205:$AO205),2)</f>
      </c>
    </row>
    <row r="206" spans="1:55" x14ac:dyDescent="0.25">
      <c r="A206">
        <v>199</v>
      </c>
      <c r="B206" s="33">
        <f>IF(AP205&lt;=0,0,ROUND(AP205+ROUND(AP205*V$3/12,2),2))</f>
      </c>
      <c r="C206" s="33">
        <f>IF(AQ205&lt;=0,0,ROUND(AQ205+ROUND(AQ205*W$3/12,2),2))</f>
      </c>
      <c r="D206" s="33">
        <f>IF(AR205&lt;=0,0,ROUND(AR205+ROUND(AR205*X$3/12,2),2))</f>
      </c>
      <c r="E206" s="33">
        <f>IF(AS205&lt;=0,0,ROUND(AS205+ROUND(AS205*Y$3/12,2),2))</f>
      </c>
      <c r="F206" s="33">
        <f>IF(AT205&lt;=0,0,ROUND(AT205+ROUND(AT205*Z$3/12,2),2))</f>
      </c>
      <c r="G206" s="33">
        <f>IF(AU205&lt;=0,0,ROUND(AU205+ROUND(AU205*AA$3/12,2),2))</f>
      </c>
      <c r="H206" s="33">
        <f>IF(AV205&lt;=0,0,ROUND(AV205+ROUND(AV205*AB$3/12,2),2))</f>
      </c>
      <c r="I206" s="33">
        <f>IF(AW205&lt;=0,0,ROUND(AW205+ROUND(AW205*AC$3/12,2),2))</f>
      </c>
      <c r="J206" s="33">
        <f>IF(AX205&lt;=0,0,ROUND(AX205+ROUND(AX205*AD$3/12,2),2))</f>
      </c>
      <c r="K206" s="33">
        <f>IF(AY205&lt;=0,0,ROUND(AY205+ROUND(AY205*AE$3/12,2),2))</f>
      </c>
      <c r="L206" s="33">
        <f>ROUND(MIN(MAX(0,N('Your debts'!$E$6)),B206),2)</f>
      </c>
      <c r="M206" s="33">
        <f>ROUND(MIN(MAX(0,N('Your debts'!$E$7)),C206),2)</f>
      </c>
      <c r="N206" s="33">
        <f>ROUND(MIN(MAX(0,N('Your debts'!$E$8)),D206),2)</f>
      </c>
      <c r="O206" s="33">
        <f>ROUND(MIN(MAX(0,N('Your debts'!$E$9)),E206),2)</f>
      </c>
      <c r="P206" s="33">
        <f>ROUND(MIN(MAX(0,N('Your debts'!$E$10)),F206),2)</f>
      </c>
      <c r="Q206" s="33">
        <f>ROUND(MIN(MAX(0,N('Your debts'!$E$11)),G206),2)</f>
      </c>
      <c r="R206" s="33">
        <f>ROUND(MIN(MAX(0,N('Your debts'!$E$12)),H206),2)</f>
      </c>
      <c r="S206" s="33">
        <f>ROUND(MIN(MAX(0,N('Your debts'!$E$13)),I206),2)</f>
      </c>
      <c r="T206" s="33">
        <f>ROUND(MIN(MAX(0,N('Your debts'!$E$14)),J206),2)</f>
      </c>
      <c r="U206" s="33">
        <f>ROUND(MIN(MAX(0,N('Your debts'!$E$15)),K206),2)</f>
      </c>
      <c r="V206" s="33">
        <f>ROUND(B206-L206,2)</f>
      </c>
      <c r="W206" s="33">
        <f>ROUND(C206-M206,2)</f>
      </c>
      <c r="X206" s="33">
        <f>ROUND(D206-N206,2)</f>
      </c>
      <c r="Y206" s="33">
        <f>ROUND(E206-O206,2)</f>
      </c>
      <c r="Z206" s="33">
        <f>ROUND(F206-P206,2)</f>
      </c>
      <c r="AA206" s="33">
        <f>ROUND(G206-Q206,2)</f>
      </c>
      <c r="AB206" s="33">
        <f>ROUND(H206-R206,2)</f>
      </c>
      <c r="AC206" s="33">
        <f>ROUND(I206-S206,2)</f>
      </c>
      <c r="AD206" s="33">
        <f>ROUND(J206-T206,2)</f>
      </c>
      <c r="AE206" s="33">
        <f>ROUND(K206-U206,2)</f>
      </c>
      <c r="AF206" s="33">
        <f>IF(V206&lt;=0,0,MAX(0,MIN(V206,ROUND($AZ206-SUMPRODUCT($V206:$AE206*($V206:$AE206&gt;0)*(($V$3:$AE$3&gt;V$3)+($V$3:$AE$3=V$3)*($V206:$AE206&lt;V206)+($V$3:$AE$3=V$3)*($V206:$AE206=V206)*($V$2:$AE$2&lt;V$2))),2))))</f>
      </c>
      <c r="AG206" s="33">
        <f>IF(W206&lt;=0,0,MAX(0,MIN(W206,ROUND($AZ206-SUMPRODUCT($V206:$AE206*($V206:$AE206&gt;0)*(($V$3:$AE$3&gt;W$3)+($V$3:$AE$3=W$3)*($V206:$AE206&lt;W206)+($V$3:$AE$3=W$3)*($V206:$AE206=W206)*($V$2:$AE$2&lt;W$2))),2))))</f>
      </c>
      <c r="AH206" s="33">
        <f>IF(X206&lt;=0,0,MAX(0,MIN(X206,ROUND($AZ206-SUMPRODUCT($V206:$AE206*($V206:$AE206&gt;0)*(($V$3:$AE$3&gt;X$3)+($V$3:$AE$3=X$3)*($V206:$AE206&lt;X206)+($V$3:$AE$3=X$3)*($V206:$AE206=X206)*($V$2:$AE$2&lt;X$2))),2))))</f>
      </c>
      <c r="AI206" s="33">
        <f>IF(Y206&lt;=0,0,MAX(0,MIN(Y206,ROUND($AZ206-SUMPRODUCT($V206:$AE206*($V206:$AE206&gt;0)*(($V$3:$AE$3&gt;Y$3)+($V$3:$AE$3=Y$3)*($V206:$AE206&lt;Y206)+($V$3:$AE$3=Y$3)*($V206:$AE206=Y206)*($V$2:$AE$2&lt;Y$2))),2))))</f>
      </c>
      <c r="AJ206" s="33">
        <f>IF(Z206&lt;=0,0,MAX(0,MIN(Z206,ROUND($AZ206-SUMPRODUCT($V206:$AE206*($V206:$AE206&gt;0)*(($V$3:$AE$3&gt;Z$3)+($V$3:$AE$3=Z$3)*($V206:$AE206&lt;Z206)+($V$3:$AE$3=Z$3)*($V206:$AE206=Z206)*($V$2:$AE$2&lt;Z$2))),2))))</f>
      </c>
      <c r="AK206" s="33">
        <f>IF(AA206&lt;=0,0,MAX(0,MIN(AA206,ROUND($AZ206-SUMPRODUCT($V206:$AE206*($V206:$AE206&gt;0)*(($V$3:$AE$3&gt;AA$3)+($V$3:$AE$3=AA$3)*($V206:$AE206&lt;AA206)+($V$3:$AE$3=AA$3)*($V206:$AE206=AA206)*($V$2:$AE$2&lt;AA$2))),2))))</f>
      </c>
      <c r="AL206" s="33">
        <f>IF(AB206&lt;=0,0,MAX(0,MIN(AB206,ROUND($AZ206-SUMPRODUCT($V206:$AE206*($V206:$AE206&gt;0)*(($V$3:$AE$3&gt;AB$3)+($V$3:$AE$3=AB$3)*($V206:$AE206&lt;AB206)+($V$3:$AE$3=AB$3)*($V206:$AE206=AB206)*($V$2:$AE$2&lt;AB$2))),2))))</f>
      </c>
      <c r="AM206" s="33">
        <f>IF(AC206&lt;=0,0,MAX(0,MIN(AC206,ROUND($AZ206-SUMPRODUCT($V206:$AE206*($V206:$AE206&gt;0)*(($V$3:$AE$3&gt;AC$3)+($V$3:$AE$3=AC$3)*($V206:$AE206&lt;AC206)+($V$3:$AE$3=AC$3)*($V206:$AE206=AC206)*($V$2:$AE$2&lt;AC$2))),2))))</f>
      </c>
      <c r="AN206" s="33">
        <f>IF(AD206&lt;=0,0,MAX(0,MIN(AD206,ROUND($AZ206-SUMPRODUCT($V206:$AE206*($V206:$AE206&gt;0)*(($V$3:$AE$3&gt;AD$3)+($V$3:$AE$3=AD$3)*($V206:$AE206&lt;AD206)+($V$3:$AE$3=AD$3)*($V206:$AE206=AD206)*($V$2:$AE$2&lt;AD$2))),2))))</f>
      </c>
      <c r="AO206" s="33">
        <f>IF(AE206&lt;=0,0,MAX(0,MIN(AE206,ROUND($AZ206-SUMPRODUCT($V206:$AE206*($V206:$AE206&gt;0)*(($V$3:$AE$3&gt;AE$3)+($V$3:$AE$3=AE$3)*($V206:$AE206&lt;AE206)+($V$3:$AE$3=AE$3)*($V206:$AE206=AE206)*($V$2:$AE$2&lt;AE$2))),2))))</f>
      </c>
      <c r="AP206" s="33">
        <f>ROUND(V206-AF206,2)</f>
      </c>
      <c r="AQ206" s="33">
        <f>ROUND(W206-AG206,2)</f>
      </c>
      <c r="AR206" s="33">
        <f>ROUND(X206-AH206,2)</f>
      </c>
      <c r="AS206" s="33">
        <f>ROUND(Y206-AI206,2)</f>
      </c>
      <c r="AT206" s="33">
        <f>ROUND(Z206-AJ206,2)</f>
      </c>
      <c r="AU206" s="33">
        <f>ROUND(AA206-AK206,2)</f>
      </c>
      <c r="AV206" s="33">
        <f>ROUND(AB206-AL206,2)</f>
      </c>
      <c r="AW206" s="33">
        <f>ROUND(AC206-AM206,2)</f>
      </c>
      <c r="AX206" s="33">
        <f>ROUND(AD206-AN206,2)</f>
      </c>
      <c r="AY206" s="33">
        <f>ROUND(AE206-AO206,2)</f>
      </c>
      <c r="AZ206" s="33">
        <f>ROUND(MAX(0,'Your debts'!$D$22-SUM($L206:$U206)),2)</f>
      </c>
      <c r="BA206" s="33">
        <f>ROUND(SUM($B206:$K206)-SUM($AP205:$AY205),2)</f>
      </c>
      <c r="BB206" s="33">
        <f>SUM($AP206:$AY206)</f>
      </c>
      <c r="BC206" s="33">
        <f>ROUND(SUM($L206:$U206)+SUM($AF206:$AO206),2)</f>
      </c>
    </row>
    <row r="207" spans="1:55" x14ac:dyDescent="0.25">
      <c r="A207">
        <v>200</v>
      </c>
      <c r="B207" s="33">
        <f>IF(AP206&lt;=0,0,ROUND(AP206+ROUND(AP206*V$3/12,2),2))</f>
      </c>
      <c r="C207" s="33">
        <f>IF(AQ206&lt;=0,0,ROUND(AQ206+ROUND(AQ206*W$3/12,2),2))</f>
      </c>
      <c r="D207" s="33">
        <f>IF(AR206&lt;=0,0,ROUND(AR206+ROUND(AR206*X$3/12,2),2))</f>
      </c>
      <c r="E207" s="33">
        <f>IF(AS206&lt;=0,0,ROUND(AS206+ROUND(AS206*Y$3/12,2),2))</f>
      </c>
      <c r="F207" s="33">
        <f>IF(AT206&lt;=0,0,ROUND(AT206+ROUND(AT206*Z$3/12,2),2))</f>
      </c>
      <c r="G207" s="33">
        <f>IF(AU206&lt;=0,0,ROUND(AU206+ROUND(AU206*AA$3/12,2),2))</f>
      </c>
      <c r="H207" s="33">
        <f>IF(AV206&lt;=0,0,ROUND(AV206+ROUND(AV206*AB$3/12,2),2))</f>
      </c>
      <c r="I207" s="33">
        <f>IF(AW206&lt;=0,0,ROUND(AW206+ROUND(AW206*AC$3/12,2),2))</f>
      </c>
      <c r="J207" s="33">
        <f>IF(AX206&lt;=0,0,ROUND(AX206+ROUND(AX206*AD$3/12,2),2))</f>
      </c>
      <c r="K207" s="33">
        <f>IF(AY206&lt;=0,0,ROUND(AY206+ROUND(AY206*AE$3/12,2),2))</f>
      </c>
      <c r="L207" s="33">
        <f>ROUND(MIN(MAX(0,N('Your debts'!$E$6)),B207),2)</f>
      </c>
      <c r="M207" s="33">
        <f>ROUND(MIN(MAX(0,N('Your debts'!$E$7)),C207),2)</f>
      </c>
      <c r="N207" s="33">
        <f>ROUND(MIN(MAX(0,N('Your debts'!$E$8)),D207),2)</f>
      </c>
      <c r="O207" s="33">
        <f>ROUND(MIN(MAX(0,N('Your debts'!$E$9)),E207),2)</f>
      </c>
      <c r="P207" s="33">
        <f>ROUND(MIN(MAX(0,N('Your debts'!$E$10)),F207),2)</f>
      </c>
      <c r="Q207" s="33">
        <f>ROUND(MIN(MAX(0,N('Your debts'!$E$11)),G207),2)</f>
      </c>
      <c r="R207" s="33">
        <f>ROUND(MIN(MAX(0,N('Your debts'!$E$12)),H207),2)</f>
      </c>
      <c r="S207" s="33">
        <f>ROUND(MIN(MAX(0,N('Your debts'!$E$13)),I207),2)</f>
      </c>
      <c r="T207" s="33">
        <f>ROUND(MIN(MAX(0,N('Your debts'!$E$14)),J207),2)</f>
      </c>
      <c r="U207" s="33">
        <f>ROUND(MIN(MAX(0,N('Your debts'!$E$15)),K207),2)</f>
      </c>
      <c r="V207" s="33">
        <f>ROUND(B207-L207,2)</f>
      </c>
      <c r="W207" s="33">
        <f>ROUND(C207-M207,2)</f>
      </c>
      <c r="X207" s="33">
        <f>ROUND(D207-N207,2)</f>
      </c>
      <c r="Y207" s="33">
        <f>ROUND(E207-O207,2)</f>
      </c>
      <c r="Z207" s="33">
        <f>ROUND(F207-P207,2)</f>
      </c>
      <c r="AA207" s="33">
        <f>ROUND(G207-Q207,2)</f>
      </c>
      <c r="AB207" s="33">
        <f>ROUND(H207-R207,2)</f>
      </c>
      <c r="AC207" s="33">
        <f>ROUND(I207-S207,2)</f>
      </c>
      <c r="AD207" s="33">
        <f>ROUND(J207-T207,2)</f>
      </c>
      <c r="AE207" s="33">
        <f>ROUND(K207-U207,2)</f>
      </c>
      <c r="AF207" s="33">
        <f>IF(V207&lt;=0,0,MAX(0,MIN(V207,ROUND($AZ207-SUMPRODUCT($V207:$AE207*($V207:$AE207&gt;0)*(($V$3:$AE$3&gt;V$3)+($V$3:$AE$3=V$3)*($V207:$AE207&lt;V207)+($V$3:$AE$3=V$3)*($V207:$AE207=V207)*($V$2:$AE$2&lt;V$2))),2))))</f>
      </c>
      <c r="AG207" s="33">
        <f>IF(W207&lt;=0,0,MAX(0,MIN(W207,ROUND($AZ207-SUMPRODUCT($V207:$AE207*($V207:$AE207&gt;0)*(($V$3:$AE$3&gt;W$3)+($V$3:$AE$3=W$3)*($V207:$AE207&lt;W207)+($V$3:$AE$3=W$3)*($V207:$AE207=W207)*($V$2:$AE$2&lt;W$2))),2))))</f>
      </c>
      <c r="AH207" s="33">
        <f>IF(X207&lt;=0,0,MAX(0,MIN(X207,ROUND($AZ207-SUMPRODUCT($V207:$AE207*($V207:$AE207&gt;0)*(($V$3:$AE$3&gt;X$3)+($V$3:$AE$3=X$3)*($V207:$AE207&lt;X207)+($V$3:$AE$3=X$3)*($V207:$AE207=X207)*($V$2:$AE$2&lt;X$2))),2))))</f>
      </c>
      <c r="AI207" s="33">
        <f>IF(Y207&lt;=0,0,MAX(0,MIN(Y207,ROUND($AZ207-SUMPRODUCT($V207:$AE207*($V207:$AE207&gt;0)*(($V$3:$AE$3&gt;Y$3)+($V$3:$AE$3=Y$3)*($V207:$AE207&lt;Y207)+($V$3:$AE$3=Y$3)*($V207:$AE207=Y207)*($V$2:$AE$2&lt;Y$2))),2))))</f>
      </c>
      <c r="AJ207" s="33">
        <f>IF(Z207&lt;=0,0,MAX(0,MIN(Z207,ROUND($AZ207-SUMPRODUCT($V207:$AE207*($V207:$AE207&gt;0)*(($V$3:$AE$3&gt;Z$3)+($V$3:$AE$3=Z$3)*($V207:$AE207&lt;Z207)+($V$3:$AE$3=Z$3)*($V207:$AE207=Z207)*($V$2:$AE$2&lt;Z$2))),2))))</f>
      </c>
      <c r="AK207" s="33">
        <f>IF(AA207&lt;=0,0,MAX(0,MIN(AA207,ROUND($AZ207-SUMPRODUCT($V207:$AE207*($V207:$AE207&gt;0)*(($V$3:$AE$3&gt;AA$3)+($V$3:$AE$3=AA$3)*($V207:$AE207&lt;AA207)+($V$3:$AE$3=AA$3)*($V207:$AE207=AA207)*($V$2:$AE$2&lt;AA$2))),2))))</f>
      </c>
      <c r="AL207" s="33">
        <f>IF(AB207&lt;=0,0,MAX(0,MIN(AB207,ROUND($AZ207-SUMPRODUCT($V207:$AE207*($V207:$AE207&gt;0)*(($V$3:$AE$3&gt;AB$3)+($V$3:$AE$3=AB$3)*($V207:$AE207&lt;AB207)+($V$3:$AE$3=AB$3)*($V207:$AE207=AB207)*($V$2:$AE$2&lt;AB$2))),2))))</f>
      </c>
      <c r="AM207" s="33">
        <f>IF(AC207&lt;=0,0,MAX(0,MIN(AC207,ROUND($AZ207-SUMPRODUCT($V207:$AE207*($V207:$AE207&gt;0)*(($V$3:$AE$3&gt;AC$3)+($V$3:$AE$3=AC$3)*($V207:$AE207&lt;AC207)+($V$3:$AE$3=AC$3)*($V207:$AE207=AC207)*($V$2:$AE$2&lt;AC$2))),2))))</f>
      </c>
      <c r="AN207" s="33">
        <f>IF(AD207&lt;=0,0,MAX(0,MIN(AD207,ROUND($AZ207-SUMPRODUCT($V207:$AE207*($V207:$AE207&gt;0)*(($V$3:$AE$3&gt;AD$3)+($V$3:$AE$3=AD$3)*($V207:$AE207&lt;AD207)+($V$3:$AE$3=AD$3)*($V207:$AE207=AD207)*($V$2:$AE$2&lt;AD$2))),2))))</f>
      </c>
      <c r="AO207" s="33">
        <f>IF(AE207&lt;=0,0,MAX(0,MIN(AE207,ROUND($AZ207-SUMPRODUCT($V207:$AE207*($V207:$AE207&gt;0)*(($V$3:$AE$3&gt;AE$3)+($V$3:$AE$3=AE$3)*($V207:$AE207&lt;AE207)+($V$3:$AE$3=AE$3)*($V207:$AE207=AE207)*($V$2:$AE$2&lt;AE$2))),2))))</f>
      </c>
      <c r="AP207" s="33">
        <f>ROUND(V207-AF207,2)</f>
      </c>
      <c r="AQ207" s="33">
        <f>ROUND(W207-AG207,2)</f>
      </c>
      <c r="AR207" s="33">
        <f>ROUND(X207-AH207,2)</f>
      </c>
      <c r="AS207" s="33">
        <f>ROUND(Y207-AI207,2)</f>
      </c>
      <c r="AT207" s="33">
        <f>ROUND(Z207-AJ207,2)</f>
      </c>
      <c r="AU207" s="33">
        <f>ROUND(AA207-AK207,2)</f>
      </c>
      <c r="AV207" s="33">
        <f>ROUND(AB207-AL207,2)</f>
      </c>
      <c r="AW207" s="33">
        <f>ROUND(AC207-AM207,2)</f>
      </c>
      <c r="AX207" s="33">
        <f>ROUND(AD207-AN207,2)</f>
      </c>
      <c r="AY207" s="33">
        <f>ROUND(AE207-AO207,2)</f>
      </c>
      <c r="AZ207" s="33">
        <f>ROUND(MAX(0,'Your debts'!$D$22-SUM($L207:$U207)),2)</f>
      </c>
      <c r="BA207" s="33">
        <f>ROUND(SUM($B207:$K207)-SUM($AP206:$AY206),2)</f>
      </c>
      <c r="BB207" s="33">
        <f>SUM($AP207:$AY207)</f>
      </c>
      <c r="BC207" s="33">
        <f>ROUND(SUM($L207:$U207)+SUM($AF207:$AO207),2)</f>
      </c>
    </row>
    <row r="208" spans="1:55" x14ac:dyDescent="0.25">
      <c r="A208">
        <v>201</v>
      </c>
      <c r="B208" s="33">
        <f>IF(AP207&lt;=0,0,ROUND(AP207+ROUND(AP207*V$3/12,2),2))</f>
      </c>
      <c r="C208" s="33">
        <f>IF(AQ207&lt;=0,0,ROUND(AQ207+ROUND(AQ207*W$3/12,2),2))</f>
      </c>
      <c r="D208" s="33">
        <f>IF(AR207&lt;=0,0,ROUND(AR207+ROUND(AR207*X$3/12,2),2))</f>
      </c>
      <c r="E208" s="33">
        <f>IF(AS207&lt;=0,0,ROUND(AS207+ROUND(AS207*Y$3/12,2),2))</f>
      </c>
      <c r="F208" s="33">
        <f>IF(AT207&lt;=0,0,ROUND(AT207+ROUND(AT207*Z$3/12,2),2))</f>
      </c>
      <c r="G208" s="33">
        <f>IF(AU207&lt;=0,0,ROUND(AU207+ROUND(AU207*AA$3/12,2),2))</f>
      </c>
      <c r="H208" s="33">
        <f>IF(AV207&lt;=0,0,ROUND(AV207+ROUND(AV207*AB$3/12,2),2))</f>
      </c>
      <c r="I208" s="33">
        <f>IF(AW207&lt;=0,0,ROUND(AW207+ROUND(AW207*AC$3/12,2),2))</f>
      </c>
      <c r="J208" s="33">
        <f>IF(AX207&lt;=0,0,ROUND(AX207+ROUND(AX207*AD$3/12,2),2))</f>
      </c>
      <c r="K208" s="33">
        <f>IF(AY207&lt;=0,0,ROUND(AY207+ROUND(AY207*AE$3/12,2),2))</f>
      </c>
      <c r="L208" s="33">
        <f>ROUND(MIN(MAX(0,N('Your debts'!$E$6)),B208),2)</f>
      </c>
      <c r="M208" s="33">
        <f>ROUND(MIN(MAX(0,N('Your debts'!$E$7)),C208),2)</f>
      </c>
      <c r="N208" s="33">
        <f>ROUND(MIN(MAX(0,N('Your debts'!$E$8)),D208),2)</f>
      </c>
      <c r="O208" s="33">
        <f>ROUND(MIN(MAX(0,N('Your debts'!$E$9)),E208),2)</f>
      </c>
      <c r="P208" s="33">
        <f>ROUND(MIN(MAX(0,N('Your debts'!$E$10)),F208),2)</f>
      </c>
      <c r="Q208" s="33">
        <f>ROUND(MIN(MAX(0,N('Your debts'!$E$11)),G208),2)</f>
      </c>
      <c r="R208" s="33">
        <f>ROUND(MIN(MAX(0,N('Your debts'!$E$12)),H208),2)</f>
      </c>
      <c r="S208" s="33">
        <f>ROUND(MIN(MAX(0,N('Your debts'!$E$13)),I208),2)</f>
      </c>
      <c r="T208" s="33">
        <f>ROUND(MIN(MAX(0,N('Your debts'!$E$14)),J208),2)</f>
      </c>
      <c r="U208" s="33">
        <f>ROUND(MIN(MAX(0,N('Your debts'!$E$15)),K208),2)</f>
      </c>
      <c r="V208" s="33">
        <f>ROUND(B208-L208,2)</f>
      </c>
      <c r="W208" s="33">
        <f>ROUND(C208-M208,2)</f>
      </c>
      <c r="X208" s="33">
        <f>ROUND(D208-N208,2)</f>
      </c>
      <c r="Y208" s="33">
        <f>ROUND(E208-O208,2)</f>
      </c>
      <c r="Z208" s="33">
        <f>ROUND(F208-P208,2)</f>
      </c>
      <c r="AA208" s="33">
        <f>ROUND(G208-Q208,2)</f>
      </c>
      <c r="AB208" s="33">
        <f>ROUND(H208-R208,2)</f>
      </c>
      <c r="AC208" s="33">
        <f>ROUND(I208-S208,2)</f>
      </c>
      <c r="AD208" s="33">
        <f>ROUND(J208-T208,2)</f>
      </c>
      <c r="AE208" s="33">
        <f>ROUND(K208-U208,2)</f>
      </c>
      <c r="AF208" s="33">
        <f>IF(V208&lt;=0,0,MAX(0,MIN(V208,ROUND($AZ208-SUMPRODUCT($V208:$AE208*($V208:$AE208&gt;0)*(($V$3:$AE$3&gt;V$3)+($V$3:$AE$3=V$3)*($V208:$AE208&lt;V208)+($V$3:$AE$3=V$3)*($V208:$AE208=V208)*($V$2:$AE$2&lt;V$2))),2))))</f>
      </c>
      <c r="AG208" s="33">
        <f>IF(W208&lt;=0,0,MAX(0,MIN(W208,ROUND($AZ208-SUMPRODUCT($V208:$AE208*($V208:$AE208&gt;0)*(($V$3:$AE$3&gt;W$3)+($V$3:$AE$3=W$3)*($V208:$AE208&lt;W208)+($V$3:$AE$3=W$3)*($V208:$AE208=W208)*($V$2:$AE$2&lt;W$2))),2))))</f>
      </c>
      <c r="AH208" s="33">
        <f>IF(X208&lt;=0,0,MAX(0,MIN(X208,ROUND($AZ208-SUMPRODUCT($V208:$AE208*($V208:$AE208&gt;0)*(($V$3:$AE$3&gt;X$3)+($V$3:$AE$3=X$3)*($V208:$AE208&lt;X208)+($V$3:$AE$3=X$3)*($V208:$AE208=X208)*($V$2:$AE$2&lt;X$2))),2))))</f>
      </c>
      <c r="AI208" s="33">
        <f>IF(Y208&lt;=0,0,MAX(0,MIN(Y208,ROUND($AZ208-SUMPRODUCT($V208:$AE208*($V208:$AE208&gt;0)*(($V$3:$AE$3&gt;Y$3)+($V$3:$AE$3=Y$3)*($V208:$AE208&lt;Y208)+($V$3:$AE$3=Y$3)*($V208:$AE208=Y208)*($V$2:$AE$2&lt;Y$2))),2))))</f>
      </c>
      <c r="AJ208" s="33">
        <f>IF(Z208&lt;=0,0,MAX(0,MIN(Z208,ROUND($AZ208-SUMPRODUCT($V208:$AE208*($V208:$AE208&gt;0)*(($V$3:$AE$3&gt;Z$3)+($V$3:$AE$3=Z$3)*($V208:$AE208&lt;Z208)+($V$3:$AE$3=Z$3)*($V208:$AE208=Z208)*($V$2:$AE$2&lt;Z$2))),2))))</f>
      </c>
      <c r="AK208" s="33">
        <f>IF(AA208&lt;=0,0,MAX(0,MIN(AA208,ROUND($AZ208-SUMPRODUCT($V208:$AE208*($V208:$AE208&gt;0)*(($V$3:$AE$3&gt;AA$3)+($V$3:$AE$3=AA$3)*($V208:$AE208&lt;AA208)+($V$3:$AE$3=AA$3)*($V208:$AE208=AA208)*($V$2:$AE$2&lt;AA$2))),2))))</f>
      </c>
      <c r="AL208" s="33">
        <f>IF(AB208&lt;=0,0,MAX(0,MIN(AB208,ROUND($AZ208-SUMPRODUCT($V208:$AE208*($V208:$AE208&gt;0)*(($V$3:$AE$3&gt;AB$3)+($V$3:$AE$3=AB$3)*($V208:$AE208&lt;AB208)+($V$3:$AE$3=AB$3)*($V208:$AE208=AB208)*($V$2:$AE$2&lt;AB$2))),2))))</f>
      </c>
      <c r="AM208" s="33">
        <f>IF(AC208&lt;=0,0,MAX(0,MIN(AC208,ROUND($AZ208-SUMPRODUCT($V208:$AE208*($V208:$AE208&gt;0)*(($V$3:$AE$3&gt;AC$3)+($V$3:$AE$3=AC$3)*($V208:$AE208&lt;AC208)+($V$3:$AE$3=AC$3)*($V208:$AE208=AC208)*($V$2:$AE$2&lt;AC$2))),2))))</f>
      </c>
      <c r="AN208" s="33">
        <f>IF(AD208&lt;=0,0,MAX(0,MIN(AD208,ROUND($AZ208-SUMPRODUCT($V208:$AE208*($V208:$AE208&gt;0)*(($V$3:$AE$3&gt;AD$3)+($V$3:$AE$3=AD$3)*($V208:$AE208&lt;AD208)+($V$3:$AE$3=AD$3)*($V208:$AE208=AD208)*($V$2:$AE$2&lt;AD$2))),2))))</f>
      </c>
      <c r="AO208" s="33">
        <f>IF(AE208&lt;=0,0,MAX(0,MIN(AE208,ROUND($AZ208-SUMPRODUCT($V208:$AE208*($V208:$AE208&gt;0)*(($V$3:$AE$3&gt;AE$3)+($V$3:$AE$3=AE$3)*($V208:$AE208&lt;AE208)+($V$3:$AE$3=AE$3)*($V208:$AE208=AE208)*($V$2:$AE$2&lt;AE$2))),2))))</f>
      </c>
      <c r="AP208" s="33">
        <f>ROUND(V208-AF208,2)</f>
      </c>
      <c r="AQ208" s="33">
        <f>ROUND(W208-AG208,2)</f>
      </c>
      <c r="AR208" s="33">
        <f>ROUND(X208-AH208,2)</f>
      </c>
      <c r="AS208" s="33">
        <f>ROUND(Y208-AI208,2)</f>
      </c>
      <c r="AT208" s="33">
        <f>ROUND(Z208-AJ208,2)</f>
      </c>
      <c r="AU208" s="33">
        <f>ROUND(AA208-AK208,2)</f>
      </c>
      <c r="AV208" s="33">
        <f>ROUND(AB208-AL208,2)</f>
      </c>
      <c r="AW208" s="33">
        <f>ROUND(AC208-AM208,2)</f>
      </c>
      <c r="AX208" s="33">
        <f>ROUND(AD208-AN208,2)</f>
      </c>
      <c r="AY208" s="33">
        <f>ROUND(AE208-AO208,2)</f>
      </c>
      <c r="AZ208" s="33">
        <f>ROUND(MAX(0,'Your debts'!$D$22-SUM($L208:$U208)),2)</f>
      </c>
      <c r="BA208" s="33">
        <f>ROUND(SUM($B208:$K208)-SUM($AP207:$AY207),2)</f>
      </c>
      <c r="BB208" s="33">
        <f>SUM($AP208:$AY208)</f>
      </c>
      <c r="BC208" s="33">
        <f>ROUND(SUM($L208:$U208)+SUM($AF208:$AO208),2)</f>
      </c>
    </row>
    <row r="209" spans="1:55" x14ac:dyDescent="0.25">
      <c r="A209">
        <v>202</v>
      </c>
      <c r="B209" s="33">
        <f>IF(AP208&lt;=0,0,ROUND(AP208+ROUND(AP208*V$3/12,2),2))</f>
      </c>
      <c r="C209" s="33">
        <f>IF(AQ208&lt;=0,0,ROUND(AQ208+ROUND(AQ208*W$3/12,2),2))</f>
      </c>
      <c r="D209" s="33">
        <f>IF(AR208&lt;=0,0,ROUND(AR208+ROUND(AR208*X$3/12,2),2))</f>
      </c>
      <c r="E209" s="33">
        <f>IF(AS208&lt;=0,0,ROUND(AS208+ROUND(AS208*Y$3/12,2),2))</f>
      </c>
      <c r="F209" s="33">
        <f>IF(AT208&lt;=0,0,ROUND(AT208+ROUND(AT208*Z$3/12,2),2))</f>
      </c>
      <c r="G209" s="33">
        <f>IF(AU208&lt;=0,0,ROUND(AU208+ROUND(AU208*AA$3/12,2),2))</f>
      </c>
      <c r="H209" s="33">
        <f>IF(AV208&lt;=0,0,ROUND(AV208+ROUND(AV208*AB$3/12,2),2))</f>
      </c>
      <c r="I209" s="33">
        <f>IF(AW208&lt;=0,0,ROUND(AW208+ROUND(AW208*AC$3/12,2),2))</f>
      </c>
      <c r="J209" s="33">
        <f>IF(AX208&lt;=0,0,ROUND(AX208+ROUND(AX208*AD$3/12,2),2))</f>
      </c>
      <c r="K209" s="33">
        <f>IF(AY208&lt;=0,0,ROUND(AY208+ROUND(AY208*AE$3/12,2),2))</f>
      </c>
      <c r="L209" s="33">
        <f>ROUND(MIN(MAX(0,N('Your debts'!$E$6)),B209),2)</f>
      </c>
      <c r="M209" s="33">
        <f>ROUND(MIN(MAX(0,N('Your debts'!$E$7)),C209),2)</f>
      </c>
      <c r="N209" s="33">
        <f>ROUND(MIN(MAX(0,N('Your debts'!$E$8)),D209),2)</f>
      </c>
      <c r="O209" s="33">
        <f>ROUND(MIN(MAX(0,N('Your debts'!$E$9)),E209),2)</f>
      </c>
      <c r="P209" s="33">
        <f>ROUND(MIN(MAX(0,N('Your debts'!$E$10)),F209),2)</f>
      </c>
      <c r="Q209" s="33">
        <f>ROUND(MIN(MAX(0,N('Your debts'!$E$11)),G209),2)</f>
      </c>
      <c r="R209" s="33">
        <f>ROUND(MIN(MAX(0,N('Your debts'!$E$12)),H209),2)</f>
      </c>
      <c r="S209" s="33">
        <f>ROUND(MIN(MAX(0,N('Your debts'!$E$13)),I209),2)</f>
      </c>
      <c r="T209" s="33">
        <f>ROUND(MIN(MAX(0,N('Your debts'!$E$14)),J209),2)</f>
      </c>
      <c r="U209" s="33">
        <f>ROUND(MIN(MAX(0,N('Your debts'!$E$15)),K209),2)</f>
      </c>
      <c r="V209" s="33">
        <f>ROUND(B209-L209,2)</f>
      </c>
      <c r="W209" s="33">
        <f>ROUND(C209-M209,2)</f>
      </c>
      <c r="X209" s="33">
        <f>ROUND(D209-N209,2)</f>
      </c>
      <c r="Y209" s="33">
        <f>ROUND(E209-O209,2)</f>
      </c>
      <c r="Z209" s="33">
        <f>ROUND(F209-P209,2)</f>
      </c>
      <c r="AA209" s="33">
        <f>ROUND(G209-Q209,2)</f>
      </c>
      <c r="AB209" s="33">
        <f>ROUND(H209-R209,2)</f>
      </c>
      <c r="AC209" s="33">
        <f>ROUND(I209-S209,2)</f>
      </c>
      <c r="AD209" s="33">
        <f>ROUND(J209-T209,2)</f>
      </c>
      <c r="AE209" s="33">
        <f>ROUND(K209-U209,2)</f>
      </c>
      <c r="AF209" s="33">
        <f>IF(V209&lt;=0,0,MAX(0,MIN(V209,ROUND($AZ209-SUMPRODUCT($V209:$AE209*($V209:$AE209&gt;0)*(($V$3:$AE$3&gt;V$3)+($V$3:$AE$3=V$3)*($V209:$AE209&lt;V209)+($V$3:$AE$3=V$3)*($V209:$AE209=V209)*($V$2:$AE$2&lt;V$2))),2))))</f>
      </c>
      <c r="AG209" s="33">
        <f>IF(W209&lt;=0,0,MAX(0,MIN(W209,ROUND($AZ209-SUMPRODUCT($V209:$AE209*($V209:$AE209&gt;0)*(($V$3:$AE$3&gt;W$3)+($V$3:$AE$3=W$3)*($V209:$AE209&lt;W209)+($V$3:$AE$3=W$3)*($V209:$AE209=W209)*($V$2:$AE$2&lt;W$2))),2))))</f>
      </c>
      <c r="AH209" s="33">
        <f>IF(X209&lt;=0,0,MAX(0,MIN(X209,ROUND($AZ209-SUMPRODUCT($V209:$AE209*($V209:$AE209&gt;0)*(($V$3:$AE$3&gt;X$3)+($V$3:$AE$3=X$3)*($V209:$AE209&lt;X209)+($V$3:$AE$3=X$3)*($V209:$AE209=X209)*($V$2:$AE$2&lt;X$2))),2))))</f>
      </c>
      <c r="AI209" s="33">
        <f>IF(Y209&lt;=0,0,MAX(0,MIN(Y209,ROUND($AZ209-SUMPRODUCT($V209:$AE209*($V209:$AE209&gt;0)*(($V$3:$AE$3&gt;Y$3)+($V$3:$AE$3=Y$3)*($V209:$AE209&lt;Y209)+($V$3:$AE$3=Y$3)*($V209:$AE209=Y209)*($V$2:$AE$2&lt;Y$2))),2))))</f>
      </c>
      <c r="AJ209" s="33">
        <f>IF(Z209&lt;=0,0,MAX(0,MIN(Z209,ROUND($AZ209-SUMPRODUCT($V209:$AE209*($V209:$AE209&gt;0)*(($V$3:$AE$3&gt;Z$3)+($V$3:$AE$3=Z$3)*($V209:$AE209&lt;Z209)+($V$3:$AE$3=Z$3)*($V209:$AE209=Z209)*($V$2:$AE$2&lt;Z$2))),2))))</f>
      </c>
      <c r="AK209" s="33">
        <f>IF(AA209&lt;=0,0,MAX(0,MIN(AA209,ROUND($AZ209-SUMPRODUCT($V209:$AE209*($V209:$AE209&gt;0)*(($V$3:$AE$3&gt;AA$3)+($V$3:$AE$3=AA$3)*($V209:$AE209&lt;AA209)+($V$3:$AE$3=AA$3)*($V209:$AE209=AA209)*($V$2:$AE$2&lt;AA$2))),2))))</f>
      </c>
      <c r="AL209" s="33">
        <f>IF(AB209&lt;=0,0,MAX(0,MIN(AB209,ROUND($AZ209-SUMPRODUCT($V209:$AE209*($V209:$AE209&gt;0)*(($V$3:$AE$3&gt;AB$3)+($V$3:$AE$3=AB$3)*($V209:$AE209&lt;AB209)+($V$3:$AE$3=AB$3)*($V209:$AE209=AB209)*($V$2:$AE$2&lt;AB$2))),2))))</f>
      </c>
      <c r="AM209" s="33">
        <f>IF(AC209&lt;=0,0,MAX(0,MIN(AC209,ROUND($AZ209-SUMPRODUCT($V209:$AE209*($V209:$AE209&gt;0)*(($V$3:$AE$3&gt;AC$3)+($V$3:$AE$3=AC$3)*($V209:$AE209&lt;AC209)+($V$3:$AE$3=AC$3)*($V209:$AE209=AC209)*($V$2:$AE$2&lt;AC$2))),2))))</f>
      </c>
      <c r="AN209" s="33">
        <f>IF(AD209&lt;=0,0,MAX(0,MIN(AD209,ROUND($AZ209-SUMPRODUCT($V209:$AE209*($V209:$AE209&gt;0)*(($V$3:$AE$3&gt;AD$3)+($V$3:$AE$3=AD$3)*($V209:$AE209&lt;AD209)+($V$3:$AE$3=AD$3)*($V209:$AE209=AD209)*($V$2:$AE$2&lt;AD$2))),2))))</f>
      </c>
      <c r="AO209" s="33">
        <f>IF(AE209&lt;=0,0,MAX(0,MIN(AE209,ROUND($AZ209-SUMPRODUCT($V209:$AE209*($V209:$AE209&gt;0)*(($V$3:$AE$3&gt;AE$3)+($V$3:$AE$3=AE$3)*($V209:$AE209&lt;AE209)+($V$3:$AE$3=AE$3)*($V209:$AE209=AE209)*($V$2:$AE$2&lt;AE$2))),2))))</f>
      </c>
      <c r="AP209" s="33">
        <f>ROUND(V209-AF209,2)</f>
      </c>
      <c r="AQ209" s="33">
        <f>ROUND(W209-AG209,2)</f>
      </c>
      <c r="AR209" s="33">
        <f>ROUND(X209-AH209,2)</f>
      </c>
      <c r="AS209" s="33">
        <f>ROUND(Y209-AI209,2)</f>
      </c>
      <c r="AT209" s="33">
        <f>ROUND(Z209-AJ209,2)</f>
      </c>
      <c r="AU209" s="33">
        <f>ROUND(AA209-AK209,2)</f>
      </c>
      <c r="AV209" s="33">
        <f>ROUND(AB209-AL209,2)</f>
      </c>
      <c r="AW209" s="33">
        <f>ROUND(AC209-AM209,2)</f>
      </c>
      <c r="AX209" s="33">
        <f>ROUND(AD209-AN209,2)</f>
      </c>
      <c r="AY209" s="33">
        <f>ROUND(AE209-AO209,2)</f>
      </c>
      <c r="AZ209" s="33">
        <f>ROUND(MAX(0,'Your debts'!$D$22-SUM($L209:$U209)),2)</f>
      </c>
      <c r="BA209" s="33">
        <f>ROUND(SUM($B209:$K209)-SUM($AP208:$AY208),2)</f>
      </c>
      <c r="BB209" s="33">
        <f>SUM($AP209:$AY209)</f>
      </c>
      <c r="BC209" s="33">
        <f>ROUND(SUM($L209:$U209)+SUM($AF209:$AO209),2)</f>
      </c>
    </row>
    <row r="210" spans="1:55" x14ac:dyDescent="0.25">
      <c r="A210">
        <v>203</v>
      </c>
      <c r="B210" s="33">
        <f>IF(AP209&lt;=0,0,ROUND(AP209+ROUND(AP209*V$3/12,2),2))</f>
      </c>
      <c r="C210" s="33">
        <f>IF(AQ209&lt;=0,0,ROUND(AQ209+ROUND(AQ209*W$3/12,2),2))</f>
      </c>
      <c r="D210" s="33">
        <f>IF(AR209&lt;=0,0,ROUND(AR209+ROUND(AR209*X$3/12,2),2))</f>
      </c>
      <c r="E210" s="33">
        <f>IF(AS209&lt;=0,0,ROUND(AS209+ROUND(AS209*Y$3/12,2),2))</f>
      </c>
      <c r="F210" s="33">
        <f>IF(AT209&lt;=0,0,ROUND(AT209+ROUND(AT209*Z$3/12,2),2))</f>
      </c>
      <c r="G210" s="33">
        <f>IF(AU209&lt;=0,0,ROUND(AU209+ROUND(AU209*AA$3/12,2),2))</f>
      </c>
      <c r="H210" s="33">
        <f>IF(AV209&lt;=0,0,ROUND(AV209+ROUND(AV209*AB$3/12,2),2))</f>
      </c>
      <c r="I210" s="33">
        <f>IF(AW209&lt;=0,0,ROUND(AW209+ROUND(AW209*AC$3/12,2),2))</f>
      </c>
      <c r="J210" s="33">
        <f>IF(AX209&lt;=0,0,ROUND(AX209+ROUND(AX209*AD$3/12,2),2))</f>
      </c>
      <c r="K210" s="33">
        <f>IF(AY209&lt;=0,0,ROUND(AY209+ROUND(AY209*AE$3/12,2),2))</f>
      </c>
      <c r="L210" s="33">
        <f>ROUND(MIN(MAX(0,N('Your debts'!$E$6)),B210),2)</f>
      </c>
      <c r="M210" s="33">
        <f>ROUND(MIN(MAX(0,N('Your debts'!$E$7)),C210),2)</f>
      </c>
      <c r="N210" s="33">
        <f>ROUND(MIN(MAX(0,N('Your debts'!$E$8)),D210),2)</f>
      </c>
      <c r="O210" s="33">
        <f>ROUND(MIN(MAX(0,N('Your debts'!$E$9)),E210),2)</f>
      </c>
      <c r="P210" s="33">
        <f>ROUND(MIN(MAX(0,N('Your debts'!$E$10)),F210),2)</f>
      </c>
      <c r="Q210" s="33">
        <f>ROUND(MIN(MAX(0,N('Your debts'!$E$11)),G210),2)</f>
      </c>
      <c r="R210" s="33">
        <f>ROUND(MIN(MAX(0,N('Your debts'!$E$12)),H210),2)</f>
      </c>
      <c r="S210" s="33">
        <f>ROUND(MIN(MAX(0,N('Your debts'!$E$13)),I210),2)</f>
      </c>
      <c r="T210" s="33">
        <f>ROUND(MIN(MAX(0,N('Your debts'!$E$14)),J210),2)</f>
      </c>
      <c r="U210" s="33">
        <f>ROUND(MIN(MAX(0,N('Your debts'!$E$15)),K210),2)</f>
      </c>
      <c r="V210" s="33">
        <f>ROUND(B210-L210,2)</f>
      </c>
      <c r="W210" s="33">
        <f>ROUND(C210-M210,2)</f>
      </c>
      <c r="X210" s="33">
        <f>ROUND(D210-N210,2)</f>
      </c>
      <c r="Y210" s="33">
        <f>ROUND(E210-O210,2)</f>
      </c>
      <c r="Z210" s="33">
        <f>ROUND(F210-P210,2)</f>
      </c>
      <c r="AA210" s="33">
        <f>ROUND(G210-Q210,2)</f>
      </c>
      <c r="AB210" s="33">
        <f>ROUND(H210-R210,2)</f>
      </c>
      <c r="AC210" s="33">
        <f>ROUND(I210-S210,2)</f>
      </c>
      <c r="AD210" s="33">
        <f>ROUND(J210-T210,2)</f>
      </c>
      <c r="AE210" s="33">
        <f>ROUND(K210-U210,2)</f>
      </c>
      <c r="AF210" s="33">
        <f>IF(V210&lt;=0,0,MAX(0,MIN(V210,ROUND($AZ210-SUMPRODUCT($V210:$AE210*($V210:$AE210&gt;0)*(($V$3:$AE$3&gt;V$3)+($V$3:$AE$3=V$3)*($V210:$AE210&lt;V210)+($V$3:$AE$3=V$3)*($V210:$AE210=V210)*($V$2:$AE$2&lt;V$2))),2))))</f>
      </c>
      <c r="AG210" s="33">
        <f>IF(W210&lt;=0,0,MAX(0,MIN(W210,ROUND($AZ210-SUMPRODUCT($V210:$AE210*($V210:$AE210&gt;0)*(($V$3:$AE$3&gt;W$3)+($V$3:$AE$3=W$3)*($V210:$AE210&lt;W210)+($V$3:$AE$3=W$3)*($V210:$AE210=W210)*($V$2:$AE$2&lt;W$2))),2))))</f>
      </c>
      <c r="AH210" s="33">
        <f>IF(X210&lt;=0,0,MAX(0,MIN(X210,ROUND($AZ210-SUMPRODUCT($V210:$AE210*($V210:$AE210&gt;0)*(($V$3:$AE$3&gt;X$3)+($V$3:$AE$3=X$3)*($V210:$AE210&lt;X210)+($V$3:$AE$3=X$3)*($V210:$AE210=X210)*($V$2:$AE$2&lt;X$2))),2))))</f>
      </c>
      <c r="AI210" s="33">
        <f>IF(Y210&lt;=0,0,MAX(0,MIN(Y210,ROUND($AZ210-SUMPRODUCT($V210:$AE210*($V210:$AE210&gt;0)*(($V$3:$AE$3&gt;Y$3)+($V$3:$AE$3=Y$3)*($V210:$AE210&lt;Y210)+($V$3:$AE$3=Y$3)*($V210:$AE210=Y210)*($V$2:$AE$2&lt;Y$2))),2))))</f>
      </c>
      <c r="AJ210" s="33">
        <f>IF(Z210&lt;=0,0,MAX(0,MIN(Z210,ROUND($AZ210-SUMPRODUCT($V210:$AE210*($V210:$AE210&gt;0)*(($V$3:$AE$3&gt;Z$3)+($V$3:$AE$3=Z$3)*($V210:$AE210&lt;Z210)+($V$3:$AE$3=Z$3)*($V210:$AE210=Z210)*($V$2:$AE$2&lt;Z$2))),2))))</f>
      </c>
      <c r="AK210" s="33">
        <f>IF(AA210&lt;=0,0,MAX(0,MIN(AA210,ROUND($AZ210-SUMPRODUCT($V210:$AE210*($V210:$AE210&gt;0)*(($V$3:$AE$3&gt;AA$3)+($V$3:$AE$3=AA$3)*($V210:$AE210&lt;AA210)+($V$3:$AE$3=AA$3)*($V210:$AE210=AA210)*($V$2:$AE$2&lt;AA$2))),2))))</f>
      </c>
      <c r="AL210" s="33">
        <f>IF(AB210&lt;=0,0,MAX(0,MIN(AB210,ROUND($AZ210-SUMPRODUCT($V210:$AE210*($V210:$AE210&gt;0)*(($V$3:$AE$3&gt;AB$3)+($V$3:$AE$3=AB$3)*($V210:$AE210&lt;AB210)+($V$3:$AE$3=AB$3)*($V210:$AE210=AB210)*($V$2:$AE$2&lt;AB$2))),2))))</f>
      </c>
      <c r="AM210" s="33">
        <f>IF(AC210&lt;=0,0,MAX(0,MIN(AC210,ROUND($AZ210-SUMPRODUCT($V210:$AE210*($V210:$AE210&gt;0)*(($V$3:$AE$3&gt;AC$3)+($V$3:$AE$3=AC$3)*($V210:$AE210&lt;AC210)+($V$3:$AE$3=AC$3)*($V210:$AE210=AC210)*($V$2:$AE$2&lt;AC$2))),2))))</f>
      </c>
      <c r="AN210" s="33">
        <f>IF(AD210&lt;=0,0,MAX(0,MIN(AD210,ROUND($AZ210-SUMPRODUCT($V210:$AE210*($V210:$AE210&gt;0)*(($V$3:$AE$3&gt;AD$3)+($V$3:$AE$3=AD$3)*($V210:$AE210&lt;AD210)+($V$3:$AE$3=AD$3)*($V210:$AE210=AD210)*($V$2:$AE$2&lt;AD$2))),2))))</f>
      </c>
      <c r="AO210" s="33">
        <f>IF(AE210&lt;=0,0,MAX(0,MIN(AE210,ROUND($AZ210-SUMPRODUCT($V210:$AE210*($V210:$AE210&gt;0)*(($V$3:$AE$3&gt;AE$3)+($V$3:$AE$3=AE$3)*($V210:$AE210&lt;AE210)+($V$3:$AE$3=AE$3)*($V210:$AE210=AE210)*($V$2:$AE$2&lt;AE$2))),2))))</f>
      </c>
      <c r="AP210" s="33">
        <f>ROUND(V210-AF210,2)</f>
      </c>
      <c r="AQ210" s="33">
        <f>ROUND(W210-AG210,2)</f>
      </c>
      <c r="AR210" s="33">
        <f>ROUND(X210-AH210,2)</f>
      </c>
      <c r="AS210" s="33">
        <f>ROUND(Y210-AI210,2)</f>
      </c>
      <c r="AT210" s="33">
        <f>ROUND(Z210-AJ210,2)</f>
      </c>
      <c r="AU210" s="33">
        <f>ROUND(AA210-AK210,2)</f>
      </c>
      <c r="AV210" s="33">
        <f>ROUND(AB210-AL210,2)</f>
      </c>
      <c r="AW210" s="33">
        <f>ROUND(AC210-AM210,2)</f>
      </c>
      <c r="AX210" s="33">
        <f>ROUND(AD210-AN210,2)</f>
      </c>
      <c r="AY210" s="33">
        <f>ROUND(AE210-AO210,2)</f>
      </c>
      <c r="AZ210" s="33">
        <f>ROUND(MAX(0,'Your debts'!$D$22-SUM($L210:$U210)),2)</f>
      </c>
      <c r="BA210" s="33">
        <f>ROUND(SUM($B210:$K210)-SUM($AP209:$AY209),2)</f>
      </c>
      <c r="BB210" s="33">
        <f>SUM($AP210:$AY210)</f>
      </c>
      <c r="BC210" s="33">
        <f>ROUND(SUM($L210:$U210)+SUM($AF210:$AO210),2)</f>
      </c>
    </row>
    <row r="211" spans="1:55" x14ac:dyDescent="0.25">
      <c r="A211">
        <v>204</v>
      </c>
      <c r="B211" s="33">
        <f>IF(AP210&lt;=0,0,ROUND(AP210+ROUND(AP210*V$3/12,2),2))</f>
      </c>
      <c r="C211" s="33">
        <f>IF(AQ210&lt;=0,0,ROUND(AQ210+ROUND(AQ210*W$3/12,2),2))</f>
      </c>
      <c r="D211" s="33">
        <f>IF(AR210&lt;=0,0,ROUND(AR210+ROUND(AR210*X$3/12,2),2))</f>
      </c>
      <c r="E211" s="33">
        <f>IF(AS210&lt;=0,0,ROUND(AS210+ROUND(AS210*Y$3/12,2),2))</f>
      </c>
      <c r="F211" s="33">
        <f>IF(AT210&lt;=0,0,ROUND(AT210+ROUND(AT210*Z$3/12,2),2))</f>
      </c>
      <c r="G211" s="33">
        <f>IF(AU210&lt;=0,0,ROUND(AU210+ROUND(AU210*AA$3/12,2),2))</f>
      </c>
      <c r="H211" s="33">
        <f>IF(AV210&lt;=0,0,ROUND(AV210+ROUND(AV210*AB$3/12,2),2))</f>
      </c>
      <c r="I211" s="33">
        <f>IF(AW210&lt;=0,0,ROUND(AW210+ROUND(AW210*AC$3/12,2),2))</f>
      </c>
      <c r="J211" s="33">
        <f>IF(AX210&lt;=0,0,ROUND(AX210+ROUND(AX210*AD$3/12,2),2))</f>
      </c>
      <c r="K211" s="33">
        <f>IF(AY210&lt;=0,0,ROUND(AY210+ROUND(AY210*AE$3/12,2),2))</f>
      </c>
      <c r="L211" s="33">
        <f>ROUND(MIN(MAX(0,N('Your debts'!$E$6)),B211),2)</f>
      </c>
      <c r="M211" s="33">
        <f>ROUND(MIN(MAX(0,N('Your debts'!$E$7)),C211),2)</f>
      </c>
      <c r="N211" s="33">
        <f>ROUND(MIN(MAX(0,N('Your debts'!$E$8)),D211),2)</f>
      </c>
      <c r="O211" s="33">
        <f>ROUND(MIN(MAX(0,N('Your debts'!$E$9)),E211),2)</f>
      </c>
      <c r="P211" s="33">
        <f>ROUND(MIN(MAX(0,N('Your debts'!$E$10)),F211),2)</f>
      </c>
      <c r="Q211" s="33">
        <f>ROUND(MIN(MAX(0,N('Your debts'!$E$11)),G211),2)</f>
      </c>
      <c r="R211" s="33">
        <f>ROUND(MIN(MAX(0,N('Your debts'!$E$12)),H211),2)</f>
      </c>
      <c r="S211" s="33">
        <f>ROUND(MIN(MAX(0,N('Your debts'!$E$13)),I211),2)</f>
      </c>
      <c r="T211" s="33">
        <f>ROUND(MIN(MAX(0,N('Your debts'!$E$14)),J211),2)</f>
      </c>
      <c r="U211" s="33">
        <f>ROUND(MIN(MAX(0,N('Your debts'!$E$15)),K211),2)</f>
      </c>
      <c r="V211" s="33">
        <f>ROUND(B211-L211,2)</f>
      </c>
      <c r="W211" s="33">
        <f>ROUND(C211-M211,2)</f>
      </c>
      <c r="X211" s="33">
        <f>ROUND(D211-N211,2)</f>
      </c>
      <c r="Y211" s="33">
        <f>ROUND(E211-O211,2)</f>
      </c>
      <c r="Z211" s="33">
        <f>ROUND(F211-P211,2)</f>
      </c>
      <c r="AA211" s="33">
        <f>ROUND(G211-Q211,2)</f>
      </c>
      <c r="AB211" s="33">
        <f>ROUND(H211-R211,2)</f>
      </c>
      <c r="AC211" s="33">
        <f>ROUND(I211-S211,2)</f>
      </c>
      <c r="AD211" s="33">
        <f>ROUND(J211-T211,2)</f>
      </c>
      <c r="AE211" s="33">
        <f>ROUND(K211-U211,2)</f>
      </c>
      <c r="AF211" s="33">
        <f>IF(V211&lt;=0,0,MAX(0,MIN(V211,ROUND($AZ211-SUMPRODUCT($V211:$AE211*($V211:$AE211&gt;0)*(($V$3:$AE$3&gt;V$3)+($V$3:$AE$3=V$3)*($V211:$AE211&lt;V211)+($V$3:$AE$3=V$3)*($V211:$AE211=V211)*($V$2:$AE$2&lt;V$2))),2))))</f>
      </c>
      <c r="AG211" s="33">
        <f>IF(W211&lt;=0,0,MAX(0,MIN(W211,ROUND($AZ211-SUMPRODUCT($V211:$AE211*($V211:$AE211&gt;0)*(($V$3:$AE$3&gt;W$3)+($V$3:$AE$3=W$3)*($V211:$AE211&lt;W211)+($V$3:$AE$3=W$3)*($V211:$AE211=W211)*($V$2:$AE$2&lt;W$2))),2))))</f>
      </c>
      <c r="AH211" s="33">
        <f>IF(X211&lt;=0,0,MAX(0,MIN(X211,ROUND($AZ211-SUMPRODUCT($V211:$AE211*($V211:$AE211&gt;0)*(($V$3:$AE$3&gt;X$3)+($V$3:$AE$3=X$3)*($V211:$AE211&lt;X211)+($V$3:$AE$3=X$3)*($V211:$AE211=X211)*($V$2:$AE$2&lt;X$2))),2))))</f>
      </c>
      <c r="AI211" s="33">
        <f>IF(Y211&lt;=0,0,MAX(0,MIN(Y211,ROUND($AZ211-SUMPRODUCT($V211:$AE211*($V211:$AE211&gt;0)*(($V$3:$AE$3&gt;Y$3)+($V$3:$AE$3=Y$3)*($V211:$AE211&lt;Y211)+($V$3:$AE$3=Y$3)*($V211:$AE211=Y211)*($V$2:$AE$2&lt;Y$2))),2))))</f>
      </c>
      <c r="AJ211" s="33">
        <f>IF(Z211&lt;=0,0,MAX(0,MIN(Z211,ROUND($AZ211-SUMPRODUCT($V211:$AE211*($V211:$AE211&gt;0)*(($V$3:$AE$3&gt;Z$3)+($V$3:$AE$3=Z$3)*($V211:$AE211&lt;Z211)+($V$3:$AE$3=Z$3)*($V211:$AE211=Z211)*($V$2:$AE$2&lt;Z$2))),2))))</f>
      </c>
      <c r="AK211" s="33">
        <f>IF(AA211&lt;=0,0,MAX(0,MIN(AA211,ROUND($AZ211-SUMPRODUCT($V211:$AE211*($V211:$AE211&gt;0)*(($V$3:$AE$3&gt;AA$3)+($V$3:$AE$3=AA$3)*($V211:$AE211&lt;AA211)+($V$3:$AE$3=AA$3)*($V211:$AE211=AA211)*($V$2:$AE$2&lt;AA$2))),2))))</f>
      </c>
      <c r="AL211" s="33">
        <f>IF(AB211&lt;=0,0,MAX(0,MIN(AB211,ROUND($AZ211-SUMPRODUCT($V211:$AE211*($V211:$AE211&gt;0)*(($V$3:$AE$3&gt;AB$3)+($V$3:$AE$3=AB$3)*($V211:$AE211&lt;AB211)+($V$3:$AE$3=AB$3)*($V211:$AE211=AB211)*($V$2:$AE$2&lt;AB$2))),2))))</f>
      </c>
      <c r="AM211" s="33">
        <f>IF(AC211&lt;=0,0,MAX(0,MIN(AC211,ROUND($AZ211-SUMPRODUCT($V211:$AE211*($V211:$AE211&gt;0)*(($V$3:$AE$3&gt;AC$3)+($V$3:$AE$3=AC$3)*($V211:$AE211&lt;AC211)+($V$3:$AE$3=AC$3)*($V211:$AE211=AC211)*($V$2:$AE$2&lt;AC$2))),2))))</f>
      </c>
      <c r="AN211" s="33">
        <f>IF(AD211&lt;=0,0,MAX(0,MIN(AD211,ROUND($AZ211-SUMPRODUCT($V211:$AE211*($V211:$AE211&gt;0)*(($V$3:$AE$3&gt;AD$3)+($V$3:$AE$3=AD$3)*($V211:$AE211&lt;AD211)+($V$3:$AE$3=AD$3)*($V211:$AE211=AD211)*($V$2:$AE$2&lt;AD$2))),2))))</f>
      </c>
      <c r="AO211" s="33">
        <f>IF(AE211&lt;=0,0,MAX(0,MIN(AE211,ROUND($AZ211-SUMPRODUCT($V211:$AE211*($V211:$AE211&gt;0)*(($V$3:$AE$3&gt;AE$3)+($V$3:$AE$3=AE$3)*($V211:$AE211&lt;AE211)+($V$3:$AE$3=AE$3)*($V211:$AE211=AE211)*($V$2:$AE$2&lt;AE$2))),2))))</f>
      </c>
      <c r="AP211" s="33">
        <f>ROUND(V211-AF211,2)</f>
      </c>
      <c r="AQ211" s="33">
        <f>ROUND(W211-AG211,2)</f>
      </c>
      <c r="AR211" s="33">
        <f>ROUND(X211-AH211,2)</f>
      </c>
      <c r="AS211" s="33">
        <f>ROUND(Y211-AI211,2)</f>
      </c>
      <c r="AT211" s="33">
        <f>ROUND(Z211-AJ211,2)</f>
      </c>
      <c r="AU211" s="33">
        <f>ROUND(AA211-AK211,2)</f>
      </c>
      <c r="AV211" s="33">
        <f>ROUND(AB211-AL211,2)</f>
      </c>
      <c r="AW211" s="33">
        <f>ROUND(AC211-AM211,2)</f>
      </c>
      <c r="AX211" s="33">
        <f>ROUND(AD211-AN211,2)</f>
      </c>
      <c r="AY211" s="33">
        <f>ROUND(AE211-AO211,2)</f>
      </c>
      <c r="AZ211" s="33">
        <f>ROUND(MAX(0,'Your debts'!$D$22-SUM($L211:$U211)),2)</f>
      </c>
      <c r="BA211" s="33">
        <f>ROUND(SUM($B211:$K211)-SUM($AP210:$AY210),2)</f>
      </c>
      <c r="BB211" s="33">
        <f>SUM($AP211:$AY211)</f>
      </c>
      <c r="BC211" s="33">
        <f>ROUND(SUM($L211:$U211)+SUM($AF211:$AO211),2)</f>
      </c>
    </row>
    <row r="212" spans="1:55" x14ac:dyDescent="0.25">
      <c r="A212">
        <v>205</v>
      </c>
      <c r="B212" s="33">
        <f>IF(AP211&lt;=0,0,ROUND(AP211+ROUND(AP211*V$3/12,2),2))</f>
      </c>
      <c r="C212" s="33">
        <f>IF(AQ211&lt;=0,0,ROUND(AQ211+ROUND(AQ211*W$3/12,2),2))</f>
      </c>
      <c r="D212" s="33">
        <f>IF(AR211&lt;=0,0,ROUND(AR211+ROUND(AR211*X$3/12,2),2))</f>
      </c>
      <c r="E212" s="33">
        <f>IF(AS211&lt;=0,0,ROUND(AS211+ROUND(AS211*Y$3/12,2),2))</f>
      </c>
      <c r="F212" s="33">
        <f>IF(AT211&lt;=0,0,ROUND(AT211+ROUND(AT211*Z$3/12,2),2))</f>
      </c>
      <c r="G212" s="33">
        <f>IF(AU211&lt;=0,0,ROUND(AU211+ROUND(AU211*AA$3/12,2),2))</f>
      </c>
      <c r="H212" s="33">
        <f>IF(AV211&lt;=0,0,ROUND(AV211+ROUND(AV211*AB$3/12,2),2))</f>
      </c>
      <c r="I212" s="33">
        <f>IF(AW211&lt;=0,0,ROUND(AW211+ROUND(AW211*AC$3/12,2),2))</f>
      </c>
      <c r="J212" s="33">
        <f>IF(AX211&lt;=0,0,ROUND(AX211+ROUND(AX211*AD$3/12,2),2))</f>
      </c>
      <c r="K212" s="33">
        <f>IF(AY211&lt;=0,0,ROUND(AY211+ROUND(AY211*AE$3/12,2),2))</f>
      </c>
      <c r="L212" s="33">
        <f>ROUND(MIN(MAX(0,N('Your debts'!$E$6)),B212),2)</f>
      </c>
      <c r="M212" s="33">
        <f>ROUND(MIN(MAX(0,N('Your debts'!$E$7)),C212),2)</f>
      </c>
      <c r="N212" s="33">
        <f>ROUND(MIN(MAX(0,N('Your debts'!$E$8)),D212),2)</f>
      </c>
      <c r="O212" s="33">
        <f>ROUND(MIN(MAX(0,N('Your debts'!$E$9)),E212),2)</f>
      </c>
      <c r="P212" s="33">
        <f>ROUND(MIN(MAX(0,N('Your debts'!$E$10)),F212),2)</f>
      </c>
      <c r="Q212" s="33">
        <f>ROUND(MIN(MAX(0,N('Your debts'!$E$11)),G212),2)</f>
      </c>
      <c r="R212" s="33">
        <f>ROUND(MIN(MAX(0,N('Your debts'!$E$12)),H212),2)</f>
      </c>
      <c r="S212" s="33">
        <f>ROUND(MIN(MAX(0,N('Your debts'!$E$13)),I212),2)</f>
      </c>
      <c r="T212" s="33">
        <f>ROUND(MIN(MAX(0,N('Your debts'!$E$14)),J212),2)</f>
      </c>
      <c r="U212" s="33">
        <f>ROUND(MIN(MAX(0,N('Your debts'!$E$15)),K212),2)</f>
      </c>
      <c r="V212" s="33">
        <f>ROUND(B212-L212,2)</f>
      </c>
      <c r="W212" s="33">
        <f>ROUND(C212-M212,2)</f>
      </c>
      <c r="X212" s="33">
        <f>ROUND(D212-N212,2)</f>
      </c>
      <c r="Y212" s="33">
        <f>ROUND(E212-O212,2)</f>
      </c>
      <c r="Z212" s="33">
        <f>ROUND(F212-P212,2)</f>
      </c>
      <c r="AA212" s="33">
        <f>ROUND(G212-Q212,2)</f>
      </c>
      <c r="AB212" s="33">
        <f>ROUND(H212-R212,2)</f>
      </c>
      <c r="AC212" s="33">
        <f>ROUND(I212-S212,2)</f>
      </c>
      <c r="AD212" s="33">
        <f>ROUND(J212-T212,2)</f>
      </c>
      <c r="AE212" s="33">
        <f>ROUND(K212-U212,2)</f>
      </c>
      <c r="AF212" s="33">
        <f>IF(V212&lt;=0,0,MAX(0,MIN(V212,ROUND($AZ212-SUMPRODUCT($V212:$AE212*($V212:$AE212&gt;0)*(($V$3:$AE$3&gt;V$3)+($V$3:$AE$3=V$3)*($V212:$AE212&lt;V212)+($V$3:$AE$3=V$3)*($V212:$AE212=V212)*($V$2:$AE$2&lt;V$2))),2))))</f>
      </c>
      <c r="AG212" s="33">
        <f>IF(W212&lt;=0,0,MAX(0,MIN(W212,ROUND($AZ212-SUMPRODUCT($V212:$AE212*($V212:$AE212&gt;0)*(($V$3:$AE$3&gt;W$3)+($V$3:$AE$3=W$3)*($V212:$AE212&lt;W212)+($V$3:$AE$3=W$3)*($V212:$AE212=W212)*($V$2:$AE$2&lt;W$2))),2))))</f>
      </c>
      <c r="AH212" s="33">
        <f>IF(X212&lt;=0,0,MAX(0,MIN(X212,ROUND($AZ212-SUMPRODUCT($V212:$AE212*($V212:$AE212&gt;0)*(($V$3:$AE$3&gt;X$3)+($V$3:$AE$3=X$3)*($V212:$AE212&lt;X212)+($V$3:$AE$3=X$3)*($V212:$AE212=X212)*($V$2:$AE$2&lt;X$2))),2))))</f>
      </c>
      <c r="AI212" s="33">
        <f>IF(Y212&lt;=0,0,MAX(0,MIN(Y212,ROUND($AZ212-SUMPRODUCT($V212:$AE212*($V212:$AE212&gt;0)*(($V$3:$AE$3&gt;Y$3)+($V$3:$AE$3=Y$3)*($V212:$AE212&lt;Y212)+($V$3:$AE$3=Y$3)*($V212:$AE212=Y212)*($V$2:$AE$2&lt;Y$2))),2))))</f>
      </c>
      <c r="AJ212" s="33">
        <f>IF(Z212&lt;=0,0,MAX(0,MIN(Z212,ROUND($AZ212-SUMPRODUCT($V212:$AE212*($V212:$AE212&gt;0)*(($V$3:$AE$3&gt;Z$3)+($V$3:$AE$3=Z$3)*($V212:$AE212&lt;Z212)+($V$3:$AE$3=Z$3)*($V212:$AE212=Z212)*($V$2:$AE$2&lt;Z$2))),2))))</f>
      </c>
      <c r="AK212" s="33">
        <f>IF(AA212&lt;=0,0,MAX(0,MIN(AA212,ROUND($AZ212-SUMPRODUCT($V212:$AE212*($V212:$AE212&gt;0)*(($V$3:$AE$3&gt;AA$3)+($V$3:$AE$3=AA$3)*($V212:$AE212&lt;AA212)+($V$3:$AE$3=AA$3)*($V212:$AE212=AA212)*($V$2:$AE$2&lt;AA$2))),2))))</f>
      </c>
      <c r="AL212" s="33">
        <f>IF(AB212&lt;=0,0,MAX(0,MIN(AB212,ROUND($AZ212-SUMPRODUCT($V212:$AE212*($V212:$AE212&gt;0)*(($V$3:$AE$3&gt;AB$3)+($V$3:$AE$3=AB$3)*($V212:$AE212&lt;AB212)+($V$3:$AE$3=AB$3)*($V212:$AE212=AB212)*($V$2:$AE$2&lt;AB$2))),2))))</f>
      </c>
      <c r="AM212" s="33">
        <f>IF(AC212&lt;=0,0,MAX(0,MIN(AC212,ROUND($AZ212-SUMPRODUCT($V212:$AE212*($V212:$AE212&gt;0)*(($V$3:$AE$3&gt;AC$3)+($V$3:$AE$3=AC$3)*($V212:$AE212&lt;AC212)+($V$3:$AE$3=AC$3)*($V212:$AE212=AC212)*($V$2:$AE$2&lt;AC$2))),2))))</f>
      </c>
      <c r="AN212" s="33">
        <f>IF(AD212&lt;=0,0,MAX(0,MIN(AD212,ROUND($AZ212-SUMPRODUCT($V212:$AE212*($V212:$AE212&gt;0)*(($V$3:$AE$3&gt;AD$3)+($V$3:$AE$3=AD$3)*($V212:$AE212&lt;AD212)+($V$3:$AE$3=AD$3)*($V212:$AE212=AD212)*($V$2:$AE$2&lt;AD$2))),2))))</f>
      </c>
      <c r="AO212" s="33">
        <f>IF(AE212&lt;=0,0,MAX(0,MIN(AE212,ROUND($AZ212-SUMPRODUCT($V212:$AE212*($V212:$AE212&gt;0)*(($V$3:$AE$3&gt;AE$3)+($V$3:$AE$3=AE$3)*($V212:$AE212&lt;AE212)+($V$3:$AE$3=AE$3)*($V212:$AE212=AE212)*($V$2:$AE$2&lt;AE$2))),2))))</f>
      </c>
      <c r="AP212" s="33">
        <f>ROUND(V212-AF212,2)</f>
      </c>
      <c r="AQ212" s="33">
        <f>ROUND(W212-AG212,2)</f>
      </c>
      <c r="AR212" s="33">
        <f>ROUND(X212-AH212,2)</f>
      </c>
      <c r="AS212" s="33">
        <f>ROUND(Y212-AI212,2)</f>
      </c>
      <c r="AT212" s="33">
        <f>ROUND(Z212-AJ212,2)</f>
      </c>
      <c r="AU212" s="33">
        <f>ROUND(AA212-AK212,2)</f>
      </c>
      <c r="AV212" s="33">
        <f>ROUND(AB212-AL212,2)</f>
      </c>
      <c r="AW212" s="33">
        <f>ROUND(AC212-AM212,2)</f>
      </c>
      <c r="AX212" s="33">
        <f>ROUND(AD212-AN212,2)</f>
      </c>
      <c r="AY212" s="33">
        <f>ROUND(AE212-AO212,2)</f>
      </c>
      <c r="AZ212" s="33">
        <f>ROUND(MAX(0,'Your debts'!$D$22-SUM($L212:$U212)),2)</f>
      </c>
      <c r="BA212" s="33">
        <f>ROUND(SUM($B212:$K212)-SUM($AP211:$AY211),2)</f>
      </c>
      <c r="BB212" s="33">
        <f>SUM($AP212:$AY212)</f>
      </c>
      <c r="BC212" s="33">
        <f>ROUND(SUM($L212:$U212)+SUM($AF212:$AO212),2)</f>
      </c>
    </row>
    <row r="213" spans="1:55" x14ac:dyDescent="0.25">
      <c r="A213">
        <v>206</v>
      </c>
      <c r="B213" s="33">
        <f>IF(AP212&lt;=0,0,ROUND(AP212+ROUND(AP212*V$3/12,2),2))</f>
      </c>
      <c r="C213" s="33">
        <f>IF(AQ212&lt;=0,0,ROUND(AQ212+ROUND(AQ212*W$3/12,2),2))</f>
      </c>
      <c r="D213" s="33">
        <f>IF(AR212&lt;=0,0,ROUND(AR212+ROUND(AR212*X$3/12,2),2))</f>
      </c>
      <c r="E213" s="33">
        <f>IF(AS212&lt;=0,0,ROUND(AS212+ROUND(AS212*Y$3/12,2),2))</f>
      </c>
      <c r="F213" s="33">
        <f>IF(AT212&lt;=0,0,ROUND(AT212+ROUND(AT212*Z$3/12,2),2))</f>
      </c>
      <c r="G213" s="33">
        <f>IF(AU212&lt;=0,0,ROUND(AU212+ROUND(AU212*AA$3/12,2),2))</f>
      </c>
      <c r="H213" s="33">
        <f>IF(AV212&lt;=0,0,ROUND(AV212+ROUND(AV212*AB$3/12,2),2))</f>
      </c>
      <c r="I213" s="33">
        <f>IF(AW212&lt;=0,0,ROUND(AW212+ROUND(AW212*AC$3/12,2),2))</f>
      </c>
      <c r="J213" s="33">
        <f>IF(AX212&lt;=0,0,ROUND(AX212+ROUND(AX212*AD$3/12,2),2))</f>
      </c>
      <c r="K213" s="33">
        <f>IF(AY212&lt;=0,0,ROUND(AY212+ROUND(AY212*AE$3/12,2),2))</f>
      </c>
      <c r="L213" s="33">
        <f>ROUND(MIN(MAX(0,N('Your debts'!$E$6)),B213),2)</f>
      </c>
      <c r="M213" s="33">
        <f>ROUND(MIN(MAX(0,N('Your debts'!$E$7)),C213),2)</f>
      </c>
      <c r="N213" s="33">
        <f>ROUND(MIN(MAX(0,N('Your debts'!$E$8)),D213),2)</f>
      </c>
      <c r="O213" s="33">
        <f>ROUND(MIN(MAX(0,N('Your debts'!$E$9)),E213),2)</f>
      </c>
      <c r="P213" s="33">
        <f>ROUND(MIN(MAX(0,N('Your debts'!$E$10)),F213),2)</f>
      </c>
      <c r="Q213" s="33">
        <f>ROUND(MIN(MAX(0,N('Your debts'!$E$11)),G213),2)</f>
      </c>
      <c r="R213" s="33">
        <f>ROUND(MIN(MAX(0,N('Your debts'!$E$12)),H213),2)</f>
      </c>
      <c r="S213" s="33">
        <f>ROUND(MIN(MAX(0,N('Your debts'!$E$13)),I213),2)</f>
      </c>
      <c r="T213" s="33">
        <f>ROUND(MIN(MAX(0,N('Your debts'!$E$14)),J213),2)</f>
      </c>
      <c r="U213" s="33">
        <f>ROUND(MIN(MAX(0,N('Your debts'!$E$15)),K213),2)</f>
      </c>
      <c r="V213" s="33">
        <f>ROUND(B213-L213,2)</f>
      </c>
      <c r="W213" s="33">
        <f>ROUND(C213-M213,2)</f>
      </c>
      <c r="X213" s="33">
        <f>ROUND(D213-N213,2)</f>
      </c>
      <c r="Y213" s="33">
        <f>ROUND(E213-O213,2)</f>
      </c>
      <c r="Z213" s="33">
        <f>ROUND(F213-P213,2)</f>
      </c>
      <c r="AA213" s="33">
        <f>ROUND(G213-Q213,2)</f>
      </c>
      <c r="AB213" s="33">
        <f>ROUND(H213-R213,2)</f>
      </c>
      <c r="AC213" s="33">
        <f>ROUND(I213-S213,2)</f>
      </c>
      <c r="AD213" s="33">
        <f>ROUND(J213-T213,2)</f>
      </c>
      <c r="AE213" s="33">
        <f>ROUND(K213-U213,2)</f>
      </c>
      <c r="AF213" s="33">
        <f>IF(V213&lt;=0,0,MAX(0,MIN(V213,ROUND($AZ213-SUMPRODUCT($V213:$AE213*($V213:$AE213&gt;0)*(($V$3:$AE$3&gt;V$3)+($V$3:$AE$3=V$3)*($V213:$AE213&lt;V213)+($V$3:$AE$3=V$3)*($V213:$AE213=V213)*($V$2:$AE$2&lt;V$2))),2))))</f>
      </c>
      <c r="AG213" s="33">
        <f>IF(W213&lt;=0,0,MAX(0,MIN(W213,ROUND($AZ213-SUMPRODUCT($V213:$AE213*($V213:$AE213&gt;0)*(($V$3:$AE$3&gt;W$3)+($V$3:$AE$3=W$3)*($V213:$AE213&lt;W213)+($V$3:$AE$3=W$3)*($V213:$AE213=W213)*($V$2:$AE$2&lt;W$2))),2))))</f>
      </c>
      <c r="AH213" s="33">
        <f>IF(X213&lt;=0,0,MAX(0,MIN(X213,ROUND($AZ213-SUMPRODUCT($V213:$AE213*($V213:$AE213&gt;0)*(($V$3:$AE$3&gt;X$3)+($V$3:$AE$3=X$3)*($V213:$AE213&lt;X213)+($V$3:$AE$3=X$3)*($V213:$AE213=X213)*($V$2:$AE$2&lt;X$2))),2))))</f>
      </c>
      <c r="AI213" s="33">
        <f>IF(Y213&lt;=0,0,MAX(0,MIN(Y213,ROUND($AZ213-SUMPRODUCT($V213:$AE213*($V213:$AE213&gt;0)*(($V$3:$AE$3&gt;Y$3)+($V$3:$AE$3=Y$3)*($V213:$AE213&lt;Y213)+($V$3:$AE$3=Y$3)*($V213:$AE213=Y213)*($V$2:$AE$2&lt;Y$2))),2))))</f>
      </c>
      <c r="AJ213" s="33">
        <f>IF(Z213&lt;=0,0,MAX(0,MIN(Z213,ROUND($AZ213-SUMPRODUCT($V213:$AE213*($V213:$AE213&gt;0)*(($V$3:$AE$3&gt;Z$3)+($V$3:$AE$3=Z$3)*($V213:$AE213&lt;Z213)+($V$3:$AE$3=Z$3)*($V213:$AE213=Z213)*($V$2:$AE$2&lt;Z$2))),2))))</f>
      </c>
      <c r="AK213" s="33">
        <f>IF(AA213&lt;=0,0,MAX(0,MIN(AA213,ROUND($AZ213-SUMPRODUCT($V213:$AE213*($V213:$AE213&gt;0)*(($V$3:$AE$3&gt;AA$3)+($V$3:$AE$3=AA$3)*($V213:$AE213&lt;AA213)+($V$3:$AE$3=AA$3)*($V213:$AE213=AA213)*($V$2:$AE$2&lt;AA$2))),2))))</f>
      </c>
      <c r="AL213" s="33">
        <f>IF(AB213&lt;=0,0,MAX(0,MIN(AB213,ROUND($AZ213-SUMPRODUCT($V213:$AE213*($V213:$AE213&gt;0)*(($V$3:$AE$3&gt;AB$3)+($V$3:$AE$3=AB$3)*($V213:$AE213&lt;AB213)+($V$3:$AE$3=AB$3)*($V213:$AE213=AB213)*($V$2:$AE$2&lt;AB$2))),2))))</f>
      </c>
      <c r="AM213" s="33">
        <f>IF(AC213&lt;=0,0,MAX(0,MIN(AC213,ROUND($AZ213-SUMPRODUCT($V213:$AE213*($V213:$AE213&gt;0)*(($V$3:$AE$3&gt;AC$3)+($V$3:$AE$3=AC$3)*($V213:$AE213&lt;AC213)+($V$3:$AE$3=AC$3)*($V213:$AE213=AC213)*($V$2:$AE$2&lt;AC$2))),2))))</f>
      </c>
      <c r="AN213" s="33">
        <f>IF(AD213&lt;=0,0,MAX(0,MIN(AD213,ROUND($AZ213-SUMPRODUCT($V213:$AE213*($V213:$AE213&gt;0)*(($V$3:$AE$3&gt;AD$3)+($V$3:$AE$3=AD$3)*($V213:$AE213&lt;AD213)+($V$3:$AE$3=AD$3)*($V213:$AE213=AD213)*($V$2:$AE$2&lt;AD$2))),2))))</f>
      </c>
      <c r="AO213" s="33">
        <f>IF(AE213&lt;=0,0,MAX(0,MIN(AE213,ROUND($AZ213-SUMPRODUCT($V213:$AE213*($V213:$AE213&gt;0)*(($V$3:$AE$3&gt;AE$3)+($V$3:$AE$3=AE$3)*($V213:$AE213&lt;AE213)+($V$3:$AE$3=AE$3)*($V213:$AE213=AE213)*($V$2:$AE$2&lt;AE$2))),2))))</f>
      </c>
      <c r="AP213" s="33">
        <f>ROUND(V213-AF213,2)</f>
      </c>
      <c r="AQ213" s="33">
        <f>ROUND(W213-AG213,2)</f>
      </c>
      <c r="AR213" s="33">
        <f>ROUND(X213-AH213,2)</f>
      </c>
      <c r="AS213" s="33">
        <f>ROUND(Y213-AI213,2)</f>
      </c>
      <c r="AT213" s="33">
        <f>ROUND(Z213-AJ213,2)</f>
      </c>
      <c r="AU213" s="33">
        <f>ROUND(AA213-AK213,2)</f>
      </c>
      <c r="AV213" s="33">
        <f>ROUND(AB213-AL213,2)</f>
      </c>
      <c r="AW213" s="33">
        <f>ROUND(AC213-AM213,2)</f>
      </c>
      <c r="AX213" s="33">
        <f>ROUND(AD213-AN213,2)</f>
      </c>
      <c r="AY213" s="33">
        <f>ROUND(AE213-AO213,2)</f>
      </c>
      <c r="AZ213" s="33">
        <f>ROUND(MAX(0,'Your debts'!$D$22-SUM($L213:$U213)),2)</f>
      </c>
      <c r="BA213" s="33">
        <f>ROUND(SUM($B213:$K213)-SUM($AP212:$AY212),2)</f>
      </c>
      <c r="BB213" s="33">
        <f>SUM($AP213:$AY213)</f>
      </c>
      <c r="BC213" s="33">
        <f>ROUND(SUM($L213:$U213)+SUM($AF213:$AO213),2)</f>
      </c>
    </row>
    <row r="214" spans="1:55" x14ac:dyDescent="0.25">
      <c r="A214">
        <v>207</v>
      </c>
      <c r="B214" s="33">
        <f>IF(AP213&lt;=0,0,ROUND(AP213+ROUND(AP213*V$3/12,2),2))</f>
      </c>
      <c r="C214" s="33">
        <f>IF(AQ213&lt;=0,0,ROUND(AQ213+ROUND(AQ213*W$3/12,2),2))</f>
      </c>
      <c r="D214" s="33">
        <f>IF(AR213&lt;=0,0,ROUND(AR213+ROUND(AR213*X$3/12,2),2))</f>
      </c>
      <c r="E214" s="33">
        <f>IF(AS213&lt;=0,0,ROUND(AS213+ROUND(AS213*Y$3/12,2),2))</f>
      </c>
      <c r="F214" s="33">
        <f>IF(AT213&lt;=0,0,ROUND(AT213+ROUND(AT213*Z$3/12,2),2))</f>
      </c>
      <c r="G214" s="33">
        <f>IF(AU213&lt;=0,0,ROUND(AU213+ROUND(AU213*AA$3/12,2),2))</f>
      </c>
      <c r="H214" s="33">
        <f>IF(AV213&lt;=0,0,ROUND(AV213+ROUND(AV213*AB$3/12,2),2))</f>
      </c>
      <c r="I214" s="33">
        <f>IF(AW213&lt;=0,0,ROUND(AW213+ROUND(AW213*AC$3/12,2),2))</f>
      </c>
      <c r="J214" s="33">
        <f>IF(AX213&lt;=0,0,ROUND(AX213+ROUND(AX213*AD$3/12,2),2))</f>
      </c>
      <c r="K214" s="33">
        <f>IF(AY213&lt;=0,0,ROUND(AY213+ROUND(AY213*AE$3/12,2),2))</f>
      </c>
      <c r="L214" s="33">
        <f>ROUND(MIN(MAX(0,N('Your debts'!$E$6)),B214),2)</f>
      </c>
      <c r="M214" s="33">
        <f>ROUND(MIN(MAX(0,N('Your debts'!$E$7)),C214),2)</f>
      </c>
      <c r="N214" s="33">
        <f>ROUND(MIN(MAX(0,N('Your debts'!$E$8)),D214),2)</f>
      </c>
      <c r="O214" s="33">
        <f>ROUND(MIN(MAX(0,N('Your debts'!$E$9)),E214),2)</f>
      </c>
      <c r="P214" s="33">
        <f>ROUND(MIN(MAX(0,N('Your debts'!$E$10)),F214),2)</f>
      </c>
      <c r="Q214" s="33">
        <f>ROUND(MIN(MAX(0,N('Your debts'!$E$11)),G214),2)</f>
      </c>
      <c r="R214" s="33">
        <f>ROUND(MIN(MAX(0,N('Your debts'!$E$12)),H214),2)</f>
      </c>
      <c r="S214" s="33">
        <f>ROUND(MIN(MAX(0,N('Your debts'!$E$13)),I214),2)</f>
      </c>
      <c r="T214" s="33">
        <f>ROUND(MIN(MAX(0,N('Your debts'!$E$14)),J214),2)</f>
      </c>
      <c r="U214" s="33">
        <f>ROUND(MIN(MAX(0,N('Your debts'!$E$15)),K214),2)</f>
      </c>
      <c r="V214" s="33">
        <f>ROUND(B214-L214,2)</f>
      </c>
      <c r="W214" s="33">
        <f>ROUND(C214-M214,2)</f>
      </c>
      <c r="X214" s="33">
        <f>ROUND(D214-N214,2)</f>
      </c>
      <c r="Y214" s="33">
        <f>ROUND(E214-O214,2)</f>
      </c>
      <c r="Z214" s="33">
        <f>ROUND(F214-P214,2)</f>
      </c>
      <c r="AA214" s="33">
        <f>ROUND(G214-Q214,2)</f>
      </c>
      <c r="AB214" s="33">
        <f>ROUND(H214-R214,2)</f>
      </c>
      <c r="AC214" s="33">
        <f>ROUND(I214-S214,2)</f>
      </c>
      <c r="AD214" s="33">
        <f>ROUND(J214-T214,2)</f>
      </c>
      <c r="AE214" s="33">
        <f>ROUND(K214-U214,2)</f>
      </c>
      <c r="AF214" s="33">
        <f>IF(V214&lt;=0,0,MAX(0,MIN(V214,ROUND($AZ214-SUMPRODUCT($V214:$AE214*($V214:$AE214&gt;0)*(($V$3:$AE$3&gt;V$3)+($V$3:$AE$3=V$3)*($V214:$AE214&lt;V214)+($V$3:$AE$3=V$3)*($V214:$AE214=V214)*($V$2:$AE$2&lt;V$2))),2))))</f>
      </c>
      <c r="AG214" s="33">
        <f>IF(W214&lt;=0,0,MAX(0,MIN(W214,ROUND($AZ214-SUMPRODUCT($V214:$AE214*($V214:$AE214&gt;0)*(($V$3:$AE$3&gt;W$3)+($V$3:$AE$3=W$3)*($V214:$AE214&lt;W214)+($V$3:$AE$3=W$3)*($V214:$AE214=W214)*($V$2:$AE$2&lt;W$2))),2))))</f>
      </c>
      <c r="AH214" s="33">
        <f>IF(X214&lt;=0,0,MAX(0,MIN(X214,ROUND($AZ214-SUMPRODUCT($V214:$AE214*($V214:$AE214&gt;0)*(($V$3:$AE$3&gt;X$3)+($V$3:$AE$3=X$3)*($V214:$AE214&lt;X214)+($V$3:$AE$3=X$3)*($V214:$AE214=X214)*($V$2:$AE$2&lt;X$2))),2))))</f>
      </c>
      <c r="AI214" s="33">
        <f>IF(Y214&lt;=0,0,MAX(0,MIN(Y214,ROUND($AZ214-SUMPRODUCT($V214:$AE214*($V214:$AE214&gt;0)*(($V$3:$AE$3&gt;Y$3)+($V$3:$AE$3=Y$3)*($V214:$AE214&lt;Y214)+($V$3:$AE$3=Y$3)*($V214:$AE214=Y214)*($V$2:$AE$2&lt;Y$2))),2))))</f>
      </c>
      <c r="AJ214" s="33">
        <f>IF(Z214&lt;=0,0,MAX(0,MIN(Z214,ROUND($AZ214-SUMPRODUCT($V214:$AE214*($V214:$AE214&gt;0)*(($V$3:$AE$3&gt;Z$3)+($V$3:$AE$3=Z$3)*($V214:$AE214&lt;Z214)+($V$3:$AE$3=Z$3)*($V214:$AE214=Z214)*($V$2:$AE$2&lt;Z$2))),2))))</f>
      </c>
      <c r="AK214" s="33">
        <f>IF(AA214&lt;=0,0,MAX(0,MIN(AA214,ROUND($AZ214-SUMPRODUCT($V214:$AE214*($V214:$AE214&gt;0)*(($V$3:$AE$3&gt;AA$3)+($V$3:$AE$3=AA$3)*($V214:$AE214&lt;AA214)+($V$3:$AE$3=AA$3)*($V214:$AE214=AA214)*($V$2:$AE$2&lt;AA$2))),2))))</f>
      </c>
      <c r="AL214" s="33">
        <f>IF(AB214&lt;=0,0,MAX(0,MIN(AB214,ROUND($AZ214-SUMPRODUCT($V214:$AE214*($V214:$AE214&gt;0)*(($V$3:$AE$3&gt;AB$3)+($V$3:$AE$3=AB$3)*($V214:$AE214&lt;AB214)+($V$3:$AE$3=AB$3)*($V214:$AE214=AB214)*($V$2:$AE$2&lt;AB$2))),2))))</f>
      </c>
      <c r="AM214" s="33">
        <f>IF(AC214&lt;=0,0,MAX(0,MIN(AC214,ROUND($AZ214-SUMPRODUCT($V214:$AE214*($V214:$AE214&gt;0)*(($V$3:$AE$3&gt;AC$3)+($V$3:$AE$3=AC$3)*($V214:$AE214&lt;AC214)+($V$3:$AE$3=AC$3)*($V214:$AE214=AC214)*($V$2:$AE$2&lt;AC$2))),2))))</f>
      </c>
      <c r="AN214" s="33">
        <f>IF(AD214&lt;=0,0,MAX(0,MIN(AD214,ROUND($AZ214-SUMPRODUCT($V214:$AE214*($V214:$AE214&gt;0)*(($V$3:$AE$3&gt;AD$3)+($V$3:$AE$3=AD$3)*($V214:$AE214&lt;AD214)+($V$3:$AE$3=AD$3)*($V214:$AE214=AD214)*($V$2:$AE$2&lt;AD$2))),2))))</f>
      </c>
      <c r="AO214" s="33">
        <f>IF(AE214&lt;=0,0,MAX(0,MIN(AE214,ROUND($AZ214-SUMPRODUCT($V214:$AE214*($V214:$AE214&gt;0)*(($V$3:$AE$3&gt;AE$3)+($V$3:$AE$3=AE$3)*($V214:$AE214&lt;AE214)+($V$3:$AE$3=AE$3)*($V214:$AE214=AE214)*($V$2:$AE$2&lt;AE$2))),2))))</f>
      </c>
      <c r="AP214" s="33">
        <f>ROUND(V214-AF214,2)</f>
      </c>
      <c r="AQ214" s="33">
        <f>ROUND(W214-AG214,2)</f>
      </c>
      <c r="AR214" s="33">
        <f>ROUND(X214-AH214,2)</f>
      </c>
      <c r="AS214" s="33">
        <f>ROUND(Y214-AI214,2)</f>
      </c>
      <c r="AT214" s="33">
        <f>ROUND(Z214-AJ214,2)</f>
      </c>
      <c r="AU214" s="33">
        <f>ROUND(AA214-AK214,2)</f>
      </c>
      <c r="AV214" s="33">
        <f>ROUND(AB214-AL214,2)</f>
      </c>
      <c r="AW214" s="33">
        <f>ROUND(AC214-AM214,2)</f>
      </c>
      <c r="AX214" s="33">
        <f>ROUND(AD214-AN214,2)</f>
      </c>
      <c r="AY214" s="33">
        <f>ROUND(AE214-AO214,2)</f>
      </c>
      <c r="AZ214" s="33">
        <f>ROUND(MAX(0,'Your debts'!$D$22-SUM($L214:$U214)),2)</f>
      </c>
      <c r="BA214" s="33">
        <f>ROUND(SUM($B214:$K214)-SUM($AP213:$AY213),2)</f>
      </c>
      <c r="BB214" s="33">
        <f>SUM($AP214:$AY214)</f>
      </c>
      <c r="BC214" s="33">
        <f>ROUND(SUM($L214:$U214)+SUM($AF214:$AO214),2)</f>
      </c>
    </row>
    <row r="215" spans="1:55" x14ac:dyDescent="0.25">
      <c r="A215">
        <v>208</v>
      </c>
      <c r="B215" s="33">
        <f>IF(AP214&lt;=0,0,ROUND(AP214+ROUND(AP214*V$3/12,2),2))</f>
      </c>
      <c r="C215" s="33">
        <f>IF(AQ214&lt;=0,0,ROUND(AQ214+ROUND(AQ214*W$3/12,2),2))</f>
      </c>
      <c r="D215" s="33">
        <f>IF(AR214&lt;=0,0,ROUND(AR214+ROUND(AR214*X$3/12,2),2))</f>
      </c>
      <c r="E215" s="33">
        <f>IF(AS214&lt;=0,0,ROUND(AS214+ROUND(AS214*Y$3/12,2),2))</f>
      </c>
      <c r="F215" s="33">
        <f>IF(AT214&lt;=0,0,ROUND(AT214+ROUND(AT214*Z$3/12,2),2))</f>
      </c>
      <c r="G215" s="33">
        <f>IF(AU214&lt;=0,0,ROUND(AU214+ROUND(AU214*AA$3/12,2),2))</f>
      </c>
      <c r="H215" s="33">
        <f>IF(AV214&lt;=0,0,ROUND(AV214+ROUND(AV214*AB$3/12,2),2))</f>
      </c>
      <c r="I215" s="33">
        <f>IF(AW214&lt;=0,0,ROUND(AW214+ROUND(AW214*AC$3/12,2),2))</f>
      </c>
      <c r="J215" s="33">
        <f>IF(AX214&lt;=0,0,ROUND(AX214+ROUND(AX214*AD$3/12,2),2))</f>
      </c>
      <c r="K215" s="33">
        <f>IF(AY214&lt;=0,0,ROUND(AY214+ROUND(AY214*AE$3/12,2),2))</f>
      </c>
      <c r="L215" s="33">
        <f>ROUND(MIN(MAX(0,N('Your debts'!$E$6)),B215),2)</f>
      </c>
      <c r="M215" s="33">
        <f>ROUND(MIN(MAX(0,N('Your debts'!$E$7)),C215),2)</f>
      </c>
      <c r="N215" s="33">
        <f>ROUND(MIN(MAX(0,N('Your debts'!$E$8)),D215),2)</f>
      </c>
      <c r="O215" s="33">
        <f>ROUND(MIN(MAX(0,N('Your debts'!$E$9)),E215),2)</f>
      </c>
      <c r="P215" s="33">
        <f>ROUND(MIN(MAX(0,N('Your debts'!$E$10)),F215),2)</f>
      </c>
      <c r="Q215" s="33">
        <f>ROUND(MIN(MAX(0,N('Your debts'!$E$11)),G215),2)</f>
      </c>
      <c r="R215" s="33">
        <f>ROUND(MIN(MAX(0,N('Your debts'!$E$12)),H215),2)</f>
      </c>
      <c r="S215" s="33">
        <f>ROUND(MIN(MAX(0,N('Your debts'!$E$13)),I215),2)</f>
      </c>
      <c r="T215" s="33">
        <f>ROUND(MIN(MAX(0,N('Your debts'!$E$14)),J215),2)</f>
      </c>
      <c r="U215" s="33">
        <f>ROUND(MIN(MAX(0,N('Your debts'!$E$15)),K215),2)</f>
      </c>
      <c r="V215" s="33">
        <f>ROUND(B215-L215,2)</f>
      </c>
      <c r="W215" s="33">
        <f>ROUND(C215-M215,2)</f>
      </c>
      <c r="X215" s="33">
        <f>ROUND(D215-N215,2)</f>
      </c>
      <c r="Y215" s="33">
        <f>ROUND(E215-O215,2)</f>
      </c>
      <c r="Z215" s="33">
        <f>ROUND(F215-P215,2)</f>
      </c>
      <c r="AA215" s="33">
        <f>ROUND(G215-Q215,2)</f>
      </c>
      <c r="AB215" s="33">
        <f>ROUND(H215-R215,2)</f>
      </c>
      <c r="AC215" s="33">
        <f>ROUND(I215-S215,2)</f>
      </c>
      <c r="AD215" s="33">
        <f>ROUND(J215-T215,2)</f>
      </c>
      <c r="AE215" s="33">
        <f>ROUND(K215-U215,2)</f>
      </c>
      <c r="AF215" s="33">
        <f>IF(V215&lt;=0,0,MAX(0,MIN(V215,ROUND($AZ215-SUMPRODUCT($V215:$AE215*($V215:$AE215&gt;0)*(($V$3:$AE$3&gt;V$3)+($V$3:$AE$3=V$3)*($V215:$AE215&lt;V215)+($V$3:$AE$3=V$3)*($V215:$AE215=V215)*($V$2:$AE$2&lt;V$2))),2))))</f>
      </c>
      <c r="AG215" s="33">
        <f>IF(W215&lt;=0,0,MAX(0,MIN(W215,ROUND($AZ215-SUMPRODUCT($V215:$AE215*($V215:$AE215&gt;0)*(($V$3:$AE$3&gt;W$3)+($V$3:$AE$3=W$3)*($V215:$AE215&lt;W215)+($V$3:$AE$3=W$3)*($V215:$AE215=W215)*($V$2:$AE$2&lt;W$2))),2))))</f>
      </c>
      <c r="AH215" s="33">
        <f>IF(X215&lt;=0,0,MAX(0,MIN(X215,ROUND($AZ215-SUMPRODUCT($V215:$AE215*($V215:$AE215&gt;0)*(($V$3:$AE$3&gt;X$3)+($V$3:$AE$3=X$3)*($V215:$AE215&lt;X215)+($V$3:$AE$3=X$3)*($V215:$AE215=X215)*($V$2:$AE$2&lt;X$2))),2))))</f>
      </c>
      <c r="AI215" s="33">
        <f>IF(Y215&lt;=0,0,MAX(0,MIN(Y215,ROUND($AZ215-SUMPRODUCT($V215:$AE215*($V215:$AE215&gt;0)*(($V$3:$AE$3&gt;Y$3)+($V$3:$AE$3=Y$3)*($V215:$AE215&lt;Y215)+($V$3:$AE$3=Y$3)*($V215:$AE215=Y215)*($V$2:$AE$2&lt;Y$2))),2))))</f>
      </c>
      <c r="AJ215" s="33">
        <f>IF(Z215&lt;=0,0,MAX(0,MIN(Z215,ROUND($AZ215-SUMPRODUCT($V215:$AE215*($V215:$AE215&gt;0)*(($V$3:$AE$3&gt;Z$3)+($V$3:$AE$3=Z$3)*($V215:$AE215&lt;Z215)+($V$3:$AE$3=Z$3)*($V215:$AE215=Z215)*($V$2:$AE$2&lt;Z$2))),2))))</f>
      </c>
      <c r="AK215" s="33">
        <f>IF(AA215&lt;=0,0,MAX(0,MIN(AA215,ROUND($AZ215-SUMPRODUCT($V215:$AE215*($V215:$AE215&gt;0)*(($V$3:$AE$3&gt;AA$3)+($V$3:$AE$3=AA$3)*($V215:$AE215&lt;AA215)+($V$3:$AE$3=AA$3)*($V215:$AE215=AA215)*($V$2:$AE$2&lt;AA$2))),2))))</f>
      </c>
      <c r="AL215" s="33">
        <f>IF(AB215&lt;=0,0,MAX(0,MIN(AB215,ROUND($AZ215-SUMPRODUCT($V215:$AE215*($V215:$AE215&gt;0)*(($V$3:$AE$3&gt;AB$3)+($V$3:$AE$3=AB$3)*($V215:$AE215&lt;AB215)+($V$3:$AE$3=AB$3)*($V215:$AE215=AB215)*($V$2:$AE$2&lt;AB$2))),2))))</f>
      </c>
      <c r="AM215" s="33">
        <f>IF(AC215&lt;=0,0,MAX(0,MIN(AC215,ROUND($AZ215-SUMPRODUCT($V215:$AE215*($V215:$AE215&gt;0)*(($V$3:$AE$3&gt;AC$3)+($V$3:$AE$3=AC$3)*($V215:$AE215&lt;AC215)+($V$3:$AE$3=AC$3)*($V215:$AE215=AC215)*($V$2:$AE$2&lt;AC$2))),2))))</f>
      </c>
      <c r="AN215" s="33">
        <f>IF(AD215&lt;=0,0,MAX(0,MIN(AD215,ROUND($AZ215-SUMPRODUCT($V215:$AE215*($V215:$AE215&gt;0)*(($V$3:$AE$3&gt;AD$3)+($V$3:$AE$3=AD$3)*($V215:$AE215&lt;AD215)+($V$3:$AE$3=AD$3)*($V215:$AE215=AD215)*($V$2:$AE$2&lt;AD$2))),2))))</f>
      </c>
      <c r="AO215" s="33">
        <f>IF(AE215&lt;=0,0,MAX(0,MIN(AE215,ROUND($AZ215-SUMPRODUCT($V215:$AE215*($V215:$AE215&gt;0)*(($V$3:$AE$3&gt;AE$3)+($V$3:$AE$3=AE$3)*($V215:$AE215&lt;AE215)+($V$3:$AE$3=AE$3)*($V215:$AE215=AE215)*($V$2:$AE$2&lt;AE$2))),2))))</f>
      </c>
      <c r="AP215" s="33">
        <f>ROUND(V215-AF215,2)</f>
      </c>
      <c r="AQ215" s="33">
        <f>ROUND(W215-AG215,2)</f>
      </c>
      <c r="AR215" s="33">
        <f>ROUND(X215-AH215,2)</f>
      </c>
      <c r="AS215" s="33">
        <f>ROUND(Y215-AI215,2)</f>
      </c>
      <c r="AT215" s="33">
        <f>ROUND(Z215-AJ215,2)</f>
      </c>
      <c r="AU215" s="33">
        <f>ROUND(AA215-AK215,2)</f>
      </c>
      <c r="AV215" s="33">
        <f>ROUND(AB215-AL215,2)</f>
      </c>
      <c r="AW215" s="33">
        <f>ROUND(AC215-AM215,2)</f>
      </c>
      <c r="AX215" s="33">
        <f>ROUND(AD215-AN215,2)</f>
      </c>
      <c r="AY215" s="33">
        <f>ROUND(AE215-AO215,2)</f>
      </c>
      <c r="AZ215" s="33">
        <f>ROUND(MAX(0,'Your debts'!$D$22-SUM($L215:$U215)),2)</f>
      </c>
      <c r="BA215" s="33">
        <f>ROUND(SUM($B215:$K215)-SUM($AP214:$AY214),2)</f>
      </c>
      <c r="BB215" s="33">
        <f>SUM($AP215:$AY215)</f>
      </c>
      <c r="BC215" s="33">
        <f>ROUND(SUM($L215:$U215)+SUM($AF215:$AO215),2)</f>
      </c>
    </row>
    <row r="216" spans="1:55" x14ac:dyDescent="0.25">
      <c r="A216">
        <v>209</v>
      </c>
      <c r="B216" s="33">
        <f>IF(AP215&lt;=0,0,ROUND(AP215+ROUND(AP215*V$3/12,2),2))</f>
      </c>
      <c r="C216" s="33">
        <f>IF(AQ215&lt;=0,0,ROUND(AQ215+ROUND(AQ215*W$3/12,2),2))</f>
      </c>
      <c r="D216" s="33">
        <f>IF(AR215&lt;=0,0,ROUND(AR215+ROUND(AR215*X$3/12,2),2))</f>
      </c>
      <c r="E216" s="33">
        <f>IF(AS215&lt;=0,0,ROUND(AS215+ROUND(AS215*Y$3/12,2),2))</f>
      </c>
      <c r="F216" s="33">
        <f>IF(AT215&lt;=0,0,ROUND(AT215+ROUND(AT215*Z$3/12,2),2))</f>
      </c>
      <c r="G216" s="33">
        <f>IF(AU215&lt;=0,0,ROUND(AU215+ROUND(AU215*AA$3/12,2),2))</f>
      </c>
      <c r="H216" s="33">
        <f>IF(AV215&lt;=0,0,ROUND(AV215+ROUND(AV215*AB$3/12,2),2))</f>
      </c>
      <c r="I216" s="33">
        <f>IF(AW215&lt;=0,0,ROUND(AW215+ROUND(AW215*AC$3/12,2),2))</f>
      </c>
      <c r="J216" s="33">
        <f>IF(AX215&lt;=0,0,ROUND(AX215+ROUND(AX215*AD$3/12,2),2))</f>
      </c>
      <c r="K216" s="33">
        <f>IF(AY215&lt;=0,0,ROUND(AY215+ROUND(AY215*AE$3/12,2),2))</f>
      </c>
      <c r="L216" s="33">
        <f>ROUND(MIN(MAX(0,N('Your debts'!$E$6)),B216),2)</f>
      </c>
      <c r="M216" s="33">
        <f>ROUND(MIN(MAX(0,N('Your debts'!$E$7)),C216),2)</f>
      </c>
      <c r="N216" s="33">
        <f>ROUND(MIN(MAX(0,N('Your debts'!$E$8)),D216),2)</f>
      </c>
      <c r="O216" s="33">
        <f>ROUND(MIN(MAX(0,N('Your debts'!$E$9)),E216),2)</f>
      </c>
      <c r="P216" s="33">
        <f>ROUND(MIN(MAX(0,N('Your debts'!$E$10)),F216),2)</f>
      </c>
      <c r="Q216" s="33">
        <f>ROUND(MIN(MAX(0,N('Your debts'!$E$11)),G216),2)</f>
      </c>
      <c r="R216" s="33">
        <f>ROUND(MIN(MAX(0,N('Your debts'!$E$12)),H216),2)</f>
      </c>
      <c r="S216" s="33">
        <f>ROUND(MIN(MAX(0,N('Your debts'!$E$13)),I216),2)</f>
      </c>
      <c r="T216" s="33">
        <f>ROUND(MIN(MAX(0,N('Your debts'!$E$14)),J216),2)</f>
      </c>
      <c r="U216" s="33">
        <f>ROUND(MIN(MAX(0,N('Your debts'!$E$15)),K216),2)</f>
      </c>
      <c r="V216" s="33">
        <f>ROUND(B216-L216,2)</f>
      </c>
      <c r="W216" s="33">
        <f>ROUND(C216-M216,2)</f>
      </c>
      <c r="X216" s="33">
        <f>ROUND(D216-N216,2)</f>
      </c>
      <c r="Y216" s="33">
        <f>ROUND(E216-O216,2)</f>
      </c>
      <c r="Z216" s="33">
        <f>ROUND(F216-P216,2)</f>
      </c>
      <c r="AA216" s="33">
        <f>ROUND(G216-Q216,2)</f>
      </c>
      <c r="AB216" s="33">
        <f>ROUND(H216-R216,2)</f>
      </c>
      <c r="AC216" s="33">
        <f>ROUND(I216-S216,2)</f>
      </c>
      <c r="AD216" s="33">
        <f>ROUND(J216-T216,2)</f>
      </c>
      <c r="AE216" s="33">
        <f>ROUND(K216-U216,2)</f>
      </c>
      <c r="AF216" s="33">
        <f>IF(V216&lt;=0,0,MAX(0,MIN(V216,ROUND($AZ216-SUMPRODUCT($V216:$AE216*($V216:$AE216&gt;0)*(($V$3:$AE$3&gt;V$3)+($V$3:$AE$3=V$3)*($V216:$AE216&lt;V216)+($V$3:$AE$3=V$3)*($V216:$AE216=V216)*($V$2:$AE$2&lt;V$2))),2))))</f>
      </c>
      <c r="AG216" s="33">
        <f>IF(W216&lt;=0,0,MAX(0,MIN(W216,ROUND($AZ216-SUMPRODUCT($V216:$AE216*($V216:$AE216&gt;0)*(($V$3:$AE$3&gt;W$3)+($V$3:$AE$3=W$3)*($V216:$AE216&lt;W216)+($V$3:$AE$3=W$3)*($V216:$AE216=W216)*($V$2:$AE$2&lt;W$2))),2))))</f>
      </c>
      <c r="AH216" s="33">
        <f>IF(X216&lt;=0,0,MAX(0,MIN(X216,ROUND($AZ216-SUMPRODUCT($V216:$AE216*($V216:$AE216&gt;0)*(($V$3:$AE$3&gt;X$3)+($V$3:$AE$3=X$3)*($V216:$AE216&lt;X216)+($V$3:$AE$3=X$3)*($V216:$AE216=X216)*($V$2:$AE$2&lt;X$2))),2))))</f>
      </c>
      <c r="AI216" s="33">
        <f>IF(Y216&lt;=0,0,MAX(0,MIN(Y216,ROUND($AZ216-SUMPRODUCT($V216:$AE216*($V216:$AE216&gt;0)*(($V$3:$AE$3&gt;Y$3)+($V$3:$AE$3=Y$3)*($V216:$AE216&lt;Y216)+($V$3:$AE$3=Y$3)*($V216:$AE216=Y216)*($V$2:$AE$2&lt;Y$2))),2))))</f>
      </c>
      <c r="AJ216" s="33">
        <f>IF(Z216&lt;=0,0,MAX(0,MIN(Z216,ROUND($AZ216-SUMPRODUCT($V216:$AE216*($V216:$AE216&gt;0)*(($V$3:$AE$3&gt;Z$3)+($V$3:$AE$3=Z$3)*($V216:$AE216&lt;Z216)+($V$3:$AE$3=Z$3)*($V216:$AE216=Z216)*($V$2:$AE$2&lt;Z$2))),2))))</f>
      </c>
      <c r="AK216" s="33">
        <f>IF(AA216&lt;=0,0,MAX(0,MIN(AA216,ROUND($AZ216-SUMPRODUCT($V216:$AE216*($V216:$AE216&gt;0)*(($V$3:$AE$3&gt;AA$3)+($V$3:$AE$3=AA$3)*($V216:$AE216&lt;AA216)+($V$3:$AE$3=AA$3)*($V216:$AE216=AA216)*($V$2:$AE$2&lt;AA$2))),2))))</f>
      </c>
      <c r="AL216" s="33">
        <f>IF(AB216&lt;=0,0,MAX(0,MIN(AB216,ROUND($AZ216-SUMPRODUCT($V216:$AE216*($V216:$AE216&gt;0)*(($V$3:$AE$3&gt;AB$3)+($V$3:$AE$3=AB$3)*($V216:$AE216&lt;AB216)+($V$3:$AE$3=AB$3)*($V216:$AE216=AB216)*($V$2:$AE$2&lt;AB$2))),2))))</f>
      </c>
      <c r="AM216" s="33">
        <f>IF(AC216&lt;=0,0,MAX(0,MIN(AC216,ROUND($AZ216-SUMPRODUCT($V216:$AE216*($V216:$AE216&gt;0)*(($V$3:$AE$3&gt;AC$3)+($V$3:$AE$3=AC$3)*($V216:$AE216&lt;AC216)+($V$3:$AE$3=AC$3)*($V216:$AE216=AC216)*($V$2:$AE$2&lt;AC$2))),2))))</f>
      </c>
      <c r="AN216" s="33">
        <f>IF(AD216&lt;=0,0,MAX(0,MIN(AD216,ROUND($AZ216-SUMPRODUCT($V216:$AE216*($V216:$AE216&gt;0)*(($V$3:$AE$3&gt;AD$3)+($V$3:$AE$3=AD$3)*($V216:$AE216&lt;AD216)+($V$3:$AE$3=AD$3)*($V216:$AE216=AD216)*($V$2:$AE$2&lt;AD$2))),2))))</f>
      </c>
      <c r="AO216" s="33">
        <f>IF(AE216&lt;=0,0,MAX(0,MIN(AE216,ROUND($AZ216-SUMPRODUCT($V216:$AE216*($V216:$AE216&gt;0)*(($V$3:$AE$3&gt;AE$3)+($V$3:$AE$3=AE$3)*($V216:$AE216&lt;AE216)+($V$3:$AE$3=AE$3)*($V216:$AE216=AE216)*($V$2:$AE$2&lt;AE$2))),2))))</f>
      </c>
      <c r="AP216" s="33">
        <f>ROUND(V216-AF216,2)</f>
      </c>
      <c r="AQ216" s="33">
        <f>ROUND(W216-AG216,2)</f>
      </c>
      <c r="AR216" s="33">
        <f>ROUND(X216-AH216,2)</f>
      </c>
      <c r="AS216" s="33">
        <f>ROUND(Y216-AI216,2)</f>
      </c>
      <c r="AT216" s="33">
        <f>ROUND(Z216-AJ216,2)</f>
      </c>
      <c r="AU216" s="33">
        <f>ROUND(AA216-AK216,2)</f>
      </c>
      <c r="AV216" s="33">
        <f>ROUND(AB216-AL216,2)</f>
      </c>
      <c r="AW216" s="33">
        <f>ROUND(AC216-AM216,2)</f>
      </c>
      <c r="AX216" s="33">
        <f>ROUND(AD216-AN216,2)</f>
      </c>
      <c r="AY216" s="33">
        <f>ROUND(AE216-AO216,2)</f>
      </c>
      <c r="AZ216" s="33">
        <f>ROUND(MAX(0,'Your debts'!$D$22-SUM($L216:$U216)),2)</f>
      </c>
      <c r="BA216" s="33">
        <f>ROUND(SUM($B216:$K216)-SUM($AP215:$AY215),2)</f>
      </c>
      <c r="BB216" s="33">
        <f>SUM($AP216:$AY216)</f>
      </c>
      <c r="BC216" s="33">
        <f>ROUND(SUM($L216:$U216)+SUM($AF216:$AO216),2)</f>
      </c>
    </row>
    <row r="217" spans="1:55" x14ac:dyDescent="0.25">
      <c r="A217">
        <v>210</v>
      </c>
      <c r="B217" s="33">
        <f>IF(AP216&lt;=0,0,ROUND(AP216+ROUND(AP216*V$3/12,2),2))</f>
      </c>
      <c r="C217" s="33">
        <f>IF(AQ216&lt;=0,0,ROUND(AQ216+ROUND(AQ216*W$3/12,2),2))</f>
      </c>
      <c r="D217" s="33">
        <f>IF(AR216&lt;=0,0,ROUND(AR216+ROUND(AR216*X$3/12,2),2))</f>
      </c>
      <c r="E217" s="33">
        <f>IF(AS216&lt;=0,0,ROUND(AS216+ROUND(AS216*Y$3/12,2),2))</f>
      </c>
      <c r="F217" s="33">
        <f>IF(AT216&lt;=0,0,ROUND(AT216+ROUND(AT216*Z$3/12,2),2))</f>
      </c>
      <c r="G217" s="33">
        <f>IF(AU216&lt;=0,0,ROUND(AU216+ROUND(AU216*AA$3/12,2),2))</f>
      </c>
      <c r="H217" s="33">
        <f>IF(AV216&lt;=0,0,ROUND(AV216+ROUND(AV216*AB$3/12,2),2))</f>
      </c>
      <c r="I217" s="33">
        <f>IF(AW216&lt;=0,0,ROUND(AW216+ROUND(AW216*AC$3/12,2),2))</f>
      </c>
      <c r="J217" s="33">
        <f>IF(AX216&lt;=0,0,ROUND(AX216+ROUND(AX216*AD$3/12,2),2))</f>
      </c>
      <c r="K217" s="33">
        <f>IF(AY216&lt;=0,0,ROUND(AY216+ROUND(AY216*AE$3/12,2),2))</f>
      </c>
      <c r="L217" s="33">
        <f>ROUND(MIN(MAX(0,N('Your debts'!$E$6)),B217),2)</f>
      </c>
      <c r="M217" s="33">
        <f>ROUND(MIN(MAX(0,N('Your debts'!$E$7)),C217),2)</f>
      </c>
      <c r="N217" s="33">
        <f>ROUND(MIN(MAX(0,N('Your debts'!$E$8)),D217),2)</f>
      </c>
      <c r="O217" s="33">
        <f>ROUND(MIN(MAX(0,N('Your debts'!$E$9)),E217),2)</f>
      </c>
      <c r="P217" s="33">
        <f>ROUND(MIN(MAX(0,N('Your debts'!$E$10)),F217),2)</f>
      </c>
      <c r="Q217" s="33">
        <f>ROUND(MIN(MAX(0,N('Your debts'!$E$11)),G217),2)</f>
      </c>
      <c r="R217" s="33">
        <f>ROUND(MIN(MAX(0,N('Your debts'!$E$12)),H217),2)</f>
      </c>
      <c r="S217" s="33">
        <f>ROUND(MIN(MAX(0,N('Your debts'!$E$13)),I217),2)</f>
      </c>
      <c r="T217" s="33">
        <f>ROUND(MIN(MAX(0,N('Your debts'!$E$14)),J217),2)</f>
      </c>
      <c r="U217" s="33">
        <f>ROUND(MIN(MAX(0,N('Your debts'!$E$15)),K217),2)</f>
      </c>
      <c r="V217" s="33">
        <f>ROUND(B217-L217,2)</f>
      </c>
      <c r="W217" s="33">
        <f>ROUND(C217-M217,2)</f>
      </c>
      <c r="X217" s="33">
        <f>ROUND(D217-N217,2)</f>
      </c>
      <c r="Y217" s="33">
        <f>ROUND(E217-O217,2)</f>
      </c>
      <c r="Z217" s="33">
        <f>ROUND(F217-P217,2)</f>
      </c>
      <c r="AA217" s="33">
        <f>ROUND(G217-Q217,2)</f>
      </c>
      <c r="AB217" s="33">
        <f>ROUND(H217-R217,2)</f>
      </c>
      <c r="AC217" s="33">
        <f>ROUND(I217-S217,2)</f>
      </c>
      <c r="AD217" s="33">
        <f>ROUND(J217-T217,2)</f>
      </c>
      <c r="AE217" s="33">
        <f>ROUND(K217-U217,2)</f>
      </c>
      <c r="AF217" s="33">
        <f>IF(V217&lt;=0,0,MAX(0,MIN(V217,ROUND($AZ217-SUMPRODUCT($V217:$AE217*($V217:$AE217&gt;0)*(($V$3:$AE$3&gt;V$3)+($V$3:$AE$3=V$3)*($V217:$AE217&lt;V217)+($V$3:$AE$3=V$3)*($V217:$AE217=V217)*($V$2:$AE$2&lt;V$2))),2))))</f>
      </c>
      <c r="AG217" s="33">
        <f>IF(W217&lt;=0,0,MAX(0,MIN(W217,ROUND($AZ217-SUMPRODUCT($V217:$AE217*($V217:$AE217&gt;0)*(($V$3:$AE$3&gt;W$3)+($V$3:$AE$3=W$3)*($V217:$AE217&lt;W217)+($V$3:$AE$3=W$3)*($V217:$AE217=W217)*($V$2:$AE$2&lt;W$2))),2))))</f>
      </c>
      <c r="AH217" s="33">
        <f>IF(X217&lt;=0,0,MAX(0,MIN(X217,ROUND($AZ217-SUMPRODUCT($V217:$AE217*($V217:$AE217&gt;0)*(($V$3:$AE$3&gt;X$3)+($V$3:$AE$3=X$3)*($V217:$AE217&lt;X217)+($V$3:$AE$3=X$3)*($V217:$AE217=X217)*($V$2:$AE$2&lt;X$2))),2))))</f>
      </c>
      <c r="AI217" s="33">
        <f>IF(Y217&lt;=0,0,MAX(0,MIN(Y217,ROUND($AZ217-SUMPRODUCT($V217:$AE217*($V217:$AE217&gt;0)*(($V$3:$AE$3&gt;Y$3)+($V$3:$AE$3=Y$3)*($V217:$AE217&lt;Y217)+($V$3:$AE$3=Y$3)*($V217:$AE217=Y217)*($V$2:$AE$2&lt;Y$2))),2))))</f>
      </c>
      <c r="AJ217" s="33">
        <f>IF(Z217&lt;=0,0,MAX(0,MIN(Z217,ROUND($AZ217-SUMPRODUCT($V217:$AE217*($V217:$AE217&gt;0)*(($V$3:$AE$3&gt;Z$3)+($V$3:$AE$3=Z$3)*($V217:$AE217&lt;Z217)+($V$3:$AE$3=Z$3)*($V217:$AE217=Z217)*($V$2:$AE$2&lt;Z$2))),2))))</f>
      </c>
      <c r="AK217" s="33">
        <f>IF(AA217&lt;=0,0,MAX(0,MIN(AA217,ROUND($AZ217-SUMPRODUCT($V217:$AE217*($V217:$AE217&gt;0)*(($V$3:$AE$3&gt;AA$3)+($V$3:$AE$3=AA$3)*($V217:$AE217&lt;AA217)+($V$3:$AE$3=AA$3)*($V217:$AE217=AA217)*($V$2:$AE$2&lt;AA$2))),2))))</f>
      </c>
      <c r="AL217" s="33">
        <f>IF(AB217&lt;=0,0,MAX(0,MIN(AB217,ROUND($AZ217-SUMPRODUCT($V217:$AE217*($V217:$AE217&gt;0)*(($V$3:$AE$3&gt;AB$3)+($V$3:$AE$3=AB$3)*($V217:$AE217&lt;AB217)+($V$3:$AE$3=AB$3)*($V217:$AE217=AB217)*($V$2:$AE$2&lt;AB$2))),2))))</f>
      </c>
      <c r="AM217" s="33">
        <f>IF(AC217&lt;=0,0,MAX(0,MIN(AC217,ROUND($AZ217-SUMPRODUCT($V217:$AE217*($V217:$AE217&gt;0)*(($V$3:$AE$3&gt;AC$3)+($V$3:$AE$3=AC$3)*($V217:$AE217&lt;AC217)+($V$3:$AE$3=AC$3)*($V217:$AE217=AC217)*($V$2:$AE$2&lt;AC$2))),2))))</f>
      </c>
      <c r="AN217" s="33">
        <f>IF(AD217&lt;=0,0,MAX(0,MIN(AD217,ROUND($AZ217-SUMPRODUCT($V217:$AE217*($V217:$AE217&gt;0)*(($V$3:$AE$3&gt;AD$3)+($V$3:$AE$3=AD$3)*($V217:$AE217&lt;AD217)+($V$3:$AE$3=AD$3)*($V217:$AE217=AD217)*($V$2:$AE$2&lt;AD$2))),2))))</f>
      </c>
      <c r="AO217" s="33">
        <f>IF(AE217&lt;=0,0,MAX(0,MIN(AE217,ROUND($AZ217-SUMPRODUCT($V217:$AE217*($V217:$AE217&gt;0)*(($V$3:$AE$3&gt;AE$3)+($V$3:$AE$3=AE$3)*($V217:$AE217&lt;AE217)+($V$3:$AE$3=AE$3)*($V217:$AE217=AE217)*($V$2:$AE$2&lt;AE$2))),2))))</f>
      </c>
      <c r="AP217" s="33">
        <f>ROUND(V217-AF217,2)</f>
      </c>
      <c r="AQ217" s="33">
        <f>ROUND(W217-AG217,2)</f>
      </c>
      <c r="AR217" s="33">
        <f>ROUND(X217-AH217,2)</f>
      </c>
      <c r="AS217" s="33">
        <f>ROUND(Y217-AI217,2)</f>
      </c>
      <c r="AT217" s="33">
        <f>ROUND(Z217-AJ217,2)</f>
      </c>
      <c r="AU217" s="33">
        <f>ROUND(AA217-AK217,2)</f>
      </c>
      <c r="AV217" s="33">
        <f>ROUND(AB217-AL217,2)</f>
      </c>
      <c r="AW217" s="33">
        <f>ROUND(AC217-AM217,2)</f>
      </c>
      <c r="AX217" s="33">
        <f>ROUND(AD217-AN217,2)</f>
      </c>
      <c r="AY217" s="33">
        <f>ROUND(AE217-AO217,2)</f>
      </c>
      <c r="AZ217" s="33">
        <f>ROUND(MAX(0,'Your debts'!$D$22-SUM($L217:$U217)),2)</f>
      </c>
      <c r="BA217" s="33">
        <f>ROUND(SUM($B217:$K217)-SUM($AP216:$AY216),2)</f>
      </c>
      <c r="BB217" s="33">
        <f>SUM($AP217:$AY217)</f>
      </c>
      <c r="BC217" s="33">
        <f>ROUND(SUM($L217:$U217)+SUM($AF217:$AO217),2)</f>
      </c>
    </row>
    <row r="218" spans="1:55" x14ac:dyDescent="0.25">
      <c r="A218">
        <v>211</v>
      </c>
      <c r="B218" s="33">
        <f>IF(AP217&lt;=0,0,ROUND(AP217+ROUND(AP217*V$3/12,2),2))</f>
      </c>
      <c r="C218" s="33">
        <f>IF(AQ217&lt;=0,0,ROUND(AQ217+ROUND(AQ217*W$3/12,2),2))</f>
      </c>
      <c r="D218" s="33">
        <f>IF(AR217&lt;=0,0,ROUND(AR217+ROUND(AR217*X$3/12,2),2))</f>
      </c>
      <c r="E218" s="33">
        <f>IF(AS217&lt;=0,0,ROUND(AS217+ROUND(AS217*Y$3/12,2),2))</f>
      </c>
      <c r="F218" s="33">
        <f>IF(AT217&lt;=0,0,ROUND(AT217+ROUND(AT217*Z$3/12,2),2))</f>
      </c>
      <c r="G218" s="33">
        <f>IF(AU217&lt;=0,0,ROUND(AU217+ROUND(AU217*AA$3/12,2),2))</f>
      </c>
      <c r="H218" s="33">
        <f>IF(AV217&lt;=0,0,ROUND(AV217+ROUND(AV217*AB$3/12,2),2))</f>
      </c>
      <c r="I218" s="33">
        <f>IF(AW217&lt;=0,0,ROUND(AW217+ROUND(AW217*AC$3/12,2),2))</f>
      </c>
      <c r="J218" s="33">
        <f>IF(AX217&lt;=0,0,ROUND(AX217+ROUND(AX217*AD$3/12,2),2))</f>
      </c>
      <c r="K218" s="33">
        <f>IF(AY217&lt;=0,0,ROUND(AY217+ROUND(AY217*AE$3/12,2),2))</f>
      </c>
      <c r="L218" s="33">
        <f>ROUND(MIN(MAX(0,N('Your debts'!$E$6)),B218),2)</f>
      </c>
      <c r="M218" s="33">
        <f>ROUND(MIN(MAX(0,N('Your debts'!$E$7)),C218),2)</f>
      </c>
      <c r="N218" s="33">
        <f>ROUND(MIN(MAX(0,N('Your debts'!$E$8)),D218),2)</f>
      </c>
      <c r="O218" s="33">
        <f>ROUND(MIN(MAX(0,N('Your debts'!$E$9)),E218),2)</f>
      </c>
      <c r="P218" s="33">
        <f>ROUND(MIN(MAX(0,N('Your debts'!$E$10)),F218),2)</f>
      </c>
      <c r="Q218" s="33">
        <f>ROUND(MIN(MAX(0,N('Your debts'!$E$11)),G218),2)</f>
      </c>
      <c r="R218" s="33">
        <f>ROUND(MIN(MAX(0,N('Your debts'!$E$12)),H218),2)</f>
      </c>
      <c r="S218" s="33">
        <f>ROUND(MIN(MAX(0,N('Your debts'!$E$13)),I218),2)</f>
      </c>
      <c r="T218" s="33">
        <f>ROUND(MIN(MAX(0,N('Your debts'!$E$14)),J218),2)</f>
      </c>
      <c r="U218" s="33">
        <f>ROUND(MIN(MAX(0,N('Your debts'!$E$15)),K218),2)</f>
      </c>
      <c r="V218" s="33">
        <f>ROUND(B218-L218,2)</f>
      </c>
      <c r="W218" s="33">
        <f>ROUND(C218-M218,2)</f>
      </c>
      <c r="X218" s="33">
        <f>ROUND(D218-N218,2)</f>
      </c>
      <c r="Y218" s="33">
        <f>ROUND(E218-O218,2)</f>
      </c>
      <c r="Z218" s="33">
        <f>ROUND(F218-P218,2)</f>
      </c>
      <c r="AA218" s="33">
        <f>ROUND(G218-Q218,2)</f>
      </c>
      <c r="AB218" s="33">
        <f>ROUND(H218-R218,2)</f>
      </c>
      <c r="AC218" s="33">
        <f>ROUND(I218-S218,2)</f>
      </c>
      <c r="AD218" s="33">
        <f>ROUND(J218-T218,2)</f>
      </c>
      <c r="AE218" s="33">
        <f>ROUND(K218-U218,2)</f>
      </c>
      <c r="AF218" s="33">
        <f>IF(V218&lt;=0,0,MAX(0,MIN(V218,ROUND($AZ218-SUMPRODUCT($V218:$AE218*($V218:$AE218&gt;0)*(($V$3:$AE$3&gt;V$3)+($V$3:$AE$3=V$3)*($V218:$AE218&lt;V218)+($V$3:$AE$3=V$3)*($V218:$AE218=V218)*($V$2:$AE$2&lt;V$2))),2))))</f>
      </c>
      <c r="AG218" s="33">
        <f>IF(W218&lt;=0,0,MAX(0,MIN(W218,ROUND($AZ218-SUMPRODUCT($V218:$AE218*($V218:$AE218&gt;0)*(($V$3:$AE$3&gt;W$3)+($V$3:$AE$3=W$3)*($V218:$AE218&lt;W218)+($V$3:$AE$3=W$3)*($V218:$AE218=W218)*($V$2:$AE$2&lt;W$2))),2))))</f>
      </c>
      <c r="AH218" s="33">
        <f>IF(X218&lt;=0,0,MAX(0,MIN(X218,ROUND($AZ218-SUMPRODUCT($V218:$AE218*($V218:$AE218&gt;0)*(($V$3:$AE$3&gt;X$3)+($V$3:$AE$3=X$3)*($V218:$AE218&lt;X218)+($V$3:$AE$3=X$3)*($V218:$AE218=X218)*($V$2:$AE$2&lt;X$2))),2))))</f>
      </c>
      <c r="AI218" s="33">
        <f>IF(Y218&lt;=0,0,MAX(0,MIN(Y218,ROUND($AZ218-SUMPRODUCT($V218:$AE218*($V218:$AE218&gt;0)*(($V$3:$AE$3&gt;Y$3)+($V$3:$AE$3=Y$3)*($V218:$AE218&lt;Y218)+($V$3:$AE$3=Y$3)*($V218:$AE218=Y218)*($V$2:$AE$2&lt;Y$2))),2))))</f>
      </c>
      <c r="AJ218" s="33">
        <f>IF(Z218&lt;=0,0,MAX(0,MIN(Z218,ROUND($AZ218-SUMPRODUCT($V218:$AE218*($V218:$AE218&gt;0)*(($V$3:$AE$3&gt;Z$3)+($V$3:$AE$3=Z$3)*($V218:$AE218&lt;Z218)+($V$3:$AE$3=Z$3)*($V218:$AE218=Z218)*($V$2:$AE$2&lt;Z$2))),2))))</f>
      </c>
      <c r="AK218" s="33">
        <f>IF(AA218&lt;=0,0,MAX(0,MIN(AA218,ROUND($AZ218-SUMPRODUCT($V218:$AE218*($V218:$AE218&gt;0)*(($V$3:$AE$3&gt;AA$3)+($V$3:$AE$3=AA$3)*($V218:$AE218&lt;AA218)+($V$3:$AE$3=AA$3)*($V218:$AE218=AA218)*($V$2:$AE$2&lt;AA$2))),2))))</f>
      </c>
      <c r="AL218" s="33">
        <f>IF(AB218&lt;=0,0,MAX(0,MIN(AB218,ROUND($AZ218-SUMPRODUCT($V218:$AE218*($V218:$AE218&gt;0)*(($V$3:$AE$3&gt;AB$3)+($V$3:$AE$3=AB$3)*($V218:$AE218&lt;AB218)+($V$3:$AE$3=AB$3)*($V218:$AE218=AB218)*($V$2:$AE$2&lt;AB$2))),2))))</f>
      </c>
      <c r="AM218" s="33">
        <f>IF(AC218&lt;=0,0,MAX(0,MIN(AC218,ROUND($AZ218-SUMPRODUCT($V218:$AE218*($V218:$AE218&gt;0)*(($V$3:$AE$3&gt;AC$3)+($V$3:$AE$3=AC$3)*($V218:$AE218&lt;AC218)+($V$3:$AE$3=AC$3)*($V218:$AE218=AC218)*($V$2:$AE$2&lt;AC$2))),2))))</f>
      </c>
      <c r="AN218" s="33">
        <f>IF(AD218&lt;=0,0,MAX(0,MIN(AD218,ROUND($AZ218-SUMPRODUCT($V218:$AE218*($V218:$AE218&gt;0)*(($V$3:$AE$3&gt;AD$3)+($V$3:$AE$3=AD$3)*($V218:$AE218&lt;AD218)+($V$3:$AE$3=AD$3)*($V218:$AE218=AD218)*($V$2:$AE$2&lt;AD$2))),2))))</f>
      </c>
      <c r="AO218" s="33">
        <f>IF(AE218&lt;=0,0,MAX(0,MIN(AE218,ROUND($AZ218-SUMPRODUCT($V218:$AE218*($V218:$AE218&gt;0)*(($V$3:$AE$3&gt;AE$3)+($V$3:$AE$3=AE$3)*($V218:$AE218&lt;AE218)+($V$3:$AE$3=AE$3)*($V218:$AE218=AE218)*($V$2:$AE$2&lt;AE$2))),2))))</f>
      </c>
      <c r="AP218" s="33">
        <f>ROUND(V218-AF218,2)</f>
      </c>
      <c r="AQ218" s="33">
        <f>ROUND(W218-AG218,2)</f>
      </c>
      <c r="AR218" s="33">
        <f>ROUND(X218-AH218,2)</f>
      </c>
      <c r="AS218" s="33">
        <f>ROUND(Y218-AI218,2)</f>
      </c>
      <c r="AT218" s="33">
        <f>ROUND(Z218-AJ218,2)</f>
      </c>
      <c r="AU218" s="33">
        <f>ROUND(AA218-AK218,2)</f>
      </c>
      <c r="AV218" s="33">
        <f>ROUND(AB218-AL218,2)</f>
      </c>
      <c r="AW218" s="33">
        <f>ROUND(AC218-AM218,2)</f>
      </c>
      <c r="AX218" s="33">
        <f>ROUND(AD218-AN218,2)</f>
      </c>
      <c r="AY218" s="33">
        <f>ROUND(AE218-AO218,2)</f>
      </c>
      <c r="AZ218" s="33">
        <f>ROUND(MAX(0,'Your debts'!$D$22-SUM($L218:$U218)),2)</f>
      </c>
      <c r="BA218" s="33">
        <f>ROUND(SUM($B218:$K218)-SUM($AP217:$AY217),2)</f>
      </c>
      <c r="BB218" s="33">
        <f>SUM($AP218:$AY218)</f>
      </c>
      <c r="BC218" s="33">
        <f>ROUND(SUM($L218:$U218)+SUM($AF218:$AO218),2)</f>
      </c>
    </row>
    <row r="219" spans="1:55" x14ac:dyDescent="0.25">
      <c r="A219">
        <v>212</v>
      </c>
      <c r="B219" s="33">
        <f>IF(AP218&lt;=0,0,ROUND(AP218+ROUND(AP218*V$3/12,2),2))</f>
      </c>
      <c r="C219" s="33">
        <f>IF(AQ218&lt;=0,0,ROUND(AQ218+ROUND(AQ218*W$3/12,2),2))</f>
      </c>
      <c r="D219" s="33">
        <f>IF(AR218&lt;=0,0,ROUND(AR218+ROUND(AR218*X$3/12,2),2))</f>
      </c>
      <c r="E219" s="33">
        <f>IF(AS218&lt;=0,0,ROUND(AS218+ROUND(AS218*Y$3/12,2),2))</f>
      </c>
      <c r="F219" s="33">
        <f>IF(AT218&lt;=0,0,ROUND(AT218+ROUND(AT218*Z$3/12,2),2))</f>
      </c>
      <c r="G219" s="33">
        <f>IF(AU218&lt;=0,0,ROUND(AU218+ROUND(AU218*AA$3/12,2),2))</f>
      </c>
      <c r="H219" s="33">
        <f>IF(AV218&lt;=0,0,ROUND(AV218+ROUND(AV218*AB$3/12,2),2))</f>
      </c>
      <c r="I219" s="33">
        <f>IF(AW218&lt;=0,0,ROUND(AW218+ROUND(AW218*AC$3/12,2),2))</f>
      </c>
      <c r="J219" s="33">
        <f>IF(AX218&lt;=0,0,ROUND(AX218+ROUND(AX218*AD$3/12,2),2))</f>
      </c>
      <c r="K219" s="33">
        <f>IF(AY218&lt;=0,0,ROUND(AY218+ROUND(AY218*AE$3/12,2),2))</f>
      </c>
      <c r="L219" s="33">
        <f>ROUND(MIN(MAX(0,N('Your debts'!$E$6)),B219),2)</f>
      </c>
      <c r="M219" s="33">
        <f>ROUND(MIN(MAX(0,N('Your debts'!$E$7)),C219),2)</f>
      </c>
      <c r="N219" s="33">
        <f>ROUND(MIN(MAX(0,N('Your debts'!$E$8)),D219),2)</f>
      </c>
      <c r="O219" s="33">
        <f>ROUND(MIN(MAX(0,N('Your debts'!$E$9)),E219),2)</f>
      </c>
      <c r="P219" s="33">
        <f>ROUND(MIN(MAX(0,N('Your debts'!$E$10)),F219),2)</f>
      </c>
      <c r="Q219" s="33">
        <f>ROUND(MIN(MAX(0,N('Your debts'!$E$11)),G219),2)</f>
      </c>
      <c r="R219" s="33">
        <f>ROUND(MIN(MAX(0,N('Your debts'!$E$12)),H219),2)</f>
      </c>
      <c r="S219" s="33">
        <f>ROUND(MIN(MAX(0,N('Your debts'!$E$13)),I219),2)</f>
      </c>
      <c r="T219" s="33">
        <f>ROUND(MIN(MAX(0,N('Your debts'!$E$14)),J219),2)</f>
      </c>
      <c r="U219" s="33">
        <f>ROUND(MIN(MAX(0,N('Your debts'!$E$15)),K219),2)</f>
      </c>
      <c r="V219" s="33">
        <f>ROUND(B219-L219,2)</f>
      </c>
      <c r="W219" s="33">
        <f>ROUND(C219-M219,2)</f>
      </c>
      <c r="X219" s="33">
        <f>ROUND(D219-N219,2)</f>
      </c>
      <c r="Y219" s="33">
        <f>ROUND(E219-O219,2)</f>
      </c>
      <c r="Z219" s="33">
        <f>ROUND(F219-P219,2)</f>
      </c>
      <c r="AA219" s="33">
        <f>ROUND(G219-Q219,2)</f>
      </c>
      <c r="AB219" s="33">
        <f>ROUND(H219-R219,2)</f>
      </c>
      <c r="AC219" s="33">
        <f>ROUND(I219-S219,2)</f>
      </c>
      <c r="AD219" s="33">
        <f>ROUND(J219-T219,2)</f>
      </c>
      <c r="AE219" s="33">
        <f>ROUND(K219-U219,2)</f>
      </c>
      <c r="AF219" s="33">
        <f>IF(V219&lt;=0,0,MAX(0,MIN(V219,ROUND($AZ219-SUMPRODUCT($V219:$AE219*($V219:$AE219&gt;0)*(($V$3:$AE$3&gt;V$3)+($V$3:$AE$3=V$3)*($V219:$AE219&lt;V219)+($V$3:$AE$3=V$3)*($V219:$AE219=V219)*($V$2:$AE$2&lt;V$2))),2))))</f>
      </c>
      <c r="AG219" s="33">
        <f>IF(W219&lt;=0,0,MAX(0,MIN(W219,ROUND($AZ219-SUMPRODUCT($V219:$AE219*($V219:$AE219&gt;0)*(($V$3:$AE$3&gt;W$3)+($V$3:$AE$3=W$3)*($V219:$AE219&lt;W219)+($V$3:$AE$3=W$3)*($V219:$AE219=W219)*($V$2:$AE$2&lt;W$2))),2))))</f>
      </c>
      <c r="AH219" s="33">
        <f>IF(X219&lt;=0,0,MAX(0,MIN(X219,ROUND($AZ219-SUMPRODUCT($V219:$AE219*($V219:$AE219&gt;0)*(($V$3:$AE$3&gt;X$3)+($V$3:$AE$3=X$3)*($V219:$AE219&lt;X219)+($V$3:$AE$3=X$3)*($V219:$AE219=X219)*($V$2:$AE$2&lt;X$2))),2))))</f>
      </c>
      <c r="AI219" s="33">
        <f>IF(Y219&lt;=0,0,MAX(0,MIN(Y219,ROUND($AZ219-SUMPRODUCT($V219:$AE219*($V219:$AE219&gt;0)*(($V$3:$AE$3&gt;Y$3)+($V$3:$AE$3=Y$3)*($V219:$AE219&lt;Y219)+($V$3:$AE$3=Y$3)*($V219:$AE219=Y219)*($V$2:$AE$2&lt;Y$2))),2))))</f>
      </c>
      <c r="AJ219" s="33">
        <f>IF(Z219&lt;=0,0,MAX(0,MIN(Z219,ROUND($AZ219-SUMPRODUCT($V219:$AE219*($V219:$AE219&gt;0)*(($V$3:$AE$3&gt;Z$3)+($V$3:$AE$3=Z$3)*($V219:$AE219&lt;Z219)+($V$3:$AE$3=Z$3)*($V219:$AE219=Z219)*($V$2:$AE$2&lt;Z$2))),2))))</f>
      </c>
      <c r="AK219" s="33">
        <f>IF(AA219&lt;=0,0,MAX(0,MIN(AA219,ROUND($AZ219-SUMPRODUCT($V219:$AE219*($V219:$AE219&gt;0)*(($V$3:$AE$3&gt;AA$3)+($V$3:$AE$3=AA$3)*($V219:$AE219&lt;AA219)+($V$3:$AE$3=AA$3)*($V219:$AE219=AA219)*($V$2:$AE$2&lt;AA$2))),2))))</f>
      </c>
      <c r="AL219" s="33">
        <f>IF(AB219&lt;=0,0,MAX(0,MIN(AB219,ROUND($AZ219-SUMPRODUCT($V219:$AE219*($V219:$AE219&gt;0)*(($V$3:$AE$3&gt;AB$3)+($V$3:$AE$3=AB$3)*($V219:$AE219&lt;AB219)+($V$3:$AE$3=AB$3)*($V219:$AE219=AB219)*($V$2:$AE$2&lt;AB$2))),2))))</f>
      </c>
      <c r="AM219" s="33">
        <f>IF(AC219&lt;=0,0,MAX(0,MIN(AC219,ROUND($AZ219-SUMPRODUCT($V219:$AE219*($V219:$AE219&gt;0)*(($V$3:$AE$3&gt;AC$3)+($V$3:$AE$3=AC$3)*($V219:$AE219&lt;AC219)+($V$3:$AE$3=AC$3)*($V219:$AE219=AC219)*($V$2:$AE$2&lt;AC$2))),2))))</f>
      </c>
      <c r="AN219" s="33">
        <f>IF(AD219&lt;=0,0,MAX(0,MIN(AD219,ROUND($AZ219-SUMPRODUCT($V219:$AE219*($V219:$AE219&gt;0)*(($V$3:$AE$3&gt;AD$3)+($V$3:$AE$3=AD$3)*($V219:$AE219&lt;AD219)+($V$3:$AE$3=AD$3)*($V219:$AE219=AD219)*($V$2:$AE$2&lt;AD$2))),2))))</f>
      </c>
      <c r="AO219" s="33">
        <f>IF(AE219&lt;=0,0,MAX(0,MIN(AE219,ROUND($AZ219-SUMPRODUCT($V219:$AE219*($V219:$AE219&gt;0)*(($V$3:$AE$3&gt;AE$3)+($V$3:$AE$3=AE$3)*($V219:$AE219&lt;AE219)+($V$3:$AE$3=AE$3)*($V219:$AE219=AE219)*($V$2:$AE$2&lt;AE$2))),2))))</f>
      </c>
      <c r="AP219" s="33">
        <f>ROUND(V219-AF219,2)</f>
      </c>
      <c r="AQ219" s="33">
        <f>ROUND(W219-AG219,2)</f>
      </c>
      <c r="AR219" s="33">
        <f>ROUND(X219-AH219,2)</f>
      </c>
      <c r="AS219" s="33">
        <f>ROUND(Y219-AI219,2)</f>
      </c>
      <c r="AT219" s="33">
        <f>ROUND(Z219-AJ219,2)</f>
      </c>
      <c r="AU219" s="33">
        <f>ROUND(AA219-AK219,2)</f>
      </c>
      <c r="AV219" s="33">
        <f>ROUND(AB219-AL219,2)</f>
      </c>
      <c r="AW219" s="33">
        <f>ROUND(AC219-AM219,2)</f>
      </c>
      <c r="AX219" s="33">
        <f>ROUND(AD219-AN219,2)</f>
      </c>
      <c r="AY219" s="33">
        <f>ROUND(AE219-AO219,2)</f>
      </c>
      <c r="AZ219" s="33">
        <f>ROUND(MAX(0,'Your debts'!$D$22-SUM($L219:$U219)),2)</f>
      </c>
      <c r="BA219" s="33">
        <f>ROUND(SUM($B219:$K219)-SUM($AP218:$AY218),2)</f>
      </c>
      <c r="BB219" s="33">
        <f>SUM($AP219:$AY219)</f>
      </c>
      <c r="BC219" s="33">
        <f>ROUND(SUM($L219:$U219)+SUM($AF219:$AO219),2)</f>
      </c>
    </row>
    <row r="220" spans="1:55" x14ac:dyDescent="0.25">
      <c r="A220">
        <v>213</v>
      </c>
      <c r="B220" s="33">
        <f>IF(AP219&lt;=0,0,ROUND(AP219+ROUND(AP219*V$3/12,2),2))</f>
      </c>
      <c r="C220" s="33">
        <f>IF(AQ219&lt;=0,0,ROUND(AQ219+ROUND(AQ219*W$3/12,2),2))</f>
      </c>
      <c r="D220" s="33">
        <f>IF(AR219&lt;=0,0,ROUND(AR219+ROUND(AR219*X$3/12,2),2))</f>
      </c>
      <c r="E220" s="33">
        <f>IF(AS219&lt;=0,0,ROUND(AS219+ROUND(AS219*Y$3/12,2),2))</f>
      </c>
      <c r="F220" s="33">
        <f>IF(AT219&lt;=0,0,ROUND(AT219+ROUND(AT219*Z$3/12,2),2))</f>
      </c>
      <c r="G220" s="33">
        <f>IF(AU219&lt;=0,0,ROUND(AU219+ROUND(AU219*AA$3/12,2),2))</f>
      </c>
      <c r="H220" s="33">
        <f>IF(AV219&lt;=0,0,ROUND(AV219+ROUND(AV219*AB$3/12,2),2))</f>
      </c>
      <c r="I220" s="33">
        <f>IF(AW219&lt;=0,0,ROUND(AW219+ROUND(AW219*AC$3/12,2),2))</f>
      </c>
      <c r="J220" s="33">
        <f>IF(AX219&lt;=0,0,ROUND(AX219+ROUND(AX219*AD$3/12,2),2))</f>
      </c>
      <c r="K220" s="33">
        <f>IF(AY219&lt;=0,0,ROUND(AY219+ROUND(AY219*AE$3/12,2),2))</f>
      </c>
      <c r="L220" s="33">
        <f>ROUND(MIN(MAX(0,N('Your debts'!$E$6)),B220),2)</f>
      </c>
      <c r="M220" s="33">
        <f>ROUND(MIN(MAX(0,N('Your debts'!$E$7)),C220),2)</f>
      </c>
      <c r="N220" s="33">
        <f>ROUND(MIN(MAX(0,N('Your debts'!$E$8)),D220),2)</f>
      </c>
      <c r="O220" s="33">
        <f>ROUND(MIN(MAX(0,N('Your debts'!$E$9)),E220),2)</f>
      </c>
      <c r="P220" s="33">
        <f>ROUND(MIN(MAX(0,N('Your debts'!$E$10)),F220),2)</f>
      </c>
      <c r="Q220" s="33">
        <f>ROUND(MIN(MAX(0,N('Your debts'!$E$11)),G220),2)</f>
      </c>
      <c r="R220" s="33">
        <f>ROUND(MIN(MAX(0,N('Your debts'!$E$12)),H220),2)</f>
      </c>
      <c r="S220" s="33">
        <f>ROUND(MIN(MAX(0,N('Your debts'!$E$13)),I220),2)</f>
      </c>
      <c r="T220" s="33">
        <f>ROUND(MIN(MAX(0,N('Your debts'!$E$14)),J220),2)</f>
      </c>
      <c r="U220" s="33">
        <f>ROUND(MIN(MAX(0,N('Your debts'!$E$15)),K220),2)</f>
      </c>
      <c r="V220" s="33">
        <f>ROUND(B220-L220,2)</f>
      </c>
      <c r="W220" s="33">
        <f>ROUND(C220-M220,2)</f>
      </c>
      <c r="X220" s="33">
        <f>ROUND(D220-N220,2)</f>
      </c>
      <c r="Y220" s="33">
        <f>ROUND(E220-O220,2)</f>
      </c>
      <c r="Z220" s="33">
        <f>ROUND(F220-P220,2)</f>
      </c>
      <c r="AA220" s="33">
        <f>ROUND(G220-Q220,2)</f>
      </c>
      <c r="AB220" s="33">
        <f>ROUND(H220-R220,2)</f>
      </c>
      <c r="AC220" s="33">
        <f>ROUND(I220-S220,2)</f>
      </c>
      <c r="AD220" s="33">
        <f>ROUND(J220-T220,2)</f>
      </c>
      <c r="AE220" s="33">
        <f>ROUND(K220-U220,2)</f>
      </c>
      <c r="AF220" s="33">
        <f>IF(V220&lt;=0,0,MAX(0,MIN(V220,ROUND($AZ220-SUMPRODUCT($V220:$AE220*($V220:$AE220&gt;0)*(($V$3:$AE$3&gt;V$3)+($V$3:$AE$3=V$3)*($V220:$AE220&lt;V220)+($V$3:$AE$3=V$3)*($V220:$AE220=V220)*($V$2:$AE$2&lt;V$2))),2))))</f>
      </c>
      <c r="AG220" s="33">
        <f>IF(W220&lt;=0,0,MAX(0,MIN(W220,ROUND($AZ220-SUMPRODUCT($V220:$AE220*($V220:$AE220&gt;0)*(($V$3:$AE$3&gt;W$3)+($V$3:$AE$3=W$3)*($V220:$AE220&lt;W220)+($V$3:$AE$3=W$3)*($V220:$AE220=W220)*($V$2:$AE$2&lt;W$2))),2))))</f>
      </c>
      <c r="AH220" s="33">
        <f>IF(X220&lt;=0,0,MAX(0,MIN(X220,ROUND($AZ220-SUMPRODUCT($V220:$AE220*($V220:$AE220&gt;0)*(($V$3:$AE$3&gt;X$3)+($V$3:$AE$3=X$3)*($V220:$AE220&lt;X220)+($V$3:$AE$3=X$3)*($V220:$AE220=X220)*($V$2:$AE$2&lt;X$2))),2))))</f>
      </c>
      <c r="AI220" s="33">
        <f>IF(Y220&lt;=0,0,MAX(0,MIN(Y220,ROUND($AZ220-SUMPRODUCT($V220:$AE220*($V220:$AE220&gt;0)*(($V$3:$AE$3&gt;Y$3)+($V$3:$AE$3=Y$3)*($V220:$AE220&lt;Y220)+($V$3:$AE$3=Y$3)*($V220:$AE220=Y220)*($V$2:$AE$2&lt;Y$2))),2))))</f>
      </c>
      <c r="AJ220" s="33">
        <f>IF(Z220&lt;=0,0,MAX(0,MIN(Z220,ROUND($AZ220-SUMPRODUCT($V220:$AE220*($V220:$AE220&gt;0)*(($V$3:$AE$3&gt;Z$3)+($V$3:$AE$3=Z$3)*($V220:$AE220&lt;Z220)+($V$3:$AE$3=Z$3)*($V220:$AE220=Z220)*($V$2:$AE$2&lt;Z$2))),2))))</f>
      </c>
      <c r="AK220" s="33">
        <f>IF(AA220&lt;=0,0,MAX(0,MIN(AA220,ROUND($AZ220-SUMPRODUCT($V220:$AE220*($V220:$AE220&gt;0)*(($V$3:$AE$3&gt;AA$3)+($V$3:$AE$3=AA$3)*($V220:$AE220&lt;AA220)+($V$3:$AE$3=AA$3)*($V220:$AE220=AA220)*($V$2:$AE$2&lt;AA$2))),2))))</f>
      </c>
      <c r="AL220" s="33">
        <f>IF(AB220&lt;=0,0,MAX(0,MIN(AB220,ROUND($AZ220-SUMPRODUCT($V220:$AE220*($V220:$AE220&gt;0)*(($V$3:$AE$3&gt;AB$3)+($V$3:$AE$3=AB$3)*($V220:$AE220&lt;AB220)+($V$3:$AE$3=AB$3)*($V220:$AE220=AB220)*($V$2:$AE$2&lt;AB$2))),2))))</f>
      </c>
      <c r="AM220" s="33">
        <f>IF(AC220&lt;=0,0,MAX(0,MIN(AC220,ROUND($AZ220-SUMPRODUCT($V220:$AE220*($V220:$AE220&gt;0)*(($V$3:$AE$3&gt;AC$3)+($V$3:$AE$3=AC$3)*($V220:$AE220&lt;AC220)+($V$3:$AE$3=AC$3)*($V220:$AE220=AC220)*($V$2:$AE$2&lt;AC$2))),2))))</f>
      </c>
      <c r="AN220" s="33">
        <f>IF(AD220&lt;=0,0,MAX(0,MIN(AD220,ROUND($AZ220-SUMPRODUCT($V220:$AE220*($V220:$AE220&gt;0)*(($V$3:$AE$3&gt;AD$3)+($V$3:$AE$3=AD$3)*($V220:$AE220&lt;AD220)+($V$3:$AE$3=AD$3)*($V220:$AE220=AD220)*($V$2:$AE$2&lt;AD$2))),2))))</f>
      </c>
      <c r="AO220" s="33">
        <f>IF(AE220&lt;=0,0,MAX(0,MIN(AE220,ROUND($AZ220-SUMPRODUCT($V220:$AE220*($V220:$AE220&gt;0)*(($V$3:$AE$3&gt;AE$3)+($V$3:$AE$3=AE$3)*($V220:$AE220&lt;AE220)+($V$3:$AE$3=AE$3)*($V220:$AE220=AE220)*($V$2:$AE$2&lt;AE$2))),2))))</f>
      </c>
      <c r="AP220" s="33">
        <f>ROUND(V220-AF220,2)</f>
      </c>
      <c r="AQ220" s="33">
        <f>ROUND(W220-AG220,2)</f>
      </c>
      <c r="AR220" s="33">
        <f>ROUND(X220-AH220,2)</f>
      </c>
      <c r="AS220" s="33">
        <f>ROUND(Y220-AI220,2)</f>
      </c>
      <c r="AT220" s="33">
        <f>ROUND(Z220-AJ220,2)</f>
      </c>
      <c r="AU220" s="33">
        <f>ROUND(AA220-AK220,2)</f>
      </c>
      <c r="AV220" s="33">
        <f>ROUND(AB220-AL220,2)</f>
      </c>
      <c r="AW220" s="33">
        <f>ROUND(AC220-AM220,2)</f>
      </c>
      <c r="AX220" s="33">
        <f>ROUND(AD220-AN220,2)</f>
      </c>
      <c r="AY220" s="33">
        <f>ROUND(AE220-AO220,2)</f>
      </c>
      <c r="AZ220" s="33">
        <f>ROUND(MAX(0,'Your debts'!$D$22-SUM($L220:$U220)),2)</f>
      </c>
      <c r="BA220" s="33">
        <f>ROUND(SUM($B220:$K220)-SUM($AP219:$AY219),2)</f>
      </c>
      <c r="BB220" s="33">
        <f>SUM($AP220:$AY220)</f>
      </c>
      <c r="BC220" s="33">
        <f>ROUND(SUM($L220:$U220)+SUM($AF220:$AO220),2)</f>
      </c>
    </row>
    <row r="221" spans="1:55" x14ac:dyDescent="0.25">
      <c r="A221">
        <v>214</v>
      </c>
      <c r="B221" s="33">
        <f>IF(AP220&lt;=0,0,ROUND(AP220+ROUND(AP220*V$3/12,2),2))</f>
      </c>
      <c r="C221" s="33">
        <f>IF(AQ220&lt;=0,0,ROUND(AQ220+ROUND(AQ220*W$3/12,2),2))</f>
      </c>
      <c r="D221" s="33">
        <f>IF(AR220&lt;=0,0,ROUND(AR220+ROUND(AR220*X$3/12,2),2))</f>
      </c>
      <c r="E221" s="33">
        <f>IF(AS220&lt;=0,0,ROUND(AS220+ROUND(AS220*Y$3/12,2),2))</f>
      </c>
      <c r="F221" s="33">
        <f>IF(AT220&lt;=0,0,ROUND(AT220+ROUND(AT220*Z$3/12,2),2))</f>
      </c>
      <c r="G221" s="33">
        <f>IF(AU220&lt;=0,0,ROUND(AU220+ROUND(AU220*AA$3/12,2),2))</f>
      </c>
      <c r="H221" s="33">
        <f>IF(AV220&lt;=0,0,ROUND(AV220+ROUND(AV220*AB$3/12,2),2))</f>
      </c>
      <c r="I221" s="33">
        <f>IF(AW220&lt;=0,0,ROUND(AW220+ROUND(AW220*AC$3/12,2),2))</f>
      </c>
      <c r="J221" s="33">
        <f>IF(AX220&lt;=0,0,ROUND(AX220+ROUND(AX220*AD$3/12,2),2))</f>
      </c>
      <c r="K221" s="33">
        <f>IF(AY220&lt;=0,0,ROUND(AY220+ROUND(AY220*AE$3/12,2),2))</f>
      </c>
      <c r="L221" s="33">
        <f>ROUND(MIN(MAX(0,N('Your debts'!$E$6)),B221),2)</f>
      </c>
      <c r="M221" s="33">
        <f>ROUND(MIN(MAX(0,N('Your debts'!$E$7)),C221),2)</f>
      </c>
      <c r="N221" s="33">
        <f>ROUND(MIN(MAX(0,N('Your debts'!$E$8)),D221),2)</f>
      </c>
      <c r="O221" s="33">
        <f>ROUND(MIN(MAX(0,N('Your debts'!$E$9)),E221),2)</f>
      </c>
      <c r="P221" s="33">
        <f>ROUND(MIN(MAX(0,N('Your debts'!$E$10)),F221),2)</f>
      </c>
      <c r="Q221" s="33">
        <f>ROUND(MIN(MAX(0,N('Your debts'!$E$11)),G221),2)</f>
      </c>
      <c r="R221" s="33">
        <f>ROUND(MIN(MAX(0,N('Your debts'!$E$12)),H221),2)</f>
      </c>
      <c r="S221" s="33">
        <f>ROUND(MIN(MAX(0,N('Your debts'!$E$13)),I221),2)</f>
      </c>
      <c r="T221" s="33">
        <f>ROUND(MIN(MAX(0,N('Your debts'!$E$14)),J221),2)</f>
      </c>
      <c r="U221" s="33">
        <f>ROUND(MIN(MAX(0,N('Your debts'!$E$15)),K221),2)</f>
      </c>
      <c r="V221" s="33">
        <f>ROUND(B221-L221,2)</f>
      </c>
      <c r="W221" s="33">
        <f>ROUND(C221-M221,2)</f>
      </c>
      <c r="X221" s="33">
        <f>ROUND(D221-N221,2)</f>
      </c>
      <c r="Y221" s="33">
        <f>ROUND(E221-O221,2)</f>
      </c>
      <c r="Z221" s="33">
        <f>ROUND(F221-P221,2)</f>
      </c>
      <c r="AA221" s="33">
        <f>ROUND(G221-Q221,2)</f>
      </c>
      <c r="AB221" s="33">
        <f>ROUND(H221-R221,2)</f>
      </c>
      <c r="AC221" s="33">
        <f>ROUND(I221-S221,2)</f>
      </c>
      <c r="AD221" s="33">
        <f>ROUND(J221-T221,2)</f>
      </c>
      <c r="AE221" s="33">
        <f>ROUND(K221-U221,2)</f>
      </c>
      <c r="AF221" s="33">
        <f>IF(V221&lt;=0,0,MAX(0,MIN(V221,ROUND($AZ221-SUMPRODUCT($V221:$AE221*($V221:$AE221&gt;0)*(($V$3:$AE$3&gt;V$3)+($V$3:$AE$3=V$3)*($V221:$AE221&lt;V221)+($V$3:$AE$3=V$3)*($V221:$AE221=V221)*($V$2:$AE$2&lt;V$2))),2))))</f>
      </c>
      <c r="AG221" s="33">
        <f>IF(W221&lt;=0,0,MAX(0,MIN(W221,ROUND($AZ221-SUMPRODUCT($V221:$AE221*($V221:$AE221&gt;0)*(($V$3:$AE$3&gt;W$3)+($V$3:$AE$3=W$3)*($V221:$AE221&lt;W221)+($V$3:$AE$3=W$3)*($V221:$AE221=W221)*($V$2:$AE$2&lt;W$2))),2))))</f>
      </c>
      <c r="AH221" s="33">
        <f>IF(X221&lt;=0,0,MAX(0,MIN(X221,ROUND($AZ221-SUMPRODUCT($V221:$AE221*($V221:$AE221&gt;0)*(($V$3:$AE$3&gt;X$3)+($V$3:$AE$3=X$3)*($V221:$AE221&lt;X221)+($V$3:$AE$3=X$3)*($V221:$AE221=X221)*($V$2:$AE$2&lt;X$2))),2))))</f>
      </c>
      <c r="AI221" s="33">
        <f>IF(Y221&lt;=0,0,MAX(0,MIN(Y221,ROUND($AZ221-SUMPRODUCT($V221:$AE221*($V221:$AE221&gt;0)*(($V$3:$AE$3&gt;Y$3)+($V$3:$AE$3=Y$3)*($V221:$AE221&lt;Y221)+($V$3:$AE$3=Y$3)*($V221:$AE221=Y221)*($V$2:$AE$2&lt;Y$2))),2))))</f>
      </c>
      <c r="AJ221" s="33">
        <f>IF(Z221&lt;=0,0,MAX(0,MIN(Z221,ROUND($AZ221-SUMPRODUCT($V221:$AE221*($V221:$AE221&gt;0)*(($V$3:$AE$3&gt;Z$3)+($V$3:$AE$3=Z$3)*($V221:$AE221&lt;Z221)+($V$3:$AE$3=Z$3)*($V221:$AE221=Z221)*($V$2:$AE$2&lt;Z$2))),2))))</f>
      </c>
      <c r="AK221" s="33">
        <f>IF(AA221&lt;=0,0,MAX(0,MIN(AA221,ROUND($AZ221-SUMPRODUCT($V221:$AE221*($V221:$AE221&gt;0)*(($V$3:$AE$3&gt;AA$3)+($V$3:$AE$3=AA$3)*($V221:$AE221&lt;AA221)+($V$3:$AE$3=AA$3)*($V221:$AE221=AA221)*($V$2:$AE$2&lt;AA$2))),2))))</f>
      </c>
      <c r="AL221" s="33">
        <f>IF(AB221&lt;=0,0,MAX(0,MIN(AB221,ROUND($AZ221-SUMPRODUCT($V221:$AE221*($V221:$AE221&gt;0)*(($V$3:$AE$3&gt;AB$3)+($V$3:$AE$3=AB$3)*($V221:$AE221&lt;AB221)+($V$3:$AE$3=AB$3)*($V221:$AE221=AB221)*($V$2:$AE$2&lt;AB$2))),2))))</f>
      </c>
      <c r="AM221" s="33">
        <f>IF(AC221&lt;=0,0,MAX(0,MIN(AC221,ROUND($AZ221-SUMPRODUCT($V221:$AE221*($V221:$AE221&gt;0)*(($V$3:$AE$3&gt;AC$3)+($V$3:$AE$3=AC$3)*($V221:$AE221&lt;AC221)+($V$3:$AE$3=AC$3)*($V221:$AE221=AC221)*($V$2:$AE$2&lt;AC$2))),2))))</f>
      </c>
      <c r="AN221" s="33">
        <f>IF(AD221&lt;=0,0,MAX(0,MIN(AD221,ROUND($AZ221-SUMPRODUCT($V221:$AE221*($V221:$AE221&gt;0)*(($V$3:$AE$3&gt;AD$3)+($V$3:$AE$3=AD$3)*($V221:$AE221&lt;AD221)+($V$3:$AE$3=AD$3)*($V221:$AE221=AD221)*($V$2:$AE$2&lt;AD$2))),2))))</f>
      </c>
      <c r="AO221" s="33">
        <f>IF(AE221&lt;=0,0,MAX(0,MIN(AE221,ROUND($AZ221-SUMPRODUCT($V221:$AE221*($V221:$AE221&gt;0)*(($V$3:$AE$3&gt;AE$3)+($V$3:$AE$3=AE$3)*($V221:$AE221&lt;AE221)+($V$3:$AE$3=AE$3)*($V221:$AE221=AE221)*($V$2:$AE$2&lt;AE$2))),2))))</f>
      </c>
      <c r="AP221" s="33">
        <f>ROUND(V221-AF221,2)</f>
      </c>
      <c r="AQ221" s="33">
        <f>ROUND(W221-AG221,2)</f>
      </c>
      <c r="AR221" s="33">
        <f>ROUND(X221-AH221,2)</f>
      </c>
      <c r="AS221" s="33">
        <f>ROUND(Y221-AI221,2)</f>
      </c>
      <c r="AT221" s="33">
        <f>ROUND(Z221-AJ221,2)</f>
      </c>
      <c r="AU221" s="33">
        <f>ROUND(AA221-AK221,2)</f>
      </c>
      <c r="AV221" s="33">
        <f>ROUND(AB221-AL221,2)</f>
      </c>
      <c r="AW221" s="33">
        <f>ROUND(AC221-AM221,2)</f>
      </c>
      <c r="AX221" s="33">
        <f>ROUND(AD221-AN221,2)</f>
      </c>
      <c r="AY221" s="33">
        <f>ROUND(AE221-AO221,2)</f>
      </c>
      <c r="AZ221" s="33">
        <f>ROUND(MAX(0,'Your debts'!$D$22-SUM($L221:$U221)),2)</f>
      </c>
      <c r="BA221" s="33">
        <f>ROUND(SUM($B221:$K221)-SUM($AP220:$AY220),2)</f>
      </c>
      <c r="BB221" s="33">
        <f>SUM($AP221:$AY221)</f>
      </c>
      <c r="BC221" s="33">
        <f>ROUND(SUM($L221:$U221)+SUM($AF221:$AO221),2)</f>
      </c>
    </row>
    <row r="222" spans="1:55" x14ac:dyDescent="0.25">
      <c r="A222">
        <v>215</v>
      </c>
      <c r="B222" s="33">
        <f>IF(AP221&lt;=0,0,ROUND(AP221+ROUND(AP221*V$3/12,2),2))</f>
      </c>
      <c r="C222" s="33">
        <f>IF(AQ221&lt;=0,0,ROUND(AQ221+ROUND(AQ221*W$3/12,2),2))</f>
      </c>
      <c r="D222" s="33">
        <f>IF(AR221&lt;=0,0,ROUND(AR221+ROUND(AR221*X$3/12,2),2))</f>
      </c>
      <c r="E222" s="33">
        <f>IF(AS221&lt;=0,0,ROUND(AS221+ROUND(AS221*Y$3/12,2),2))</f>
      </c>
      <c r="F222" s="33">
        <f>IF(AT221&lt;=0,0,ROUND(AT221+ROUND(AT221*Z$3/12,2),2))</f>
      </c>
      <c r="G222" s="33">
        <f>IF(AU221&lt;=0,0,ROUND(AU221+ROUND(AU221*AA$3/12,2),2))</f>
      </c>
      <c r="H222" s="33">
        <f>IF(AV221&lt;=0,0,ROUND(AV221+ROUND(AV221*AB$3/12,2),2))</f>
      </c>
      <c r="I222" s="33">
        <f>IF(AW221&lt;=0,0,ROUND(AW221+ROUND(AW221*AC$3/12,2),2))</f>
      </c>
      <c r="J222" s="33">
        <f>IF(AX221&lt;=0,0,ROUND(AX221+ROUND(AX221*AD$3/12,2),2))</f>
      </c>
      <c r="K222" s="33">
        <f>IF(AY221&lt;=0,0,ROUND(AY221+ROUND(AY221*AE$3/12,2),2))</f>
      </c>
      <c r="L222" s="33">
        <f>ROUND(MIN(MAX(0,N('Your debts'!$E$6)),B222),2)</f>
      </c>
      <c r="M222" s="33">
        <f>ROUND(MIN(MAX(0,N('Your debts'!$E$7)),C222),2)</f>
      </c>
      <c r="N222" s="33">
        <f>ROUND(MIN(MAX(0,N('Your debts'!$E$8)),D222),2)</f>
      </c>
      <c r="O222" s="33">
        <f>ROUND(MIN(MAX(0,N('Your debts'!$E$9)),E222),2)</f>
      </c>
      <c r="P222" s="33">
        <f>ROUND(MIN(MAX(0,N('Your debts'!$E$10)),F222),2)</f>
      </c>
      <c r="Q222" s="33">
        <f>ROUND(MIN(MAX(0,N('Your debts'!$E$11)),G222),2)</f>
      </c>
      <c r="R222" s="33">
        <f>ROUND(MIN(MAX(0,N('Your debts'!$E$12)),H222),2)</f>
      </c>
      <c r="S222" s="33">
        <f>ROUND(MIN(MAX(0,N('Your debts'!$E$13)),I222),2)</f>
      </c>
      <c r="T222" s="33">
        <f>ROUND(MIN(MAX(0,N('Your debts'!$E$14)),J222),2)</f>
      </c>
      <c r="U222" s="33">
        <f>ROUND(MIN(MAX(0,N('Your debts'!$E$15)),K222),2)</f>
      </c>
      <c r="V222" s="33">
        <f>ROUND(B222-L222,2)</f>
      </c>
      <c r="W222" s="33">
        <f>ROUND(C222-M222,2)</f>
      </c>
      <c r="X222" s="33">
        <f>ROUND(D222-N222,2)</f>
      </c>
      <c r="Y222" s="33">
        <f>ROUND(E222-O222,2)</f>
      </c>
      <c r="Z222" s="33">
        <f>ROUND(F222-P222,2)</f>
      </c>
      <c r="AA222" s="33">
        <f>ROUND(G222-Q222,2)</f>
      </c>
      <c r="AB222" s="33">
        <f>ROUND(H222-R222,2)</f>
      </c>
      <c r="AC222" s="33">
        <f>ROUND(I222-S222,2)</f>
      </c>
      <c r="AD222" s="33">
        <f>ROUND(J222-T222,2)</f>
      </c>
      <c r="AE222" s="33">
        <f>ROUND(K222-U222,2)</f>
      </c>
      <c r="AF222" s="33">
        <f>IF(V222&lt;=0,0,MAX(0,MIN(V222,ROUND($AZ222-SUMPRODUCT($V222:$AE222*($V222:$AE222&gt;0)*(($V$3:$AE$3&gt;V$3)+($V$3:$AE$3=V$3)*($V222:$AE222&lt;V222)+($V$3:$AE$3=V$3)*($V222:$AE222=V222)*($V$2:$AE$2&lt;V$2))),2))))</f>
      </c>
      <c r="AG222" s="33">
        <f>IF(W222&lt;=0,0,MAX(0,MIN(W222,ROUND($AZ222-SUMPRODUCT($V222:$AE222*($V222:$AE222&gt;0)*(($V$3:$AE$3&gt;W$3)+($V$3:$AE$3=W$3)*($V222:$AE222&lt;W222)+($V$3:$AE$3=W$3)*($V222:$AE222=W222)*($V$2:$AE$2&lt;W$2))),2))))</f>
      </c>
      <c r="AH222" s="33">
        <f>IF(X222&lt;=0,0,MAX(0,MIN(X222,ROUND($AZ222-SUMPRODUCT($V222:$AE222*($V222:$AE222&gt;0)*(($V$3:$AE$3&gt;X$3)+($V$3:$AE$3=X$3)*($V222:$AE222&lt;X222)+($V$3:$AE$3=X$3)*($V222:$AE222=X222)*($V$2:$AE$2&lt;X$2))),2))))</f>
      </c>
      <c r="AI222" s="33">
        <f>IF(Y222&lt;=0,0,MAX(0,MIN(Y222,ROUND($AZ222-SUMPRODUCT($V222:$AE222*($V222:$AE222&gt;0)*(($V$3:$AE$3&gt;Y$3)+($V$3:$AE$3=Y$3)*($V222:$AE222&lt;Y222)+($V$3:$AE$3=Y$3)*($V222:$AE222=Y222)*($V$2:$AE$2&lt;Y$2))),2))))</f>
      </c>
      <c r="AJ222" s="33">
        <f>IF(Z222&lt;=0,0,MAX(0,MIN(Z222,ROUND($AZ222-SUMPRODUCT($V222:$AE222*($V222:$AE222&gt;0)*(($V$3:$AE$3&gt;Z$3)+($V$3:$AE$3=Z$3)*($V222:$AE222&lt;Z222)+($V$3:$AE$3=Z$3)*($V222:$AE222=Z222)*($V$2:$AE$2&lt;Z$2))),2))))</f>
      </c>
      <c r="AK222" s="33">
        <f>IF(AA222&lt;=0,0,MAX(0,MIN(AA222,ROUND($AZ222-SUMPRODUCT($V222:$AE222*($V222:$AE222&gt;0)*(($V$3:$AE$3&gt;AA$3)+($V$3:$AE$3=AA$3)*($V222:$AE222&lt;AA222)+($V$3:$AE$3=AA$3)*($V222:$AE222=AA222)*($V$2:$AE$2&lt;AA$2))),2))))</f>
      </c>
      <c r="AL222" s="33">
        <f>IF(AB222&lt;=0,0,MAX(0,MIN(AB222,ROUND($AZ222-SUMPRODUCT($V222:$AE222*($V222:$AE222&gt;0)*(($V$3:$AE$3&gt;AB$3)+($V$3:$AE$3=AB$3)*($V222:$AE222&lt;AB222)+($V$3:$AE$3=AB$3)*($V222:$AE222=AB222)*($V$2:$AE$2&lt;AB$2))),2))))</f>
      </c>
      <c r="AM222" s="33">
        <f>IF(AC222&lt;=0,0,MAX(0,MIN(AC222,ROUND($AZ222-SUMPRODUCT($V222:$AE222*($V222:$AE222&gt;0)*(($V$3:$AE$3&gt;AC$3)+($V$3:$AE$3=AC$3)*($V222:$AE222&lt;AC222)+($V$3:$AE$3=AC$3)*($V222:$AE222=AC222)*($V$2:$AE$2&lt;AC$2))),2))))</f>
      </c>
      <c r="AN222" s="33">
        <f>IF(AD222&lt;=0,0,MAX(0,MIN(AD222,ROUND($AZ222-SUMPRODUCT($V222:$AE222*($V222:$AE222&gt;0)*(($V$3:$AE$3&gt;AD$3)+($V$3:$AE$3=AD$3)*($V222:$AE222&lt;AD222)+($V$3:$AE$3=AD$3)*($V222:$AE222=AD222)*($V$2:$AE$2&lt;AD$2))),2))))</f>
      </c>
      <c r="AO222" s="33">
        <f>IF(AE222&lt;=0,0,MAX(0,MIN(AE222,ROUND($AZ222-SUMPRODUCT($V222:$AE222*($V222:$AE222&gt;0)*(($V$3:$AE$3&gt;AE$3)+($V$3:$AE$3=AE$3)*($V222:$AE222&lt;AE222)+($V$3:$AE$3=AE$3)*($V222:$AE222=AE222)*($V$2:$AE$2&lt;AE$2))),2))))</f>
      </c>
      <c r="AP222" s="33">
        <f>ROUND(V222-AF222,2)</f>
      </c>
      <c r="AQ222" s="33">
        <f>ROUND(W222-AG222,2)</f>
      </c>
      <c r="AR222" s="33">
        <f>ROUND(X222-AH222,2)</f>
      </c>
      <c r="AS222" s="33">
        <f>ROUND(Y222-AI222,2)</f>
      </c>
      <c r="AT222" s="33">
        <f>ROUND(Z222-AJ222,2)</f>
      </c>
      <c r="AU222" s="33">
        <f>ROUND(AA222-AK222,2)</f>
      </c>
      <c r="AV222" s="33">
        <f>ROUND(AB222-AL222,2)</f>
      </c>
      <c r="AW222" s="33">
        <f>ROUND(AC222-AM222,2)</f>
      </c>
      <c r="AX222" s="33">
        <f>ROUND(AD222-AN222,2)</f>
      </c>
      <c r="AY222" s="33">
        <f>ROUND(AE222-AO222,2)</f>
      </c>
      <c r="AZ222" s="33">
        <f>ROUND(MAX(0,'Your debts'!$D$22-SUM($L222:$U222)),2)</f>
      </c>
      <c r="BA222" s="33">
        <f>ROUND(SUM($B222:$K222)-SUM($AP221:$AY221),2)</f>
      </c>
      <c r="BB222" s="33">
        <f>SUM($AP222:$AY222)</f>
      </c>
      <c r="BC222" s="33">
        <f>ROUND(SUM($L222:$U222)+SUM($AF222:$AO222),2)</f>
      </c>
    </row>
    <row r="223" spans="1:55" x14ac:dyDescent="0.25">
      <c r="A223">
        <v>216</v>
      </c>
      <c r="B223" s="33">
        <f>IF(AP222&lt;=0,0,ROUND(AP222+ROUND(AP222*V$3/12,2),2))</f>
      </c>
      <c r="C223" s="33">
        <f>IF(AQ222&lt;=0,0,ROUND(AQ222+ROUND(AQ222*W$3/12,2),2))</f>
      </c>
      <c r="D223" s="33">
        <f>IF(AR222&lt;=0,0,ROUND(AR222+ROUND(AR222*X$3/12,2),2))</f>
      </c>
      <c r="E223" s="33">
        <f>IF(AS222&lt;=0,0,ROUND(AS222+ROUND(AS222*Y$3/12,2),2))</f>
      </c>
      <c r="F223" s="33">
        <f>IF(AT222&lt;=0,0,ROUND(AT222+ROUND(AT222*Z$3/12,2),2))</f>
      </c>
      <c r="G223" s="33">
        <f>IF(AU222&lt;=0,0,ROUND(AU222+ROUND(AU222*AA$3/12,2),2))</f>
      </c>
      <c r="H223" s="33">
        <f>IF(AV222&lt;=0,0,ROUND(AV222+ROUND(AV222*AB$3/12,2),2))</f>
      </c>
      <c r="I223" s="33">
        <f>IF(AW222&lt;=0,0,ROUND(AW222+ROUND(AW222*AC$3/12,2),2))</f>
      </c>
      <c r="J223" s="33">
        <f>IF(AX222&lt;=0,0,ROUND(AX222+ROUND(AX222*AD$3/12,2),2))</f>
      </c>
      <c r="K223" s="33">
        <f>IF(AY222&lt;=0,0,ROUND(AY222+ROUND(AY222*AE$3/12,2),2))</f>
      </c>
      <c r="L223" s="33">
        <f>ROUND(MIN(MAX(0,N('Your debts'!$E$6)),B223),2)</f>
      </c>
      <c r="M223" s="33">
        <f>ROUND(MIN(MAX(0,N('Your debts'!$E$7)),C223),2)</f>
      </c>
      <c r="N223" s="33">
        <f>ROUND(MIN(MAX(0,N('Your debts'!$E$8)),D223),2)</f>
      </c>
      <c r="O223" s="33">
        <f>ROUND(MIN(MAX(0,N('Your debts'!$E$9)),E223),2)</f>
      </c>
      <c r="P223" s="33">
        <f>ROUND(MIN(MAX(0,N('Your debts'!$E$10)),F223),2)</f>
      </c>
      <c r="Q223" s="33">
        <f>ROUND(MIN(MAX(0,N('Your debts'!$E$11)),G223),2)</f>
      </c>
      <c r="R223" s="33">
        <f>ROUND(MIN(MAX(0,N('Your debts'!$E$12)),H223),2)</f>
      </c>
      <c r="S223" s="33">
        <f>ROUND(MIN(MAX(0,N('Your debts'!$E$13)),I223),2)</f>
      </c>
      <c r="T223" s="33">
        <f>ROUND(MIN(MAX(0,N('Your debts'!$E$14)),J223),2)</f>
      </c>
      <c r="U223" s="33">
        <f>ROUND(MIN(MAX(0,N('Your debts'!$E$15)),K223),2)</f>
      </c>
      <c r="V223" s="33">
        <f>ROUND(B223-L223,2)</f>
      </c>
      <c r="W223" s="33">
        <f>ROUND(C223-M223,2)</f>
      </c>
      <c r="X223" s="33">
        <f>ROUND(D223-N223,2)</f>
      </c>
      <c r="Y223" s="33">
        <f>ROUND(E223-O223,2)</f>
      </c>
      <c r="Z223" s="33">
        <f>ROUND(F223-P223,2)</f>
      </c>
      <c r="AA223" s="33">
        <f>ROUND(G223-Q223,2)</f>
      </c>
      <c r="AB223" s="33">
        <f>ROUND(H223-R223,2)</f>
      </c>
      <c r="AC223" s="33">
        <f>ROUND(I223-S223,2)</f>
      </c>
      <c r="AD223" s="33">
        <f>ROUND(J223-T223,2)</f>
      </c>
      <c r="AE223" s="33">
        <f>ROUND(K223-U223,2)</f>
      </c>
      <c r="AF223" s="33">
        <f>IF(V223&lt;=0,0,MAX(0,MIN(V223,ROUND($AZ223-SUMPRODUCT($V223:$AE223*($V223:$AE223&gt;0)*(($V$3:$AE$3&gt;V$3)+($V$3:$AE$3=V$3)*($V223:$AE223&lt;V223)+($V$3:$AE$3=V$3)*($V223:$AE223=V223)*($V$2:$AE$2&lt;V$2))),2))))</f>
      </c>
      <c r="AG223" s="33">
        <f>IF(W223&lt;=0,0,MAX(0,MIN(W223,ROUND($AZ223-SUMPRODUCT($V223:$AE223*($V223:$AE223&gt;0)*(($V$3:$AE$3&gt;W$3)+($V$3:$AE$3=W$3)*($V223:$AE223&lt;W223)+($V$3:$AE$3=W$3)*($V223:$AE223=W223)*($V$2:$AE$2&lt;W$2))),2))))</f>
      </c>
      <c r="AH223" s="33">
        <f>IF(X223&lt;=0,0,MAX(0,MIN(X223,ROUND($AZ223-SUMPRODUCT($V223:$AE223*($V223:$AE223&gt;0)*(($V$3:$AE$3&gt;X$3)+($V$3:$AE$3=X$3)*($V223:$AE223&lt;X223)+($V$3:$AE$3=X$3)*($V223:$AE223=X223)*($V$2:$AE$2&lt;X$2))),2))))</f>
      </c>
      <c r="AI223" s="33">
        <f>IF(Y223&lt;=0,0,MAX(0,MIN(Y223,ROUND($AZ223-SUMPRODUCT($V223:$AE223*($V223:$AE223&gt;0)*(($V$3:$AE$3&gt;Y$3)+($V$3:$AE$3=Y$3)*($V223:$AE223&lt;Y223)+($V$3:$AE$3=Y$3)*($V223:$AE223=Y223)*($V$2:$AE$2&lt;Y$2))),2))))</f>
      </c>
      <c r="AJ223" s="33">
        <f>IF(Z223&lt;=0,0,MAX(0,MIN(Z223,ROUND($AZ223-SUMPRODUCT($V223:$AE223*($V223:$AE223&gt;0)*(($V$3:$AE$3&gt;Z$3)+($V$3:$AE$3=Z$3)*($V223:$AE223&lt;Z223)+($V$3:$AE$3=Z$3)*($V223:$AE223=Z223)*($V$2:$AE$2&lt;Z$2))),2))))</f>
      </c>
      <c r="AK223" s="33">
        <f>IF(AA223&lt;=0,0,MAX(0,MIN(AA223,ROUND($AZ223-SUMPRODUCT($V223:$AE223*($V223:$AE223&gt;0)*(($V$3:$AE$3&gt;AA$3)+($V$3:$AE$3=AA$3)*($V223:$AE223&lt;AA223)+($V$3:$AE$3=AA$3)*($V223:$AE223=AA223)*($V$2:$AE$2&lt;AA$2))),2))))</f>
      </c>
      <c r="AL223" s="33">
        <f>IF(AB223&lt;=0,0,MAX(0,MIN(AB223,ROUND($AZ223-SUMPRODUCT($V223:$AE223*($V223:$AE223&gt;0)*(($V$3:$AE$3&gt;AB$3)+($V$3:$AE$3=AB$3)*($V223:$AE223&lt;AB223)+($V$3:$AE$3=AB$3)*($V223:$AE223=AB223)*($V$2:$AE$2&lt;AB$2))),2))))</f>
      </c>
      <c r="AM223" s="33">
        <f>IF(AC223&lt;=0,0,MAX(0,MIN(AC223,ROUND($AZ223-SUMPRODUCT($V223:$AE223*($V223:$AE223&gt;0)*(($V$3:$AE$3&gt;AC$3)+($V$3:$AE$3=AC$3)*($V223:$AE223&lt;AC223)+($V$3:$AE$3=AC$3)*($V223:$AE223=AC223)*($V$2:$AE$2&lt;AC$2))),2))))</f>
      </c>
      <c r="AN223" s="33">
        <f>IF(AD223&lt;=0,0,MAX(0,MIN(AD223,ROUND($AZ223-SUMPRODUCT($V223:$AE223*($V223:$AE223&gt;0)*(($V$3:$AE$3&gt;AD$3)+($V$3:$AE$3=AD$3)*($V223:$AE223&lt;AD223)+($V$3:$AE$3=AD$3)*($V223:$AE223=AD223)*($V$2:$AE$2&lt;AD$2))),2))))</f>
      </c>
      <c r="AO223" s="33">
        <f>IF(AE223&lt;=0,0,MAX(0,MIN(AE223,ROUND($AZ223-SUMPRODUCT($V223:$AE223*($V223:$AE223&gt;0)*(($V$3:$AE$3&gt;AE$3)+($V$3:$AE$3=AE$3)*($V223:$AE223&lt;AE223)+($V$3:$AE$3=AE$3)*($V223:$AE223=AE223)*($V$2:$AE$2&lt;AE$2))),2))))</f>
      </c>
      <c r="AP223" s="33">
        <f>ROUND(V223-AF223,2)</f>
      </c>
      <c r="AQ223" s="33">
        <f>ROUND(W223-AG223,2)</f>
      </c>
      <c r="AR223" s="33">
        <f>ROUND(X223-AH223,2)</f>
      </c>
      <c r="AS223" s="33">
        <f>ROUND(Y223-AI223,2)</f>
      </c>
      <c r="AT223" s="33">
        <f>ROUND(Z223-AJ223,2)</f>
      </c>
      <c r="AU223" s="33">
        <f>ROUND(AA223-AK223,2)</f>
      </c>
      <c r="AV223" s="33">
        <f>ROUND(AB223-AL223,2)</f>
      </c>
      <c r="AW223" s="33">
        <f>ROUND(AC223-AM223,2)</f>
      </c>
      <c r="AX223" s="33">
        <f>ROUND(AD223-AN223,2)</f>
      </c>
      <c r="AY223" s="33">
        <f>ROUND(AE223-AO223,2)</f>
      </c>
      <c r="AZ223" s="33">
        <f>ROUND(MAX(0,'Your debts'!$D$22-SUM($L223:$U223)),2)</f>
      </c>
      <c r="BA223" s="33">
        <f>ROUND(SUM($B223:$K223)-SUM($AP222:$AY222),2)</f>
      </c>
      <c r="BB223" s="33">
        <f>SUM($AP223:$AY223)</f>
      </c>
      <c r="BC223" s="33">
        <f>ROUND(SUM($L223:$U223)+SUM($AF223:$AO223),2)</f>
      </c>
    </row>
    <row r="224" spans="1:55" x14ac:dyDescent="0.25">
      <c r="A224">
        <v>217</v>
      </c>
      <c r="B224" s="33">
        <f>IF(AP223&lt;=0,0,ROUND(AP223+ROUND(AP223*V$3/12,2),2))</f>
      </c>
      <c r="C224" s="33">
        <f>IF(AQ223&lt;=0,0,ROUND(AQ223+ROUND(AQ223*W$3/12,2),2))</f>
      </c>
      <c r="D224" s="33">
        <f>IF(AR223&lt;=0,0,ROUND(AR223+ROUND(AR223*X$3/12,2),2))</f>
      </c>
      <c r="E224" s="33">
        <f>IF(AS223&lt;=0,0,ROUND(AS223+ROUND(AS223*Y$3/12,2),2))</f>
      </c>
      <c r="F224" s="33">
        <f>IF(AT223&lt;=0,0,ROUND(AT223+ROUND(AT223*Z$3/12,2),2))</f>
      </c>
      <c r="G224" s="33">
        <f>IF(AU223&lt;=0,0,ROUND(AU223+ROUND(AU223*AA$3/12,2),2))</f>
      </c>
      <c r="H224" s="33">
        <f>IF(AV223&lt;=0,0,ROUND(AV223+ROUND(AV223*AB$3/12,2),2))</f>
      </c>
      <c r="I224" s="33">
        <f>IF(AW223&lt;=0,0,ROUND(AW223+ROUND(AW223*AC$3/12,2),2))</f>
      </c>
      <c r="J224" s="33">
        <f>IF(AX223&lt;=0,0,ROUND(AX223+ROUND(AX223*AD$3/12,2),2))</f>
      </c>
      <c r="K224" s="33">
        <f>IF(AY223&lt;=0,0,ROUND(AY223+ROUND(AY223*AE$3/12,2),2))</f>
      </c>
      <c r="L224" s="33">
        <f>ROUND(MIN(MAX(0,N('Your debts'!$E$6)),B224),2)</f>
      </c>
      <c r="M224" s="33">
        <f>ROUND(MIN(MAX(0,N('Your debts'!$E$7)),C224),2)</f>
      </c>
      <c r="N224" s="33">
        <f>ROUND(MIN(MAX(0,N('Your debts'!$E$8)),D224),2)</f>
      </c>
      <c r="O224" s="33">
        <f>ROUND(MIN(MAX(0,N('Your debts'!$E$9)),E224),2)</f>
      </c>
      <c r="P224" s="33">
        <f>ROUND(MIN(MAX(0,N('Your debts'!$E$10)),F224),2)</f>
      </c>
      <c r="Q224" s="33">
        <f>ROUND(MIN(MAX(0,N('Your debts'!$E$11)),G224),2)</f>
      </c>
      <c r="R224" s="33">
        <f>ROUND(MIN(MAX(0,N('Your debts'!$E$12)),H224),2)</f>
      </c>
      <c r="S224" s="33">
        <f>ROUND(MIN(MAX(0,N('Your debts'!$E$13)),I224),2)</f>
      </c>
      <c r="T224" s="33">
        <f>ROUND(MIN(MAX(0,N('Your debts'!$E$14)),J224),2)</f>
      </c>
      <c r="U224" s="33">
        <f>ROUND(MIN(MAX(0,N('Your debts'!$E$15)),K224),2)</f>
      </c>
      <c r="V224" s="33">
        <f>ROUND(B224-L224,2)</f>
      </c>
      <c r="W224" s="33">
        <f>ROUND(C224-M224,2)</f>
      </c>
      <c r="X224" s="33">
        <f>ROUND(D224-N224,2)</f>
      </c>
      <c r="Y224" s="33">
        <f>ROUND(E224-O224,2)</f>
      </c>
      <c r="Z224" s="33">
        <f>ROUND(F224-P224,2)</f>
      </c>
      <c r="AA224" s="33">
        <f>ROUND(G224-Q224,2)</f>
      </c>
      <c r="AB224" s="33">
        <f>ROUND(H224-R224,2)</f>
      </c>
      <c r="AC224" s="33">
        <f>ROUND(I224-S224,2)</f>
      </c>
      <c r="AD224" s="33">
        <f>ROUND(J224-T224,2)</f>
      </c>
      <c r="AE224" s="33">
        <f>ROUND(K224-U224,2)</f>
      </c>
      <c r="AF224" s="33">
        <f>IF(V224&lt;=0,0,MAX(0,MIN(V224,ROUND($AZ224-SUMPRODUCT($V224:$AE224*($V224:$AE224&gt;0)*(($V$3:$AE$3&gt;V$3)+($V$3:$AE$3=V$3)*($V224:$AE224&lt;V224)+($V$3:$AE$3=V$3)*($V224:$AE224=V224)*($V$2:$AE$2&lt;V$2))),2))))</f>
      </c>
      <c r="AG224" s="33">
        <f>IF(W224&lt;=0,0,MAX(0,MIN(W224,ROUND($AZ224-SUMPRODUCT($V224:$AE224*($V224:$AE224&gt;0)*(($V$3:$AE$3&gt;W$3)+($V$3:$AE$3=W$3)*($V224:$AE224&lt;W224)+($V$3:$AE$3=W$3)*($V224:$AE224=W224)*($V$2:$AE$2&lt;W$2))),2))))</f>
      </c>
      <c r="AH224" s="33">
        <f>IF(X224&lt;=0,0,MAX(0,MIN(X224,ROUND($AZ224-SUMPRODUCT($V224:$AE224*($V224:$AE224&gt;0)*(($V$3:$AE$3&gt;X$3)+($V$3:$AE$3=X$3)*($V224:$AE224&lt;X224)+($V$3:$AE$3=X$3)*($V224:$AE224=X224)*($V$2:$AE$2&lt;X$2))),2))))</f>
      </c>
      <c r="AI224" s="33">
        <f>IF(Y224&lt;=0,0,MAX(0,MIN(Y224,ROUND($AZ224-SUMPRODUCT($V224:$AE224*($V224:$AE224&gt;0)*(($V$3:$AE$3&gt;Y$3)+($V$3:$AE$3=Y$3)*($V224:$AE224&lt;Y224)+($V$3:$AE$3=Y$3)*($V224:$AE224=Y224)*($V$2:$AE$2&lt;Y$2))),2))))</f>
      </c>
      <c r="AJ224" s="33">
        <f>IF(Z224&lt;=0,0,MAX(0,MIN(Z224,ROUND($AZ224-SUMPRODUCT($V224:$AE224*($V224:$AE224&gt;0)*(($V$3:$AE$3&gt;Z$3)+($V$3:$AE$3=Z$3)*($V224:$AE224&lt;Z224)+($V$3:$AE$3=Z$3)*($V224:$AE224=Z224)*($V$2:$AE$2&lt;Z$2))),2))))</f>
      </c>
      <c r="AK224" s="33">
        <f>IF(AA224&lt;=0,0,MAX(0,MIN(AA224,ROUND($AZ224-SUMPRODUCT($V224:$AE224*($V224:$AE224&gt;0)*(($V$3:$AE$3&gt;AA$3)+($V$3:$AE$3=AA$3)*($V224:$AE224&lt;AA224)+($V$3:$AE$3=AA$3)*($V224:$AE224=AA224)*($V$2:$AE$2&lt;AA$2))),2))))</f>
      </c>
      <c r="AL224" s="33">
        <f>IF(AB224&lt;=0,0,MAX(0,MIN(AB224,ROUND($AZ224-SUMPRODUCT($V224:$AE224*($V224:$AE224&gt;0)*(($V$3:$AE$3&gt;AB$3)+($V$3:$AE$3=AB$3)*($V224:$AE224&lt;AB224)+($V$3:$AE$3=AB$3)*($V224:$AE224=AB224)*($V$2:$AE$2&lt;AB$2))),2))))</f>
      </c>
      <c r="AM224" s="33">
        <f>IF(AC224&lt;=0,0,MAX(0,MIN(AC224,ROUND($AZ224-SUMPRODUCT($V224:$AE224*($V224:$AE224&gt;0)*(($V$3:$AE$3&gt;AC$3)+($V$3:$AE$3=AC$3)*($V224:$AE224&lt;AC224)+($V$3:$AE$3=AC$3)*($V224:$AE224=AC224)*($V$2:$AE$2&lt;AC$2))),2))))</f>
      </c>
      <c r="AN224" s="33">
        <f>IF(AD224&lt;=0,0,MAX(0,MIN(AD224,ROUND($AZ224-SUMPRODUCT($V224:$AE224*($V224:$AE224&gt;0)*(($V$3:$AE$3&gt;AD$3)+($V$3:$AE$3=AD$3)*($V224:$AE224&lt;AD224)+($V$3:$AE$3=AD$3)*($V224:$AE224=AD224)*($V$2:$AE$2&lt;AD$2))),2))))</f>
      </c>
      <c r="AO224" s="33">
        <f>IF(AE224&lt;=0,0,MAX(0,MIN(AE224,ROUND($AZ224-SUMPRODUCT($V224:$AE224*($V224:$AE224&gt;0)*(($V$3:$AE$3&gt;AE$3)+($V$3:$AE$3=AE$3)*($V224:$AE224&lt;AE224)+($V$3:$AE$3=AE$3)*($V224:$AE224=AE224)*($V$2:$AE$2&lt;AE$2))),2))))</f>
      </c>
      <c r="AP224" s="33">
        <f>ROUND(V224-AF224,2)</f>
      </c>
      <c r="AQ224" s="33">
        <f>ROUND(W224-AG224,2)</f>
      </c>
      <c r="AR224" s="33">
        <f>ROUND(X224-AH224,2)</f>
      </c>
      <c r="AS224" s="33">
        <f>ROUND(Y224-AI224,2)</f>
      </c>
      <c r="AT224" s="33">
        <f>ROUND(Z224-AJ224,2)</f>
      </c>
      <c r="AU224" s="33">
        <f>ROUND(AA224-AK224,2)</f>
      </c>
      <c r="AV224" s="33">
        <f>ROUND(AB224-AL224,2)</f>
      </c>
      <c r="AW224" s="33">
        <f>ROUND(AC224-AM224,2)</f>
      </c>
      <c r="AX224" s="33">
        <f>ROUND(AD224-AN224,2)</f>
      </c>
      <c r="AY224" s="33">
        <f>ROUND(AE224-AO224,2)</f>
      </c>
      <c r="AZ224" s="33">
        <f>ROUND(MAX(0,'Your debts'!$D$22-SUM($L224:$U224)),2)</f>
      </c>
      <c r="BA224" s="33">
        <f>ROUND(SUM($B224:$K224)-SUM($AP223:$AY223),2)</f>
      </c>
      <c r="BB224" s="33">
        <f>SUM($AP224:$AY224)</f>
      </c>
      <c r="BC224" s="33">
        <f>ROUND(SUM($L224:$U224)+SUM($AF224:$AO224),2)</f>
      </c>
    </row>
    <row r="225" spans="1:55" x14ac:dyDescent="0.25">
      <c r="A225">
        <v>218</v>
      </c>
      <c r="B225" s="33">
        <f>IF(AP224&lt;=0,0,ROUND(AP224+ROUND(AP224*V$3/12,2),2))</f>
      </c>
      <c r="C225" s="33">
        <f>IF(AQ224&lt;=0,0,ROUND(AQ224+ROUND(AQ224*W$3/12,2),2))</f>
      </c>
      <c r="D225" s="33">
        <f>IF(AR224&lt;=0,0,ROUND(AR224+ROUND(AR224*X$3/12,2),2))</f>
      </c>
      <c r="E225" s="33">
        <f>IF(AS224&lt;=0,0,ROUND(AS224+ROUND(AS224*Y$3/12,2),2))</f>
      </c>
      <c r="F225" s="33">
        <f>IF(AT224&lt;=0,0,ROUND(AT224+ROUND(AT224*Z$3/12,2),2))</f>
      </c>
      <c r="G225" s="33">
        <f>IF(AU224&lt;=0,0,ROUND(AU224+ROUND(AU224*AA$3/12,2),2))</f>
      </c>
      <c r="H225" s="33">
        <f>IF(AV224&lt;=0,0,ROUND(AV224+ROUND(AV224*AB$3/12,2),2))</f>
      </c>
      <c r="I225" s="33">
        <f>IF(AW224&lt;=0,0,ROUND(AW224+ROUND(AW224*AC$3/12,2),2))</f>
      </c>
      <c r="J225" s="33">
        <f>IF(AX224&lt;=0,0,ROUND(AX224+ROUND(AX224*AD$3/12,2),2))</f>
      </c>
      <c r="K225" s="33">
        <f>IF(AY224&lt;=0,0,ROUND(AY224+ROUND(AY224*AE$3/12,2),2))</f>
      </c>
      <c r="L225" s="33">
        <f>ROUND(MIN(MAX(0,N('Your debts'!$E$6)),B225),2)</f>
      </c>
      <c r="M225" s="33">
        <f>ROUND(MIN(MAX(0,N('Your debts'!$E$7)),C225),2)</f>
      </c>
      <c r="N225" s="33">
        <f>ROUND(MIN(MAX(0,N('Your debts'!$E$8)),D225),2)</f>
      </c>
      <c r="O225" s="33">
        <f>ROUND(MIN(MAX(0,N('Your debts'!$E$9)),E225),2)</f>
      </c>
      <c r="P225" s="33">
        <f>ROUND(MIN(MAX(0,N('Your debts'!$E$10)),F225),2)</f>
      </c>
      <c r="Q225" s="33">
        <f>ROUND(MIN(MAX(0,N('Your debts'!$E$11)),G225),2)</f>
      </c>
      <c r="R225" s="33">
        <f>ROUND(MIN(MAX(0,N('Your debts'!$E$12)),H225),2)</f>
      </c>
      <c r="S225" s="33">
        <f>ROUND(MIN(MAX(0,N('Your debts'!$E$13)),I225),2)</f>
      </c>
      <c r="T225" s="33">
        <f>ROUND(MIN(MAX(0,N('Your debts'!$E$14)),J225),2)</f>
      </c>
      <c r="U225" s="33">
        <f>ROUND(MIN(MAX(0,N('Your debts'!$E$15)),K225),2)</f>
      </c>
      <c r="V225" s="33">
        <f>ROUND(B225-L225,2)</f>
      </c>
      <c r="W225" s="33">
        <f>ROUND(C225-M225,2)</f>
      </c>
      <c r="X225" s="33">
        <f>ROUND(D225-N225,2)</f>
      </c>
      <c r="Y225" s="33">
        <f>ROUND(E225-O225,2)</f>
      </c>
      <c r="Z225" s="33">
        <f>ROUND(F225-P225,2)</f>
      </c>
      <c r="AA225" s="33">
        <f>ROUND(G225-Q225,2)</f>
      </c>
      <c r="AB225" s="33">
        <f>ROUND(H225-R225,2)</f>
      </c>
      <c r="AC225" s="33">
        <f>ROUND(I225-S225,2)</f>
      </c>
      <c r="AD225" s="33">
        <f>ROUND(J225-T225,2)</f>
      </c>
      <c r="AE225" s="33">
        <f>ROUND(K225-U225,2)</f>
      </c>
      <c r="AF225" s="33">
        <f>IF(V225&lt;=0,0,MAX(0,MIN(V225,ROUND($AZ225-SUMPRODUCT($V225:$AE225*($V225:$AE225&gt;0)*(($V$3:$AE$3&gt;V$3)+($V$3:$AE$3=V$3)*($V225:$AE225&lt;V225)+($V$3:$AE$3=V$3)*($V225:$AE225=V225)*($V$2:$AE$2&lt;V$2))),2))))</f>
      </c>
      <c r="AG225" s="33">
        <f>IF(W225&lt;=0,0,MAX(0,MIN(W225,ROUND($AZ225-SUMPRODUCT($V225:$AE225*($V225:$AE225&gt;0)*(($V$3:$AE$3&gt;W$3)+($V$3:$AE$3=W$3)*($V225:$AE225&lt;W225)+($V$3:$AE$3=W$3)*($V225:$AE225=W225)*($V$2:$AE$2&lt;W$2))),2))))</f>
      </c>
      <c r="AH225" s="33">
        <f>IF(X225&lt;=0,0,MAX(0,MIN(X225,ROUND($AZ225-SUMPRODUCT($V225:$AE225*($V225:$AE225&gt;0)*(($V$3:$AE$3&gt;X$3)+($V$3:$AE$3=X$3)*($V225:$AE225&lt;X225)+($V$3:$AE$3=X$3)*($V225:$AE225=X225)*($V$2:$AE$2&lt;X$2))),2))))</f>
      </c>
      <c r="AI225" s="33">
        <f>IF(Y225&lt;=0,0,MAX(0,MIN(Y225,ROUND($AZ225-SUMPRODUCT($V225:$AE225*($V225:$AE225&gt;0)*(($V$3:$AE$3&gt;Y$3)+($V$3:$AE$3=Y$3)*($V225:$AE225&lt;Y225)+($V$3:$AE$3=Y$3)*($V225:$AE225=Y225)*($V$2:$AE$2&lt;Y$2))),2))))</f>
      </c>
      <c r="AJ225" s="33">
        <f>IF(Z225&lt;=0,0,MAX(0,MIN(Z225,ROUND($AZ225-SUMPRODUCT($V225:$AE225*($V225:$AE225&gt;0)*(($V$3:$AE$3&gt;Z$3)+($V$3:$AE$3=Z$3)*($V225:$AE225&lt;Z225)+($V$3:$AE$3=Z$3)*($V225:$AE225=Z225)*($V$2:$AE$2&lt;Z$2))),2))))</f>
      </c>
      <c r="AK225" s="33">
        <f>IF(AA225&lt;=0,0,MAX(0,MIN(AA225,ROUND($AZ225-SUMPRODUCT($V225:$AE225*($V225:$AE225&gt;0)*(($V$3:$AE$3&gt;AA$3)+($V$3:$AE$3=AA$3)*($V225:$AE225&lt;AA225)+($V$3:$AE$3=AA$3)*($V225:$AE225=AA225)*($V$2:$AE$2&lt;AA$2))),2))))</f>
      </c>
      <c r="AL225" s="33">
        <f>IF(AB225&lt;=0,0,MAX(0,MIN(AB225,ROUND($AZ225-SUMPRODUCT($V225:$AE225*($V225:$AE225&gt;0)*(($V$3:$AE$3&gt;AB$3)+($V$3:$AE$3=AB$3)*($V225:$AE225&lt;AB225)+($V$3:$AE$3=AB$3)*($V225:$AE225=AB225)*($V$2:$AE$2&lt;AB$2))),2))))</f>
      </c>
      <c r="AM225" s="33">
        <f>IF(AC225&lt;=0,0,MAX(0,MIN(AC225,ROUND($AZ225-SUMPRODUCT($V225:$AE225*($V225:$AE225&gt;0)*(($V$3:$AE$3&gt;AC$3)+($V$3:$AE$3=AC$3)*($V225:$AE225&lt;AC225)+($V$3:$AE$3=AC$3)*($V225:$AE225=AC225)*($V$2:$AE$2&lt;AC$2))),2))))</f>
      </c>
      <c r="AN225" s="33">
        <f>IF(AD225&lt;=0,0,MAX(0,MIN(AD225,ROUND($AZ225-SUMPRODUCT($V225:$AE225*($V225:$AE225&gt;0)*(($V$3:$AE$3&gt;AD$3)+($V$3:$AE$3=AD$3)*($V225:$AE225&lt;AD225)+($V$3:$AE$3=AD$3)*($V225:$AE225=AD225)*($V$2:$AE$2&lt;AD$2))),2))))</f>
      </c>
      <c r="AO225" s="33">
        <f>IF(AE225&lt;=0,0,MAX(0,MIN(AE225,ROUND($AZ225-SUMPRODUCT($V225:$AE225*($V225:$AE225&gt;0)*(($V$3:$AE$3&gt;AE$3)+($V$3:$AE$3=AE$3)*($V225:$AE225&lt;AE225)+($V$3:$AE$3=AE$3)*($V225:$AE225=AE225)*($V$2:$AE$2&lt;AE$2))),2))))</f>
      </c>
      <c r="AP225" s="33">
        <f>ROUND(V225-AF225,2)</f>
      </c>
      <c r="AQ225" s="33">
        <f>ROUND(W225-AG225,2)</f>
      </c>
      <c r="AR225" s="33">
        <f>ROUND(X225-AH225,2)</f>
      </c>
      <c r="AS225" s="33">
        <f>ROUND(Y225-AI225,2)</f>
      </c>
      <c r="AT225" s="33">
        <f>ROUND(Z225-AJ225,2)</f>
      </c>
      <c r="AU225" s="33">
        <f>ROUND(AA225-AK225,2)</f>
      </c>
      <c r="AV225" s="33">
        <f>ROUND(AB225-AL225,2)</f>
      </c>
      <c r="AW225" s="33">
        <f>ROUND(AC225-AM225,2)</f>
      </c>
      <c r="AX225" s="33">
        <f>ROUND(AD225-AN225,2)</f>
      </c>
      <c r="AY225" s="33">
        <f>ROUND(AE225-AO225,2)</f>
      </c>
      <c r="AZ225" s="33">
        <f>ROUND(MAX(0,'Your debts'!$D$22-SUM($L225:$U225)),2)</f>
      </c>
      <c r="BA225" s="33">
        <f>ROUND(SUM($B225:$K225)-SUM($AP224:$AY224),2)</f>
      </c>
      <c r="BB225" s="33">
        <f>SUM($AP225:$AY225)</f>
      </c>
      <c r="BC225" s="33">
        <f>ROUND(SUM($L225:$U225)+SUM($AF225:$AO225),2)</f>
      </c>
    </row>
    <row r="226" spans="1:55" x14ac:dyDescent="0.25">
      <c r="A226">
        <v>219</v>
      </c>
      <c r="B226" s="33">
        <f>IF(AP225&lt;=0,0,ROUND(AP225+ROUND(AP225*V$3/12,2),2))</f>
      </c>
      <c r="C226" s="33">
        <f>IF(AQ225&lt;=0,0,ROUND(AQ225+ROUND(AQ225*W$3/12,2),2))</f>
      </c>
      <c r="D226" s="33">
        <f>IF(AR225&lt;=0,0,ROUND(AR225+ROUND(AR225*X$3/12,2),2))</f>
      </c>
      <c r="E226" s="33">
        <f>IF(AS225&lt;=0,0,ROUND(AS225+ROUND(AS225*Y$3/12,2),2))</f>
      </c>
      <c r="F226" s="33">
        <f>IF(AT225&lt;=0,0,ROUND(AT225+ROUND(AT225*Z$3/12,2),2))</f>
      </c>
      <c r="G226" s="33">
        <f>IF(AU225&lt;=0,0,ROUND(AU225+ROUND(AU225*AA$3/12,2),2))</f>
      </c>
      <c r="H226" s="33">
        <f>IF(AV225&lt;=0,0,ROUND(AV225+ROUND(AV225*AB$3/12,2),2))</f>
      </c>
      <c r="I226" s="33">
        <f>IF(AW225&lt;=0,0,ROUND(AW225+ROUND(AW225*AC$3/12,2),2))</f>
      </c>
      <c r="J226" s="33">
        <f>IF(AX225&lt;=0,0,ROUND(AX225+ROUND(AX225*AD$3/12,2),2))</f>
      </c>
      <c r="K226" s="33">
        <f>IF(AY225&lt;=0,0,ROUND(AY225+ROUND(AY225*AE$3/12,2),2))</f>
      </c>
      <c r="L226" s="33">
        <f>ROUND(MIN(MAX(0,N('Your debts'!$E$6)),B226),2)</f>
      </c>
      <c r="M226" s="33">
        <f>ROUND(MIN(MAX(0,N('Your debts'!$E$7)),C226),2)</f>
      </c>
      <c r="N226" s="33">
        <f>ROUND(MIN(MAX(0,N('Your debts'!$E$8)),D226),2)</f>
      </c>
      <c r="O226" s="33">
        <f>ROUND(MIN(MAX(0,N('Your debts'!$E$9)),E226),2)</f>
      </c>
      <c r="P226" s="33">
        <f>ROUND(MIN(MAX(0,N('Your debts'!$E$10)),F226),2)</f>
      </c>
      <c r="Q226" s="33">
        <f>ROUND(MIN(MAX(0,N('Your debts'!$E$11)),G226),2)</f>
      </c>
      <c r="R226" s="33">
        <f>ROUND(MIN(MAX(0,N('Your debts'!$E$12)),H226),2)</f>
      </c>
      <c r="S226" s="33">
        <f>ROUND(MIN(MAX(0,N('Your debts'!$E$13)),I226),2)</f>
      </c>
      <c r="T226" s="33">
        <f>ROUND(MIN(MAX(0,N('Your debts'!$E$14)),J226),2)</f>
      </c>
      <c r="U226" s="33">
        <f>ROUND(MIN(MAX(0,N('Your debts'!$E$15)),K226),2)</f>
      </c>
      <c r="V226" s="33">
        <f>ROUND(B226-L226,2)</f>
      </c>
      <c r="W226" s="33">
        <f>ROUND(C226-M226,2)</f>
      </c>
      <c r="X226" s="33">
        <f>ROUND(D226-N226,2)</f>
      </c>
      <c r="Y226" s="33">
        <f>ROUND(E226-O226,2)</f>
      </c>
      <c r="Z226" s="33">
        <f>ROUND(F226-P226,2)</f>
      </c>
      <c r="AA226" s="33">
        <f>ROUND(G226-Q226,2)</f>
      </c>
      <c r="AB226" s="33">
        <f>ROUND(H226-R226,2)</f>
      </c>
      <c r="AC226" s="33">
        <f>ROUND(I226-S226,2)</f>
      </c>
      <c r="AD226" s="33">
        <f>ROUND(J226-T226,2)</f>
      </c>
      <c r="AE226" s="33">
        <f>ROUND(K226-U226,2)</f>
      </c>
      <c r="AF226" s="33">
        <f>IF(V226&lt;=0,0,MAX(0,MIN(V226,ROUND($AZ226-SUMPRODUCT($V226:$AE226*($V226:$AE226&gt;0)*(($V$3:$AE$3&gt;V$3)+($V$3:$AE$3=V$3)*($V226:$AE226&lt;V226)+($V$3:$AE$3=V$3)*($V226:$AE226=V226)*($V$2:$AE$2&lt;V$2))),2))))</f>
      </c>
      <c r="AG226" s="33">
        <f>IF(W226&lt;=0,0,MAX(0,MIN(W226,ROUND($AZ226-SUMPRODUCT($V226:$AE226*($V226:$AE226&gt;0)*(($V$3:$AE$3&gt;W$3)+($V$3:$AE$3=W$3)*($V226:$AE226&lt;W226)+($V$3:$AE$3=W$3)*($V226:$AE226=W226)*($V$2:$AE$2&lt;W$2))),2))))</f>
      </c>
      <c r="AH226" s="33">
        <f>IF(X226&lt;=0,0,MAX(0,MIN(X226,ROUND($AZ226-SUMPRODUCT($V226:$AE226*($V226:$AE226&gt;0)*(($V$3:$AE$3&gt;X$3)+($V$3:$AE$3=X$3)*($V226:$AE226&lt;X226)+($V$3:$AE$3=X$3)*($V226:$AE226=X226)*($V$2:$AE$2&lt;X$2))),2))))</f>
      </c>
      <c r="AI226" s="33">
        <f>IF(Y226&lt;=0,0,MAX(0,MIN(Y226,ROUND($AZ226-SUMPRODUCT($V226:$AE226*($V226:$AE226&gt;0)*(($V$3:$AE$3&gt;Y$3)+($V$3:$AE$3=Y$3)*($V226:$AE226&lt;Y226)+($V$3:$AE$3=Y$3)*($V226:$AE226=Y226)*($V$2:$AE$2&lt;Y$2))),2))))</f>
      </c>
      <c r="AJ226" s="33">
        <f>IF(Z226&lt;=0,0,MAX(0,MIN(Z226,ROUND($AZ226-SUMPRODUCT($V226:$AE226*($V226:$AE226&gt;0)*(($V$3:$AE$3&gt;Z$3)+($V$3:$AE$3=Z$3)*($V226:$AE226&lt;Z226)+($V$3:$AE$3=Z$3)*($V226:$AE226=Z226)*($V$2:$AE$2&lt;Z$2))),2))))</f>
      </c>
      <c r="AK226" s="33">
        <f>IF(AA226&lt;=0,0,MAX(0,MIN(AA226,ROUND($AZ226-SUMPRODUCT($V226:$AE226*($V226:$AE226&gt;0)*(($V$3:$AE$3&gt;AA$3)+($V$3:$AE$3=AA$3)*($V226:$AE226&lt;AA226)+($V$3:$AE$3=AA$3)*($V226:$AE226=AA226)*($V$2:$AE$2&lt;AA$2))),2))))</f>
      </c>
      <c r="AL226" s="33">
        <f>IF(AB226&lt;=0,0,MAX(0,MIN(AB226,ROUND($AZ226-SUMPRODUCT($V226:$AE226*($V226:$AE226&gt;0)*(($V$3:$AE$3&gt;AB$3)+($V$3:$AE$3=AB$3)*($V226:$AE226&lt;AB226)+($V$3:$AE$3=AB$3)*($V226:$AE226=AB226)*($V$2:$AE$2&lt;AB$2))),2))))</f>
      </c>
      <c r="AM226" s="33">
        <f>IF(AC226&lt;=0,0,MAX(0,MIN(AC226,ROUND($AZ226-SUMPRODUCT($V226:$AE226*($V226:$AE226&gt;0)*(($V$3:$AE$3&gt;AC$3)+($V$3:$AE$3=AC$3)*($V226:$AE226&lt;AC226)+($V$3:$AE$3=AC$3)*($V226:$AE226=AC226)*($V$2:$AE$2&lt;AC$2))),2))))</f>
      </c>
      <c r="AN226" s="33">
        <f>IF(AD226&lt;=0,0,MAX(0,MIN(AD226,ROUND($AZ226-SUMPRODUCT($V226:$AE226*($V226:$AE226&gt;0)*(($V$3:$AE$3&gt;AD$3)+($V$3:$AE$3=AD$3)*($V226:$AE226&lt;AD226)+($V$3:$AE$3=AD$3)*($V226:$AE226=AD226)*($V$2:$AE$2&lt;AD$2))),2))))</f>
      </c>
      <c r="AO226" s="33">
        <f>IF(AE226&lt;=0,0,MAX(0,MIN(AE226,ROUND($AZ226-SUMPRODUCT($V226:$AE226*($V226:$AE226&gt;0)*(($V$3:$AE$3&gt;AE$3)+($V$3:$AE$3=AE$3)*($V226:$AE226&lt;AE226)+($V$3:$AE$3=AE$3)*($V226:$AE226=AE226)*($V$2:$AE$2&lt;AE$2))),2))))</f>
      </c>
      <c r="AP226" s="33">
        <f>ROUND(V226-AF226,2)</f>
      </c>
      <c r="AQ226" s="33">
        <f>ROUND(W226-AG226,2)</f>
      </c>
      <c r="AR226" s="33">
        <f>ROUND(X226-AH226,2)</f>
      </c>
      <c r="AS226" s="33">
        <f>ROUND(Y226-AI226,2)</f>
      </c>
      <c r="AT226" s="33">
        <f>ROUND(Z226-AJ226,2)</f>
      </c>
      <c r="AU226" s="33">
        <f>ROUND(AA226-AK226,2)</f>
      </c>
      <c r="AV226" s="33">
        <f>ROUND(AB226-AL226,2)</f>
      </c>
      <c r="AW226" s="33">
        <f>ROUND(AC226-AM226,2)</f>
      </c>
      <c r="AX226" s="33">
        <f>ROUND(AD226-AN226,2)</f>
      </c>
      <c r="AY226" s="33">
        <f>ROUND(AE226-AO226,2)</f>
      </c>
      <c r="AZ226" s="33">
        <f>ROUND(MAX(0,'Your debts'!$D$22-SUM($L226:$U226)),2)</f>
      </c>
      <c r="BA226" s="33">
        <f>ROUND(SUM($B226:$K226)-SUM($AP225:$AY225),2)</f>
      </c>
      <c r="BB226" s="33">
        <f>SUM($AP226:$AY226)</f>
      </c>
      <c r="BC226" s="33">
        <f>ROUND(SUM($L226:$U226)+SUM($AF226:$AO226),2)</f>
      </c>
    </row>
    <row r="227" spans="1:55" x14ac:dyDescent="0.25">
      <c r="A227">
        <v>220</v>
      </c>
      <c r="B227" s="33">
        <f>IF(AP226&lt;=0,0,ROUND(AP226+ROUND(AP226*V$3/12,2),2))</f>
      </c>
      <c r="C227" s="33">
        <f>IF(AQ226&lt;=0,0,ROUND(AQ226+ROUND(AQ226*W$3/12,2),2))</f>
      </c>
      <c r="D227" s="33">
        <f>IF(AR226&lt;=0,0,ROUND(AR226+ROUND(AR226*X$3/12,2),2))</f>
      </c>
      <c r="E227" s="33">
        <f>IF(AS226&lt;=0,0,ROUND(AS226+ROUND(AS226*Y$3/12,2),2))</f>
      </c>
      <c r="F227" s="33">
        <f>IF(AT226&lt;=0,0,ROUND(AT226+ROUND(AT226*Z$3/12,2),2))</f>
      </c>
      <c r="G227" s="33">
        <f>IF(AU226&lt;=0,0,ROUND(AU226+ROUND(AU226*AA$3/12,2),2))</f>
      </c>
      <c r="H227" s="33">
        <f>IF(AV226&lt;=0,0,ROUND(AV226+ROUND(AV226*AB$3/12,2),2))</f>
      </c>
      <c r="I227" s="33">
        <f>IF(AW226&lt;=0,0,ROUND(AW226+ROUND(AW226*AC$3/12,2),2))</f>
      </c>
      <c r="J227" s="33">
        <f>IF(AX226&lt;=0,0,ROUND(AX226+ROUND(AX226*AD$3/12,2),2))</f>
      </c>
      <c r="K227" s="33">
        <f>IF(AY226&lt;=0,0,ROUND(AY226+ROUND(AY226*AE$3/12,2),2))</f>
      </c>
      <c r="L227" s="33">
        <f>ROUND(MIN(MAX(0,N('Your debts'!$E$6)),B227),2)</f>
      </c>
      <c r="M227" s="33">
        <f>ROUND(MIN(MAX(0,N('Your debts'!$E$7)),C227),2)</f>
      </c>
      <c r="N227" s="33">
        <f>ROUND(MIN(MAX(0,N('Your debts'!$E$8)),D227),2)</f>
      </c>
      <c r="O227" s="33">
        <f>ROUND(MIN(MAX(0,N('Your debts'!$E$9)),E227),2)</f>
      </c>
      <c r="P227" s="33">
        <f>ROUND(MIN(MAX(0,N('Your debts'!$E$10)),F227),2)</f>
      </c>
      <c r="Q227" s="33">
        <f>ROUND(MIN(MAX(0,N('Your debts'!$E$11)),G227),2)</f>
      </c>
      <c r="R227" s="33">
        <f>ROUND(MIN(MAX(0,N('Your debts'!$E$12)),H227),2)</f>
      </c>
      <c r="S227" s="33">
        <f>ROUND(MIN(MAX(0,N('Your debts'!$E$13)),I227),2)</f>
      </c>
      <c r="T227" s="33">
        <f>ROUND(MIN(MAX(0,N('Your debts'!$E$14)),J227),2)</f>
      </c>
      <c r="U227" s="33">
        <f>ROUND(MIN(MAX(0,N('Your debts'!$E$15)),K227),2)</f>
      </c>
      <c r="V227" s="33">
        <f>ROUND(B227-L227,2)</f>
      </c>
      <c r="W227" s="33">
        <f>ROUND(C227-M227,2)</f>
      </c>
      <c r="X227" s="33">
        <f>ROUND(D227-N227,2)</f>
      </c>
      <c r="Y227" s="33">
        <f>ROUND(E227-O227,2)</f>
      </c>
      <c r="Z227" s="33">
        <f>ROUND(F227-P227,2)</f>
      </c>
      <c r="AA227" s="33">
        <f>ROUND(G227-Q227,2)</f>
      </c>
      <c r="AB227" s="33">
        <f>ROUND(H227-R227,2)</f>
      </c>
      <c r="AC227" s="33">
        <f>ROUND(I227-S227,2)</f>
      </c>
      <c r="AD227" s="33">
        <f>ROUND(J227-T227,2)</f>
      </c>
      <c r="AE227" s="33">
        <f>ROUND(K227-U227,2)</f>
      </c>
      <c r="AF227" s="33">
        <f>IF(V227&lt;=0,0,MAX(0,MIN(V227,ROUND($AZ227-SUMPRODUCT($V227:$AE227*($V227:$AE227&gt;0)*(($V$3:$AE$3&gt;V$3)+($V$3:$AE$3=V$3)*($V227:$AE227&lt;V227)+($V$3:$AE$3=V$3)*($V227:$AE227=V227)*($V$2:$AE$2&lt;V$2))),2))))</f>
      </c>
      <c r="AG227" s="33">
        <f>IF(W227&lt;=0,0,MAX(0,MIN(W227,ROUND($AZ227-SUMPRODUCT($V227:$AE227*($V227:$AE227&gt;0)*(($V$3:$AE$3&gt;W$3)+($V$3:$AE$3=W$3)*($V227:$AE227&lt;W227)+($V$3:$AE$3=W$3)*($V227:$AE227=W227)*($V$2:$AE$2&lt;W$2))),2))))</f>
      </c>
      <c r="AH227" s="33">
        <f>IF(X227&lt;=0,0,MAX(0,MIN(X227,ROUND($AZ227-SUMPRODUCT($V227:$AE227*($V227:$AE227&gt;0)*(($V$3:$AE$3&gt;X$3)+($V$3:$AE$3=X$3)*($V227:$AE227&lt;X227)+($V$3:$AE$3=X$3)*($V227:$AE227=X227)*($V$2:$AE$2&lt;X$2))),2))))</f>
      </c>
      <c r="AI227" s="33">
        <f>IF(Y227&lt;=0,0,MAX(0,MIN(Y227,ROUND($AZ227-SUMPRODUCT($V227:$AE227*($V227:$AE227&gt;0)*(($V$3:$AE$3&gt;Y$3)+($V$3:$AE$3=Y$3)*($V227:$AE227&lt;Y227)+($V$3:$AE$3=Y$3)*($V227:$AE227=Y227)*($V$2:$AE$2&lt;Y$2))),2))))</f>
      </c>
      <c r="AJ227" s="33">
        <f>IF(Z227&lt;=0,0,MAX(0,MIN(Z227,ROUND($AZ227-SUMPRODUCT($V227:$AE227*($V227:$AE227&gt;0)*(($V$3:$AE$3&gt;Z$3)+($V$3:$AE$3=Z$3)*($V227:$AE227&lt;Z227)+($V$3:$AE$3=Z$3)*($V227:$AE227=Z227)*($V$2:$AE$2&lt;Z$2))),2))))</f>
      </c>
      <c r="AK227" s="33">
        <f>IF(AA227&lt;=0,0,MAX(0,MIN(AA227,ROUND($AZ227-SUMPRODUCT($V227:$AE227*($V227:$AE227&gt;0)*(($V$3:$AE$3&gt;AA$3)+($V$3:$AE$3=AA$3)*($V227:$AE227&lt;AA227)+($V$3:$AE$3=AA$3)*($V227:$AE227=AA227)*($V$2:$AE$2&lt;AA$2))),2))))</f>
      </c>
      <c r="AL227" s="33">
        <f>IF(AB227&lt;=0,0,MAX(0,MIN(AB227,ROUND($AZ227-SUMPRODUCT($V227:$AE227*($V227:$AE227&gt;0)*(($V$3:$AE$3&gt;AB$3)+($V$3:$AE$3=AB$3)*($V227:$AE227&lt;AB227)+($V$3:$AE$3=AB$3)*($V227:$AE227=AB227)*($V$2:$AE$2&lt;AB$2))),2))))</f>
      </c>
      <c r="AM227" s="33">
        <f>IF(AC227&lt;=0,0,MAX(0,MIN(AC227,ROUND($AZ227-SUMPRODUCT($V227:$AE227*($V227:$AE227&gt;0)*(($V$3:$AE$3&gt;AC$3)+($V$3:$AE$3=AC$3)*($V227:$AE227&lt;AC227)+($V$3:$AE$3=AC$3)*($V227:$AE227=AC227)*($V$2:$AE$2&lt;AC$2))),2))))</f>
      </c>
      <c r="AN227" s="33">
        <f>IF(AD227&lt;=0,0,MAX(0,MIN(AD227,ROUND($AZ227-SUMPRODUCT($V227:$AE227*($V227:$AE227&gt;0)*(($V$3:$AE$3&gt;AD$3)+($V$3:$AE$3=AD$3)*($V227:$AE227&lt;AD227)+($V$3:$AE$3=AD$3)*($V227:$AE227=AD227)*($V$2:$AE$2&lt;AD$2))),2))))</f>
      </c>
      <c r="AO227" s="33">
        <f>IF(AE227&lt;=0,0,MAX(0,MIN(AE227,ROUND($AZ227-SUMPRODUCT($V227:$AE227*($V227:$AE227&gt;0)*(($V$3:$AE$3&gt;AE$3)+($V$3:$AE$3=AE$3)*($V227:$AE227&lt;AE227)+($V$3:$AE$3=AE$3)*($V227:$AE227=AE227)*($V$2:$AE$2&lt;AE$2))),2))))</f>
      </c>
      <c r="AP227" s="33">
        <f>ROUND(V227-AF227,2)</f>
      </c>
      <c r="AQ227" s="33">
        <f>ROUND(W227-AG227,2)</f>
      </c>
      <c r="AR227" s="33">
        <f>ROUND(X227-AH227,2)</f>
      </c>
      <c r="AS227" s="33">
        <f>ROUND(Y227-AI227,2)</f>
      </c>
      <c r="AT227" s="33">
        <f>ROUND(Z227-AJ227,2)</f>
      </c>
      <c r="AU227" s="33">
        <f>ROUND(AA227-AK227,2)</f>
      </c>
      <c r="AV227" s="33">
        <f>ROUND(AB227-AL227,2)</f>
      </c>
      <c r="AW227" s="33">
        <f>ROUND(AC227-AM227,2)</f>
      </c>
      <c r="AX227" s="33">
        <f>ROUND(AD227-AN227,2)</f>
      </c>
      <c r="AY227" s="33">
        <f>ROUND(AE227-AO227,2)</f>
      </c>
      <c r="AZ227" s="33">
        <f>ROUND(MAX(0,'Your debts'!$D$22-SUM($L227:$U227)),2)</f>
      </c>
      <c r="BA227" s="33">
        <f>ROUND(SUM($B227:$K227)-SUM($AP226:$AY226),2)</f>
      </c>
      <c r="BB227" s="33">
        <f>SUM($AP227:$AY227)</f>
      </c>
      <c r="BC227" s="33">
        <f>ROUND(SUM($L227:$U227)+SUM($AF227:$AO227),2)</f>
      </c>
    </row>
    <row r="228" spans="1:55" x14ac:dyDescent="0.25">
      <c r="A228">
        <v>221</v>
      </c>
      <c r="B228" s="33">
        <f>IF(AP227&lt;=0,0,ROUND(AP227+ROUND(AP227*V$3/12,2),2))</f>
      </c>
      <c r="C228" s="33">
        <f>IF(AQ227&lt;=0,0,ROUND(AQ227+ROUND(AQ227*W$3/12,2),2))</f>
      </c>
      <c r="D228" s="33">
        <f>IF(AR227&lt;=0,0,ROUND(AR227+ROUND(AR227*X$3/12,2),2))</f>
      </c>
      <c r="E228" s="33">
        <f>IF(AS227&lt;=0,0,ROUND(AS227+ROUND(AS227*Y$3/12,2),2))</f>
      </c>
      <c r="F228" s="33">
        <f>IF(AT227&lt;=0,0,ROUND(AT227+ROUND(AT227*Z$3/12,2),2))</f>
      </c>
      <c r="G228" s="33">
        <f>IF(AU227&lt;=0,0,ROUND(AU227+ROUND(AU227*AA$3/12,2),2))</f>
      </c>
      <c r="H228" s="33">
        <f>IF(AV227&lt;=0,0,ROUND(AV227+ROUND(AV227*AB$3/12,2),2))</f>
      </c>
      <c r="I228" s="33">
        <f>IF(AW227&lt;=0,0,ROUND(AW227+ROUND(AW227*AC$3/12,2),2))</f>
      </c>
      <c r="J228" s="33">
        <f>IF(AX227&lt;=0,0,ROUND(AX227+ROUND(AX227*AD$3/12,2),2))</f>
      </c>
      <c r="K228" s="33">
        <f>IF(AY227&lt;=0,0,ROUND(AY227+ROUND(AY227*AE$3/12,2),2))</f>
      </c>
      <c r="L228" s="33">
        <f>ROUND(MIN(MAX(0,N('Your debts'!$E$6)),B228),2)</f>
      </c>
      <c r="M228" s="33">
        <f>ROUND(MIN(MAX(0,N('Your debts'!$E$7)),C228),2)</f>
      </c>
      <c r="N228" s="33">
        <f>ROUND(MIN(MAX(0,N('Your debts'!$E$8)),D228),2)</f>
      </c>
      <c r="O228" s="33">
        <f>ROUND(MIN(MAX(0,N('Your debts'!$E$9)),E228),2)</f>
      </c>
      <c r="P228" s="33">
        <f>ROUND(MIN(MAX(0,N('Your debts'!$E$10)),F228),2)</f>
      </c>
      <c r="Q228" s="33">
        <f>ROUND(MIN(MAX(0,N('Your debts'!$E$11)),G228),2)</f>
      </c>
      <c r="R228" s="33">
        <f>ROUND(MIN(MAX(0,N('Your debts'!$E$12)),H228),2)</f>
      </c>
      <c r="S228" s="33">
        <f>ROUND(MIN(MAX(0,N('Your debts'!$E$13)),I228),2)</f>
      </c>
      <c r="T228" s="33">
        <f>ROUND(MIN(MAX(0,N('Your debts'!$E$14)),J228),2)</f>
      </c>
      <c r="U228" s="33">
        <f>ROUND(MIN(MAX(0,N('Your debts'!$E$15)),K228),2)</f>
      </c>
      <c r="V228" s="33">
        <f>ROUND(B228-L228,2)</f>
      </c>
      <c r="W228" s="33">
        <f>ROUND(C228-M228,2)</f>
      </c>
      <c r="X228" s="33">
        <f>ROUND(D228-N228,2)</f>
      </c>
      <c r="Y228" s="33">
        <f>ROUND(E228-O228,2)</f>
      </c>
      <c r="Z228" s="33">
        <f>ROUND(F228-P228,2)</f>
      </c>
      <c r="AA228" s="33">
        <f>ROUND(G228-Q228,2)</f>
      </c>
      <c r="AB228" s="33">
        <f>ROUND(H228-R228,2)</f>
      </c>
      <c r="AC228" s="33">
        <f>ROUND(I228-S228,2)</f>
      </c>
      <c r="AD228" s="33">
        <f>ROUND(J228-T228,2)</f>
      </c>
      <c r="AE228" s="33">
        <f>ROUND(K228-U228,2)</f>
      </c>
      <c r="AF228" s="33">
        <f>IF(V228&lt;=0,0,MAX(0,MIN(V228,ROUND($AZ228-SUMPRODUCT($V228:$AE228*($V228:$AE228&gt;0)*(($V$3:$AE$3&gt;V$3)+($V$3:$AE$3=V$3)*($V228:$AE228&lt;V228)+($V$3:$AE$3=V$3)*($V228:$AE228=V228)*($V$2:$AE$2&lt;V$2))),2))))</f>
      </c>
      <c r="AG228" s="33">
        <f>IF(W228&lt;=0,0,MAX(0,MIN(W228,ROUND($AZ228-SUMPRODUCT($V228:$AE228*($V228:$AE228&gt;0)*(($V$3:$AE$3&gt;W$3)+($V$3:$AE$3=W$3)*($V228:$AE228&lt;W228)+($V$3:$AE$3=W$3)*($V228:$AE228=W228)*($V$2:$AE$2&lt;W$2))),2))))</f>
      </c>
      <c r="AH228" s="33">
        <f>IF(X228&lt;=0,0,MAX(0,MIN(X228,ROUND($AZ228-SUMPRODUCT($V228:$AE228*($V228:$AE228&gt;0)*(($V$3:$AE$3&gt;X$3)+($V$3:$AE$3=X$3)*($V228:$AE228&lt;X228)+($V$3:$AE$3=X$3)*($V228:$AE228=X228)*($V$2:$AE$2&lt;X$2))),2))))</f>
      </c>
      <c r="AI228" s="33">
        <f>IF(Y228&lt;=0,0,MAX(0,MIN(Y228,ROUND($AZ228-SUMPRODUCT($V228:$AE228*($V228:$AE228&gt;0)*(($V$3:$AE$3&gt;Y$3)+($V$3:$AE$3=Y$3)*($V228:$AE228&lt;Y228)+($V$3:$AE$3=Y$3)*($V228:$AE228=Y228)*($V$2:$AE$2&lt;Y$2))),2))))</f>
      </c>
      <c r="AJ228" s="33">
        <f>IF(Z228&lt;=0,0,MAX(0,MIN(Z228,ROUND($AZ228-SUMPRODUCT($V228:$AE228*($V228:$AE228&gt;0)*(($V$3:$AE$3&gt;Z$3)+($V$3:$AE$3=Z$3)*($V228:$AE228&lt;Z228)+($V$3:$AE$3=Z$3)*($V228:$AE228=Z228)*($V$2:$AE$2&lt;Z$2))),2))))</f>
      </c>
      <c r="AK228" s="33">
        <f>IF(AA228&lt;=0,0,MAX(0,MIN(AA228,ROUND($AZ228-SUMPRODUCT($V228:$AE228*($V228:$AE228&gt;0)*(($V$3:$AE$3&gt;AA$3)+($V$3:$AE$3=AA$3)*($V228:$AE228&lt;AA228)+($V$3:$AE$3=AA$3)*($V228:$AE228=AA228)*($V$2:$AE$2&lt;AA$2))),2))))</f>
      </c>
      <c r="AL228" s="33">
        <f>IF(AB228&lt;=0,0,MAX(0,MIN(AB228,ROUND($AZ228-SUMPRODUCT($V228:$AE228*($V228:$AE228&gt;0)*(($V$3:$AE$3&gt;AB$3)+($V$3:$AE$3=AB$3)*($V228:$AE228&lt;AB228)+($V$3:$AE$3=AB$3)*($V228:$AE228=AB228)*($V$2:$AE$2&lt;AB$2))),2))))</f>
      </c>
      <c r="AM228" s="33">
        <f>IF(AC228&lt;=0,0,MAX(0,MIN(AC228,ROUND($AZ228-SUMPRODUCT($V228:$AE228*($V228:$AE228&gt;0)*(($V$3:$AE$3&gt;AC$3)+($V$3:$AE$3=AC$3)*($V228:$AE228&lt;AC228)+($V$3:$AE$3=AC$3)*($V228:$AE228=AC228)*($V$2:$AE$2&lt;AC$2))),2))))</f>
      </c>
      <c r="AN228" s="33">
        <f>IF(AD228&lt;=0,0,MAX(0,MIN(AD228,ROUND($AZ228-SUMPRODUCT($V228:$AE228*($V228:$AE228&gt;0)*(($V$3:$AE$3&gt;AD$3)+($V$3:$AE$3=AD$3)*($V228:$AE228&lt;AD228)+($V$3:$AE$3=AD$3)*($V228:$AE228=AD228)*($V$2:$AE$2&lt;AD$2))),2))))</f>
      </c>
      <c r="AO228" s="33">
        <f>IF(AE228&lt;=0,0,MAX(0,MIN(AE228,ROUND($AZ228-SUMPRODUCT($V228:$AE228*($V228:$AE228&gt;0)*(($V$3:$AE$3&gt;AE$3)+($V$3:$AE$3=AE$3)*($V228:$AE228&lt;AE228)+($V$3:$AE$3=AE$3)*($V228:$AE228=AE228)*($V$2:$AE$2&lt;AE$2))),2))))</f>
      </c>
      <c r="AP228" s="33">
        <f>ROUND(V228-AF228,2)</f>
      </c>
      <c r="AQ228" s="33">
        <f>ROUND(W228-AG228,2)</f>
      </c>
      <c r="AR228" s="33">
        <f>ROUND(X228-AH228,2)</f>
      </c>
      <c r="AS228" s="33">
        <f>ROUND(Y228-AI228,2)</f>
      </c>
      <c r="AT228" s="33">
        <f>ROUND(Z228-AJ228,2)</f>
      </c>
      <c r="AU228" s="33">
        <f>ROUND(AA228-AK228,2)</f>
      </c>
      <c r="AV228" s="33">
        <f>ROUND(AB228-AL228,2)</f>
      </c>
      <c r="AW228" s="33">
        <f>ROUND(AC228-AM228,2)</f>
      </c>
      <c r="AX228" s="33">
        <f>ROUND(AD228-AN228,2)</f>
      </c>
      <c r="AY228" s="33">
        <f>ROUND(AE228-AO228,2)</f>
      </c>
      <c r="AZ228" s="33">
        <f>ROUND(MAX(0,'Your debts'!$D$22-SUM($L228:$U228)),2)</f>
      </c>
      <c r="BA228" s="33">
        <f>ROUND(SUM($B228:$K228)-SUM($AP227:$AY227),2)</f>
      </c>
      <c r="BB228" s="33">
        <f>SUM($AP228:$AY228)</f>
      </c>
      <c r="BC228" s="33">
        <f>ROUND(SUM($L228:$U228)+SUM($AF228:$AO228),2)</f>
      </c>
    </row>
    <row r="229" spans="1:55" x14ac:dyDescent="0.25">
      <c r="A229">
        <v>222</v>
      </c>
      <c r="B229" s="33">
        <f>IF(AP228&lt;=0,0,ROUND(AP228+ROUND(AP228*V$3/12,2),2))</f>
      </c>
      <c r="C229" s="33">
        <f>IF(AQ228&lt;=0,0,ROUND(AQ228+ROUND(AQ228*W$3/12,2),2))</f>
      </c>
      <c r="D229" s="33">
        <f>IF(AR228&lt;=0,0,ROUND(AR228+ROUND(AR228*X$3/12,2),2))</f>
      </c>
      <c r="E229" s="33">
        <f>IF(AS228&lt;=0,0,ROUND(AS228+ROUND(AS228*Y$3/12,2),2))</f>
      </c>
      <c r="F229" s="33">
        <f>IF(AT228&lt;=0,0,ROUND(AT228+ROUND(AT228*Z$3/12,2),2))</f>
      </c>
      <c r="G229" s="33">
        <f>IF(AU228&lt;=0,0,ROUND(AU228+ROUND(AU228*AA$3/12,2),2))</f>
      </c>
      <c r="H229" s="33">
        <f>IF(AV228&lt;=0,0,ROUND(AV228+ROUND(AV228*AB$3/12,2),2))</f>
      </c>
      <c r="I229" s="33">
        <f>IF(AW228&lt;=0,0,ROUND(AW228+ROUND(AW228*AC$3/12,2),2))</f>
      </c>
      <c r="J229" s="33">
        <f>IF(AX228&lt;=0,0,ROUND(AX228+ROUND(AX228*AD$3/12,2),2))</f>
      </c>
      <c r="K229" s="33">
        <f>IF(AY228&lt;=0,0,ROUND(AY228+ROUND(AY228*AE$3/12,2),2))</f>
      </c>
      <c r="L229" s="33">
        <f>ROUND(MIN(MAX(0,N('Your debts'!$E$6)),B229),2)</f>
      </c>
      <c r="M229" s="33">
        <f>ROUND(MIN(MAX(0,N('Your debts'!$E$7)),C229),2)</f>
      </c>
      <c r="N229" s="33">
        <f>ROUND(MIN(MAX(0,N('Your debts'!$E$8)),D229),2)</f>
      </c>
      <c r="O229" s="33">
        <f>ROUND(MIN(MAX(0,N('Your debts'!$E$9)),E229),2)</f>
      </c>
      <c r="P229" s="33">
        <f>ROUND(MIN(MAX(0,N('Your debts'!$E$10)),F229),2)</f>
      </c>
      <c r="Q229" s="33">
        <f>ROUND(MIN(MAX(0,N('Your debts'!$E$11)),G229),2)</f>
      </c>
      <c r="R229" s="33">
        <f>ROUND(MIN(MAX(0,N('Your debts'!$E$12)),H229),2)</f>
      </c>
      <c r="S229" s="33">
        <f>ROUND(MIN(MAX(0,N('Your debts'!$E$13)),I229),2)</f>
      </c>
      <c r="T229" s="33">
        <f>ROUND(MIN(MAX(0,N('Your debts'!$E$14)),J229),2)</f>
      </c>
      <c r="U229" s="33">
        <f>ROUND(MIN(MAX(0,N('Your debts'!$E$15)),K229),2)</f>
      </c>
      <c r="V229" s="33">
        <f>ROUND(B229-L229,2)</f>
      </c>
      <c r="W229" s="33">
        <f>ROUND(C229-M229,2)</f>
      </c>
      <c r="X229" s="33">
        <f>ROUND(D229-N229,2)</f>
      </c>
      <c r="Y229" s="33">
        <f>ROUND(E229-O229,2)</f>
      </c>
      <c r="Z229" s="33">
        <f>ROUND(F229-P229,2)</f>
      </c>
      <c r="AA229" s="33">
        <f>ROUND(G229-Q229,2)</f>
      </c>
      <c r="AB229" s="33">
        <f>ROUND(H229-R229,2)</f>
      </c>
      <c r="AC229" s="33">
        <f>ROUND(I229-S229,2)</f>
      </c>
      <c r="AD229" s="33">
        <f>ROUND(J229-T229,2)</f>
      </c>
      <c r="AE229" s="33">
        <f>ROUND(K229-U229,2)</f>
      </c>
      <c r="AF229" s="33">
        <f>IF(V229&lt;=0,0,MAX(0,MIN(V229,ROUND($AZ229-SUMPRODUCT($V229:$AE229*($V229:$AE229&gt;0)*(($V$3:$AE$3&gt;V$3)+($V$3:$AE$3=V$3)*($V229:$AE229&lt;V229)+($V$3:$AE$3=V$3)*($V229:$AE229=V229)*($V$2:$AE$2&lt;V$2))),2))))</f>
      </c>
      <c r="AG229" s="33">
        <f>IF(W229&lt;=0,0,MAX(0,MIN(W229,ROUND($AZ229-SUMPRODUCT($V229:$AE229*($V229:$AE229&gt;0)*(($V$3:$AE$3&gt;W$3)+($V$3:$AE$3=W$3)*($V229:$AE229&lt;W229)+($V$3:$AE$3=W$3)*($V229:$AE229=W229)*($V$2:$AE$2&lt;W$2))),2))))</f>
      </c>
      <c r="AH229" s="33">
        <f>IF(X229&lt;=0,0,MAX(0,MIN(X229,ROUND($AZ229-SUMPRODUCT($V229:$AE229*($V229:$AE229&gt;0)*(($V$3:$AE$3&gt;X$3)+($V$3:$AE$3=X$3)*($V229:$AE229&lt;X229)+($V$3:$AE$3=X$3)*($V229:$AE229=X229)*($V$2:$AE$2&lt;X$2))),2))))</f>
      </c>
      <c r="AI229" s="33">
        <f>IF(Y229&lt;=0,0,MAX(0,MIN(Y229,ROUND($AZ229-SUMPRODUCT($V229:$AE229*($V229:$AE229&gt;0)*(($V$3:$AE$3&gt;Y$3)+($V$3:$AE$3=Y$3)*($V229:$AE229&lt;Y229)+($V$3:$AE$3=Y$3)*($V229:$AE229=Y229)*($V$2:$AE$2&lt;Y$2))),2))))</f>
      </c>
      <c r="AJ229" s="33">
        <f>IF(Z229&lt;=0,0,MAX(0,MIN(Z229,ROUND($AZ229-SUMPRODUCT($V229:$AE229*($V229:$AE229&gt;0)*(($V$3:$AE$3&gt;Z$3)+($V$3:$AE$3=Z$3)*($V229:$AE229&lt;Z229)+($V$3:$AE$3=Z$3)*($V229:$AE229=Z229)*($V$2:$AE$2&lt;Z$2))),2))))</f>
      </c>
      <c r="AK229" s="33">
        <f>IF(AA229&lt;=0,0,MAX(0,MIN(AA229,ROUND($AZ229-SUMPRODUCT($V229:$AE229*($V229:$AE229&gt;0)*(($V$3:$AE$3&gt;AA$3)+($V$3:$AE$3=AA$3)*($V229:$AE229&lt;AA229)+($V$3:$AE$3=AA$3)*($V229:$AE229=AA229)*($V$2:$AE$2&lt;AA$2))),2))))</f>
      </c>
      <c r="AL229" s="33">
        <f>IF(AB229&lt;=0,0,MAX(0,MIN(AB229,ROUND($AZ229-SUMPRODUCT($V229:$AE229*($V229:$AE229&gt;0)*(($V$3:$AE$3&gt;AB$3)+($V$3:$AE$3=AB$3)*($V229:$AE229&lt;AB229)+($V$3:$AE$3=AB$3)*($V229:$AE229=AB229)*($V$2:$AE$2&lt;AB$2))),2))))</f>
      </c>
      <c r="AM229" s="33">
        <f>IF(AC229&lt;=0,0,MAX(0,MIN(AC229,ROUND($AZ229-SUMPRODUCT($V229:$AE229*($V229:$AE229&gt;0)*(($V$3:$AE$3&gt;AC$3)+($V$3:$AE$3=AC$3)*($V229:$AE229&lt;AC229)+($V$3:$AE$3=AC$3)*($V229:$AE229=AC229)*($V$2:$AE$2&lt;AC$2))),2))))</f>
      </c>
      <c r="AN229" s="33">
        <f>IF(AD229&lt;=0,0,MAX(0,MIN(AD229,ROUND($AZ229-SUMPRODUCT($V229:$AE229*($V229:$AE229&gt;0)*(($V$3:$AE$3&gt;AD$3)+($V$3:$AE$3=AD$3)*($V229:$AE229&lt;AD229)+($V$3:$AE$3=AD$3)*($V229:$AE229=AD229)*($V$2:$AE$2&lt;AD$2))),2))))</f>
      </c>
      <c r="AO229" s="33">
        <f>IF(AE229&lt;=0,0,MAX(0,MIN(AE229,ROUND($AZ229-SUMPRODUCT($V229:$AE229*($V229:$AE229&gt;0)*(($V$3:$AE$3&gt;AE$3)+($V$3:$AE$3=AE$3)*($V229:$AE229&lt;AE229)+($V$3:$AE$3=AE$3)*($V229:$AE229=AE229)*($V$2:$AE$2&lt;AE$2))),2))))</f>
      </c>
      <c r="AP229" s="33">
        <f>ROUND(V229-AF229,2)</f>
      </c>
      <c r="AQ229" s="33">
        <f>ROUND(W229-AG229,2)</f>
      </c>
      <c r="AR229" s="33">
        <f>ROUND(X229-AH229,2)</f>
      </c>
      <c r="AS229" s="33">
        <f>ROUND(Y229-AI229,2)</f>
      </c>
      <c r="AT229" s="33">
        <f>ROUND(Z229-AJ229,2)</f>
      </c>
      <c r="AU229" s="33">
        <f>ROUND(AA229-AK229,2)</f>
      </c>
      <c r="AV229" s="33">
        <f>ROUND(AB229-AL229,2)</f>
      </c>
      <c r="AW229" s="33">
        <f>ROUND(AC229-AM229,2)</f>
      </c>
      <c r="AX229" s="33">
        <f>ROUND(AD229-AN229,2)</f>
      </c>
      <c r="AY229" s="33">
        <f>ROUND(AE229-AO229,2)</f>
      </c>
      <c r="AZ229" s="33">
        <f>ROUND(MAX(0,'Your debts'!$D$22-SUM($L229:$U229)),2)</f>
      </c>
      <c r="BA229" s="33">
        <f>ROUND(SUM($B229:$K229)-SUM($AP228:$AY228),2)</f>
      </c>
      <c r="BB229" s="33">
        <f>SUM($AP229:$AY229)</f>
      </c>
      <c r="BC229" s="33">
        <f>ROUND(SUM($L229:$U229)+SUM($AF229:$AO229),2)</f>
      </c>
    </row>
    <row r="230" spans="1:55" x14ac:dyDescent="0.25">
      <c r="A230">
        <v>223</v>
      </c>
      <c r="B230" s="33">
        <f>IF(AP229&lt;=0,0,ROUND(AP229+ROUND(AP229*V$3/12,2),2))</f>
      </c>
      <c r="C230" s="33">
        <f>IF(AQ229&lt;=0,0,ROUND(AQ229+ROUND(AQ229*W$3/12,2),2))</f>
      </c>
      <c r="D230" s="33">
        <f>IF(AR229&lt;=0,0,ROUND(AR229+ROUND(AR229*X$3/12,2),2))</f>
      </c>
      <c r="E230" s="33">
        <f>IF(AS229&lt;=0,0,ROUND(AS229+ROUND(AS229*Y$3/12,2),2))</f>
      </c>
      <c r="F230" s="33">
        <f>IF(AT229&lt;=0,0,ROUND(AT229+ROUND(AT229*Z$3/12,2),2))</f>
      </c>
      <c r="G230" s="33">
        <f>IF(AU229&lt;=0,0,ROUND(AU229+ROUND(AU229*AA$3/12,2),2))</f>
      </c>
      <c r="H230" s="33">
        <f>IF(AV229&lt;=0,0,ROUND(AV229+ROUND(AV229*AB$3/12,2),2))</f>
      </c>
      <c r="I230" s="33">
        <f>IF(AW229&lt;=0,0,ROUND(AW229+ROUND(AW229*AC$3/12,2),2))</f>
      </c>
      <c r="J230" s="33">
        <f>IF(AX229&lt;=0,0,ROUND(AX229+ROUND(AX229*AD$3/12,2),2))</f>
      </c>
      <c r="K230" s="33">
        <f>IF(AY229&lt;=0,0,ROUND(AY229+ROUND(AY229*AE$3/12,2),2))</f>
      </c>
      <c r="L230" s="33">
        <f>ROUND(MIN(MAX(0,N('Your debts'!$E$6)),B230),2)</f>
      </c>
      <c r="M230" s="33">
        <f>ROUND(MIN(MAX(0,N('Your debts'!$E$7)),C230),2)</f>
      </c>
      <c r="N230" s="33">
        <f>ROUND(MIN(MAX(0,N('Your debts'!$E$8)),D230),2)</f>
      </c>
      <c r="O230" s="33">
        <f>ROUND(MIN(MAX(0,N('Your debts'!$E$9)),E230),2)</f>
      </c>
      <c r="P230" s="33">
        <f>ROUND(MIN(MAX(0,N('Your debts'!$E$10)),F230),2)</f>
      </c>
      <c r="Q230" s="33">
        <f>ROUND(MIN(MAX(0,N('Your debts'!$E$11)),G230),2)</f>
      </c>
      <c r="R230" s="33">
        <f>ROUND(MIN(MAX(0,N('Your debts'!$E$12)),H230),2)</f>
      </c>
      <c r="S230" s="33">
        <f>ROUND(MIN(MAX(0,N('Your debts'!$E$13)),I230),2)</f>
      </c>
      <c r="T230" s="33">
        <f>ROUND(MIN(MAX(0,N('Your debts'!$E$14)),J230),2)</f>
      </c>
      <c r="U230" s="33">
        <f>ROUND(MIN(MAX(0,N('Your debts'!$E$15)),K230),2)</f>
      </c>
      <c r="V230" s="33">
        <f>ROUND(B230-L230,2)</f>
      </c>
      <c r="W230" s="33">
        <f>ROUND(C230-M230,2)</f>
      </c>
      <c r="X230" s="33">
        <f>ROUND(D230-N230,2)</f>
      </c>
      <c r="Y230" s="33">
        <f>ROUND(E230-O230,2)</f>
      </c>
      <c r="Z230" s="33">
        <f>ROUND(F230-P230,2)</f>
      </c>
      <c r="AA230" s="33">
        <f>ROUND(G230-Q230,2)</f>
      </c>
      <c r="AB230" s="33">
        <f>ROUND(H230-R230,2)</f>
      </c>
      <c r="AC230" s="33">
        <f>ROUND(I230-S230,2)</f>
      </c>
      <c r="AD230" s="33">
        <f>ROUND(J230-T230,2)</f>
      </c>
      <c r="AE230" s="33">
        <f>ROUND(K230-U230,2)</f>
      </c>
      <c r="AF230" s="33">
        <f>IF(V230&lt;=0,0,MAX(0,MIN(V230,ROUND($AZ230-SUMPRODUCT($V230:$AE230*($V230:$AE230&gt;0)*(($V$3:$AE$3&gt;V$3)+($V$3:$AE$3=V$3)*($V230:$AE230&lt;V230)+($V$3:$AE$3=V$3)*($V230:$AE230=V230)*($V$2:$AE$2&lt;V$2))),2))))</f>
      </c>
      <c r="AG230" s="33">
        <f>IF(W230&lt;=0,0,MAX(0,MIN(W230,ROUND($AZ230-SUMPRODUCT($V230:$AE230*($V230:$AE230&gt;0)*(($V$3:$AE$3&gt;W$3)+($V$3:$AE$3=W$3)*($V230:$AE230&lt;W230)+($V$3:$AE$3=W$3)*($V230:$AE230=W230)*($V$2:$AE$2&lt;W$2))),2))))</f>
      </c>
      <c r="AH230" s="33">
        <f>IF(X230&lt;=0,0,MAX(0,MIN(X230,ROUND($AZ230-SUMPRODUCT($V230:$AE230*($V230:$AE230&gt;0)*(($V$3:$AE$3&gt;X$3)+($V$3:$AE$3=X$3)*($V230:$AE230&lt;X230)+($V$3:$AE$3=X$3)*($V230:$AE230=X230)*($V$2:$AE$2&lt;X$2))),2))))</f>
      </c>
      <c r="AI230" s="33">
        <f>IF(Y230&lt;=0,0,MAX(0,MIN(Y230,ROUND($AZ230-SUMPRODUCT($V230:$AE230*($V230:$AE230&gt;0)*(($V$3:$AE$3&gt;Y$3)+($V$3:$AE$3=Y$3)*($V230:$AE230&lt;Y230)+($V$3:$AE$3=Y$3)*($V230:$AE230=Y230)*($V$2:$AE$2&lt;Y$2))),2))))</f>
      </c>
      <c r="AJ230" s="33">
        <f>IF(Z230&lt;=0,0,MAX(0,MIN(Z230,ROUND($AZ230-SUMPRODUCT($V230:$AE230*($V230:$AE230&gt;0)*(($V$3:$AE$3&gt;Z$3)+($V$3:$AE$3=Z$3)*($V230:$AE230&lt;Z230)+($V$3:$AE$3=Z$3)*($V230:$AE230=Z230)*($V$2:$AE$2&lt;Z$2))),2))))</f>
      </c>
      <c r="AK230" s="33">
        <f>IF(AA230&lt;=0,0,MAX(0,MIN(AA230,ROUND($AZ230-SUMPRODUCT($V230:$AE230*($V230:$AE230&gt;0)*(($V$3:$AE$3&gt;AA$3)+($V$3:$AE$3=AA$3)*($V230:$AE230&lt;AA230)+($V$3:$AE$3=AA$3)*($V230:$AE230=AA230)*($V$2:$AE$2&lt;AA$2))),2))))</f>
      </c>
      <c r="AL230" s="33">
        <f>IF(AB230&lt;=0,0,MAX(0,MIN(AB230,ROUND($AZ230-SUMPRODUCT($V230:$AE230*($V230:$AE230&gt;0)*(($V$3:$AE$3&gt;AB$3)+($V$3:$AE$3=AB$3)*($V230:$AE230&lt;AB230)+($V$3:$AE$3=AB$3)*($V230:$AE230=AB230)*($V$2:$AE$2&lt;AB$2))),2))))</f>
      </c>
      <c r="AM230" s="33">
        <f>IF(AC230&lt;=0,0,MAX(0,MIN(AC230,ROUND($AZ230-SUMPRODUCT($V230:$AE230*($V230:$AE230&gt;0)*(($V$3:$AE$3&gt;AC$3)+($V$3:$AE$3=AC$3)*($V230:$AE230&lt;AC230)+($V$3:$AE$3=AC$3)*($V230:$AE230=AC230)*($V$2:$AE$2&lt;AC$2))),2))))</f>
      </c>
      <c r="AN230" s="33">
        <f>IF(AD230&lt;=0,0,MAX(0,MIN(AD230,ROUND($AZ230-SUMPRODUCT($V230:$AE230*($V230:$AE230&gt;0)*(($V$3:$AE$3&gt;AD$3)+($V$3:$AE$3=AD$3)*($V230:$AE230&lt;AD230)+($V$3:$AE$3=AD$3)*($V230:$AE230=AD230)*($V$2:$AE$2&lt;AD$2))),2))))</f>
      </c>
      <c r="AO230" s="33">
        <f>IF(AE230&lt;=0,0,MAX(0,MIN(AE230,ROUND($AZ230-SUMPRODUCT($V230:$AE230*($V230:$AE230&gt;0)*(($V$3:$AE$3&gt;AE$3)+($V$3:$AE$3=AE$3)*($V230:$AE230&lt;AE230)+($V$3:$AE$3=AE$3)*($V230:$AE230=AE230)*($V$2:$AE$2&lt;AE$2))),2))))</f>
      </c>
      <c r="AP230" s="33">
        <f>ROUND(V230-AF230,2)</f>
      </c>
      <c r="AQ230" s="33">
        <f>ROUND(W230-AG230,2)</f>
      </c>
      <c r="AR230" s="33">
        <f>ROUND(X230-AH230,2)</f>
      </c>
      <c r="AS230" s="33">
        <f>ROUND(Y230-AI230,2)</f>
      </c>
      <c r="AT230" s="33">
        <f>ROUND(Z230-AJ230,2)</f>
      </c>
      <c r="AU230" s="33">
        <f>ROUND(AA230-AK230,2)</f>
      </c>
      <c r="AV230" s="33">
        <f>ROUND(AB230-AL230,2)</f>
      </c>
      <c r="AW230" s="33">
        <f>ROUND(AC230-AM230,2)</f>
      </c>
      <c r="AX230" s="33">
        <f>ROUND(AD230-AN230,2)</f>
      </c>
      <c r="AY230" s="33">
        <f>ROUND(AE230-AO230,2)</f>
      </c>
      <c r="AZ230" s="33">
        <f>ROUND(MAX(0,'Your debts'!$D$22-SUM($L230:$U230)),2)</f>
      </c>
      <c r="BA230" s="33">
        <f>ROUND(SUM($B230:$K230)-SUM($AP229:$AY229),2)</f>
      </c>
      <c r="BB230" s="33">
        <f>SUM($AP230:$AY230)</f>
      </c>
      <c r="BC230" s="33">
        <f>ROUND(SUM($L230:$U230)+SUM($AF230:$AO230),2)</f>
      </c>
    </row>
    <row r="231" spans="1:55" x14ac:dyDescent="0.25">
      <c r="A231">
        <v>224</v>
      </c>
      <c r="B231" s="33">
        <f>IF(AP230&lt;=0,0,ROUND(AP230+ROUND(AP230*V$3/12,2),2))</f>
      </c>
      <c r="C231" s="33">
        <f>IF(AQ230&lt;=0,0,ROUND(AQ230+ROUND(AQ230*W$3/12,2),2))</f>
      </c>
      <c r="D231" s="33">
        <f>IF(AR230&lt;=0,0,ROUND(AR230+ROUND(AR230*X$3/12,2),2))</f>
      </c>
      <c r="E231" s="33">
        <f>IF(AS230&lt;=0,0,ROUND(AS230+ROUND(AS230*Y$3/12,2),2))</f>
      </c>
      <c r="F231" s="33">
        <f>IF(AT230&lt;=0,0,ROUND(AT230+ROUND(AT230*Z$3/12,2),2))</f>
      </c>
      <c r="G231" s="33">
        <f>IF(AU230&lt;=0,0,ROUND(AU230+ROUND(AU230*AA$3/12,2),2))</f>
      </c>
      <c r="H231" s="33">
        <f>IF(AV230&lt;=0,0,ROUND(AV230+ROUND(AV230*AB$3/12,2),2))</f>
      </c>
      <c r="I231" s="33">
        <f>IF(AW230&lt;=0,0,ROUND(AW230+ROUND(AW230*AC$3/12,2),2))</f>
      </c>
      <c r="J231" s="33">
        <f>IF(AX230&lt;=0,0,ROUND(AX230+ROUND(AX230*AD$3/12,2),2))</f>
      </c>
      <c r="K231" s="33">
        <f>IF(AY230&lt;=0,0,ROUND(AY230+ROUND(AY230*AE$3/12,2),2))</f>
      </c>
      <c r="L231" s="33">
        <f>ROUND(MIN(MAX(0,N('Your debts'!$E$6)),B231),2)</f>
      </c>
      <c r="M231" s="33">
        <f>ROUND(MIN(MAX(0,N('Your debts'!$E$7)),C231),2)</f>
      </c>
      <c r="N231" s="33">
        <f>ROUND(MIN(MAX(0,N('Your debts'!$E$8)),D231),2)</f>
      </c>
      <c r="O231" s="33">
        <f>ROUND(MIN(MAX(0,N('Your debts'!$E$9)),E231),2)</f>
      </c>
      <c r="P231" s="33">
        <f>ROUND(MIN(MAX(0,N('Your debts'!$E$10)),F231),2)</f>
      </c>
      <c r="Q231" s="33">
        <f>ROUND(MIN(MAX(0,N('Your debts'!$E$11)),G231),2)</f>
      </c>
      <c r="R231" s="33">
        <f>ROUND(MIN(MAX(0,N('Your debts'!$E$12)),H231),2)</f>
      </c>
      <c r="S231" s="33">
        <f>ROUND(MIN(MAX(0,N('Your debts'!$E$13)),I231),2)</f>
      </c>
      <c r="T231" s="33">
        <f>ROUND(MIN(MAX(0,N('Your debts'!$E$14)),J231),2)</f>
      </c>
      <c r="U231" s="33">
        <f>ROUND(MIN(MAX(0,N('Your debts'!$E$15)),K231),2)</f>
      </c>
      <c r="V231" s="33">
        <f>ROUND(B231-L231,2)</f>
      </c>
      <c r="W231" s="33">
        <f>ROUND(C231-M231,2)</f>
      </c>
      <c r="X231" s="33">
        <f>ROUND(D231-N231,2)</f>
      </c>
      <c r="Y231" s="33">
        <f>ROUND(E231-O231,2)</f>
      </c>
      <c r="Z231" s="33">
        <f>ROUND(F231-P231,2)</f>
      </c>
      <c r="AA231" s="33">
        <f>ROUND(G231-Q231,2)</f>
      </c>
      <c r="AB231" s="33">
        <f>ROUND(H231-R231,2)</f>
      </c>
      <c r="AC231" s="33">
        <f>ROUND(I231-S231,2)</f>
      </c>
      <c r="AD231" s="33">
        <f>ROUND(J231-T231,2)</f>
      </c>
      <c r="AE231" s="33">
        <f>ROUND(K231-U231,2)</f>
      </c>
      <c r="AF231" s="33">
        <f>IF(V231&lt;=0,0,MAX(0,MIN(V231,ROUND($AZ231-SUMPRODUCT($V231:$AE231*($V231:$AE231&gt;0)*(($V$3:$AE$3&gt;V$3)+($V$3:$AE$3=V$3)*($V231:$AE231&lt;V231)+($V$3:$AE$3=V$3)*($V231:$AE231=V231)*($V$2:$AE$2&lt;V$2))),2))))</f>
      </c>
      <c r="AG231" s="33">
        <f>IF(W231&lt;=0,0,MAX(0,MIN(W231,ROUND($AZ231-SUMPRODUCT($V231:$AE231*($V231:$AE231&gt;0)*(($V$3:$AE$3&gt;W$3)+($V$3:$AE$3=W$3)*($V231:$AE231&lt;W231)+($V$3:$AE$3=W$3)*($V231:$AE231=W231)*($V$2:$AE$2&lt;W$2))),2))))</f>
      </c>
      <c r="AH231" s="33">
        <f>IF(X231&lt;=0,0,MAX(0,MIN(X231,ROUND($AZ231-SUMPRODUCT($V231:$AE231*($V231:$AE231&gt;0)*(($V$3:$AE$3&gt;X$3)+($V$3:$AE$3=X$3)*($V231:$AE231&lt;X231)+($V$3:$AE$3=X$3)*($V231:$AE231=X231)*($V$2:$AE$2&lt;X$2))),2))))</f>
      </c>
      <c r="AI231" s="33">
        <f>IF(Y231&lt;=0,0,MAX(0,MIN(Y231,ROUND($AZ231-SUMPRODUCT($V231:$AE231*($V231:$AE231&gt;0)*(($V$3:$AE$3&gt;Y$3)+($V$3:$AE$3=Y$3)*($V231:$AE231&lt;Y231)+($V$3:$AE$3=Y$3)*($V231:$AE231=Y231)*($V$2:$AE$2&lt;Y$2))),2))))</f>
      </c>
      <c r="AJ231" s="33">
        <f>IF(Z231&lt;=0,0,MAX(0,MIN(Z231,ROUND($AZ231-SUMPRODUCT($V231:$AE231*($V231:$AE231&gt;0)*(($V$3:$AE$3&gt;Z$3)+($V$3:$AE$3=Z$3)*($V231:$AE231&lt;Z231)+($V$3:$AE$3=Z$3)*($V231:$AE231=Z231)*($V$2:$AE$2&lt;Z$2))),2))))</f>
      </c>
      <c r="AK231" s="33">
        <f>IF(AA231&lt;=0,0,MAX(0,MIN(AA231,ROUND($AZ231-SUMPRODUCT($V231:$AE231*($V231:$AE231&gt;0)*(($V$3:$AE$3&gt;AA$3)+($V$3:$AE$3=AA$3)*($V231:$AE231&lt;AA231)+($V$3:$AE$3=AA$3)*($V231:$AE231=AA231)*($V$2:$AE$2&lt;AA$2))),2))))</f>
      </c>
      <c r="AL231" s="33">
        <f>IF(AB231&lt;=0,0,MAX(0,MIN(AB231,ROUND($AZ231-SUMPRODUCT($V231:$AE231*($V231:$AE231&gt;0)*(($V$3:$AE$3&gt;AB$3)+($V$3:$AE$3=AB$3)*($V231:$AE231&lt;AB231)+($V$3:$AE$3=AB$3)*($V231:$AE231=AB231)*($V$2:$AE$2&lt;AB$2))),2))))</f>
      </c>
      <c r="AM231" s="33">
        <f>IF(AC231&lt;=0,0,MAX(0,MIN(AC231,ROUND($AZ231-SUMPRODUCT($V231:$AE231*($V231:$AE231&gt;0)*(($V$3:$AE$3&gt;AC$3)+($V$3:$AE$3=AC$3)*($V231:$AE231&lt;AC231)+($V$3:$AE$3=AC$3)*($V231:$AE231=AC231)*($V$2:$AE$2&lt;AC$2))),2))))</f>
      </c>
      <c r="AN231" s="33">
        <f>IF(AD231&lt;=0,0,MAX(0,MIN(AD231,ROUND($AZ231-SUMPRODUCT($V231:$AE231*($V231:$AE231&gt;0)*(($V$3:$AE$3&gt;AD$3)+($V$3:$AE$3=AD$3)*($V231:$AE231&lt;AD231)+($V$3:$AE$3=AD$3)*($V231:$AE231=AD231)*($V$2:$AE$2&lt;AD$2))),2))))</f>
      </c>
      <c r="AO231" s="33">
        <f>IF(AE231&lt;=0,0,MAX(0,MIN(AE231,ROUND($AZ231-SUMPRODUCT($V231:$AE231*($V231:$AE231&gt;0)*(($V$3:$AE$3&gt;AE$3)+($V$3:$AE$3=AE$3)*($V231:$AE231&lt;AE231)+($V$3:$AE$3=AE$3)*($V231:$AE231=AE231)*($V$2:$AE$2&lt;AE$2))),2))))</f>
      </c>
      <c r="AP231" s="33">
        <f>ROUND(V231-AF231,2)</f>
      </c>
      <c r="AQ231" s="33">
        <f>ROUND(W231-AG231,2)</f>
      </c>
      <c r="AR231" s="33">
        <f>ROUND(X231-AH231,2)</f>
      </c>
      <c r="AS231" s="33">
        <f>ROUND(Y231-AI231,2)</f>
      </c>
      <c r="AT231" s="33">
        <f>ROUND(Z231-AJ231,2)</f>
      </c>
      <c r="AU231" s="33">
        <f>ROUND(AA231-AK231,2)</f>
      </c>
      <c r="AV231" s="33">
        <f>ROUND(AB231-AL231,2)</f>
      </c>
      <c r="AW231" s="33">
        <f>ROUND(AC231-AM231,2)</f>
      </c>
      <c r="AX231" s="33">
        <f>ROUND(AD231-AN231,2)</f>
      </c>
      <c r="AY231" s="33">
        <f>ROUND(AE231-AO231,2)</f>
      </c>
      <c r="AZ231" s="33">
        <f>ROUND(MAX(0,'Your debts'!$D$22-SUM($L231:$U231)),2)</f>
      </c>
      <c r="BA231" s="33">
        <f>ROUND(SUM($B231:$K231)-SUM($AP230:$AY230),2)</f>
      </c>
      <c r="BB231" s="33">
        <f>SUM($AP231:$AY231)</f>
      </c>
      <c r="BC231" s="33">
        <f>ROUND(SUM($L231:$U231)+SUM($AF231:$AO231),2)</f>
      </c>
    </row>
    <row r="232" spans="1:55" x14ac:dyDescent="0.25">
      <c r="A232">
        <v>225</v>
      </c>
      <c r="B232" s="33">
        <f>IF(AP231&lt;=0,0,ROUND(AP231+ROUND(AP231*V$3/12,2),2))</f>
      </c>
      <c r="C232" s="33">
        <f>IF(AQ231&lt;=0,0,ROUND(AQ231+ROUND(AQ231*W$3/12,2),2))</f>
      </c>
      <c r="D232" s="33">
        <f>IF(AR231&lt;=0,0,ROUND(AR231+ROUND(AR231*X$3/12,2),2))</f>
      </c>
      <c r="E232" s="33">
        <f>IF(AS231&lt;=0,0,ROUND(AS231+ROUND(AS231*Y$3/12,2),2))</f>
      </c>
      <c r="F232" s="33">
        <f>IF(AT231&lt;=0,0,ROUND(AT231+ROUND(AT231*Z$3/12,2),2))</f>
      </c>
      <c r="G232" s="33">
        <f>IF(AU231&lt;=0,0,ROUND(AU231+ROUND(AU231*AA$3/12,2),2))</f>
      </c>
      <c r="H232" s="33">
        <f>IF(AV231&lt;=0,0,ROUND(AV231+ROUND(AV231*AB$3/12,2),2))</f>
      </c>
      <c r="I232" s="33">
        <f>IF(AW231&lt;=0,0,ROUND(AW231+ROUND(AW231*AC$3/12,2),2))</f>
      </c>
      <c r="J232" s="33">
        <f>IF(AX231&lt;=0,0,ROUND(AX231+ROUND(AX231*AD$3/12,2),2))</f>
      </c>
      <c r="K232" s="33">
        <f>IF(AY231&lt;=0,0,ROUND(AY231+ROUND(AY231*AE$3/12,2),2))</f>
      </c>
      <c r="L232" s="33">
        <f>ROUND(MIN(MAX(0,N('Your debts'!$E$6)),B232),2)</f>
      </c>
      <c r="M232" s="33">
        <f>ROUND(MIN(MAX(0,N('Your debts'!$E$7)),C232),2)</f>
      </c>
      <c r="N232" s="33">
        <f>ROUND(MIN(MAX(0,N('Your debts'!$E$8)),D232),2)</f>
      </c>
      <c r="O232" s="33">
        <f>ROUND(MIN(MAX(0,N('Your debts'!$E$9)),E232),2)</f>
      </c>
      <c r="P232" s="33">
        <f>ROUND(MIN(MAX(0,N('Your debts'!$E$10)),F232),2)</f>
      </c>
      <c r="Q232" s="33">
        <f>ROUND(MIN(MAX(0,N('Your debts'!$E$11)),G232),2)</f>
      </c>
      <c r="R232" s="33">
        <f>ROUND(MIN(MAX(0,N('Your debts'!$E$12)),H232),2)</f>
      </c>
      <c r="S232" s="33">
        <f>ROUND(MIN(MAX(0,N('Your debts'!$E$13)),I232),2)</f>
      </c>
      <c r="T232" s="33">
        <f>ROUND(MIN(MAX(0,N('Your debts'!$E$14)),J232),2)</f>
      </c>
      <c r="U232" s="33">
        <f>ROUND(MIN(MAX(0,N('Your debts'!$E$15)),K232),2)</f>
      </c>
      <c r="V232" s="33">
        <f>ROUND(B232-L232,2)</f>
      </c>
      <c r="W232" s="33">
        <f>ROUND(C232-M232,2)</f>
      </c>
      <c r="X232" s="33">
        <f>ROUND(D232-N232,2)</f>
      </c>
      <c r="Y232" s="33">
        <f>ROUND(E232-O232,2)</f>
      </c>
      <c r="Z232" s="33">
        <f>ROUND(F232-P232,2)</f>
      </c>
      <c r="AA232" s="33">
        <f>ROUND(G232-Q232,2)</f>
      </c>
      <c r="AB232" s="33">
        <f>ROUND(H232-R232,2)</f>
      </c>
      <c r="AC232" s="33">
        <f>ROUND(I232-S232,2)</f>
      </c>
      <c r="AD232" s="33">
        <f>ROUND(J232-T232,2)</f>
      </c>
      <c r="AE232" s="33">
        <f>ROUND(K232-U232,2)</f>
      </c>
      <c r="AF232" s="33">
        <f>IF(V232&lt;=0,0,MAX(0,MIN(V232,ROUND($AZ232-SUMPRODUCT($V232:$AE232*($V232:$AE232&gt;0)*(($V$3:$AE$3&gt;V$3)+($V$3:$AE$3=V$3)*($V232:$AE232&lt;V232)+($V$3:$AE$3=V$3)*($V232:$AE232=V232)*($V$2:$AE$2&lt;V$2))),2))))</f>
      </c>
      <c r="AG232" s="33">
        <f>IF(W232&lt;=0,0,MAX(0,MIN(W232,ROUND($AZ232-SUMPRODUCT($V232:$AE232*($V232:$AE232&gt;0)*(($V$3:$AE$3&gt;W$3)+($V$3:$AE$3=W$3)*($V232:$AE232&lt;W232)+($V$3:$AE$3=W$3)*($V232:$AE232=W232)*($V$2:$AE$2&lt;W$2))),2))))</f>
      </c>
      <c r="AH232" s="33">
        <f>IF(X232&lt;=0,0,MAX(0,MIN(X232,ROUND($AZ232-SUMPRODUCT($V232:$AE232*($V232:$AE232&gt;0)*(($V$3:$AE$3&gt;X$3)+($V$3:$AE$3=X$3)*($V232:$AE232&lt;X232)+($V$3:$AE$3=X$3)*($V232:$AE232=X232)*($V$2:$AE$2&lt;X$2))),2))))</f>
      </c>
      <c r="AI232" s="33">
        <f>IF(Y232&lt;=0,0,MAX(0,MIN(Y232,ROUND($AZ232-SUMPRODUCT($V232:$AE232*($V232:$AE232&gt;0)*(($V$3:$AE$3&gt;Y$3)+($V$3:$AE$3=Y$3)*($V232:$AE232&lt;Y232)+($V$3:$AE$3=Y$3)*($V232:$AE232=Y232)*($V$2:$AE$2&lt;Y$2))),2))))</f>
      </c>
      <c r="AJ232" s="33">
        <f>IF(Z232&lt;=0,0,MAX(0,MIN(Z232,ROUND($AZ232-SUMPRODUCT($V232:$AE232*($V232:$AE232&gt;0)*(($V$3:$AE$3&gt;Z$3)+($V$3:$AE$3=Z$3)*($V232:$AE232&lt;Z232)+($V$3:$AE$3=Z$3)*($V232:$AE232=Z232)*($V$2:$AE$2&lt;Z$2))),2))))</f>
      </c>
      <c r="AK232" s="33">
        <f>IF(AA232&lt;=0,0,MAX(0,MIN(AA232,ROUND($AZ232-SUMPRODUCT($V232:$AE232*($V232:$AE232&gt;0)*(($V$3:$AE$3&gt;AA$3)+($V$3:$AE$3=AA$3)*($V232:$AE232&lt;AA232)+($V$3:$AE$3=AA$3)*($V232:$AE232=AA232)*($V$2:$AE$2&lt;AA$2))),2))))</f>
      </c>
      <c r="AL232" s="33">
        <f>IF(AB232&lt;=0,0,MAX(0,MIN(AB232,ROUND($AZ232-SUMPRODUCT($V232:$AE232*($V232:$AE232&gt;0)*(($V$3:$AE$3&gt;AB$3)+($V$3:$AE$3=AB$3)*($V232:$AE232&lt;AB232)+($V$3:$AE$3=AB$3)*($V232:$AE232=AB232)*($V$2:$AE$2&lt;AB$2))),2))))</f>
      </c>
      <c r="AM232" s="33">
        <f>IF(AC232&lt;=0,0,MAX(0,MIN(AC232,ROUND($AZ232-SUMPRODUCT($V232:$AE232*($V232:$AE232&gt;0)*(($V$3:$AE$3&gt;AC$3)+($V$3:$AE$3=AC$3)*($V232:$AE232&lt;AC232)+($V$3:$AE$3=AC$3)*($V232:$AE232=AC232)*($V$2:$AE$2&lt;AC$2))),2))))</f>
      </c>
      <c r="AN232" s="33">
        <f>IF(AD232&lt;=0,0,MAX(0,MIN(AD232,ROUND($AZ232-SUMPRODUCT($V232:$AE232*($V232:$AE232&gt;0)*(($V$3:$AE$3&gt;AD$3)+($V$3:$AE$3=AD$3)*($V232:$AE232&lt;AD232)+($V$3:$AE$3=AD$3)*($V232:$AE232=AD232)*($V$2:$AE$2&lt;AD$2))),2))))</f>
      </c>
      <c r="AO232" s="33">
        <f>IF(AE232&lt;=0,0,MAX(0,MIN(AE232,ROUND($AZ232-SUMPRODUCT($V232:$AE232*($V232:$AE232&gt;0)*(($V$3:$AE$3&gt;AE$3)+($V$3:$AE$3=AE$3)*($V232:$AE232&lt;AE232)+($V$3:$AE$3=AE$3)*($V232:$AE232=AE232)*($V$2:$AE$2&lt;AE$2))),2))))</f>
      </c>
      <c r="AP232" s="33">
        <f>ROUND(V232-AF232,2)</f>
      </c>
      <c r="AQ232" s="33">
        <f>ROUND(W232-AG232,2)</f>
      </c>
      <c r="AR232" s="33">
        <f>ROUND(X232-AH232,2)</f>
      </c>
      <c r="AS232" s="33">
        <f>ROUND(Y232-AI232,2)</f>
      </c>
      <c r="AT232" s="33">
        <f>ROUND(Z232-AJ232,2)</f>
      </c>
      <c r="AU232" s="33">
        <f>ROUND(AA232-AK232,2)</f>
      </c>
      <c r="AV232" s="33">
        <f>ROUND(AB232-AL232,2)</f>
      </c>
      <c r="AW232" s="33">
        <f>ROUND(AC232-AM232,2)</f>
      </c>
      <c r="AX232" s="33">
        <f>ROUND(AD232-AN232,2)</f>
      </c>
      <c r="AY232" s="33">
        <f>ROUND(AE232-AO232,2)</f>
      </c>
      <c r="AZ232" s="33">
        <f>ROUND(MAX(0,'Your debts'!$D$22-SUM($L232:$U232)),2)</f>
      </c>
      <c r="BA232" s="33">
        <f>ROUND(SUM($B232:$K232)-SUM($AP231:$AY231),2)</f>
      </c>
      <c r="BB232" s="33">
        <f>SUM($AP232:$AY232)</f>
      </c>
      <c r="BC232" s="33">
        <f>ROUND(SUM($L232:$U232)+SUM($AF232:$AO232),2)</f>
      </c>
    </row>
    <row r="233" spans="1:55" x14ac:dyDescent="0.25">
      <c r="A233">
        <v>226</v>
      </c>
      <c r="B233" s="33">
        <f>IF(AP232&lt;=0,0,ROUND(AP232+ROUND(AP232*V$3/12,2),2))</f>
      </c>
      <c r="C233" s="33">
        <f>IF(AQ232&lt;=0,0,ROUND(AQ232+ROUND(AQ232*W$3/12,2),2))</f>
      </c>
      <c r="D233" s="33">
        <f>IF(AR232&lt;=0,0,ROUND(AR232+ROUND(AR232*X$3/12,2),2))</f>
      </c>
      <c r="E233" s="33">
        <f>IF(AS232&lt;=0,0,ROUND(AS232+ROUND(AS232*Y$3/12,2),2))</f>
      </c>
      <c r="F233" s="33">
        <f>IF(AT232&lt;=0,0,ROUND(AT232+ROUND(AT232*Z$3/12,2),2))</f>
      </c>
      <c r="G233" s="33">
        <f>IF(AU232&lt;=0,0,ROUND(AU232+ROUND(AU232*AA$3/12,2),2))</f>
      </c>
      <c r="H233" s="33">
        <f>IF(AV232&lt;=0,0,ROUND(AV232+ROUND(AV232*AB$3/12,2),2))</f>
      </c>
      <c r="I233" s="33">
        <f>IF(AW232&lt;=0,0,ROUND(AW232+ROUND(AW232*AC$3/12,2),2))</f>
      </c>
      <c r="J233" s="33">
        <f>IF(AX232&lt;=0,0,ROUND(AX232+ROUND(AX232*AD$3/12,2),2))</f>
      </c>
      <c r="K233" s="33">
        <f>IF(AY232&lt;=0,0,ROUND(AY232+ROUND(AY232*AE$3/12,2),2))</f>
      </c>
      <c r="L233" s="33">
        <f>ROUND(MIN(MAX(0,N('Your debts'!$E$6)),B233),2)</f>
      </c>
      <c r="M233" s="33">
        <f>ROUND(MIN(MAX(0,N('Your debts'!$E$7)),C233),2)</f>
      </c>
      <c r="N233" s="33">
        <f>ROUND(MIN(MAX(0,N('Your debts'!$E$8)),D233),2)</f>
      </c>
      <c r="O233" s="33">
        <f>ROUND(MIN(MAX(0,N('Your debts'!$E$9)),E233),2)</f>
      </c>
      <c r="P233" s="33">
        <f>ROUND(MIN(MAX(0,N('Your debts'!$E$10)),F233),2)</f>
      </c>
      <c r="Q233" s="33">
        <f>ROUND(MIN(MAX(0,N('Your debts'!$E$11)),G233),2)</f>
      </c>
      <c r="R233" s="33">
        <f>ROUND(MIN(MAX(0,N('Your debts'!$E$12)),H233),2)</f>
      </c>
      <c r="S233" s="33">
        <f>ROUND(MIN(MAX(0,N('Your debts'!$E$13)),I233),2)</f>
      </c>
      <c r="T233" s="33">
        <f>ROUND(MIN(MAX(0,N('Your debts'!$E$14)),J233),2)</f>
      </c>
      <c r="U233" s="33">
        <f>ROUND(MIN(MAX(0,N('Your debts'!$E$15)),K233),2)</f>
      </c>
      <c r="V233" s="33">
        <f>ROUND(B233-L233,2)</f>
      </c>
      <c r="W233" s="33">
        <f>ROUND(C233-M233,2)</f>
      </c>
      <c r="X233" s="33">
        <f>ROUND(D233-N233,2)</f>
      </c>
      <c r="Y233" s="33">
        <f>ROUND(E233-O233,2)</f>
      </c>
      <c r="Z233" s="33">
        <f>ROUND(F233-P233,2)</f>
      </c>
      <c r="AA233" s="33">
        <f>ROUND(G233-Q233,2)</f>
      </c>
      <c r="AB233" s="33">
        <f>ROUND(H233-R233,2)</f>
      </c>
      <c r="AC233" s="33">
        <f>ROUND(I233-S233,2)</f>
      </c>
      <c r="AD233" s="33">
        <f>ROUND(J233-T233,2)</f>
      </c>
      <c r="AE233" s="33">
        <f>ROUND(K233-U233,2)</f>
      </c>
      <c r="AF233" s="33">
        <f>IF(V233&lt;=0,0,MAX(0,MIN(V233,ROUND($AZ233-SUMPRODUCT($V233:$AE233*($V233:$AE233&gt;0)*(($V$3:$AE$3&gt;V$3)+($V$3:$AE$3=V$3)*($V233:$AE233&lt;V233)+($V$3:$AE$3=V$3)*($V233:$AE233=V233)*($V$2:$AE$2&lt;V$2))),2))))</f>
      </c>
      <c r="AG233" s="33">
        <f>IF(W233&lt;=0,0,MAX(0,MIN(W233,ROUND($AZ233-SUMPRODUCT($V233:$AE233*($V233:$AE233&gt;0)*(($V$3:$AE$3&gt;W$3)+($V$3:$AE$3=W$3)*($V233:$AE233&lt;W233)+($V$3:$AE$3=W$3)*($V233:$AE233=W233)*($V$2:$AE$2&lt;W$2))),2))))</f>
      </c>
      <c r="AH233" s="33">
        <f>IF(X233&lt;=0,0,MAX(0,MIN(X233,ROUND($AZ233-SUMPRODUCT($V233:$AE233*($V233:$AE233&gt;0)*(($V$3:$AE$3&gt;X$3)+($V$3:$AE$3=X$3)*($V233:$AE233&lt;X233)+($V$3:$AE$3=X$3)*($V233:$AE233=X233)*($V$2:$AE$2&lt;X$2))),2))))</f>
      </c>
      <c r="AI233" s="33">
        <f>IF(Y233&lt;=0,0,MAX(0,MIN(Y233,ROUND($AZ233-SUMPRODUCT($V233:$AE233*($V233:$AE233&gt;0)*(($V$3:$AE$3&gt;Y$3)+($V$3:$AE$3=Y$3)*($V233:$AE233&lt;Y233)+($V$3:$AE$3=Y$3)*($V233:$AE233=Y233)*($V$2:$AE$2&lt;Y$2))),2))))</f>
      </c>
      <c r="AJ233" s="33">
        <f>IF(Z233&lt;=0,0,MAX(0,MIN(Z233,ROUND($AZ233-SUMPRODUCT($V233:$AE233*($V233:$AE233&gt;0)*(($V$3:$AE$3&gt;Z$3)+($V$3:$AE$3=Z$3)*($V233:$AE233&lt;Z233)+($V$3:$AE$3=Z$3)*($V233:$AE233=Z233)*($V$2:$AE$2&lt;Z$2))),2))))</f>
      </c>
      <c r="AK233" s="33">
        <f>IF(AA233&lt;=0,0,MAX(0,MIN(AA233,ROUND($AZ233-SUMPRODUCT($V233:$AE233*($V233:$AE233&gt;0)*(($V$3:$AE$3&gt;AA$3)+($V$3:$AE$3=AA$3)*($V233:$AE233&lt;AA233)+($V$3:$AE$3=AA$3)*($V233:$AE233=AA233)*($V$2:$AE$2&lt;AA$2))),2))))</f>
      </c>
      <c r="AL233" s="33">
        <f>IF(AB233&lt;=0,0,MAX(0,MIN(AB233,ROUND($AZ233-SUMPRODUCT($V233:$AE233*($V233:$AE233&gt;0)*(($V$3:$AE$3&gt;AB$3)+($V$3:$AE$3=AB$3)*($V233:$AE233&lt;AB233)+($V$3:$AE$3=AB$3)*($V233:$AE233=AB233)*($V$2:$AE$2&lt;AB$2))),2))))</f>
      </c>
      <c r="AM233" s="33">
        <f>IF(AC233&lt;=0,0,MAX(0,MIN(AC233,ROUND($AZ233-SUMPRODUCT($V233:$AE233*($V233:$AE233&gt;0)*(($V$3:$AE$3&gt;AC$3)+($V$3:$AE$3=AC$3)*($V233:$AE233&lt;AC233)+($V$3:$AE$3=AC$3)*($V233:$AE233=AC233)*($V$2:$AE$2&lt;AC$2))),2))))</f>
      </c>
      <c r="AN233" s="33">
        <f>IF(AD233&lt;=0,0,MAX(0,MIN(AD233,ROUND($AZ233-SUMPRODUCT($V233:$AE233*($V233:$AE233&gt;0)*(($V$3:$AE$3&gt;AD$3)+($V$3:$AE$3=AD$3)*($V233:$AE233&lt;AD233)+($V$3:$AE$3=AD$3)*($V233:$AE233=AD233)*($V$2:$AE$2&lt;AD$2))),2))))</f>
      </c>
      <c r="AO233" s="33">
        <f>IF(AE233&lt;=0,0,MAX(0,MIN(AE233,ROUND($AZ233-SUMPRODUCT($V233:$AE233*($V233:$AE233&gt;0)*(($V$3:$AE$3&gt;AE$3)+($V$3:$AE$3=AE$3)*($V233:$AE233&lt;AE233)+($V$3:$AE$3=AE$3)*($V233:$AE233=AE233)*($V$2:$AE$2&lt;AE$2))),2))))</f>
      </c>
      <c r="AP233" s="33">
        <f>ROUND(V233-AF233,2)</f>
      </c>
      <c r="AQ233" s="33">
        <f>ROUND(W233-AG233,2)</f>
      </c>
      <c r="AR233" s="33">
        <f>ROUND(X233-AH233,2)</f>
      </c>
      <c r="AS233" s="33">
        <f>ROUND(Y233-AI233,2)</f>
      </c>
      <c r="AT233" s="33">
        <f>ROUND(Z233-AJ233,2)</f>
      </c>
      <c r="AU233" s="33">
        <f>ROUND(AA233-AK233,2)</f>
      </c>
      <c r="AV233" s="33">
        <f>ROUND(AB233-AL233,2)</f>
      </c>
      <c r="AW233" s="33">
        <f>ROUND(AC233-AM233,2)</f>
      </c>
      <c r="AX233" s="33">
        <f>ROUND(AD233-AN233,2)</f>
      </c>
      <c r="AY233" s="33">
        <f>ROUND(AE233-AO233,2)</f>
      </c>
      <c r="AZ233" s="33">
        <f>ROUND(MAX(0,'Your debts'!$D$22-SUM($L233:$U233)),2)</f>
      </c>
      <c r="BA233" s="33">
        <f>ROUND(SUM($B233:$K233)-SUM($AP232:$AY232),2)</f>
      </c>
      <c r="BB233" s="33">
        <f>SUM($AP233:$AY233)</f>
      </c>
      <c r="BC233" s="33">
        <f>ROUND(SUM($L233:$U233)+SUM($AF233:$AO233),2)</f>
      </c>
    </row>
    <row r="234" spans="1:55" x14ac:dyDescent="0.25">
      <c r="A234">
        <v>227</v>
      </c>
      <c r="B234" s="33">
        <f>IF(AP233&lt;=0,0,ROUND(AP233+ROUND(AP233*V$3/12,2),2))</f>
      </c>
      <c r="C234" s="33">
        <f>IF(AQ233&lt;=0,0,ROUND(AQ233+ROUND(AQ233*W$3/12,2),2))</f>
      </c>
      <c r="D234" s="33">
        <f>IF(AR233&lt;=0,0,ROUND(AR233+ROUND(AR233*X$3/12,2),2))</f>
      </c>
      <c r="E234" s="33">
        <f>IF(AS233&lt;=0,0,ROUND(AS233+ROUND(AS233*Y$3/12,2),2))</f>
      </c>
      <c r="F234" s="33">
        <f>IF(AT233&lt;=0,0,ROUND(AT233+ROUND(AT233*Z$3/12,2),2))</f>
      </c>
      <c r="G234" s="33">
        <f>IF(AU233&lt;=0,0,ROUND(AU233+ROUND(AU233*AA$3/12,2),2))</f>
      </c>
      <c r="H234" s="33">
        <f>IF(AV233&lt;=0,0,ROUND(AV233+ROUND(AV233*AB$3/12,2),2))</f>
      </c>
      <c r="I234" s="33">
        <f>IF(AW233&lt;=0,0,ROUND(AW233+ROUND(AW233*AC$3/12,2),2))</f>
      </c>
      <c r="J234" s="33">
        <f>IF(AX233&lt;=0,0,ROUND(AX233+ROUND(AX233*AD$3/12,2),2))</f>
      </c>
      <c r="K234" s="33">
        <f>IF(AY233&lt;=0,0,ROUND(AY233+ROUND(AY233*AE$3/12,2),2))</f>
      </c>
      <c r="L234" s="33">
        <f>ROUND(MIN(MAX(0,N('Your debts'!$E$6)),B234),2)</f>
      </c>
      <c r="M234" s="33">
        <f>ROUND(MIN(MAX(0,N('Your debts'!$E$7)),C234),2)</f>
      </c>
      <c r="N234" s="33">
        <f>ROUND(MIN(MAX(0,N('Your debts'!$E$8)),D234),2)</f>
      </c>
      <c r="O234" s="33">
        <f>ROUND(MIN(MAX(0,N('Your debts'!$E$9)),E234),2)</f>
      </c>
      <c r="P234" s="33">
        <f>ROUND(MIN(MAX(0,N('Your debts'!$E$10)),F234),2)</f>
      </c>
      <c r="Q234" s="33">
        <f>ROUND(MIN(MAX(0,N('Your debts'!$E$11)),G234),2)</f>
      </c>
      <c r="R234" s="33">
        <f>ROUND(MIN(MAX(0,N('Your debts'!$E$12)),H234),2)</f>
      </c>
      <c r="S234" s="33">
        <f>ROUND(MIN(MAX(0,N('Your debts'!$E$13)),I234),2)</f>
      </c>
      <c r="T234" s="33">
        <f>ROUND(MIN(MAX(0,N('Your debts'!$E$14)),J234),2)</f>
      </c>
      <c r="U234" s="33">
        <f>ROUND(MIN(MAX(0,N('Your debts'!$E$15)),K234),2)</f>
      </c>
      <c r="V234" s="33">
        <f>ROUND(B234-L234,2)</f>
      </c>
      <c r="W234" s="33">
        <f>ROUND(C234-M234,2)</f>
      </c>
      <c r="X234" s="33">
        <f>ROUND(D234-N234,2)</f>
      </c>
      <c r="Y234" s="33">
        <f>ROUND(E234-O234,2)</f>
      </c>
      <c r="Z234" s="33">
        <f>ROUND(F234-P234,2)</f>
      </c>
      <c r="AA234" s="33">
        <f>ROUND(G234-Q234,2)</f>
      </c>
      <c r="AB234" s="33">
        <f>ROUND(H234-R234,2)</f>
      </c>
      <c r="AC234" s="33">
        <f>ROUND(I234-S234,2)</f>
      </c>
      <c r="AD234" s="33">
        <f>ROUND(J234-T234,2)</f>
      </c>
      <c r="AE234" s="33">
        <f>ROUND(K234-U234,2)</f>
      </c>
      <c r="AF234" s="33">
        <f>IF(V234&lt;=0,0,MAX(0,MIN(V234,ROUND($AZ234-SUMPRODUCT($V234:$AE234*($V234:$AE234&gt;0)*(($V$3:$AE$3&gt;V$3)+($V$3:$AE$3=V$3)*($V234:$AE234&lt;V234)+($V$3:$AE$3=V$3)*($V234:$AE234=V234)*($V$2:$AE$2&lt;V$2))),2))))</f>
      </c>
      <c r="AG234" s="33">
        <f>IF(W234&lt;=0,0,MAX(0,MIN(W234,ROUND($AZ234-SUMPRODUCT($V234:$AE234*($V234:$AE234&gt;0)*(($V$3:$AE$3&gt;W$3)+($V$3:$AE$3=W$3)*($V234:$AE234&lt;W234)+($V$3:$AE$3=W$3)*($V234:$AE234=W234)*($V$2:$AE$2&lt;W$2))),2))))</f>
      </c>
      <c r="AH234" s="33">
        <f>IF(X234&lt;=0,0,MAX(0,MIN(X234,ROUND($AZ234-SUMPRODUCT($V234:$AE234*($V234:$AE234&gt;0)*(($V$3:$AE$3&gt;X$3)+($V$3:$AE$3=X$3)*($V234:$AE234&lt;X234)+($V$3:$AE$3=X$3)*($V234:$AE234=X234)*($V$2:$AE$2&lt;X$2))),2))))</f>
      </c>
      <c r="AI234" s="33">
        <f>IF(Y234&lt;=0,0,MAX(0,MIN(Y234,ROUND($AZ234-SUMPRODUCT($V234:$AE234*($V234:$AE234&gt;0)*(($V$3:$AE$3&gt;Y$3)+($V$3:$AE$3=Y$3)*($V234:$AE234&lt;Y234)+($V$3:$AE$3=Y$3)*($V234:$AE234=Y234)*($V$2:$AE$2&lt;Y$2))),2))))</f>
      </c>
      <c r="AJ234" s="33">
        <f>IF(Z234&lt;=0,0,MAX(0,MIN(Z234,ROUND($AZ234-SUMPRODUCT($V234:$AE234*($V234:$AE234&gt;0)*(($V$3:$AE$3&gt;Z$3)+($V$3:$AE$3=Z$3)*($V234:$AE234&lt;Z234)+($V$3:$AE$3=Z$3)*($V234:$AE234=Z234)*($V$2:$AE$2&lt;Z$2))),2))))</f>
      </c>
      <c r="AK234" s="33">
        <f>IF(AA234&lt;=0,0,MAX(0,MIN(AA234,ROUND($AZ234-SUMPRODUCT($V234:$AE234*($V234:$AE234&gt;0)*(($V$3:$AE$3&gt;AA$3)+($V$3:$AE$3=AA$3)*($V234:$AE234&lt;AA234)+($V$3:$AE$3=AA$3)*($V234:$AE234=AA234)*($V$2:$AE$2&lt;AA$2))),2))))</f>
      </c>
      <c r="AL234" s="33">
        <f>IF(AB234&lt;=0,0,MAX(0,MIN(AB234,ROUND($AZ234-SUMPRODUCT($V234:$AE234*($V234:$AE234&gt;0)*(($V$3:$AE$3&gt;AB$3)+($V$3:$AE$3=AB$3)*($V234:$AE234&lt;AB234)+($V$3:$AE$3=AB$3)*($V234:$AE234=AB234)*($V$2:$AE$2&lt;AB$2))),2))))</f>
      </c>
      <c r="AM234" s="33">
        <f>IF(AC234&lt;=0,0,MAX(0,MIN(AC234,ROUND($AZ234-SUMPRODUCT($V234:$AE234*($V234:$AE234&gt;0)*(($V$3:$AE$3&gt;AC$3)+($V$3:$AE$3=AC$3)*($V234:$AE234&lt;AC234)+($V$3:$AE$3=AC$3)*($V234:$AE234=AC234)*($V$2:$AE$2&lt;AC$2))),2))))</f>
      </c>
      <c r="AN234" s="33">
        <f>IF(AD234&lt;=0,0,MAX(0,MIN(AD234,ROUND($AZ234-SUMPRODUCT($V234:$AE234*($V234:$AE234&gt;0)*(($V$3:$AE$3&gt;AD$3)+($V$3:$AE$3=AD$3)*($V234:$AE234&lt;AD234)+($V$3:$AE$3=AD$3)*($V234:$AE234=AD234)*($V$2:$AE$2&lt;AD$2))),2))))</f>
      </c>
      <c r="AO234" s="33">
        <f>IF(AE234&lt;=0,0,MAX(0,MIN(AE234,ROUND($AZ234-SUMPRODUCT($V234:$AE234*($V234:$AE234&gt;0)*(($V$3:$AE$3&gt;AE$3)+($V$3:$AE$3=AE$3)*($V234:$AE234&lt;AE234)+($V$3:$AE$3=AE$3)*($V234:$AE234=AE234)*($V$2:$AE$2&lt;AE$2))),2))))</f>
      </c>
      <c r="AP234" s="33">
        <f>ROUND(V234-AF234,2)</f>
      </c>
      <c r="AQ234" s="33">
        <f>ROUND(W234-AG234,2)</f>
      </c>
      <c r="AR234" s="33">
        <f>ROUND(X234-AH234,2)</f>
      </c>
      <c r="AS234" s="33">
        <f>ROUND(Y234-AI234,2)</f>
      </c>
      <c r="AT234" s="33">
        <f>ROUND(Z234-AJ234,2)</f>
      </c>
      <c r="AU234" s="33">
        <f>ROUND(AA234-AK234,2)</f>
      </c>
      <c r="AV234" s="33">
        <f>ROUND(AB234-AL234,2)</f>
      </c>
      <c r="AW234" s="33">
        <f>ROUND(AC234-AM234,2)</f>
      </c>
      <c r="AX234" s="33">
        <f>ROUND(AD234-AN234,2)</f>
      </c>
      <c r="AY234" s="33">
        <f>ROUND(AE234-AO234,2)</f>
      </c>
      <c r="AZ234" s="33">
        <f>ROUND(MAX(0,'Your debts'!$D$22-SUM($L234:$U234)),2)</f>
      </c>
      <c r="BA234" s="33">
        <f>ROUND(SUM($B234:$K234)-SUM($AP233:$AY233),2)</f>
      </c>
      <c r="BB234" s="33">
        <f>SUM($AP234:$AY234)</f>
      </c>
      <c r="BC234" s="33">
        <f>ROUND(SUM($L234:$U234)+SUM($AF234:$AO234),2)</f>
      </c>
    </row>
    <row r="235" spans="1:55" x14ac:dyDescent="0.25">
      <c r="A235">
        <v>228</v>
      </c>
      <c r="B235" s="33">
        <f>IF(AP234&lt;=0,0,ROUND(AP234+ROUND(AP234*V$3/12,2),2))</f>
      </c>
      <c r="C235" s="33">
        <f>IF(AQ234&lt;=0,0,ROUND(AQ234+ROUND(AQ234*W$3/12,2),2))</f>
      </c>
      <c r="D235" s="33">
        <f>IF(AR234&lt;=0,0,ROUND(AR234+ROUND(AR234*X$3/12,2),2))</f>
      </c>
      <c r="E235" s="33">
        <f>IF(AS234&lt;=0,0,ROUND(AS234+ROUND(AS234*Y$3/12,2),2))</f>
      </c>
      <c r="F235" s="33">
        <f>IF(AT234&lt;=0,0,ROUND(AT234+ROUND(AT234*Z$3/12,2),2))</f>
      </c>
      <c r="G235" s="33">
        <f>IF(AU234&lt;=0,0,ROUND(AU234+ROUND(AU234*AA$3/12,2),2))</f>
      </c>
      <c r="H235" s="33">
        <f>IF(AV234&lt;=0,0,ROUND(AV234+ROUND(AV234*AB$3/12,2),2))</f>
      </c>
      <c r="I235" s="33">
        <f>IF(AW234&lt;=0,0,ROUND(AW234+ROUND(AW234*AC$3/12,2),2))</f>
      </c>
      <c r="J235" s="33">
        <f>IF(AX234&lt;=0,0,ROUND(AX234+ROUND(AX234*AD$3/12,2),2))</f>
      </c>
      <c r="K235" s="33">
        <f>IF(AY234&lt;=0,0,ROUND(AY234+ROUND(AY234*AE$3/12,2),2))</f>
      </c>
      <c r="L235" s="33">
        <f>ROUND(MIN(MAX(0,N('Your debts'!$E$6)),B235),2)</f>
      </c>
      <c r="M235" s="33">
        <f>ROUND(MIN(MAX(0,N('Your debts'!$E$7)),C235),2)</f>
      </c>
      <c r="N235" s="33">
        <f>ROUND(MIN(MAX(0,N('Your debts'!$E$8)),D235),2)</f>
      </c>
      <c r="O235" s="33">
        <f>ROUND(MIN(MAX(0,N('Your debts'!$E$9)),E235),2)</f>
      </c>
      <c r="P235" s="33">
        <f>ROUND(MIN(MAX(0,N('Your debts'!$E$10)),F235),2)</f>
      </c>
      <c r="Q235" s="33">
        <f>ROUND(MIN(MAX(0,N('Your debts'!$E$11)),G235),2)</f>
      </c>
      <c r="R235" s="33">
        <f>ROUND(MIN(MAX(0,N('Your debts'!$E$12)),H235),2)</f>
      </c>
      <c r="S235" s="33">
        <f>ROUND(MIN(MAX(0,N('Your debts'!$E$13)),I235),2)</f>
      </c>
      <c r="T235" s="33">
        <f>ROUND(MIN(MAX(0,N('Your debts'!$E$14)),J235),2)</f>
      </c>
      <c r="U235" s="33">
        <f>ROUND(MIN(MAX(0,N('Your debts'!$E$15)),K235),2)</f>
      </c>
      <c r="V235" s="33">
        <f>ROUND(B235-L235,2)</f>
      </c>
      <c r="W235" s="33">
        <f>ROUND(C235-M235,2)</f>
      </c>
      <c r="X235" s="33">
        <f>ROUND(D235-N235,2)</f>
      </c>
      <c r="Y235" s="33">
        <f>ROUND(E235-O235,2)</f>
      </c>
      <c r="Z235" s="33">
        <f>ROUND(F235-P235,2)</f>
      </c>
      <c r="AA235" s="33">
        <f>ROUND(G235-Q235,2)</f>
      </c>
      <c r="AB235" s="33">
        <f>ROUND(H235-R235,2)</f>
      </c>
      <c r="AC235" s="33">
        <f>ROUND(I235-S235,2)</f>
      </c>
      <c r="AD235" s="33">
        <f>ROUND(J235-T235,2)</f>
      </c>
      <c r="AE235" s="33">
        <f>ROUND(K235-U235,2)</f>
      </c>
      <c r="AF235" s="33">
        <f>IF(V235&lt;=0,0,MAX(0,MIN(V235,ROUND($AZ235-SUMPRODUCT($V235:$AE235*($V235:$AE235&gt;0)*(($V$3:$AE$3&gt;V$3)+($V$3:$AE$3=V$3)*($V235:$AE235&lt;V235)+($V$3:$AE$3=V$3)*($V235:$AE235=V235)*($V$2:$AE$2&lt;V$2))),2))))</f>
      </c>
      <c r="AG235" s="33">
        <f>IF(W235&lt;=0,0,MAX(0,MIN(W235,ROUND($AZ235-SUMPRODUCT($V235:$AE235*($V235:$AE235&gt;0)*(($V$3:$AE$3&gt;W$3)+($V$3:$AE$3=W$3)*($V235:$AE235&lt;W235)+($V$3:$AE$3=W$3)*($V235:$AE235=W235)*($V$2:$AE$2&lt;W$2))),2))))</f>
      </c>
      <c r="AH235" s="33">
        <f>IF(X235&lt;=0,0,MAX(0,MIN(X235,ROUND($AZ235-SUMPRODUCT($V235:$AE235*($V235:$AE235&gt;0)*(($V$3:$AE$3&gt;X$3)+($V$3:$AE$3=X$3)*($V235:$AE235&lt;X235)+($V$3:$AE$3=X$3)*($V235:$AE235=X235)*($V$2:$AE$2&lt;X$2))),2))))</f>
      </c>
      <c r="AI235" s="33">
        <f>IF(Y235&lt;=0,0,MAX(0,MIN(Y235,ROUND($AZ235-SUMPRODUCT($V235:$AE235*($V235:$AE235&gt;0)*(($V$3:$AE$3&gt;Y$3)+($V$3:$AE$3=Y$3)*($V235:$AE235&lt;Y235)+($V$3:$AE$3=Y$3)*($V235:$AE235=Y235)*($V$2:$AE$2&lt;Y$2))),2))))</f>
      </c>
      <c r="AJ235" s="33">
        <f>IF(Z235&lt;=0,0,MAX(0,MIN(Z235,ROUND($AZ235-SUMPRODUCT($V235:$AE235*($V235:$AE235&gt;0)*(($V$3:$AE$3&gt;Z$3)+($V$3:$AE$3=Z$3)*($V235:$AE235&lt;Z235)+($V$3:$AE$3=Z$3)*($V235:$AE235=Z235)*($V$2:$AE$2&lt;Z$2))),2))))</f>
      </c>
      <c r="AK235" s="33">
        <f>IF(AA235&lt;=0,0,MAX(0,MIN(AA235,ROUND($AZ235-SUMPRODUCT($V235:$AE235*($V235:$AE235&gt;0)*(($V$3:$AE$3&gt;AA$3)+($V$3:$AE$3=AA$3)*($V235:$AE235&lt;AA235)+($V$3:$AE$3=AA$3)*($V235:$AE235=AA235)*($V$2:$AE$2&lt;AA$2))),2))))</f>
      </c>
      <c r="AL235" s="33">
        <f>IF(AB235&lt;=0,0,MAX(0,MIN(AB235,ROUND($AZ235-SUMPRODUCT($V235:$AE235*($V235:$AE235&gt;0)*(($V$3:$AE$3&gt;AB$3)+($V$3:$AE$3=AB$3)*($V235:$AE235&lt;AB235)+($V$3:$AE$3=AB$3)*($V235:$AE235=AB235)*($V$2:$AE$2&lt;AB$2))),2))))</f>
      </c>
      <c r="AM235" s="33">
        <f>IF(AC235&lt;=0,0,MAX(0,MIN(AC235,ROUND($AZ235-SUMPRODUCT($V235:$AE235*($V235:$AE235&gt;0)*(($V$3:$AE$3&gt;AC$3)+($V$3:$AE$3=AC$3)*($V235:$AE235&lt;AC235)+($V$3:$AE$3=AC$3)*($V235:$AE235=AC235)*($V$2:$AE$2&lt;AC$2))),2))))</f>
      </c>
      <c r="AN235" s="33">
        <f>IF(AD235&lt;=0,0,MAX(0,MIN(AD235,ROUND($AZ235-SUMPRODUCT($V235:$AE235*($V235:$AE235&gt;0)*(($V$3:$AE$3&gt;AD$3)+($V$3:$AE$3=AD$3)*($V235:$AE235&lt;AD235)+($V$3:$AE$3=AD$3)*($V235:$AE235=AD235)*($V$2:$AE$2&lt;AD$2))),2))))</f>
      </c>
      <c r="AO235" s="33">
        <f>IF(AE235&lt;=0,0,MAX(0,MIN(AE235,ROUND($AZ235-SUMPRODUCT($V235:$AE235*($V235:$AE235&gt;0)*(($V$3:$AE$3&gt;AE$3)+($V$3:$AE$3=AE$3)*($V235:$AE235&lt;AE235)+($V$3:$AE$3=AE$3)*($V235:$AE235=AE235)*($V$2:$AE$2&lt;AE$2))),2))))</f>
      </c>
      <c r="AP235" s="33">
        <f>ROUND(V235-AF235,2)</f>
      </c>
      <c r="AQ235" s="33">
        <f>ROUND(W235-AG235,2)</f>
      </c>
      <c r="AR235" s="33">
        <f>ROUND(X235-AH235,2)</f>
      </c>
      <c r="AS235" s="33">
        <f>ROUND(Y235-AI235,2)</f>
      </c>
      <c r="AT235" s="33">
        <f>ROUND(Z235-AJ235,2)</f>
      </c>
      <c r="AU235" s="33">
        <f>ROUND(AA235-AK235,2)</f>
      </c>
      <c r="AV235" s="33">
        <f>ROUND(AB235-AL235,2)</f>
      </c>
      <c r="AW235" s="33">
        <f>ROUND(AC235-AM235,2)</f>
      </c>
      <c r="AX235" s="33">
        <f>ROUND(AD235-AN235,2)</f>
      </c>
      <c r="AY235" s="33">
        <f>ROUND(AE235-AO235,2)</f>
      </c>
      <c r="AZ235" s="33">
        <f>ROUND(MAX(0,'Your debts'!$D$22-SUM($L235:$U235)),2)</f>
      </c>
      <c r="BA235" s="33">
        <f>ROUND(SUM($B235:$K235)-SUM($AP234:$AY234),2)</f>
      </c>
      <c r="BB235" s="33">
        <f>SUM($AP235:$AY235)</f>
      </c>
      <c r="BC235" s="33">
        <f>ROUND(SUM($L235:$U235)+SUM($AF235:$AO235),2)</f>
      </c>
    </row>
    <row r="236" spans="1:55" x14ac:dyDescent="0.25">
      <c r="A236">
        <v>229</v>
      </c>
      <c r="B236" s="33">
        <f>IF(AP235&lt;=0,0,ROUND(AP235+ROUND(AP235*V$3/12,2),2))</f>
      </c>
      <c r="C236" s="33">
        <f>IF(AQ235&lt;=0,0,ROUND(AQ235+ROUND(AQ235*W$3/12,2),2))</f>
      </c>
      <c r="D236" s="33">
        <f>IF(AR235&lt;=0,0,ROUND(AR235+ROUND(AR235*X$3/12,2),2))</f>
      </c>
      <c r="E236" s="33">
        <f>IF(AS235&lt;=0,0,ROUND(AS235+ROUND(AS235*Y$3/12,2),2))</f>
      </c>
      <c r="F236" s="33">
        <f>IF(AT235&lt;=0,0,ROUND(AT235+ROUND(AT235*Z$3/12,2),2))</f>
      </c>
      <c r="G236" s="33">
        <f>IF(AU235&lt;=0,0,ROUND(AU235+ROUND(AU235*AA$3/12,2),2))</f>
      </c>
      <c r="H236" s="33">
        <f>IF(AV235&lt;=0,0,ROUND(AV235+ROUND(AV235*AB$3/12,2),2))</f>
      </c>
      <c r="I236" s="33">
        <f>IF(AW235&lt;=0,0,ROUND(AW235+ROUND(AW235*AC$3/12,2),2))</f>
      </c>
      <c r="J236" s="33">
        <f>IF(AX235&lt;=0,0,ROUND(AX235+ROUND(AX235*AD$3/12,2),2))</f>
      </c>
      <c r="K236" s="33">
        <f>IF(AY235&lt;=0,0,ROUND(AY235+ROUND(AY235*AE$3/12,2),2))</f>
      </c>
      <c r="L236" s="33">
        <f>ROUND(MIN(MAX(0,N('Your debts'!$E$6)),B236),2)</f>
      </c>
      <c r="M236" s="33">
        <f>ROUND(MIN(MAX(0,N('Your debts'!$E$7)),C236),2)</f>
      </c>
      <c r="N236" s="33">
        <f>ROUND(MIN(MAX(0,N('Your debts'!$E$8)),D236),2)</f>
      </c>
      <c r="O236" s="33">
        <f>ROUND(MIN(MAX(0,N('Your debts'!$E$9)),E236),2)</f>
      </c>
      <c r="P236" s="33">
        <f>ROUND(MIN(MAX(0,N('Your debts'!$E$10)),F236),2)</f>
      </c>
      <c r="Q236" s="33">
        <f>ROUND(MIN(MAX(0,N('Your debts'!$E$11)),G236),2)</f>
      </c>
      <c r="R236" s="33">
        <f>ROUND(MIN(MAX(0,N('Your debts'!$E$12)),H236),2)</f>
      </c>
      <c r="S236" s="33">
        <f>ROUND(MIN(MAX(0,N('Your debts'!$E$13)),I236),2)</f>
      </c>
      <c r="T236" s="33">
        <f>ROUND(MIN(MAX(0,N('Your debts'!$E$14)),J236),2)</f>
      </c>
      <c r="U236" s="33">
        <f>ROUND(MIN(MAX(0,N('Your debts'!$E$15)),K236),2)</f>
      </c>
      <c r="V236" s="33">
        <f>ROUND(B236-L236,2)</f>
      </c>
      <c r="W236" s="33">
        <f>ROUND(C236-M236,2)</f>
      </c>
      <c r="X236" s="33">
        <f>ROUND(D236-N236,2)</f>
      </c>
      <c r="Y236" s="33">
        <f>ROUND(E236-O236,2)</f>
      </c>
      <c r="Z236" s="33">
        <f>ROUND(F236-P236,2)</f>
      </c>
      <c r="AA236" s="33">
        <f>ROUND(G236-Q236,2)</f>
      </c>
      <c r="AB236" s="33">
        <f>ROUND(H236-R236,2)</f>
      </c>
      <c r="AC236" s="33">
        <f>ROUND(I236-S236,2)</f>
      </c>
      <c r="AD236" s="33">
        <f>ROUND(J236-T236,2)</f>
      </c>
      <c r="AE236" s="33">
        <f>ROUND(K236-U236,2)</f>
      </c>
      <c r="AF236" s="33">
        <f>IF(V236&lt;=0,0,MAX(0,MIN(V236,ROUND($AZ236-SUMPRODUCT($V236:$AE236*($V236:$AE236&gt;0)*(($V$3:$AE$3&gt;V$3)+($V$3:$AE$3=V$3)*($V236:$AE236&lt;V236)+($V$3:$AE$3=V$3)*($V236:$AE236=V236)*($V$2:$AE$2&lt;V$2))),2))))</f>
      </c>
      <c r="AG236" s="33">
        <f>IF(W236&lt;=0,0,MAX(0,MIN(W236,ROUND($AZ236-SUMPRODUCT($V236:$AE236*($V236:$AE236&gt;0)*(($V$3:$AE$3&gt;W$3)+($V$3:$AE$3=W$3)*($V236:$AE236&lt;W236)+($V$3:$AE$3=W$3)*($V236:$AE236=W236)*($V$2:$AE$2&lt;W$2))),2))))</f>
      </c>
      <c r="AH236" s="33">
        <f>IF(X236&lt;=0,0,MAX(0,MIN(X236,ROUND($AZ236-SUMPRODUCT($V236:$AE236*($V236:$AE236&gt;0)*(($V$3:$AE$3&gt;X$3)+($V$3:$AE$3=X$3)*($V236:$AE236&lt;X236)+($V$3:$AE$3=X$3)*($V236:$AE236=X236)*($V$2:$AE$2&lt;X$2))),2))))</f>
      </c>
      <c r="AI236" s="33">
        <f>IF(Y236&lt;=0,0,MAX(0,MIN(Y236,ROUND($AZ236-SUMPRODUCT($V236:$AE236*($V236:$AE236&gt;0)*(($V$3:$AE$3&gt;Y$3)+($V$3:$AE$3=Y$3)*($V236:$AE236&lt;Y236)+($V$3:$AE$3=Y$3)*($V236:$AE236=Y236)*($V$2:$AE$2&lt;Y$2))),2))))</f>
      </c>
      <c r="AJ236" s="33">
        <f>IF(Z236&lt;=0,0,MAX(0,MIN(Z236,ROUND($AZ236-SUMPRODUCT($V236:$AE236*($V236:$AE236&gt;0)*(($V$3:$AE$3&gt;Z$3)+($V$3:$AE$3=Z$3)*($V236:$AE236&lt;Z236)+($V$3:$AE$3=Z$3)*($V236:$AE236=Z236)*($V$2:$AE$2&lt;Z$2))),2))))</f>
      </c>
      <c r="AK236" s="33">
        <f>IF(AA236&lt;=0,0,MAX(0,MIN(AA236,ROUND($AZ236-SUMPRODUCT($V236:$AE236*($V236:$AE236&gt;0)*(($V$3:$AE$3&gt;AA$3)+($V$3:$AE$3=AA$3)*($V236:$AE236&lt;AA236)+($V$3:$AE$3=AA$3)*($V236:$AE236=AA236)*($V$2:$AE$2&lt;AA$2))),2))))</f>
      </c>
      <c r="AL236" s="33">
        <f>IF(AB236&lt;=0,0,MAX(0,MIN(AB236,ROUND($AZ236-SUMPRODUCT($V236:$AE236*($V236:$AE236&gt;0)*(($V$3:$AE$3&gt;AB$3)+($V$3:$AE$3=AB$3)*($V236:$AE236&lt;AB236)+($V$3:$AE$3=AB$3)*($V236:$AE236=AB236)*($V$2:$AE$2&lt;AB$2))),2))))</f>
      </c>
      <c r="AM236" s="33">
        <f>IF(AC236&lt;=0,0,MAX(0,MIN(AC236,ROUND($AZ236-SUMPRODUCT($V236:$AE236*($V236:$AE236&gt;0)*(($V$3:$AE$3&gt;AC$3)+($V$3:$AE$3=AC$3)*($V236:$AE236&lt;AC236)+($V$3:$AE$3=AC$3)*($V236:$AE236=AC236)*($V$2:$AE$2&lt;AC$2))),2))))</f>
      </c>
      <c r="AN236" s="33">
        <f>IF(AD236&lt;=0,0,MAX(0,MIN(AD236,ROUND($AZ236-SUMPRODUCT($V236:$AE236*($V236:$AE236&gt;0)*(($V$3:$AE$3&gt;AD$3)+($V$3:$AE$3=AD$3)*($V236:$AE236&lt;AD236)+($V$3:$AE$3=AD$3)*($V236:$AE236=AD236)*($V$2:$AE$2&lt;AD$2))),2))))</f>
      </c>
      <c r="AO236" s="33">
        <f>IF(AE236&lt;=0,0,MAX(0,MIN(AE236,ROUND($AZ236-SUMPRODUCT($V236:$AE236*($V236:$AE236&gt;0)*(($V$3:$AE$3&gt;AE$3)+($V$3:$AE$3=AE$3)*($V236:$AE236&lt;AE236)+($V$3:$AE$3=AE$3)*($V236:$AE236=AE236)*($V$2:$AE$2&lt;AE$2))),2))))</f>
      </c>
      <c r="AP236" s="33">
        <f>ROUND(V236-AF236,2)</f>
      </c>
      <c r="AQ236" s="33">
        <f>ROUND(W236-AG236,2)</f>
      </c>
      <c r="AR236" s="33">
        <f>ROUND(X236-AH236,2)</f>
      </c>
      <c r="AS236" s="33">
        <f>ROUND(Y236-AI236,2)</f>
      </c>
      <c r="AT236" s="33">
        <f>ROUND(Z236-AJ236,2)</f>
      </c>
      <c r="AU236" s="33">
        <f>ROUND(AA236-AK236,2)</f>
      </c>
      <c r="AV236" s="33">
        <f>ROUND(AB236-AL236,2)</f>
      </c>
      <c r="AW236" s="33">
        <f>ROUND(AC236-AM236,2)</f>
      </c>
      <c r="AX236" s="33">
        <f>ROUND(AD236-AN236,2)</f>
      </c>
      <c r="AY236" s="33">
        <f>ROUND(AE236-AO236,2)</f>
      </c>
      <c r="AZ236" s="33">
        <f>ROUND(MAX(0,'Your debts'!$D$22-SUM($L236:$U236)),2)</f>
      </c>
      <c r="BA236" s="33">
        <f>ROUND(SUM($B236:$K236)-SUM($AP235:$AY235),2)</f>
      </c>
      <c r="BB236" s="33">
        <f>SUM($AP236:$AY236)</f>
      </c>
      <c r="BC236" s="33">
        <f>ROUND(SUM($L236:$U236)+SUM($AF236:$AO236),2)</f>
      </c>
    </row>
    <row r="237" spans="1:55" x14ac:dyDescent="0.25">
      <c r="A237">
        <v>230</v>
      </c>
      <c r="B237" s="33">
        <f>IF(AP236&lt;=0,0,ROUND(AP236+ROUND(AP236*V$3/12,2),2))</f>
      </c>
      <c r="C237" s="33">
        <f>IF(AQ236&lt;=0,0,ROUND(AQ236+ROUND(AQ236*W$3/12,2),2))</f>
      </c>
      <c r="D237" s="33">
        <f>IF(AR236&lt;=0,0,ROUND(AR236+ROUND(AR236*X$3/12,2),2))</f>
      </c>
      <c r="E237" s="33">
        <f>IF(AS236&lt;=0,0,ROUND(AS236+ROUND(AS236*Y$3/12,2),2))</f>
      </c>
      <c r="F237" s="33">
        <f>IF(AT236&lt;=0,0,ROUND(AT236+ROUND(AT236*Z$3/12,2),2))</f>
      </c>
      <c r="G237" s="33">
        <f>IF(AU236&lt;=0,0,ROUND(AU236+ROUND(AU236*AA$3/12,2),2))</f>
      </c>
      <c r="H237" s="33">
        <f>IF(AV236&lt;=0,0,ROUND(AV236+ROUND(AV236*AB$3/12,2),2))</f>
      </c>
      <c r="I237" s="33">
        <f>IF(AW236&lt;=0,0,ROUND(AW236+ROUND(AW236*AC$3/12,2),2))</f>
      </c>
      <c r="J237" s="33">
        <f>IF(AX236&lt;=0,0,ROUND(AX236+ROUND(AX236*AD$3/12,2),2))</f>
      </c>
      <c r="K237" s="33">
        <f>IF(AY236&lt;=0,0,ROUND(AY236+ROUND(AY236*AE$3/12,2),2))</f>
      </c>
      <c r="L237" s="33">
        <f>ROUND(MIN(MAX(0,N('Your debts'!$E$6)),B237),2)</f>
      </c>
      <c r="M237" s="33">
        <f>ROUND(MIN(MAX(0,N('Your debts'!$E$7)),C237),2)</f>
      </c>
      <c r="N237" s="33">
        <f>ROUND(MIN(MAX(0,N('Your debts'!$E$8)),D237),2)</f>
      </c>
      <c r="O237" s="33">
        <f>ROUND(MIN(MAX(0,N('Your debts'!$E$9)),E237),2)</f>
      </c>
      <c r="P237" s="33">
        <f>ROUND(MIN(MAX(0,N('Your debts'!$E$10)),F237),2)</f>
      </c>
      <c r="Q237" s="33">
        <f>ROUND(MIN(MAX(0,N('Your debts'!$E$11)),G237),2)</f>
      </c>
      <c r="R237" s="33">
        <f>ROUND(MIN(MAX(0,N('Your debts'!$E$12)),H237),2)</f>
      </c>
      <c r="S237" s="33">
        <f>ROUND(MIN(MAX(0,N('Your debts'!$E$13)),I237),2)</f>
      </c>
      <c r="T237" s="33">
        <f>ROUND(MIN(MAX(0,N('Your debts'!$E$14)),J237),2)</f>
      </c>
      <c r="U237" s="33">
        <f>ROUND(MIN(MAX(0,N('Your debts'!$E$15)),K237),2)</f>
      </c>
      <c r="V237" s="33">
        <f>ROUND(B237-L237,2)</f>
      </c>
      <c r="W237" s="33">
        <f>ROUND(C237-M237,2)</f>
      </c>
      <c r="X237" s="33">
        <f>ROUND(D237-N237,2)</f>
      </c>
      <c r="Y237" s="33">
        <f>ROUND(E237-O237,2)</f>
      </c>
      <c r="Z237" s="33">
        <f>ROUND(F237-P237,2)</f>
      </c>
      <c r="AA237" s="33">
        <f>ROUND(G237-Q237,2)</f>
      </c>
      <c r="AB237" s="33">
        <f>ROUND(H237-R237,2)</f>
      </c>
      <c r="AC237" s="33">
        <f>ROUND(I237-S237,2)</f>
      </c>
      <c r="AD237" s="33">
        <f>ROUND(J237-T237,2)</f>
      </c>
      <c r="AE237" s="33">
        <f>ROUND(K237-U237,2)</f>
      </c>
      <c r="AF237" s="33">
        <f>IF(V237&lt;=0,0,MAX(0,MIN(V237,ROUND($AZ237-SUMPRODUCT($V237:$AE237*($V237:$AE237&gt;0)*(($V$3:$AE$3&gt;V$3)+($V$3:$AE$3=V$3)*($V237:$AE237&lt;V237)+($V$3:$AE$3=V$3)*($V237:$AE237=V237)*($V$2:$AE$2&lt;V$2))),2))))</f>
      </c>
      <c r="AG237" s="33">
        <f>IF(W237&lt;=0,0,MAX(0,MIN(W237,ROUND($AZ237-SUMPRODUCT($V237:$AE237*($V237:$AE237&gt;0)*(($V$3:$AE$3&gt;W$3)+($V$3:$AE$3=W$3)*($V237:$AE237&lt;W237)+($V$3:$AE$3=W$3)*($V237:$AE237=W237)*($V$2:$AE$2&lt;W$2))),2))))</f>
      </c>
      <c r="AH237" s="33">
        <f>IF(X237&lt;=0,0,MAX(0,MIN(X237,ROUND($AZ237-SUMPRODUCT($V237:$AE237*($V237:$AE237&gt;0)*(($V$3:$AE$3&gt;X$3)+($V$3:$AE$3=X$3)*($V237:$AE237&lt;X237)+($V$3:$AE$3=X$3)*($V237:$AE237=X237)*($V$2:$AE$2&lt;X$2))),2))))</f>
      </c>
      <c r="AI237" s="33">
        <f>IF(Y237&lt;=0,0,MAX(0,MIN(Y237,ROUND($AZ237-SUMPRODUCT($V237:$AE237*($V237:$AE237&gt;0)*(($V$3:$AE$3&gt;Y$3)+($V$3:$AE$3=Y$3)*($V237:$AE237&lt;Y237)+($V$3:$AE$3=Y$3)*($V237:$AE237=Y237)*($V$2:$AE$2&lt;Y$2))),2))))</f>
      </c>
      <c r="AJ237" s="33">
        <f>IF(Z237&lt;=0,0,MAX(0,MIN(Z237,ROUND($AZ237-SUMPRODUCT($V237:$AE237*($V237:$AE237&gt;0)*(($V$3:$AE$3&gt;Z$3)+($V$3:$AE$3=Z$3)*($V237:$AE237&lt;Z237)+($V$3:$AE$3=Z$3)*($V237:$AE237=Z237)*($V$2:$AE$2&lt;Z$2))),2))))</f>
      </c>
      <c r="AK237" s="33">
        <f>IF(AA237&lt;=0,0,MAX(0,MIN(AA237,ROUND($AZ237-SUMPRODUCT($V237:$AE237*($V237:$AE237&gt;0)*(($V$3:$AE$3&gt;AA$3)+($V$3:$AE$3=AA$3)*($V237:$AE237&lt;AA237)+($V$3:$AE$3=AA$3)*($V237:$AE237=AA237)*($V$2:$AE$2&lt;AA$2))),2))))</f>
      </c>
      <c r="AL237" s="33">
        <f>IF(AB237&lt;=0,0,MAX(0,MIN(AB237,ROUND($AZ237-SUMPRODUCT($V237:$AE237*($V237:$AE237&gt;0)*(($V$3:$AE$3&gt;AB$3)+($V$3:$AE$3=AB$3)*($V237:$AE237&lt;AB237)+($V$3:$AE$3=AB$3)*($V237:$AE237=AB237)*($V$2:$AE$2&lt;AB$2))),2))))</f>
      </c>
      <c r="AM237" s="33">
        <f>IF(AC237&lt;=0,0,MAX(0,MIN(AC237,ROUND($AZ237-SUMPRODUCT($V237:$AE237*($V237:$AE237&gt;0)*(($V$3:$AE$3&gt;AC$3)+($V$3:$AE$3=AC$3)*($V237:$AE237&lt;AC237)+($V$3:$AE$3=AC$3)*($V237:$AE237=AC237)*($V$2:$AE$2&lt;AC$2))),2))))</f>
      </c>
      <c r="AN237" s="33">
        <f>IF(AD237&lt;=0,0,MAX(0,MIN(AD237,ROUND($AZ237-SUMPRODUCT($V237:$AE237*($V237:$AE237&gt;0)*(($V$3:$AE$3&gt;AD$3)+($V$3:$AE$3=AD$3)*($V237:$AE237&lt;AD237)+($V$3:$AE$3=AD$3)*($V237:$AE237=AD237)*($V$2:$AE$2&lt;AD$2))),2))))</f>
      </c>
      <c r="AO237" s="33">
        <f>IF(AE237&lt;=0,0,MAX(0,MIN(AE237,ROUND($AZ237-SUMPRODUCT($V237:$AE237*($V237:$AE237&gt;0)*(($V$3:$AE$3&gt;AE$3)+($V$3:$AE$3=AE$3)*($V237:$AE237&lt;AE237)+($V$3:$AE$3=AE$3)*($V237:$AE237=AE237)*($V$2:$AE$2&lt;AE$2))),2))))</f>
      </c>
      <c r="AP237" s="33">
        <f>ROUND(V237-AF237,2)</f>
      </c>
      <c r="AQ237" s="33">
        <f>ROUND(W237-AG237,2)</f>
      </c>
      <c r="AR237" s="33">
        <f>ROUND(X237-AH237,2)</f>
      </c>
      <c r="AS237" s="33">
        <f>ROUND(Y237-AI237,2)</f>
      </c>
      <c r="AT237" s="33">
        <f>ROUND(Z237-AJ237,2)</f>
      </c>
      <c r="AU237" s="33">
        <f>ROUND(AA237-AK237,2)</f>
      </c>
      <c r="AV237" s="33">
        <f>ROUND(AB237-AL237,2)</f>
      </c>
      <c r="AW237" s="33">
        <f>ROUND(AC237-AM237,2)</f>
      </c>
      <c r="AX237" s="33">
        <f>ROUND(AD237-AN237,2)</f>
      </c>
      <c r="AY237" s="33">
        <f>ROUND(AE237-AO237,2)</f>
      </c>
      <c r="AZ237" s="33">
        <f>ROUND(MAX(0,'Your debts'!$D$22-SUM($L237:$U237)),2)</f>
      </c>
      <c r="BA237" s="33">
        <f>ROUND(SUM($B237:$K237)-SUM($AP236:$AY236),2)</f>
      </c>
      <c r="BB237" s="33">
        <f>SUM($AP237:$AY237)</f>
      </c>
      <c r="BC237" s="33">
        <f>ROUND(SUM($L237:$U237)+SUM($AF237:$AO237),2)</f>
      </c>
    </row>
    <row r="238" spans="1:55" x14ac:dyDescent="0.25">
      <c r="A238">
        <v>231</v>
      </c>
      <c r="B238" s="33">
        <f>IF(AP237&lt;=0,0,ROUND(AP237+ROUND(AP237*V$3/12,2),2))</f>
      </c>
      <c r="C238" s="33">
        <f>IF(AQ237&lt;=0,0,ROUND(AQ237+ROUND(AQ237*W$3/12,2),2))</f>
      </c>
      <c r="D238" s="33">
        <f>IF(AR237&lt;=0,0,ROUND(AR237+ROUND(AR237*X$3/12,2),2))</f>
      </c>
      <c r="E238" s="33">
        <f>IF(AS237&lt;=0,0,ROUND(AS237+ROUND(AS237*Y$3/12,2),2))</f>
      </c>
      <c r="F238" s="33">
        <f>IF(AT237&lt;=0,0,ROUND(AT237+ROUND(AT237*Z$3/12,2),2))</f>
      </c>
      <c r="G238" s="33">
        <f>IF(AU237&lt;=0,0,ROUND(AU237+ROUND(AU237*AA$3/12,2),2))</f>
      </c>
      <c r="H238" s="33">
        <f>IF(AV237&lt;=0,0,ROUND(AV237+ROUND(AV237*AB$3/12,2),2))</f>
      </c>
      <c r="I238" s="33">
        <f>IF(AW237&lt;=0,0,ROUND(AW237+ROUND(AW237*AC$3/12,2),2))</f>
      </c>
      <c r="J238" s="33">
        <f>IF(AX237&lt;=0,0,ROUND(AX237+ROUND(AX237*AD$3/12,2),2))</f>
      </c>
      <c r="K238" s="33">
        <f>IF(AY237&lt;=0,0,ROUND(AY237+ROUND(AY237*AE$3/12,2),2))</f>
      </c>
      <c r="L238" s="33">
        <f>ROUND(MIN(MAX(0,N('Your debts'!$E$6)),B238),2)</f>
      </c>
      <c r="M238" s="33">
        <f>ROUND(MIN(MAX(0,N('Your debts'!$E$7)),C238),2)</f>
      </c>
      <c r="N238" s="33">
        <f>ROUND(MIN(MAX(0,N('Your debts'!$E$8)),D238),2)</f>
      </c>
      <c r="O238" s="33">
        <f>ROUND(MIN(MAX(0,N('Your debts'!$E$9)),E238),2)</f>
      </c>
      <c r="P238" s="33">
        <f>ROUND(MIN(MAX(0,N('Your debts'!$E$10)),F238),2)</f>
      </c>
      <c r="Q238" s="33">
        <f>ROUND(MIN(MAX(0,N('Your debts'!$E$11)),G238),2)</f>
      </c>
      <c r="R238" s="33">
        <f>ROUND(MIN(MAX(0,N('Your debts'!$E$12)),H238),2)</f>
      </c>
      <c r="S238" s="33">
        <f>ROUND(MIN(MAX(0,N('Your debts'!$E$13)),I238),2)</f>
      </c>
      <c r="T238" s="33">
        <f>ROUND(MIN(MAX(0,N('Your debts'!$E$14)),J238),2)</f>
      </c>
      <c r="U238" s="33">
        <f>ROUND(MIN(MAX(0,N('Your debts'!$E$15)),K238),2)</f>
      </c>
      <c r="V238" s="33">
        <f>ROUND(B238-L238,2)</f>
      </c>
      <c r="W238" s="33">
        <f>ROUND(C238-M238,2)</f>
      </c>
      <c r="X238" s="33">
        <f>ROUND(D238-N238,2)</f>
      </c>
      <c r="Y238" s="33">
        <f>ROUND(E238-O238,2)</f>
      </c>
      <c r="Z238" s="33">
        <f>ROUND(F238-P238,2)</f>
      </c>
      <c r="AA238" s="33">
        <f>ROUND(G238-Q238,2)</f>
      </c>
      <c r="AB238" s="33">
        <f>ROUND(H238-R238,2)</f>
      </c>
      <c r="AC238" s="33">
        <f>ROUND(I238-S238,2)</f>
      </c>
      <c r="AD238" s="33">
        <f>ROUND(J238-T238,2)</f>
      </c>
      <c r="AE238" s="33">
        <f>ROUND(K238-U238,2)</f>
      </c>
      <c r="AF238" s="33">
        <f>IF(V238&lt;=0,0,MAX(0,MIN(V238,ROUND($AZ238-SUMPRODUCT($V238:$AE238*($V238:$AE238&gt;0)*(($V$3:$AE$3&gt;V$3)+($V$3:$AE$3=V$3)*($V238:$AE238&lt;V238)+($V$3:$AE$3=V$3)*($V238:$AE238=V238)*($V$2:$AE$2&lt;V$2))),2))))</f>
      </c>
      <c r="AG238" s="33">
        <f>IF(W238&lt;=0,0,MAX(0,MIN(W238,ROUND($AZ238-SUMPRODUCT($V238:$AE238*($V238:$AE238&gt;0)*(($V$3:$AE$3&gt;W$3)+($V$3:$AE$3=W$3)*($V238:$AE238&lt;W238)+($V$3:$AE$3=W$3)*($V238:$AE238=W238)*($V$2:$AE$2&lt;W$2))),2))))</f>
      </c>
      <c r="AH238" s="33">
        <f>IF(X238&lt;=0,0,MAX(0,MIN(X238,ROUND($AZ238-SUMPRODUCT($V238:$AE238*($V238:$AE238&gt;0)*(($V$3:$AE$3&gt;X$3)+($V$3:$AE$3=X$3)*($V238:$AE238&lt;X238)+($V$3:$AE$3=X$3)*($V238:$AE238=X238)*($V$2:$AE$2&lt;X$2))),2))))</f>
      </c>
      <c r="AI238" s="33">
        <f>IF(Y238&lt;=0,0,MAX(0,MIN(Y238,ROUND($AZ238-SUMPRODUCT($V238:$AE238*($V238:$AE238&gt;0)*(($V$3:$AE$3&gt;Y$3)+($V$3:$AE$3=Y$3)*($V238:$AE238&lt;Y238)+($V$3:$AE$3=Y$3)*($V238:$AE238=Y238)*($V$2:$AE$2&lt;Y$2))),2))))</f>
      </c>
      <c r="AJ238" s="33">
        <f>IF(Z238&lt;=0,0,MAX(0,MIN(Z238,ROUND($AZ238-SUMPRODUCT($V238:$AE238*($V238:$AE238&gt;0)*(($V$3:$AE$3&gt;Z$3)+($V$3:$AE$3=Z$3)*($V238:$AE238&lt;Z238)+($V$3:$AE$3=Z$3)*($V238:$AE238=Z238)*($V$2:$AE$2&lt;Z$2))),2))))</f>
      </c>
      <c r="AK238" s="33">
        <f>IF(AA238&lt;=0,0,MAX(0,MIN(AA238,ROUND($AZ238-SUMPRODUCT($V238:$AE238*($V238:$AE238&gt;0)*(($V$3:$AE$3&gt;AA$3)+($V$3:$AE$3=AA$3)*($V238:$AE238&lt;AA238)+($V$3:$AE$3=AA$3)*($V238:$AE238=AA238)*($V$2:$AE$2&lt;AA$2))),2))))</f>
      </c>
      <c r="AL238" s="33">
        <f>IF(AB238&lt;=0,0,MAX(0,MIN(AB238,ROUND($AZ238-SUMPRODUCT($V238:$AE238*($V238:$AE238&gt;0)*(($V$3:$AE$3&gt;AB$3)+($V$3:$AE$3=AB$3)*($V238:$AE238&lt;AB238)+($V$3:$AE$3=AB$3)*($V238:$AE238=AB238)*($V$2:$AE$2&lt;AB$2))),2))))</f>
      </c>
      <c r="AM238" s="33">
        <f>IF(AC238&lt;=0,0,MAX(0,MIN(AC238,ROUND($AZ238-SUMPRODUCT($V238:$AE238*($V238:$AE238&gt;0)*(($V$3:$AE$3&gt;AC$3)+($V$3:$AE$3=AC$3)*($V238:$AE238&lt;AC238)+($V$3:$AE$3=AC$3)*($V238:$AE238=AC238)*($V$2:$AE$2&lt;AC$2))),2))))</f>
      </c>
      <c r="AN238" s="33">
        <f>IF(AD238&lt;=0,0,MAX(0,MIN(AD238,ROUND($AZ238-SUMPRODUCT($V238:$AE238*($V238:$AE238&gt;0)*(($V$3:$AE$3&gt;AD$3)+($V$3:$AE$3=AD$3)*($V238:$AE238&lt;AD238)+($V$3:$AE$3=AD$3)*($V238:$AE238=AD238)*($V$2:$AE$2&lt;AD$2))),2))))</f>
      </c>
      <c r="AO238" s="33">
        <f>IF(AE238&lt;=0,0,MAX(0,MIN(AE238,ROUND($AZ238-SUMPRODUCT($V238:$AE238*($V238:$AE238&gt;0)*(($V$3:$AE$3&gt;AE$3)+($V$3:$AE$3=AE$3)*($V238:$AE238&lt;AE238)+($V$3:$AE$3=AE$3)*($V238:$AE238=AE238)*($V$2:$AE$2&lt;AE$2))),2))))</f>
      </c>
      <c r="AP238" s="33">
        <f>ROUND(V238-AF238,2)</f>
      </c>
      <c r="AQ238" s="33">
        <f>ROUND(W238-AG238,2)</f>
      </c>
      <c r="AR238" s="33">
        <f>ROUND(X238-AH238,2)</f>
      </c>
      <c r="AS238" s="33">
        <f>ROUND(Y238-AI238,2)</f>
      </c>
      <c r="AT238" s="33">
        <f>ROUND(Z238-AJ238,2)</f>
      </c>
      <c r="AU238" s="33">
        <f>ROUND(AA238-AK238,2)</f>
      </c>
      <c r="AV238" s="33">
        <f>ROUND(AB238-AL238,2)</f>
      </c>
      <c r="AW238" s="33">
        <f>ROUND(AC238-AM238,2)</f>
      </c>
      <c r="AX238" s="33">
        <f>ROUND(AD238-AN238,2)</f>
      </c>
      <c r="AY238" s="33">
        <f>ROUND(AE238-AO238,2)</f>
      </c>
      <c r="AZ238" s="33">
        <f>ROUND(MAX(0,'Your debts'!$D$22-SUM($L238:$U238)),2)</f>
      </c>
      <c r="BA238" s="33">
        <f>ROUND(SUM($B238:$K238)-SUM($AP237:$AY237),2)</f>
      </c>
      <c r="BB238" s="33">
        <f>SUM($AP238:$AY238)</f>
      </c>
      <c r="BC238" s="33">
        <f>ROUND(SUM($L238:$U238)+SUM($AF238:$AO238),2)</f>
      </c>
    </row>
    <row r="239" spans="1:55" x14ac:dyDescent="0.25">
      <c r="A239">
        <v>232</v>
      </c>
      <c r="B239" s="33">
        <f>IF(AP238&lt;=0,0,ROUND(AP238+ROUND(AP238*V$3/12,2),2))</f>
      </c>
      <c r="C239" s="33">
        <f>IF(AQ238&lt;=0,0,ROUND(AQ238+ROUND(AQ238*W$3/12,2),2))</f>
      </c>
      <c r="D239" s="33">
        <f>IF(AR238&lt;=0,0,ROUND(AR238+ROUND(AR238*X$3/12,2),2))</f>
      </c>
      <c r="E239" s="33">
        <f>IF(AS238&lt;=0,0,ROUND(AS238+ROUND(AS238*Y$3/12,2),2))</f>
      </c>
      <c r="F239" s="33">
        <f>IF(AT238&lt;=0,0,ROUND(AT238+ROUND(AT238*Z$3/12,2),2))</f>
      </c>
      <c r="G239" s="33">
        <f>IF(AU238&lt;=0,0,ROUND(AU238+ROUND(AU238*AA$3/12,2),2))</f>
      </c>
      <c r="H239" s="33">
        <f>IF(AV238&lt;=0,0,ROUND(AV238+ROUND(AV238*AB$3/12,2),2))</f>
      </c>
      <c r="I239" s="33">
        <f>IF(AW238&lt;=0,0,ROUND(AW238+ROUND(AW238*AC$3/12,2),2))</f>
      </c>
      <c r="J239" s="33">
        <f>IF(AX238&lt;=0,0,ROUND(AX238+ROUND(AX238*AD$3/12,2),2))</f>
      </c>
      <c r="K239" s="33">
        <f>IF(AY238&lt;=0,0,ROUND(AY238+ROUND(AY238*AE$3/12,2),2))</f>
      </c>
      <c r="L239" s="33">
        <f>ROUND(MIN(MAX(0,N('Your debts'!$E$6)),B239),2)</f>
      </c>
      <c r="M239" s="33">
        <f>ROUND(MIN(MAX(0,N('Your debts'!$E$7)),C239),2)</f>
      </c>
      <c r="N239" s="33">
        <f>ROUND(MIN(MAX(0,N('Your debts'!$E$8)),D239),2)</f>
      </c>
      <c r="O239" s="33">
        <f>ROUND(MIN(MAX(0,N('Your debts'!$E$9)),E239),2)</f>
      </c>
      <c r="P239" s="33">
        <f>ROUND(MIN(MAX(0,N('Your debts'!$E$10)),F239),2)</f>
      </c>
      <c r="Q239" s="33">
        <f>ROUND(MIN(MAX(0,N('Your debts'!$E$11)),G239),2)</f>
      </c>
      <c r="R239" s="33">
        <f>ROUND(MIN(MAX(0,N('Your debts'!$E$12)),H239),2)</f>
      </c>
      <c r="S239" s="33">
        <f>ROUND(MIN(MAX(0,N('Your debts'!$E$13)),I239),2)</f>
      </c>
      <c r="T239" s="33">
        <f>ROUND(MIN(MAX(0,N('Your debts'!$E$14)),J239),2)</f>
      </c>
      <c r="U239" s="33">
        <f>ROUND(MIN(MAX(0,N('Your debts'!$E$15)),K239),2)</f>
      </c>
      <c r="V239" s="33">
        <f>ROUND(B239-L239,2)</f>
      </c>
      <c r="W239" s="33">
        <f>ROUND(C239-M239,2)</f>
      </c>
      <c r="X239" s="33">
        <f>ROUND(D239-N239,2)</f>
      </c>
      <c r="Y239" s="33">
        <f>ROUND(E239-O239,2)</f>
      </c>
      <c r="Z239" s="33">
        <f>ROUND(F239-P239,2)</f>
      </c>
      <c r="AA239" s="33">
        <f>ROUND(G239-Q239,2)</f>
      </c>
      <c r="AB239" s="33">
        <f>ROUND(H239-R239,2)</f>
      </c>
      <c r="AC239" s="33">
        <f>ROUND(I239-S239,2)</f>
      </c>
      <c r="AD239" s="33">
        <f>ROUND(J239-T239,2)</f>
      </c>
      <c r="AE239" s="33">
        <f>ROUND(K239-U239,2)</f>
      </c>
      <c r="AF239" s="33">
        <f>IF(V239&lt;=0,0,MAX(0,MIN(V239,ROUND($AZ239-SUMPRODUCT($V239:$AE239*($V239:$AE239&gt;0)*(($V$3:$AE$3&gt;V$3)+($V$3:$AE$3=V$3)*($V239:$AE239&lt;V239)+($V$3:$AE$3=V$3)*($V239:$AE239=V239)*($V$2:$AE$2&lt;V$2))),2))))</f>
      </c>
      <c r="AG239" s="33">
        <f>IF(W239&lt;=0,0,MAX(0,MIN(W239,ROUND($AZ239-SUMPRODUCT($V239:$AE239*($V239:$AE239&gt;0)*(($V$3:$AE$3&gt;W$3)+($V$3:$AE$3=W$3)*($V239:$AE239&lt;W239)+($V$3:$AE$3=W$3)*($V239:$AE239=W239)*($V$2:$AE$2&lt;W$2))),2))))</f>
      </c>
      <c r="AH239" s="33">
        <f>IF(X239&lt;=0,0,MAX(0,MIN(X239,ROUND($AZ239-SUMPRODUCT($V239:$AE239*($V239:$AE239&gt;0)*(($V$3:$AE$3&gt;X$3)+($V$3:$AE$3=X$3)*($V239:$AE239&lt;X239)+($V$3:$AE$3=X$3)*($V239:$AE239=X239)*($V$2:$AE$2&lt;X$2))),2))))</f>
      </c>
      <c r="AI239" s="33">
        <f>IF(Y239&lt;=0,0,MAX(0,MIN(Y239,ROUND($AZ239-SUMPRODUCT($V239:$AE239*($V239:$AE239&gt;0)*(($V$3:$AE$3&gt;Y$3)+($V$3:$AE$3=Y$3)*($V239:$AE239&lt;Y239)+($V$3:$AE$3=Y$3)*($V239:$AE239=Y239)*($V$2:$AE$2&lt;Y$2))),2))))</f>
      </c>
      <c r="AJ239" s="33">
        <f>IF(Z239&lt;=0,0,MAX(0,MIN(Z239,ROUND($AZ239-SUMPRODUCT($V239:$AE239*($V239:$AE239&gt;0)*(($V$3:$AE$3&gt;Z$3)+($V$3:$AE$3=Z$3)*($V239:$AE239&lt;Z239)+($V$3:$AE$3=Z$3)*($V239:$AE239=Z239)*($V$2:$AE$2&lt;Z$2))),2))))</f>
      </c>
      <c r="AK239" s="33">
        <f>IF(AA239&lt;=0,0,MAX(0,MIN(AA239,ROUND($AZ239-SUMPRODUCT($V239:$AE239*($V239:$AE239&gt;0)*(($V$3:$AE$3&gt;AA$3)+($V$3:$AE$3=AA$3)*($V239:$AE239&lt;AA239)+($V$3:$AE$3=AA$3)*($V239:$AE239=AA239)*($V$2:$AE$2&lt;AA$2))),2))))</f>
      </c>
      <c r="AL239" s="33">
        <f>IF(AB239&lt;=0,0,MAX(0,MIN(AB239,ROUND($AZ239-SUMPRODUCT($V239:$AE239*($V239:$AE239&gt;0)*(($V$3:$AE$3&gt;AB$3)+($V$3:$AE$3=AB$3)*($V239:$AE239&lt;AB239)+($V$3:$AE$3=AB$3)*($V239:$AE239=AB239)*($V$2:$AE$2&lt;AB$2))),2))))</f>
      </c>
      <c r="AM239" s="33">
        <f>IF(AC239&lt;=0,0,MAX(0,MIN(AC239,ROUND($AZ239-SUMPRODUCT($V239:$AE239*($V239:$AE239&gt;0)*(($V$3:$AE$3&gt;AC$3)+($V$3:$AE$3=AC$3)*($V239:$AE239&lt;AC239)+($V$3:$AE$3=AC$3)*($V239:$AE239=AC239)*($V$2:$AE$2&lt;AC$2))),2))))</f>
      </c>
      <c r="AN239" s="33">
        <f>IF(AD239&lt;=0,0,MAX(0,MIN(AD239,ROUND($AZ239-SUMPRODUCT($V239:$AE239*($V239:$AE239&gt;0)*(($V$3:$AE$3&gt;AD$3)+($V$3:$AE$3=AD$3)*($V239:$AE239&lt;AD239)+($V$3:$AE$3=AD$3)*($V239:$AE239=AD239)*($V$2:$AE$2&lt;AD$2))),2))))</f>
      </c>
      <c r="AO239" s="33">
        <f>IF(AE239&lt;=0,0,MAX(0,MIN(AE239,ROUND($AZ239-SUMPRODUCT($V239:$AE239*($V239:$AE239&gt;0)*(($V$3:$AE$3&gt;AE$3)+($V$3:$AE$3=AE$3)*($V239:$AE239&lt;AE239)+($V$3:$AE$3=AE$3)*($V239:$AE239=AE239)*($V$2:$AE$2&lt;AE$2))),2))))</f>
      </c>
      <c r="AP239" s="33">
        <f>ROUND(V239-AF239,2)</f>
      </c>
      <c r="AQ239" s="33">
        <f>ROUND(W239-AG239,2)</f>
      </c>
      <c r="AR239" s="33">
        <f>ROUND(X239-AH239,2)</f>
      </c>
      <c r="AS239" s="33">
        <f>ROUND(Y239-AI239,2)</f>
      </c>
      <c r="AT239" s="33">
        <f>ROUND(Z239-AJ239,2)</f>
      </c>
      <c r="AU239" s="33">
        <f>ROUND(AA239-AK239,2)</f>
      </c>
      <c r="AV239" s="33">
        <f>ROUND(AB239-AL239,2)</f>
      </c>
      <c r="AW239" s="33">
        <f>ROUND(AC239-AM239,2)</f>
      </c>
      <c r="AX239" s="33">
        <f>ROUND(AD239-AN239,2)</f>
      </c>
      <c r="AY239" s="33">
        <f>ROUND(AE239-AO239,2)</f>
      </c>
      <c r="AZ239" s="33">
        <f>ROUND(MAX(0,'Your debts'!$D$22-SUM($L239:$U239)),2)</f>
      </c>
      <c r="BA239" s="33">
        <f>ROUND(SUM($B239:$K239)-SUM($AP238:$AY238),2)</f>
      </c>
      <c r="BB239" s="33">
        <f>SUM($AP239:$AY239)</f>
      </c>
      <c r="BC239" s="33">
        <f>ROUND(SUM($L239:$U239)+SUM($AF239:$AO239),2)</f>
      </c>
    </row>
    <row r="240" spans="1:55" x14ac:dyDescent="0.25">
      <c r="A240">
        <v>233</v>
      </c>
      <c r="B240" s="33">
        <f>IF(AP239&lt;=0,0,ROUND(AP239+ROUND(AP239*V$3/12,2),2))</f>
      </c>
      <c r="C240" s="33">
        <f>IF(AQ239&lt;=0,0,ROUND(AQ239+ROUND(AQ239*W$3/12,2),2))</f>
      </c>
      <c r="D240" s="33">
        <f>IF(AR239&lt;=0,0,ROUND(AR239+ROUND(AR239*X$3/12,2),2))</f>
      </c>
      <c r="E240" s="33">
        <f>IF(AS239&lt;=0,0,ROUND(AS239+ROUND(AS239*Y$3/12,2),2))</f>
      </c>
      <c r="F240" s="33">
        <f>IF(AT239&lt;=0,0,ROUND(AT239+ROUND(AT239*Z$3/12,2),2))</f>
      </c>
      <c r="G240" s="33">
        <f>IF(AU239&lt;=0,0,ROUND(AU239+ROUND(AU239*AA$3/12,2),2))</f>
      </c>
      <c r="H240" s="33">
        <f>IF(AV239&lt;=0,0,ROUND(AV239+ROUND(AV239*AB$3/12,2),2))</f>
      </c>
      <c r="I240" s="33">
        <f>IF(AW239&lt;=0,0,ROUND(AW239+ROUND(AW239*AC$3/12,2),2))</f>
      </c>
      <c r="J240" s="33">
        <f>IF(AX239&lt;=0,0,ROUND(AX239+ROUND(AX239*AD$3/12,2),2))</f>
      </c>
      <c r="K240" s="33">
        <f>IF(AY239&lt;=0,0,ROUND(AY239+ROUND(AY239*AE$3/12,2),2))</f>
      </c>
      <c r="L240" s="33">
        <f>ROUND(MIN(MAX(0,N('Your debts'!$E$6)),B240),2)</f>
      </c>
      <c r="M240" s="33">
        <f>ROUND(MIN(MAX(0,N('Your debts'!$E$7)),C240),2)</f>
      </c>
      <c r="N240" s="33">
        <f>ROUND(MIN(MAX(0,N('Your debts'!$E$8)),D240),2)</f>
      </c>
      <c r="O240" s="33">
        <f>ROUND(MIN(MAX(0,N('Your debts'!$E$9)),E240),2)</f>
      </c>
      <c r="P240" s="33">
        <f>ROUND(MIN(MAX(0,N('Your debts'!$E$10)),F240),2)</f>
      </c>
      <c r="Q240" s="33">
        <f>ROUND(MIN(MAX(0,N('Your debts'!$E$11)),G240),2)</f>
      </c>
      <c r="R240" s="33">
        <f>ROUND(MIN(MAX(0,N('Your debts'!$E$12)),H240),2)</f>
      </c>
      <c r="S240" s="33">
        <f>ROUND(MIN(MAX(0,N('Your debts'!$E$13)),I240),2)</f>
      </c>
      <c r="T240" s="33">
        <f>ROUND(MIN(MAX(0,N('Your debts'!$E$14)),J240),2)</f>
      </c>
      <c r="U240" s="33">
        <f>ROUND(MIN(MAX(0,N('Your debts'!$E$15)),K240),2)</f>
      </c>
      <c r="V240" s="33">
        <f>ROUND(B240-L240,2)</f>
      </c>
      <c r="W240" s="33">
        <f>ROUND(C240-M240,2)</f>
      </c>
      <c r="X240" s="33">
        <f>ROUND(D240-N240,2)</f>
      </c>
      <c r="Y240" s="33">
        <f>ROUND(E240-O240,2)</f>
      </c>
      <c r="Z240" s="33">
        <f>ROUND(F240-P240,2)</f>
      </c>
      <c r="AA240" s="33">
        <f>ROUND(G240-Q240,2)</f>
      </c>
      <c r="AB240" s="33">
        <f>ROUND(H240-R240,2)</f>
      </c>
      <c r="AC240" s="33">
        <f>ROUND(I240-S240,2)</f>
      </c>
      <c r="AD240" s="33">
        <f>ROUND(J240-T240,2)</f>
      </c>
      <c r="AE240" s="33">
        <f>ROUND(K240-U240,2)</f>
      </c>
      <c r="AF240" s="33">
        <f>IF(V240&lt;=0,0,MAX(0,MIN(V240,ROUND($AZ240-SUMPRODUCT($V240:$AE240*($V240:$AE240&gt;0)*(($V$3:$AE$3&gt;V$3)+($V$3:$AE$3=V$3)*($V240:$AE240&lt;V240)+($V$3:$AE$3=V$3)*($V240:$AE240=V240)*($V$2:$AE$2&lt;V$2))),2))))</f>
      </c>
      <c r="AG240" s="33">
        <f>IF(W240&lt;=0,0,MAX(0,MIN(W240,ROUND($AZ240-SUMPRODUCT($V240:$AE240*($V240:$AE240&gt;0)*(($V$3:$AE$3&gt;W$3)+($V$3:$AE$3=W$3)*($V240:$AE240&lt;W240)+($V$3:$AE$3=W$3)*($V240:$AE240=W240)*($V$2:$AE$2&lt;W$2))),2))))</f>
      </c>
      <c r="AH240" s="33">
        <f>IF(X240&lt;=0,0,MAX(0,MIN(X240,ROUND($AZ240-SUMPRODUCT($V240:$AE240*($V240:$AE240&gt;0)*(($V$3:$AE$3&gt;X$3)+($V$3:$AE$3=X$3)*($V240:$AE240&lt;X240)+($V$3:$AE$3=X$3)*($V240:$AE240=X240)*($V$2:$AE$2&lt;X$2))),2))))</f>
      </c>
      <c r="AI240" s="33">
        <f>IF(Y240&lt;=0,0,MAX(0,MIN(Y240,ROUND($AZ240-SUMPRODUCT($V240:$AE240*($V240:$AE240&gt;0)*(($V$3:$AE$3&gt;Y$3)+($V$3:$AE$3=Y$3)*($V240:$AE240&lt;Y240)+($V$3:$AE$3=Y$3)*($V240:$AE240=Y240)*($V$2:$AE$2&lt;Y$2))),2))))</f>
      </c>
      <c r="AJ240" s="33">
        <f>IF(Z240&lt;=0,0,MAX(0,MIN(Z240,ROUND($AZ240-SUMPRODUCT($V240:$AE240*($V240:$AE240&gt;0)*(($V$3:$AE$3&gt;Z$3)+($V$3:$AE$3=Z$3)*($V240:$AE240&lt;Z240)+($V$3:$AE$3=Z$3)*($V240:$AE240=Z240)*($V$2:$AE$2&lt;Z$2))),2))))</f>
      </c>
      <c r="AK240" s="33">
        <f>IF(AA240&lt;=0,0,MAX(0,MIN(AA240,ROUND($AZ240-SUMPRODUCT($V240:$AE240*($V240:$AE240&gt;0)*(($V$3:$AE$3&gt;AA$3)+($V$3:$AE$3=AA$3)*($V240:$AE240&lt;AA240)+($V$3:$AE$3=AA$3)*($V240:$AE240=AA240)*($V$2:$AE$2&lt;AA$2))),2))))</f>
      </c>
      <c r="AL240" s="33">
        <f>IF(AB240&lt;=0,0,MAX(0,MIN(AB240,ROUND($AZ240-SUMPRODUCT($V240:$AE240*($V240:$AE240&gt;0)*(($V$3:$AE$3&gt;AB$3)+($V$3:$AE$3=AB$3)*($V240:$AE240&lt;AB240)+($V$3:$AE$3=AB$3)*($V240:$AE240=AB240)*($V$2:$AE$2&lt;AB$2))),2))))</f>
      </c>
      <c r="AM240" s="33">
        <f>IF(AC240&lt;=0,0,MAX(0,MIN(AC240,ROUND($AZ240-SUMPRODUCT($V240:$AE240*($V240:$AE240&gt;0)*(($V$3:$AE$3&gt;AC$3)+($V$3:$AE$3=AC$3)*($V240:$AE240&lt;AC240)+($V$3:$AE$3=AC$3)*($V240:$AE240=AC240)*($V$2:$AE$2&lt;AC$2))),2))))</f>
      </c>
      <c r="AN240" s="33">
        <f>IF(AD240&lt;=0,0,MAX(0,MIN(AD240,ROUND($AZ240-SUMPRODUCT($V240:$AE240*($V240:$AE240&gt;0)*(($V$3:$AE$3&gt;AD$3)+($V$3:$AE$3=AD$3)*($V240:$AE240&lt;AD240)+($V$3:$AE$3=AD$3)*($V240:$AE240=AD240)*($V$2:$AE$2&lt;AD$2))),2))))</f>
      </c>
      <c r="AO240" s="33">
        <f>IF(AE240&lt;=0,0,MAX(0,MIN(AE240,ROUND($AZ240-SUMPRODUCT($V240:$AE240*($V240:$AE240&gt;0)*(($V$3:$AE$3&gt;AE$3)+($V$3:$AE$3=AE$3)*($V240:$AE240&lt;AE240)+($V$3:$AE$3=AE$3)*($V240:$AE240=AE240)*($V$2:$AE$2&lt;AE$2))),2))))</f>
      </c>
      <c r="AP240" s="33">
        <f>ROUND(V240-AF240,2)</f>
      </c>
      <c r="AQ240" s="33">
        <f>ROUND(W240-AG240,2)</f>
      </c>
      <c r="AR240" s="33">
        <f>ROUND(X240-AH240,2)</f>
      </c>
      <c r="AS240" s="33">
        <f>ROUND(Y240-AI240,2)</f>
      </c>
      <c r="AT240" s="33">
        <f>ROUND(Z240-AJ240,2)</f>
      </c>
      <c r="AU240" s="33">
        <f>ROUND(AA240-AK240,2)</f>
      </c>
      <c r="AV240" s="33">
        <f>ROUND(AB240-AL240,2)</f>
      </c>
      <c r="AW240" s="33">
        <f>ROUND(AC240-AM240,2)</f>
      </c>
      <c r="AX240" s="33">
        <f>ROUND(AD240-AN240,2)</f>
      </c>
      <c r="AY240" s="33">
        <f>ROUND(AE240-AO240,2)</f>
      </c>
      <c r="AZ240" s="33">
        <f>ROUND(MAX(0,'Your debts'!$D$22-SUM($L240:$U240)),2)</f>
      </c>
      <c r="BA240" s="33">
        <f>ROUND(SUM($B240:$K240)-SUM($AP239:$AY239),2)</f>
      </c>
      <c r="BB240" s="33">
        <f>SUM($AP240:$AY240)</f>
      </c>
      <c r="BC240" s="33">
        <f>ROUND(SUM($L240:$U240)+SUM($AF240:$AO240),2)</f>
      </c>
    </row>
    <row r="241" spans="1:55" x14ac:dyDescent="0.25">
      <c r="A241">
        <v>234</v>
      </c>
      <c r="B241" s="33">
        <f>IF(AP240&lt;=0,0,ROUND(AP240+ROUND(AP240*V$3/12,2),2))</f>
      </c>
      <c r="C241" s="33">
        <f>IF(AQ240&lt;=0,0,ROUND(AQ240+ROUND(AQ240*W$3/12,2),2))</f>
      </c>
      <c r="D241" s="33">
        <f>IF(AR240&lt;=0,0,ROUND(AR240+ROUND(AR240*X$3/12,2),2))</f>
      </c>
      <c r="E241" s="33">
        <f>IF(AS240&lt;=0,0,ROUND(AS240+ROUND(AS240*Y$3/12,2),2))</f>
      </c>
      <c r="F241" s="33">
        <f>IF(AT240&lt;=0,0,ROUND(AT240+ROUND(AT240*Z$3/12,2),2))</f>
      </c>
      <c r="G241" s="33">
        <f>IF(AU240&lt;=0,0,ROUND(AU240+ROUND(AU240*AA$3/12,2),2))</f>
      </c>
      <c r="H241" s="33">
        <f>IF(AV240&lt;=0,0,ROUND(AV240+ROUND(AV240*AB$3/12,2),2))</f>
      </c>
      <c r="I241" s="33">
        <f>IF(AW240&lt;=0,0,ROUND(AW240+ROUND(AW240*AC$3/12,2),2))</f>
      </c>
      <c r="J241" s="33">
        <f>IF(AX240&lt;=0,0,ROUND(AX240+ROUND(AX240*AD$3/12,2),2))</f>
      </c>
      <c r="K241" s="33">
        <f>IF(AY240&lt;=0,0,ROUND(AY240+ROUND(AY240*AE$3/12,2),2))</f>
      </c>
      <c r="L241" s="33">
        <f>ROUND(MIN(MAX(0,N('Your debts'!$E$6)),B241),2)</f>
      </c>
      <c r="M241" s="33">
        <f>ROUND(MIN(MAX(0,N('Your debts'!$E$7)),C241),2)</f>
      </c>
      <c r="N241" s="33">
        <f>ROUND(MIN(MAX(0,N('Your debts'!$E$8)),D241),2)</f>
      </c>
      <c r="O241" s="33">
        <f>ROUND(MIN(MAX(0,N('Your debts'!$E$9)),E241),2)</f>
      </c>
      <c r="P241" s="33">
        <f>ROUND(MIN(MAX(0,N('Your debts'!$E$10)),F241),2)</f>
      </c>
      <c r="Q241" s="33">
        <f>ROUND(MIN(MAX(0,N('Your debts'!$E$11)),G241),2)</f>
      </c>
      <c r="R241" s="33">
        <f>ROUND(MIN(MAX(0,N('Your debts'!$E$12)),H241),2)</f>
      </c>
      <c r="S241" s="33">
        <f>ROUND(MIN(MAX(0,N('Your debts'!$E$13)),I241),2)</f>
      </c>
      <c r="T241" s="33">
        <f>ROUND(MIN(MAX(0,N('Your debts'!$E$14)),J241),2)</f>
      </c>
      <c r="U241" s="33">
        <f>ROUND(MIN(MAX(0,N('Your debts'!$E$15)),K241),2)</f>
      </c>
      <c r="V241" s="33">
        <f>ROUND(B241-L241,2)</f>
      </c>
      <c r="W241" s="33">
        <f>ROUND(C241-M241,2)</f>
      </c>
      <c r="X241" s="33">
        <f>ROUND(D241-N241,2)</f>
      </c>
      <c r="Y241" s="33">
        <f>ROUND(E241-O241,2)</f>
      </c>
      <c r="Z241" s="33">
        <f>ROUND(F241-P241,2)</f>
      </c>
      <c r="AA241" s="33">
        <f>ROUND(G241-Q241,2)</f>
      </c>
      <c r="AB241" s="33">
        <f>ROUND(H241-R241,2)</f>
      </c>
      <c r="AC241" s="33">
        <f>ROUND(I241-S241,2)</f>
      </c>
      <c r="AD241" s="33">
        <f>ROUND(J241-T241,2)</f>
      </c>
      <c r="AE241" s="33">
        <f>ROUND(K241-U241,2)</f>
      </c>
      <c r="AF241" s="33">
        <f>IF(V241&lt;=0,0,MAX(0,MIN(V241,ROUND($AZ241-SUMPRODUCT($V241:$AE241*($V241:$AE241&gt;0)*(($V$3:$AE$3&gt;V$3)+($V$3:$AE$3=V$3)*($V241:$AE241&lt;V241)+($V$3:$AE$3=V$3)*($V241:$AE241=V241)*($V$2:$AE$2&lt;V$2))),2))))</f>
      </c>
      <c r="AG241" s="33">
        <f>IF(W241&lt;=0,0,MAX(0,MIN(W241,ROUND($AZ241-SUMPRODUCT($V241:$AE241*($V241:$AE241&gt;0)*(($V$3:$AE$3&gt;W$3)+($V$3:$AE$3=W$3)*($V241:$AE241&lt;W241)+($V$3:$AE$3=W$3)*($V241:$AE241=W241)*($V$2:$AE$2&lt;W$2))),2))))</f>
      </c>
      <c r="AH241" s="33">
        <f>IF(X241&lt;=0,0,MAX(0,MIN(X241,ROUND($AZ241-SUMPRODUCT($V241:$AE241*($V241:$AE241&gt;0)*(($V$3:$AE$3&gt;X$3)+($V$3:$AE$3=X$3)*($V241:$AE241&lt;X241)+($V$3:$AE$3=X$3)*($V241:$AE241=X241)*($V$2:$AE$2&lt;X$2))),2))))</f>
      </c>
      <c r="AI241" s="33">
        <f>IF(Y241&lt;=0,0,MAX(0,MIN(Y241,ROUND($AZ241-SUMPRODUCT($V241:$AE241*($V241:$AE241&gt;0)*(($V$3:$AE$3&gt;Y$3)+($V$3:$AE$3=Y$3)*($V241:$AE241&lt;Y241)+($V$3:$AE$3=Y$3)*($V241:$AE241=Y241)*($V$2:$AE$2&lt;Y$2))),2))))</f>
      </c>
      <c r="AJ241" s="33">
        <f>IF(Z241&lt;=0,0,MAX(0,MIN(Z241,ROUND($AZ241-SUMPRODUCT($V241:$AE241*($V241:$AE241&gt;0)*(($V$3:$AE$3&gt;Z$3)+($V$3:$AE$3=Z$3)*($V241:$AE241&lt;Z241)+($V$3:$AE$3=Z$3)*($V241:$AE241=Z241)*($V$2:$AE$2&lt;Z$2))),2))))</f>
      </c>
      <c r="AK241" s="33">
        <f>IF(AA241&lt;=0,0,MAX(0,MIN(AA241,ROUND($AZ241-SUMPRODUCT($V241:$AE241*($V241:$AE241&gt;0)*(($V$3:$AE$3&gt;AA$3)+($V$3:$AE$3=AA$3)*($V241:$AE241&lt;AA241)+($V$3:$AE$3=AA$3)*($V241:$AE241=AA241)*($V$2:$AE$2&lt;AA$2))),2))))</f>
      </c>
      <c r="AL241" s="33">
        <f>IF(AB241&lt;=0,0,MAX(0,MIN(AB241,ROUND($AZ241-SUMPRODUCT($V241:$AE241*($V241:$AE241&gt;0)*(($V$3:$AE$3&gt;AB$3)+($V$3:$AE$3=AB$3)*($V241:$AE241&lt;AB241)+($V$3:$AE$3=AB$3)*($V241:$AE241=AB241)*($V$2:$AE$2&lt;AB$2))),2))))</f>
      </c>
      <c r="AM241" s="33">
        <f>IF(AC241&lt;=0,0,MAX(0,MIN(AC241,ROUND($AZ241-SUMPRODUCT($V241:$AE241*($V241:$AE241&gt;0)*(($V$3:$AE$3&gt;AC$3)+($V$3:$AE$3=AC$3)*($V241:$AE241&lt;AC241)+($V$3:$AE$3=AC$3)*($V241:$AE241=AC241)*($V$2:$AE$2&lt;AC$2))),2))))</f>
      </c>
      <c r="AN241" s="33">
        <f>IF(AD241&lt;=0,0,MAX(0,MIN(AD241,ROUND($AZ241-SUMPRODUCT($V241:$AE241*($V241:$AE241&gt;0)*(($V$3:$AE$3&gt;AD$3)+($V$3:$AE$3=AD$3)*($V241:$AE241&lt;AD241)+($V$3:$AE$3=AD$3)*($V241:$AE241=AD241)*($V$2:$AE$2&lt;AD$2))),2))))</f>
      </c>
      <c r="AO241" s="33">
        <f>IF(AE241&lt;=0,0,MAX(0,MIN(AE241,ROUND($AZ241-SUMPRODUCT($V241:$AE241*($V241:$AE241&gt;0)*(($V$3:$AE$3&gt;AE$3)+($V$3:$AE$3=AE$3)*($V241:$AE241&lt;AE241)+($V$3:$AE$3=AE$3)*($V241:$AE241=AE241)*($V$2:$AE$2&lt;AE$2))),2))))</f>
      </c>
      <c r="AP241" s="33">
        <f>ROUND(V241-AF241,2)</f>
      </c>
      <c r="AQ241" s="33">
        <f>ROUND(W241-AG241,2)</f>
      </c>
      <c r="AR241" s="33">
        <f>ROUND(X241-AH241,2)</f>
      </c>
      <c r="AS241" s="33">
        <f>ROUND(Y241-AI241,2)</f>
      </c>
      <c r="AT241" s="33">
        <f>ROUND(Z241-AJ241,2)</f>
      </c>
      <c r="AU241" s="33">
        <f>ROUND(AA241-AK241,2)</f>
      </c>
      <c r="AV241" s="33">
        <f>ROUND(AB241-AL241,2)</f>
      </c>
      <c r="AW241" s="33">
        <f>ROUND(AC241-AM241,2)</f>
      </c>
      <c r="AX241" s="33">
        <f>ROUND(AD241-AN241,2)</f>
      </c>
      <c r="AY241" s="33">
        <f>ROUND(AE241-AO241,2)</f>
      </c>
      <c r="AZ241" s="33">
        <f>ROUND(MAX(0,'Your debts'!$D$22-SUM($L241:$U241)),2)</f>
      </c>
      <c r="BA241" s="33">
        <f>ROUND(SUM($B241:$K241)-SUM($AP240:$AY240),2)</f>
      </c>
      <c r="BB241" s="33">
        <f>SUM($AP241:$AY241)</f>
      </c>
      <c r="BC241" s="33">
        <f>ROUND(SUM($L241:$U241)+SUM($AF241:$AO241),2)</f>
      </c>
    </row>
    <row r="242" spans="1:55" x14ac:dyDescent="0.25">
      <c r="A242">
        <v>235</v>
      </c>
      <c r="B242" s="33">
        <f>IF(AP241&lt;=0,0,ROUND(AP241+ROUND(AP241*V$3/12,2),2))</f>
      </c>
      <c r="C242" s="33">
        <f>IF(AQ241&lt;=0,0,ROUND(AQ241+ROUND(AQ241*W$3/12,2),2))</f>
      </c>
      <c r="D242" s="33">
        <f>IF(AR241&lt;=0,0,ROUND(AR241+ROUND(AR241*X$3/12,2),2))</f>
      </c>
      <c r="E242" s="33">
        <f>IF(AS241&lt;=0,0,ROUND(AS241+ROUND(AS241*Y$3/12,2),2))</f>
      </c>
      <c r="F242" s="33">
        <f>IF(AT241&lt;=0,0,ROUND(AT241+ROUND(AT241*Z$3/12,2),2))</f>
      </c>
      <c r="G242" s="33">
        <f>IF(AU241&lt;=0,0,ROUND(AU241+ROUND(AU241*AA$3/12,2),2))</f>
      </c>
      <c r="H242" s="33">
        <f>IF(AV241&lt;=0,0,ROUND(AV241+ROUND(AV241*AB$3/12,2),2))</f>
      </c>
      <c r="I242" s="33">
        <f>IF(AW241&lt;=0,0,ROUND(AW241+ROUND(AW241*AC$3/12,2),2))</f>
      </c>
      <c r="J242" s="33">
        <f>IF(AX241&lt;=0,0,ROUND(AX241+ROUND(AX241*AD$3/12,2),2))</f>
      </c>
      <c r="K242" s="33">
        <f>IF(AY241&lt;=0,0,ROUND(AY241+ROUND(AY241*AE$3/12,2),2))</f>
      </c>
      <c r="L242" s="33">
        <f>ROUND(MIN(MAX(0,N('Your debts'!$E$6)),B242),2)</f>
      </c>
      <c r="M242" s="33">
        <f>ROUND(MIN(MAX(0,N('Your debts'!$E$7)),C242),2)</f>
      </c>
      <c r="N242" s="33">
        <f>ROUND(MIN(MAX(0,N('Your debts'!$E$8)),D242),2)</f>
      </c>
      <c r="O242" s="33">
        <f>ROUND(MIN(MAX(0,N('Your debts'!$E$9)),E242),2)</f>
      </c>
      <c r="P242" s="33">
        <f>ROUND(MIN(MAX(0,N('Your debts'!$E$10)),F242),2)</f>
      </c>
      <c r="Q242" s="33">
        <f>ROUND(MIN(MAX(0,N('Your debts'!$E$11)),G242),2)</f>
      </c>
      <c r="R242" s="33">
        <f>ROUND(MIN(MAX(0,N('Your debts'!$E$12)),H242),2)</f>
      </c>
      <c r="S242" s="33">
        <f>ROUND(MIN(MAX(0,N('Your debts'!$E$13)),I242),2)</f>
      </c>
      <c r="T242" s="33">
        <f>ROUND(MIN(MAX(0,N('Your debts'!$E$14)),J242),2)</f>
      </c>
      <c r="U242" s="33">
        <f>ROUND(MIN(MAX(0,N('Your debts'!$E$15)),K242),2)</f>
      </c>
      <c r="V242" s="33">
        <f>ROUND(B242-L242,2)</f>
      </c>
      <c r="W242" s="33">
        <f>ROUND(C242-M242,2)</f>
      </c>
      <c r="X242" s="33">
        <f>ROUND(D242-N242,2)</f>
      </c>
      <c r="Y242" s="33">
        <f>ROUND(E242-O242,2)</f>
      </c>
      <c r="Z242" s="33">
        <f>ROUND(F242-P242,2)</f>
      </c>
      <c r="AA242" s="33">
        <f>ROUND(G242-Q242,2)</f>
      </c>
      <c r="AB242" s="33">
        <f>ROUND(H242-R242,2)</f>
      </c>
      <c r="AC242" s="33">
        <f>ROUND(I242-S242,2)</f>
      </c>
      <c r="AD242" s="33">
        <f>ROUND(J242-T242,2)</f>
      </c>
      <c r="AE242" s="33">
        <f>ROUND(K242-U242,2)</f>
      </c>
      <c r="AF242" s="33">
        <f>IF(V242&lt;=0,0,MAX(0,MIN(V242,ROUND($AZ242-SUMPRODUCT($V242:$AE242*($V242:$AE242&gt;0)*(($V$3:$AE$3&gt;V$3)+($V$3:$AE$3=V$3)*($V242:$AE242&lt;V242)+($V$3:$AE$3=V$3)*($V242:$AE242=V242)*($V$2:$AE$2&lt;V$2))),2))))</f>
      </c>
      <c r="AG242" s="33">
        <f>IF(W242&lt;=0,0,MAX(0,MIN(W242,ROUND($AZ242-SUMPRODUCT($V242:$AE242*($V242:$AE242&gt;0)*(($V$3:$AE$3&gt;W$3)+($V$3:$AE$3=W$3)*($V242:$AE242&lt;W242)+($V$3:$AE$3=W$3)*($V242:$AE242=W242)*($V$2:$AE$2&lt;W$2))),2))))</f>
      </c>
      <c r="AH242" s="33">
        <f>IF(X242&lt;=0,0,MAX(0,MIN(X242,ROUND($AZ242-SUMPRODUCT($V242:$AE242*($V242:$AE242&gt;0)*(($V$3:$AE$3&gt;X$3)+($V$3:$AE$3=X$3)*($V242:$AE242&lt;X242)+($V$3:$AE$3=X$3)*($V242:$AE242=X242)*($V$2:$AE$2&lt;X$2))),2))))</f>
      </c>
      <c r="AI242" s="33">
        <f>IF(Y242&lt;=0,0,MAX(0,MIN(Y242,ROUND($AZ242-SUMPRODUCT($V242:$AE242*($V242:$AE242&gt;0)*(($V$3:$AE$3&gt;Y$3)+($V$3:$AE$3=Y$3)*($V242:$AE242&lt;Y242)+($V$3:$AE$3=Y$3)*($V242:$AE242=Y242)*($V$2:$AE$2&lt;Y$2))),2))))</f>
      </c>
      <c r="AJ242" s="33">
        <f>IF(Z242&lt;=0,0,MAX(0,MIN(Z242,ROUND($AZ242-SUMPRODUCT($V242:$AE242*($V242:$AE242&gt;0)*(($V$3:$AE$3&gt;Z$3)+($V$3:$AE$3=Z$3)*($V242:$AE242&lt;Z242)+($V$3:$AE$3=Z$3)*($V242:$AE242=Z242)*($V$2:$AE$2&lt;Z$2))),2))))</f>
      </c>
      <c r="AK242" s="33">
        <f>IF(AA242&lt;=0,0,MAX(0,MIN(AA242,ROUND($AZ242-SUMPRODUCT($V242:$AE242*($V242:$AE242&gt;0)*(($V$3:$AE$3&gt;AA$3)+($V$3:$AE$3=AA$3)*($V242:$AE242&lt;AA242)+($V$3:$AE$3=AA$3)*($V242:$AE242=AA242)*($V$2:$AE$2&lt;AA$2))),2))))</f>
      </c>
      <c r="AL242" s="33">
        <f>IF(AB242&lt;=0,0,MAX(0,MIN(AB242,ROUND($AZ242-SUMPRODUCT($V242:$AE242*($V242:$AE242&gt;0)*(($V$3:$AE$3&gt;AB$3)+($V$3:$AE$3=AB$3)*($V242:$AE242&lt;AB242)+($V$3:$AE$3=AB$3)*($V242:$AE242=AB242)*($V$2:$AE$2&lt;AB$2))),2))))</f>
      </c>
      <c r="AM242" s="33">
        <f>IF(AC242&lt;=0,0,MAX(0,MIN(AC242,ROUND($AZ242-SUMPRODUCT($V242:$AE242*($V242:$AE242&gt;0)*(($V$3:$AE$3&gt;AC$3)+($V$3:$AE$3=AC$3)*($V242:$AE242&lt;AC242)+($V$3:$AE$3=AC$3)*($V242:$AE242=AC242)*($V$2:$AE$2&lt;AC$2))),2))))</f>
      </c>
      <c r="AN242" s="33">
        <f>IF(AD242&lt;=0,0,MAX(0,MIN(AD242,ROUND($AZ242-SUMPRODUCT($V242:$AE242*($V242:$AE242&gt;0)*(($V$3:$AE$3&gt;AD$3)+($V$3:$AE$3=AD$3)*($V242:$AE242&lt;AD242)+($V$3:$AE$3=AD$3)*($V242:$AE242=AD242)*($V$2:$AE$2&lt;AD$2))),2))))</f>
      </c>
      <c r="AO242" s="33">
        <f>IF(AE242&lt;=0,0,MAX(0,MIN(AE242,ROUND($AZ242-SUMPRODUCT($V242:$AE242*($V242:$AE242&gt;0)*(($V$3:$AE$3&gt;AE$3)+($V$3:$AE$3=AE$3)*($V242:$AE242&lt;AE242)+($V$3:$AE$3=AE$3)*($V242:$AE242=AE242)*($V$2:$AE$2&lt;AE$2))),2))))</f>
      </c>
      <c r="AP242" s="33">
        <f>ROUND(V242-AF242,2)</f>
      </c>
      <c r="AQ242" s="33">
        <f>ROUND(W242-AG242,2)</f>
      </c>
      <c r="AR242" s="33">
        <f>ROUND(X242-AH242,2)</f>
      </c>
      <c r="AS242" s="33">
        <f>ROUND(Y242-AI242,2)</f>
      </c>
      <c r="AT242" s="33">
        <f>ROUND(Z242-AJ242,2)</f>
      </c>
      <c r="AU242" s="33">
        <f>ROUND(AA242-AK242,2)</f>
      </c>
      <c r="AV242" s="33">
        <f>ROUND(AB242-AL242,2)</f>
      </c>
      <c r="AW242" s="33">
        <f>ROUND(AC242-AM242,2)</f>
      </c>
      <c r="AX242" s="33">
        <f>ROUND(AD242-AN242,2)</f>
      </c>
      <c r="AY242" s="33">
        <f>ROUND(AE242-AO242,2)</f>
      </c>
      <c r="AZ242" s="33">
        <f>ROUND(MAX(0,'Your debts'!$D$22-SUM($L242:$U242)),2)</f>
      </c>
      <c r="BA242" s="33">
        <f>ROUND(SUM($B242:$K242)-SUM($AP241:$AY241),2)</f>
      </c>
      <c r="BB242" s="33">
        <f>SUM($AP242:$AY242)</f>
      </c>
      <c r="BC242" s="33">
        <f>ROUND(SUM($L242:$U242)+SUM($AF242:$AO242),2)</f>
      </c>
    </row>
    <row r="243" spans="1:55" x14ac:dyDescent="0.25">
      <c r="A243">
        <v>236</v>
      </c>
      <c r="B243" s="33">
        <f>IF(AP242&lt;=0,0,ROUND(AP242+ROUND(AP242*V$3/12,2),2))</f>
      </c>
      <c r="C243" s="33">
        <f>IF(AQ242&lt;=0,0,ROUND(AQ242+ROUND(AQ242*W$3/12,2),2))</f>
      </c>
      <c r="D243" s="33">
        <f>IF(AR242&lt;=0,0,ROUND(AR242+ROUND(AR242*X$3/12,2),2))</f>
      </c>
      <c r="E243" s="33">
        <f>IF(AS242&lt;=0,0,ROUND(AS242+ROUND(AS242*Y$3/12,2),2))</f>
      </c>
      <c r="F243" s="33">
        <f>IF(AT242&lt;=0,0,ROUND(AT242+ROUND(AT242*Z$3/12,2),2))</f>
      </c>
      <c r="G243" s="33">
        <f>IF(AU242&lt;=0,0,ROUND(AU242+ROUND(AU242*AA$3/12,2),2))</f>
      </c>
      <c r="H243" s="33">
        <f>IF(AV242&lt;=0,0,ROUND(AV242+ROUND(AV242*AB$3/12,2),2))</f>
      </c>
      <c r="I243" s="33">
        <f>IF(AW242&lt;=0,0,ROUND(AW242+ROUND(AW242*AC$3/12,2),2))</f>
      </c>
      <c r="J243" s="33">
        <f>IF(AX242&lt;=0,0,ROUND(AX242+ROUND(AX242*AD$3/12,2),2))</f>
      </c>
      <c r="K243" s="33">
        <f>IF(AY242&lt;=0,0,ROUND(AY242+ROUND(AY242*AE$3/12,2),2))</f>
      </c>
      <c r="L243" s="33">
        <f>ROUND(MIN(MAX(0,N('Your debts'!$E$6)),B243),2)</f>
      </c>
      <c r="M243" s="33">
        <f>ROUND(MIN(MAX(0,N('Your debts'!$E$7)),C243),2)</f>
      </c>
      <c r="N243" s="33">
        <f>ROUND(MIN(MAX(0,N('Your debts'!$E$8)),D243),2)</f>
      </c>
      <c r="O243" s="33">
        <f>ROUND(MIN(MAX(0,N('Your debts'!$E$9)),E243),2)</f>
      </c>
      <c r="P243" s="33">
        <f>ROUND(MIN(MAX(0,N('Your debts'!$E$10)),F243),2)</f>
      </c>
      <c r="Q243" s="33">
        <f>ROUND(MIN(MAX(0,N('Your debts'!$E$11)),G243),2)</f>
      </c>
      <c r="R243" s="33">
        <f>ROUND(MIN(MAX(0,N('Your debts'!$E$12)),H243),2)</f>
      </c>
      <c r="S243" s="33">
        <f>ROUND(MIN(MAX(0,N('Your debts'!$E$13)),I243),2)</f>
      </c>
      <c r="T243" s="33">
        <f>ROUND(MIN(MAX(0,N('Your debts'!$E$14)),J243),2)</f>
      </c>
      <c r="U243" s="33">
        <f>ROUND(MIN(MAX(0,N('Your debts'!$E$15)),K243),2)</f>
      </c>
      <c r="V243" s="33">
        <f>ROUND(B243-L243,2)</f>
      </c>
      <c r="W243" s="33">
        <f>ROUND(C243-M243,2)</f>
      </c>
      <c r="X243" s="33">
        <f>ROUND(D243-N243,2)</f>
      </c>
      <c r="Y243" s="33">
        <f>ROUND(E243-O243,2)</f>
      </c>
      <c r="Z243" s="33">
        <f>ROUND(F243-P243,2)</f>
      </c>
      <c r="AA243" s="33">
        <f>ROUND(G243-Q243,2)</f>
      </c>
      <c r="AB243" s="33">
        <f>ROUND(H243-R243,2)</f>
      </c>
      <c r="AC243" s="33">
        <f>ROUND(I243-S243,2)</f>
      </c>
      <c r="AD243" s="33">
        <f>ROUND(J243-T243,2)</f>
      </c>
      <c r="AE243" s="33">
        <f>ROUND(K243-U243,2)</f>
      </c>
      <c r="AF243" s="33">
        <f>IF(V243&lt;=0,0,MAX(0,MIN(V243,ROUND($AZ243-SUMPRODUCT($V243:$AE243*($V243:$AE243&gt;0)*(($V$3:$AE$3&gt;V$3)+($V$3:$AE$3=V$3)*($V243:$AE243&lt;V243)+($V$3:$AE$3=V$3)*($V243:$AE243=V243)*($V$2:$AE$2&lt;V$2))),2))))</f>
      </c>
      <c r="AG243" s="33">
        <f>IF(W243&lt;=0,0,MAX(0,MIN(W243,ROUND($AZ243-SUMPRODUCT($V243:$AE243*($V243:$AE243&gt;0)*(($V$3:$AE$3&gt;W$3)+($V$3:$AE$3=W$3)*($V243:$AE243&lt;W243)+($V$3:$AE$3=W$3)*($V243:$AE243=W243)*($V$2:$AE$2&lt;W$2))),2))))</f>
      </c>
      <c r="AH243" s="33">
        <f>IF(X243&lt;=0,0,MAX(0,MIN(X243,ROUND($AZ243-SUMPRODUCT($V243:$AE243*($V243:$AE243&gt;0)*(($V$3:$AE$3&gt;X$3)+($V$3:$AE$3=X$3)*($V243:$AE243&lt;X243)+($V$3:$AE$3=X$3)*($V243:$AE243=X243)*($V$2:$AE$2&lt;X$2))),2))))</f>
      </c>
      <c r="AI243" s="33">
        <f>IF(Y243&lt;=0,0,MAX(0,MIN(Y243,ROUND($AZ243-SUMPRODUCT($V243:$AE243*($V243:$AE243&gt;0)*(($V$3:$AE$3&gt;Y$3)+($V$3:$AE$3=Y$3)*($V243:$AE243&lt;Y243)+($V$3:$AE$3=Y$3)*($V243:$AE243=Y243)*($V$2:$AE$2&lt;Y$2))),2))))</f>
      </c>
      <c r="AJ243" s="33">
        <f>IF(Z243&lt;=0,0,MAX(0,MIN(Z243,ROUND($AZ243-SUMPRODUCT($V243:$AE243*($V243:$AE243&gt;0)*(($V$3:$AE$3&gt;Z$3)+($V$3:$AE$3=Z$3)*($V243:$AE243&lt;Z243)+($V$3:$AE$3=Z$3)*($V243:$AE243=Z243)*($V$2:$AE$2&lt;Z$2))),2))))</f>
      </c>
      <c r="AK243" s="33">
        <f>IF(AA243&lt;=0,0,MAX(0,MIN(AA243,ROUND($AZ243-SUMPRODUCT($V243:$AE243*($V243:$AE243&gt;0)*(($V$3:$AE$3&gt;AA$3)+($V$3:$AE$3=AA$3)*($V243:$AE243&lt;AA243)+($V$3:$AE$3=AA$3)*($V243:$AE243=AA243)*($V$2:$AE$2&lt;AA$2))),2))))</f>
      </c>
      <c r="AL243" s="33">
        <f>IF(AB243&lt;=0,0,MAX(0,MIN(AB243,ROUND($AZ243-SUMPRODUCT($V243:$AE243*($V243:$AE243&gt;0)*(($V$3:$AE$3&gt;AB$3)+($V$3:$AE$3=AB$3)*($V243:$AE243&lt;AB243)+($V$3:$AE$3=AB$3)*($V243:$AE243=AB243)*($V$2:$AE$2&lt;AB$2))),2))))</f>
      </c>
      <c r="AM243" s="33">
        <f>IF(AC243&lt;=0,0,MAX(0,MIN(AC243,ROUND($AZ243-SUMPRODUCT($V243:$AE243*($V243:$AE243&gt;0)*(($V$3:$AE$3&gt;AC$3)+($V$3:$AE$3=AC$3)*($V243:$AE243&lt;AC243)+($V$3:$AE$3=AC$3)*($V243:$AE243=AC243)*($V$2:$AE$2&lt;AC$2))),2))))</f>
      </c>
      <c r="AN243" s="33">
        <f>IF(AD243&lt;=0,0,MAX(0,MIN(AD243,ROUND($AZ243-SUMPRODUCT($V243:$AE243*($V243:$AE243&gt;0)*(($V$3:$AE$3&gt;AD$3)+($V$3:$AE$3=AD$3)*($V243:$AE243&lt;AD243)+($V$3:$AE$3=AD$3)*($V243:$AE243=AD243)*($V$2:$AE$2&lt;AD$2))),2))))</f>
      </c>
      <c r="AO243" s="33">
        <f>IF(AE243&lt;=0,0,MAX(0,MIN(AE243,ROUND($AZ243-SUMPRODUCT($V243:$AE243*($V243:$AE243&gt;0)*(($V$3:$AE$3&gt;AE$3)+($V$3:$AE$3=AE$3)*($V243:$AE243&lt;AE243)+($V$3:$AE$3=AE$3)*($V243:$AE243=AE243)*($V$2:$AE$2&lt;AE$2))),2))))</f>
      </c>
      <c r="AP243" s="33">
        <f>ROUND(V243-AF243,2)</f>
      </c>
      <c r="AQ243" s="33">
        <f>ROUND(W243-AG243,2)</f>
      </c>
      <c r="AR243" s="33">
        <f>ROUND(X243-AH243,2)</f>
      </c>
      <c r="AS243" s="33">
        <f>ROUND(Y243-AI243,2)</f>
      </c>
      <c r="AT243" s="33">
        <f>ROUND(Z243-AJ243,2)</f>
      </c>
      <c r="AU243" s="33">
        <f>ROUND(AA243-AK243,2)</f>
      </c>
      <c r="AV243" s="33">
        <f>ROUND(AB243-AL243,2)</f>
      </c>
      <c r="AW243" s="33">
        <f>ROUND(AC243-AM243,2)</f>
      </c>
      <c r="AX243" s="33">
        <f>ROUND(AD243-AN243,2)</f>
      </c>
      <c r="AY243" s="33">
        <f>ROUND(AE243-AO243,2)</f>
      </c>
      <c r="AZ243" s="33">
        <f>ROUND(MAX(0,'Your debts'!$D$22-SUM($L243:$U243)),2)</f>
      </c>
      <c r="BA243" s="33">
        <f>ROUND(SUM($B243:$K243)-SUM($AP242:$AY242),2)</f>
      </c>
      <c r="BB243" s="33">
        <f>SUM($AP243:$AY243)</f>
      </c>
      <c r="BC243" s="33">
        <f>ROUND(SUM($L243:$U243)+SUM($AF243:$AO243),2)</f>
      </c>
    </row>
    <row r="244" spans="1:55" x14ac:dyDescent="0.25">
      <c r="A244">
        <v>237</v>
      </c>
      <c r="B244" s="33">
        <f>IF(AP243&lt;=0,0,ROUND(AP243+ROUND(AP243*V$3/12,2),2))</f>
      </c>
      <c r="C244" s="33">
        <f>IF(AQ243&lt;=0,0,ROUND(AQ243+ROUND(AQ243*W$3/12,2),2))</f>
      </c>
      <c r="D244" s="33">
        <f>IF(AR243&lt;=0,0,ROUND(AR243+ROUND(AR243*X$3/12,2),2))</f>
      </c>
      <c r="E244" s="33">
        <f>IF(AS243&lt;=0,0,ROUND(AS243+ROUND(AS243*Y$3/12,2),2))</f>
      </c>
      <c r="F244" s="33">
        <f>IF(AT243&lt;=0,0,ROUND(AT243+ROUND(AT243*Z$3/12,2),2))</f>
      </c>
      <c r="G244" s="33">
        <f>IF(AU243&lt;=0,0,ROUND(AU243+ROUND(AU243*AA$3/12,2),2))</f>
      </c>
      <c r="H244" s="33">
        <f>IF(AV243&lt;=0,0,ROUND(AV243+ROUND(AV243*AB$3/12,2),2))</f>
      </c>
      <c r="I244" s="33">
        <f>IF(AW243&lt;=0,0,ROUND(AW243+ROUND(AW243*AC$3/12,2),2))</f>
      </c>
      <c r="J244" s="33">
        <f>IF(AX243&lt;=0,0,ROUND(AX243+ROUND(AX243*AD$3/12,2),2))</f>
      </c>
      <c r="K244" s="33">
        <f>IF(AY243&lt;=0,0,ROUND(AY243+ROUND(AY243*AE$3/12,2),2))</f>
      </c>
      <c r="L244" s="33">
        <f>ROUND(MIN(MAX(0,N('Your debts'!$E$6)),B244),2)</f>
      </c>
      <c r="M244" s="33">
        <f>ROUND(MIN(MAX(0,N('Your debts'!$E$7)),C244),2)</f>
      </c>
      <c r="N244" s="33">
        <f>ROUND(MIN(MAX(0,N('Your debts'!$E$8)),D244),2)</f>
      </c>
      <c r="O244" s="33">
        <f>ROUND(MIN(MAX(0,N('Your debts'!$E$9)),E244),2)</f>
      </c>
      <c r="P244" s="33">
        <f>ROUND(MIN(MAX(0,N('Your debts'!$E$10)),F244),2)</f>
      </c>
      <c r="Q244" s="33">
        <f>ROUND(MIN(MAX(0,N('Your debts'!$E$11)),G244),2)</f>
      </c>
      <c r="R244" s="33">
        <f>ROUND(MIN(MAX(0,N('Your debts'!$E$12)),H244),2)</f>
      </c>
      <c r="S244" s="33">
        <f>ROUND(MIN(MAX(0,N('Your debts'!$E$13)),I244),2)</f>
      </c>
      <c r="T244" s="33">
        <f>ROUND(MIN(MAX(0,N('Your debts'!$E$14)),J244),2)</f>
      </c>
      <c r="U244" s="33">
        <f>ROUND(MIN(MAX(0,N('Your debts'!$E$15)),K244),2)</f>
      </c>
      <c r="V244" s="33">
        <f>ROUND(B244-L244,2)</f>
      </c>
      <c r="W244" s="33">
        <f>ROUND(C244-M244,2)</f>
      </c>
      <c r="X244" s="33">
        <f>ROUND(D244-N244,2)</f>
      </c>
      <c r="Y244" s="33">
        <f>ROUND(E244-O244,2)</f>
      </c>
      <c r="Z244" s="33">
        <f>ROUND(F244-P244,2)</f>
      </c>
      <c r="AA244" s="33">
        <f>ROUND(G244-Q244,2)</f>
      </c>
      <c r="AB244" s="33">
        <f>ROUND(H244-R244,2)</f>
      </c>
      <c r="AC244" s="33">
        <f>ROUND(I244-S244,2)</f>
      </c>
      <c r="AD244" s="33">
        <f>ROUND(J244-T244,2)</f>
      </c>
      <c r="AE244" s="33">
        <f>ROUND(K244-U244,2)</f>
      </c>
      <c r="AF244" s="33">
        <f>IF(V244&lt;=0,0,MAX(0,MIN(V244,ROUND($AZ244-SUMPRODUCT($V244:$AE244*($V244:$AE244&gt;0)*(($V$3:$AE$3&gt;V$3)+($V$3:$AE$3=V$3)*($V244:$AE244&lt;V244)+($V$3:$AE$3=V$3)*($V244:$AE244=V244)*($V$2:$AE$2&lt;V$2))),2))))</f>
      </c>
      <c r="AG244" s="33">
        <f>IF(W244&lt;=0,0,MAX(0,MIN(W244,ROUND($AZ244-SUMPRODUCT($V244:$AE244*($V244:$AE244&gt;0)*(($V$3:$AE$3&gt;W$3)+($V$3:$AE$3=W$3)*($V244:$AE244&lt;W244)+($V$3:$AE$3=W$3)*($V244:$AE244=W244)*($V$2:$AE$2&lt;W$2))),2))))</f>
      </c>
      <c r="AH244" s="33">
        <f>IF(X244&lt;=0,0,MAX(0,MIN(X244,ROUND($AZ244-SUMPRODUCT($V244:$AE244*($V244:$AE244&gt;0)*(($V$3:$AE$3&gt;X$3)+($V$3:$AE$3=X$3)*($V244:$AE244&lt;X244)+($V$3:$AE$3=X$3)*($V244:$AE244=X244)*($V$2:$AE$2&lt;X$2))),2))))</f>
      </c>
      <c r="AI244" s="33">
        <f>IF(Y244&lt;=0,0,MAX(0,MIN(Y244,ROUND($AZ244-SUMPRODUCT($V244:$AE244*($V244:$AE244&gt;0)*(($V$3:$AE$3&gt;Y$3)+($V$3:$AE$3=Y$3)*($V244:$AE244&lt;Y244)+($V$3:$AE$3=Y$3)*($V244:$AE244=Y244)*($V$2:$AE$2&lt;Y$2))),2))))</f>
      </c>
      <c r="AJ244" s="33">
        <f>IF(Z244&lt;=0,0,MAX(0,MIN(Z244,ROUND($AZ244-SUMPRODUCT($V244:$AE244*($V244:$AE244&gt;0)*(($V$3:$AE$3&gt;Z$3)+($V$3:$AE$3=Z$3)*($V244:$AE244&lt;Z244)+($V$3:$AE$3=Z$3)*($V244:$AE244=Z244)*($V$2:$AE$2&lt;Z$2))),2))))</f>
      </c>
      <c r="AK244" s="33">
        <f>IF(AA244&lt;=0,0,MAX(0,MIN(AA244,ROUND($AZ244-SUMPRODUCT($V244:$AE244*($V244:$AE244&gt;0)*(($V$3:$AE$3&gt;AA$3)+($V$3:$AE$3=AA$3)*($V244:$AE244&lt;AA244)+($V$3:$AE$3=AA$3)*($V244:$AE244=AA244)*($V$2:$AE$2&lt;AA$2))),2))))</f>
      </c>
      <c r="AL244" s="33">
        <f>IF(AB244&lt;=0,0,MAX(0,MIN(AB244,ROUND($AZ244-SUMPRODUCT($V244:$AE244*($V244:$AE244&gt;0)*(($V$3:$AE$3&gt;AB$3)+($V$3:$AE$3=AB$3)*($V244:$AE244&lt;AB244)+($V$3:$AE$3=AB$3)*($V244:$AE244=AB244)*($V$2:$AE$2&lt;AB$2))),2))))</f>
      </c>
      <c r="AM244" s="33">
        <f>IF(AC244&lt;=0,0,MAX(0,MIN(AC244,ROUND($AZ244-SUMPRODUCT($V244:$AE244*($V244:$AE244&gt;0)*(($V$3:$AE$3&gt;AC$3)+($V$3:$AE$3=AC$3)*($V244:$AE244&lt;AC244)+($V$3:$AE$3=AC$3)*($V244:$AE244=AC244)*($V$2:$AE$2&lt;AC$2))),2))))</f>
      </c>
      <c r="AN244" s="33">
        <f>IF(AD244&lt;=0,0,MAX(0,MIN(AD244,ROUND($AZ244-SUMPRODUCT($V244:$AE244*($V244:$AE244&gt;0)*(($V$3:$AE$3&gt;AD$3)+($V$3:$AE$3=AD$3)*($V244:$AE244&lt;AD244)+($V$3:$AE$3=AD$3)*($V244:$AE244=AD244)*($V$2:$AE$2&lt;AD$2))),2))))</f>
      </c>
      <c r="AO244" s="33">
        <f>IF(AE244&lt;=0,0,MAX(0,MIN(AE244,ROUND($AZ244-SUMPRODUCT($V244:$AE244*($V244:$AE244&gt;0)*(($V$3:$AE$3&gt;AE$3)+($V$3:$AE$3=AE$3)*($V244:$AE244&lt;AE244)+($V$3:$AE$3=AE$3)*($V244:$AE244=AE244)*($V$2:$AE$2&lt;AE$2))),2))))</f>
      </c>
      <c r="AP244" s="33">
        <f>ROUND(V244-AF244,2)</f>
      </c>
      <c r="AQ244" s="33">
        <f>ROUND(W244-AG244,2)</f>
      </c>
      <c r="AR244" s="33">
        <f>ROUND(X244-AH244,2)</f>
      </c>
      <c r="AS244" s="33">
        <f>ROUND(Y244-AI244,2)</f>
      </c>
      <c r="AT244" s="33">
        <f>ROUND(Z244-AJ244,2)</f>
      </c>
      <c r="AU244" s="33">
        <f>ROUND(AA244-AK244,2)</f>
      </c>
      <c r="AV244" s="33">
        <f>ROUND(AB244-AL244,2)</f>
      </c>
      <c r="AW244" s="33">
        <f>ROUND(AC244-AM244,2)</f>
      </c>
      <c r="AX244" s="33">
        <f>ROUND(AD244-AN244,2)</f>
      </c>
      <c r="AY244" s="33">
        <f>ROUND(AE244-AO244,2)</f>
      </c>
      <c r="AZ244" s="33">
        <f>ROUND(MAX(0,'Your debts'!$D$22-SUM($L244:$U244)),2)</f>
      </c>
      <c r="BA244" s="33">
        <f>ROUND(SUM($B244:$K244)-SUM($AP243:$AY243),2)</f>
      </c>
      <c r="BB244" s="33">
        <f>SUM($AP244:$AY244)</f>
      </c>
      <c r="BC244" s="33">
        <f>ROUND(SUM($L244:$U244)+SUM($AF244:$AO244),2)</f>
      </c>
    </row>
    <row r="245" spans="1:55" x14ac:dyDescent="0.25">
      <c r="A245">
        <v>238</v>
      </c>
      <c r="B245" s="33">
        <f>IF(AP244&lt;=0,0,ROUND(AP244+ROUND(AP244*V$3/12,2),2))</f>
      </c>
      <c r="C245" s="33">
        <f>IF(AQ244&lt;=0,0,ROUND(AQ244+ROUND(AQ244*W$3/12,2),2))</f>
      </c>
      <c r="D245" s="33">
        <f>IF(AR244&lt;=0,0,ROUND(AR244+ROUND(AR244*X$3/12,2),2))</f>
      </c>
      <c r="E245" s="33">
        <f>IF(AS244&lt;=0,0,ROUND(AS244+ROUND(AS244*Y$3/12,2),2))</f>
      </c>
      <c r="F245" s="33">
        <f>IF(AT244&lt;=0,0,ROUND(AT244+ROUND(AT244*Z$3/12,2),2))</f>
      </c>
      <c r="G245" s="33">
        <f>IF(AU244&lt;=0,0,ROUND(AU244+ROUND(AU244*AA$3/12,2),2))</f>
      </c>
      <c r="H245" s="33">
        <f>IF(AV244&lt;=0,0,ROUND(AV244+ROUND(AV244*AB$3/12,2),2))</f>
      </c>
      <c r="I245" s="33">
        <f>IF(AW244&lt;=0,0,ROUND(AW244+ROUND(AW244*AC$3/12,2),2))</f>
      </c>
      <c r="J245" s="33">
        <f>IF(AX244&lt;=0,0,ROUND(AX244+ROUND(AX244*AD$3/12,2),2))</f>
      </c>
      <c r="K245" s="33">
        <f>IF(AY244&lt;=0,0,ROUND(AY244+ROUND(AY244*AE$3/12,2),2))</f>
      </c>
      <c r="L245" s="33">
        <f>ROUND(MIN(MAX(0,N('Your debts'!$E$6)),B245),2)</f>
      </c>
      <c r="M245" s="33">
        <f>ROUND(MIN(MAX(0,N('Your debts'!$E$7)),C245),2)</f>
      </c>
      <c r="N245" s="33">
        <f>ROUND(MIN(MAX(0,N('Your debts'!$E$8)),D245),2)</f>
      </c>
      <c r="O245" s="33">
        <f>ROUND(MIN(MAX(0,N('Your debts'!$E$9)),E245),2)</f>
      </c>
      <c r="P245" s="33">
        <f>ROUND(MIN(MAX(0,N('Your debts'!$E$10)),F245),2)</f>
      </c>
      <c r="Q245" s="33">
        <f>ROUND(MIN(MAX(0,N('Your debts'!$E$11)),G245),2)</f>
      </c>
      <c r="R245" s="33">
        <f>ROUND(MIN(MAX(0,N('Your debts'!$E$12)),H245),2)</f>
      </c>
      <c r="S245" s="33">
        <f>ROUND(MIN(MAX(0,N('Your debts'!$E$13)),I245),2)</f>
      </c>
      <c r="T245" s="33">
        <f>ROUND(MIN(MAX(0,N('Your debts'!$E$14)),J245),2)</f>
      </c>
      <c r="U245" s="33">
        <f>ROUND(MIN(MAX(0,N('Your debts'!$E$15)),K245),2)</f>
      </c>
      <c r="V245" s="33">
        <f>ROUND(B245-L245,2)</f>
      </c>
      <c r="W245" s="33">
        <f>ROUND(C245-M245,2)</f>
      </c>
      <c r="X245" s="33">
        <f>ROUND(D245-N245,2)</f>
      </c>
      <c r="Y245" s="33">
        <f>ROUND(E245-O245,2)</f>
      </c>
      <c r="Z245" s="33">
        <f>ROUND(F245-P245,2)</f>
      </c>
      <c r="AA245" s="33">
        <f>ROUND(G245-Q245,2)</f>
      </c>
      <c r="AB245" s="33">
        <f>ROUND(H245-R245,2)</f>
      </c>
      <c r="AC245" s="33">
        <f>ROUND(I245-S245,2)</f>
      </c>
      <c r="AD245" s="33">
        <f>ROUND(J245-T245,2)</f>
      </c>
      <c r="AE245" s="33">
        <f>ROUND(K245-U245,2)</f>
      </c>
      <c r="AF245" s="33">
        <f>IF(V245&lt;=0,0,MAX(0,MIN(V245,ROUND($AZ245-SUMPRODUCT($V245:$AE245*($V245:$AE245&gt;0)*(($V$3:$AE$3&gt;V$3)+($V$3:$AE$3=V$3)*($V245:$AE245&lt;V245)+($V$3:$AE$3=V$3)*($V245:$AE245=V245)*($V$2:$AE$2&lt;V$2))),2))))</f>
      </c>
      <c r="AG245" s="33">
        <f>IF(W245&lt;=0,0,MAX(0,MIN(W245,ROUND($AZ245-SUMPRODUCT($V245:$AE245*($V245:$AE245&gt;0)*(($V$3:$AE$3&gt;W$3)+($V$3:$AE$3=W$3)*($V245:$AE245&lt;W245)+($V$3:$AE$3=W$3)*($V245:$AE245=W245)*($V$2:$AE$2&lt;W$2))),2))))</f>
      </c>
      <c r="AH245" s="33">
        <f>IF(X245&lt;=0,0,MAX(0,MIN(X245,ROUND($AZ245-SUMPRODUCT($V245:$AE245*($V245:$AE245&gt;0)*(($V$3:$AE$3&gt;X$3)+($V$3:$AE$3=X$3)*($V245:$AE245&lt;X245)+($V$3:$AE$3=X$3)*($V245:$AE245=X245)*($V$2:$AE$2&lt;X$2))),2))))</f>
      </c>
      <c r="AI245" s="33">
        <f>IF(Y245&lt;=0,0,MAX(0,MIN(Y245,ROUND($AZ245-SUMPRODUCT($V245:$AE245*($V245:$AE245&gt;0)*(($V$3:$AE$3&gt;Y$3)+($V$3:$AE$3=Y$3)*($V245:$AE245&lt;Y245)+($V$3:$AE$3=Y$3)*($V245:$AE245=Y245)*($V$2:$AE$2&lt;Y$2))),2))))</f>
      </c>
      <c r="AJ245" s="33">
        <f>IF(Z245&lt;=0,0,MAX(0,MIN(Z245,ROUND($AZ245-SUMPRODUCT($V245:$AE245*($V245:$AE245&gt;0)*(($V$3:$AE$3&gt;Z$3)+($V$3:$AE$3=Z$3)*($V245:$AE245&lt;Z245)+($V$3:$AE$3=Z$3)*($V245:$AE245=Z245)*($V$2:$AE$2&lt;Z$2))),2))))</f>
      </c>
      <c r="AK245" s="33">
        <f>IF(AA245&lt;=0,0,MAX(0,MIN(AA245,ROUND($AZ245-SUMPRODUCT($V245:$AE245*($V245:$AE245&gt;0)*(($V$3:$AE$3&gt;AA$3)+($V$3:$AE$3=AA$3)*($V245:$AE245&lt;AA245)+($V$3:$AE$3=AA$3)*($V245:$AE245=AA245)*($V$2:$AE$2&lt;AA$2))),2))))</f>
      </c>
      <c r="AL245" s="33">
        <f>IF(AB245&lt;=0,0,MAX(0,MIN(AB245,ROUND($AZ245-SUMPRODUCT($V245:$AE245*($V245:$AE245&gt;0)*(($V$3:$AE$3&gt;AB$3)+($V$3:$AE$3=AB$3)*($V245:$AE245&lt;AB245)+($V$3:$AE$3=AB$3)*($V245:$AE245=AB245)*($V$2:$AE$2&lt;AB$2))),2))))</f>
      </c>
      <c r="AM245" s="33">
        <f>IF(AC245&lt;=0,0,MAX(0,MIN(AC245,ROUND($AZ245-SUMPRODUCT($V245:$AE245*($V245:$AE245&gt;0)*(($V$3:$AE$3&gt;AC$3)+($V$3:$AE$3=AC$3)*($V245:$AE245&lt;AC245)+($V$3:$AE$3=AC$3)*($V245:$AE245=AC245)*($V$2:$AE$2&lt;AC$2))),2))))</f>
      </c>
      <c r="AN245" s="33">
        <f>IF(AD245&lt;=0,0,MAX(0,MIN(AD245,ROUND($AZ245-SUMPRODUCT($V245:$AE245*($V245:$AE245&gt;0)*(($V$3:$AE$3&gt;AD$3)+($V$3:$AE$3=AD$3)*($V245:$AE245&lt;AD245)+($V$3:$AE$3=AD$3)*($V245:$AE245=AD245)*($V$2:$AE$2&lt;AD$2))),2))))</f>
      </c>
      <c r="AO245" s="33">
        <f>IF(AE245&lt;=0,0,MAX(0,MIN(AE245,ROUND($AZ245-SUMPRODUCT($V245:$AE245*($V245:$AE245&gt;0)*(($V$3:$AE$3&gt;AE$3)+($V$3:$AE$3=AE$3)*($V245:$AE245&lt;AE245)+($V$3:$AE$3=AE$3)*($V245:$AE245=AE245)*($V$2:$AE$2&lt;AE$2))),2))))</f>
      </c>
      <c r="AP245" s="33">
        <f>ROUND(V245-AF245,2)</f>
      </c>
      <c r="AQ245" s="33">
        <f>ROUND(W245-AG245,2)</f>
      </c>
      <c r="AR245" s="33">
        <f>ROUND(X245-AH245,2)</f>
      </c>
      <c r="AS245" s="33">
        <f>ROUND(Y245-AI245,2)</f>
      </c>
      <c r="AT245" s="33">
        <f>ROUND(Z245-AJ245,2)</f>
      </c>
      <c r="AU245" s="33">
        <f>ROUND(AA245-AK245,2)</f>
      </c>
      <c r="AV245" s="33">
        <f>ROUND(AB245-AL245,2)</f>
      </c>
      <c r="AW245" s="33">
        <f>ROUND(AC245-AM245,2)</f>
      </c>
      <c r="AX245" s="33">
        <f>ROUND(AD245-AN245,2)</f>
      </c>
      <c r="AY245" s="33">
        <f>ROUND(AE245-AO245,2)</f>
      </c>
      <c r="AZ245" s="33">
        <f>ROUND(MAX(0,'Your debts'!$D$22-SUM($L245:$U245)),2)</f>
      </c>
      <c r="BA245" s="33">
        <f>ROUND(SUM($B245:$K245)-SUM($AP244:$AY244),2)</f>
      </c>
      <c r="BB245" s="33">
        <f>SUM($AP245:$AY245)</f>
      </c>
      <c r="BC245" s="33">
        <f>ROUND(SUM($L245:$U245)+SUM($AF245:$AO245),2)</f>
      </c>
    </row>
    <row r="246" spans="1:55" x14ac:dyDescent="0.25">
      <c r="A246">
        <v>239</v>
      </c>
      <c r="B246" s="33">
        <f>IF(AP245&lt;=0,0,ROUND(AP245+ROUND(AP245*V$3/12,2),2))</f>
      </c>
      <c r="C246" s="33">
        <f>IF(AQ245&lt;=0,0,ROUND(AQ245+ROUND(AQ245*W$3/12,2),2))</f>
      </c>
      <c r="D246" s="33">
        <f>IF(AR245&lt;=0,0,ROUND(AR245+ROUND(AR245*X$3/12,2),2))</f>
      </c>
      <c r="E246" s="33">
        <f>IF(AS245&lt;=0,0,ROUND(AS245+ROUND(AS245*Y$3/12,2),2))</f>
      </c>
      <c r="F246" s="33">
        <f>IF(AT245&lt;=0,0,ROUND(AT245+ROUND(AT245*Z$3/12,2),2))</f>
      </c>
      <c r="G246" s="33">
        <f>IF(AU245&lt;=0,0,ROUND(AU245+ROUND(AU245*AA$3/12,2),2))</f>
      </c>
      <c r="H246" s="33">
        <f>IF(AV245&lt;=0,0,ROUND(AV245+ROUND(AV245*AB$3/12,2),2))</f>
      </c>
      <c r="I246" s="33">
        <f>IF(AW245&lt;=0,0,ROUND(AW245+ROUND(AW245*AC$3/12,2),2))</f>
      </c>
      <c r="J246" s="33">
        <f>IF(AX245&lt;=0,0,ROUND(AX245+ROUND(AX245*AD$3/12,2),2))</f>
      </c>
      <c r="K246" s="33">
        <f>IF(AY245&lt;=0,0,ROUND(AY245+ROUND(AY245*AE$3/12,2),2))</f>
      </c>
      <c r="L246" s="33">
        <f>ROUND(MIN(MAX(0,N('Your debts'!$E$6)),B246),2)</f>
      </c>
      <c r="M246" s="33">
        <f>ROUND(MIN(MAX(0,N('Your debts'!$E$7)),C246),2)</f>
      </c>
      <c r="N246" s="33">
        <f>ROUND(MIN(MAX(0,N('Your debts'!$E$8)),D246),2)</f>
      </c>
      <c r="O246" s="33">
        <f>ROUND(MIN(MAX(0,N('Your debts'!$E$9)),E246),2)</f>
      </c>
      <c r="P246" s="33">
        <f>ROUND(MIN(MAX(0,N('Your debts'!$E$10)),F246),2)</f>
      </c>
      <c r="Q246" s="33">
        <f>ROUND(MIN(MAX(0,N('Your debts'!$E$11)),G246),2)</f>
      </c>
      <c r="R246" s="33">
        <f>ROUND(MIN(MAX(0,N('Your debts'!$E$12)),H246),2)</f>
      </c>
      <c r="S246" s="33">
        <f>ROUND(MIN(MAX(0,N('Your debts'!$E$13)),I246),2)</f>
      </c>
      <c r="T246" s="33">
        <f>ROUND(MIN(MAX(0,N('Your debts'!$E$14)),J246),2)</f>
      </c>
      <c r="U246" s="33">
        <f>ROUND(MIN(MAX(0,N('Your debts'!$E$15)),K246),2)</f>
      </c>
      <c r="V246" s="33">
        <f>ROUND(B246-L246,2)</f>
      </c>
      <c r="W246" s="33">
        <f>ROUND(C246-M246,2)</f>
      </c>
      <c r="X246" s="33">
        <f>ROUND(D246-N246,2)</f>
      </c>
      <c r="Y246" s="33">
        <f>ROUND(E246-O246,2)</f>
      </c>
      <c r="Z246" s="33">
        <f>ROUND(F246-P246,2)</f>
      </c>
      <c r="AA246" s="33">
        <f>ROUND(G246-Q246,2)</f>
      </c>
      <c r="AB246" s="33">
        <f>ROUND(H246-R246,2)</f>
      </c>
      <c r="AC246" s="33">
        <f>ROUND(I246-S246,2)</f>
      </c>
      <c r="AD246" s="33">
        <f>ROUND(J246-T246,2)</f>
      </c>
      <c r="AE246" s="33">
        <f>ROUND(K246-U246,2)</f>
      </c>
      <c r="AF246" s="33">
        <f>IF(V246&lt;=0,0,MAX(0,MIN(V246,ROUND($AZ246-SUMPRODUCT($V246:$AE246*($V246:$AE246&gt;0)*(($V$3:$AE$3&gt;V$3)+($V$3:$AE$3=V$3)*($V246:$AE246&lt;V246)+($V$3:$AE$3=V$3)*($V246:$AE246=V246)*($V$2:$AE$2&lt;V$2))),2))))</f>
      </c>
      <c r="AG246" s="33">
        <f>IF(W246&lt;=0,0,MAX(0,MIN(W246,ROUND($AZ246-SUMPRODUCT($V246:$AE246*($V246:$AE246&gt;0)*(($V$3:$AE$3&gt;W$3)+($V$3:$AE$3=W$3)*($V246:$AE246&lt;W246)+($V$3:$AE$3=W$3)*($V246:$AE246=W246)*($V$2:$AE$2&lt;W$2))),2))))</f>
      </c>
      <c r="AH246" s="33">
        <f>IF(X246&lt;=0,0,MAX(0,MIN(X246,ROUND($AZ246-SUMPRODUCT($V246:$AE246*($V246:$AE246&gt;0)*(($V$3:$AE$3&gt;X$3)+($V$3:$AE$3=X$3)*($V246:$AE246&lt;X246)+($V$3:$AE$3=X$3)*($V246:$AE246=X246)*($V$2:$AE$2&lt;X$2))),2))))</f>
      </c>
      <c r="AI246" s="33">
        <f>IF(Y246&lt;=0,0,MAX(0,MIN(Y246,ROUND($AZ246-SUMPRODUCT($V246:$AE246*($V246:$AE246&gt;0)*(($V$3:$AE$3&gt;Y$3)+($V$3:$AE$3=Y$3)*($V246:$AE246&lt;Y246)+($V$3:$AE$3=Y$3)*($V246:$AE246=Y246)*($V$2:$AE$2&lt;Y$2))),2))))</f>
      </c>
      <c r="AJ246" s="33">
        <f>IF(Z246&lt;=0,0,MAX(0,MIN(Z246,ROUND($AZ246-SUMPRODUCT($V246:$AE246*($V246:$AE246&gt;0)*(($V$3:$AE$3&gt;Z$3)+($V$3:$AE$3=Z$3)*($V246:$AE246&lt;Z246)+($V$3:$AE$3=Z$3)*($V246:$AE246=Z246)*($V$2:$AE$2&lt;Z$2))),2))))</f>
      </c>
      <c r="AK246" s="33">
        <f>IF(AA246&lt;=0,0,MAX(0,MIN(AA246,ROUND($AZ246-SUMPRODUCT($V246:$AE246*($V246:$AE246&gt;0)*(($V$3:$AE$3&gt;AA$3)+($V$3:$AE$3=AA$3)*($V246:$AE246&lt;AA246)+($V$3:$AE$3=AA$3)*($V246:$AE246=AA246)*($V$2:$AE$2&lt;AA$2))),2))))</f>
      </c>
      <c r="AL246" s="33">
        <f>IF(AB246&lt;=0,0,MAX(0,MIN(AB246,ROUND($AZ246-SUMPRODUCT($V246:$AE246*($V246:$AE246&gt;0)*(($V$3:$AE$3&gt;AB$3)+($V$3:$AE$3=AB$3)*($V246:$AE246&lt;AB246)+($V$3:$AE$3=AB$3)*($V246:$AE246=AB246)*($V$2:$AE$2&lt;AB$2))),2))))</f>
      </c>
      <c r="AM246" s="33">
        <f>IF(AC246&lt;=0,0,MAX(0,MIN(AC246,ROUND($AZ246-SUMPRODUCT($V246:$AE246*($V246:$AE246&gt;0)*(($V$3:$AE$3&gt;AC$3)+($V$3:$AE$3=AC$3)*($V246:$AE246&lt;AC246)+($V$3:$AE$3=AC$3)*($V246:$AE246=AC246)*($V$2:$AE$2&lt;AC$2))),2))))</f>
      </c>
      <c r="AN246" s="33">
        <f>IF(AD246&lt;=0,0,MAX(0,MIN(AD246,ROUND($AZ246-SUMPRODUCT($V246:$AE246*($V246:$AE246&gt;0)*(($V$3:$AE$3&gt;AD$3)+($V$3:$AE$3=AD$3)*($V246:$AE246&lt;AD246)+($V$3:$AE$3=AD$3)*($V246:$AE246=AD246)*($V$2:$AE$2&lt;AD$2))),2))))</f>
      </c>
      <c r="AO246" s="33">
        <f>IF(AE246&lt;=0,0,MAX(0,MIN(AE246,ROUND($AZ246-SUMPRODUCT($V246:$AE246*($V246:$AE246&gt;0)*(($V$3:$AE$3&gt;AE$3)+($V$3:$AE$3=AE$3)*($V246:$AE246&lt;AE246)+($V$3:$AE$3=AE$3)*($V246:$AE246=AE246)*($V$2:$AE$2&lt;AE$2))),2))))</f>
      </c>
      <c r="AP246" s="33">
        <f>ROUND(V246-AF246,2)</f>
      </c>
      <c r="AQ246" s="33">
        <f>ROUND(W246-AG246,2)</f>
      </c>
      <c r="AR246" s="33">
        <f>ROUND(X246-AH246,2)</f>
      </c>
      <c r="AS246" s="33">
        <f>ROUND(Y246-AI246,2)</f>
      </c>
      <c r="AT246" s="33">
        <f>ROUND(Z246-AJ246,2)</f>
      </c>
      <c r="AU246" s="33">
        <f>ROUND(AA246-AK246,2)</f>
      </c>
      <c r="AV246" s="33">
        <f>ROUND(AB246-AL246,2)</f>
      </c>
      <c r="AW246" s="33">
        <f>ROUND(AC246-AM246,2)</f>
      </c>
      <c r="AX246" s="33">
        <f>ROUND(AD246-AN246,2)</f>
      </c>
      <c r="AY246" s="33">
        <f>ROUND(AE246-AO246,2)</f>
      </c>
      <c r="AZ246" s="33">
        <f>ROUND(MAX(0,'Your debts'!$D$22-SUM($L246:$U246)),2)</f>
      </c>
      <c r="BA246" s="33">
        <f>ROUND(SUM($B246:$K246)-SUM($AP245:$AY245),2)</f>
      </c>
      <c r="BB246" s="33">
        <f>SUM($AP246:$AY246)</f>
      </c>
      <c r="BC246" s="33">
        <f>ROUND(SUM($L246:$U246)+SUM($AF246:$AO246),2)</f>
      </c>
    </row>
    <row r="247" spans="1:55" x14ac:dyDescent="0.25">
      <c r="A247">
        <v>240</v>
      </c>
      <c r="B247" s="33">
        <f>IF(AP246&lt;=0,0,ROUND(AP246+ROUND(AP246*V$3/12,2),2))</f>
      </c>
      <c r="C247" s="33">
        <f>IF(AQ246&lt;=0,0,ROUND(AQ246+ROUND(AQ246*W$3/12,2),2))</f>
      </c>
      <c r="D247" s="33">
        <f>IF(AR246&lt;=0,0,ROUND(AR246+ROUND(AR246*X$3/12,2),2))</f>
      </c>
      <c r="E247" s="33">
        <f>IF(AS246&lt;=0,0,ROUND(AS246+ROUND(AS246*Y$3/12,2),2))</f>
      </c>
      <c r="F247" s="33">
        <f>IF(AT246&lt;=0,0,ROUND(AT246+ROUND(AT246*Z$3/12,2),2))</f>
      </c>
      <c r="G247" s="33">
        <f>IF(AU246&lt;=0,0,ROUND(AU246+ROUND(AU246*AA$3/12,2),2))</f>
      </c>
      <c r="H247" s="33">
        <f>IF(AV246&lt;=0,0,ROUND(AV246+ROUND(AV246*AB$3/12,2),2))</f>
      </c>
      <c r="I247" s="33">
        <f>IF(AW246&lt;=0,0,ROUND(AW246+ROUND(AW246*AC$3/12,2),2))</f>
      </c>
      <c r="J247" s="33">
        <f>IF(AX246&lt;=0,0,ROUND(AX246+ROUND(AX246*AD$3/12,2),2))</f>
      </c>
      <c r="K247" s="33">
        <f>IF(AY246&lt;=0,0,ROUND(AY246+ROUND(AY246*AE$3/12,2),2))</f>
      </c>
      <c r="L247" s="33">
        <f>ROUND(MIN(MAX(0,N('Your debts'!$E$6)),B247),2)</f>
      </c>
      <c r="M247" s="33">
        <f>ROUND(MIN(MAX(0,N('Your debts'!$E$7)),C247),2)</f>
      </c>
      <c r="N247" s="33">
        <f>ROUND(MIN(MAX(0,N('Your debts'!$E$8)),D247),2)</f>
      </c>
      <c r="O247" s="33">
        <f>ROUND(MIN(MAX(0,N('Your debts'!$E$9)),E247),2)</f>
      </c>
      <c r="P247" s="33">
        <f>ROUND(MIN(MAX(0,N('Your debts'!$E$10)),F247),2)</f>
      </c>
      <c r="Q247" s="33">
        <f>ROUND(MIN(MAX(0,N('Your debts'!$E$11)),G247),2)</f>
      </c>
      <c r="R247" s="33">
        <f>ROUND(MIN(MAX(0,N('Your debts'!$E$12)),H247),2)</f>
      </c>
      <c r="S247" s="33">
        <f>ROUND(MIN(MAX(0,N('Your debts'!$E$13)),I247),2)</f>
      </c>
      <c r="T247" s="33">
        <f>ROUND(MIN(MAX(0,N('Your debts'!$E$14)),J247),2)</f>
      </c>
      <c r="U247" s="33">
        <f>ROUND(MIN(MAX(0,N('Your debts'!$E$15)),K247),2)</f>
      </c>
      <c r="V247" s="33">
        <f>ROUND(B247-L247,2)</f>
      </c>
      <c r="W247" s="33">
        <f>ROUND(C247-M247,2)</f>
      </c>
      <c r="X247" s="33">
        <f>ROUND(D247-N247,2)</f>
      </c>
      <c r="Y247" s="33">
        <f>ROUND(E247-O247,2)</f>
      </c>
      <c r="Z247" s="33">
        <f>ROUND(F247-P247,2)</f>
      </c>
      <c r="AA247" s="33">
        <f>ROUND(G247-Q247,2)</f>
      </c>
      <c r="AB247" s="33">
        <f>ROUND(H247-R247,2)</f>
      </c>
      <c r="AC247" s="33">
        <f>ROUND(I247-S247,2)</f>
      </c>
      <c r="AD247" s="33">
        <f>ROUND(J247-T247,2)</f>
      </c>
      <c r="AE247" s="33">
        <f>ROUND(K247-U247,2)</f>
      </c>
      <c r="AF247" s="33">
        <f>IF(V247&lt;=0,0,MAX(0,MIN(V247,ROUND($AZ247-SUMPRODUCT($V247:$AE247*($V247:$AE247&gt;0)*(($V$3:$AE$3&gt;V$3)+($V$3:$AE$3=V$3)*($V247:$AE247&lt;V247)+($V$3:$AE$3=V$3)*($V247:$AE247=V247)*($V$2:$AE$2&lt;V$2))),2))))</f>
      </c>
      <c r="AG247" s="33">
        <f>IF(W247&lt;=0,0,MAX(0,MIN(W247,ROUND($AZ247-SUMPRODUCT($V247:$AE247*($V247:$AE247&gt;0)*(($V$3:$AE$3&gt;W$3)+($V$3:$AE$3=W$3)*($V247:$AE247&lt;W247)+($V$3:$AE$3=W$3)*($V247:$AE247=W247)*($V$2:$AE$2&lt;W$2))),2))))</f>
      </c>
      <c r="AH247" s="33">
        <f>IF(X247&lt;=0,0,MAX(0,MIN(X247,ROUND($AZ247-SUMPRODUCT($V247:$AE247*($V247:$AE247&gt;0)*(($V$3:$AE$3&gt;X$3)+($V$3:$AE$3=X$3)*($V247:$AE247&lt;X247)+($V$3:$AE$3=X$3)*($V247:$AE247=X247)*($V$2:$AE$2&lt;X$2))),2))))</f>
      </c>
      <c r="AI247" s="33">
        <f>IF(Y247&lt;=0,0,MAX(0,MIN(Y247,ROUND($AZ247-SUMPRODUCT($V247:$AE247*($V247:$AE247&gt;0)*(($V$3:$AE$3&gt;Y$3)+($V$3:$AE$3=Y$3)*($V247:$AE247&lt;Y247)+($V$3:$AE$3=Y$3)*($V247:$AE247=Y247)*($V$2:$AE$2&lt;Y$2))),2))))</f>
      </c>
      <c r="AJ247" s="33">
        <f>IF(Z247&lt;=0,0,MAX(0,MIN(Z247,ROUND($AZ247-SUMPRODUCT($V247:$AE247*($V247:$AE247&gt;0)*(($V$3:$AE$3&gt;Z$3)+($V$3:$AE$3=Z$3)*($V247:$AE247&lt;Z247)+($V$3:$AE$3=Z$3)*($V247:$AE247=Z247)*($V$2:$AE$2&lt;Z$2))),2))))</f>
      </c>
      <c r="AK247" s="33">
        <f>IF(AA247&lt;=0,0,MAX(0,MIN(AA247,ROUND($AZ247-SUMPRODUCT($V247:$AE247*($V247:$AE247&gt;0)*(($V$3:$AE$3&gt;AA$3)+($V$3:$AE$3=AA$3)*($V247:$AE247&lt;AA247)+($V$3:$AE$3=AA$3)*($V247:$AE247=AA247)*($V$2:$AE$2&lt;AA$2))),2))))</f>
      </c>
      <c r="AL247" s="33">
        <f>IF(AB247&lt;=0,0,MAX(0,MIN(AB247,ROUND($AZ247-SUMPRODUCT($V247:$AE247*($V247:$AE247&gt;0)*(($V$3:$AE$3&gt;AB$3)+($V$3:$AE$3=AB$3)*($V247:$AE247&lt;AB247)+($V$3:$AE$3=AB$3)*($V247:$AE247=AB247)*($V$2:$AE$2&lt;AB$2))),2))))</f>
      </c>
      <c r="AM247" s="33">
        <f>IF(AC247&lt;=0,0,MAX(0,MIN(AC247,ROUND($AZ247-SUMPRODUCT($V247:$AE247*($V247:$AE247&gt;0)*(($V$3:$AE$3&gt;AC$3)+($V$3:$AE$3=AC$3)*($V247:$AE247&lt;AC247)+($V$3:$AE$3=AC$3)*($V247:$AE247=AC247)*($V$2:$AE$2&lt;AC$2))),2))))</f>
      </c>
      <c r="AN247" s="33">
        <f>IF(AD247&lt;=0,0,MAX(0,MIN(AD247,ROUND($AZ247-SUMPRODUCT($V247:$AE247*($V247:$AE247&gt;0)*(($V$3:$AE$3&gt;AD$3)+($V$3:$AE$3=AD$3)*($V247:$AE247&lt;AD247)+($V$3:$AE$3=AD$3)*($V247:$AE247=AD247)*($V$2:$AE$2&lt;AD$2))),2))))</f>
      </c>
      <c r="AO247" s="33">
        <f>IF(AE247&lt;=0,0,MAX(0,MIN(AE247,ROUND($AZ247-SUMPRODUCT($V247:$AE247*($V247:$AE247&gt;0)*(($V$3:$AE$3&gt;AE$3)+($V$3:$AE$3=AE$3)*($V247:$AE247&lt;AE247)+($V$3:$AE$3=AE$3)*($V247:$AE247=AE247)*($V$2:$AE$2&lt;AE$2))),2))))</f>
      </c>
      <c r="AP247" s="33">
        <f>ROUND(V247-AF247,2)</f>
      </c>
      <c r="AQ247" s="33">
        <f>ROUND(W247-AG247,2)</f>
      </c>
      <c r="AR247" s="33">
        <f>ROUND(X247-AH247,2)</f>
      </c>
      <c r="AS247" s="33">
        <f>ROUND(Y247-AI247,2)</f>
      </c>
      <c r="AT247" s="33">
        <f>ROUND(Z247-AJ247,2)</f>
      </c>
      <c r="AU247" s="33">
        <f>ROUND(AA247-AK247,2)</f>
      </c>
      <c r="AV247" s="33">
        <f>ROUND(AB247-AL247,2)</f>
      </c>
      <c r="AW247" s="33">
        <f>ROUND(AC247-AM247,2)</f>
      </c>
      <c r="AX247" s="33">
        <f>ROUND(AD247-AN247,2)</f>
      </c>
      <c r="AY247" s="33">
        <f>ROUND(AE247-AO247,2)</f>
      </c>
      <c r="AZ247" s="33">
        <f>ROUND(MAX(0,'Your debts'!$D$22-SUM($L247:$U247)),2)</f>
      </c>
      <c r="BA247" s="33">
        <f>ROUND(SUM($B247:$K247)-SUM($AP246:$AY246),2)</f>
      </c>
      <c r="BB247" s="33">
        <f>SUM($AP247:$AY247)</f>
      </c>
      <c r="BC247" s="33">
        <f>ROUND(SUM($L247:$U247)+SUM($AF247:$AO247),2)</f>
      </c>
    </row>
    <row r="248" spans="1:55" x14ac:dyDescent="0.25">
      <c r="A248">
        <v>241</v>
      </c>
      <c r="B248" s="33">
        <f>IF(AP247&lt;=0,0,ROUND(AP247+ROUND(AP247*V$3/12,2),2))</f>
      </c>
      <c r="C248" s="33">
        <f>IF(AQ247&lt;=0,0,ROUND(AQ247+ROUND(AQ247*W$3/12,2),2))</f>
      </c>
      <c r="D248" s="33">
        <f>IF(AR247&lt;=0,0,ROUND(AR247+ROUND(AR247*X$3/12,2),2))</f>
      </c>
      <c r="E248" s="33">
        <f>IF(AS247&lt;=0,0,ROUND(AS247+ROUND(AS247*Y$3/12,2),2))</f>
      </c>
      <c r="F248" s="33">
        <f>IF(AT247&lt;=0,0,ROUND(AT247+ROUND(AT247*Z$3/12,2),2))</f>
      </c>
      <c r="G248" s="33">
        <f>IF(AU247&lt;=0,0,ROUND(AU247+ROUND(AU247*AA$3/12,2),2))</f>
      </c>
      <c r="H248" s="33">
        <f>IF(AV247&lt;=0,0,ROUND(AV247+ROUND(AV247*AB$3/12,2),2))</f>
      </c>
      <c r="I248" s="33">
        <f>IF(AW247&lt;=0,0,ROUND(AW247+ROUND(AW247*AC$3/12,2),2))</f>
      </c>
      <c r="J248" s="33">
        <f>IF(AX247&lt;=0,0,ROUND(AX247+ROUND(AX247*AD$3/12,2),2))</f>
      </c>
      <c r="K248" s="33">
        <f>IF(AY247&lt;=0,0,ROUND(AY247+ROUND(AY247*AE$3/12,2),2))</f>
      </c>
      <c r="L248" s="33">
        <f>ROUND(MIN(MAX(0,N('Your debts'!$E$6)),B248),2)</f>
      </c>
      <c r="M248" s="33">
        <f>ROUND(MIN(MAX(0,N('Your debts'!$E$7)),C248),2)</f>
      </c>
      <c r="N248" s="33">
        <f>ROUND(MIN(MAX(0,N('Your debts'!$E$8)),D248),2)</f>
      </c>
      <c r="O248" s="33">
        <f>ROUND(MIN(MAX(0,N('Your debts'!$E$9)),E248),2)</f>
      </c>
      <c r="P248" s="33">
        <f>ROUND(MIN(MAX(0,N('Your debts'!$E$10)),F248),2)</f>
      </c>
      <c r="Q248" s="33">
        <f>ROUND(MIN(MAX(0,N('Your debts'!$E$11)),G248),2)</f>
      </c>
      <c r="R248" s="33">
        <f>ROUND(MIN(MAX(0,N('Your debts'!$E$12)),H248),2)</f>
      </c>
      <c r="S248" s="33">
        <f>ROUND(MIN(MAX(0,N('Your debts'!$E$13)),I248),2)</f>
      </c>
      <c r="T248" s="33">
        <f>ROUND(MIN(MAX(0,N('Your debts'!$E$14)),J248),2)</f>
      </c>
      <c r="U248" s="33">
        <f>ROUND(MIN(MAX(0,N('Your debts'!$E$15)),K248),2)</f>
      </c>
      <c r="V248" s="33">
        <f>ROUND(B248-L248,2)</f>
      </c>
      <c r="W248" s="33">
        <f>ROUND(C248-M248,2)</f>
      </c>
      <c r="X248" s="33">
        <f>ROUND(D248-N248,2)</f>
      </c>
      <c r="Y248" s="33">
        <f>ROUND(E248-O248,2)</f>
      </c>
      <c r="Z248" s="33">
        <f>ROUND(F248-P248,2)</f>
      </c>
      <c r="AA248" s="33">
        <f>ROUND(G248-Q248,2)</f>
      </c>
      <c r="AB248" s="33">
        <f>ROUND(H248-R248,2)</f>
      </c>
      <c r="AC248" s="33">
        <f>ROUND(I248-S248,2)</f>
      </c>
      <c r="AD248" s="33">
        <f>ROUND(J248-T248,2)</f>
      </c>
      <c r="AE248" s="33">
        <f>ROUND(K248-U248,2)</f>
      </c>
      <c r="AF248" s="33">
        <f>IF(V248&lt;=0,0,MAX(0,MIN(V248,ROUND($AZ248-SUMPRODUCT($V248:$AE248*($V248:$AE248&gt;0)*(($V$3:$AE$3&gt;V$3)+($V$3:$AE$3=V$3)*($V248:$AE248&lt;V248)+($V$3:$AE$3=V$3)*($V248:$AE248=V248)*($V$2:$AE$2&lt;V$2))),2))))</f>
      </c>
      <c r="AG248" s="33">
        <f>IF(W248&lt;=0,0,MAX(0,MIN(W248,ROUND($AZ248-SUMPRODUCT($V248:$AE248*($V248:$AE248&gt;0)*(($V$3:$AE$3&gt;W$3)+($V$3:$AE$3=W$3)*($V248:$AE248&lt;W248)+($V$3:$AE$3=W$3)*($V248:$AE248=W248)*($V$2:$AE$2&lt;W$2))),2))))</f>
      </c>
      <c r="AH248" s="33">
        <f>IF(X248&lt;=0,0,MAX(0,MIN(X248,ROUND($AZ248-SUMPRODUCT($V248:$AE248*($V248:$AE248&gt;0)*(($V$3:$AE$3&gt;X$3)+($V$3:$AE$3=X$3)*($V248:$AE248&lt;X248)+($V$3:$AE$3=X$3)*($V248:$AE248=X248)*($V$2:$AE$2&lt;X$2))),2))))</f>
      </c>
      <c r="AI248" s="33">
        <f>IF(Y248&lt;=0,0,MAX(0,MIN(Y248,ROUND($AZ248-SUMPRODUCT($V248:$AE248*($V248:$AE248&gt;0)*(($V$3:$AE$3&gt;Y$3)+($V$3:$AE$3=Y$3)*($V248:$AE248&lt;Y248)+($V$3:$AE$3=Y$3)*($V248:$AE248=Y248)*($V$2:$AE$2&lt;Y$2))),2))))</f>
      </c>
      <c r="AJ248" s="33">
        <f>IF(Z248&lt;=0,0,MAX(0,MIN(Z248,ROUND($AZ248-SUMPRODUCT($V248:$AE248*($V248:$AE248&gt;0)*(($V$3:$AE$3&gt;Z$3)+($V$3:$AE$3=Z$3)*($V248:$AE248&lt;Z248)+($V$3:$AE$3=Z$3)*($V248:$AE248=Z248)*($V$2:$AE$2&lt;Z$2))),2))))</f>
      </c>
      <c r="AK248" s="33">
        <f>IF(AA248&lt;=0,0,MAX(0,MIN(AA248,ROUND($AZ248-SUMPRODUCT($V248:$AE248*($V248:$AE248&gt;0)*(($V$3:$AE$3&gt;AA$3)+($V$3:$AE$3=AA$3)*($V248:$AE248&lt;AA248)+($V$3:$AE$3=AA$3)*($V248:$AE248=AA248)*($V$2:$AE$2&lt;AA$2))),2))))</f>
      </c>
      <c r="AL248" s="33">
        <f>IF(AB248&lt;=0,0,MAX(0,MIN(AB248,ROUND($AZ248-SUMPRODUCT($V248:$AE248*($V248:$AE248&gt;0)*(($V$3:$AE$3&gt;AB$3)+($V$3:$AE$3=AB$3)*($V248:$AE248&lt;AB248)+($V$3:$AE$3=AB$3)*($V248:$AE248=AB248)*($V$2:$AE$2&lt;AB$2))),2))))</f>
      </c>
      <c r="AM248" s="33">
        <f>IF(AC248&lt;=0,0,MAX(0,MIN(AC248,ROUND($AZ248-SUMPRODUCT($V248:$AE248*($V248:$AE248&gt;0)*(($V$3:$AE$3&gt;AC$3)+($V$3:$AE$3=AC$3)*($V248:$AE248&lt;AC248)+($V$3:$AE$3=AC$3)*($V248:$AE248=AC248)*($V$2:$AE$2&lt;AC$2))),2))))</f>
      </c>
      <c r="AN248" s="33">
        <f>IF(AD248&lt;=0,0,MAX(0,MIN(AD248,ROUND($AZ248-SUMPRODUCT($V248:$AE248*($V248:$AE248&gt;0)*(($V$3:$AE$3&gt;AD$3)+($V$3:$AE$3=AD$3)*($V248:$AE248&lt;AD248)+($V$3:$AE$3=AD$3)*($V248:$AE248=AD248)*($V$2:$AE$2&lt;AD$2))),2))))</f>
      </c>
      <c r="AO248" s="33">
        <f>IF(AE248&lt;=0,0,MAX(0,MIN(AE248,ROUND($AZ248-SUMPRODUCT($V248:$AE248*($V248:$AE248&gt;0)*(($V$3:$AE$3&gt;AE$3)+($V$3:$AE$3=AE$3)*($V248:$AE248&lt;AE248)+($V$3:$AE$3=AE$3)*($V248:$AE248=AE248)*($V$2:$AE$2&lt;AE$2))),2))))</f>
      </c>
      <c r="AP248" s="33">
        <f>ROUND(V248-AF248,2)</f>
      </c>
      <c r="AQ248" s="33">
        <f>ROUND(W248-AG248,2)</f>
      </c>
      <c r="AR248" s="33">
        <f>ROUND(X248-AH248,2)</f>
      </c>
      <c r="AS248" s="33">
        <f>ROUND(Y248-AI248,2)</f>
      </c>
      <c r="AT248" s="33">
        <f>ROUND(Z248-AJ248,2)</f>
      </c>
      <c r="AU248" s="33">
        <f>ROUND(AA248-AK248,2)</f>
      </c>
      <c r="AV248" s="33">
        <f>ROUND(AB248-AL248,2)</f>
      </c>
      <c r="AW248" s="33">
        <f>ROUND(AC248-AM248,2)</f>
      </c>
      <c r="AX248" s="33">
        <f>ROUND(AD248-AN248,2)</f>
      </c>
      <c r="AY248" s="33">
        <f>ROUND(AE248-AO248,2)</f>
      </c>
      <c r="AZ248" s="33">
        <f>ROUND(MAX(0,'Your debts'!$D$22-SUM($L248:$U248)),2)</f>
      </c>
      <c r="BA248" s="33">
        <f>ROUND(SUM($B248:$K248)-SUM($AP247:$AY247),2)</f>
      </c>
      <c r="BB248" s="33">
        <f>SUM($AP248:$AY248)</f>
      </c>
      <c r="BC248" s="33">
        <f>ROUND(SUM($L248:$U248)+SUM($AF248:$AO248),2)</f>
      </c>
    </row>
    <row r="249" spans="1:55" x14ac:dyDescent="0.25">
      <c r="A249">
        <v>242</v>
      </c>
      <c r="B249" s="33">
        <f>IF(AP248&lt;=0,0,ROUND(AP248+ROUND(AP248*V$3/12,2),2))</f>
      </c>
      <c r="C249" s="33">
        <f>IF(AQ248&lt;=0,0,ROUND(AQ248+ROUND(AQ248*W$3/12,2),2))</f>
      </c>
      <c r="D249" s="33">
        <f>IF(AR248&lt;=0,0,ROUND(AR248+ROUND(AR248*X$3/12,2),2))</f>
      </c>
      <c r="E249" s="33">
        <f>IF(AS248&lt;=0,0,ROUND(AS248+ROUND(AS248*Y$3/12,2),2))</f>
      </c>
      <c r="F249" s="33">
        <f>IF(AT248&lt;=0,0,ROUND(AT248+ROUND(AT248*Z$3/12,2),2))</f>
      </c>
      <c r="G249" s="33">
        <f>IF(AU248&lt;=0,0,ROUND(AU248+ROUND(AU248*AA$3/12,2),2))</f>
      </c>
      <c r="H249" s="33">
        <f>IF(AV248&lt;=0,0,ROUND(AV248+ROUND(AV248*AB$3/12,2),2))</f>
      </c>
      <c r="I249" s="33">
        <f>IF(AW248&lt;=0,0,ROUND(AW248+ROUND(AW248*AC$3/12,2),2))</f>
      </c>
      <c r="J249" s="33">
        <f>IF(AX248&lt;=0,0,ROUND(AX248+ROUND(AX248*AD$3/12,2),2))</f>
      </c>
      <c r="K249" s="33">
        <f>IF(AY248&lt;=0,0,ROUND(AY248+ROUND(AY248*AE$3/12,2),2))</f>
      </c>
      <c r="L249" s="33">
        <f>ROUND(MIN(MAX(0,N('Your debts'!$E$6)),B249),2)</f>
      </c>
      <c r="M249" s="33">
        <f>ROUND(MIN(MAX(0,N('Your debts'!$E$7)),C249),2)</f>
      </c>
      <c r="N249" s="33">
        <f>ROUND(MIN(MAX(0,N('Your debts'!$E$8)),D249),2)</f>
      </c>
      <c r="O249" s="33">
        <f>ROUND(MIN(MAX(0,N('Your debts'!$E$9)),E249),2)</f>
      </c>
      <c r="P249" s="33">
        <f>ROUND(MIN(MAX(0,N('Your debts'!$E$10)),F249),2)</f>
      </c>
      <c r="Q249" s="33">
        <f>ROUND(MIN(MAX(0,N('Your debts'!$E$11)),G249),2)</f>
      </c>
      <c r="R249" s="33">
        <f>ROUND(MIN(MAX(0,N('Your debts'!$E$12)),H249),2)</f>
      </c>
      <c r="S249" s="33">
        <f>ROUND(MIN(MAX(0,N('Your debts'!$E$13)),I249),2)</f>
      </c>
      <c r="T249" s="33">
        <f>ROUND(MIN(MAX(0,N('Your debts'!$E$14)),J249),2)</f>
      </c>
      <c r="U249" s="33">
        <f>ROUND(MIN(MAX(0,N('Your debts'!$E$15)),K249),2)</f>
      </c>
      <c r="V249" s="33">
        <f>ROUND(B249-L249,2)</f>
      </c>
      <c r="W249" s="33">
        <f>ROUND(C249-M249,2)</f>
      </c>
      <c r="X249" s="33">
        <f>ROUND(D249-N249,2)</f>
      </c>
      <c r="Y249" s="33">
        <f>ROUND(E249-O249,2)</f>
      </c>
      <c r="Z249" s="33">
        <f>ROUND(F249-P249,2)</f>
      </c>
      <c r="AA249" s="33">
        <f>ROUND(G249-Q249,2)</f>
      </c>
      <c r="AB249" s="33">
        <f>ROUND(H249-R249,2)</f>
      </c>
      <c r="AC249" s="33">
        <f>ROUND(I249-S249,2)</f>
      </c>
      <c r="AD249" s="33">
        <f>ROUND(J249-T249,2)</f>
      </c>
      <c r="AE249" s="33">
        <f>ROUND(K249-U249,2)</f>
      </c>
      <c r="AF249" s="33">
        <f>IF(V249&lt;=0,0,MAX(0,MIN(V249,ROUND($AZ249-SUMPRODUCT($V249:$AE249*($V249:$AE249&gt;0)*(($V$3:$AE$3&gt;V$3)+($V$3:$AE$3=V$3)*($V249:$AE249&lt;V249)+($V$3:$AE$3=V$3)*($V249:$AE249=V249)*($V$2:$AE$2&lt;V$2))),2))))</f>
      </c>
      <c r="AG249" s="33">
        <f>IF(W249&lt;=0,0,MAX(0,MIN(W249,ROUND($AZ249-SUMPRODUCT($V249:$AE249*($V249:$AE249&gt;0)*(($V$3:$AE$3&gt;W$3)+($V$3:$AE$3=W$3)*($V249:$AE249&lt;W249)+($V$3:$AE$3=W$3)*($V249:$AE249=W249)*($V$2:$AE$2&lt;W$2))),2))))</f>
      </c>
      <c r="AH249" s="33">
        <f>IF(X249&lt;=0,0,MAX(0,MIN(X249,ROUND($AZ249-SUMPRODUCT($V249:$AE249*($V249:$AE249&gt;0)*(($V$3:$AE$3&gt;X$3)+($V$3:$AE$3=X$3)*($V249:$AE249&lt;X249)+($V$3:$AE$3=X$3)*($V249:$AE249=X249)*($V$2:$AE$2&lt;X$2))),2))))</f>
      </c>
      <c r="AI249" s="33">
        <f>IF(Y249&lt;=0,0,MAX(0,MIN(Y249,ROUND($AZ249-SUMPRODUCT($V249:$AE249*($V249:$AE249&gt;0)*(($V$3:$AE$3&gt;Y$3)+($V$3:$AE$3=Y$3)*($V249:$AE249&lt;Y249)+($V$3:$AE$3=Y$3)*($V249:$AE249=Y249)*($V$2:$AE$2&lt;Y$2))),2))))</f>
      </c>
      <c r="AJ249" s="33">
        <f>IF(Z249&lt;=0,0,MAX(0,MIN(Z249,ROUND($AZ249-SUMPRODUCT($V249:$AE249*($V249:$AE249&gt;0)*(($V$3:$AE$3&gt;Z$3)+($V$3:$AE$3=Z$3)*($V249:$AE249&lt;Z249)+($V$3:$AE$3=Z$3)*($V249:$AE249=Z249)*($V$2:$AE$2&lt;Z$2))),2))))</f>
      </c>
      <c r="AK249" s="33">
        <f>IF(AA249&lt;=0,0,MAX(0,MIN(AA249,ROUND($AZ249-SUMPRODUCT($V249:$AE249*($V249:$AE249&gt;0)*(($V$3:$AE$3&gt;AA$3)+($V$3:$AE$3=AA$3)*($V249:$AE249&lt;AA249)+($V$3:$AE$3=AA$3)*($V249:$AE249=AA249)*($V$2:$AE$2&lt;AA$2))),2))))</f>
      </c>
      <c r="AL249" s="33">
        <f>IF(AB249&lt;=0,0,MAX(0,MIN(AB249,ROUND($AZ249-SUMPRODUCT($V249:$AE249*($V249:$AE249&gt;0)*(($V$3:$AE$3&gt;AB$3)+($V$3:$AE$3=AB$3)*($V249:$AE249&lt;AB249)+($V$3:$AE$3=AB$3)*($V249:$AE249=AB249)*($V$2:$AE$2&lt;AB$2))),2))))</f>
      </c>
      <c r="AM249" s="33">
        <f>IF(AC249&lt;=0,0,MAX(0,MIN(AC249,ROUND($AZ249-SUMPRODUCT($V249:$AE249*($V249:$AE249&gt;0)*(($V$3:$AE$3&gt;AC$3)+($V$3:$AE$3=AC$3)*($V249:$AE249&lt;AC249)+($V$3:$AE$3=AC$3)*($V249:$AE249=AC249)*($V$2:$AE$2&lt;AC$2))),2))))</f>
      </c>
      <c r="AN249" s="33">
        <f>IF(AD249&lt;=0,0,MAX(0,MIN(AD249,ROUND($AZ249-SUMPRODUCT($V249:$AE249*($V249:$AE249&gt;0)*(($V$3:$AE$3&gt;AD$3)+($V$3:$AE$3=AD$3)*($V249:$AE249&lt;AD249)+($V$3:$AE$3=AD$3)*($V249:$AE249=AD249)*($V$2:$AE$2&lt;AD$2))),2))))</f>
      </c>
      <c r="AO249" s="33">
        <f>IF(AE249&lt;=0,0,MAX(0,MIN(AE249,ROUND($AZ249-SUMPRODUCT($V249:$AE249*($V249:$AE249&gt;0)*(($V$3:$AE$3&gt;AE$3)+($V$3:$AE$3=AE$3)*($V249:$AE249&lt;AE249)+($V$3:$AE$3=AE$3)*($V249:$AE249=AE249)*($V$2:$AE$2&lt;AE$2))),2))))</f>
      </c>
      <c r="AP249" s="33">
        <f>ROUND(V249-AF249,2)</f>
      </c>
      <c r="AQ249" s="33">
        <f>ROUND(W249-AG249,2)</f>
      </c>
      <c r="AR249" s="33">
        <f>ROUND(X249-AH249,2)</f>
      </c>
      <c r="AS249" s="33">
        <f>ROUND(Y249-AI249,2)</f>
      </c>
      <c r="AT249" s="33">
        <f>ROUND(Z249-AJ249,2)</f>
      </c>
      <c r="AU249" s="33">
        <f>ROUND(AA249-AK249,2)</f>
      </c>
      <c r="AV249" s="33">
        <f>ROUND(AB249-AL249,2)</f>
      </c>
      <c r="AW249" s="33">
        <f>ROUND(AC249-AM249,2)</f>
      </c>
      <c r="AX249" s="33">
        <f>ROUND(AD249-AN249,2)</f>
      </c>
      <c r="AY249" s="33">
        <f>ROUND(AE249-AO249,2)</f>
      </c>
      <c r="AZ249" s="33">
        <f>ROUND(MAX(0,'Your debts'!$D$22-SUM($L249:$U249)),2)</f>
      </c>
      <c r="BA249" s="33">
        <f>ROUND(SUM($B249:$K249)-SUM($AP248:$AY248),2)</f>
      </c>
      <c r="BB249" s="33">
        <f>SUM($AP249:$AY249)</f>
      </c>
      <c r="BC249" s="33">
        <f>ROUND(SUM($L249:$U249)+SUM($AF249:$AO249),2)</f>
      </c>
    </row>
    <row r="250" spans="1:55" x14ac:dyDescent="0.25">
      <c r="A250">
        <v>243</v>
      </c>
      <c r="B250" s="33">
        <f>IF(AP249&lt;=0,0,ROUND(AP249+ROUND(AP249*V$3/12,2),2))</f>
      </c>
      <c r="C250" s="33">
        <f>IF(AQ249&lt;=0,0,ROUND(AQ249+ROUND(AQ249*W$3/12,2),2))</f>
      </c>
      <c r="D250" s="33">
        <f>IF(AR249&lt;=0,0,ROUND(AR249+ROUND(AR249*X$3/12,2),2))</f>
      </c>
      <c r="E250" s="33">
        <f>IF(AS249&lt;=0,0,ROUND(AS249+ROUND(AS249*Y$3/12,2),2))</f>
      </c>
      <c r="F250" s="33">
        <f>IF(AT249&lt;=0,0,ROUND(AT249+ROUND(AT249*Z$3/12,2),2))</f>
      </c>
      <c r="G250" s="33">
        <f>IF(AU249&lt;=0,0,ROUND(AU249+ROUND(AU249*AA$3/12,2),2))</f>
      </c>
      <c r="H250" s="33">
        <f>IF(AV249&lt;=0,0,ROUND(AV249+ROUND(AV249*AB$3/12,2),2))</f>
      </c>
      <c r="I250" s="33">
        <f>IF(AW249&lt;=0,0,ROUND(AW249+ROUND(AW249*AC$3/12,2),2))</f>
      </c>
      <c r="J250" s="33">
        <f>IF(AX249&lt;=0,0,ROUND(AX249+ROUND(AX249*AD$3/12,2),2))</f>
      </c>
      <c r="K250" s="33">
        <f>IF(AY249&lt;=0,0,ROUND(AY249+ROUND(AY249*AE$3/12,2),2))</f>
      </c>
      <c r="L250" s="33">
        <f>ROUND(MIN(MAX(0,N('Your debts'!$E$6)),B250),2)</f>
      </c>
      <c r="M250" s="33">
        <f>ROUND(MIN(MAX(0,N('Your debts'!$E$7)),C250),2)</f>
      </c>
      <c r="N250" s="33">
        <f>ROUND(MIN(MAX(0,N('Your debts'!$E$8)),D250),2)</f>
      </c>
      <c r="O250" s="33">
        <f>ROUND(MIN(MAX(0,N('Your debts'!$E$9)),E250),2)</f>
      </c>
      <c r="P250" s="33">
        <f>ROUND(MIN(MAX(0,N('Your debts'!$E$10)),F250),2)</f>
      </c>
      <c r="Q250" s="33">
        <f>ROUND(MIN(MAX(0,N('Your debts'!$E$11)),G250),2)</f>
      </c>
      <c r="R250" s="33">
        <f>ROUND(MIN(MAX(0,N('Your debts'!$E$12)),H250),2)</f>
      </c>
      <c r="S250" s="33">
        <f>ROUND(MIN(MAX(0,N('Your debts'!$E$13)),I250),2)</f>
      </c>
      <c r="T250" s="33">
        <f>ROUND(MIN(MAX(0,N('Your debts'!$E$14)),J250),2)</f>
      </c>
      <c r="U250" s="33">
        <f>ROUND(MIN(MAX(0,N('Your debts'!$E$15)),K250),2)</f>
      </c>
      <c r="V250" s="33">
        <f>ROUND(B250-L250,2)</f>
      </c>
      <c r="W250" s="33">
        <f>ROUND(C250-M250,2)</f>
      </c>
      <c r="X250" s="33">
        <f>ROUND(D250-N250,2)</f>
      </c>
      <c r="Y250" s="33">
        <f>ROUND(E250-O250,2)</f>
      </c>
      <c r="Z250" s="33">
        <f>ROUND(F250-P250,2)</f>
      </c>
      <c r="AA250" s="33">
        <f>ROUND(G250-Q250,2)</f>
      </c>
      <c r="AB250" s="33">
        <f>ROUND(H250-R250,2)</f>
      </c>
      <c r="AC250" s="33">
        <f>ROUND(I250-S250,2)</f>
      </c>
      <c r="AD250" s="33">
        <f>ROUND(J250-T250,2)</f>
      </c>
      <c r="AE250" s="33">
        <f>ROUND(K250-U250,2)</f>
      </c>
      <c r="AF250" s="33">
        <f>IF(V250&lt;=0,0,MAX(0,MIN(V250,ROUND($AZ250-SUMPRODUCT($V250:$AE250*($V250:$AE250&gt;0)*(($V$3:$AE$3&gt;V$3)+($V$3:$AE$3=V$3)*($V250:$AE250&lt;V250)+($V$3:$AE$3=V$3)*($V250:$AE250=V250)*($V$2:$AE$2&lt;V$2))),2))))</f>
      </c>
      <c r="AG250" s="33">
        <f>IF(W250&lt;=0,0,MAX(0,MIN(W250,ROUND($AZ250-SUMPRODUCT($V250:$AE250*($V250:$AE250&gt;0)*(($V$3:$AE$3&gt;W$3)+($V$3:$AE$3=W$3)*($V250:$AE250&lt;W250)+($V$3:$AE$3=W$3)*($V250:$AE250=W250)*($V$2:$AE$2&lt;W$2))),2))))</f>
      </c>
      <c r="AH250" s="33">
        <f>IF(X250&lt;=0,0,MAX(0,MIN(X250,ROUND($AZ250-SUMPRODUCT($V250:$AE250*($V250:$AE250&gt;0)*(($V$3:$AE$3&gt;X$3)+($V$3:$AE$3=X$3)*($V250:$AE250&lt;X250)+($V$3:$AE$3=X$3)*($V250:$AE250=X250)*($V$2:$AE$2&lt;X$2))),2))))</f>
      </c>
      <c r="AI250" s="33">
        <f>IF(Y250&lt;=0,0,MAX(0,MIN(Y250,ROUND($AZ250-SUMPRODUCT($V250:$AE250*($V250:$AE250&gt;0)*(($V$3:$AE$3&gt;Y$3)+($V$3:$AE$3=Y$3)*($V250:$AE250&lt;Y250)+($V$3:$AE$3=Y$3)*($V250:$AE250=Y250)*($V$2:$AE$2&lt;Y$2))),2))))</f>
      </c>
      <c r="AJ250" s="33">
        <f>IF(Z250&lt;=0,0,MAX(0,MIN(Z250,ROUND($AZ250-SUMPRODUCT($V250:$AE250*($V250:$AE250&gt;0)*(($V$3:$AE$3&gt;Z$3)+($V$3:$AE$3=Z$3)*($V250:$AE250&lt;Z250)+($V$3:$AE$3=Z$3)*($V250:$AE250=Z250)*($V$2:$AE$2&lt;Z$2))),2))))</f>
      </c>
      <c r="AK250" s="33">
        <f>IF(AA250&lt;=0,0,MAX(0,MIN(AA250,ROUND($AZ250-SUMPRODUCT($V250:$AE250*($V250:$AE250&gt;0)*(($V$3:$AE$3&gt;AA$3)+($V$3:$AE$3=AA$3)*($V250:$AE250&lt;AA250)+($V$3:$AE$3=AA$3)*($V250:$AE250=AA250)*($V$2:$AE$2&lt;AA$2))),2))))</f>
      </c>
      <c r="AL250" s="33">
        <f>IF(AB250&lt;=0,0,MAX(0,MIN(AB250,ROUND($AZ250-SUMPRODUCT($V250:$AE250*($V250:$AE250&gt;0)*(($V$3:$AE$3&gt;AB$3)+($V$3:$AE$3=AB$3)*($V250:$AE250&lt;AB250)+($V$3:$AE$3=AB$3)*($V250:$AE250=AB250)*($V$2:$AE$2&lt;AB$2))),2))))</f>
      </c>
      <c r="AM250" s="33">
        <f>IF(AC250&lt;=0,0,MAX(0,MIN(AC250,ROUND($AZ250-SUMPRODUCT($V250:$AE250*($V250:$AE250&gt;0)*(($V$3:$AE$3&gt;AC$3)+($V$3:$AE$3=AC$3)*($V250:$AE250&lt;AC250)+($V$3:$AE$3=AC$3)*($V250:$AE250=AC250)*($V$2:$AE$2&lt;AC$2))),2))))</f>
      </c>
      <c r="AN250" s="33">
        <f>IF(AD250&lt;=0,0,MAX(0,MIN(AD250,ROUND($AZ250-SUMPRODUCT($V250:$AE250*($V250:$AE250&gt;0)*(($V$3:$AE$3&gt;AD$3)+($V$3:$AE$3=AD$3)*($V250:$AE250&lt;AD250)+($V$3:$AE$3=AD$3)*($V250:$AE250=AD250)*($V$2:$AE$2&lt;AD$2))),2))))</f>
      </c>
      <c r="AO250" s="33">
        <f>IF(AE250&lt;=0,0,MAX(0,MIN(AE250,ROUND($AZ250-SUMPRODUCT($V250:$AE250*($V250:$AE250&gt;0)*(($V$3:$AE$3&gt;AE$3)+($V$3:$AE$3=AE$3)*($V250:$AE250&lt;AE250)+($V$3:$AE$3=AE$3)*($V250:$AE250=AE250)*($V$2:$AE$2&lt;AE$2))),2))))</f>
      </c>
      <c r="AP250" s="33">
        <f>ROUND(V250-AF250,2)</f>
      </c>
      <c r="AQ250" s="33">
        <f>ROUND(W250-AG250,2)</f>
      </c>
      <c r="AR250" s="33">
        <f>ROUND(X250-AH250,2)</f>
      </c>
      <c r="AS250" s="33">
        <f>ROUND(Y250-AI250,2)</f>
      </c>
      <c r="AT250" s="33">
        <f>ROUND(Z250-AJ250,2)</f>
      </c>
      <c r="AU250" s="33">
        <f>ROUND(AA250-AK250,2)</f>
      </c>
      <c r="AV250" s="33">
        <f>ROUND(AB250-AL250,2)</f>
      </c>
      <c r="AW250" s="33">
        <f>ROUND(AC250-AM250,2)</f>
      </c>
      <c r="AX250" s="33">
        <f>ROUND(AD250-AN250,2)</f>
      </c>
      <c r="AY250" s="33">
        <f>ROUND(AE250-AO250,2)</f>
      </c>
      <c r="AZ250" s="33">
        <f>ROUND(MAX(0,'Your debts'!$D$22-SUM($L250:$U250)),2)</f>
      </c>
      <c r="BA250" s="33">
        <f>ROUND(SUM($B250:$K250)-SUM($AP249:$AY249),2)</f>
      </c>
      <c r="BB250" s="33">
        <f>SUM($AP250:$AY250)</f>
      </c>
      <c r="BC250" s="33">
        <f>ROUND(SUM($L250:$U250)+SUM($AF250:$AO250),2)</f>
      </c>
    </row>
    <row r="251" spans="1:55" x14ac:dyDescent="0.25">
      <c r="A251">
        <v>244</v>
      </c>
      <c r="B251" s="33">
        <f>IF(AP250&lt;=0,0,ROUND(AP250+ROUND(AP250*V$3/12,2),2))</f>
      </c>
      <c r="C251" s="33">
        <f>IF(AQ250&lt;=0,0,ROUND(AQ250+ROUND(AQ250*W$3/12,2),2))</f>
      </c>
      <c r="D251" s="33">
        <f>IF(AR250&lt;=0,0,ROUND(AR250+ROUND(AR250*X$3/12,2),2))</f>
      </c>
      <c r="E251" s="33">
        <f>IF(AS250&lt;=0,0,ROUND(AS250+ROUND(AS250*Y$3/12,2),2))</f>
      </c>
      <c r="F251" s="33">
        <f>IF(AT250&lt;=0,0,ROUND(AT250+ROUND(AT250*Z$3/12,2),2))</f>
      </c>
      <c r="G251" s="33">
        <f>IF(AU250&lt;=0,0,ROUND(AU250+ROUND(AU250*AA$3/12,2),2))</f>
      </c>
      <c r="H251" s="33">
        <f>IF(AV250&lt;=0,0,ROUND(AV250+ROUND(AV250*AB$3/12,2),2))</f>
      </c>
      <c r="I251" s="33">
        <f>IF(AW250&lt;=0,0,ROUND(AW250+ROUND(AW250*AC$3/12,2),2))</f>
      </c>
      <c r="J251" s="33">
        <f>IF(AX250&lt;=0,0,ROUND(AX250+ROUND(AX250*AD$3/12,2),2))</f>
      </c>
      <c r="K251" s="33">
        <f>IF(AY250&lt;=0,0,ROUND(AY250+ROUND(AY250*AE$3/12,2),2))</f>
      </c>
      <c r="L251" s="33">
        <f>ROUND(MIN(MAX(0,N('Your debts'!$E$6)),B251),2)</f>
      </c>
      <c r="M251" s="33">
        <f>ROUND(MIN(MAX(0,N('Your debts'!$E$7)),C251),2)</f>
      </c>
      <c r="N251" s="33">
        <f>ROUND(MIN(MAX(0,N('Your debts'!$E$8)),D251),2)</f>
      </c>
      <c r="O251" s="33">
        <f>ROUND(MIN(MAX(0,N('Your debts'!$E$9)),E251),2)</f>
      </c>
      <c r="P251" s="33">
        <f>ROUND(MIN(MAX(0,N('Your debts'!$E$10)),F251),2)</f>
      </c>
      <c r="Q251" s="33">
        <f>ROUND(MIN(MAX(0,N('Your debts'!$E$11)),G251),2)</f>
      </c>
      <c r="R251" s="33">
        <f>ROUND(MIN(MAX(0,N('Your debts'!$E$12)),H251),2)</f>
      </c>
      <c r="S251" s="33">
        <f>ROUND(MIN(MAX(0,N('Your debts'!$E$13)),I251),2)</f>
      </c>
      <c r="T251" s="33">
        <f>ROUND(MIN(MAX(0,N('Your debts'!$E$14)),J251),2)</f>
      </c>
      <c r="U251" s="33">
        <f>ROUND(MIN(MAX(0,N('Your debts'!$E$15)),K251),2)</f>
      </c>
      <c r="V251" s="33">
        <f>ROUND(B251-L251,2)</f>
      </c>
      <c r="W251" s="33">
        <f>ROUND(C251-M251,2)</f>
      </c>
      <c r="X251" s="33">
        <f>ROUND(D251-N251,2)</f>
      </c>
      <c r="Y251" s="33">
        <f>ROUND(E251-O251,2)</f>
      </c>
      <c r="Z251" s="33">
        <f>ROUND(F251-P251,2)</f>
      </c>
      <c r="AA251" s="33">
        <f>ROUND(G251-Q251,2)</f>
      </c>
      <c r="AB251" s="33">
        <f>ROUND(H251-R251,2)</f>
      </c>
      <c r="AC251" s="33">
        <f>ROUND(I251-S251,2)</f>
      </c>
      <c r="AD251" s="33">
        <f>ROUND(J251-T251,2)</f>
      </c>
      <c r="AE251" s="33">
        <f>ROUND(K251-U251,2)</f>
      </c>
      <c r="AF251" s="33">
        <f>IF(V251&lt;=0,0,MAX(0,MIN(V251,ROUND($AZ251-SUMPRODUCT($V251:$AE251*($V251:$AE251&gt;0)*(($V$3:$AE$3&gt;V$3)+($V$3:$AE$3=V$3)*($V251:$AE251&lt;V251)+($V$3:$AE$3=V$3)*($V251:$AE251=V251)*($V$2:$AE$2&lt;V$2))),2))))</f>
      </c>
      <c r="AG251" s="33">
        <f>IF(W251&lt;=0,0,MAX(0,MIN(W251,ROUND($AZ251-SUMPRODUCT($V251:$AE251*($V251:$AE251&gt;0)*(($V$3:$AE$3&gt;W$3)+($V$3:$AE$3=W$3)*($V251:$AE251&lt;W251)+($V$3:$AE$3=W$3)*($V251:$AE251=W251)*($V$2:$AE$2&lt;W$2))),2))))</f>
      </c>
      <c r="AH251" s="33">
        <f>IF(X251&lt;=0,0,MAX(0,MIN(X251,ROUND($AZ251-SUMPRODUCT($V251:$AE251*($V251:$AE251&gt;0)*(($V$3:$AE$3&gt;X$3)+($V$3:$AE$3=X$3)*($V251:$AE251&lt;X251)+($V$3:$AE$3=X$3)*($V251:$AE251=X251)*($V$2:$AE$2&lt;X$2))),2))))</f>
      </c>
      <c r="AI251" s="33">
        <f>IF(Y251&lt;=0,0,MAX(0,MIN(Y251,ROUND($AZ251-SUMPRODUCT($V251:$AE251*($V251:$AE251&gt;0)*(($V$3:$AE$3&gt;Y$3)+($V$3:$AE$3=Y$3)*($V251:$AE251&lt;Y251)+($V$3:$AE$3=Y$3)*($V251:$AE251=Y251)*($V$2:$AE$2&lt;Y$2))),2))))</f>
      </c>
      <c r="AJ251" s="33">
        <f>IF(Z251&lt;=0,0,MAX(0,MIN(Z251,ROUND($AZ251-SUMPRODUCT($V251:$AE251*($V251:$AE251&gt;0)*(($V$3:$AE$3&gt;Z$3)+($V$3:$AE$3=Z$3)*($V251:$AE251&lt;Z251)+($V$3:$AE$3=Z$3)*($V251:$AE251=Z251)*($V$2:$AE$2&lt;Z$2))),2))))</f>
      </c>
      <c r="AK251" s="33">
        <f>IF(AA251&lt;=0,0,MAX(0,MIN(AA251,ROUND($AZ251-SUMPRODUCT($V251:$AE251*($V251:$AE251&gt;0)*(($V$3:$AE$3&gt;AA$3)+($V$3:$AE$3=AA$3)*($V251:$AE251&lt;AA251)+($V$3:$AE$3=AA$3)*($V251:$AE251=AA251)*($V$2:$AE$2&lt;AA$2))),2))))</f>
      </c>
      <c r="AL251" s="33">
        <f>IF(AB251&lt;=0,0,MAX(0,MIN(AB251,ROUND($AZ251-SUMPRODUCT($V251:$AE251*($V251:$AE251&gt;0)*(($V$3:$AE$3&gt;AB$3)+($V$3:$AE$3=AB$3)*($V251:$AE251&lt;AB251)+($V$3:$AE$3=AB$3)*($V251:$AE251=AB251)*($V$2:$AE$2&lt;AB$2))),2))))</f>
      </c>
      <c r="AM251" s="33">
        <f>IF(AC251&lt;=0,0,MAX(0,MIN(AC251,ROUND($AZ251-SUMPRODUCT($V251:$AE251*($V251:$AE251&gt;0)*(($V$3:$AE$3&gt;AC$3)+($V$3:$AE$3=AC$3)*($V251:$AE251&lt;AC251)+($V$3:$AE$3=AC$3)*($V251:$AE251=AC251)*($V$2:$AE$2&lt;AC$2))),2))))</f>
      </c>
      <c r="AN251" s="33">
        <f>IF(AD251&lt;=0,0,MAX(0,MIN(AD251,ROUND($AZ251-SUMPRODUCT($V251:$AE251*($V251:$AE251&gt;0)*(($V$3:$AE$3&gt;AD$3)+($V$3:$AE$3=AD$3)*($V251:$AE251&lt;AD251)+($V$3:$AE$3=AD$3)*($V251:$AE251=AD251)*($V$2:$AE$2&lt;AD$2))),2))))</f>
      </c>
      <c r="AO251" s="33">
        <f>IF(AE251&lt;=0,0,MAX(0,MIN(AE251,ROUND($AZ251-SUMPRODUCT($V251:$AE251*($V251:$AE251&gt;0)*(($V$3:$AE$3&gt;AE$3)+($V$3:$AE$3=AE$3)*($V251:$AE251&lt;AE251)+($V$3:$AE$3=AE$3)*($V251:$AE251=AE251)*($V$2:$AE$2&lt;AE$2))),2))))</f>
      </c>
      <c r="AP251" s="33">
        <f>ROUND(V251-AF251,2)</f>
      </c>
      <c r="AQ251" s="33">
        <f>ROUND(W251-AG251,2)</f>
      </c>
      <c r="AR251" s="33">
        <f>ROUND(X251-AH251,2)</f>
      </c>
      <c r="AS251" s="33">
        <f>ROUND(Y251-AI251,2)</f>
      </c>
      <c r="AT251" s="33">
        <f>ROUND(Z251-AJ251,2)</f>
      </c>
      <c r="AU251" s="33">
        <f>ROUND(AA251-AK251,2)</f>
      </c>
      <c r="AV251" s="33">
        <f>ROUND(AB251-AL251,2)</f>
      </c>
      <c r="AW251" s="33">
        <f>ROUND(AC251-AM251,2)</f>
      </c>
      <c r="AX251" s="33">
        <f>ROUND(AD251-AN251,2)</f>
      </c>
      <c r="AY251" s="33">
        <f>ROUND(AE251-AO251,2)</f>
      </c>
      <c r="AZ251" s="33">
        <f>ROUND(MAX(0,'Your debts'!$D$22-SUM($L251:$U251)),2)</f>
      </c>
      <c r="BA251" s="33">
        <f>ROUND(SUM($B251:$K251)-SUM($AP250:$AY250),2)</f>
      </c>
      <c r="BB251" s="33">
        <f>SUM($AP251:$AY251)</f>
      </c>
      <c r="BC251" s="33">
        <f>ROUND(SUM($L251:$U251)+SUM($AF251:$AO251),2)</f>
      </c>
    </row>
    <row r="252" spans="1:55" x14ac:dyDescent="0.25">
      <c r="A252">
        <v>245</v>
      </c>
      <c r="B252" s="33">
        <f>IF(AP251&lt;=0,0,ROUND(AP251+ROUND(AP251*V$3/12,2),2))</f>
      </c>
      <c r="C252" s="33">
        <f>IF(AQ251&lt;=0,0,ROUND(AQ251+ROUND(AQ251*W$3/12,2),2))</f>
      </c>
      <c r="D252" s="33">
        <f>IF(AR251&lt;=0,0,ROUND(AR251+ROUND(AR251*X$3/12,2),2))</f>
      </c>
      <c r="E252" s="33">
        <f>IF(AS251&lt;=0,0,ROUND(AS251+ROUND(AS251*Y$3/12,2),2))</f>
      </c>
      <c r="F252" s="33">
        <f>IF(AT251&lt;=0,0,ROUND(AT251+ROUND(AT251*Z$3/12,2),2))</f>
      </c>
      <c r="G252" s="33">
        <f>IF(AU251&lt;=0,0,ROUND(AU251+ROUND(AU251*AA$3/12,2),2))</f>
      </c>
      <c r="H252" s="33">
        <f>IF(AV251&lt;=0,0,ROUND(AV251+ROUND(AV251*AB$3/12,2),2))</f>
      </c>
      <c r="I252" s="33">
        <f>IF(AW251&lt;=0,0,ROUND(AW251+ROUND(AW251*AC$3/12,2),2))</f>
      </c>
      <c r="J252" s="33">
        <f>IF(AX251&lt;=0,0,ROUND(AX251+ROUND(AX251*AD$3/12,2),2))</f>
      </c>
      <c r="K252" s="33">
        <f>IF(AY251&lt;=0,0,ROUND(AY251+ROUND(AY251*AE$3/12,2),2))</f>
      </c>
      <c r="L252" s="33">
        <f>ROUND(MIN(MAX(0,N('Your debts'!$E$6)),B252),2)</f>
      </c>
      <c r="M252" s="33">
        <f>ROUND(MIN(MAX(0,N('Your debts'!$E$7)),C252),2)</f>
      </c>
      <c r="N252" s="33">
        <f>ROUND(MIN(MAX(0,N('Your debts'!$E$8)),D252),2)</f>
      </c>
      <c r="O252" s="33">
        <f>ROUND(MIN(MAX(0,N('Your debts'!$E$9)),E252),2)</f>
      </c>
      <c r="P252" s="33">
        <f>ROUND(MIN(MAX(0,N('Your debts'!$E$10)),F252),2)</f>
      </c>
      <c r="Q252" s="33">
        <f>ROUND(MIN(MAX(0,N('Your debts'!$E$11)),G252),2)</f>
      </c>
      <c r="R252" s="33">
        <f>ROUND(MIN(MAX(0,N('Your debts'!$E$12)),H252),2)</f>
      </c>
      <c r="S252" s="33">
        <f>ROUND(MIN(MAX(0,N('Your debts'!$E$13)),I252),2)</f>
      </c>
      <c r="T252" s="33">
        <f>ROUND(MIN(MAX(0,N('Your debts'!$E$14)),J252),2)</f>
      </c>
      <c r="U252" s="33">
        <f>ROUND(MIN(MAX(0,N('Your debts'!$E$15)),K252),2)</f>
      </c>
      <c r="V252" s="33">
        <f>ROUND(B252-L252,2)</f>
      </c>
      <c r="W252" s="33">
        <f>ROUND(C252-M252,2)</f>
      </c>
      <c r="X252" s="33">
        <f>ROUND(D252-N252,2)</f>
      </c>
      <c r="Y252" s="33">
        <f>ROUND(E252-O252,2)</f>
      </c>
      <c r="Z252" s="33">
        <f>ROUND(F252-P252,2)</f>
      </c>
      <c r="AA252" s="33">
        <f>ROUND(G252-Q252,2)</f>
      </c>
      <c r="AB252" s="33">
        <f>ROUND(H252-R252,2)</f>
      </c>
      <c r="AC252" s="33">
        <f>ROUND(I252-S252,2)</f>
      </c>
      <c r="AD252" s="33">
        <f>ROUND(J252-T252,2)</f>
      </c>
      <c r="AE252" s="33">
        <f>ROUND(K252-U252,2)</f>
      </c>
      <c r="AF252" s="33">
        <f>IF(V252&lt;=0,0,MAX(0,MIN(V252,ROUND($AZ252-SUMPRODUCT($V252:$AE252*($V252:$AE252&gt;0)*(($V$3:$AE$3&gt;V$3)+($V$3:$AE$3=V$3)*($V252:$AE252&lt;V252)+($V$3:$AE$3=V$3)*($V252:$AE252=V252)*($V$2:$AE$2&lt;V$2))),2))))</f>
      </c>
      <c r="AG252" s="33">
        <f>IF(W252&lt;=0,0,MAX(0,MIN(W252,ROUND($AZ252-SUMPRODUCT($V252:$AE252*($V252:$AE252&gt;0)*(($V$3:$AE$3&gt;W$3)+($V$3:$AE$3=W$3)*($V252:$AE252&lt;W252)+($V$3:$AE$3=W$3)*($V252:$AE252=W252)*($V$2:$AE$2&lt;W$2))),2))))</f>
      </c>
      <c r="AH252" s="33">
        <f>IF(X252&lt;=0,0,MAX(0,MIN(X252,ROUND($AZ252-SUMPRODUCT($V252:$AE252*($V252:$AE252&gt;0)*(($V$3:$AE$3&gt;X$3)+($V$3:$AE$3=X$3)*($V252:$AE252&lt;X252)+($V$3:$AE$3=X$3)*($V252:$AE252=X252)*($V$2:$AE$2&lt;X$2))),2))))</f>
      </c>
      <c r="AI252" s="33">
        <f>IF(Y252&lt;=0,0,MAX(0,MIN(Y252,ROUND($AZ252-SUMPRODUCT($V252:$AE252*($V252:$AE252&gt;0)*(($V$3:$AE$3&gt;Y$3)+($V$3:$AE$3=Y$3)*($V252:$AE252&lt;Y252)+($V$3:$AE$3=Y$3)*($V252:$AE252=Y252)*($V$2:$AE$2&lt;Y$2))),2))))</f>
      </c>
      <c r="AJ252" s="33">
        <f>IF(Z252&lt;=0,0,MAX(0,MIN(Z252,ROUND($AZ252-SUMPRODUCT($V252:$AE252*($V252:$AE252&gt;0)*(($V$3:$AE$3&gt;Z$3)+($V$3:$AE$3=Z$3)*($V252:$AE252&lt;Z252)+($V$3:$AE$3=Z$3)*($V252:$AE252=Z252)*($V$2:$AE$2&lt;Z$2))),2))))</f>
      </c>
      <c r="AK252" s="33">
        <f>IF(AA252&lt;=0,0,MAX(0,MIN(AA252,ROUND($AZ252-SUMPRODUCT($V252:$AE252*($V252:$AE252&gt;0)*(($V$3:$AE$3&gt;AA$3)+($V$3:$AE$3=AA$3)*($V252:$AE252&lt;AA252)+($V$3:$AE$3=AA$3)*($V252:$AE252=AA252)*($V$2:$AE$2&lt;AA$2))),2))))</f>
      </c>
      <c r="AL252" s="33">
        <f>IF(AB252&lt;=0,0,MAX(0,MIN(AB252,ROUND($AZ252-SUMPRODUCT($V252:$AE252*($V252:$AE252&gt;0)*(($V$3:$AE$3&gt;AB$3)+($V$3:$AE$3=AB$3)*($V252:$AE252&lt;AB252)+($V$3:$AE$3=AB$3)*($V252:$AE252=AB252)*($V$2:$AE$2&lt;AB$2))),2))))</f>
      </c>
      <c r="AM252" s="33">
        <f>IF(AC252&lt;=0,0,MAX(0,MIN(AC252,ROUND($AZ252-SUMPRODUCT($V252:$AE252*($V252:$AE252&gt;0)*(($V$3:$AE$3&gt;AC$3)+($V$3:$AE$3=AC$3)*($V252:$AE252&lt;AC252)+($V$3:$AE$3=AC$3)*($V252:$AE252=AC252)*($V$2:$AE$2&lt;AC$2))),2))))</f>
      </c>
      <c r="AN252" s="33">
        <f>IF(AD252&lt;=0,0,MAX(0,MIN(AD252,ROUND($AZ252-SUMPRODUCT($V252:$AE252*($V252:$AE252&gt;0)*(($V$3:$AE$3&gt;AD$3)+($V$3:$AE$3=AD$3)*($V252:$AE252&lt;AD252)+($V$3:$AE$3=AD$3)*($V252:$AE252=AD252)*($V$2:$AE$2&lt;AD$2))),2))))</f>
      </c>
      <c r="AO252" s="33">
        <f>IF(AE252&lt;=0,0,MAX(0,MIN(AE252,ROUND($AZ252-SUMPRODUCT($V252:$AE252*($V252:$AE252&gt;0)*(($V$3:$AE$3&gt;AE$3)+($V$3:$AE$3=AE$3)*($V252:$AE252&lt;AE252)+($V$3:$AE$3=AE$3)*($V252:$AE252=AE252)*($V$2:$AE$2&lt;AE$2))),2))))</f>
      </c>
      <c r="AP252" s="33">
        <f>ROUND(V252-AF252,2)</f>
      </c>
      <c r="AQ252" s="33">
        <f>ROUND(W252-AG252,2)</f>
      </c>
      <c r="AR252" s="33">
        <f>ROUND(X252-AH252,2)</f>
      </c>
      <c r="AS252" s="33">
        <f>ROUND(Y252-AI252,2)</f>
      </c>
      <c r="AT252" s="33">
        <f>ROUND(Z252-AJ252,2)</f>
      </c>
      <c r="AU252" s="33">
        <f>ROUND(AA252-AK252,2)</f>
      </c>
      <c r="AV252" s="33">
        <f>ROUND(AB252-AL252,2)</f>
      </c>
      <c r="AW252" s="33">
        <f>ROUND(AC252-AM252,2)</f>
      </c>
      <c r="AX252" s="33">
        <f>ROUND(AD252-AN252,2)</f>
      </c>
      <c r="AY252" s="33">
        <f>ROUND(AE252-AO252,2)</f>
      </c>
      <c r="AZ252" s="33">
        <f>ROUND(MAX(0,'Your debts'!$D$22-SUM($L252:$U252)),2)</f>
      </c>
      <c r="BA252" s="33">
        <f>ROUND(SUM($B252:$K252)-SUM($AP251:$AY251),2)</f>
      </c>
      <c r="BB252" s="33">
        <f>SUM($AP252:$AY252)</f>
      </c>
      <c r="BC252" s="33">
        <f>ROUND(SUM($L252:$U252)+SUM($AF252:$AO252),2)</f>
      </c>
    </row>
    <row r="253" spans="1:55" x14ac:dyDescent="0.25">
      <c r="A253">
        <v>246</v>
      </c>
      <c r="B253" s="33">
        <f>IF(AP252&lt;=0,0,ROUND(AP252+ROUND(AP252*V$3/12,2),2))</f>
      </c>
      <c r="C253" s="33">
        <f>IF(AQ252&lt;=0,0,ROUND(AQ252+ROUND(AQ252*W$3/12,2),2))</f>
      </c>
      <c r="D253" s="33">
        <f>IF(AR252&lt;=0,0,ROUND(AR252+ROUND(AR252*X$3/12,2),2))</f>
      </c>
      <c r="E253" s="33">
        <f>IF(AS252&lt;=0,0,ROUND(AS252+ROUND(AS252*Y$3/12,2),2))</f>
      </c>
      <c r="F253" s="33">
        <f>IF(AT252&lt;=0,0,ROUND(AT252+ROUND(AT252*Z$3/12,2),2))</f>
      </c>
      <c r="G253" s="33">
        <f>IF(AU252&lt;=0,0,ROUND(AU252+ROUND(AU252*AA$3/12,2),2))</f>
      </c>
      <c r="H253" s="33">
        <f>IF(AV252&lt;=0,0,ROUND(AV252+ROUND(AV252*AB$3/12,2),2))</f>
      </c>
      <c r="I253" s="33">
        <f>IF(AW252&lt;=0,0,ROUND(AW252+ROUND(AW252*AC$3/12,2),2))</f>
      </c>
      <c r="J253" s="33">
        <f>IF(AX252&lt;=0,0,ROUND(AX252+ROUND(AX252*AD$3/12,2),2))</f>
      </c>
      <c r="K253" s="33">
        <f>IF(AY252&lt;=0,0,ROUND(AY252+ROUND(AY252*AE$3/12,2),2))</f>
      </c>
      <c r="L253" s="33">
        <f>ROUND(MIN(MAX(0,N('Your debts'!$E$6)),B253),2)</f>
      </c>
      <c r="M253" s="33">
        <f>ROUND(MIN(MAX(0,N('Your debts'!$E$7)),C253),2)</f>
      </c>
      <c r="N253" s="33">
        <f>ROUND(MIN(MAX(0,N('Your debts'!$E$8)),D253),2)</f>
      </c>
      <c r="O253" s="33">
        <f>ROUND(MIN(MAX(0,N('Your debts'!$E$9)),E253),2)</f>
      </c>
      <c r="P253" s="33">
        <f>ROUND(MIN(MAX(0,N('Your debts'!$E$10)),F253),2)</f>
      </c>
      <c r="Q253" s="33">
        <f>ROUND(MIN(MAX(0,N('Your debts'!$E$11)),G253),2)</f>
      </c>
      <c r="R253" s="33">
        <f>ROUND(MIN(MAX(0,N('Your debts'!$E$12)),H253),2)</f>
      </c>
      <c r="S253" s="33">
        <f>ROUND(MIN(MAX(0,N('Your debts'!$E$13)),I253),2)</f>
      </c>
      <c r="T253" s="33">
        <f>ROUND(MIN(MAX(0,N('Your debts'!$E$14)),J253),2)</f>
      </c>
      <c r="U253" s="33">
        <f>ROUND(MIN(MAX(0,N('Your debts'!$E$15)),K253),2)</f>
      </c>
      <c r="V253" s="33">
        <f>ROUND(B253-L253,2)</f>
      </c>
      <c r="W253" s="33">
        <f>ROUND(C253-M253,2)</f>
      </c>
      <c r="X253" s="33">
        <f>ROUND(D253-N253,2)</f>
      </c>
      <c r="Y253" s="33">
        <f>ROUND(E253-O253,2)</f>
      </c>
      <c r="Z253" s="33">
        <f>ROUND(F253-P253,2)</f>
      </c>
      <c r="AA253" s="33">
        <f>ROUND(G253-Q253,2)</f>
      </c>
      <c r="AB253" s="33">
        <f>ROUND(H253-R253,2)</f>
      </c>
      <c r="AC253" s="33">
        <f>ROUND(I253-S253,2)</f>
      </c>
      <c r="AD253" s="33">
        <f>ROUND(J253-T253,2)</f>
      </c>
      <c r="AE253" s="33">
        <f>ROUND(K253-U253,2)</f>
      </c>
      <c r="AF253" s="33">
        <f>IF(V253&lt;=0,0,MAX(0,MIN(V253,ROUND($AZ253-SUMPRODUCT($V253:$AE253*($V253:$AE253&gt;0)*(($V$3:$AE$3&gt;V$3)+($V$3:$AE$3=V$3)*($V253:$AE253&lt;V253)+($V$3:$AE$3=V$3)*($V253:$AE253=V253)*($V$2:$AE$2&lt;V$2))),2))))</f>
      </c>
      <c r="AG253" s="33">
        <f>IF(W253&lt;=0,0,MAX(0,MIN(W253,ROUND($AZ253-SUMPRODUCT($V253:$AE253*($V253:$AE253&gt;0)*(($V$3:$AE$3&gt;W$3)+($V$3:$AE$3=W$3)*($V253:$AE253&lt;W253)+($V$3:$AE$3=W$3)*($V253:$AE253=W253)*($V$2:$AE$2&lt;W$2))),2))))</f>
      </c>
      <c r="AH253" s="33">
        <f>IF(X253&lt;=0,0,MAX(0,MIN(X253,ROUND($AZ253-SUMPRODUCT($V253:$AE253*($V253:$AE253&gt;0)*(($V$3:$AE$3&gt;X$3)+($V$3:$AE$3=X$3)*($V253:$AE253&lt;X253)+($V$3:$AE$3=X$3)*($V253:$AE253=X253)*($V$2:$AE$2&lt;X$2))),2))))</f>
      </c>
      <c r="AI253" s="33">
        <f>IF(Y253&lt;=0,0,MAX(0,MIN(Y253,ROUND($AZ253-SUMPRODUCT($V253:$AE253*($V253:$AE253&gt;0)*(($V$3:$AE$3&gt;Y$3)+($V$3:$AE$3=Y$3)*($V253:$AE253&lt;Y253)+($V$3:$AE$3=Y$3)*($V253:$AE253=Y253)*($V$2:$AE$2&lt;Y$2))),2))))</f>
      </c>
      <c r="AJ253" s="33">
        <f>IF(Z253&lt;=0,0,MAX(0,MIN(Z253,ROUND($AZ253-SUMPRODUCT($V253:$AE253*($V253:$AE253&gt;0)*(($V$3:$AE$3&gt;Z$3)+($V$3:$AE$3=Z$3)*($V253:$AE253&lt;Z253)+($V$3:$AE$3=Z$3)*($V253:$AE253=Z253)*($V$2:$AE$2&lt;Z$2))),2))))</f>
      </c>
      <c r="AK253" s="33">
        <f>IF(AA253&lt;=0,0,MAX(0,MIN(AA253,ROUND($AZ253-SUMPRODUCT($V253:$AE253*($V253:$AE253&gt;0)*(($V$3:$AE$3&gt;AA$3)+($V$3:$AE$3=AA$3)*($V253:$AE253&lt;AA253)+($V$3:$AE$3=AA$3)*($V253:$AE253=AA253)*($V$2:$AE$2&lt;AA$2))),2))))</f>
      </c>
      <c r="AL253" s="33">
        <f>IF(AB253&lt;=0,0,MAX(0,MIN(AB253,ROUND($AZ253-SUMPRODUCT($V253:$AE253*($V253:$AE253&gt;0)*(($V$3:$AE$3&gt;AB$3)+($V$3:$AE$3=AB$3)*($V253:$AE253&lt;AB253)+($V$3:$AE$3=AB$3)*($V253:$AE253=AB253)*($V$2:$AE$2&lt;AB$2))),2))))</f>
      </c>
      <c r="AM253" s="33">
        <f>IF(AC253&lt;=0,0,MAX(0,MIN(AC253,ROUND($AZ253-SUMPRODUCT($V253:$AE253*($V253:$AE253&gt;0)*(($V$3:$AE$3&gt;AC$3)+($V$3:$AE$3=AC$3)*($V253:$AE253&lt;AC253)+($V$3:$AE$3=AC$3)*($V253:$AE253=AC253)*($V$2:$AE$2&lt;AC$2))),2))))</f>
      </c>
      <c r="AN253" s="33">
        <f>IF(AD253&lt;=0,0,MAX(0,MIN(AD253,ROUND($AZ253-SUMPRODUCT($V253:$AE253*($V253:$AE253&gt;0)*(($V$3:$AE$3&gt;AD$3)+($V$3:$AE$3=AD$3)*($V253:$AE253&lt;AD253)+($V$3:$AE$3=AD$3)*($V253:$AE253=AD253)*($V$2:$AE$2&lt;AD$2))),2))))</f>
      </c>
      <c r="AO253" s="33">
        <f>IF(AE253&lt;=0,0,MAX(0,MIN(AE253,ROUND($AZ253-SUMPRODUCT($V253:$AE253*($V253:$AE253&gt;0)*(($V$3:$AE$3&gt;AE$3)+($V$3:$AE$3=AE$3)*($V253:$AE253&lt;AE253)+($V$3:$AE$3=AE$3)*($V253:$AE253=AE253)*($V$2:$AE$2&lt;AE$2))),2))))</f>
      </c>
      <c r="AP253" s="33">
        <f>ROUND(V253-AF253,2)</f>
      </c>
      <c r="AQ253" s="33">
        <f>ROUND(W253-AG253,2)</f>
      </c>
      <c r="AR253" s="33">
        <f>ROUND(X253-AH253,2)</f>
      </c>
      <c r="AS253" s="33">
        <f>ROUND(Y253-AI253,2)</f>
      </c>
      <c r="AT253" s="33">
        <f>ROUND(Z253-AJ253,2)</f>
      </c>
      <c r="AU253" s="33">
        <f>ROUND(AA253-AK253,2)</f>
      </c>
      <c r="AV253" s="33">
        <f>ROUND(AB253-AL253,2)</f>
      </c>
      <c r="AW253" s="33">
        <f>ROUND(AC253-AM253,2)</f>
      </c>
      <c r="AX253" s="33">
        <f>ROUND(AD253-AN253,2)</f>
      </c>
      <c r="AY253" s="33">
        <f>ROUND(AE253-AO253,2)</f>
      </c>
      <c r="AZ253" s="33">
        <f>ROUND(MAX(0,'Your debts'!$D$22-SUM($L253:$U253)),2)</f>
      </c>
      <c r="BA253" s="33">
        <f>ROUND(SUM($B253:$K253)-SUM($AP252:$AY252),2)</f>
      </c>
      <c r="BB253" s="33">
        <f>SUM($AP253:$AY253)</f>
      </c>
      <c r="BC253" s="33">
        <f>ROUND(SUM($L253:$U253)+SUM($AF253:$AO253),2)</f>
      </c>
    </row>
    <row r="254" spans="1:55" x14ac:dyDescent="0.25">
      <c r="A254">
        <v>247</v>
      </c>
      <c r="B254" s="33">
        <f>IF(AP253&lt;=0,0,ROUND(AP253+ROUND(AP253*V$3/12,2),2))</f>
      </c>
      <c r="C254" s="33">
        <f>IF(AQ253&lt;=0,0,ROUND(AQ253+ROUND(AQ253*W$3/12,2),2))</f>
      </c>
      <c r="D254" s="33">
        <f>IF(AR253&lt;=0,0,ROUND(AR253+ROUND(AR253*X$3/12,2),2))</f>
      </c>
      <c r="E254" s="33">
        <f>IF(AS253&lt;=0,0,ROUND(AS253+ROUND(AS253*Y$3/12,2),2))</f>
      </c>
      <c r="F254" s="33">
        <f>IF(AT253&lt;=0,0,ROUND(AT253+ROUND(AT253*Z$3/12,2),2))</f>
      </c>
      <c r="G254" s="33">
        <f>IF(AU253&lt;=0,0,ROUND(AU253+ROUND(AU253*AA$3/12,2),2))</f>
      </c>
      <c r="H254" s="33">
        <f>IF(AV253&lt;=0,0,ROUND(AV253+ROUND(AV253*AB$3/12,2),2))</f>
      </c>
      <c r="I254" s="33">
        <f>IF(AW253&lt;=0,0,ROUND(AW253+ROUND(AW253*AC$3/12,2),2))</f>
      </c>
      <c r="J254" s="33">
        <f>IF(AX253&lt;=0,0,ROUND(AX253+ROUND(AX253*AD$3/12,2),2))</f>
      </c>
      <c r="K254" s="33">
        <f>IF(AY253&lt;=0,0,ROUND(AY253+ROUND(AY253*AE$3/12,2),2))</f>
      </c>
      <c r="L254" s="33">
        <f>ROUND(MIN(MAX(0,N('Your debts'!$E$6)),B254),2)</f>
      </c>
      <c r="M254" s="33">
        <f>ROUND(MIN(MAX(0,N('Your debts'!$E$7)),C254),2)</f>
      </c>
      <c r="N254" s="33">
        <f>ROUND(MIN(MAX(0,N('Your debts'!$E$8)),D254),2)</f>
      </c>
      <c r="O254" s="33">
        <f>ROUND(MIN(MAX(0,N('Your debts'!$E$9)),E254),2)</f>
      </c>
      <c r="P254" s="33">
        <f>ROUND(MIN(MAX(0,N('Your debts'!$E$10)),F254),2)</f>
      </c>
      <c r="Q254" s="33">
        <f>ROUND(MIN(MAX(0,N('Your debts'!$E$11)),G254),2)</f>
      </c>
      <c r="R254" s="33">
        <f>ROUND(MIN(MAX(0,N('Your debts'!$E$12)),H254),2)</f>
      </c>
      <c r="S254" s="33">
        <f>ROUND(MIN(MAX(0,N('Your debts'!$E$13)),I254),2)</f>
      </c>
      <c r="T254" s="33">
        <f>ROUND(MIN(MAX(0,N('Your debts'!$E$14)),J254),2)</f>
      </c>
      <c r="U254" s="33">
        <f>ROUND(MIN(MAX(0,N('Your debts'!$E$15)),K254),2)</f>
      </c>
      <c r="V254" s="33">
        <f>ROUND(B254-L254,2)</f>
      </c>
      <c r="W254" s="33">
        <f>ROUND(C254-M254,2)</f>
      </c>
      <c r="X254" s="33">
        <f>ROUND(D254-N254,2)</f>
      </c>
      <c r="Y254" s="33">
        <f>ROUND(E254-O254,2)</f>
      </c>
      <c r="Z254" s="33">
        <f>ROUND(F254-P254,2)</f>
      </c>
      <c r="AA254" s="33">
        <f>ROUND(G254-Q254,2)</f>
      </c>
      <c r="AB254" s="33">
        <f>ROUND(H254-R254,2)</f>
      </c>
      <c r="AC254" s="33">
        <f>ROUND(I254-S254,2)</f>
      </c>
      <c r="AD254" s="33">
        <f>ROUND(J254-T254,2)</f>
      </c>
      <c r="AE254" s="33">
        <f>ROUND(K254-U254,2)</f>
      </c>
      <c r="AF254" s="33">
        <f>IF(V254&lt;=0,0,MAX(0,MIN(V254,ROUND($AZ254-SUMPRODUCT($V254:$AE254*($V254:$AE254&gt;0)*(($V$3:$AE$3&gt;V$3)+($V$3:$AE$3=V$3)*($V254:$AE254&lt;V254)+($V$3:$AE$3=V$3)*($V254:$AE254=V254)*($V$2:$AE$2&lt;V$2))),2))))</f>
      </c>
      <c r="AG254" s="33">
        <f>IF(W254&lt;=0,0,MAX(0,MIN(W254,ROUND($AZ254-SUMPRODUCT($V254:$AE254*($V254:$AE254&gt;0)*(($V$3:$AE$3&gt;W$3)+($V$3:$AE$3=W$3)*($V254:$AE254&lt;W254)+($V$3:$AE$3=W$3)*($V254:$AE254=W254)*($V$2:$AE$2&lt;W$2))),2))))</f>
      </c>
      <c r="AH254" s="33">
        <f>IF(X254&lt;=0,0,MAX(0,MIN(X254,ROUND($AZ254-SUMPRODUCT($V254:$AE254*($V254:$AE254&gt;0)*(($V$3:$AE$3&gt;X$3)+($V$3:$AE$3=X$3)*($V254:$AE254&lt;X254)+($V$3:$AE$3=X$3)*($V254:$AE254=X254)*($V$2:$AE$2&lt;X$2))),2))))</f>
      </c>
      <c r="AI254" s="33">
        <f>IF(Y254&lt;=0,0,MAX(0,MIN(Y254,ROUND($AZ254-SUMPRODUCT($V254:$AE254*($V254:$AE254&gt;0)*(($V$3:$AE$3&gt;Y$3)+($V$3:$AE$3=Y$3)*($V254:$AE254&lt;Y254)+($V$3:$AE$3=Y$3)*($V254:$AE254=Y254)*($V$2:$AE$2&lt;Y$2))),2))))</f>
      </c>
      <c r="AJ254" s="33">
        <f>IF(Z254&lt;=0,0,MAX(0,MIN(Z254,ROUND($AZ254-SUMPRODUCT($V254:$AE254*($V254:$AE254&gt;0)*(($V$3:$AE$3&gt;Z$3)+($V$3:$AE$3=Z$3)*($V254:$AE254&lt;Z254)+($V$3:$AE$3=Z$3)*($V254:$AE254=Z254)*($V$2:$AE$2&lt;Z$2))),2))))</f>
      </c>
      <c r="AK254" s="33">
        <f>IF(AA254&lt;=0,0,MAX(0,MIN(AA254,ROUND($AZ254-SUMPRODUCT($V254:$AE254*($V254:$AE254&gt;0)*(($V$3:$AE$3&gt;AA$3)+($V$3:$AE$3=AA$3)*($V254:$AE254&lt;AA254)+($V$3:$AE$3=AA$3)*($V254:$AE254=AA254)*($V$2:$AE$2&lt;AA$2))),2))))</f>
      </c>
      <c r="AL254" s="33">
        <f>IF(AB254&lt;=0,0,MAX(0,MIN(AB254,ROUND($AZ254-SUMPRODUCT($V254:$AE254*($V254:$AE254&gt;0)*(($V$3:$AE$3&gt;AB$3)+($V$3:$AE$3=AB$3)*($V254:$AE254&lt;AB254)+($V$3:$AE$3=AB$3)*($V254:$AE254=AB254)*($V$2:$AE$2&lt;AB$2))),2))))</f>
      </c>
      <c r="AM254" s="33">
        <f>IF(AC254&lt;=0,0,MAX(0,MIN(AC254,ROUND($AZ254-SUMPRODUCT($V254:$AE254*($V254:$AE254&gt;0)*(($V$3:$AE$3&gt;AC$3)+($V$3:$AE$3=AC$3)*($V254:$AE254&lt;AC254)+($V$3:$AE$3=AC$3)*($V254:$AE254=AC254)*($V$2:$AE$2&lt;AC$2))),2))))</f>
      </c>
      <c r="AN254" s="33">
        <f>IF(AD254&lt;=0,0,MAX(0,MIN(AD254,ROUND($AZ254-SUMPRODUCT($V254:$AE254*($V254:$AE254&gt;0)*(($V$3:$AE$3&gt;AD$3)+($V$3:$AE$3=AD$3)*($V254:$AE254&lt;AD254)+($V$3:$AE$3=AD$3)*($V254:$AE254=AD254)*($V$2:$AE$2&lt;AD$2))),2))))</f>
      </c>
      <c r="AO254" s="33">
        <f>IF(AE254&lt;=0,0,MAX(0,MIN(AE254,ROUND($AZ254-SUMPRODUCT($V254:$AE254*($V254:$AE254&gt;0)*(($V$3:$AE$3&gt;AE$3)+($V$3:$AE$3=AE$3)*($V254:$AE254&lt;AE254)+($V$3:$AE$3=AE$3)*($V254:$AE254=AE254)*($V$2:$AE$2&lt;AE$2))),2))))</f>
      </c>
      <c r="AP254" s="33">
        <f>ROUND(V254-AF254,2)</f>
      </c>
      <c r="AQ254" s="33">
        <f>ROUND(W254-AG254,2)</f>
      </c>
      <c r="AR254" s="33">
        <f>ROUND(X254-AH254,2)</f>
      </c>
      <c r="AS254" s="33">
        <f>ROUND(Y254-AI254,2)</f>
      </c>
      <c r="AT254" s="33">
        <f>ROUND(Z254-AJ254,2)</f>
      </c>
      <c r="AU254" s="33">
        <f>ROUND(AA254-AK254,2)</f>
      </c>
      <c r="AV254" s="33">
        <f>ROUND(AB254-AL254,2)</f>
      </c>
      <c r="AW254" s="33">
        <f>ROUND(AC254-AM254,2)</f>
      </c>
      <c r="AX254" s="33">
        <f>ROUND(AD254-AN254,2)</f>
      </c>
      <c r="AY254" s="33">
        <f>ROUND(AE254-AO254,2)</f>
      </c>
      <c r="AZ254" s="33">
        <f>ROUND(MAX(0,'Your debts'!$D$22-SUM($L254:$U254)),2)</f>
      </c>
      <c r="BA254" s="33">
        <f>ROUND(SUM($B254:$K254)-SUM($AP253:$AY253),2)</f>
      </c>
      <c r="BB254" s="33">
        <f>SUM($AP254:$AY254)</f>
      </c>
      <c r="BC254" s="33">
        <f>ROUND(SUM($L254:$U254)+SUM($AF254:$AO254),2)</f>
      </c>
    </row>
    <row r="255" spans="1:55" x14ac:dyDescent="0.25">
      <c r="A255">
        <v>248</v>
      </c>
      <c r="B255" s="33">
        <f>IF(AP254&lt;=0,0,ROUND(AP254+ROUND(AP254*V$3/12,2),2))</f>
      </c>
      <c r="C255" s="33">
        <f>IF(AQ254&lt;=0,0,ROUND(AQ254+ROUND(AQ254*W$3/12,2),2))</f>
      </c>
      <c r="D255" s="33">
        <f>IF(AR254&lt;=0,0,ROUND(AR254+ROUND(AR254*X$3/12,2),2))</f>
      </c>
      <c r="E255" s="33">
        <f>IF(AS254&lt;=0,0,ROUND(AS254+ROUND(AS254*Y$3/12,2),2))</f>
      </c>
      <c r="F255" s="33">
        <f>IF(AT254&lt;=0,0,ROUND(AT254+ROUND(AT254*Z$3/12,2),2))</f>
      </c>
      <c r="G255" s="33">
        <f>IF(AU254&lt;=0,0,ROUND(AU254+ROUND(AU254*AA$3/12,2),2))</f>
      </c>
      <c r="H255" s="33">
        <f>IF(AV254&lt;=0,0,ROUND(AV254+ROUND(AV254*AB$3/12,2),2))</f>
      </c>
      <c r="I255" s="33">
        <f>IF(AW254&lt;=0,0,ROUND(AW254+ROUND(AW254*AC$3/12,2),2))</f>
      </c>
      <c r="J255" s="33">
        <f>IF(AX254&lt;=0,0,ROUND(AX254+ROUND(AX254*AD$3/12,2),2))</f>
      </c>
      <c r="K255" s="33">
        <f>IF(AY254&lt;=0,0,ROUND(AY254+ROUND(AY254*AE$3/12,2),2))</f>
      </c>
      <c r="L255" s="33">
        <f>ROUND(MIN(MAX(0,N('Your debts'!$E$6)),B255),2)</f>
      </c>
      <c r="M255" s="33">
        <f>ROUND(MIN(MAX(0,N('Your debts'!$E$7)),C255),2)</f>
      </c>
      <c r="N255" s="33">
        <f>ROUND(MIN(MAX(0,N('Your debts'!$E$8)),D255),2)</f>
      </c>
      <c r="O255" s="33">
        <f>ROUND(MIN(MAX(0,N('Your debts'!$E$9)),E255),2)</f>
      </c>
      <c r="P255" s="33">
        <f>ROUND(MIN(MAX(0,N('Your debts'!$E$10)),F255),2)</f>
      </c>
      <c r="Q255" s="33">
        <f>ROUND(MIN(MAX(0,N('Your debts'!$E$11)),G255),2)</f>
      </c>
      <c r="R255" s="33">
        <f>ROUND(MIN(MAX(0,N('Your debts'!$E$12)),H255),2)</f>
      </c>
      <c r="S255" s="33">
        <f>ROUND(MIN(MAX(0,N('Your debts'!$E$13)),I255),2)</f>
      </c>
      <c r="T255" s="33">
        <f>ROUND(MIN(MAX(0,N('Your debts'!$E$14)),J255),2)</f>
      </c>
      <c r="U255" s="33">
        <f>ROUND(MIN(MAX(0,N('Your debts'!$E$15)),K255),2)</f>
      </c>
      <c r="V255" s="33">
        <f>ROUND(B255-L255,2)</f>
      </c>
      <c r="W255" s="33">
        <f>ROUND(C255-M255,2)</f>
      </c>
      <c r="X255" s="33">
        <f>ROUND(D255-N255,2)</f>
      </c>
      <c r="Y255" s="33">
        <f>ROUND(E255-O255,2)</f>
      </c>
      <c r="Z255" s="33">
        <f>ROUND(F255-P255,2)</f>
      </c>
      <c r="AA255" s="33">
        <f>ROUND(G255-Q255,2)</f>
      </c>
      <c r="AB255" s="33">
        <f>ROUND(H255-R255,2)</f>
      </c>
      <c r="AC255" s="33">
        <f>ROUND(I255-S255,2)</f>
      </c>
      <c r="AD255" s="33">
        <f>ROUND(J255-T255,2)</f>
      </c>
      <c r="AE255" s="33">
        <f>ROUND(K255-U255,2)</f>
      </c>
      <c r="AF255" s="33">
        <f>IF(V255&lt;=0,0,MAX(0,MIN(V255,ROUND($AZ255-SUMPRODUCT($V255:$AE255*($V255:$AE255&gt;0)*(($V$3:$AE$3&gt;V$3)+($V$3:$AE$3=V$3)*($V255:$AE255&lt;V255)+($V$3:$AE$3=V$3)*($V255:$AE255=V255)*($V$2:$AE$2&lt;V$2))),2))))</f>
      </c>
      <c r="AG255" s="33">
        <f>IF(W255&lt;=0,0,MAX(0,MIN(W255,ROUND($AZ255-SUMPRODUCT($V255:$AE255*($V255:$AE255&gt;0)*(($V$3:$AE$3&gt;W$3)+($V$3:$AE$3=W$3)*($V255:$AE255&lt;W255)+($V$3:$AE$3=W$3)*($V255:$AE255=W255)*($V$2:$AE$2&lt;W$2))),2))))</f>
      </c>
      <c r="AH255" s="33">
        <f>IF(X255&lt;=0,0,MAX(0,MIN(X255,ROUND($AZ255-SUMPRODUCT($V255:$AE255*($V255:$AE255&gt;0)*(($V$3:$AE$3&gt;X$3)+($V$3:$AE$3=X$3)*($V255:$AE255&lt;X255)+($V$3:$AE$3=X$3)*($V255:$AE255=X255)*($V$2:$AE$2&lt;X$2))),2))))</f>
      </c>
      <c r="AI255" s="33">
        <f>IF(Y255&lt;=0,0,MAX(0,MIN(Y255,ROUND($AZ255-SUMPRODUCT($V255:$AE255*($V255:$AE255&gt;0)*(($V$3:$AE$3&gt;Y$3)+($V$3:$AE$3=Y$3)*($V255:$AE255&lt;Y255)+($V$3:$AE$3=Y$3)*($V255:$AE255=Y255)*($V$2:$AE$2&lt;Y$2))),2))))</f>
      </c>
      <c r="AJ255" s="33">
        <f>IF(Z255&lt;=0,0,MAX(0,MIN(Z255,ROUND($AZ255-SUMPRODUCT($V255:$AE255*($V255:$AE255&gt;0)*(($V$3:$AE$3&gt;Z$3)+($V$3:$AE$3=Z$3)*($V255:$AE255&lt;Z255)+($V$3:$AE$3=Z$3)*($V255:$AE255=Z255)*($V$2:$AE$2&lt;Z$2))),2))))</f>
      </c>
      <c r="AK255" s="33">
        <f>IF(AA255&lt;=0,0,MAX(0,MIN(AA255,ROUND($AZ255-SUMPRODUCT($V255:$AE255*($V255:$AE255&gt;0)*(($V$3:$AE$3&gt;AA$3)+($V$3:$AE$3=AA$3)*($V255:$AE255&lt;AA255)+($V$3:$AE$3=AA$3)*($V255:$AE255=AA255)*($V$2:$AE$2&lt;AA$2))),2))))</f>
      </c>
      <c r="AL255" s="33">
        <f>IF(AB255&lt;=0,0,MAX(0,MIN(AB255,ROUND($AZ255-SUMPRODUCT($V255:$AE255*($V255:$AE255&gt;0)*(($V$3:$AE$3&gt;AB$3)+($V$3:$AE$3=AB$3)*($V255:$AE255&lt;AB255)+($V$3:$AE$3=AB$3)*($V255:$AE255=AB255)*($V$2:$AE$2&lt;AB$2))),2))))</f>
      </c>
      <c r="AM255" s="33">
        <f>IF(AC255&lt;=0,0,MAX(0,MIN(AC255,ROUND($AZ255-SUMPRODUCT($V255:$AE255*($V255:$AE255&gt;0)*(($V$3:$AE$3&gt;AC$3)+($V$3:$AE$3=AC$3)*($V255:$AE255&lt;AC255)+($V$3:$AE$3=AC$3)*($V255:$AE255=AC255)*($V$2:$AE$2&lt;AC$2))),2))))</f>
      </c>
      <c r="AN255" s="33">
        <f>IF(AD255&lt;=0,0,MAX(0,MIN(AD255,ROUND($AZ255-SUMPRODUCT($V255:$AE255*($V255:$AE255&gt;0)*(($V$3:$AE$3&gt;AD$3)+($V$3:$AE$3=AD$3)*($V255:$AE255&lt;AD255)+($V$3:$AE$3=AD$3)*($V255:$AE255=AD255)*($V$2:$AE$2&lt;AD$2))),2))))</f>
      </c>
      <c r="AO255" s="33">
        <f>IF(AE255&lt;=0,0,MAX(0,MIN(AE255,ROUND($AZ255-SUMPRODUCT($V255:$AE255*($V255:$AE255&gt;0)*(($V$3:$AE$3&gt;AE$3)+($V$3:$AE$3=AE$3)*($V255:$AE255&lt;AE255)+($V$3:$AE$3=AE$3)*($V255:$AE255=AE255)*($V$2:$AE$2&lt;AE$2))),2))))</f>
      </c>
      <c r="AP255" s="33">
        <f>ROUND(V255-AF255,2)</f>
      </c>
      <c r="AQ255" s="33">
        <f>ROUND(W255-AG255,2)</f>
      </c>
      <c r="AR255" s="33">
        <f>ROUND(X255-AH255,2)</f>
      </c>
      <c r="AS255" s="33">
        <f>ROUND(Y255-AI255,2)</f>
      </c>
      <c r="AT255" s="33">
        <f>ROUND(Z255-AJ255,2)</f>
      </c>
      <c r="AU255" s="33">
        <f>ROUND(AA255-AK255,2)</f>
      </c>
      <c r="AV255" s="33">
        <f>ROUND(AB255-AL255,2)</f>
      </c>
      <c r="AW255" s="33">
        <f>ROUND(AC255-AM255,2)</f>
      </c>
      <c r="AX255" s="33">
        <f>ROUND(AD255-AN255,2)</f>
      </c>
      <c r="AY255" s="33">
        <f>ROUND(AE255-AO255,2)</f>
      </c>
      <c r="AZ255" s="33">
        <f>ROUND(MAX(0,'Your debts'!$D$22-SUM($L255:$U255)),2)</f>
      </c>
      <c r="BA255" s="33">
        <f>ROUND(SUM($B255:$K255)-SUM($AP254:$AY254),2)</f>
      </c>
      <c r="BB255" s="33">
        <f>SUM($AP255:$AY255)</f>
      </c>
      <c r="BC255" s="33">
        <f>ROUND(SUM($L255:$U255)+SUM($AF255:$AO255),2)</f>
      </c>
    </row>
    <row r="256" spans="1:55" x14ac:dyDescent="0.25">
      <c r="A256">
        <v>249</v>
      </c>
      <c r="B256" s="33">
        <f>IF(AP255&lt;=0,0,ROUND(AP255+ROUND(AP255*V$3/12,2),2))</f>
      </c>
      <c r="C256" s="33">
        <f>IF(AQ255&lt;=0,0,ROUND(AQ255+ROUND(AQ255*W$3/12,2),2))</f>
      </c>
      <c r="D256" s="33">
        <f>IF(AR255&lt;=0,0,ROUND(AR255+ROUND(AR255*X$3/12,2),2))</f>
      </c>
      <c r="E256" s="33">
        <f>IF(AS255&lt;=0,0,ROUND(AS255+ROUND(AS255*Y$3/12,2),2))</f>
      </c>
      <c r="F256" s="33">
        <f>IF(AT255&lt;=0,0,ROUND(AT255+ROUND(AT255*Z$3/12,2),2))</f>
      </c>
      <c r="G256" s="33">
        <f>IF(AU255&lt;=0,0,ROUND(AU255+ROUND(AU255*AA$3/12,2),2))</f>
      </c>
      <c r="H256" s="33">
        <f>IF(AV255&lt;=0,0,ROUND(AV255+ROUND(AV255*AB$3/12,2),2))</f>
      </c>
      <c r="I256" s="33">
        <f>IF(AW255&lt;=0,0,ROUND(AW255+ROUND(AW255*AC$3/12,2),2))</f>
      </c>
      <c r="J256" s="33">
        <f>IF(AX255&lt;=0,0,ROUND(AX255+ROUND(AX255*AD$3/12,2),2))</f>
      </c>
      <c r="K256" s="33">
        <f>IF(AY255&lt;=0,0,ROUND(AY255+ROUND(AY255*AE$3/12,2),2))</f>
      </c>
      <c r="L256" s="33">
        <f>ROUND(MIN(MAX(0,N('Your debts'!$E$6)),B256),2)</f>
      </c>
      <c r="M256" s="33">
        <f>ROUND(MIN(MAX(0,N('Your debts'!$E$7)),C256),2)</f>
      </c>
      <c r="N256" s="33">
        <f>ROUND(MIN(MAX(0,N('Your debts'!$E$8)),D256),2)</f>
      </c>
      <c r="O256" s="33">
        <f>ROUND(MIN(MAX(0,N('Your debts'!$E$9)),E256),2)</f>
      </c>
      <c r="P256" s="33">
        <f>ROUND(MIN(MAX(0,N('Your debts'!$E$10)),F256),2)</f>
      </c>
      <c r="Q256" s="33">
        <f>ROUND(MIN(MAX(0,N('Your debts'!$E$11)),G256),2)</f>
      </c>
      <c r="R256" s="33">
        <f>ROUND(MIN(MAX(0,N('Your debts'!$E$12)),H256),2)</f>
      </c>
      <c r="S256" s="33">
        <f>ROUND(MIN(MAX(0,N('Your debts'!$E$13)),I256),2)</f>
      </c>
      <c r="T256" s="33">
        <f>ROUND(MIN(MAX(0,N('Your debts'!$E$14)),J256),2)</f>
      </c>
      <c r="U256" s="33">
        <f>ROUND(MIN(MAX(0,N('Your debts'!$E$15)),K256),2)</f>
      </c>
      <c r="V256" s="33">
        <f>ROUND(B256-L256,2)</f>
      </c>
      <c r="W256" s="33">
        <f>ROUND(C256-M256,2)</f>
      </c>
      <c r="X256" s="33">
        <f>ROUND(D256-N256,2)</f>
      </c>
      <c r="Y256" s="33">
        <f>ROUND(E256-O256,2)</f>
      </c>
      <c r="Z256" s="33">
        <f>ROUND(F256-P256,2)</f>
      </c>
      <c r="AA256" s="33">
        <f>ROUND(G256-Q256,2)</f>
      </c>
      <c r="AB256" s="33">
        <f>ROUND(H256-R256,2)</f>
      </c>
      <c r="AC256" s="33">
        <f>ROUND(I256-S256,2)</f>
      </c>
      <c r="AD256" s="33">
        <f>ROUND(J256-T256,2)</f>
      </c>
      <c r="AE256" s="33">
        <f>ROUND(K256-U256,2)</f>
      </c>
      <c r="AF256" s="33">
        <f>IF(V256&lt;=0,0,MAX(0,MIN(V256,ROUND($AZ256-SUMPRODUCT($V256:$AE256*($V256:$AE256&gt;0)*(($V$3:$AE$3&gt;V$3)+($V$3:$AE$3=V$3)*($V256:$AE256&lt;V256)+($V$3:$AE$3=V$3)*($V256:$AE256=V256)*($V$2:$AE$2&lt;V$2))),2))))</f>
      </c>
      <c r="AG256" s="33">
        <f>IF(W256&lt;=0,0,MAX(0,MIN(W256,ROUND($AZ256-SUMPRODUCT($V256:$AE256*($V256:$AE256&gt;0)*(($V$3:$AE$3&gt;W$3)+($V$3:$AE$3=W$3)*($V256:$AE256&lt;W256)+($V$3:$AE$3=W$3)*($V256:$AE256=W256)*($V$2:$AE$2&lt;W$2))),2))))</f>
      </c>
      <c r="AH256" s="33">
        <f>IF(X256&lt;=0,0,MAX(0,MIN(X256,ROUND($AZ256-SUMPRODUCT($V256:$AE256*($V256:$AE256&gt;0)*(($V$3:$AE$3&gt;X$3)+($V$3:$AE$3=X$3)*($V256:$AE256&lt;X256)+($V$3:$AE$3=X$3)*($V256:$AE256=X256)*($V$2:$AE$2&lt;X$2))),2))))</f>
      </c>
      <c r="AI256" s="33">
        <f>IF(Y256&lt;=0,0,MAX(0,MIN(Y256,ROUND($AZ256-SUMPRODUCT($V256:$AE256*($V256:$AE256&gt;0)*(($V$3:$AE$3&gt;Y$3)+($V$3:$AE$3=Y$3)*($V256:$AE256&lt;Y256)+($V$3:$AE$3=Y$3)*($V256:$AE256=Y256)*($V$2:$AE$2&lt;Y$2))),2))))</f>
      </c>
      <c r="AJ256" s="33">
        <f>IF(Z256&lt;=0,0,MAX(0,MIN(Z256,ROUND($AZ256-SUMPRODUCT($V256:$AE256*($V256:$AE256&gt;0)*(($V$3:$AE$3&gt;Z$3)+($V$3:$AE$3=Z$3)*($V256:$AE256&lt;Z256)+($V$3:$AE$3=Z$3)*($V256:$AE256=Z256)*($V$2:$AE$2&lt;Z$2))),2))))</f>
      </c>
      <c r="AK256" s="33">
        <f>IF(AA256&lt;=0,0,MAX(0,MIN(AA256,ROUND($AZ256-SUMPRODUCT($V256:$AE256*($V256:$AE256&gt;0)*(($V$3:$AE$3&gt;AA$3)+($V$3:$AE$3=AA$3)*($V256:$AE256&lt;AA256)+($V$3:$AE$3=AA$3)*($V256:$AE256=AA256)*($V$2:$AE$2&lt;AA$2))),2))))</f>
      </c>
      <c r="AL256" s="33">
        <f>IF(AB256&lt;=0,0,MAX(0,MIN(AB256,ROUND($AZ256-SUMPRODUCT($V256:$AE256*($V256:$AE256&gt;0)*(($V$3:$AE$3&gt;AB$3)+($V$3:$AE$3=AB$3)*($V256:$AE256&lt;AB256)+($V$3:$AE$3=AB$3)*($V256:$AE256=AB256)*($V$2:$AE$2&lt;AB$2))),2))))</f>
      </c>
      <c r="AM256" s="33">
        <f>IF(AC256&lt;=0,0,MAX(0,MIN(AC256,ROUND($AZ256-SUMPRODUCT($V256:$AE256*($V256:$AE256&gt;0)*(($V$3:$AE$3&gt;AC$3)+($V$3:$AE$3=AC$3)*($V256:$AE256&lt;AC256)+($V$3:$AE$3=AC$3)*($V256:$AE256=AC256)*($V$2:$AE$2&lt;AC$2))),2))))</f>
      </c>
      <c r="AN256" s="33">
        <f>IF(AD256&lt;=0,0,MAX(0,MIN(AD256,ROUND($AZ256-SUMPRODUCT($V256:$AE256*($V256:$AE256&gt;0)*(($V$3:$AE$3&gt;AD$3)+($V$3:$AE$3=AD$3)*($V256:$AE256&lt;AD256)+($V$3:$AE$3=AD$3)*($V256:$AE256=AD256)*($V$2:$AE$2&lt;AD$2))),2))))</f>
      </c>
      <c r="AO256" s="33">
        <f>IF(AE256&lt;=0,0,MAX(0,MIN(AE256,ROUND($AZ256-SUMPRODUCT($V256:$AE256*($V256:$AE256&gt;0)*(($V$3:$AE$3&gt;AE$3)+($V$3:$AE$3=AE$3)*($V256:$AE256&lt;AE256)+($V$3:$AE$3=AE$3)*($V256:$AE256=AE256)*($V$2:$AE$2&lt;AE$2))),2))))</f>
      </c>
      <c r="AP256" s="33">
        <f>ROUND(V256-AF256,2)</f>
      </c>
      <c r="AQ256" s="33">
        <f>ROUND(W256-AG256,2)</f>
      </c>
      <c r="AR256" s="33">
        <f>ROUND(X256-AH256,2)</f>
      </c>
      <c r="AS256" s="33">
        <f>ROUND(Y256-AI256,2)</f>
      </c>
      <c r="AT256" s="33">
        <f>ROUND(Z256-AJ256,2)</f>
      </c>
      <c r="AU256" s="33">
        <f>ROUND(AA256-AK256,2)</f>
      </c>
      <c r="AV256" s="33">
        <f>ROUND(AB256-AL256,2)</f>
      </c>
      <c r="AW256" s="33">
        <f>ROUND(AC256-AM256,2)</f>
      </c>
      <c r="AX256" s="33">
        <f>ROUND(AD256-AN256,2)</f>
      </c>
      <c r="AY256" s="33">
        <f>ROUND(AE256-AO256,2)</f>
      </c>
      <c r="AZ256" s="33">
        <f>ROUND(MAX(0,'Your debts'!$D$22-SUM($L256:$U256)),2)</f>
      </c>
      <c r="BA256" s="33">
        <f>ROUND(SUM($B256:$K256)-SUM($AP255:$AY255),2)</f>
      </c>
      <c r="BB256" s="33">
        <f>SUM($AP256:$AY256)</f>
      </c>
      <c r="BC256" s="33">
        <f>ROUND(SUM($L256:$U256)+SUM($AF256:$AO256),2)</f>
      </c>
    </row>
    <row r="257" spans="1:55" x14ac:dyDescent="0.25">
      <c r="A257">
        <v>250</v>
      </c>
      <c r="B257" s="33">
        <f>IF(AP256&lt;=0,0,ROUND(AP256+ROUND(AP256*V$3/12,2),2))</f>
      </c>
      <c r="C257" s="33">
        <f>IF(AQ256&lt;=0,0,ROUND(AQ256+ROUND(AQ256*W$3/12,2),2))</f>
      </c>
      <c r="D257" s="33">
        <f>IF(AR256&lt;=0,0,ROUND(AR256+ROUND(AR256*X$3/12,2),2))</f>
      </c>
      <c r="E257" s="33">
        <f>IF(AS256&lt;=0,0,ROUND(AS256+ROUND(AS256*Y$3/12,2),2))</f>
      </c>
      <c r="F257" s="33">
        <f>IF(AT256&lt;=0,0,ROUND(AT256+ROUND(AT256*Z$3/12,2),2))</f>
      </c>
      <c r="G257" s="33">
        <f>IF(AU256&lt;=0,0,ROUND(AU256+ROUND(AU256*AA$3/12,2),2))</f>
      </c>
      <c r="H257" s="33">
        <f>IF(AV256&lt;=0,0,ROUND(AV256+ROUND(AV256*AB$3/12,2),2))</f>
      </c>
      <c r="I257" s="33">
        <f>IF(AW256&lt;=0,0,ROUND(AW256+ROUND(AW256*AC$3/12,2),2))</f>
      </c>
      <c r="J257" s="33">
        <f>IF(AX256&lt;=0,0,ROUND(AX256+ROUND(AX256*AD$3/12,2),2))</f>
      </c>
      <c r="K257" s="33">
        <f>IF(AY256&lt;=0,0,ROUND(AY256+ROUND(AY256*AE$3/12,2),2))</f>
      </c>
      <c r="L257" s="33">
        <f>ROUND(MIN(MAX(0,N('Your debts'!$E$6)),B257),2)</f>
      </c>
      <c r="M257" s="33">
        <f>ROUND(MIN(MAX(0,N('Your debts'!$E$7)),C257),2)</f>
      </c>
      <c r="N257" s="33">
        <f>ROUND(MIN(MAX(0,N('Your debts'!$E$8)),D257),2)</f>
      </c>
      <c r="O257" s="33">
        <f>ROUND(MIN(MAX(0,N('Your debts'!$E$9)),E257),2)</f>
      </c>
      <c r="P257" s="33">
        <f>ROUND(MIN(MAX(0,N('Your debts'!$E$10)),F257),2)</f>
      </c>
      <c r="Q257" s="33">
        <f>ROUND(MIN(MAX(0,N('Your debts'!$E$11)),G257),2)</f>
      </c>
      <c r="R257" s="33">
        <f>ROUND(MIN(MAX(0,N('Your debts'!$E$12)),H257),2)</f>
      </c>
      <c r="S257" s="33">
        <f>ROUND(MIN(MAX(0,N('Your debts'!$E$13)),I257),2)</f>
      </c>
      <c r="T257" s="33">
        <f>ROUND(MIN(MAX(0,N('Your debts'!$E$14)),J257),2)</f>
      </c>
      <c r="U257" s="33">
        <f>ROUND(MIN(MAX(0,N('Your debts'!$E$15)),K257),2)</f>
      </c>
      <c r="V257" s="33">
        <f>ROUND(B257-L257,2)</f>
      </c>
      <c r="W257" s="33">
        <f>ROUND(C257-M257,2)</f>
      </c>
      <c r="X257" s="33">
        <f>ROUND(D257-N257,2)</f>
      </c>
      <c r="Y257" s="33">
        <f>ROUND(E257-O257,2)</f>
      </c>
      <c r="Z257" s="33">
        <f>ROUND(F257-P257,2)</f>
      </c>
      <c r="AA257" s="33">
        <f>ROUND(G257-Q257,2)</f>
      </c>
      <c r="AB257" s="33">
        <f>ROUND(H257-R257,2)</f>
      </c>
      <c r="AC257" s="33">
        <f>ROUND(I257-S257,2)</f>
      </c>
      <c r="AD257" s="33">
        <f>ROUND(J257-T257,2)</f>
      </c>
      <c r="AE257" s="33">
        <f>ROUND(K257-U257,2)</f>
      </c>
      <c r="AF257" s="33">
        <f>IF(V257&lt;=0,0,MAX(0,MIN(V257,ROUND($AZ257-SUMPRODUCT($V257:$AE257*($V257:$AE257&gt;0)*(($V$3:$AE$3&gt;V$3)+($V$3:$AE$3=V$3)*($V257:$AE257&lt;V257)+($V$3:$AE$3=V$3)*($V257:$AE257=V257)*($V$2:$AE$2&lt;V$2))),2))))</f>
      </c>
      <c r="AG257" s="33">
        <f>IF(W257&lt;=0,0,MAX(0,MIN(W257,ROUND($AZ257-SUMPRODUCT($V257:$AE257*($V257:$AE257&gt;0)*(($V$3:$AE$3&gt;W$3)+($V$3:$AE$3=W$3)*($V257:$AE257&lt;W257)+($V$3:$AE$3=W$3)*($V257:$AE257=W257)*($V$2:$AE$2&lt;W$2))),2))))</f>
      </c>
      <c r="AH257" s="33">
        <f>IF(X257&lt;=0,0,MAX(0,MIN(X257,ROUND($AZ257-SUMPRODUCT($V257:$AE257*($V257:$AE257&gt;0)*(($V$3:$AE$3&gt;X$3)+($V$3:$AE$3=X$3)*($V257:$AE257&lt;X257)+($V$3:$AE$3=X$3)*($V257:$AE257=X257)*($V$2:$AE$2&lt;X$2))),2))))</f>
      </c>
      <c r="AI257" s="33">
        <f>IF(Y257&lt;=0,0,MAX(0,MIN(Y257,ROUND($AZ257-SUMPRODUCT($V257:$AE257*($V257:$AE257&gt;0)*(($V$3:$AE$3&gt;Y$3)+($V$3:$AE$3=Y$3)*($V257:$AE257&lt;Y257)+($V$3:$AE$3=Y$3)*($V257:$AE257=Y257)*($V$2:$AE$2&lt;Y$2))),2))))</f>
      </c>
      <c r="AJ257" s="33">
        <f>IF(Z257&lt;=0,0,MAX(0,MIN(Z257,ROUND($AZ257-SUMPRODUCT($V257:$AE257*($V257:$AE257&gt;0)*(($V$3:$AE$3&gt;Z$3)+($V$3:$AE$3=Z$3)*($V257:$AE257&lt;Z257)+($V$3:$AE$3=Z$3)*($V257:$AE257=Z257)*($V$2:$AE$2&lt;Z$2))),2))))</f>
      </c>
      <c r="AK257" s="33">
        <f>IF(AA257&lt;=0,0,MAX(0,MIN(AA257,ROUND($AZ257-SUMPRODUCT($V257:$AE257*($V257:$AE257&gt;0)*(($V$3:$AE$3&gt;AA$3)+($V$3:$AE$3=AA$3)*($V257:$AE257&lt;AA257)+($V$3:$AE$3=AA$3)*($V257:$AE257=AA257)*($V$2:$AE$2&lt;AA$2))),2))))</f>
      </c>
      <c r="AL257" s="33">
        <f>IF(AB257&lt;=0,0,MAX(0,MIN(AB257,ROUND($AZ257-SUMPRODUCT($V257:$AE257*($V257:$AE257&gt;0)*(($V$3:$AE$3&gt;AB$3)+($V$3:$AE$3=AB$3)*($V257:$AE257&lt;AB257)+($V$3:$AE$3=AB$3)*($V257:$AE257=AB257)*($V$2:$AE$2&lt;AB$2))),2))))</f>
      </c>
      <c r="AM257" s="33">
        <f>IF(AC257&lt;=0,0,MAX(0,MIN(AC257,ROUND($AZ257-SUMPRODUCT($V257:$AE257*($V257:$AE257&gt;0)*(($V$3:$AE$3&gt;AC$3)+($V$3:$AE$3=AC$3)*($V257:$AE257&lt;AC257)+($V$3:$AE$3=AC$3)*($V257:$AE257=AC257)*($V$2:$AE$2&lt;AC$2))),2))))</f>
      </c>
      <c r="AN257" s="33">
        <f>IF(AD257&lt;=0,0,MAX(0,MIN(AD257,ROUND($AZ257-SUMPRODUCT($V257:$AE257*($V257:$AE257&gt;0)*(($V$3:$AE$3&gt;AD$3)+($V$3:$AE$3=AD$3)*($V257:$AE257&lt;AD257)+($V$3:$AE$3=AD$3)*($V257:$AE257=AD257)*($V$2:$AE$2&lt;AD$2))),2))))</f>
      </c>
      <c r="AO257" s="33">
        <f>IF(AE257&lt;=0,0,MAX(0,MIN(AE257,ROUND($AZ257-SUMPRODUCT($V257:$AE257*($V257:$AE257&gt;0)*(($V$3:$AE$3&gt;AE$3)+($V$3:$AE$3=AE$3)*($V257:$AE257&lt;AE257)+($V$3:$AE$3=AE$3)*($V257:$AE257=AE257)*($V$2:$AE$2&lt;AE$2))),2))))</f>
      </c>
      <c r="AP257" s="33">
        <f>ROUND(V257-AF257,2)</f>
      </c>
      <c r="AQ257" s="33">
        <f>ROUND(W257-AG257,2)</f>
      </c>
      <c r="AR257" s="33">
        <f>ROUND(X257-AH257,2)</f>
      </c>
      <c r="AS257" s="33">
        <f>ROUND(Y257-AI257,2)</f>
      </c>
      <c r="AT257" s="33">
        <f>ROUND(Z257-AJ257,2)</f>
      </c>
      <c r="AU257" s="33">
        <f>ROUND(AA257-AK257,2)</f>
      </c>
      <c r="AV257" s="33">
        <f>ROUND(AB257-AL257,2)</f>
      </c>
      <c r="AW257" s="33">
        <f>ROUND(AC257-AM257,2)</f>
      </c>
      <c r="AX257" s="33">
        <f>ROUND(AD257-AN257,2)</f>
      </c>
      <c r="AY257" s="33">
        <f>ROUND(AE257-AO257,2)</f>
      </c>
      <c r="AZ257" s="33">
        <f>ROUND(MAX(0,'Your debts'!$D$22-SUM($L257:$U257)),2)</f>
      </c>
      <c r="BA257" s="33">
        <f>ROUND(SUM($B257:$K257)-SUM($AP256:$AY256),2)</f>
      </c>
      <c r="BB257" s="33">
        <f>SUM($AP257:$AY257)</f>
      </c>
      <c r="BC257" s="33">
        <f>ROUND(SUM($L257:$U257)+SUM($AF257:$AO257),2)</f>
      </c>
    </row>
    <row r="258" spans="1:55" x14ac:dyDescent="0.25">
      <c r="A258">
        <v>251</v>
      </c>
      <c r="B258" s="33">
        <f>IF(AP257&lt;=0,0,ROUND(AP257+ROUND(AP257*V$3/12,2),2))</f>
      </c>
      <c r="C258" s="33">
        <f>IF(AQ257&lt;=0,0,ROUND(AQ257+ROUND(AQ257*W$3/12,2),2))</f>
      </c>
      <c r="D258" s="33">
        <f>IF(AR257&lt;=0,0,ROUND(AR257+ROUND(AR257*X$3/12,2),2))</f>
      </c>
      <c r="E258" s="33">
        <f>IF(AS257&lt;=0,0,ROUND(AS257+ROUND(AS257*Y$3/12,2),2))</f>
      </c>
      <c r="F258" s="33">
        <f>IF(AT257&lt;=0,0,ROUND(AT257+ROUND(AT257*Z$3/12,2),2))</f>
      </c>
      <c r="G258" s="33">
        <f>IF(AU257&lt;=0,0,ROUND(AU257+ROUND(AU257*AA$3/12,2),2))</f>
      </c>
      <c r="H258" s="33">
        <f>IF(AV257&lt;=0,0,ROUND(AV257+ROUND(AV257*AB$3/12,2),2))</f>
      </c>
      <c r="I258" s="33">
        <f>IF(AW257&lt;=0,0,ROUND(AW257+ROUND(AW257*AC$3/12,2),2))</f>
      </c>
      <c r="J258" s="33">
        <f>IF(AX257&lt;=0,0,ROUND(AX257+ROUND(AX257*AD$3/12,2),2))</f>
      </c>
      <c r="K258" s="33">
        <f>IF(AY257&lt;=0,0,ROUND(AY257+ROUND(AY257*AE$3/12,2),2))</f>
      </c>
      <c r="L258" s="33">
        <f>ROUND(MIN(MAX(0,N('Your debts'!$E$6)),B258),2)</f>
      </c>
      <c r="M258" s="33">
        <f>ROUND(MIN(MAX(0,N('Your debts'!$E$7)),C258),2)</f>
      </c>
      <c r="N258" s="33">
        <f>ROUND(MIN(MAX(0,N('Your debts'!$E$8)),D258),2)</f>
      </c>
      <c r="O258" s="33">
        <f>ROUND(MIN(MAX(0,N('Your debts'!$E$9)),E258),2)</f>
      </c>
      <c r="P258" s="33">
        <f>ROUND(MIN(MAX(0,N('Your debts'!$E$10)),F258),2)</f>
      </c>
      <c r="Q258" s="33">
        <f>ROUND(MIN(MAX(0,N('Your debts'!$E$11)),G258),2)</f>
      </c>
      <c r="R258" s="33">
        <f>ROUND(MIN(MAX(0,N('Your debts'!$E$12)),H258),2)</f>
      </c>
      <c r="S258" s="33">
        <f>ROUND(MIN(MAX(0,N('Your debts'!$E$13)),I258),2)</f>
      </c>
      <c r="T258" s="33">
        <f>ROUND(MIN(MAX(0,N('Your debts'!$E$14)),J258),2)</f>
      </c>
      <c r="U258" s="33">
        <f>ROUND(MIN(MAX(0,N('Your debts'!$E$15)),K258),2)</f>
      </c>
      <c r="V258" s="33">
        <f>ROUND(B258-L258,2)</f>
      </c>
      <c r="W258" s="33">
        <f>ROUND(C258-M258,2)</f>
      </c>
      <c r="X258" s="33">
        <f>ROUND(D258-N258,2)</f>
      </c>
      <c r="Y258" s="33">
        <f>ROUND(E258-O258,2)</f>
      </c>
      <c r="Z258" s="33">
        <f>ROUND(F258-P258,2)</f>
      </c>
      <c r="AA258" s="33">
        <f>ROUND(G258-Q258,2)</f>
      </c>
      <c r="AB258" s="33">
        <f>ROUND(H258-R258,2)</f>
      </c>
      <c r="AC258" s="33">
        <f>ROUND(I258-S258,2)</f>
      </c>
      <c r="AD258" s="33">
        <f>ROUND(J258-T258,2)</f>
      </c>
      <c r="AE258" s="33">
        <f>ROUND(K258-U258,2)</f>
      </c>
      <c r="AF258" s="33">
        <f>IF(V258&lt;=0,0,MAX(0,MIN(V258,ROUND($AZ258-SUMPRODUCT($V258:$AE258*($V258:$AE258&gt;0)*(($V$3:$AE$3&gt;V$3)+($V$3:$AE$3=V$3)*($V258:$AE258&lt;V258)+($V$3:$AE$3=V$3)*($V258:$AE258=V258)*($V$2:$AE$2&lt;V$2))),2))))</f>
      </c>
      <c r="AG258" s="33">
        <f>IF(W258&lt;=0,0,MAX(0,MIN(W258,ROUND($AZ258-SUMPRODUCT($V258:$AE258*($V258:$AE258&gt;0)*(($V$3:$AE$3&gt;W$3)+($V$3:$AE$3=W$3)*($V258:$AE258&lt;W258)+($V$3:$AE$3=W$3)*($V258:$AE258=W258)*($V$2:$AE$2&lt;W$2))),2))))</f>
      </c>
      <c r="AH258" s="33">
        <f>IF(X258&lt;=0,0,MAX(0,MIN(X258,ROUND($AZ258-SUMPRODUCT($V258:$AE258*($V258:$AE258&gt;0)*(($V$3:$AE$3&gt;X$3)+($V$3:$AE$3=X$3)*($V258:$AE258&lt;X258)+($V$3:$AE$3=X$3)*($V258:$AE258=X258)*($V$2:$AE$2&lt;X$2))),2))))</f>
      </c>
      <c r="AI258" s="33">
        <f>IF(Y258&lt;=0,0,MAX(0,MIN(Y258,ROUND($AZ258-SUMPRODUCT($V258:$AE258*($V258:$AE258&gt;0)*(($V$3:$AE$3&gt;Y$3)+($V$3:$AE$3=Y$3)*($V258:$AE258&lt;Y258)+($V$3:$AE$3=Y$3)*($V258:$AE258=Y258)*($V$2:$AE$2&lt;Y$2))),2))))</f>
      </c>
      <c r="AJ258" s="33">
        <f>IF(Z258&lt;=0,0,MAX(0,MIN(Z258,ROUND($AZ258-SUMPRODUCT($V258:$AE258*($V258:$AE258&gt;0)*(($V$3:$AE$3&gt;Z$3)+($V$3:$AE$3=Z$3)*($V258:$AE258&lt;Z258)+($V$3:$AE$3=Z$3)*($V258:$AE258=Z258)*($V$2:$AE$2&lt;Z$2))),2))))</f>
      </c>
      <c r="AK258" s="33">
        <f>IF(AA258&lt;=0,0,MAX(0,MIN(AA258,ROUND($AZ258-SUMPRODUCT($V258:$AE258*($V258:$AE258&gt;0)*(($V$3:$AE$3&gt;AA$3)+($V$3:$AE$3=AA$3)*($V258:$AE258&lt;AA258)+($V$3:$AE$3=AA$3)*($V258:$AE258=AA258)*($V$2:$AE$2&lt;AA$2))),2))))</f>
      </c>
      <c r="AL258" s="33">
        <f>IF(AB258&lt;=0,0,MAX(0,MIN(AB258,ROUND($AZ258-SUMPRODUCT($V258:$AE258*($V258:$AE258&gt;0)*(($V$3:$AE$3&gt;AB$3)+($V$3:$AE$3=AB$3)*($V258:$AE258&lt;AB258)+($V$3:$AE$3=AB$3)*($V258:$AE258=AB258)*($V$2:$AE$2&lt;AB$2))),2))))</f>
      </c>
      <c r="AM258" s="33">
        <f>IF(AC258&lt;=0,0,MAX(0,MIN(AC258,ROUND($AZ258-SUMPRODUCT($V258:$AE258*($V258:$AE258&gt;0)*(($V$3:$AE$3&gt;AC$3)+($V$3:$AE$3=AC$3)*($V258:$AE258&lt;AC258)+($V$3:$AE$3=AC$3)*($V258:$AE258=AC258)*($V$2:$AE$2&lt;AC$2))),2))))</f>
      </c>
      <c r="AN258" s="33">
        <f>IF(AD258&lt;=0,0,MAX(0,MIN(AD258,ROUND($AZ258-SUMPRODUCT($V258:$AE258*($V258:$AE258&gt;0)*(($V$3:$AE$3&gt;AD$3)+($V$3:$AE$3=AD$3)*($V258:$AE258&lt;AD258)+($V$3:$AE$3=AD$3)*($V258:$AE258=AD258)*($V$2:$AE$2&lt;AD$2))),2))))</f>
      </c>
      <c r="AO258" s="33">
        <f>IF(AE258&lt;=0,0,MAX(0,MIN(AE258,ROUND($AZ258-SUMPRODUCT($V258:$AE258*($V258:$AE258&gt;0)*(($V$3:$AE$3&gt;AE$3)+($V$3:$AE$3=AE$3)*($V258:$AE258&lt;AE258)+($V$3:$AE$3=AE$3)*($V258:$AE258=AE258)*($V$2:$AE$2&lt;AE$2))),2))))</f>
      </c>
      <c r="AP258" s="33">
        <f>ROUND(V258-AF258,2)</f>
      </c>
      <c r="AQ258" s="33">
        <f>ROUND(W258-AG258,2)</f>
      </c>
      <c r="AR258" s="33">
        <f>ROUND(X258-AH258,2)</f>
      </c>
      <c r="AS258" s="33">
        <f>ROUND(Y258-AI258,2)</f>
      </c>
      <c r="AT258" s="33">
        <f>ROUND(Z258-AJ258,2)</f>
      </c>
      <c r="AU258" s="33">
        <f>ROUND(AA258-AK258,2)</f>
      </c>
      <c r="AV258" s="33">
        <f>ROUND(AB258-AL258,2)</f>
      </c>
      <c r="AW258" s="33">
        <f>ROUND(AC258-AM258,2)</f>
      </c>
      <c r="AX258" s="33">
        <f>ROUND(AD258-AN258,2)</f>
      </c>
      <c r="AY258" s="33">
        <f>ROUND(AE258-AO258,2)</f>
      </c>
      <c r="AZ258" s="33">
        <f>ROUND(MAX(0,'Your debts'!$D$22-SUM($L258:$U258)),2)</f>
      </c>
      <c r="BA258" s="33">
        <f>ROUND(SUM($B258:$K258)-SUM($AP257:$AY257),2)</f>
      </c>
      <c r="BB258" s="33">
        <f>SUM($AP258:$AY258)</f>
      </c>
      <c r="BC258" s="33">
        <f>ROUND(SUM($L258:$U258)+SUM($AF258:$AO258),2)</f>
      </c>
    </row>
    <row r="259" spans="1:55" x14ac:dyDescent="0.25">
      <c r="A259">
        <v>252</v>
      </c>
      <c r="B259" s="33">
        <f>IF(AP258&lt;=0,0,ROUND(AP258+ROUND(AP258*V$3/12,2),2))</f>
      </c>
      <c r="C259" s="33">
        <f>IF(AQ258&lt;=0,0,ROUND(AQ258+ROUND(AQ258*W$3/12,2),2))</f>
      </c>
      <c r="D259" s="33">
        <f>IF(AR258&lt;=0,0,ROUND(AR258+ROUND(AR258*X$3/12,2),2))</f>
      </c>
      <c r="E259" s="33">
        <f>IF(AS258&lt;=0,0,ROUND(AS258+ROUND(AS258*Y$3/12,2),2))</f>
      </c>
      <c r="F259" s="33">
        <f>IF(AT258&lt;=0,0,ROUND(AT258+ROUND(AT258*Z$3/12,2),2))</f>
      </c>
      <c r="G259" s="33">
        <f>IF(AU258&lt;=0,0,ROUND(AU258+ROUND(AU258*AA$3/12,2),2))</f>
      </c>
      <c r="H259" s="33">
        <f>IF(AV258&lt;=0,0,ROUND(AV258+ROUND(AV258*AB$3/12,2),2))</f>
      </c>
      <c r="I259" s="33">
        <f>IF(AW258&lt;=0,0,ROUND(AW258+ROUND(AW258*AC$3/12,2),2))</f>
      </c>
      <c r="J259" s="33">
        <f>IF(AX258&lt;=0,0,ROUND(AX258+ROUND(AX258*AD$3/12,2),2))</f>
      </c>
      <c r="K259" s="33">
        <f>IF(AY258&lt;=0,0,ROUND(AY258+ROUND(AY258*AE$3/12,2),2))</f>
      </c>
      <c r="L259" s="33">
        <f>ROUND(MIN(MAX(0,N('Your debts'!$E$6)),B259),2)</f>
      </c>
      <c r="M259" s="33">
        <f>ROUND(MIN(MAX(0,N('Your debts'!$E$7)),C259),2)</f>
      </c>
      <c r="N259" s="33">
        <f>ROUND(MIN(MAX(0,N('Your debts'!$E$8)),D259),2)</f>
      </c>
      <c r="O259" s="33">
        <f>ROUND(MIN(MAX(0,N('Your debts'!$E$9)),E259),2)</f>
      </c>
      <c r="P259" s="33">
        <f>ROUND(MIN(MAX(0,N('Your debts'!$E$10)),F259),2)</f>
      </c>
      <c r="Q259" s="33">
        <f>ROUND(MIN(MAX(0,N('Your debts'!$E$11)),G259),2)</f>
      </c>
      <c r="R259" s="33">
        <f>ROUND(MIN(MAX(0,N('Your debts'!$E$12)),H259),2)</f>
      </c>
      <c r="S259" s="33">
        <f>ROUND(MIN(MAX(0,N('Your debts'!$E$13)),I259),2)</f>
      </c>
      <c r="T259" s="33">
        <f>ROUND(MIN(MAX(0,N('Your debts'!$E$14)),J259),2)</f>
      </c>
      <c r="U259" s="33">
        <f>ROUND(MIN(MAX(0,N('Your debts'!$E$15)),K259),2)</f>
      </c>
      <c r="V259" s="33">
        <f>ROUND(B259-L259,2)</f>
      </c>
      <c r="W259" s="33">
        <f>ROUND(C259-M259,2)</f>
      </c>
      <c r="X259" s="33">
        <f>ROUND(D259-N259,2)</f>
      </c>
      <c r="Y259" s="33">
        <f>ROUND(E259-O259,2)</f>
      </c>
      <c r="Z259" s="33">
        <f>ROUND(F259-P259,2)</f>
      </c>
      <c r="AA259" s="33">
        <f>ROUND(G259-Q259,2)</f>
      </c>
      <c r="AB259" s="33">
        <f>ROUND(H259-R259,2)</f>
      </c>
      <c r="AC259" s="33">
        <f>ROUND(I259-S259,2)</f>
      </c>
      <c r="AD259" s="33">
        <f>ROUND(J259-T259,2)</f>
      </c>
      <c r="AE259" s="33">
        <f>ROUND(K259-U259,2)</f>
      </c>
      <c r="AF259" s="33">
        <f>IF(V259&lt;=0,0,MAX(0,MIN(V259,ROUND($AZ259-SUMPRODUCT($V259:$AE259*($V259:$AE259&gt;0)*(($V$3:$AE$3&gt;V$3)+($V$3:$AE$3=V$3)*($V259:$AE259&lt;V259)+($V$3:$AE$3=V$3)*($V259:$AE259=V259)*($V$2:$AE$2&lt;V$2))),2))))</f>
      </c>
      <c r="AG259" s="33">
        <f>IF(W259&lt;=0,0,MAX(0,MIN(W259,ROUND($AZ259-SUMPRODUCT($V259:$AE259*($V259:$AE259&gt;0)*(($V$3:$AE$3&gt;W$3)+($V$3:$AE$3=W$3)*($V259:$AE259&lt;W259)+($V$3:$AE$3=W$3)*($V259:$AE259=W259)*($V$2:$AE$2&lt;W$2))),2))))</f>
      </c>
      <c r="AH259" s="33">
        <f>IF(X259&lt;=0,0,MAX(0,MIN(X259,ROUND($AZ259-SUMPRODUCT($V259:$AE259*($V259:$AE259&gt;0)*(($V$3:$AE$3&gt;X$3)+($V$3:$AE$3=X$3)*($V259:$AE259&lt;X259)+($V$3:$AE$3=X$3)*($V259:$AE259=X259)*($V$2:$AE$2&lt;X$2))),2))))</f>
      </c>
      <c r="AI259" s="33">
        <f>IF(Y259&lt;=0,0,MAX(0,MIN(Y259,ROUND($AZ259-SUMPRODUCT($V259:$AE259*($V259:$AE259&gt;0)*(($V$3:$AE$3&gt;Y$3)+($V$3:$AE$3=Y$3)*($V259:$AE259&lt;Y259)+($V$3:$AE$3=Y$3)*($V259:$AE259=Y259)*($V$2:$AE$2&lt;Y$2))),2))))</f>
      </c>
      <c r="AJ259" s="33">
        <f>IF(Z259&lt;=0,0,MAX(0,MIN(Z259,ROUND($AZ259-SUMPRODUCT($V259:$AE259*($V259:$AE259&gt;0)*(($V$3:$AE$3&gt;Z$3)+($V$3:$AE$3=Z$3)*($V259:$AE259&lt;Z259)+($V$3:$AE$3=Z$3)*($V259:$AE259=Z259)*($V$2:$AE$2&lt;Z$2))),2))))</f>
      </c>
      <c r="AK259" s="33">
        <f>IF(AA259&lt;=0,0,MAX(0,MIN(AA259,ROUND($AZ259-SUMPRODUCT($V259:$AE259*($V259:$AE259&gt;0)*(($V$3:$AE$3&gt;AA$3)+($V$3:$AE$3=AA$3)*($V259:$AE259&lt;AA259)+($V$3:$AE$3=AA$3)*($V259:$AE259=AA259)*($V$2:$AE$2&lt;AA$2))),2))))</f>
      </c>
      <c r="AL259" s="33">
        <f>IF(AB259&lt;=0,0,MAX(0,MIN(AB259,ROUND($AZ259-SUMPRODUCT($V259:$AE259*($V259:$AE259&gt;0)*(($V$3:$AE$3&gt;AB$3)+($V$3:$AE$3=AB$3)*($V259:$AE259&lt;AB259)+($V$3:$AE$3=AB$3)*($V259:$AE259=AB259)*($V$2:$AE$2&lt;AB$2))),2))))</f>
      </c>
      <c r="AM259" s="33">
        <f>IF(AC259&lt;=0,0,MAX(0,MIN(AC259,ROUND($AZ259-SUMPRODUCT($V259:$AE259*($V259:$AE259&gt;0)*(($V$3:$AE$3&gt;AC$3)+($V$3:$AE$3=AC$3)*($V259:$AE259&lt;AC259)+($V$3:$AE$3=AC$3)*($V259:$AE259=AC259)*($V$2:$AE$2&lt;AC$2))),2))))</f>
      </c>
      <c r="AN259" s="33">
        <f>IF(AD259&lt;=0,0,MAX(0,MIN(AD259,ROUND($AZ259-SUMPRODUCT($V259:$AE259*($V259:$AE259&gt;0)*(($V$3:$AE$3&gt;AD$3)+($V$3:$AE$3=AD$3)*($V259:$AE259&lt;AD259)+($V$3:$AE$3=AD$3)*($V259:$AE259=AD259)*($V$2:$AE$2&lt;AD$2))),2))))</f>
      </c>
      <c r="AO259" s="33">
        <f>IF(AE259&lt;=0,0,MAX(0,MIN(AE259,ROUND($AZ259-SUMPRODUCT($V259:$AE259*($V259:$AE259&gt;0)*(($V$3:$AE$3&gt;AE$3)+($V$3:$AE$3=AE$3)*($V259:$AE259&lt;AE259)+($V$3:$AE$3=AE$3)*($V259:$AE259=AE259)*($V$2:$AE$2&lt;AE$2))),2))))</f>
      </c>
      <c r="AP259" s="33">
        <f>ROUND(V259-AF259,2)</f>
      </c>
      <c r="AQ259" s="33">
        <f>ROUND(W259-AG259,2)</f>
      </c>
      <c r="AR259" s="33">
        <f>ROUND(X259-AH259,2)</f>
      </c>
      <c r="AS259" s="33">
        <f>ROUND(Y259-AI259,2)</f>
      </c>
      <c r="AT259" s="33">
        <f>ROUND(Z259-AJ259,2)</f>
      </c>
      <c r="AU259" s="33">
        <f>ROUND(AA259-AK259,2)</f>
      </c>
      <c r="AV259" s="33">
        <f>ROUND(AB259-AL259,2)</f>
      </c>
      <c r="AW259" s="33">
        <f>ROUND(AC259-AM259,2)</f>
      </c>
      <c r="AX259" s="33">
        <f>ROUND(AD259-AN259,2)</f>
      </c>
      <c r="AY259" s="33">
        <f>ROUND(AE259-AO259,2)</f>
      </c>
      <c r="AZ259" s="33">
        <f>ROUND(MAX(0,'Your debts'!$D$22-SUM($L259:$U259)),2)</f>
      </c>
      <c r="BA259" s="33">
        <f>ROUND(SUM($B259:$K259)-SUM($AP258:$AY258),2)</f>
      </c>
      <c r="BB259" s="33">
        <f>SUM($AP259:$AY259)</f>
      </c>
      <c r="BC259" s="33">
        <f>ROUND(SUM($L259:$U259)+SUM($AF259:$AO259),2)</f>
      </c>
    </row>
    <row r="260" spans="1:55" x14ac:dyDescent="0.25">
      <c r="A260">
        <v>253</v>
      </c>
      <c r="B260" s="33">
        <f>IF(AP259&lt;=0,0,ROUND(AP259+ROUND(AP259*V$3/12,2),2))</f>
      </c>
      <c r="C260" s="33">
        <f>IF(AQ259&lt;=0,0,ROUND(AQ259+ROUND(AQ259*W$3/12,2),2))</f>
      </c>
      <c r="D260" s="33">
        <f>IF(AR259&lt;=0,0,ROUND(AR259+ROUND(AR259*X$3/12,2),2))</f>
      </c>
      <c r="E260" s="33">
        <f>IF(AS259&lt;=0,0,ROUND(AS259+ROUND(AS259*Y$3/12,2),2))</f>
      </c>
      <c r="F260" s="33">
        <f>IF(AT259&lt;=0,0,ROUND(AT259+ROUND(AT259*Z$3/12,2),2))</f>
      </c>
      <c r="G260" s="33">
        <f>IF(AU259&lt;=0,0,ROUND(AU259+ROUND(AU259*AA$3/12,2),2))</f>
      </c>
      <c r="H260" s="33">
        <f>IF(AV259&lt;=0,0,ROUND(AV259+ROUND(AV259*AB$3/12,2),2))</f>
      </c>
      <c r="I260" s="33">
        <f>IF(AW259&lt;=0,0,ROUND(AW259+ROUND(AW259*AC$3/12,2),2))</f>
      </c>
      <c r="J260" s="33">
        <f>IF(AX259&lt;=0,0,ROUND(AX259+ROUND(AX259*AD$3/12,2),2))</f>
      </c>
      <c r="K260" s="33">
        <f>IF(AY259&lt;=0,0,ROUND(AY259+ROUND(AY259*AE$3/12,2),2))</f>
      </c>
      <c r="L260" s="33">
        <f>ROUND(MIN(MAX(0,N('Your debts'!$E$6)),B260),2)</f>
      </c>
      <c r="M260" s="33">
        <f>ROUND(MIN(MAX(0,N('Your debts'!$E$7)),C260),2)</f>
      </c>
      <c r="N260" s="33">
        <f>ROUND(MIN(MAX(0,N('Your debts'!$E$8)),D260),2)</f>
      </c>
      <c r="O260" s="33">
        <f>ROUND(MIN(MAX(0,N('Your debts'!$E$9)),E260),2)</f>
      </c>
      <c r="P260" s="33">
        <f>ROUND(MIN(MAX(0,N('Your debts'!$E$10)),F260),2)</f>
      </c>
      <c r="Q260" s="33">
        <f>ROUND(MIN(MAX(0,N('Your debts'!$E$11)),G260),2)</f>
      </c>
      <c r="R260" s="33">
        <f>ROUND(MIN(MAX(0,N('Your debts'!$E$12)),H260),2)</f>
      </c>
      <c r="S260" s="33">
        <f>ROUND(MIN(MAX(0,N('Your debts'!$E$13)),I260),2)</f>
      </c>
      <c r="T260" s="33">
        <f>ROUND(MIN(MAX(0,N('Your debts'!$E$14)),J260),2)</f>
      </c>
      <c r="U260" s="33">
        <f>ROUND(MIN(MAX(0,N('Your debts'!$E$15)),K260),2)</f>
      </c>
      <c r="V260" s="33">
        <f>ROUND(B260-L260,2)</f>
      </c>
      <c r="W260" s="33">
        <f>ROUND(C260-M260,2)</f>
      </c>
      <c r="X260" s="33">
        <f>ROUND(D260-N260,2)</f>
      </c>
      <c r="Y260" s="33">
        <f>ROUND(E260-O260,2)</f>
      </c>
      <c r="Z260" s="33">
        <f>ROUND(F260-P260,2)</f>
      </c>
      <c r="AA260" s="33">
        <f>ROUND(G260-Q260,2)</f>
      </c>
      <c r="AB260" s="33">
        <f>ROUND(H260-R260,2)</f>
      </c>
      <c r="AC260" s="33">
        <f>ROUND(I260-S260,2)</f>
      </c>
      <c r="AD260" s="33">
        <f>ROUND(J260-T260,2)</f>
      </c>
      <c r="AE260" s="33">
        <f>ROUND(K260-U260,2)</f>
      </c>
      <c r="AF260" s="33">
        <f>IF(V260&lt;=0,0,MAX(0,MIN(V260,ROUND($AZ260-SUMPRODUCT($V260:$AE260*($V260:$AE260&gt;0)*(($V$3:$AE$3&gt;V$3)+($V$3:$AE$3=V$3)*($V260:$AE260&lt;V260)+($V$3:$AE$3=V$3)*($V260:$AE260=V260)*($V$2:$AE$2&lt;V$2))),2))))</f>
      </c>
      <c r="AG260" s="33">
        <f>IF(W260&lt;=0,0,MAX(0,MIN(W260,ROUND($AZ260-SUMPRODUCT($V260:$AE260*($V260:$AE260&gt;0)*(($V$3:$AE$3&gt;W$3)+($V$3:$AE$3=W$3)*($V260:$AE260&lt;W260)+($V$3:$AE$3=W$3)*($V260:$AE260=W260)*($V$2:$AE$2&lt;W$2))),2))))</f>
      </c>
      <c r="AH260" s="33">
        <f>IF(X260&lt;=0,0,MAX(0,MIN(X260,ROUND($AZ260-SUMPRODUCT($V260:$AE260*($V260:$AE260&gt;0)*(($V$3:$AE$3&gt;X$3)+($V$3:$AE$3=X$3)*($V260:$AE260&lt;X260)+($V$3:$AE$3=X$3)*($V260:$AE260=X260)*($V$2:$AE$2&lt;X$2))),2))))</f>
      </c>
      <c r="AI260" s="33">
        <f>IF(Y260&lt;=0,0,MAX(0,MIN(Y260,ROUND($AZ260-SUMPRODUCT($V260:$AE260*($V260:$AE260&gt;0)*(($V$3:$AE$3&gt;Y$3)+($V$3:$AE$3=Y$3)*($V260:$AE260&lt;Y260)+($V$3:$AE$3=Y$3)*($V260:$AE260=Y260)*($V$2:$AE$2&lt;Y$2))),2))))</f>
      </c>
      <c r="AJ260" s="33">
        <f>IF(Z260&lt;=0,0,MAX(0,MIN(Z260,ROUND($AZ260-SUMPRODUCT($V260:$AE260*($V260:$AE260&gt;0)*(($V$3:$AE$3&gt;Z$3)+($V$3:$AE$3=Z$3)*($V260:$AE260&lt;Z260)+($V$3:$AE$3=Z$3)*($V260:$AE260=Z260)*($V$2:$AE$2&lt;Z$2))),2))))</f>
      </c>
      <c r="AK260" s="33">
        <f>IF(AA260&lt;=0,0,MAX(0,MIN(AA260,ROUND($AZ260-SUMPRODUCT($V260:$AE260*($V260:$AE260&gt;0)*(($V$3:$AE$3&gt;AA$3)+($V$3:$AE$3=AA$3)*($V260:$AE260&lt;AA260)+($V$3:$AE$3=AA$3)*($V260:$AE260=AA260)*($V$2:$AE$2&lt;AA$2))),2))))</f>
      </c>
      <c r="AL260" s="33">
        <f>IF(AB260&lt;=0,0,MAX(0,MIN(AB260,ROUND($AZ260-SUMPRODUCT($V260:$AE260*($V260:$AE260&gt;0)*(($V$3:$AE$3&gt;AB$3)+($V$3:$AE$3=AB$3)*($V260:$AE260&lt;AB260)+($V$3:$AE$3=AB$3)*($V260:$AE260=AB260)*($V$2:$AE$2&lt;AB$2))),2))))</f>
      </c>
      <c r="AM260" s="33">
        <f>IF(AC260&lt;=0,0,MAX(0,MIN(AC260,ROUND($AZ260-SUMPRODUCT($V260:$AE260*($V260:$AE260&gt;0)*(($V$3:$AE$3&gt;AC$3)+($V$3:$AE$3=AC$3)*($V260:$AE260&lt;AC260)+($V$3:$AE$3=AC$3)*($V260:$AE260=AC260)*($V$2:$AE$2&lt;AC$2))),2))))</f>
      </c>
      <c r="AN260" s="33">
        <f>IF(AD260&lt;=0,0,MAX(0,MIN(AD260,ROUND($AZ260-SUMPRODUCT($V260:$AE260*($V260:$AE260&gt;0)*(($V$3:$AE$3&gt;AD$3)+($V$3:$AE$3=AD$3)*($V260:$AE260&lt;AD260)+($V$3:$AE$3=AD$3)*($V260:$AE260=AD260)*($V$2:$AE$2&lt;AD$2))),2))))</f>
      </c>
      <c r="AO260" s="33">
        <f>IF(AE260&lt;=0,0,MAX(0,MIN(AE260,ROUND($AZ260-SUMPRODUCT($V260:$AE260*($V260:$AE260&gt;0)*(($V$3:$AE$3&gt;AE$3)+($V$3:$AE$3=AE$3)*($V260:$AE260&lt;AE260)+($V$3:$AE$3=AE$3)*($V260:$AE260=AE260)*($V$2:$AE$2&lt;AE$2))),2))))</f>
      </c>
      <c r="AP260" s="33">
        <f>ROUND(V260-AF260,2)</f>
      </c>
      <c r="AQ260" s="33">
        <f>ROUND(W260-AG260,2)</f>
      </c>
      <c r="AR260" s="33">
        <f>ROUND(X260-AH260,2)</f>
      </c>
      <c r="AS260" s="33">
        <f>ROUND(Y260-AI260,2)</f>
      </c>
      <c r="AT260" s="33">
        <f>ROUND(Z260-AJ260,2)</f>
      </c>
      <c r="AU260" s="33">
        <f>ROUND(AA260-AK260,2)</f>
      </c>
      <c r="AV260" s="33">
        <f>ROUND(AB260-AL260,2)</f>
      </c>
      <c r="AW260" s="33">
        <f>ROUND(AC260-AM260,2)</f>
      </c>
      <c r="AX260" s="33">
        <f>ROUND(AD260-AN260,2)</f>
      </c>
      <c r="AY260" s="33">
        <f>ROUND(AE260-AO260,2)</f>
      </c>
      <c r="AZ260" s="33">
        <f>ROUND(MAX(0,'Your debts'!$D$22-SUM($L260:$U260)),2)</f>
      </c>
      <c r="BA260" s="33">
        <f>ROUND(SUM($B260:$K260)-SUM($AP259:$AY259),2)</f>
      </c>
      <c r="BB260" s="33">
        <f>SUM($AP260:$AY260)</f>
      </c>
      <c r="BC260" s="33">
        <f>ROUND(SUM($L260:$U260)+SUM($AF260:$AO260),2)</f>
      </c>
    </row>
    <row r="261" spans="1:55" x14ac:dyDescent="0.25">
      <c r="A261">
        <v>254</v>
      </c>
      <c r="B261" s="33">
        <f>IF(AP260&lt;=0,0,ROUND(AP260+ROUND(AP260*V$3/12,2),2))</f>
      </c>
      <c r="C261" s="33">
        <f>IF(AQ260&lt;=0,0,ROUND(AQ260+ROUND(AQ260*W$3/12,2),2))</f>
      </c>
      <c r="D261" s="33">
        <f>IF(AR260&lt;=0,0,ROUND(AR260+ROUND(AR260*X$3/12,2),2))</f>
      </c>
      <c r="E261" s="33">
        <f>IF(AS260&lt;=0,0,ROUND(AS260+ROUND(AS260*Y$3/12,2),2))</f>
      </c>
      <c r="F261" s="33">
        <f>IF(AT260&lt;=0,0,ROUND(AT260+ROUND(AT260*Z$3/12,2),2))</f>
      </c>
      <c r="G261" s="33">
        <f>IF(AU260&lt;=0,0,ROUND(AU260+ROUND(AU260*AA$3/12,2),2))</f>
      </c>
      <c r="H261" s="33">
        <f>IF(AV260&lt;=0,0,ROUND(AV260+ROUND(AV260*AB$3/12,2),2))</f>
      </c>
      <c r="I261" s="33">
        <f>IF(AW260&lt;=0,0,ROUND(AW260+ROUND(AW260*AC$3/12,2),2))</f>
      </c>
      <c r="J261" s="33">
        <f>IF(AX260&lt;=0,0,ROUND(AX260+ROUND(AX260*AD$3/12,2),2))</f>
      </c>
      <c r="K261" s="33">
        <f>IF(AY260&lt;=0,0,ROUND(AY260+ROUND(AY260*AE$3/12,2),2))</f>
      </c>
      <c r="L261" s="33">
        <f>ROUND(MIN(MAX(0,N('Your debts'!$E$6)),B261),2)</f>
      </c>
      <c r="M261" s="33">
        <f>ROUND(MIN(MAX(0,N('Your debts'!$E$7)),C261),2)</f>
      </c>
      <c r="N261" s="33">
        <f>ROUND(MIN(MAX(0,N('Your debts'!$E$8)),D261),2)</f>
      </c>
      <c r="O261" s="33">
        <f>ROUND(MIN(MAX(0,N('Your debts'!$E$9)),E261),2)</f>
      </c>
      <c r="P261" s="33">
        <f>ROUND(MIN(MAX(0,N('Your debts'!$E$10)),F261),2)</f>
      </c>
      <c r="Q261" s="33">
        <f>ROUND(MIN(MAX(0,N('Your debts'!$E$11)),G261),2)</f>
      </c>
      <c r="R261" s="33">
        <f>ROUND(MIN(MAX(0,N('Your debts'!$E$12)),H261),2)</f>
      </c>
      <c r="S261" s="33">
        <f>ROUND(MIN(MAX(0,N('Your debts'!$E$13)),I261),2)</f>
      </c>
      <c r="T261" s="33">
        <f>ROUND(MIN(MAX(0,N('Your debts'!$E$14)),J261),2)</f>
      </c>
      <c r="U261" s="33">
        <f>ROUND(MIN(MAX(0,N('Your debts'!$E$15)),K261),2)</f>
      </c>
      <c r="V261" s="33">
        <f>ROUND(B261-L261,2)</f>
      </c>
      <c r="W261" s="33">
        <f>ROUND(C261-M261,2)</f>
      </c>
      <c r="X261" s="33">
        <f>ROUND(D261-N261,2)</f>
      </c>
      <c r="Y261" s="33">
        <f>ROUND(E261-O261,2)</f>
      </c>
      <c r="Z261" s="33">
        <f>ROUND(F261-P261,2)</f>
      </c>
      <c r="AA261" s="33">
        <f>ROUND(G261-Q261,2)</f>
      </c>
      <c r="AB261" s="33">
        <f>ROUND(H261-R261,2)</f>
      </c>
      <c r="AC261" s="33">
        <f>ROUND(I261-S261,2)</f>
      </c>
      <c r="AD261" s="33">
        <f>ROUND(J261-T261,2)</f>
      </c>
      <c r="AE261" s="33">
        <f>ROUND(K261-U261,2)</f>
      </c>
      <c r="AF261" s="33">
        <f>IF(V261&lt;=0,0,MAX(0,MIN(V261,ROUND($AZ261-SUMPRODUCT($V261:$AE261*($V261:$AE261&gt;0)*(($V$3:$AE$3&gt;V$3)+($V$3:$AE$3=V$3)*($V261:$AE261&lt;V261)+($V$3:$AE$3=V$3)*($V261:$AE261=V261)*($V$2:$AE$2&lt;V$2))),2))))</f>
      </c>
      <c r="AG261" s="33">
        <f>IF(W261&lt;=0,0,MAX(0,MIN(W261,ROUND($AZ261-SUMPRODUCT($V261:$AE261*($V261:$AE261&gt;0)*(($V$3:$AE$3&gt;W$3)+($V$3:$AE$3=W$3)*($V261:$AE261&lt;W261)+($V$3:$AE$3=W$3)*($V261:$AE261=W261)*($V$2:$AE$2&lt;W$2))),2))))</f>
      </c>
      <c r="AH261" s="33">
        <f>IF(X261&lt;=0,0,MAX(0,MIN(X261,ROUND($AZ261-SUMPRODUCT($V261:$AE261*($V261:$AE261&gt;0)*(($V$3:$AE$3&gt;X$3)+($V$3:$AE$3=X$3)*($V261:$AE261&lt;X261)+($V$3:$AE$3=X$3)*($V261:$AE261=X261)*($V$2:$AE$2&lt;X$2))),2))))</f>
      </c>
      <c r="AI261" s="33">
        <f>IF(Y261&lt;=0,0,MAX(0,MIN(Y261,ROUND($AZ261-SUMPRODUCT($V261:$AE261*($V261:$AE261&gt;0)*(($V$3:$AE$3&gt;Y$3)+($V$3:$AE$3=Y$3)*($V261:$AE261&lt;Y261)+($V$3:$AE$3=Y$3)*($V261:$AE261=Y261)*($V$2:$AE$2&lt;Y$2))),2))))</f>
      </c>
      <c r="AJ261" s="33">
        <f>IF(Z261&lt;=0,0,MAX(0,MIN(Z261,ROUND($AZ261-SUMPRODUCT($V261:$AE261*($V261:$AE261&gt;0)*(($V$3:$AE$3&gt;Z$3)+($V$3:$AE$3=Z$3)*($V261:$AE261&lt;Z261)+($V$3:$AE$3=Z$3)*($V261:$AE261=Z261)*($V$2:$AE$2&lt;Z$2))),2))))</f>
      </c>
      <c r="AK261" s="33">
        <f>IF(AA261&lt;=0,0,MAX(0,MIN(AA261,ROUND($AZ261-SUMPRODUCT($V261:$AE261*($V261:$AE261&gt;0)*(($V$3:$AE$3&gt;AA$3)+($V$3:$AE$3=AA$3)*($V261:$AE261&lt;AA261)+($V$3:$AE$3=AA$3)*($V261:$AE261=AA261)*($V$2:$AE$2&lt;AA$2))),2))))</f>
      </c>
      <c r="AL261" s="33">
        <f>IF(AB261&lt;=0,0,MAX(0,MIN(AB261,ROUND($AZ261-SUMPRODUCT($V261:$AE261*($V261:$AE261&gt;0)*(($V$3:$AE$3&gt;AB$3)+($V$3:$AE$3=AB$3)*($V261:$AE261&lt;AB261)+($V$3:$AE$3=AB$3)*($V261:$AE261=AB261)*($V$2:$AE$2&lt;AB$2))),2))))</f>
      </c>
      <c r="AM261" s="33">
        <f>IF(AC261&lt;=0,0,MAX(0,MIN(AC261,ROUND($AZ261-SUMPRODUCT($V261:$AE261*($V261:$AE261&gt;0)*(($V$3:$AE$3&gt;AC$3)+($V$3:$AE$3=AC$3)*($V261:$AE261&lt;AC261)+($V$3:$AE$3=AC$3)*($V261:$AE261=AC261)*($V$2:$AE$2&lt;AC$2))),2))))</f>
      </c>
      <c r="AN261" s="33">
        <f>IF(AD261&lt;=0,0,MAX(0,MIN(AD261,ROUND($AZ261-SUMPRODUCT($V261:$AE261*($V261:$AE261&gt;0)*(($V$3:$AE$3&gt;AD$3)+($V$3:$AE$3=AD$3)*($V261:$AE261&lt;AD261)+($V$3:$AE$3=AD$3)*($V261:$AE261=AD261)*($V$2:$AE$2&lt;AD$2))),2))))</f>
      </c>
      <c r="AO261" s="33">
        <f>IF(AE261&lt;=0,0,MAX(0,MIN(AE261,ROUND($AZ261-SUMPRODUCT($V261:$AE261*($V261:$AE261&gt;0)*(($V$3:$AE$3&gt;AE$3)+($V$3:$AE$3=AE$3)*($V261:$AE261&lt;AE261)+($V$3:$AE$3=AE$3)*($V261:$AE261=AE261)*($V$2:$AE$2&lt;AE$2))),2))))</f>
      </c>
      <c r="AP261" s="33">
        <f>ROUND(V261-AF261,2)</f>
      </c>
      <c r="AQ261" s="33">
        <f>ROUND(W261-AG261,2)</f>
      </c>
      <c r="AR261" s="33">
        <f>ROUND(X261-AH261,2)</f>
      </c>
      <c r="AS261" s="33">
        <f>ROUND(Y261-AI261,2)</f>
      </c>
      <c r="AT261" s="33">
        <f>ROUND(Z261-AJ261,2)</f>
      </c>
      <c r="AU261" s="33">
        <f>ROUND(AA261-AK261,2)</f>
      </c>
      <c r="AV261" s="33">
        <f>ROUND(AB261-AL261,2)</f>
      </c>
      <c r="AW261" s="33">
        <f>ROUND(AC261-AM261,2)</f>
      </c>
      <c r="AX261" s="33">
        <f>ROUND(AD261-AN261,2)</f>
      </c>
      <c r="AY261" s="33">
        <f>ROUND(AE261-AO261,2)</f>
      </c>
      <c r="AZ261" s="33">
        <f>ROUND(MAX(0,'Your debts'!$D$22-SUM($L261:$U261)),2)</f>
      </c>
      <c r="BA261" s="33">
        <f>ROUND(SUM($B261:$K261)-SUM($AP260:$AY260),2)</f>
      </c>
      <c r="BB261" s="33">
        <f>SUM($AP261:$AY261)</f>
      </c>
      <c r="BC261" s="33">
        <f>ROUND(SUM($L261:$U261)+SUM($AF261:$AO261),2)</f>
      </c>
    </row>
    <row r="262" spans="1:55" x14ac:dyDescent="0.25">
      <c r="A262">
        <v>255</v>
      </c>
      <c r="B262" s="33">
        <f>IF(AP261&lt;=0,0,ROUND(AP261+ROUND(AP261*V$3/12,2),2))</f>
      </c>
      <c r="C262" s="33">
        <f>IF(AQ261&lt;=0,0,ROUND(AQ261+ROUND(AQ261*W$3/12,2),2))</f>
      </c>
      <c r="D262" s="33">
        <f>IF(AR261&lt;=0,0,ROUND(AR261+ROUND(AR261*X$3/12,2),2))</f>
      </c>
      <c r="E262" s="33">
        <f>IF(AS261&lt;=0,0,ROUND(AS261+ROUND(AS261*Y$3/12,2),2))</f>
      </c>
      <c r="F262" s="33">
        <f>IF(AT261&lt;=0,0,ROUND(AT261+ROUND(AT261*Z$3/12,2),2))</f>
      </c>
      <c r="G262" s="33">
        <f>IF(AU261&lt;=0,0,ROUND(AU261+ROUND(AU261*AA$3/12,2),2))</f>
      </c>
      <c r="H262" s="33">
        <f>IF(AV261&lt;=0,0,ROUND(AV261+ROUND(AV261*AB$3/12,2),2))</f>
      </c>
      <c r="I262" s="33">
        <f>IF(AW261&lt;=0,0,ROUND(AW261+ROUND(AW261*AC$3/12,2),2))</f>
      </c>
      <c r="J262" s="33">
        <f>IF(AX261&lt;=0,0,ROUND(AX261+ROUND(AX261*AD$3/12,2),2))</f>
      </c>
      <c r="K262" s="33">
        <f>IF(AY261&lt;=0,0,ROUND(AY261+ROUND(AY261*AE$3/12,2),2))</f>
      </c>
      <c r="L262" s="33">
        <f>ROUND(MIN(MAX(0,N('Your debts'!$E$6)),B262),2)</f>
      </c>
      <c r="M262" s="33">
        <f>ROUND(MIN(MAX(0,N('Your debts'!$E$7)),C262),2)</f>
      </c>
      <c r="N262" s="33">
        <f>ROUND(MIN(MAX(0,N('Your debts'!$E$8)),D262),2)</f>
      </c>
      <c r="O262" s="33">
        <f>ROUND(MIN(MAX(0,N('Your debts'!$E$9)),E262),2)</f>
      </c>
      <c r="P262" s="33">
        <f>ROUND(MIN(MAX(0,N('Your debts'!$E$10)),F262),2)</f>
      </c>
      <c r="Q262" s="33">
        <f>ROUND(MIN(MAX(0,N('Your debts'!$E$11)),G262),2)</f>
      </c>
      <c r="R262" s="33">
        <f>ROUND(MIN(MAX(0,N('Your debts'!$E$12)),H262),2)</f>
      </c>
      <c r="S262" s="33">
        <f>ROUND(MIN(MAX(0,N('Your debts'!$E$13)),I262),2)</f>
      </c>
      <c r="T262" s="33">
        <f>ROUND(MIN(MAX(0,N('Your debts'!$E$14)),J262),2)</f>
      </c>
      <c r="U262" s="33">
        <f>ROUND(MIN(MAX(0,N('Your debts'!$E$15)),K262),2)</f>
      </c>
      <c r="V262" s="33">
        <f>ROUND(B262-L262,2)</f>
      </c>
      <c r="W262" s="33">
        <f>ROUND(C262-M262,2)</f>
      </c>
      <c r="X262" s="33">
        <f>ROUND(D262-N262,2)</f>
      </c>
      <c r="Y262" s="33">
        <f>ROUND(E262-O262,2)</f>
      </c>
      <c r="Z262" s="33">
        <f>ROUND(F262-P262,2)</f>
      </c>
      <c r="AA262" s="33">
        <f>ROUND(G262-Q262,2)</f>
      </c>
      <c r="AB262" s="33">
        <f>ROUND(H262-R262,2)</f>
      </c>
      <c r="AC262" s="33">
        <f>ROUND(I262-S262,2)</f>
      </c>
      <c r="AD262" s="33">
        <f>ROUND(J262-T262,2)</f>
      </c>
      <c r="AE262" s="33">
        <f>ROUND(K262-U262,2)</f>
      </c>
      <c r="AF262" s="33">
        <f>IF(V262&lt;=0,0,MAX(0,MIN(V262,ROUND($AZ262-SUMPRODUCT($V262:$AE262*($V262:$AE262&gt;0)*(($V$3:$AE$3&gt;V$3)+($V$3:$AE$3=V$3)*($V262:$AE262&lt;V262)+($V$3:$AE$3=V$3)*($V262:$AE262=V262)*($V$2:$AE$2&lt;V$2))),2))))</f>
      </c>
      <c r="AG262" s="33">
        <f>IF(W262&lt;=0,0,MAX(0,MIN(W262,ROUND($AZ262-SUMPRODUCT($V262:$AE262*($V262:$AE262&gt;0)*(($V$3:$AE$3&gt;W$3)+($V$3:$AE$3=W$3)*($V262:$AE262&lt;W262)+($V$3:$AE$3=W$3)*($V262:$AE262=W262)*($V$2:$AE$2&lt;W$2))),2))))</f>
      </c>
      <c r="AH262" s="33">
        <f>IF(X262&lt;=0,0,MAX(0,MIN(X262,ROUND($AZ262-SUMPRODUCT($V262:$AE262*($V262:$AE262&gt;0)*(($V$3:$AE$3&gt;X$3)+($V$3:$AE$3=X$3)*($V262:$AE262&lt;X262)+($V$3:$AE$3=X$3)*($V262:$AE262=X262)*($V$2:$AE$2&lt;X$2))),2))))</f>
      </c>
      <c r="AI262" s="33">
        <f>IF(Y262&lt;=0,0,MAX(0,MIN(Y262,ROUND($AZ262-SUMPRODUCT($V262:$AE262*($V262:$AE262&gt;0)*(($V$3:$AE$3&gt;Y$3)+($V$3:$AE$3=Y$3)*($V262:$AE262&lt;Y262)+($V$3:$AE$3=Y$3)*($V262:$AE262=Y262)*($V$2:$AE$2&lt;Y$2))),2))))</f>
      </c>
      <c r="AJ262" s="33">
        <f>IF(Z262&lt;=0,0,MAX(0,MIN(Z262,ROUND($AZ262-SUMPRODUCT($V262:$AE262*($V262:$AE262&gt;0)*(($V$3:$AE$3&gt;Z$3)+($V$3:$AE$3=Z$3)*($V262:$AE262&lt;Z262)+($V$3:$AE$3=Z$3)*($V262:$AE262=Z262)*($V$2:$AE$2&lt;Z$2))),2))))</f>
      </c>
      <c r="AK262" s="33">
        <f>IF(AA262&lt;=0,0,MAX(0,MIN(AA262,ROUND($AZ262-SUMPRODUCT($V262:$AE262*($V262:$AE262&gt;0)*(($V$3:$AE$3&gt;AA$3)+($V$3:$AE$3=AA$3)*($V262:$AE262&lt;AA262)+($V$3:$AE$3=AA$3)*($V262:$AE262=AA262)*($V$2:$AE$2&lt;AA$2))),2))))</f>
      </c>
      <c r="AL262" s="33">
        <f>IF(AB262&lt;=0,0,MAX(0,MIN(AB262,ROUND($AZ262-SUMPRODUCT($V262:$AE262*($V262:$AE262&gt;0)*(($V$3:$AE$3&gt;AB$3)+($V$3:$AE$3=AB$3)*($V262:$AE262&lt;AB262)+($V$3:$AE$3=AB$3)*($V262:$AE262=AB262)*($V$2:$AE$2&lt;AB$2))),2))))</f>
      </c>
      <c r="AM262" s="33">
        <f>IF(AC262&lt;=0,0,MAX(0,MIN(AC262,ROUND($AZ262-SUMPRODUCT($V262:$AE262*($V262:$AE262&gt;0)*(($V$3:$AE$3&gt;AC$3)+($V$3:$AE$3=AC$3)*($V262:$AE262&lt;AC262)+($V$3:$AE$3=AC$3)*($V262:$AE262=AC262)*($V$2:$AE$2&lt;AC$2))),2))))</f>
      </c>
      <c r="AN262" s="33">
        <f>IF(AD262&lt;=0,0,MAX(0,MIN(AD262,ROUND($AZ262-SUMPRODUCT($V262:$AE262*($V262:$AE262&gt;0)*(($V$3:$AE$3&gt;AD$3)+($V$3:$AE$3=AD$3)*($V262:$AE262&lt;AD262)+($V$3:$AE$3=AD$3)*($V262:$AE262=AD262)*($V$2:$AE$2&lt;AD$2))),2))))</f>
      </c>
      <c r="AO262" s="33">
        <f>IF(AE262&lt;=0,0,MAX(0,MIN(AE262,ROUND($AZ262-SUMPRODUCT($V262:$AE262*($V262:$AE262&gt;0)*(($V$3:$AE$3&gt;AE$3)+($V$3:$AE$3=AE$3)*($V262:$AE262&lt;AE262)+($V$3:$AE$3=AE$3)*($V262:$AE262=AE262)*($V$2:$AE$2&lt;AE$2))),2))))</f>
      </c>
      <c r="AP262" s="33">
        <f>ROUND(V262-AF262,2)</f>
      </c>
      <c r="AQ262" s="33">
        <f>ROUND(W262-AG262,2)</f>
      </c>
      <c r="AR262" s="33">
        <f>ROUND(X262-AH262,2)</f>
      </c>
      <c r="AS262" s="33">
        <f>ROUND(Y262-AI262,2)</f>
      </c>
      <c r="AT262" s="33">
        <f>ROUND(Z262-AJ262,2)</f>
      </c>
      <c r="AU262" s="33">
        <f>ROUND(AA262-AK262,2)</f>
      </c>
      <c r="AV262" s="33">
        <f>ROUND(AB262-AL262,2)</f>
      </c>
      <c r="AW262" s="33">
        <f>ROUND(AC262-AM262,2)</f>
      </c>
      <c r="AX262" s="33">
        <f>ROUND(AD262-AN262,2)</f>
      </c>
      <c r="AY262" s="33">
        <f>ROUND(AE262-AO262,2)</f>
      </c>
      <c r="AZ262" s="33">
        <f>ROUND(MAX(0,'Your debts'!$D$22-SUM($L262:$U262)),2)</f>
      </c>
      <c r="BA262" s="33">
        <f>ROUND(SUM($B262:$K262)-SUM($AP261:$AY261),2)</f>
      </c>
      <c r="BB262" s="33">
        <f>SUM($AP262:$AY262)</f>
      </c>
      <c r="BC262" s="33">
        <f>ROUND(SUM($L262:$U262)+SUM($AF262:$AO262),2)</f>
      </c>
    </row>
    <row r="263" spans="1:55" x14ac:dyDescent="0.25">
      <c r="A263">
        <v>256</v>
      </c>
      <c r="B263" s="33">
        <f>IF(AP262&lt;=0,0,ROUND(AP262+ROUND(AP262*V$3/12,2),2))</f>
      </c>
      <c r="C263" s="33">
        <f>IF(AQ262&lt;=0,0,ROUND(AQ262+ROUND(AQ262*W$3/12,2),2))</f>
      </c>
      <c r="D263" s="33">
        <f>IF(AR262&lt;=0,0,ROUND(AR262+ROUND(AR262*X$3/12,2),2))</f>
      </c>
      <c r="E263" s="33">
        <f>IF(AS262&lt;=0,0,ROUND(AS262+ROUND(AS262*Y$3/12,2),2))</f>
      </c>
      <c r="F263" s="33">
        <f>IF(AT262&lt;=0,0,ROUND(AT262+ROUND(AT262*Z$3/12,2),2))</f>
      </c>
      <c r="G263" s="33">
        <f>IF(AU262&lt;=0,0,ROUND(AU262+ROUND(AU262*AA$3/12,2),2))</f>
      </c>
      <c r="H263" s="33">
        <f>IF(AV262&lt;=0,0,ROUND(AV262+ROUND(AV262*AB$3/12,2),2))</f>
      </c>
      <c r="I263" s="33">
        <f>IF(AW262&lt;=0,0,ROUND(AW262+ROUND(AW262*AC$3/12,2),2))</f>
      </c>
      <c r="J263" s="33">
        <f>IF(AX262&lt;=0,0,ROUND(AX262+ROUND(AX262*AD$3/12,2),2))</f>
      </c>
      <c r="K263" s="33">
        <f>IF(AY262&lt;=0,0,ROUND(AY262+ROUND(AY262*AE$3/12,2),2))</f>
      </c>
      <c r="L263" s="33">
        <f>ROUND(MIN(MAX(0,N('Your debts'!$E$6)),B263),2)</f>
      </c>
      <c r="M263" s="33">
        <f>ROUND(MIN(MAX(0,N('Your debts'!$E$7)),C263),2)</f>
      </c>
      <c r="N263" s="33">
        <f>ROUND(MIN(MAX(0,N('Your debts'!$E$8)),D263),2)</f>
      </c>
      <c r="O263" s="33">
        <f>ROUND(MIN(MAX(0,N('Your debts'!$E$9)),E263),2)</f>
      </c>
      <c r="P263" s="33">
        <f>ROUND(MIN(MAX(0,N('Your debts'!$E$10)),F263),2)</f>
      </c>
      <c r="Q263" s="33">
        <f>ROUND(MIN(MAX(0,N('Your debts'!$E$11)),G263),2)</f>
      </c>
      <c r="R263" s="33">
        <f>ROUND(MIN(MAX(0,N('Your debts'!$E$12)),H263),2)</f>
      </c>
      <c r="S263" s="33">
        <f>ROUND(MIN(MAX(0,N('Your debts'!$E$13)),I263),2)</f>
      </c>
      <c r="T263" s="33">
        <f>ROUND(MIN(MAX(0,N('Your debts'!$E$14)),J263),2)</f>
      </c>
      <c r="U263" s="33">
        <f>ROUND(MIN(MAX(0,N('Your debts'!$E$15)),K263),2)</f>
      </c>
      <c r="V263" s="33">
        <f>ROUND(B263-L263,2)</f>
      </c>
      <c r="W263" s="33">
        <f>ROUND(C263-M263,2)</f>
      </c>
      <c r="X263" s="33">
        <f>ROUND(D263-N263,2)</f>
      </c>
      <c r="Y263" s="33">
        <f>ROUND(E263-O263,2)</f>
      </c>
      <c r="Z263" s="33">
        <f>ROUND(F263-P263,2)</f>
      </c>
      <c r="AA263" s="33">
        <f>ROUND(G263-Q263,2)</f>
      </c>
      <c r="AB263" s="33">
        <f>ROUND(H263-R263,2)</f>
      </c>
      <c r="AC263" s="33">
        <f>ROUND(I263-S263,2)</f>
      </c>
      <c r="AD263" s="33">
        <f>ROUND(J263-T263,2)</f>
      </c>
      <c r="AE263" s="33">
        <f>ROUND(K263-U263,2)</f>
      </c>
      <c r="AF263" s="33">
        <f>IF(V263&lt;=0,0,MAX(0,MIN(V263,ROUND($AZ263-SUMPRODUCT($V263:$AE263*($V263:$AE263&gt;0)*(($V$3:$AE$3&gt;V$3)+($V$3:$AE$3=V$3)*($V263:$AE263&lt;V263)+($V$3:$AE$3=V$3)*($V263:$AE263=V263)*($V$2:$AE$2&lt;V$2))),2))))</f>
      </c>
      <c r="AG263" s="33">
        <f>IF(W263&lt;=0,0,MAX(0,MIN(W263,ROUND($AZ263-SUMPRODUCT($V263:$AE263*($V263:$AE263&gt;0)*(($V$3:$AE$3&gt;W$3)+($V$3:$AE$3=W$3)*($V263:$AE263&lt;W263)+($V$3:$AE$3=W$3)*($V263:$AE263=W263)*($V$2:$AE$2&lt;W$2))),2))))</f>
      </c>
      <c r="AH263" s="33">
        <f>IF(X263&lt;=0,0,MAX(0,MIN(X263,ROUND($AZ263-SUMPRODUCT($V263:$AE263*($V263:$AE263&gt;0)*(($V$3:$AE$3&gt;X$3)+($V$3:$AE$3=X$3)*($V263:$AE263&lt;X263)+($V$3:$AE$3=X$3)*($V263:$AE263=X263)*($V$2:$AE$2&lt;X$2))),2))))</f>
      </c>
      <c r="AI263" s="33">
        <f>IF(Y263&lt;=0,0,MAX(0,MIN(Y263,ROUND($AZ263-SUMPRODUCT($V263:$AE263*($V263:$AE263&gt;0)*(($V$3:$AE$3&gt;Y$3)+($V$3:$AE$3=Y$3)*($V263:$AE263&lt;Y263)+($V$3:$AE$3=Y$3)*($V263:$AE263=Y263)*($V$2:$AE$2&lt;Y$2))),2))))</f>
      </c>
      <c r="AJ263" s="33">
        <f>IF(Z263&lt;=0,0,MAX(0,MIN(Z263,ROUND($AZ263-SUMPRODUCT($V263:$AE263*($V263:$AE263&gt;0)*(($V$3:$AE$3&gt;Z$3)+($V$3:$AE$3=Z$3)*($V263:$AE263&lt;Z263)+($V$3:$AE$3=Z$3)*($V263:$AE263=Z263)*($V$2:$AE$2&lt;Z$2))),2))))</f>
      </c>
      <c r="AK263" s="33">
        <f>IF(AA263&lt;=0,0,MAX(0,MIN(AA263,ROUND($AZ263-SUMPRODUCT($V263:$AE263*($V263:$AE263&gt;0)*(($V$3:$AE$3&gt;AA$3)+($V$3:$AE$3=AA$3)*($V263:$AE263&lt;AA263)+($V$3:$AE$3=AA$3)*($V263:$AE263=AA263)*($V$2:$AE$2&lt;AA$2))),2))))</f>
      </c>
      <c r="AL263" s="33">
        <f>IF(AB263&lt;=0,0,MAX(0,MIN(AB263,ROUND($AZ263-SUMPRODUCT($V263:$AE263*($V263:$AE263&gt;0)*(($V$3:$AE$3&gt;AB$3)+($V$3:$AE$3=AB$3)*($V263:$AE263&lt;AB263)+($V$3:$AE$3=AB$3)*($V263:$AE263=AB263)*($V$2:$AE$2&lt;AB$2))),2))))</f>
      </c>
      <c r="AM263" s="33">
        <f>IF(AC263&lt;=0,0,MAX(0,MIN(AC263,ROUND($AZ263-SUMPRODUCT($V263:$AE263*($V263:$AE263&gt;0)*(($V$3:$AE$3&gt;AC$3)+($V$3:$AE$3=AC$3)*($V263:$AE263&lt;AC263)+($V$3:$AE$3=AC$3)*($V263:$AE263=AC263)*($V$2:$AE$2&lt;AC$2))),2))))</f>
      </c>
      <c r="AN263" s="33">
        <f>IF(AD263&lt;=0,0,MAX(0,MIN(AD263,ROUND($AZ263-SUMPRODUCT($V263:$AE263*($V263:$AE263&gt;0)*(($V$3:$AE$3&gt;AD$3)+($V$3:$AE$3=AD$3)*($V263:$AE263&lt;AD263)+($V$3:$AE$3=AD$3)*($V263:$AE263=AD263)*($V$2:$AE$2&lt;AD$2))),2))))</f>
      </c>
      <c r="AO263" s="33">
        <f>IF(AE263&lt;=0,0,MAX(0,MIN(AE263,ROUND($AZ263-SUMPRODUCT($V263:$AE263*($V263:$AE263&gt;0)*(($V$3:$AE$3&gt;AE$3)+($V$3:$AE$3=AE$3)*($V263:$AE263&lt;AE263)+($V$3:$AE$3=AE$3)*($V263:$AE263=AE263)*($V$2:$AE$2&lt;AE$2))),2))))</f>
      </c>
      <c r="AP263" s="33">
        <f>ROUND(V263-AF263,2)</f>
      </c>
      <c r="AQ263" s="33">
        <f>ROUND(W263-AG263,2)</f>
      </c>
      <c r="AR263" s="33">
        <f>ROUND(X263-AH263,2)</f>
      </c>
      <c r="AS263" s="33">
        <f>ROUND(Y263-AI263,2)</f>
      </c>
      <c r="AT263" s="33">
        <f>ROUND(Z263-AJ263,2)</f>
      </c>
      <c r="AU263" s="33">
        <f>ROUND(AA263-AK263,2)</f>
      </c>
      <c r="AV263" s="33">
        <f>ROUND(AB263-AL263,2)</f>
      </c>
      <c r="AW263" s="33">
        <f>ROUND(AC263-AM263,2)</f>
      </c>
      <c r="AX263" s="33">
        <f>ROUND(AD263-AN263,2)</f>
      </c>
      <c r="AY263" s="33">
        <f>ROUND(AE263-AO263,2)</f>
      </c>
      <c r="AZ263" s="33">
        <f>ROUND(MAX(0,'Your debts'!$D$22-SUM($L263:$U263)),2)</f>
      </c>
      <c r="BA263" s="33">
        <f>ROUND(SUM($B263:$K263)-SUM($AP262:$AY262),2)</f>
      </c>
      <c r="BB263" s="33">
        <f>SUM($AP263:$AY263)</f>
      </c>
      <c r="BC263" s="33">
        <f>ROUND(SUM($L263:$U263)+SUM($AF263:$AO263),2)</f>
      </c>
    </row>
    <row r="264" spans="1:55" x14ac:dyDescent="0.25">
      <c r="A264">
        <v>257</v>
      </c>
      <c r="B264" s="33">
        <f>IF(AP263&lt;=0,0,ROUND(AP263+ROUND(AP263*V$3/12,2),2))</f>
      </c>
      <c r="C264" s="33">
        <f>IF(AQ263&lt;=0,0,ROUND(AQ263+ROUND(AQ263*W$3/12,2),2))</f>
      </c>
      <c r="D264" s="33">
        <f>IF(AR263&lt;=0,0,ROUND(AR263+ROUND(AR263*X$3/12,2),2))</f>
      </c>
      <c r="E264" s="33">
        <f>IF(AS263&lt;=0,0,ROUND(AS263+ROUND(AS263*Y$3/12,2),2))</f>
      </c>
      <c r="F264" s="33">
        <f>IF(AT263&lt;=0,0,ROUND(AT263+ROUND(AT263*Z$3/12,2),2))</f>
      </c>
      <c r="G264" s="33">
        <f>IF(AU263&lt;=0,0,ROUND(AU263+ROUND(AU263*AA$3/12,2),2))</f>
      </c>
      <c r="H264" s="33">
        <f>IF(AV263&lt;=0,0,ROUND(AV263+ROUND(AV263*AB$3/12,2),2))</f>
      </c>
      <c r="I264" s="33">
        <f>IF(AW263&lt;=0,0,ROUND(AW263+ROUND(AW263*AC$3/12,2),2))</f>
      </c>
      <c r="J264" s="33">
        <f>IF(AX263&lt;=0,0,ROUND(AX263+ROUND(AX263*AD$3/12,2),2))</f>
      </c>
      <c r="K264" s="33">
        <f>IF(AY263&lt;=0,0,ROUND(AY263+ROUND(AY263*AE$3/12,2),2))</f>
      </c>
      <c r="L264" s="33">
        <f>ROUND(MIN(MAX(0,N('Your debts'!$E$6)),B264),2)</f>
      </c>
      <c r="M264" s="33">
        <f>ROUND(MIN(MAX(0,N('Your debts'!$E$7)),C264),2)</f>
      </c>
      <c r="N264" s="33">
        <f>ROUND(MIN(MAX(0,N('Your debts'!$E$8)),D264),2)</f>
      </c>
      <c r="O264" s="33">
        <f>ROUND(MIN(MAX(0,N('Your debts'!$E$9)),E264),2)</f>
      </c>
      <c r="P264" s="33">
        <f>ROUND(MIN(MAX(0,N('Your debts'!$E$10)),F264),2)</f>
      </c>
      <c r="Q264" s="33">
        <f>ROUND(MIN(MAX(0,N('Your debts'!$E$11)),G264),2)</f>
      </c>
      <c r="R264" s="33">
        <f>ROUND(MIN(MAX(0,N('Your debts'!$E$12)),H264),2)</f>
      </c>
      <c r="S264" s="33">
        <f>ROUND(MIN(MAX(0,N('Your debts'!$E$13)),I264),2)</f>
      </c>
      <c r="T264" s="33">
        <f>ROUND(MIN(MAX(0,N('Your debts'!$E$14)),J264),2)</f>
      </c>
      <c r="U264" s="33">
        <f>ROUND(MIN(MAX(0,N('Your debts'!$E$15)),K264),2)</f>
      </c>
      <c r="V264" s="33">
        <f>ROUND(B264-L264,2)</f>
      </c>
      <c r="W264" s="33">
        <f>ROUND(C264-M264,2)</f>
      </c>
      <c r="X264" s="33">
        <f>ROUND(D264-N264,2)</f>
      </c>
      <c r="Y264" s="33">
        <f>ROUND(E264-O264,2)</f>
      </c>
      <c r="Z264" s="33">
        <f>ROUND(F264-P264,2)</f>
      </c>
      <c r="AA264" s="33">
        <f>ROUND(G264-Q264,2)</f>
      </c>
      <c r="AB264" s="33">
        <f>ROUND(H264-R264,2)</f>
      </c>
      <c r="AC264" s="33">
        <f>ROUND(I264-S264,2)</f>
      </c>
      <c r="AD264" s="33">
        <f>ROUND(J264-T264,2)</f>
      </c>
      <c r="AE264" s="33">
        <f>ROUND(K264-U264,2)</f>
      </c>
      <c r="AF264" s="33">
        <f>IF(V264&lt;=0,0,MAX(0,MIN(V264,ROUND($AZ264-SUMPRODUCT($V264:$AE264*($V264:$AE264&gt;0)*(($V$3:$AE$3&gt;V$3)+($V$3:$AE$3=V$3)*($V264:$AE264&lt;V264)+($V$3:$AE$3=V$3)*($V264:$AE264=V264)*($V$2:$AE$2&lt;V$2))),2))))</f>
      </c>
      <c r="AG264" s="33">
        <f>IF(W264&lt;=0,0,MAX(0,MIN(W264,ROUND($AZ264-SUMPRODUCT($V264:$AE264*($V264:$AE264&gt;0)*(($V$3:$AE$3&gt;W$3)+($V$3:$AE$3=W$3)*($V264:$AE264&lt;W264)+($V$3:$AE$3=W$3)*($V264:$AE264=W264)*($V$2:$AE$2&lt;W$2))),2))))</f>
      </c>
      <c r="AH264" s="33">
        <f>IF(X264&lt;=0,0,MAX(0,MIN(X264,ROUND($AZ264-SUMPRODUCT($V264:$AE264*($V264:$AE264&gt;0)*(($V$3:$AE$3&gt;X$3)+($V$3:$AE$3=X$3)*($V264:$AE264&lt;X264)+($V$3:$AE$3=X$3)*($V264:$AE264=X264)*($V$2:$AE$2&lt;X$2))),2))))</f>
      </c>
      <c r="AI264" s="33">
        <f>IF(Y264&lt;=0,0,MAX(0,MIN(Y264,ROUND($AZ264-SUMPRODUCT($V264:$AE264*($V264:$AE264&gt;0)*(($V$3:$AE$3&gt;Y$3)+($V$3:$AE$3=Y$3)*($V264:$AE264&lt;Y264)+($V$3:$AE$3=Y$3)*($V264:$AE264=Y264)*($V$2:$AE$2&lt;Y$2))),2))))</f>
      </c>
      <c r="AJ264" s="33">
        <f>IF(Z264&lt;=0,0,MAX(0,MIN(Z264,ROUND($AZ264-SUMPRODUCT($V264:$AE264*($V264:$AE264&gt;0)*(($V$3:$AE$3&gt;Z$3)+($V$3:$AE$3=Z$3)*($V264:$AE264&lt;Z264)+($V$3:$AE$3=Z$3)*($V264:$AE264=Z264)*($V$2:$AE$2&lt;Z$2))),2))))</f>
      </c>
      <c r="AK264" s="33">
        <f>IF(AA264&lt;=0,0,MAX(0,MIN(AA264,ROUND($AZ264-SUMPRODUCT($V264:$AE264*($V264:$AE264&gt;0)*(($V$3:$AE$3&gt;AA$3)+($V$3:$AE$3=AA$3)*($V264:$AE264&lt;AA264)+($V$3:$AE$3=AA$3)*($V264:$AE264=AA264)*($V$2:$AE$2&lt;AA$2))),2))))</f>
      </c>
      <c r="AL264" s="33">
        <f>IF(AB264&lt;=0,0,MAX(0,MIN(AB264,ROUND($AZ264-SUMPRODUCT($V264:$AE264*($V264:$AE264&gt;0)*(($V$3:$AE$3&gt;AB$3)+($V$3:$AE$3=AB$3)*($V264:$AE264&lt;AB264)+($V$3:$AE$3=AB$3)*($V264:$AE264=AB264)*($V$2:$AE$2&lt;AB$2))),2))))</f>
      </c>
      <c r="AM264" s="33">
        <f>IF(AC264&lt;=0,0,MAX(0,MIN(AC264,ROUND($AZ264-SUMPRODUCT($V264:$AE264*($V264:$AE264&gt;0)*(($V$3:$AE$3&gt;AC$3)+($V$3:$AE$3=AC$3)*($V264:$AE264&lt;AC264)+($V$3:$AE$3=AC$3)*($V264:$AE264=AC264)*($V$2:$AE$2&lt;AC$2))),2))))</f>
      </c>
      <c r="AN264" s="33">
        <f>IF(AD264&lt;=0,0,MAX(0,MIN(AD264,ROUND($AZ264-SUMPRODUCT($V264:$AE264*($V264:$AE264&gt;0)*(($V$3:$AE$3&gt;AD$3)+($V$3:$AE$3=AD$3)*($V264:$AE264&lt;AD264)+($V$3:$AE$3=AD$3)*($V264:$AE264=AD264)*($V$2:$AE$2&lt;AD$2))),2))))</f>
      </c>
      <c r="AO264" s="33">
        <f>IF(AE264&lt;=0,0,MAX(0,MIN(AE264,ROUND($AZ264-SUMPRODUCT($V264:$AE264*($V264:$AE264&gt;0)*(($V$3:$AE$3&gt;AE$3)+($V$3:$AE$3=AE$3)*($V264:$AE264&lt;AE264)+($V$3:$AE$3=AE$3)*($V264:$AE264=AE264)*($V$2:$AE$2&lt;AE$2))),2))))</f>
      </c>
      <c r="AP264" s="33">
        <f>ROUND(V264-AF264,2)</f>
      </c>
      <c r="AQ264" s="33">
        <f>ROUND(W264-AG264,2)</f>
      </c>
      <c r="AR264" s="33">
        <f>ROUND(X264-AH264,2)</f>
      </c>
      <c r="AS264" s="33">
        <f>ROUND(Y264-AI264,2)</f>
      </c>
      <c r="AT264" s="33">
        <f>ROUND(Z264-AJ264,2)</f>
      </c>
      <c r="AU264" s="33">
        <f>ROUND(AA264-AK264,2)</f>
      </c>
      <c r="AV264" s="33">
        <f>ROUND(AB264-AL264,2)</f>
      </c>
      <c r="AW264" s="33">
        <f>ROUND(AC264-AM264,2)</f>
      </c>
      <c r="AX264" s="33">
        <f>ROUND(AD264-AN264,2)</f>
      </c>
      <c r="AY264" s="33">
        <f>ROUND(AE264-AO264,2)</f>
      </c>
      <c r="AZ264" s="33">
        <f>ROUND(MAX(0,'Your debts'!$D$22-SUM($L264:$U264)),2)</f>
      </c>
      <c r="BA264" s="33">
        <f>ROUND(SUM($B264:$K264)-SUM($AP263:$AY263),2)</f>
      </c>
      <c r="BB264" s="33">
        <f>SUM($AP264:$AY264)</f>
      </c>
      <c r="BC264" s="33">
        <f>ROUND(SUM($L264:$U264)+SUM($AF264:$AO264),2)</f>
      </c>
    </row>
    <row r="265" spans="1:55" x14ac:dyDescent="0.25">
      <c r="A265">
        <v>258</v>
      </c>
      <c r="B265" s="33">
        <f>IF(AP264&lt;=0,0,ROUND(AP264+ROUND(AP264*V$3/12,2),2))</f>
      </c>
      <c r="C265" s="33">
        <f>IF(AQ264&lt;=0,0,ROUND(AQ264+ROUND(AQ264*W$3/12,2),2))</f>
      </c>
      <c r="D265" s="33">
        <f>IF(AR264&lt;=0,0,ROUND(AR264+ROUND(AR264*X$3/12,2),2))</f>
      </c>
      <c r="E265" s="33">
        <f>IF(AS264&lt;=0,0,ROUND(AS264+ROUND(AS264*Y$3/12,2),2))</f>
      </c>
      <c r="F265" s="33">
        <f>IF(AT264&lt;=0,0,ROUND(AT264+ROUND(AT264*Z$3/12,2),2))</f>
      </c>
      <c r="G265" s="33">
        <f>IF(AU264&lt;=0,0,ROUND(AU264+ROUND(AU264*AA$3/12,2),2))</f>
      </c>
      <c r="H265" s="33">
        <f>IF(AV264&lt;=0,0,ROUND(AV264+ROUND(AV264*AB$3/12,2),2))</f>
      </c>
      <c r="I265" s="33">
        <f>IF(AW264&lt;=0,0,ROUND(AW264+ROUND(AW264*AC$3/12,2),2))</f>
      </c>
      <c r="J265" s="33">
        <f>IF(AX264&lt;=0,0,ROUND(AX264+ROUND(AX264*AD$3/12,2),2))</f>
      </c>
      <c r="K265" s="33">
        <f>IF(AY264&lt;=0,0,ROUND(AY264+ROUND(AY264*AE$3/12,2),2))</f>
      </c>
      <c r="L265" s="33">
        <f>ROUND(MIN(MAX(0,N('Your debts'!$E$6)),B265),2)</f>
      </c>
      <c r="M265" s="33">
        <f>ROUND(MIN(MAX(0,N('Your debts'!$E$7)),C265),2)</f>
      </c>
      <c r="N265" s="33">
        <f>ROUND(MIN(MAX(0,N('Your debts'!$E$8)),D265),2)</f>
      </c>
      <c r="O265" s="33">
        <f>ROUND(MIN(MAX(0,N('Your debts'!$E$9)),E265),2)</f>
      </c>
      <c r="P265" s="33">
        <f>ROUND(MIN(MAX(0,N('Your debts'!$E$10)),F265),2)</f>
      </c>
      <c r="Q265" s="33">
        <f>ROUND(MIN(MAX(0,N('Your debts'!$E$11)),G265),2)</f>
      </c>
      <c r="R265" s="33">
        <f>ROUND(MIN(MAX(0,N('Your debts'!$E$12)),H265),2)</f>
      </c>
      <c r="S265" s="33">
        <f>ROUND(MIN(MAX(0,N('Your debts'!$E$13)),I265),2)</f>
      </c>
      <c r="T265" s="33">
        <f>ROUND(MIN(MAX(0,N('Your debts'!$E$14)),J265),2)</f>
      </c>
      <c r="U265" s="33">
        <f>ROUND(MIN(MAX(0,N('Your debts'!$E$15)),K265),2)</f>
      </c>
      <c r="V265" s="33">
        <f>ROUND(B265-L265,2)</f>
      </c>
      <c r="W265" s="33">
        <f>ROUND(C265-M265,2)</f>
      </c>
      <c r="X265" s="33">
        <f>ROUND(D265-N265,2)</f>
      </c>
      <c r="Y265" s="33">
        <f>ROUND(E265-O265,2)</f>
      </c>
      <c r="Z265" s="33">
        <f>ROUND(F265-P265,2)</f>
      </c>
      <c r="AA265" s="33">
        <f>ROUND(G265-Q265,2)</f>
      </c>
      <c r="AB265" s="33">
        <f>ROUND(H265-R265,2)</f>
      </c>
      <c r="AC265" s="33">
        <f>ROUND(I265-S265,2)</f>
      </c>
      <c r="AD265" s="33">
        <f>ROUND(J265-T265,2)</f>
      </c>
      <c r="AE265" s="33">
        <f>ROUND(K265-U265,2)</f>
      </c>
      <c r="AF265" s="33">
        <f>IF(V265&lt;=0,0,MAX(0,MIN(V265,ROUND($AZ265-SUMPRODUCT($V265:$AE265*($V265:$AE265&gt;0)*(($V$3:$AE$3&gt;V$3)+($V$3:$AE$3=V$3)*($V265:$AE265&lt;V265)+($V$3:$AE$3=V$3)*($V265:$AE265=V265)*($V$2:$AE$2&lt;V$2))),2))))</f>
      </c>
      <c r="AG265" s="33">
        <f>IF(W265&lt;=0,0,MAX(0,MIN(W265,ROUND($AZ265-SUMPRODUCT($V265:$AE265*($V265:$AE265&gt;0)*(($V$3:$AE$3&gt;W$3)+($V$3:$AE$3=W$3)*($V265:$AE265&lt;W265)+($V$3:$AE$3=W$3)*($V265:$AE265=W265)*($V$2:$AE$2&lt;W$2))),2))))</f>
      </c>
      <c r="AH265" s="33">
        <f>IF(X265&lt;=0,0,MAX(0,MIN(X265,ROUND($AZ265-SUMPRODUCT($V265:$AE265*($V265:$AE265&gt;0)*(($V$3:$AE$3&gt;X$3)+($V$3:$AE$3=X$3)*($V265:$AE265&lt;X265)+($V$3:$AE$3=X$3)*($V265:$AE265=X265)*($V$2:$AE$2&lt;X$2))),2))))</f>
      </c>
      <c r="AI265" s="33">
        <f>IF(Y265&lt;=0,0,MAX(0,MIN(Y265,ROUND($AZ265-SUMPRODUCT($V265:$AE265*($V265:$AE265&gt;0)*(($V$3:$AE$3&gt;Y$3)+($V$3:$AE$3=Y$3)*($V265:$AE265&lt;Y265)+($V$3:$AE$3=Y$3)*($V265:$AE265=Y265)*($V$2:$AE$2&lt;Y$2))),2))))</f>
      </c>
      <c r="AJ265" s="33">
        <f>IF(Z265&lt;=0,0,MAX(0,MIN(Z265,ROUND($AZ265-SUMPRODUCT($V265:$AE265*($V265:$AE265&gt;0)*(($V$3:$AE$3&gt;Z$3)+($V$3:$AE$3=Z$3)*($V265:$AE265&lt;Z265)+($V$3:$AE$3=Z$3)*($V265:$AE265=Z265)*($V$2:$AE$2&lt;Z$2))),2))))</f>
      </c>
      <c r="AK265" s="33">
        <f>IF(AA265&lt;=0,0,MAX(0,MIN(AA265,ROUND($AZ265-SUMPRODUCT($V265:$AE265*($V265:$AE265&gt;0)*(($V$3:$AE$3&gt;AA$3)+($V$3:$AE$3=AA$3)*($V265:$AE265&lt;AA265)+($V$3:$AE$3=AA$3)*($V265:$AE265=AA265)*($V$2:$AE$2&lt;AA$2))),2))))</f>
      </c>
      <c r="AL265" s="33">
        <f>IF(AB265&lt;=0,0,MAX(0,MIN(AB265,ROUND($AZ265-SUMPRODUCT($V265:$AE265*($V265:$AE265&gt;0)*(($V$3:$AE$3&gt;AB$3)+($V$3:$AE$3=AB$3)*($V265:$AE265&lt;AB265)+($V$3:$AE$3=AB$3)*($V265:$AE265=AB265)*($V$2:$AE$2&lt;AB$2))),2))))</f>
      </c>
      <c r="AM265" s="33">
        <f>IF(AC265&lt;=0,0,MAX(0,MIN(AC265,ROUND($AZ265-SUMPRODUCT($V265:$AE265*($V265:$AE265&gt;0)*(($V$3:$AE$3&gt;AC$3)+($V$3:$AE$3=AC$3)*($V265:$AE265&lt;AC265)+($V$3:$AE$3=AC$3)*($V265:$AE265=AC265)*($V$2:$AE$2&lt;AC$2))),2))))</f>
      </c>
      <c r="AN265" s="33">
        <f>IF(AD265&lt;=0,0,MAX(0,MIN(AD265,ROUND($AZ265-SUMPRODUCT($V265:$AE265*($V265:$AE265&gt;0)*(($V$3:$AE$3&gt;AD$3)+($V$3:$AE$3=AD$3)*($V265:$AE265&lt;AD265)+($V$3:$AE$3=AD$3)*($V265:$AE265=AD265)*($V$2:$AE$2&lt;AD$2))),2))))</f>
      </c>
      <c r="AO265" s="33">
        <f>IF(AE265&lt;=0,0,MAX(0,MIN(AE265,ROUND($AZ265-SUMPRODUCT($V265:$AE265*($V265:$AE265&gt;0)*(($V$3:$AE$3&gt;AE$3)+($V$3:$AE$3=AE$3)*($V265:$AE265&lt;AE265)+($V$3:$AE$3=AE$3)*($V265:$AE265=AE265)*($V$2:$AE$2&lt;AE$2))),2))))</f>
      </c>
      <c r="AP265" s="33">
        <f>ROUND(V265-AF265,2)</f>
      </c>
      <c r="AQ265" s="33">
        <f>ROUND(W265-AG265,2)</f>
      </c>
      <c r="AR265" s="33">
        <f>ROUND(X265-AH265,2)</f>
      </c>
      <c r="AS265" s="33">
        <f>ROUND(Y265-AI265,2)</f>
      </c>
      <c r="AT265" s="33">
        <f>ROUND(Z265-AJ265,2)</f>
      </c>
      <c r="AU265" s="33">
        <f>ROUND(AA265-AK265,2)</f>
      </c>
      <c r="AV265" s="33">
        <f>ROUND(AB265-AL265,2)</f>
      </c>
      <c r="AW265" s="33">
        <f>ROUND(AC265-AM265,2)</f>
      </c>
      <c r="AX265" s="33">
        <f>ROUND(AD265-AN265,2)</f>
      </c>
      <c r="AY265" s="33">
        <f>ROUND(AE265-AO265,2)</f>
      </c>
      <c r="AZ265" s="33">
        <f>ROUND(MAX(0,'Your debts'!$D$22-SUM($L265:$U265)),2)</f>
      </c>
      <c r="BA265" s="33">
        <f>ROUND(SUM($B265:$K265)-SUM($AP264:$AY264),2)</f>
      </c>
      <c r="BB265" s="33">
        <f>SUM($AP265:$AY265)</f>
      </c>
      <c r="BC265" s="33">
        <f>ROUND(SUM($L265:$U265)+SUM($AF265:$AO265),2)</f>
      </c>
    </row>
    <row r="266" spans="1:55" x14ac:dyDescent="0.25">
      <c r="A266">
        <v>259</v>
      </c>
      <c r="B266" s="33">
        <f>IF(AP265&lt;=0,0,ROUND(AP265+ROUND(AP265*V$3/12,2),2))</f>
      </c>
      <c r="C266" s="33">
        <f>IF(AQ265&lt;=0,0,ROUND(AQ265+ROUND(AQ265*W$3/12,2),2))</f>
      </c>
      <c r="D266" s="33">
        <f>IF(AR265&lt;=0,0,ROUND(AR265+ROUND(AR265*X$3/12,2),2))</f>
      </c>
      <c r="E266" s="33">
        <f>IF(AS265&lt;=0,0,ROUND(AS265+ROUND(AS265*Y$3/12,2),2))</f>
      </c>
      <c r="F266" s="33">
        <f>IF(AT265&lt;=0,0,ROUND(AT265+ROUND(AT265*Z$3/12,2),2))</f>
      </c>
      <c r="G266" s="33">
        <f>IF(AU265&lt;=0,0,ROUND(AU265+ROUND(AU265*AA$3/12,2),2))</f>
      </c>
      <c r="H266" s="33">
        <f>IF(AV265&lt;=0,0,ROUND(AV265+ROUND(AV265*AB$3/12,2),2))</f>
      </c>
      <c r="I266" s="33">
        <f>IF(AW265&lt;=0,0,ROUND(AW265+ROUND(AW265*AC$3/12,2),2))</f>
      </c>
      <c r="J266" s="33">
        <f>IF(AX265&lt;=0,0,ROUND(AX265+ROUND(AX265*AD$3/12,2),2))</f>
      </c>
      <c r="K266" s="33">
        <f>IF(AY265&lt;=0,0,ROUND(AY265+ROUND(AY265*AE$3/12,2),2))</f>
      </c>
      <c r="L266" s="33">
        <f>ROUND(MIN(MAX(0,N('Your debts'!$E$6)),B266),2)</f>
      </c>
      <c r="M266" s="33">
        <f>ROUND(MIN(MAX(0,N('Your debts'!$E$7)),C266),2)</f>
      </c>
      <c r="N266" s="33">
        <f>ROUND(MIN(MAX(0,N('Your debts'!$E$8)),D266),2)</f>
      </c>
      <c r="O266" s="33">
        <f>ROUND(MIN(MAX(0,N('Your debts'!$E$9)),E266),2)</f>
      </c>
      <c r="P266" s="33">
        <f>ROUND(MIN(MAX(0,N('Your debts'!$E$10)),F266),2)</f>
      </c>
      <c r="Q266" s="33">
        <f>ROUND(MIN(MAX(0,N('Your debts'!$E$11)),G266),2)</f>
      </c>
      <c r="R266" s="33">
        <f>ROUND(MIN(MAX(0,N('Your debts'!$E$12)),H266),2)</f>
      </c>
      <c r="S266" s="33">
        <f>ROUND(MIN(MAX(0,N('Your debts'!$E$13)),I266),2)</f>
      </c>
      <c r="T266" s="33">
        <f>ROUND(MIN(MAX(0,N('Your debts'!$E$14)),J266),2)</f>
      </c>
      <c r="U266" s="33">
        <f>ROUND(MIN(MAX(0,N('Your debts'!$E$15)),K266),2)</f>
      </c>
      <c r="V266" s="33">
        <f>ROUND(B266-L266,2)</f>
      </c>
      <c r="W266" s="33">
        <f>ROUND(C266-M266,2)</f>
      </c>
      <c r="X266" s="33">
        <f>ROUND(D266-N266,2)</f>
      </c>
      <c r="Y266" s="33">
        <f>ROUND(E266-O266,2)</f>
      </c>
      <c r="Z266" s="33">
        <f>ROUND(F266-P266,2)</f>
      </c>
      <c r="AA266" s="33">
        <f>ROUND(G266-Q266,2)</f>
      </c>
      <c r="AB266" s="33">
        <f>ROUND(H266-R266,2)</f>
      </c>
      <c r="AC266" s="33">
        <f>ROUND(I266-S266,2)</f>
      </c>
      <c r="AD266" s="33">
        <f>ROUND(J266-T266,2)</f>
      </c>
      <c r="AE266" s="33">
        <f>ROUND(K266-U266,2)</f>
      </c>
      <c r="AF266" s="33">
        <f>IF(V266&lt;=0,0,MAX(0,MIN(V266,ROUND($AZ266-SUMPRODUCT($V266:$AE266*($V266:$AE266&gt;0)*(($V$3:$AE$3&gt;V$3)+($V$3:$AE$3=V$3)*($V266:$AE266&lt;V266)+($V$3:$AE$3=V$3)*($V266:$AE266=V266)*($V$2:$AE$2&lt;V$2))),2))))</f>
      </c>
      <c r="AG266" s="33">
        <f>IF(W266&lt;=0,0,MAX(0,MIN(W266,ROUND($AZ266-SUMPRODUCT($V266:$AE266*($V266:$AE266&gt;0)*(($V$3:$AE$3&gt;W$3)+($V$3:$AE$3=W$3)*($V266:$AE266&lt;W266)+($V$3:$AE$3=W$3)*($V266:$AE266=W266)*($V$2:$AE$2&lt;W$2))),2))))</f>
      </c>
      <c r="AH266" s="33">
        <f>IF(X266&lt;=0,0,MAX(0,MIN(X266,ROUND($AZ266-SUMPRODUCT($V266:$AE266*($V266:$AE266&gt;0)*(($V$3:$AE$3&gt;X$3)+($V$3:$AE$3=X$3)*($V266:$AE266&lt;X266)+($V$3:$AE$3=X$3)*($V266:$AE266=X266)*($V$2:$AE$2&lt;X$2))),2))))</f>
      </c>
      <c r="AI266" s="33">
        <f>IF(Y266&lt;=0,0,MAX(0,MIN(Y266,ROUND($AZ266-SUMPRODUCT($V266:$AE266*($V266:$AE266&gt;0)*(($V$3:$AE$3&gt;Y$3)+($V$3:$AE$3=Y$3)*($V266:$AE266&lt;Y266)+($V$3:$AE$3=Y$3)*($V266:$AE266=Y266)*($V$2:$AE$2&lt;Y$2))),2))))</f>
      </c>
      <c r="AJ266" s="33">
        <f>IF(Z266&lt;=0,0,MAX(0,MIN(Z266,ROUND($AZ266-SUMPRODUCT($V266:$AE266*($V266:$AE266&gt;0)*(($V$3:$AE$3&gt;Z$3)+($V$3:$AE$3=Z$3)*($V266:$AE266&lt;Z266)+($V$3:$AE$3=Z$3)*($V266:$AE266=Z266)*($V$2:$AE$2&lt;Z$2))),2))))</f>
      </c>
      <c r="AK266" s="33">
        <f>IF(AA266&lt;=0,0,MAX(0,MIN(AA266,ROUND($AZ266-SUMPRODUCT($V266:$AE266*($V266:$AE266&gt;0)*(($V$3:$AE$3&gt;AA$3)+($V$3:$AE$3=AA$3)*($V266:$AE266&lt;AA266)+($V$3:$AE$3=AA$3)*($V266:$AE266=AA266)*($V$2:$AE$2&lt;AA$2))),2))))</f>
      </c>
      <c r="AL266" s="33">
        <f>IF(AB266&lt;=0,0,MAX(0,MIN(AB266,ROUND($AZ266-SUMPRODUCT($V266:$AE266*($V266:$AE266&gt;0)*(($V$3:$AE$3&gt;AB$3)+($V$3:$AE$3=AB$3)*($V266:$AE266&lt;AB266)+($V$3:$AE$3=AB$3)*($V266:$AE266=AB266)*($V$2:$AE$2&lt;AB$2))),2))))</f>
      </c>
      <c r="AM266" s="33">
        <f>IF(AC266&lt;=0,0,MAX(0,MIN(AC266,ROUND($AZ266-SUMPRODUCT($V266:$AE266*($V266:$AE266&gt;0)*(($V$3:$AE$3&gt;AC$3)+($V$3:$AE$3=AC$3)*($V266:$AE266&lt;AC266)+($V$3:$AE$3=AC$3)*($V266:$AE266=AC266)*($V$2:$AE$2&lt;AC$2))),2))))</f>
      </c>
      <c r="AN266" s="33">
        <f>IF(AD266&lt;=0,0,MAX(0,MIN(AD266,ROUND($AZ266-SUMPRODUCT($V266:$AE266*($V266:$AE266&gt;0)*(($V$3:$AE$3&gt;AD$3)+($V$3:$AE$3=AD$3)*($V266:$AE266&lt;AD266)+($V$3:$AE$3=AD$3)*($V266:$AE266=AD266)*($V$2:$AE$2&lt;AD$2))),2))))</f>
      </c>
      <c r="AO266" s="33">
        <f>IF(AE266&lt;=0,0,MAX(0,MIN(AE266,ROUND($AZ266-SUMPRODUCT($V266:$AE266*($V266:$AE266&gt;0)*(($V$3:$AE$3&gt;AE$3)+($V$3:$AE$3=AE$3)*($V266:$AE266&lt;AE266)+($V$3:$AE$3=AE$3)*($V266:$AE266=AE266)*($V$2:$AE$2&lt;AE$2))),2))))</f>
      </c>
      <c r="AP266" s="33">
        <f>ROUND(V266-AF266,2)</f>
      </c>
      <c r="AQ266" s="33">
        <f>ROUND(W266-AG266,2)</f>
      </c>
      <c r="AR266" s="33">
        <f>ROUND(X266-AH266,2)</f>
      </c>
      <c r="AS266" s="33">
        <f>ROUND(Y266-AI266,2)</f>
      </c>
      <c r="AT266" s="33">
        <f>ROUND(Z266-AJ266,2)</f>
      </c>
      <c r="AU266" s="33">
        <f>ROUND(AA266-AK266,2)</f>
      </c>
      <c r="AV266" s="33">
        <f>ROUND(AB266-AL266,2)</f>
      </c>
      <c r="AW266" s="33">
        <f>ROUND(AC266-AM266,2)</f>
      </c>
      <c r="AX266" s="33">
        <f>ROUND(AD266-AN266,2)</f>
      </c>
      <c r="AY266" s="33">
        <f>ROUND(AE266-AO266,2)</f>
      </c>
      <c r="AZ266" s="33">
        <f>ROUND(MAX(0,'Your debts'!$D$22-SUM($L266:$U266)),2)</f>
      </c>
      <c r="BA266" s="33">
        <f>ROUND(SUM($B266:$K266)-SUM($AP265:$AY265),2)</f>
      </c>
      <c r="BB266" s="33">
        <f>SUM($AP266:$AY266)</f>
      </c>
      <c r="BC266" s="33">
        <f>ROUND(SUM($L266:$U266)+SUM($AF266:$AO266),2)</f>
      </c>
    </row>
    <row r="267" spans="1:55" x14ac:dyDescent="0.25">
      <c r="A267">
        <v>260</v>
      </c>
      <c r="B267" s="33">
        <f>IF(AP266&lt;=0,0,ROUND(AP266+ROUND(AP266*V$3/12,2),2))</f>
      </c>
      <c r="C267" s="33">
        <f>IF(AQ266&lt;=0,0,ROUND(AQ266+ROUND(AQ266*W$3/12,2),2))</f>
      </c>
      <c r="D267" s="33">
        <f>IF(AR266&lt;=0,0,ROUND(AR266+ROUND(AR266*X$3/12,2),2))</f>
      </c>
      <c r="E267" s="33">
        <f>IF(AS266&lt;=0,0,ROUND(AS266+ROUND(AS266*Y$3/12,2),2))</f>
      </c>
      <c r="F267" s="33">
        <f>IF(AT266&lt;=0,0,ROUND(AT266+ROUND(AT266*Z$3/12,2),2))</f>
      </c>
      <c r="G267" s="33">
        <f>IF(AU266&lt;=0,0,ROUND(AU266+ROUND(AU266*AA$3/12,2),2))</f>
      </c>
      <c r="H267" s="33">
        <f>IF(AV266&lt;=0,0,ROUND(AV266+ROUND(AV266*AB$3/12,2),2))</f>
      </c>
      <c r="I267" s="33">
        <f>IF(AW266&lt;=0,0,ROUND(AW266+ROUND(AW266*AC$3/12,2),2))</f>
      </c>
      <c r="J267" s="33">
        <f>IF(AX266&lt;=0,0,ROUND(AX266+ROUND(AX266*AD$3/12,2),2))</f>
      </c>
      <c r="K267" s="33">
        <f>IF(AY266&lt;=0,0,ROUND(AY266+ROUND(AY266*AE$3/12,2),2))</f>
      </c>
      <c r="L267" s="33">
        <f>ROUND(MIN(MAX(0,N('Your debts'!$E$6)),B267),2)</f>
      </c>
      <c r="M267" s="33">
        <f>ROUND(MIN(MAX(0,N('Your debts'!$E$7)),C267),2)</f>
      </c>
      <c r="N267" s="33">
        <f>ROUND(MIN(MAX(0,N('Your debts'!$E$8)),D267),2)</f>
      </c>
      <c r="O267" s="33">
        <f>ROUND(MIN(MAX(0,N('Your debts'!$E$9)),E267),2)</f>
      </c>
      <c r="P267" s="33">
        <f>ROUND(MIN(MAX(0,N('Your debts'!$E$10)),F267),2)</f>
      </c>
      <c r="Q267" s="33">
        <f>ROUND(MIN(MAX(0,N('Your debts'!$E$11)),G267),2)</f>
      </c>
      <c r="R267" s="33">
        <f>ROUND(MIN(MAX(0,N('Your debts'!$E$12)),H267),2)</f>
      </c>
      <c r="S267" s="33">
        <f>ROUND(MIN(MAX(0,N('Your debts'!$E$13)),I267),2)</f>
      </c>
      <c r="T267" s="33">
        <f>ROUND(MIN(MAX(0,N('Your debts'!$E$14)),J267),2)</f>
      </c>
      <c r="U267" s="33">
        <f>ROUND(MIN(MAX(0,N('Your debts'!$E$15)),K267),2)</f>
      </c>
      <c r="V267" s="33">
        <f>ROUND(B267-L267,2)</f>
      </c>
      <c r="W267" s="33">
        <f>ROUND(C267-M267,2)</f>
      </c>
      <c r="X267" s="33">
        <f>ROUND(D267-N267,2)</f>
      </c>
      <c r="Y267" s="33">
        <f>ROUND(E267-O267,2)</f>
      </c>
      <c r="Z267" s="33">
        <f>ROUND(F267-P267,2)</f>
      </c>
      <c r="AA267" s="33">
        <f>ROUND(G267-Q267,2)</f>
      </c>
      <c r="AB267" s="33">
        <f>ROUND(H267-R267,2)</f>
      </c>
      <c r="AC267" s="33">
        <f>ROUND(I267-S267,2)</f>
      </c>
      <c r="AD267" s="33">
        <f>ROUND(J267-T267,2)</f>
      </c>
      <c r="AE267" s="33">
        <f>ROUND(K267-U267,2)</f>
      </c>
      <c r="AF267" s="33">
        <f>IF(V267&lt;=0,0,MAX(0,MIN(V267,ROUND($AZ267-SUMPRODUCT($V267:$AE267*($V267:$AE267&gt;0)*(($V$3:$AE$3&gt;V$3)+($V$3:$AE$3=V$3)*($V267:$AE267&lt;V267)+($V$3:$AE$3=V$3)*($V267:$AE267=V267)*($V$2:$AE$2&lt;V$2))),2))))</f>
      </c>
      <c r="AG267" s="33">
        <f>IF(W267&lt;=0,0,MAX(0,MIN(W267,ROUND($AZ267-SUMPRODUCT($V267:$AE267*($V267:$AE267&gt;0)*(($V$3:$AE$3&gt;W$3)+($V$3:$AE$3=W$3)*($V267:$AE267&lt;W267)+($V$3:$AE$3=W$3)*($V267:$AE267=W267)*($V$2:$AE$2&lt;W$2))),2))))</f>
      </c>
      <c r="AH267" s="33">
        <f>IF(X267&lt;=0,0,MAX(0,MIN(X267,ROUND($AZ267-SUMPRODUCT($V267:$AE267*($V267:$AE267&gt;0)*(($V$3:$AE$3&gt;X$3)+($V$3:$AE$3=X$3)*($V267:$AE267&lt;X267)+($V$3:$AE$3=X$3)*($V267:$AE267=X267)*($V$2:$AE$2&lt;X$2))),2))))</f>
      </c>
      <c r="AI267" s="33">
        <f>IF(Y267&lt;=0,0,MAX(0,MIN(Y267,ROUND($AZ267-SUMPRODUCT($V267:$AE267*($V267:$AE267&gt;0)*(($V$3:$AE$3&gt;Y$3)+($V$3:$AE$3=Y$3)*($V267:$AE267&lt;Y267)+($V$3:$AE$3=Y$3)*($V267:$AE267=Y267)*($V$2:$AE$2&lt;Y$2))),2))))</f>
      </c>
      <c r="AJ267" s="33">
        <f>IF(Z267&lt;=0,0,MAX(0,MIN(Z267,ROUND($AZ267-SUMPRODUCT($V267:$AE267*($V267:$AE267&gt;0)*(($V$3:$AE$3&gt;Z$3)+($V$3:$AE$3=Z$3)*($V267:$AE267&lt;Z267)+($V$3:$AE$3=Z$3)*($V267:$AE267=Z267)*($V$2:$AE$2&lt;Z$2))),2))))</f>
      </c>
      <c r="AK267" s="33">
        <f>IF(AA267&lt;=0,0,MAX(0,MIN(AA267,ROUND($AZ267-SUMPRODUCT($V267:$AE267*($V267:$AE267&gt;0)*(($V$3:$AE$3&gt;AA$3)+($V$3:$AE$3=AA$3)*($V267:$AE267&lt;AA267)+($V$3:$AE$3=AA$3)*($V267:$AE267=AA267)*($V$2:$AE$2&lt;AA$2))),2))))</f>
      </c>
      <c r="AL267" s="33">
        <f>IF(AB267&lt;=0,0,MAX(0,MIN(AB267,ROUND($AZ267-SUMPRODUCT($V267:$AE267*($V267:$AE267&gt;0)*(($V$3:$AE$3&gt;AB$3)+($V$3:$AE$3=AB$3)*($V267:$AE267&lt;AB267)+($V$3:$AE$3=AB$3)*($V267:$AE267=AB267)*($V$2:$AE$2&lt;AB$2))),2))))</f>
      </c>
      <c r="AM267" s="33">
        <f>IF(AC267&lt;=0,0,MAX(0,MIN(AC267,ROUND($AZ267-SUMPRODUCT($V267:$AE267*($V267:$AE267&gt;0)*(($V$3:$AE$3&gt;AC$3)+($V$3:$AE$3=AC$3)*($V267:$AE267&lt;AC267)+($V$3:$AE$3=AC$3)*($V267:$AE267=AC267)*($V$2:$AE$2&lt;AC$2))),2))))</f>
      </c>
      <c r="AN267" s="33">
        <f>IF(AD267&lt;=0,0,MAX(0,MIN(AD267,ROUND($AZ267-SUMPRODUCT($V267:$AE267*($V267:$AE267&gt;0)*(($V$3:$AE$3&gt;AD$3)+($V$3:$AE$3=AD$3)*($V267:$AE267&lt;AD267)+($V$3:$AE$3=AD$3)*($V267:$AE267=AD267)*($V$2:$AE$2&lt;AD$2))),2))))</f>
      </c>
      <c r="AO267" s="33">
        <f>IF(AE267&lt;=0,0,MAX(0,MIN(AE267,ROUND($AZ267-SUMPRODUCT($V267:$AE267*($V267:$AE267&gt;0)*(($V$3:$AE$3&gt;AE$3)+($V$3:$AE$3=AE$3)*($V267:$AE267&lt;AE267)+($V$3:$AE$3=AE$3)*($V267:$AE267=AE267)*($V$2:$AE$2&lt;AE$2))),2))))</f>
      </c>
      <c r="AP267" s="33">
        <f>ROUND(V267-AF267,2)</f>
      </c>
      <c r="AQ267" s="33">
        <f>ROUND(W267-AG267,2)</f>
      </c>
      <c r="AR267" s="33">
        <f>ROUND(X267-AH267,2)</f>
      </c>
      <c r="AS267" s="33">
        <f>ROUND(Y267-AI267,2)</f>
      </c>
      <c r="AT267" s="33">
        <f>ROUND(Z267-AJ267,2)</f>
      </c>
      <c r="AU267" s="33">
        <f>ROUND(AA267-AK267,2)</f>
      </c>
      <c r="AV267" s="33">
        <f>ROUND(AB267-AL267,2)</f>
      </c>
      <c r="AW267" s="33">
        <f>ROUND(AC267-AM267,2)</f>
      </c>
      <c r="AX267" s="33">
        <f>ROUND(AD267-AN267,2)</f>
      </c>
      <c r="AY267" s="33">
        <f>ROUND(AE267-AO267,2)</f>
      </c>
      <c r="AZ267" s="33">
        <f>ROUND(MAX(0,'Your debts'!$D$22-SUM($L267:$U267)),2)</f>
      </c>
      <c r="BA267" s="33">
        <f>ROUND(SUM($B267:$K267)-SUM($AP266:$AY266),2)</f>
      </c>
      <c r="BB267" s="33">
        <f>SUM($AP267:$AY267)</f>
      </c>
      <c r="BC267" s="33">
        <f>ROUND(SUM($L267:$U267)+SUM($AF267:$AO267),2)</f>
      </c>
    </row>
    <row r="268" spans="1:55" x14ac:dyDescent="0.25">
      <c r="A268">
        <v>261</v>
      </c>
      <c r="B268" s="33">
        <f>IF(AP267&lt;=0,0,ROUND(AP267+ROUND(AP267*V$3/12,2),2))</f>
      </c>
      <c r="C268" s="33">
        <f>IF(AQ267&lt;=0,0,ROUND(AQ267+ROUND(AQ267*W$3/12,2),2))</f>
      </c>
      <c r="D268" s="33">
        <f>IF(AR267&lt;=0,0,ROUND(AR267+ROUND(AR267*X$3/12,2),2))</f>
      </c>
      <c r="E268" s="33">
        <f>IF(AS267&lt;=0,0,ROUND(AS267+ROUND(AS267*Y$3/12,2),2))</f>
      </c>
      <c r="F268" s="33">
        <f>IF(AT267&lt;=0,0,ROUND(AT267+ROUND(AT267*Z$3/12,2),2))</f>
      </c>
      <c r="G268" s="33">
        <f>IF(AU267&lt;=0,0,ROUND(AU267+ROUND(AU267*AA$3/12,2),2))</f>
      </c>
      <c r="H268" s="33">
        <f>IF(AV267&lt;=0,0,ROUND(AV267+ROUND(AV267*AB$3/12,2),2))</f>
      </c>
      <c r="I268" s="33">
        <f>IF(AW267&lt;=0,0,ROUND(AW267+ROUND(AW267*AC$3/12,2),2))</f>
      </c>
      <c r="J268" s="33">
        <f>IF(AX267&lt;=0,0,ROUND(AX267+ROUND(AX267*AD$3/12,2),2))</f>
      </c>
      <c r="K268" s="33">
        <f>IF(AY267&lt;=0,0,ROUND(AY267+ROUND(AY267*AE$3/12,2),2))</f>
      </c>
      <c r="L268" s="33">
        <f>ROUND(MIN(MAX(0,N('Your debts'!$E$6)),B268),2)</f>
      </c>
      <c r="M268" s="33">
        <f>ROUND(MIN(MAX(0,N('Your debts'!$E$7)),C268),2)</f>
      </c>
      <c r="N268" s="33">
        <f>ROUND(MIN(MAX(0,N('Your debts'!$E$8)),D268),2)</f>
      </c>
      <c r="O268" s="33">
        <f>ROUND(MIN(MAX(0,N('Your debts'!$E$9)),E268),2)</f>
      </c>
      <c r="P268" s="33">
        <f>ROUND(MIN(MAX(0,N('Your debts'!$E$10)),F268),2)</f>
      </c>
      <c r="Q268" s="33">
        <f>ROUND(MIN(MAX(0,N('Your debts'!$E$11)),G268),2)</f>
      </c>
      <c r="R268" s="33">
        <f>ROUND(MIN(MAX(0,N('Your debts'!$E$12)),H268),2)</f>
      </c>
      <c r="S268" s="33">
        <f>ROUND(MIN(MAX(0,N('Your debts'!$E$13)),I268),2)</f>
      </c>
      <c r="T268" s="33">
        <f>ROUND(MIN(MAX(0,N('Your debts'!$E$14)),J268),2)</f>
      </c>
      <c r="U268" s="33">
        <f>ROUND(MIN(MAX(0,N('Your debts'!$E$15)),K268),2)</f>
      </c>
      <c r="V268" s="33">
        <f>ROUND(B268-L268,2)</f>
      </c>
      <c r="W268" s="33">
        <f>ROUND(C268-M268,2)</f>
      </c>
      <c r="X268" s="33">
        <f>ROUND(D268-N268,2)</f>
      </c>
      <c r="Y268" s="33">
        <f>ROUND(E268-O268,2)</f>
      </c>
      <c r="Z268" s="33">
        <f>ROUND(F268-P268,2)</f>
      </c>
      <c r="AA268" s="33">
        <f>ROUND(G268-Q268,2)</f>
      </c>
      <c r="AB268" s="33">
        <f>ROUND(H268-R268,2)</f>
      </c>
      <c r="AC268" s="33">
        <f>ROUND(I268-S268,2)</f>
      </c>
      <c r="AD268" s="33">
        <f>ROUND(J268-T268,2)</f>
      </c>
      <c r="AE268" s="33">
        <f>ROUND(K268-U268,2)</f>
      </c>
      <c r="AF268" s="33">
        <f>IF(V268&lt;=0,0,MAX(0,MIN(V268,ROUND($AZ268-SUMPRODUCT($V268:$AE268*($V268:$AE268&gt;0)*(($V$3:$AE$3&gt;V$3)+($V$3:$AE$3=V$3)*($V268:$AE268&lt;V268)+($V$3:$AE$3=V$3)*($V268:$AE268=V268)*($V$2:$AE$2&lt;V$2))),2))))</f>
      </c>
      <c r="AG268" s="33">
        <f>IF(W268&lt;=0,0,MAX(0,MIN(W268,ROUND($AZ268-SUMPRODUCT($V268:$AE268*($V268:$AE268&gt;0)*(($V$3:$AE$3&gt;W$3)+($V$3:$AE$3=W$3)*($V268:$AE268&lt;W268)+($V$3:$AE$3=W$3)*($V268:$AE268=W268)*($V$2:$AE$2&lt;W$2))),2))))</f>
      </c>
      <c r="AH268" s="33">
        <f>IF(X268&lt;=0,0,MAX(0,MIN(X268,ROUND($AZ268-SUMPRODUCT($V268:$AE268*($V268:$AE268&gt;0)*(($V$3:$AE$3&gt;X$3)+($V$3:$AE$3=X$3)*($V268:$AE268&lt;X268)+($V$3:$AE$3=X$3)*($V268:$AE268=X268)*($V$2:$AE$2&lt;X$2))),2))))</f>
      </c>
      <c r="AI268" s="33">
        <f>IF(Y268&lt;=0,0,MAX(0,MIN(Y268,ROUND($AZ268-SUMPRODUCT($V268:$AE268*($V268:$AE268&gt;0)*(($V$3:$AE$3&gt;Y$3)+($V$3:$AE$3=Y$3)*($V268:$AE268&lt;Y268)+($V$3:$AE$3=Y$3)*($V268:$AE268=Y268)*($V$2:$AE$2&lt;Y$2))),2))))</f>
      </c>
      <c r="AJ268" s="33">
        <f>IF(Z268&lt;=0,0,MAX(0,MIN(Z268,ROUND($AZ268-SUMPRODUCT($V268:$AE268*($V268:$AE268&gt;0)*(($V$3:$AE$3&gt;Z$3)+($V$3:$AE$3=Z$3)*($V268:$AE268&lt;Z268)+($V$3:$AE$3=Z$3)*($V268:$AE268=Z268)*($V$2:$AE$2&lt;Z$2))),2))))</f>
      </c>
      <c r="AK268" s="33">
        <f>IF(AA268&lt;=0,0,MAX(0,MIN(AA268,ROUND($AZ268-SUMPRODUCT($V268:$AE268*($V268:$AE268&gt;0)*(($V$3:$AE$3&gt;AA$3)+($V$3:$AE$3=AA$3)*($V268:$AE268&lt;AA268)+($V$3:$AE$3=AA$3)*($V268:$AE268=AA268)*($V$2:$AE$2&lt;AA$2))),2))))</f>
      </c>
      <c r="AL268" s="33">
        <f>IF(AB268&lt;=0,0,MAX(0,MIN(AB268,ROUND($AZ268-SUMPRODUCT($V268:$AE268*($V268:$AE268&gt;0)*(($V$3:$AE$3&gt;AB$3)+($V$3:$AE$3=AB$3)*($V268:$AE268&lt;AB268)+($V$3:$AE$3=AB$3)*($V268:$AE268=AB268)*($V$2:$AE$2&lt;AB$2))),2))))</f>
      </c>
      <c r="AM268" s="33">
        <f>IF(AC268&lt;=0,0,MAX(0,MIN(AC268,ROUND($AZ268-SUMPRODUCT($V268:$AE268*($V268:$AE268&gt;0)*(($V$3:$AE$3&gt;AC$3)+($V$3:$AE$3=AC$3)*($V268:$AE268&lt;AC268)+($V$3:$AE$3=AC$3)*($V268:$AE268=AC268)*($V$2:$AE$2&lt;AC$2))),2))))</f>
      </c>
      <c r="AN268" s="33">
        <f>IF(AD268&lt;=0,0,MAX(0,MIN(AD268,ROUND($AZ268-SUMPRODUCT($V268:$AE268*($V268:$AE268&gt;0)*(($V$3:$AE$3&gt;AD$3)+($V$3:$AE$3=AD$3)*($V268:$AE268&lt;AD268)+($V$3:$AE$3=AD$3)*($V268:$AE268=AD268)*($V$2:$AE$2&lt;AD$2))),2))))</f>
      </c>
      <c r="AO268" s="33">
        <f>IF(AE268&lt;=0,0,MAX(0,MIN(AE268,ROUND($AZ268-SUMPRODUCT($V268:$AE268*($V268:$AE268&gt;0)*(($V$3:$AE$3&gt;AE$3)+($V$3:$AE$3=AE$3)*($V268:$AE268&lt;AE268)+($V$3:$AE$3=AE$3)*($V268:$AE268=AE268)*($V$2:$AE$2&lt;AE$2))),2))))</f>
      </c>
      <c r="AP268" s="33">
        <f>ROUND(V268-AF268,2)</f>
      </c>
      <c r="AQ268" s="33">
        <f>ROUND(W268-AG268,2)</f>
      </c>
      <c r="AR268" s="33">
        <f>ROUND(X268-AH268,2)</f>
      </c>
      <c r="AS268" s="33">
        <f>ROUND(Y268-AI268,2)</f>
      </c>
      <c r="AT268" s="33">
        <f>ROUND(Z268-AJ268,2)</f>
      </c>
      <c r="AU268" s="33">
        <f>ROUND(AA268-AK268,2)</f>
      </c>
      <c r="AV268" s="33">
        <f>ROUND(AB268-AL268,2)</f>
      </c>
      <c r="AW268" s="33">
        <f>ROUND(AC268-AM268,2)</f>
      </c>
      <c r="AX268" s="33">
        <f>ROUND(AD268-AN268,2)</f>
      </c>
      <c r="AY268" s="33">
        <f>ROUND(AE268-AO268,2)</f>
      </c>
      <c r="AZ268" s="33">
        <f>ROUND(MAX(0,'Your debts'!$D$22-SUM($L268:$U268)),2)</f>
      </c>
      <c r="BA268" s="33">
        <f>ROUND(SUM($B268:$K268)-SUM($AP267:$AY267),2)</f>
      </c>
      <c r="BB268" s="33">
        <f>SUM($AP268:$AY268)</f>
      </c>
      <c r="BC268" s="33">
        <f>ROUND(SUM($L268:$U268)+SUM($AF268:$AO268),2)</f>
      </c>
    </row>
    <row r="269" spans="1:55" x14ac:dyDescent="0.25">
      <c r="A269">
        <v>262</v>
      </c>
      <c r="B269" s="33">
        <f>IF(AP268&lt;=0,0,ROUND(AP268+ROUND(AP268*V$3/12,2),2))</f>
      </c>
      <c r="C269" s="33">
        <f>IF(AQ268&lt;=0,0,ROUND(AQ268+ROUND(AQ268*W$3/12,2),2))</f>
      </c>
      <c r="D269" s="33">
        <f>IF(AR268&lt;=0,0,ROUND(AR268+ROUND(AR268*X$3/12,2),2))</f>
      </c>
      <c r="E269" s="33">
        <f>IF(AS268&lt;=0,0,ROUND(AS268+ROUND(AS268*Y$3/12,2),2))</f>
      </c>
      <c r="F269" s="33">
        <f>IF(AT268&lt;=0,0,ROUND(AT268+ROUND(AT268*Z$3/12,2),2))</f>
      </c>
      <c r="G269" s="33">
        <f>IF(AU268&lt;=0,0,ROUND(AU268+ROUND(AU268*AA$3/12,2),2))</f>
      </c>
      <c r="H269" s="33">
        <f>IF(AV268&lt;=0,0,ROUND(AV268+ROUND(AV268*AB$3/12,2),2))</f>
      </c>
      <c r="I269" s="33">
        <f>IF(AW268&lt;=0,0,ROUND(AW268+ROUND(AW268*AC$3/12,2),2))</f>
      </c>
      <c r="J269" s="33">
        <f>IF(AX268&lt;=0,0,ROUND(AX268+ROUND(AX268*AD$3/12,2),2))</f>
      </c>
      <c r="K269" s="33">
        <f>IF(AY268&lt;=0,0,ROUND(AY268+ROUND(AY268*AE$3/12,2),2))</f>
      </c>
      <c r="L269" s="33">
        <f>ROUND(MIN(MAX(0,N('Your debts'!$E$6)),B269),2)</f>
      </c>
      <c r="M269" s="33">
        <f>ROUND(MIN(MAX(0,N('Your debts'!$E$7)),C269),2)</f>
      </c>
      <c r="N269" s="33">
        <f>ROUND(MIN(MAX(0,N('Your debts'!$E$8)),D269),2)</f>
      </c>
      <c r="O269" s="33">
        <f>ROUND(MIN(MAX(0,N('Your debts'!$E$9)),E269),2)</f>
      </c>
      <c r="P269" s="33">
        <f>ROUND(MIN(MAX(0,N('Your debts'!$E$10)),F269),2)</f>
      </c>
      <c r="Q269" s="33">
        <f>ROUND(MIN(MAX(0,N('Your debts'!$E$11)),G269),2)</f>
      </c>
      <c r="R269" s="33">
        <f>ROUND(MIN(MAX(0,N('Your debts'!$E$12)),H269),2)</f>
      </c>
      <c r="S269" s="33">
        <f>ROUND(MIN(MAX(0,N('Your debts'!$E$13)),I269),2)</f>
      </c>
      <c r="T269" s="33">
        <f>ROUND(MIN(MAX(0,N('Your debts'!$E$14)),J269),2)</f>
      </c>
      <c r="U269" s="33">
        <f>ROUND(MIN(MAX(0,N('Your debts'!$E$15)),K269),2)</f>
      </c>
      <c r="V269" s="33">
        <f>ROUND(B269-L269,2)</f>
      </c>
      <c r="W269" s="33">
        <f>ROUND(C269-M269,2)</f>
      </c>
      <c r="X269" s="33">
        <f>ROUND(D269-N269,2)</f>
      </c>
      <c r="Y269" s="33">
        <f>ROUND(E269-O269,2)</f>
      </c>
      <c r="Z269" s="33">
        <f>ROUND(F269-P269,2)</f>
      </c>
      <c r="AA269" s="33">
        <f>ROUND(G269-Q269,2)</f>
      </c>
      <c r="AB269" s="33">
        <f>ROUND(H269-R269,2)</f>
      </c>
      <c r="AC269" s="33">
        <f>ROUND(I269-S269,2)</f>
      </c>
      <c r="AD269" s="33">
        <f>ROUND(J269-T269,2)</f>
      </c>
      <c r="AE269" s="33">
        <f>ROUND(K269-U269,2)</f>
      </c>
      <c r="AF269" s="33">
        <f>IF(V269&lt;=0,0,MAX(0,MIN(V269,ROUND($AZ269-SUMPRODUCT($V269:$AE269*($V269:$AE269&gt;0)*(($V$3:$AE$3&gt;V$3)+($V$3:$AE$3=V$3)*($V269:$AE269&lt;V269)+($V$3:$AE$3=V$3)*($V269:$AE269=V269)*($V$2:$AE$2&lt;V$2))),2))))</f>
      </c>
      <c r="AG269" s="33">
        <f>IF(W269&lt;=0,0,MAX(0,MIN(W269,ROUND($AZ269-SUMPRODUCT($V269:$AE269*($V269:$AE269&gt;0)*(($V$3:$AE$3&gt;W$3)+($V$3:$AE$3=W$3)*($V269:$AE269&lt;W269)+($V$3:$AE$3=W$3)*($V269:$AE269=W269)*($V$2:$AE$2&lt;W$2))),2))))</f>
      </c>
      <c r="AH269" s="33">
        <f>IF(X269&lt;=0,0,MAX(0,MIN(X269,ROUND($AZ269-SUMPRODUCT($V269:$AE269*($V269:$AE269&gt;0)*(($V$3:$AE$3&gt;X$3)+($V$3:$AE$3=X$3)*($V269:$AE269&lt;X269)+($V$3:$AE$3=X$3)*($V269:$AE269=X269)*($V$2:$AE$2&lt;X$2))),2))))</f>
      </c>
      <c r="AI269" s="33">
        <f>IF(Y269&lt;=0,0,MAX(0,MIN(Y269,ROUND($AZ269-SUMPRODUCT($V269:$AE269*($V269:$AE269&gt;0)*(($V$3:$AE$3&gt;Y$3)+($V$3:$AE$3=Y$3)*($V269:$AE269&lt;Y269)+($V$3:$AE$3=Y$3)*($V269:$AE269=Y269)*($V$2:$AE$2&lt;Y$2))),2))))</f>
      </c>
      <c r="AJ269" s="33">
        <f>IF(Z269&lt;=0,0,MAX(0,MIN(Z269,ROUND($AZ269-SUMPRODUCT($V269:$AE269*($V269:$AE269&gt;0)*(($V$3:$AE$3&gt;Z$3)+($V$3:$AE$3=Z$3)*($V269:$AE269&lt;Z269)+($V$3:$AE$3=Z$3)*($V269:$AE269=Z269)*($V$2:$AE$2&lt;Z$2))),2))))</f>
      </c>
      <c r="AK269" s="33">
        <f>IF(AA269&lt;=0,0,MAX(0,MIN(AA269,ROUND($AZ269-SUMPRODUCT($V269:$AE269*($V269:$AE269&gt;0)*(($V$3:$AE$3&gt;AA$3)+($V$3:$AE$3=AA$3)*($V269:$AE269&lt;AA269)+($V$3:$AE$3=AA$3)*($V269:$AE269=AA269)*($V$2:$AE$2&lt;AA$2))),2))))</f>
      </c>
      <c r="AL269" s="33">
        <f>IF(AB269&lt;=0,0,MAX(0,MIN(AB269,ROUND($AZ269-SUMPRODUCT($V269:$AE269*($V269:$AE269&gt;0)*(($V$3:$AE$3&gt;AB$3)+($V$3:$AE$3=AB$3)*($V269:$AE269&lt;AB269)+($V$3:$AE$3=AB$3)*($V269:$AE269=AB269)*($V$2:$AE$2&lt;AB$2))),2))))</f>
      </c>
      <c r="AM269" s="33">
        <f>IF(AC269&lt;=0,0,MAX(0,MIN(AC269,ROUND($AZ269-SUMPRODUCT($V269:$AE269*($V269:$AE269&gt;0)*(($V$3:$AE$3&gt;AC$3)+($V$3:$AE$3=AC$3)*($V269:$AE269&lt;AC269)+($V$3:$AE$3=AC$3)*($V269:$AE269=AC269)*($V$2:$AE$2&lt;AC$2))),2))))</f>
      </c>
      <c r="AN269" s="33">
        <f>IF(AD269&lt;=0,0,MAX(0,MIN(AD269,ROUND($AZ269-SUMPRODUCT($V269:$AE269*($V269:$AE269&gt;0)*(($V$3:$AE$3&gt;AD$3)+($V$3:$AE$3=AD$3)*($V269:$AE269&lt;AD269)+($V$3:$AE$3=AD$3)*($V269:$AE269=AD269)*($V$2:$AE$2&lt;AD$2))),2))))</f>
      </c>
      <c r="AO269" s="33">
        <f>IF(AE269&lt;=0,0,MAX(0,MIN(AE269,ROUND($AZ269-SUMPRODUCT($V269:$AE269*($V269:$AE269&gt;0)*(($V$3:$AE$3&gt;AE$3)+($V$3:$AE$3=AE$3)*($V269:$AE269&lt;AE269)+($V$3:$AE$3=AE$3)*($V269:$AE269=AE269)*($V$2:$AE$2&lt;AE$2))),2))))</f>
      </c>
      <c r="AP269" s="33">
        <f>ROUND(V269-AF269,2)</f>
      </c>
      <c r="AQ269" s="33">
        <f>ROUND(W269-AG269,2)</f>
      </c>
      <c r="AR269" s="33">
        <f>ROUND(X269-AH269,2)</f>
      </c>
      <c r="AS269" s="33">
        <f>ROUND(Y269-AI269,2)</f>
      </c>
      <c r="AT269" s="33">
        <f>ROUND(Z269-AJ269,2)</f>
      </c>
      <c r="AU269" s="33">
        <f>ROUND(AA269-AK269,2)</f>
      </c>
      <c r="AV269" s="33">
        <f>ROUND(AB269-AL269,2)</f>
      </c>
      <c r="AW269" s="33">
        <f>ROUND(AC269-AM269,2)</f>
      </c>
      <c r="AX269" s="33">
        <f>ROUND(AD269-AN269,2)</f>
      </c>
      <c r="AY269" s="33">
        <f>ROUND(AE269-AO269,2)</f>
      </c>
      <c r="AZ269" s="33">
        <f>ROUND(MAX(0,'Your debts'!$D$22-SUM($L269:$U269)),2)</f>
      </c>
      <c r="BA269" s="33">
        <f>ROUND(SUM($B269:$K269)-SUM($AP268:$AY268),2)</f>
      </c>
      <c r="BB269" s="33">
        <f>SUM($AP269:$AY269)</f>
      </c>
      <c r="BC269" s="33">
        <f>ROUND(SUM($L269:$U269)+SUM($AF269:$AO269),2)</f>
      </c>
    </row>
    <row r="270" spans="1:55" x14ac:dyDescent="0.25">
      <c r="A270">
        <v>263</v>
      </c>
      <c r="B270" s="33">
        <f>IF(AP269&lt;=0,0,ROUND(AP269+ROUND(AP269*V$3/12,2),2))</f>
      </c>
      <c r="C270" s="33">
        <f>IF(AQ269&lt;=0,0,ROUND(AQ269+ROUND(AQ269*W$3/12,2),2))</f>
      </c>
      <c r="D270" s="33">
        <f>IF(AR269&lt;=0,0,ROUND(AR269+ROUND(AR269*X$3/12,2),2))</f>
      </c>
      <c r="E270" s="33">
        <f>IF(AS269&lt;=0,0,ROUND(AS269+ROUND(AS269*Y$3/12,2),2))</f>
      </c>
      <c r="F270" s="33">
        <f>IF(AT269&lt;=0,0,ROUND(AT269+ROUND(AT269*Z$3/12,2),2))</f>
      </c>
      <c r="G270" s="33">
        <f>IF(AU269&lt;=0,0,ROUND(AU269+ROUND(AU269*AA$3/12,2),2))</f>
      </c>
      <c r="H270" s="33">
        <f>IF(AV269&lt;=0,0,ROUND(AV269+ROUND(AV269*AB$3/12,2),2))</f>
      </c>
      <c r="I270" s="33">
        <f>IF(AW269&lt;=0,0,ROUND(AW269+ROUND(AW269*AC$3/12,2),2))</f>
      </c>
      <c r="J270" s="33">
        <f>IF(AX269&lt;=0,0,ROUND(AX269+ROUND(AX269*AD$3/12,2),2))</f>
      </c>
      <c r="K270" s="33">
        <f>IF(AY269&lt;=0,0,ROUND(AY269+ROUND(AY269*AE$3/12,2),2))</f>
      </c>
      <c r="L270" s="33">
        <f>ROUND(MIN(MAX(0,N('Your debts'!$E$6)),B270),2)</f>
      </c>
      <c r="M270" s="33">
        <f>ROUND(MIN(MAX(0,N('Your debts'!$E$7)),C270),2)</f>
      </c>
      <c r="N270" s="33">
        <f>ROUND(MIN(MAX(0,N('Your debts'!$E$8)),D270),2)</f>
      </c>
      <c r="O270" s="33">
        <f>ROUND(MIN(MAX(0,N('Your debts'!$E$9)),E270),2)</f>
      </c>
      <c r="P270" s="33">
        <f>ROUND(MIN(MAX(0,N('Your debts'!$E$10)),F270),2)</f>
      </c>
      <c r="Q270" s="33">
        <f>ROUND(MIN(MAX(0,N('Your debts'!$E$11)),G270),2)</f>
      </c>
      <c r="R270" s="33">
        <f>ROUND(MIN(MAX(0,N('Your debts'!$E$12)),H270),2)</f>
      </c>
      <c r="S270" s="33">
        <f>ROUND(MIN(MAX(0,N('Your debts'!$E$13)),I270),2)</f>
      </c>
      <c r="T270" s="33">
        <f>ROUND(MIN(MAX(0,N('Your debts'!$E$14)),J270),2)</f>
      </c>
      <c r="U270" s="33">
        <f>ROUND(MIN(MAX(0,N('Your debts'!$E$15)),K270),2)</f>
      </c>
      <c r="V270" s="33">
        <f>ROUND(B270-L270,2)</f>
      </c>
      <c r="W270" s="33">
        <f>ROUND(C270-M270,2)</f>
      </c>
      <c r="X270" s="33">
        <f>ROUND(D270-N270,2)</f>
      </c>
      <c r="Y270" s="33">
        <f>ROUND(E270-O270,2)</f>
      </c>
      <c r="Z270" s="33">
        <f>ROUND(F270-P270,2)</f>
      </c>
      <c r="AA270" s="33">
        <f>ROUND(G270-Q270,2)</f>
      </c>
      <c r="AB270" s="33">
        <f>ROUND(H270-R270,2)</f>
      </c>
      <c r="AC270" s="33">
        <f>ROUND(I270-S270,2)</f>
      </c>
      <c r="AD270" s="33">
        <f>ROUND(J270-T270,2)</f>
      </c>
      <c r="AE270" s="33">
        <f>ROUND(K270-U270,2)</f>
      </c>
      <c r="AF270" s="33">
        <f>IF(V270&lt;=0,0,MAX(0,MIN(V270,ROUND($AZ270-SUMPRODUCT($V270:$AE270*($V270:$AE270&gt;0)*(($V$3:$AE$3&gt;V$3)+($V$3:$AE$3=V$3)*($V270:$AE270&lt;V270)+($V$3:$AE$3=V$3)*($V270:$AE270=V270)*($V$2:$AE$2&lt;V$2))),2))))</f>
      </c>
      <c r="AG270" s="33">
        <f>IF(W270&lt;=0,0,MAX(0,MIN(W270,ROUND($AZ270-SUMPRODUCT($V270:$AE270*($V270:$AE270&gt;0)*(($V$3:$AE$3&gt;W$3)+($V$3:$AE$3=W$3)*($V270:$AE270&lt;W270)+($V$3:$AE$3=W$3)*($V270:$AE270=W270)*($V$2:$AE$2&lt;W$2))),2))))</f>
      </c>
      <c r="AH270" s="33">
        <f>IF(X270&lt;=0,0,MAX(0,MIN(X270,ROUND($AZ270-SUMPRODUCT($V270:$AE270*($V270:$AE270&gt;0)*(($V$3:$AE$3&gt;X$3)+($V$3:$AE$3=X$3)*($V270:$AE270&lt;X270)+($V$3:$AE$3=X$3)*($V270:$AE270=X270)*($V$2:$AE$2&lt;X$2))),2))))</f>
      </c>
      <c r="AI270" s="33">
        <f>IF(Y270&lt;=0,0,MAX(0,MIN(Y270,ROUND($AZ270-SUMPRODUCT($V270:$AE270*($V270:$AE270&gt;0)*(($V$3:$AE$3&gt;Y$3)+($V$3:$AE$3=Y$3)*($V270:$AE270&lt;Y270)+($V$3:$AE$3=Y$3)*($V270:$AE270=Y270)*($V$2:$AE$2&lt;Y$2))),2))))</f>
      </c>
      <c r="AJ270" s="33">
        <f>IF(Z270&lt;=0,0,MAX(0,MIN(Z270,ROUND($AZ270-SUMPRODUCT($V270:$AE270*($V270:$AE270&gt;0)*(($V$3:$AE$3&gt;Z$3)+($V$3:$AE$3=Z$3)*($V270:$AE270&lt;Z270)+($V$3:$AE$3=Z$3)*($V270:$AE270=Z270)*($V$2:$AE$2&lt;Z$2))),2))))</f>
      </c>
      <c r="AK270" s="33">
        <f>IF(AA270&lt;=0,0,MAX(0,MIN(AA270,ROUND($AZ270-SUMPRODUCT($V270:$AE270*($V270:$AE270&gt;0)*(($V$3:$AE$3&gt;AA$3)+($V$3:$AE$3=AA$3)*($V270:$AE270&lt;AA270)+($V$3:$AE$3=AA$3)*($V270:$AE270=AA270)*($V$2:$AE$2&lt;AA$2))),2))))</f>
      </c>
      <c r="AL270" s="33">
        <f>IF(AB270&lt;=0,0,MAX(0,MIN(AB270,ROUND($AZ270-SUMPRODUCT($V270:$AE270*($V270:$AE270&gt;0)*(($V$3:$AE$3&gt;AB$3)+($V$3:$AE$3=AB$3)*($V270:$AE270&lt;AB270)+($V$3:$AE$3=AB$3)*($V270:$AE270=AB270)*($V$2:$AE$2&lt;AB$2))),2))))</f>
      </c>
      <c r="AM270" s="33">
        <f>IF(AC270&lt;=0,0,MAX(0,MIN(AC270,ROUND($AZ270-SUMPRODUCT($V270:$AE270*($V270:$AE270&gt;0)*(($V$3:$AE$3&gt;AC$3)+($V$3:$AE$3=AC$3)*($V270:$AE270&lt;AC270)+($V$3:$AE$3=AC$3)*($V270:$AE270=AC270)*($V$2:$AE$2&lt;AC$2))),2))))</f>
      </c>
      <c r="AN270" s="33">
        <f>IF(AD270&lt;=0,0,MAX(0,MIN(AD270,ROUND($AZ270-SUMPRODUCT($V270:$AE270*($V270:$AE270&gt;0)*(($V$3:$AE$3&gt;AD$3)+($V$3:$AE$3=AD$3)*($V270:$AE270&lt;AD270)+($V$3:$AE$3=AD$3)*($V270:$AE270=AD270)*($V$2:$AE$2&lt;AD$2))),2))))</f>
      </c>
      <c r="AO270" s="33">
        <f>IF(AE270&lt;=0,0,MAX(0,MIN(AE270,ROUND($AZ270-SUMPRODUCT($V270:$AE270*($V270:$AE270&gt;0)*(($V$3:$AE$3&gt;AE$3)+($V$3:$AE$3=AE$3)*($V270:$AE270&lt;AE270)+($V$3:$AE$3=AE$3)*($V270:$AE270=AE270)*($V$2:$AE$2&lt;AE$2))),2))))</f>
      </c>
      <c r="AP270" s="33">
        <f>ROUND(V270-AF270,2)</f>
      </c>
      <c r="AQ270" s="33">
        <f>ROUND(W270-AG270,2)</f>
      </c>
      <c r="AR270" s="33">
        <f>ROUND(X270-AH270,2)</f>
      </c>
      <c r="AS270" s="33">
        <f>ROUND(Y270-AI270,2)</f>
      </c>
      <c r="AT270" s="33">
        <f>ROUND(Z270-AJ270,2)</f>
      </c>
      <c r="AU270" s="33">
        <f>ROUND(AA270-AK270,2)</f>
      </c>
      <c r="AV270" s="33">
        <f>ROUND(AB270-AL270,2)</f>
      </c>
      <c r="AW270" s="33">
        <f>ROUND(AC270-AM270,2)</f>
      </c>
      <c r="AX270" s="33">
        <f>ROUND(AD270-AN270,2)</f>
      </c>
      <c r="AY270" s="33">
        <f>ROUND(AE270-AO270,2)</f>
      </c>
      <c r="AZ270" s="33">
        <f>ROUND(MAX(0,'Your debts'!$D$22-SUM($L270:$U270)),2)</f>
      </c>
      <c r="BA270" s="33">
        <f>ROUND(SUM($B270:$K270)-SUM($AP269:$AY269),2)</f>
      </c>
      <c r="BB270" s="33">
        <f>SUM($AP270:$AY270)</f>
      </c>
      <c r="BC270" s="33">
        <f>ROUND(SUM($L270:$U270)+SUM($AF270:$AO270),2)</f>
      </c>
    </row>
    <row r="271" spans="1:55" x14ac:dyDescent="0.25">
      <c r="A271">
        <v>264</v>
      </c>
      <c r="B271" s="33">
        <f>IF(AP270&lt;=0,0,ROUND(AP270+ROUND(AP270*V$3/12,2),2))</f>
      </c>
      <c r="C271" s="33">
        <f>IF(AQ270&lt;=0,0,ROUND(AQ270+ROUND(AQ270*W$3/12,2),2))</f>
      </c>
      <c r="D271" s="33">
        <f>IF(AR270&lt;=0,0,ROUND(AR270+ROUND(AR270*X$3/12,2),2))</f>
      </c>
      <c r="E271" s="33">
        <f>IF(AS270&lt;=0,0,ROUND(AS270+ROUND(AS270*Y$3/12,2),2))</f>
      </c>
      <c r="F271" s="33">
        <f>IF(AT270&lt;=0,0,ROUND(AT270+ROUND(AT270*Z$3/12,2),2))</f>
      </c>
      <c r="G271" s="33">
        <f>IF(AU270&lt;=0,0,ROUND(AU270+ROUND(AU270*AA$3/12,2),2))</f>
      </c>
      <c r="H271" s="33">
        <f>IF(AV270&lt;=0,0,ROUND(AV270+ROUND(AV270*AB$3/12,2),2))</f>
      </c>
      <c r="I271" s="33">
        <f>IF(AW270&lt;=0,0,ROUND(AW270+ROUND(AW270*AC$3/12,2),2))</f>
      </c>
      <c r="J271" s="33">
        <f>IF(AX270&lt;=0,0,ROUND(AX270+ROUND(AX270*AD$3/12,2),2))</f>
      </c>
      <c r="K271" s="33">
        <f>IF(AY270&lt;=0,0,ROUND(AY270+ROUND(AY270*AE$3/12,2),2))</f>
      </c>
      <c r="L271" s="33">
        <f>ROUND(MIN(MAX(0,N('Your debts'!$E$6)),B271),2)</f>
      </c>
      <c r="M271" s="33">
        <f>ROUND(MIN(MAX(0,N('Your debts'!$E$7)),C271),2)</f>
      </c>
      <c r="N271" s="33">
        <f>ROUND(MIN(MAX(0,N('Your debts'!$E$8)),D271),2)</f>
      </c>
      <c r="O271" s="33">
        <f>ROUND(MIN(MAX(0,N('Your debts'!$E$9)),E271),2)</f>
      </c>
      <c r="P271" s="33">
        <f>ROUND(MIN(MAX(0,N('Your debts'!$E$10)),F271),2)</f>
      </c>
      <c r="Q271" s="33">
        <f>ROUND(MIN(MAX(0,N('Your debts'!$E$11)),G271),2)</f>
      </c>
      <c r="R271" s="33">
        <f>ROUND(MIN(MAX(0,N('Your debts'!$E$12)),H271),2)</f>
      </c>
      <c r="S271" s="33">
        <f>ROUND(MIN(MAX(0,N('Your debts'!$E$13)),I271),2)</f>
      </c>
      <c r="T271" s="33">
        <f>ROUND(MIN(MAX(0,N('Your debts'!$E$14)),J271),2)</f>
      </c>
      <c r="U271" s="33">
        <f>ROUND(MIN(MAX(0,N('Your debts'!$E$15)),K271),2)</f>
      </c>
      <c r="V271" s="33">
        <f>ROUND(B271-L271,2)</f>
      </c>
      <c r="W271" s="33">
        <f>ROUND(C271-M271,2)</f>
      </c>
      <c r="X271" s="33">
        <f>ROUND(D271-N271,2)</f>
      </c>
      <c r="Y271" s="33">
        <f>ROUND(E271-O271,2)</f>
      </c>
      <c r="Z271" s="33">
        <f>ROUND(F271-P271,2)</f>
      </c>
      <c r="AA271" s="33">
        <f>ROUND(G271-Q271,2)</f>
      </c>
      <c r="AB271" s="33">
        <f>ROUND(H271-R271,2)</f>
      </c>
      <c r="AC271" s="33">
        <f>ROUND(I271-S271,2)</f>
      </c>
      <c r="AD271" s="33">
        <f>ROUND(J271-T271,2)</f>
      </c>
      <c r="AE271" s="33">
        <f>ROUND(K271-U271,2)</f>
      </c>
      <c r="AF271" s="33">
        <f>IF(V271&lt;=0,0,MAX(0,MIN(V271,ROUND($AZ271-SUMPRODUCT($V271:$AE271*($V271:$AE271&gt;0)*(($V$3:$AE$3&gt;V$3)+($V$3:$AE$3=V$3)*($V271:$AE271&lt;V271)+($V$3:$AE$3=V$3)*($V271:$AE271=V271)*($V$2:$AE$2&lt;V$2))),2))))</f>
      </c>
      <c r="AG271" s="33">
        <f>IF(W271&lt;=0,0,MAX(0,MIN(W271,ROUND($AZ271-SUMPRODUCT($V271:$AE271*($V271:$AE271&gt;0)*(($V$3:$AE$3&gt;W$3)+($V$3:$AE$3=W$3)*($V271:$AE271&lt;W271)+($V$3:$AE$3=W$3)*($V271:$AE271=W271)*($V$2:$AE$2&lt;W$2))),2))))</f>
      </c>
      <c r="AH271" s="33">
        <f>IF(X271&lt;=0,0,MAX(0,MIN(X271,ROUND($AZ271-SUMPRODUCT($V271:$AE271*($V271:$AE271&gt;0)*(($V$3:$AE$3&gt;X$3)+($V$3:$AE$3=X$3)*($V271:$AE271&lt;X271)+($V$3:$AE$3=X$3)*($V271:$AE271=X271)*($V$2:$AE$2&lt;X$2))),2))))</f>
      </c>
      <c r="AI271" s="33">
        <f>IF(Y271&lt;=0,0,MAX(0,MIN(Y271,ROUND($AZ271-SUMPRODUCT($V271:$AE271*($V271:$AE271&gt;0)*(($V$3:$AE$3&gt;Y$3)+($V$3:$AE$3=Y$3)*($V271:$AE271&lt;Y271)+($V$3:$AE$3=Y$3)*($V271:$AE271=Y271)*($V$2:$AE$2&lt;Y$2))),2))))</f>
      </c>
      <c r="AJ271" s="33">
        <f>IF(Z271&lt;=0,0,MAX(0,MIN(Z271,ROUND($AZ271-SUMPRODUCT($V271:$AE271*($V271:$AE271&gt;0)*(($V$3:$AE$3&gt;Z$3)+($V$3:$AE$3=Z$3)*($V271:$AE271&lt;Z271)+($V$3:$AE$3=Z$3)*($V271:$AE271=Z271)*($V$2:$AE$2&lt;Z$2))),2))))</f>
      </c>
      <c r="AK271" s="33">
        <f>IF(AA271&lt;=0,0,MAX(0,MIN(AA271,ROUND($AZ271-SUMPRODUCT($V271:$AE271*($V271:$AE271&gt;0)*(($V$3:$AE$3&gt;AA$3)+($V$3:$AE$3=AA$3)*($V271:$AE271&lt;AA271)+($V$3:$AE$3=AA$3)*($V271:$AE271=AA271)*($V$2:$AE$2&lt;AA$2))),2))))</f>
      </c>
      <c r="AL271" s="33">
        <f>IF(AB271&lt;=0,0,MAX(0,MIN(AB271,ROUND($AZ271-SUMPRODUCT($V271:$AE271*($V271:$AE271&gt;0)*(($V$3:$AE$3&gt;AB$3)+($V$3:$AE$3=AB$3)*($V271:$AE271&lt;AB271)+($V$3:$AE$3=AB$3)*($V271:$AE271=AB271)*($V$2:$AE$2&lt;AB$2))),2))))</f>
      </c>
      <c r="AM271" s="33">
        <f>IF(AC271&lt;=0,0,MAX(0,MIN(AC271,ROUND($AZ271-SUMPRODUCT($V271:$AE271*($V271:$AE271&gt;0)*(($V$3:$AE$3&gt;AC$3)+($V$3:$AE$3=AC$3)*($V271:$AE271&lt;AC271)+($V$3:$AE$3=AC$3)*($V271:$AE271=AC271)*($V$2:$AE$2&lt;AC$2))),2))))</f>
      </c>
      <c r="AN271" s="33">
        <f>IF(AD271&lt;=0,0,MAX(0,MIN(AD271,ROUND($AZ271-SUMPRODUCT($V271:$AE271*($V271:$AE271&gt;0)*(($V$3:$AE$3&gt;AD$3)+($V$3:$AE$3=AD$3)*($V271:$AE271&lt;AD271)+($V$3:$AE$3=AD$3)*($V271:$AE271=AD271)*($V$2:$AE$2&lt;AD$2))),2))))</f>
      </c>
      <c r="AO271" s="33">
        <f>IF(AE271&lt;=0,0,MAX(0,MIN(AE271,ROUND($AZ271-SUMPRODUCT($V271:$AE271*($V271:$AE271&gt;0)*(($V$3:$AE$3&gt;AE$3)+($V$3:$AE$3=AE$3)*($V271:$AE271&lt;AE271)+($V$3:$AE$3=AE$3)*($V271:$AE271=AE271)*($V$2:$AE$2&lt;AE$2))),2))))</f>
      </c>
      <c r="AP271" s="33">
        <f>ROUND(V271-AF271,2)</f>
      </c>
      <c r="AQ271" s="33">
        <f>ROUND(W271-AG271,2)</f>
      </c>
      <c r="AR271" s="33">
        <f>ROUND(X271-AH271,2)</f>
      </c>
      <c r="AS271" s="33">
        <f>ROUND(Y271-AI271,2)</f>
      </c>
      <c r="AT271" s="33">
        <f>ROUND(Z271-AJ271,2)</f>
      </c>
      <c r="AU271" s="33">
        <f>ROUND(AA271-AK271,2)</f>
      </c>
      <c r="AV271" s="33">
        <f>ROUND(AB271-AL271,2)</f>
      </c>
      <c r="AW271" s="33">
        <f>ROUND(AC271-AM271,2)</f>
      </c>
      <c r="AX271" s="33">
        <f>ROUND(AD271-AN271,2)</f>
      </c>
      <c r="AY271" s="33">
        <f>ROUND(AE271-AO271,2)</f>
      </c>
      <c r="AZ271" s="33">
        <f>ROUND(MAX(0,'Your debts'!$D$22-SUM($L271:$U271)),2)</f>
      </c>
      <c r="BA271" s="33">
        <f>ROUND(SUM($B271:$K271)-SUM($AP270:$AY270),2)</f>
      </c>
      <c r="BB271" s="33">
        <f>SUM($AP271:$AY271)</f>
      </c>
      <c r="BC271" s="33">
        <f>ROUND(SUM($L271:$U271)+SUM($AF271:$AO271),2)</f>
      </c>
    </row>
    <row r="272" spans="1:55" x14ac:dyDescent="0.25">
      <c r="A272">
        <v>265</v>
      </c>
      <c r="B272" s="33">
        <f>IF(AP271&lt;=0,0,ROUND(AP271+ROUND(AP271*V$3/12,2),2))</f>
      </c>
      <c r="C272" s="33">
        <f>IF(AQ271&lt;=0,0,ROUND(AQ271+ROUND(AQ271*W$3/12,2),2))</f>
      </c>
      <c r="D272" s="33">
        <f>IF(AR271&lt;=0,0,ROUND(AR271+ROUND(AR271*X$3/12,2),2))</f>
      </c>
      <c r="E272" s="33">
        <f>IF(AS271&lt;=0,0,ROUND(AS271+ROUND(AS271*Y$3/12,2),2))</f>
      </c>
      <c r="F272" s="33">
        <f>IF(AT271&lt;=0,0,ROUND(AT271+ROUND(AT271*Z$3/12,2),2))</f>
      </c>
      <c r="G272" s="33">
        <f>IF(AU271&lt;=0,0,ROUND(AU271+ROUND(AU271*AA$3/12,2),2))</f>
      </c>
      <c r="H272" s="33">
        <f>IF(AV271&lt;=0,0,ROUND(AV271+ROUND(AV271*AB$3/12,2),2))</f>
      </c>
      <c r="I272" s="33">
        <f>IF(AW271&lt;=0,0,ROUND(AW271+ROUND(AW271*AC$3/12,2),2))</f>
      </c>
      <c r="J272" s="33">
        <f>IF(AX271&lt;=0,0,ROUND(AX271+ROUND(AX271*AD$3/12,2),2))</f>
      </c>
      <c r="K272" s="33">
        <f>IF(AY271&lt;=0,0,ROUND(AY271+ROUND(AY271*AE$3/12,2),2))</f>
      </c>
      <c r="L272" s="33">
        <f>ROUND(MIN(MAX(0,N('Your debts'!$E$6)),B272),2)</f>
      </c>
      <c r="M272" s="33">
        <f>ROUND(MIN(MAX(0,N('Your debts'!$E$7)),C272),2)</f>
      </c>
      <c r="N272" s="33">
        <f>ROUND(MIN(MAX(0,N('Your debts'!$E$8)),D272),2)</f>
      </c>
      <c r="O272" s="33">
        <f>ROUND(MIN(MAX(0,N('Your debts'!$E$9)),E272),2)</f>
      </c>
      <c r="P272" s="33">
        <f>ROUND(MIN(MAX(0,N('Your debts'!$E$10)),F272),2)</f>
      </c>
      <c r="Q272" s="33">
        <f>ROUND(MIN(MAX(0,N('Your debts'!$E$11)),G272),2)</f>
      </c>
      <c r="R272" s="33">
        <f>ROUND(MIN(MAX(0,N('Your debts'!$E$12)),H272),2)</f>
      </c>
      <c r="S272" s="33">
        <f>ROUND(MIN(MAX(0,N('Your debts'!$E$13)),I272),2)</f>
      </c>
      <c r="T272" s="33">
        <f>ROUND(MIN(MAX(0,N('Your debts'!$E$14)),J272),2)</f>
      </c>
      <c r="U272" s="33">
        <f>ROUND(MIN(MAX(0,N('Your debts'!$E$15)),K272),2)</f>
      </c>
      <c r="V272" s="33">
        <f>ROUND(B272-L272,2)</f>
      </c>
      <c r="W272" s="33">
        <f>ROUND(C272-M272,2)</f>
      </c>
      <c r="X272" s="33">
        <f>ROUND(D272-N272,2)</f>
      </c>
      <c r="Y272" s="33">
        <f>ROUND(E272-O272,2)</f>
      </c>
      <c r="Z272" s="33">
        <f>ROUND(F272-P272,2)</f>
      </c>
      <c r="AA272" s="33">
        <f>ROUND(G272-Q272,2)</f>
      </c>
      <c r="AB272" s="33">
        <f>ROUND(H272-R272,2)</f>
      </c>
      <c r="AC272" s="33">
        <f>ROUND(I272-S272,2)</f>
      </c>
      <c r="AD272" s="33">
        <f>ROUND(J272-T272,2)</f>
      </c>
      <c r="AE272" s="33">
        <f>ROUND(K272-U272,2)</f>
      </c>
      <c r="AF272" s="33">
        <f>IF(V272&lt;=0,0,MAX(0,MIN(V272,ROUND($AZ272-SUMPRODUCT($V272:$AE272*($V272:$AE272&gt;0)*(($V$3:$AE$3&gt;V$3)+($V$3:$AE$3=V$3)*($V272:$AE272&lt;V272)+($V$3:$AE$3=V$3)*($V272:$AE272=V272)*($V$2:$AE$2&lt;V$2))),2))))</f>
      </c>
      <c r="AG272" s="33">
        <f>IF(W272&lt;=0,0,MAX(0,MIN(W272,ROUND($AZ272-SUMPRODUCT($V272:$AE272*($V272:$AE272&gt;0)*(($V$3:$AE$3&gt;W$3)+($V$3:$AE$3=W$3)*($V272:$AE272&lt;W272)+($V$3:$AE$3=W$3)*($V272:$AE272=W272)*($V$2:$AE$2&lt;W$2))),2))))</f>
      </c>
      <c r="AH272" s="33">
        <f>IF(X272&lt;=0,0,MAX(0,MIN(X272,ROUND($AZ272-SUMPRODUCT($V272:$AE272*($V272:$AE272&gt;0)*(($V$3:$AE$3&gt;X$3)+($V$3:$AE$3=X$3)*($V272:$AE272&lt;X272)+($V$3:$AE$3=X$3)*($V272:$AE272=X272)*($V$2:$AE$2&lt;X$2))),2))))</f>
      </c>
      <c r="AI272" s="33">
        <f>IF(Y272&lt;=0,0,MAX(0,MIN(Y272,ROUND($AZ272-SUMPRODUCT($V272:$AE272*($V272:$AE272&gt;0)*(($V$3:$AE$3&gt;Y$3)+($V$3:$AE$3=Y$3)*($V272:$AE272&lt;Y272)+($V$3:$AE$3=Y$3)*($V272:$AE272=Y272)*($V$2:$AE$2&lt;Y$2))),2))))</f>
      </c>
      <c r="AJ272" s="33">
        <f>IF(Z272&lt;=0,0,MAX(0,MIN(Z272,ROUND($AZ272-SUMPRODUCT($V272:$AE272*($V272:$AE272&gt;0)*(($V$3:$AE$3&gt;Z$3)+($V$3:$AE$3=Z$3)*($V272:$AE272&lt;Z272)+($V$3:$AE$3=Z$3)*($V272:$AE272=Z272)*($V$2:$AE$2&lt;Z$2))),2))))</f>
      </c>
      <c r="AK272" s="33">
        <f>IF(AA272&lt;=0,0,MAX(0,MIN(AA272,ROUND($AZ272-SUMPRODUCT($V272:$AE272*($V272:$AE272&gt;0)*(($V$3:$AE$3&gt;AA$3)+($V$3:$AE$3=AA$3)*($V272:$AE272&lt;AA272)+($V$3:$AE$3=AA$3)*($V272:$AE272=AA272)*($V$2:$AE$2&lt;AA$2))),2))))</f>
      </c>
      <c r="AL272" s="33">
        <f>IF(AB272&lt;=0,0,MAX(0,MIN(AB272,ROUND($AZ272-SUMPRODUCT($V272:$AE272*($V272:$AE272&gt;0)*(($V$3:$AE$3&gt;AB$3)+($V$3:$AE$3=AB$3)*($V272:$AE272&lt;AB272)+($V$3:$AE$3=AB$3)*($V272:$AE272=AB272)*($V$2:$AE$2&lt;AB$2))),2))))</f>
      </c>
      <c r="AM272" s="33">
        <f>IF(AC272&lt;=0,0,MAX(0,MIN(AC272,ROUND($AZ272-SUMPRODUCT($V272:$AE272*($V272:$AE272&gt;0)*(($V$3:$AE$3&gt;AC$3)+($V$3:$AE$3=AC$3)*($V272:$AE272&lt;AC272)+($V$3:$AE$3=AC$3)*($V272:$AE272=AC272)*($V$2:$AE$2&lt;AC$2))),2))))</f>
      </c>
      <c r="AN272" s="33">
        <f>IF(AD272&lt;=0,0,MAX(0,MIN(AD272,ROUND($AZ272-SUMPRODUCT($V272:$AE272*($V272:$AE272&gt;0)*(($V$3:$AE$3&gt;AD$3)+($V$3:$AE$3=AD$3)*($V272:$AE272&lt;AD272)+($V$3:$AE$3=AD$3)*($V272:$AE272=AD272)*($V$2:$AE$2&lt;AD$2))),2))))</f>
      </c>
      <c r="AO272" s="33">
        <f>IF(AE272&lt;=0,0,MAX(0,MIN(AE272,ROUND($AZ272-SUMPRODUCT($V272:$AE272*($V272:$AE272&gt;0)*(($V$3:$AE$3&gt;AE$3)+($V$3:$AE$3=AE$3)*($V272:$AE272&lt;AE272)+($V$3:$AE$3=AE$3)*($V272:$AE272=AE272)*($V$2:$AE$2&lt;AE$2))),2))))</f>
      </c>
      <c r="AP272" s="33">
        <f>ROUND(V272-AF272,2)</f>
      </c>
      <c r="AQ272" s="33">
        <f>ROUND(W272-AG272,2)</f>
      </c>
      <c r="AR272" s="33">
        <f>ROUND(X272-AH272,2)</f>
      </c>
      <c r="AS272" s="33">
        <f>ROUND(Y272-AI272,2)</f>
      </c>
      <c r="AT272" s="33">
        <f>ROUND(Z272-AJ272,2)</f>
      </c>
      <c r="AU272" s="33">
        <f>ROUND(AA272-AK272,2)</f>
      </c>
      <c r="AV272" s="33">
        <f>ROUND(AB272-AL272,2)</f>
      </c>
      <c r="AW272" s="33">
        <f>ROUND(AC272-AM272,2)</f>
      </c>
      <c r="AX272" s="33">
        <f>ROUND(AD272-AN272,2)</f>
      </c>
      <c r="AY272" s="33">
        <f>ROUND(AE272-AO272,2)</f>
      </c>
      <c r="AZ272" s="33">
        <f>ROUND(MAX(0,'Your debts'!$D$22-SUM($L272:$U272)),2)</f>
      </c>
      <c r="BA272" s="33">
        <f>ROUND(SUM($B272:$K272)-SUM($AP271:$AY271),2)</f>
      </c>
      <c r="BB272" s="33">
        <f>SUM($AP272:$AY272)</f>
      </c>
      <c r="BC272" s="33">
        <f>ROUND(SUM($L272:$U272)+SUM($AF272:$AO272),2)</f>
      </c>
    </row>
    <row r="273" spans="1:55" x14ac:dyDescent="0.25">
      <c r="A273">
        <v>266</v>
      </c>
      <c r="B273" s="33">
        <f>IF(AP272&lt;=0,0,ROUND(AP272+ROUND(AP272*V$3/12,2),2))</f>
      </c>
      <c r="C273" s="33">
        <f>IF(AQ272&lt;=0,0,ROUND(AQ272+ROUND(AQ272*W$3/12,2),2))</f>
      </c>
      <c r="D273" s="33">
        <f>IF(AR272&lt;=0,0,ROUND(AR272+ROUND(AR272*X$3/12,2),2))</f>
      </c>
      <c r="E273" s="33">
        <f>IF(AS272&lt;=0,0,ROUND(AS272+ROUND(AS272*Y$3/12,2),2))</f>
      </c>
      <c r="F273" s="33">
        <f>IF(AT272&lt;=0,0,ROUND(AT272+ROUND(AT272*Z$3/12,2),2))</f>
      </c>
      <c r="G273" s="33">
        <f>IF(AU272&lt;=0,0,ROUND(AU272+ROUND(AU272*AA$3/12,2),2))</f>
      </c>
      <c r="H273" s="33">
        <f>IF(AV272&lt;=0,0,ROUND(AV272+ROUND(AV272*AB$3/12,2),2))</f>
      </c>
      <c r="I273" s="33">
        <f>IF(AW272&lt;=0,0,ROUND(AW272+ROUND(AW272*AC$3/12,2),2))</f>
      </c>
      <c r="J273" s="33">
        <f>IF(AX272&lt;=0,0,ROUND(AX272+ROUND(AX272*AD$3/12,2),2))</f>
      </c>
      <c r="K273" s="33">
        <f>IF(AY272&lt;=0,0,ROUND(AY272+ROUND(AY272*AE$3/12,2),2))</f>
      </c>
      <c r="L273" s="33">
        <f>ROUND(MIN(MAX(0,N('Your debts'!$E$6)),B273),2)</f>
      </c>
      <c r="M273" s="33">
        <f>ROUND(MIN(MAX(0,N('Your debts'!$E$7)),C273),2)</f>
      </c>
      <c r="N273" s="33">
        <f>ROUND(MIN(MAX(0,N('Your debts'!$E$8)),D273),2)</f>
      </c>
      <c r="O273" s="33">
        <f>ROUND(MIN(MAX(0,N('Your debts'!$E$9)),E273),2)</f>
      </c>
      <c r="P273" s="33">
        <f>ROUND(MIN(MAX(0,N('Your debts'!$E$10)),F273),2)</f>
      </c>
      <c r="Q273" s="33">
        <f>ROUND(MIN(MAX(0,N('Your debts'!$E$11)),G273),2)</f>
      </c>
      <c r="R273" s="33">
        <f>ROUND(MIN(MAX(0,N('Your debts'!$E$12)),H273),2)</f>
      </c>
      <c r="S273" s="33">
        <f>ROUND(MIN(MAX(0,N('Your debts'!$E$13)),I273),2)</f>
      </c>
      <c r="T273" s="33">
        <f>ROUND(MIN(MAX(0,N('Your debts'!$E$14)),J273),2)</f>
      </c>
      <c r="U273" s="33">
        <f>ROUND(MIN(MAX(0,N('Your debts'!$E$15)),K273),2)</f>
      </c>
      <c r="V273" s="33">
        <f>ROUND(B273-L273,2)</f>
      </c>
      <c r="W273" s="33">
        <f>ROUND(C273-M273,2)</f>
      </c>
      <c r="X273" s="33">
        <f>ROUND(D273-N273,2)</f>
      </c>
      <c r="Y273" s="33">
        <f>ROUND(E273-O273,2)</f>
      </c>
      <c r="Z273" s="33">
        <f>ROUND(F273-P273,2)</f>
      </c>
      <c r="AA273" s="33">
        <f>ROUND(G273-Q273,2)</f>
      </c>
      <c r="AB273" s="33">
        <f>ROUND(H273-R273,2)</f>
      </c>
      <c r="AC273" s="33">
        <f>ROUND(I273-S273,2)</f>
      </c>
      <c r="AD273" s="33">
        <f>ROUND(J273-T273,2)</f>
      </c>
      <c r="AE273" s="33">
        <f>ROUND(K273-U273,2)</f>
      </c>
      <c r="AF273" s="33">
        <f>IF(V273&lt;=0,0,MAX(0,MIN(V273,ROUND($AZ273-SUMPRODUCT($V273:$AE273*($V273:$AE273&gt;0)*(($V$3:$AE$3&gt;V$3)+($V$3:$AE$3=V$3)*($V273:$AE273&lt;V273)+($V$3:$AE$3=V$3)*($V273:$AE273=V273)*($V$2:$AE$2&lt;V$2))),2))))</f>
      </c>
      <c r="AG273" s="33">
        <f>IF(W273&lt;=0,0,MAX(0,MIN(W273,ROUND($AZ273-SUMPRODUCT($V273:$AE273*($V273:$AE273&gt;0)*(($V$3:$AE$3&gt;W$3)+($V$3:$AE$3=W$3)*($V273:$AE273&lt;W273)+($V$3:$AE$3=W$3)*($V273:$AE273=W273)*($V$2:$AE$2&lt;W$2))),2))))</f>
      </c>
      <c r="AH273" s="33">
        <f>IF(X273&lt;=0,0,MAX(0,MIN(X273,ROUND($AZ273-SUMPRODUCT($V273:$AE273*($V273:$AE273&gt;0)*(($V$3:$AE$3&gt;X$3)+($V$3:$AE$3=X$3)*($V273:$AE273&lt;X273)+($V$3:$AE$3=X$3)*($V273:$AE273=X273)*($V$2:$AE$2&lt;X$2))),2))))</f>
      </c>
      <c r="AI273" s="33">
        <f>IF(Y273&lt;=0,0,MAX(0,MIN(Y273,ROUND($AZ273-SUMPRODUCT($V273:$AE273*($V273:$AE273&gt;0)*(($V$3:$AE$3&gt;Y$3)+($V$3:$AE$3=Y$3)*($V273:$AE273&lt;Y273)+($V$3:$AE$3=Y$3)*($V273:$AE273=Y273)*($V$2:$AE$2&lt;Y$2))),2))))</f>
      </c>
      <c r="AJ273" s="33">
        <f>IF(Z273&lt;=0,0,MAX(0,MIN(Z273,ROUND($AZ273-SUMPRODUCT($V273:$AE273*($V273:$AE273&gt;0)*(($V$3:$AE$3&gt;Z$3)+($V$3:$AE$3=Z$3)*($V273:$AE273&lt;Z273)+($V$3:$AE$3=Z$3)*($V273:$AE273=Z273)*($V$2:$AE$2&lt;Z$2))),2))))</f>
      </c>
      <c r="AK273" s="33">
        <f>IF(AA273&lt;=0,0,MAX(0,MIN(AA273,ROUND($AZ273-SUMPRODUCT($V273:$AE273*($V273:$AE273&gt;0)*(($V$3:$AE$3&gt;AA$3)+($V$3:$AE$3=AA$3)*($V273:$AE273&lt;AA273)+($V$3:$AE$3=AA$3)*($V273:$AE273=AA273)*($V$2:$AE$2&lt;AA$2))),2))))</f>
      </c>
      <c r="AL273" s="33">
        <f>IF(AB273&lt;=0,0,MAX(0,MIN(AB273,ROUND($AZ273-SUMPRODUCT($V273:$AE273*($V273:$AE273&gt;0)*(($V$3:$AE$3&gt;AB$3)+($V$3:$AE$3=AB$3)*($V273:$AE273&lt;AB273)+($V$3:$AE$3=AB$3)*($V273:$AE273=AB273)*($V$2:$AE$2&lt;AB$2))),2))))</f>
      </c>
      <c r="AM273" s="33">
        <f>IF(AC273&lt;=0,0,MAX(0,MIN(AC273,ROUND($AZ273-SUMPRODUCT($V273:$AE273*($V273:$AE273&gt;0)*(($V$3:$AE$3&gt;AC$3)+($V$3:$AE$3=AC$3)*($V273:$AE273&lt;AC273)+($V$3:$AE$3=AC$3)*($V273:$AE273=AC273)*($V$2:$AE$2&lt;AC$2))),2))))</f>
      </c>
      <c r="AN273" s="33">
        <f>IF(AD273&lt;=0,0,MAX(0,MIN(AD273,ROUND($AZ273-SUMPRODUCT($V273:$AE273*($V273:$AE273&gt;0)*(($V$3:$AE$3&gt;AD$3)+($V$3:$AE$3=AD$3)*($V273:$AE273&lt;AD273)+($V$3:$AE$3=AD$3)*($V273:$AE273=AD273)*($V$2:$AE$2&lt;AD$2))),2))))</f>
      </c>
      <c r="AO273" s="33">
        <f>IF(AE273&lt;=0,0,MAX(0,MIN(AE273,ROUND($AZ273-SUMPRODUCT($V273:$AE273*($V273:$AE273&gt;0)*(($V$3:$AE$3&gt;AE$3)+($V$3:$AE$3=AE$3)*($V273:$AE273&lt;AE273)+($V$3:$AE$3=AE$3)*($V273:$AE273=AE273)*($V$2:$AE$2&lt;AE$2))),2))))</f>
      </c>
      <c r="AP273" s="33">
        <f>ROUND(V273-AF273,2)</f>
      </c>
      <c r="AQ273" s="33">
        <f>ROUND(W273-AG273,2)</f>
      </c>
      <c r="AR273" s="33">
        <f>ROUND(X273-AH273,2)</f>
      </c>
      <c r="AS273" s="33">
        <f>ROUND(Y273-AI273,2)</f>
      </c>
      <c r="AT273" s="33">
        <f>ROUND(Z273-AJ273,2)</f>
      </c>
      <c r="AU273" s="33">
        <f>ROUND(AA273-AK273,2)</f>
      </c>
      <c r="AV273" s="33">
        <f>ROUND(AB273-AL273,2)</f>
      </c>
      <c r="AW273" s="33">
        <f>ROUND(AC273-AM273,2)</f>
      </c>
      <c r="AX273" s="33">
        <f>ROUND(AD273-AN273,2)</f>
      </c>
      <c r="AY273" s="33">
        <f>ROUND(AE273-AO273,2)</f>
      </c>
      <c r="AZ273" s="33">
        <f>ROUND(MAX(0,'Your debts'!$D$22-SUM($L273:$U273)),2)</f>
      </c>
      <c r="BA273" s="33">
        <f>ROUND(SUM($B273:$K273)-SUM($AP272:$AY272),2)</f>
      </c>
      <c r="BB273" s="33">
        <f>SUM($AP273:$AY273)</f>
      </c>
      <c r="BC273" s="33">
        <f>ROUND(SUM($L273:$U273)+SUM($AF273:$AO273),2)</f>
      </c>
    </row>
    <row r="274" spans="1:55" x14ac:dyDescent="0.25">
      <c r="A274">
        <v>267</v>
      </c>
      <c r="B274" s="33">
        <f>IF(AP273&lt;=0,0,ROUND(AP273+ROUND(AP273*V$3/12,2),2))</f>
      </c>
      <c r="C274" s="33">
        <f>IF(AQ273&lt;=0,0,ROUND(AQ273+ROUND(AQ273*W$3/12,2),2))</f>
      </c>
      <c r="D274" s="33">
        <f>IF(AR273&lt;=0,0,ROUND(AR273+ROUND(AR273*X$3/12,2),2))</f>
      </c>
      <c r="E274" s="33">
        <f>IF(AS273&lt;=0,0,ROUND(AS273+ROUND(AS273*Y$3/12,2),2))</f>
      </c>
      <c r="F274" s="33">
        <f>IF(AT273&lt;=0,0,ROUND(AT273+ROUND(AT273*Z$3/12,2),2))</f>
      </c>
      <c r="G274" s="33">
        <f>IF(AU273&lt;=0,0,ROUND(AU273+ROUND(AU273*AA$3/12,2),2))</f>
      </c>
      <c r="H274" s="33">
        <f>IF(AV273&lt;=0,0,ROUND(AV273+ROUND(AV273*AB$3/12,2),2))</f>
      </c>
      <c r="I274" s="33">
        <f>IF(AW273&lt;=0,0,ROUND(AW273+ROUND(AW273*AC$3/12,2),2))</f>
      </c>
      <c r="J274" s="33">
        <f>IF(AX273&lt;=0,0,ROUND(AX273+ROUND(AX273*AD$3/12,2),2))</f>
      </c>
      <c r="K274" s="33">
        <f>IF(AY273&lt;=0,0,ROUND(AY273+ROUND(AY273*AE$3/12,2),2))</f>
      </c>
      <c r="L274" s="33">
        <f>ROUND(MIN(MAX(0,N('Your debts'!$E$6)),B274),2)</f>
      </c>
      <c r="M274" s="33">
        <f>ROUND(MIN(MAX(0,N('Your debts'!$E$7)),C274),2)</f>
      </c>
      <c r="N274" s="33">
        <f>ROUND(MIN(MAX(0,N('Your debts'!$E$8)),D274),2)</f>
      </c>
      <c r="O274" s="33">
        <f>ROUND(MIN(MAX(0,N('Your debts'!$E$9)),E274),2)</f>
      </c>
      <c r="P274" s="33">
        <f>ROUND(MIN(MAX(0,N('Your debts'!$E$10)),F274),2)</f>
      </c>
      <c r="Q274" s="33">
        <f>ROUND(MIN(MAX(0,N('Your debts'!$E$11)),G274),2)</f>
      </c>
      <c r="R274" s="33">
        <f>ROUND(MIN(MAX(0,N('Your debts'!$E$12)),H274),2)</f>
      </c>
      <c r="S274" s="33">
        <f>ROUND(MIN(MAX(0,N('Your debts'!$E$13)),I274),2)</f>
      </c>
      <c r="T274" s="33">
        <f>ROUND(MIN(MAX(0,N('Your debts'!$E$14)),J274),2)</f>
      </c>
      <c r="U274" s="33">
        <f>ROUND(MIN(MAX(0,N('Your debts'!$E$15)),K274),2)</f>
      </c>
      <c r="V274" s="33">
        <f>ROUND(B274-L274,2)</f>
      </c>
      <c r="W274" s="33">
        <f>ROUND(C274-M274,2)</f>
      </c>
      <c r="X274" s="33">
        <f>ROUND(D274-N274,2)</f>
      </c>
      <c r="Y274" s="33">
        <f>ROUND(E274-O274,2)</f>
      </c>
      <c r="Z274" s="33">
        <f>ROUND(F274-P274,2)</f>
      </c>
      <c r="AA274" s="33">
        <f>ROUND(G274-Q274,2)</f>
      </c>
      <c r="AB274" s="33">
        <f>ROUND(H274-R274,2)</f>
      </c>
      <c r="AC274" s="33">
        <f>ROUND(I274-S274,2)</f>
      </c>
      <c r="AD274" s="33">
        <f>ROUND(J274-T274,2)</f>
      </c>
      <c r="AE274" s="33">
        <f>ROUND(K274-U274,2)</f>
      </c>
      <c r="AF274" s="33">
        <f>IF(V274&lt;=0,0,MAX(0,MIN(V274,ROUND($AZ274-SUMPRODUCT($V274:$AE274*($V274:$AE274&gt;0)*(($V$3:$AE$3&gt;V$3)+($V$3:$AE$3=V$3)*($V274:$AE274&lt;V274)+($V$3:$AE$3=V$3)*($V274:$AE274=V274)*($V$2:$AE$2&lt;V$2))),2))))</f>
      </c>
      <c r="AG274" s="33">
        <f>IF(W274&lt;=0,0,MAX(0,MIN(W274,ROUND($AZ274-SUMPRODUCT($V274:$AE274*($V274:$AE274&gt;0)*(($V$3:$AE$3&gt;W$3)+($V$3:$AE$3=W$3)*($V274:$AE274&lt;W274)+($V$3:$AE$3=W$3)*($V274:$AE274=W274)*($V$2:$AE$2&lt;W$2))),2))))</f>
      </c>
      <c r="AH274" s="33">
        <f>IF(X274&lt;=0,0,MAX(0,MIN(X274,ROUND($AZ274-SUMPRODUCT($V274:$AE274*($V274:$AE274&gt;0)*(($V$3:$AE$3&gt;X$3)+($V$3:$AE$3=X$3)*($V274:$AE274&lt;X274)+($V$3:$AE$3=X$3)*($V274:$AE274=X274)*($V$2:$AE$2&lt;X$2))),2))))</f>
      </c>
      <c r="AI274" s="33">
        <f>IF(Y274&lt;=0,0,MAX(0,MIN(Y274,ROUND($AZ274-SUMPRODUCT($V274:$AE274*($V274:$AE274&gt;0)*(($V$3:$AE$3&gt;Y$3)+($V$3:$AE$3=Y$3)*($V274:$AE274&lt;Y274)+($V$3:$AE$3=Y$3)*($V274:$AE274=Y274)*($V$2:$AE$2&lt;Y$2))),2))))</f>
      </c>
      <c r="AJ274" s="33">
        <f>IF(Z274&lt;=0,0,MAX(0,MIN(Z274,ROUND($AZ274-SUMPRODUCT($V274:$AE274*($V274:$AE274&gt;0)*(($V$3:$AE$3&gt;Z$3)+($V$3:$AE$3=Z$3)*($V274:$AE274&lt;Z274)+($V$3:$AE$3=Z$3)*($V274:$AE274=Z274)*($V$2:$AE$2&lt;Z$2))),2))))</f>
      </c>
      <c r="AK274" s="33">
        <f>IF(AA274&lt;=0,0,MAX(0,MIN(AA274,ROUND($AZ274-SUMPRODUCT($V274:$AE274*($V274:$AE274&gt;0)*(($V$3:$AE$3&gt;AA$3)+($V$3:$AE$3=AA$3)*($V274:$AE274&lt;AA274)+($V$3:$AE$3=AA$3)*($V274:$AE274=AA274)*($V$2:$AE$2&lt;AA$2))),2))))</f>
      </c>
      <c r="AL274" s="33">
        <f>IF(AB274&lt;=0,0,MAX(0,MIN(AB274,ROUND($AZ274-SUMPRODUCT($V274:$AE274*($V274:$AE274&gt;0)*(($V$3:$AE$3&gt;AB$3)+($V$3:$AE$3=AB$3)*($V274:$AE274&lt;AB274)+($V$3:$AE$3=AB$3)*($V274:$AE274=AB274)*($V$2:$AE$2&lt;AB$2))),2))))</f>
      </c>
      <c r="AM274" s="33">
        <f>IF(AC274&lt;=0,0,MAX(0,MIN(AC274,ROUND($AZ274-SUMPRODUCT($V274:$AE274*($V274:$AE274&gt;0)*(($V$3:$AE$3&gt;AC$3)+($V$3:$AE$3=AC$3)*($V274:$AE274&lt;AC274)+($V$3:$AE$3=AC$3)*($V274:$AE274=AC274)*($V$2:$AE$2&lt;AC$2))),2))))</f>
      </c>
      <c r="AN274" s="33">
        <f>IF(AD274&lt;=0,0,MAX(0,MIN(AD274,ROUND($AZ274-SUMPRODUCT($V274:$AE274*($V274:$AE274&gt;0)*(($V$3:$AE$3&gt;AD$3)+($V$3:$AE$3=AD$3)*($V274:$AE274&lt;AD274)+($V$3:$AE$3=AD$3)*($V274:$AE274=AD274)*($V$2:$AE$2&lt;AD$2))),2))))</f>
      </c>
      <c r="AO274" s="33">
        <f>IF(AE274&lt;=0,0,MAX(0,MIN(AE274,ROUND($AZ274-SUMPRODUCT($V274:$AE274*($V274:$AE274&gt;0)*(($V$3:$AE$3&gt;AE$3)+($V$3:$AE$3=AE$3)*($V274:$AE274&lt;AE274)+($V$3:$AE$3=AE$3)*($V274:$AE274=AE274)*($V$2:$AE$2&lt;AE$2))),2))))</f>
      </c>
      <c r="AP274" s="33">
        <f>ROUND(V274-AF274,2)</f>
      </c>
      <c r="AQ274" s="33">
        <f>ROUND(W274-AG274,2)</f>
      </c>
      <c r="AR274" s="33">
        <f>ROUND(X274-AH274,2)</f>
      </c>
      <c r="AS274" s="33">
        <f>ROUND(Y274-AI274,2)</f>
      </c>
      <c r="AT274" s="33">
        <f>ROUND(Z274-AJ274,2)</f>
      </c>
      <c r="AU274" s="33">
        <f>ROUND(AA274-AK274,2)</f>
      </c>
      <c r="AV274" s="33">
        <f>ROUND(AB274-AL274,2)</f>
      </c>
      <c r="AW274" s="33">
        <f>ROUND(AC274-AM274,2)</f>
      </c>
      <c r="AX274" s="33">
        <f>ROUND(AD274-AN274,2)</f>
      </c>
      <c r="AY274" s="33">
        <f>ROUND(AE274-AO274,2)</f>
      </c>
      <c r="AZ274" s="33">
        <f>ROUND(MAX(0,'Your debts'!$D$22-SUM($L274:$U274)),2)</f>
      </c>
      <c r="BA274" s="33">
        <f>ROUND(SUM($B274:$K274)-SUM($AP273:$AY273),2)</f>
      </c>
      <c r="BB274" s="33">
        <f>SUM($AP274:$AY274)</f>
      </c>
      <c r="BC274" s="33">
        <f>ROUND(SUM($L274:$U274)+SUM($AF274:$AO274),2)</f>
      </c>
    </row>
    <row r="275" spans="1:55" x14ac:dyDescent="0.25">
      <c r="A275">
        <v>268</v>
      </c>
      <c r="B275" s="33">
        <f>IF(AP274&lt;=0,0,ROUND(AP274+ROUND(AP274*V$3/12,2),2))</f>
      </c>
      <c r="C275" s="33">
        <f>IF(AQ274&lt;=0,0,ROUND(AQ274+ROUND(AQ274*W$3/12,2),2))</f>
      </c>
      <c r="D275" s="33">
        <f>IF(AR274&lt;=0,0,ROUND(AR274+ROUND(AR274*X$3/12,2),2))</f>
      </c>
      <c r="E275" s="33">
        <f>IF(AS274&lt;=0,0,ROUND(AS274+ROUND(AS274*Y$3/12,2),2))</f>
      </c>
      <c r="F275" s="33">
        <f>IF(AT274&lt;=0,0,ROUND(AT274+ROUND(AT274*Z$3/12,2),2))</f>
      </c>
      <c r="G275" s="33">
        <f>IF(AU274&lt;=0,0,ROUND(AU274+ROUND(AU274*AA$3/12,2),2))</f>
      </c>
      <c r="H275" s="33">
        <f>IF(AV274&lt;=0,0,ROUND(AV274+ROUND(AV274*AB$3/12,2),2))</f>
      </c>
      <c r="I275" s="33">
        <f>IF(AW274&lt;=0,0,ROUND(AW274+ROUND(AW274*AC$3/12,2),2))</f>
      </c>
      <c r="J275" s="33">
        <f>IF(AX274&lt;=0,0,ROUND(AX274+ROUND(AX274*AD$3/12,2),2))</f>
      </c>
      <c r="K275" s="33">
        <f>IF(AY274&lt;=0,0,ROUND(AY274+ROUND(AY274*AE$3/12,2),2))</f>
      </c>
      <c r="L275" s="33">
        <f>ROUND(MIN(MAX(0,N('Your debts'!$E$6)),B275),2)</f>
      </c>
      <c r="M275" s="33">
        <f>ROUND(MIN(MAX(0,N('Your debts'!$E$7)),C275),2)</f>
      </c>
      <c r="N275" s="33">
        <f>ROUND(MIN(MAX(0,N('Your debts'!$E$8)),D275),2)</f>
      </c>
      <c r="O275" s="33">
        <f>ROUND(MIN(MAX(0,N('Your debts'!$E$9)),E275),2)</f>
      </c>
      <c r="P275" s="33">
        <f>ROUND(MIN(MAX(0,N('Your debts'!$E$10)),F275),2)</f>
      </c>
      <c r="Q275" s="33">
        <f>ROUND(MIN(MAX(0,N('Your debts'!$E$11)),G275),2)</f>
      </c>
      <c r="R275" s="33">
        <f>ROUND(MIN(MAX(0,N('Your debts'!$E$12)),H275),2)</f>
      </c>
      <c r="S275" s="33">
        <f>ROUND(MIN(MAX(0,N('Your debts'!$E$13)),I275),2)</f>
      </c>
      <c r="T275" s="33">
        <f>ROUND(MIN(MAX(0,N('Your debts'!$E$14)),J275),2)</f>
      </c>
      <c r="U275" s="33">
        <f>ROUND(MIN(MAX(0,N('Your debts'!$E$15)),K275),2)</f>
      </c>
      <c r="V275" s="33">
        <f>ROUND(B275-L275,2)</f>
      </c>
      <c r="W275" s="33">
        <f>ROUND(C275-M275,2)</f>
      </c>
      <c r="X275" s="33">
        <f>ROUND(D275-N275,2)</f>
      </c>
      <c r="Y275" s="33">
        <f>ROUND(E275-O275,2)</f>
      </c>
      <c r="Z275" s="33">
        <f>ROUND(F275-P275,2)</f>
      </c>
      <c r="AA275" s="33">
        <f>ROUND(G275-Q275,2)</f>
      </c>
      <c r="AB275" s="33">
        <f>ROUND(H275-R275,2)</f>
      </c>
      <c r="AC275" s="33">
        <f>ROUND(I275-S275,2)</f>
      </c>
      <c r="AD275" s="33">
        <f>ROUND(J275-T275,2)</f>
      </c>
      <c r="AE275" s="33">
        <f>ROUND(K275-U275,2)</f>
      </c>
      <c r="AF275" s="33">
        <f>IF(V275&lt;=0,0,MAX(0,MIN(V275,ROUND($AZ275-SUMPRODUCT($V275:$AE275*($V275:$AE275&gt;0)*(($V$3:$AE$3&gt;V$3)+($V$3:$AE$3=V$3)*($V275:$AE275&lt;V275)+($V$3:$AE$3=V$3)*($V275:$AE275=V275)*($V$2:$AE$2&lt;V$2))),2))))</f>
      </c>
      <c r="AG275" s="33">
        <f>IF(W275&lt;=0,0,MAX(0,MIN(W275,ROUND($AZ275-SUMPRODUCT($V275:$AE275*($V275:$AE275&gt;0)*(($V$3:$AE$3&gt;W$3)+($V$3:$AE$3=W$3)*($V275:$AE275&lt;W275)+($V$3:$AE$3=W$3)*($V275:$AE275=W275)*($V$2:$AE$2&lt;W$2))),2))))</f>
      </c>
      <c r="AH275" s="33">
        <f>IF(X275&lt;=0,0,MAX(0,MIN(X275,ROUND($AZ275-SUMPRODUCT($V275:$AE275*($V275:$AE275&gt;0)*(($V$3:$AE$3&gt;X$3)+($V$3:$AE$3=X$3)*($V275:$AE275&lt;X275)+($V$3:$AE$3=X$3)*($V275:$AE275=X275)*($V$2:$AE$2&lt;X$2))),2))))</f>
      </c>
      <c r="AI275" s="33">
        <f>IF(Y275&lt;=0,0,MAX(0,MIN(Y275,ROUND($AZ275-SUMPRODUCT($V275:$AE275*($V275:$AE275&gt;0)*(($V$3:$AE$3&gt;Y$3)+($V$3:$AE$3=Y$3)*($V275:$AE275&lt;Y275)+($V$3:$AE$3=Y$3)*($V275:$AE275=Y275)*($V$2:$AE$2&lt;Y$2))),2))))</f>
      </c>
      <c r="AJ275" s="33">
        <f>IF(Z275&lt;=0,0,MAX(0,MIN(Z275,ROUND($AZ275-SUMPRODUCT($V275:$AE275*($V275:$AE275&gt;0)*(($V$3:$AE$3&gt;Z$3)+($V$3:$AE$3=Z$3)*($V275:$AE275&lt;Z275)+($V$3:$AE$3=Z$3)*($V275:$AE275=Z275)*($V$2:$AE$2&lt;Z$2))),2))))</f>
      </c>
      <c r="AK275" s="33">
        <f>IF(AA275&lt;=0,0,MAX(0,MIN(AA275,ROUND($AZ275-SUMPRODUCT($V275:$AE275*($V275:$AE275&gt;0)*(($V$3:$AE$3&gt;AA$3)+($V$3:$AE$3=AA$3)*($V275:$AE275&lt;AA275)+($V$3:$AE$3=AA$3)*($V275:$AE275=AA275)*($V$2:$AE$2&lt;AA$2))),2))))</f>
      </c>
      <c r="AL275" s="33">
        <f>IF(AB275&lt;=0,0,MAX(0,MIN(AB275,ROUND($AZ275-SUMPRODUCT($V275:$AE275*($V275:$AE275&gt;0)*(($V$3:$AE$3&gt;AB$3)+($V$3:$AE$3=AB$3)*($V275:$AE275&lt;AB275)+($V$3:$AE$3=AB$3)*($V275:$AE275=AB275)*($V$2:$AE$2&lt;AB$2))),2))))</f>
      </c>
      <c r="AM275" s="33">
        <f>IF(AC275&lt;=0,0,MAX(0,MIN(AC275,ROUND($AZ275-SUMPRODUCT($V275:$AE275*($V275:$AE275&gt;0)*(($V$3:$AE$3&gt;AC$3)+($V$3:$AE$3=AC$3)*($V275:$AE275&lt;AC275)+($V$3:$AE$3=AC$3)*($V275:$AE275=AC275)*($V$2:$AE$2&lt;AC$2))),2))))</f>
      </c>
      <c r="AN275" s="33">
        <f>IF(AD275&lt;=0,0,MAX(0,MIN(AD275,ROUND($AZ275-SUMPRODUCT($V275:$AE275*($V275:$AE275&gt;0)*(($V$3:$AE$3&gt;AD$3)+($V$3:$AE$3=AD$3)*($V275:$AE275&lt;AD275)+($V$3:$AE$3=AD$3)*($V275:$AE275=AD275)*($V$2:$AE$2&lt;AD$2))),2))))</f>
      </c>
      <c r="AO275" s="33">
        <f>IF(AE275&lt;=0,0,MAX(0,MIN(AE275,ROUND($AZ275-SUMPRODUCT($V275:$AE275*($V275:$AE275&gt;0)*(($V$3:$AE$3&gt;AE$3)+($V$3:$AE$3=AE$3)*($V275:$AE275&lt;AE275)+($V$3:$AE$3=AE$3)*($V275:$AE275=AE275)*($V$2:$AE$2&lt;AE$2))),2))))</f>
      </c>
      <c r="AP275" s="33">
        <f>ROUND(V275-AF275,2)</f>
      </c>
      <c r="AQ275" s="33">
        <f>ROUND(W275-AG275,2)</f>
      </c>
      <c r="AR275" s="33">
        <f>ROUND(X275-AH275,2)</f>
      </c>
      <c r="AS275" s="33">
        <f>ROUND(Y275-AI275,2)</f>
      </c>
      <c r="AT275" s="33">
        <f>ROUND(Z275-AJ275,2)</f>
      </c>
      <c r="AU275" s="33">
        <f>ROUND(AA275-AK275,2)</f>
      </c>
      <c r="AV275" s="33">
        <f>ROUND(AB275-AL275,2)</f>
      </c>
      <c r="AW275" s="33">
        <f>ROUND(AC275-AM275,2)</f>
      </c>
      <c r="AX275" s="33">
        <f>ROUND(AD275-AN275,2)</f>
      </c>
      <c r="AY275" s="33">
        <f>ROUND(AE275-AO275,2)</f>
      </c>
      <c r="AZ275" s="33">
        <f>ROUND(MAX(0,'Your debts'!$D$22-SUM($L275:$U275)),2)</f>
      </c>
      <c r="BA275" s="33">
        <f>ROUND(SUM($B275:$K275)-SUM($AP274:$AY274),2)</f>
      </c>
      <c r="BB275" s="33">
        <f>SUM($AP275:$AY275)</f>
      </c>
      <c r="BC275" s="33">
        <f>ROUND(SUM($L275:$U275)+SUM($AF275:$AO275),2)</f>
      </c>
    </row>
    <row r="276" spans="1:55" x14ac:dyDescent="0.25">
      <c r="A276">
        <v>269</v>
      </c>
      <c r="B276" s="33">
        <f>IF(AP275&lt;=0,0,ROUND(AP275+ROUND(AP275*V$3/12,2),2))</f>
      </c>
      <c r="C276" s="33">
        <f>IF(AQ275&lt;=0,0,ROUND(AQ275+ROUND(AQ275*W$3/12,2),2))</f>
      </c>
      <c r="D276" s="33">
        <f>IF(AR275&lt;=0,0,ROUND(AR275+ROUND(AR275*X$3/12,2),2))</f>
      </c>
      <c r="E276" s="33">
        <f>IF(AS275&lt;=0,0,ROUND(AS275+ROUND(AS275*Y$3/12,2),2))</f>
      </c>
      <c r="F276" s="33">
        <f>IF(AT275&lt;=0,0,ROUND(AT275+ROUND(AT275*Z$3/12,2),2))</f>
      </c>
      <c r="G276" s="33">
        <f>IF(AU275&lt;=0,0,ROUND(AU275+ROUND(AU275*AA$3/12,2),2))</f>
      </c>
      <c r="H276" s="33">
        <f>IF(AV275&lt;=0,0,ROUND(AV275+ROUND(AV275*AB$3/12,2),2))</f>
      </c>
      <c r="I276" s="33">
        <f>IF(AW275&lt;=0,0,ROUND(AW275+ROUND(AW275*AC$3/12,2),2))</f>
      </c>
      <c r="J276" s="33">
        <f>IF(AX275&lt;=0,0,ROUND(AX275+ROUND(AX275*AD$3/12,2),2))</f>
      </c>
      <c r="K276" s="33">
        <f>IF(AY275&lt;=0,0,ROUND(AY275+ROUND(AY275*AE$3/12,2),2))</f>
      </c>
      <c r="L276" s="33">
        <f>ROUND(MIN(MAX(0,N('Your debts'!$E$6)),B276),2)</f>
      </c>
      <c r="M276" s="33">
        <f>ROUND(MIN(MAX(0,N('Your debts'!$E$7)),C276),2)</f>
      </c>
      <c r="N276" s="33">
        <f>ROUND(MIN(MAX(0,N('Your debts'!$E$8)),D276),2)</f>
      </c>
      <c r="O276" s="33">
        <f>ROUND(MIN(MAX(0,N('Your debts'!$E$9)),E276),2)</f>
      </c>
      <c r="P276" s="33">
        <f>ROUND(MIN(MAX(0,N('Your debts'!$E$10)),F276),2)</f>
      </c>
      <c r="Q276" s="33">
        <f>ROUND(MIN(MAX(0,N('Your debts'!$E$11)),G276),2)</f>
      </c>
      <c r="R276" s="33">
        <f>ROUND(MIN(MAX(0,N('Your debts'!$E$12)),H276),2)</f>
      </c>
      <c r="S276" s="33">
        <f>ROUND(MIN(MAX(0,N('Your debts'!$E$13)),I276),2)</f>
      </c>
      <c r="T276" s="33">
        <f>ROUND(MIN(MAX(0,N('Your debts'!$E$14)),J276),2)</f>
      </c>
      <c r="U276" s="33">
        <f>ROUND(MIN(MAX(0,N('Your debts'!$E$15)),K276),2)</f>
      </c>
      <c r="V276" s="33">
        <f>ROUND(B276-L276,2)</f>
      </c>
      <c r="W276" s="33">
        <f>ROUND(C276-M276,2)</f>
      </c>
      <c r="X276" s="33">
        <f>ROUND(D276-N276,2)</f>
      </c>
      <c r="Y276" s="33">
        <f>ROUND(E276-O276,2)</f>
      </c>
      <c r="Z276" s="33">
        <f>ROUND(F276-P276,2)</f>
      </c>
      <c r="AA276" s="33">
        <f>ROUND(G276-Q276,2)</f>
      </c>
      <c r="AB276" s="33">
        <f>ROUND(H276-R276,2)</f>
      </c>
      <c r="AC276" s="33">
        <f>ROUND(I276-S276,2)</f>
      </c>
      <c r="AD276" s="33">
        <f>ROUND(J276-T276,2)</f>
      </c>
      <c r="AE276" s="33">
        <f>ROUND(K276-U276,2)</f>
      </c>
      <c r="AF276" s="33">
        <f>IF(V276&lt;=0,0,MAX(0,MIN(V276,ROUND($AZ276-SUMPRODUCT($V276:$AE276*($V276:$AE276&gt;0)*(($V$3:$AE$3&gt;V$3)+($V$3:$AE$3=V$3)*($V276:$AE276&lt;V276)+($V$3:$AE$3=V$3)*($V276:$AE276=V276)*($V$2:$AE$2&lt;V$2))),2))))</f>
      </c>
      <c r="AG276" s="33">
        <f>IF(W276&lt;=0,0,MAX(0,MIN(W276,ROUND($AZ276-SUMPRODUCT($V276:$AE276*($V276:$AE276&gt;0)*(($V$3:$AE$3&gt;W$3)+($V$3:$AE$3=W$3)*($V276:$AE276&lt;W276)+($V$3:$AE$3=W$3)*($V276:$AE276=W276)*($V$2:$AE$2&lt;W$2))),2))))</f>
      </c>
      <c r="AH276" s="33">
        <f>IF(X276&lt;=0,0,MAX(0,MIN(X276,ROUND($AZ276-SUMPRODUCT($V276:$AE276*($V276:$AE276&gt;0)*(($V$3:$AE$3&gt;X$3)+($V$3:$AE$3=X$3)*($V276:$AE276&lt;X276)+($V$3:$AE$3=X$3)*($V276:$AE276=X276)*($V$2:$AE$2&lt;X$2))),2))))</f>
      </c>
      <c r="AI276" s="33">
        <f>IF(Y276&lt;=0,0,MAX(0,MIN(Y276,ROUND($AZ276-SUMPRODUCT($V276:$AE276*($V276:$AE276&gt;0)*(($V$3:$AE$3&gt;Y$3)+($V$3:$AE$3=Y$3)*($V276:$AE276&lt;Y276)+($V$3:$AE$3=Y$3)*($V276:$AE276=Y276)*($V$2:$AE$2&lt;Y$2))),2))))</f>
      </c>
      <c r="AJ276" s="33">
        <f>IF(Z276&lt;=0,0,MAX(0,MIN(Z276,ROUND($AZ276-SUMPRODUCT($V276:$AE276*($V276:$AE276&gt;0)*(($V$3:$AE$3&gt;Z$3)+($V$3:$AE$3=Z$3)*($V276:$AE276&lt;Z276)+($V$3:$AE$3=Z$3)*($V276:$AE276=Z276)*($V$2:$AE$2&lt;Z$2))),2))))</f>
      </c>
      <c r="AK276" s="33">
        <f>IF(AA276&lt;=0,0,MAX(0,MIN(AA276,ROUND($AZ276-SUMPRODUCT($V276:$AE276*($V276:$AE276&gt;0)*(($V$3:$AE$3&gt;AA$3)+($V$3:$AE$3=AA$3)*($V276:$AE276&lt;AA276)+($V$3:$AE$3=AA$3)*($V276:$AE276=AA276)*($V$2:$AE$2&lt;AA$2))),2))))</f>
      </c>
      <c r="AL276" s="33">
        <f>IF(AB276&lt;=0,0,MAX(0,MIN(AB276,ROUND($AZ276-SUMPRODUCT($V276:$AE276*($V276:$AE276&gt;0)*(($V$3:$AE$3&gt;AB$3)+($V$3:$AE$3=AB$3)*($V276:$AE276&lt;AB276)+($V$3:$AE$3=AB$3)*($V276:$AE276=AB276)*($V$2:$AE$2&lt;AB$2))),2))))</f>
      </c>
      <c r="AM276" s="33">
        <f>IF(AC276&lt;=0,0,MAX(0,MIN(AC276,ROUND($AZ276-SUMPRODUCT($V276:$AE276*($V276:$AE276&gt;0)*(($V$3:$AE$3&gt;AC$3)+($V$3:$AE$3=AC$3)*($V276:$AE276&lt;AC276)+($V$3:$AE$3=AC$3)*($V276:$AE276=AC276)*($V$2:$AE$2&lt;AC$2))),2))))</f>
      </c>
      <c r="AN276" s="33">
        <f>IF(AD276&lt;=0,0,MAX(0,MIN(AD276,ROUND($AZ276-SUMPRODUCT($V276:$AE276*($V276:$AE276&gt;0)*(($V$3:$AE$3&gt;AD$3)+($V$3:$AE$3=AD$3)*($V276:$AE276&lt;AD276)+($V$3:$AE$3=AD$3)*($V276:$AE276=AD276)*($V$2:$AE$2&lt;AD$2))),2))))</f>
      </c>
      <c r="AO276" s="33">
        <f>IF(AE276&lt;=0,0,MAX(0,MIN(AE276,ROUND($AZ276-SUMPRODUCT($V276:$AE276*($V276:$AE276&gt;0)*(($V$3:$AE$3&gt;AE$3)+($V$3:$AE$3=AE$3)*($V276:$AE276&lt;AE276)+($V$3:$AE$3=AE$3)*($V276:$AE276=AE276)*($V$2:$AE$2&lt;AE$2))),2))))</f>
      </c>
      <c r="AP276" s="33">
        <f>ROUND(V276-AF276,2)</f>
      </c>
      <c r="AQ276" s="33">
        <f>ROUND(W276-AG276,2)</f>
      </c>
      <c r="AR276" s="33">
        <f>ROUND(X276-AH276,2)</f>
      </c>
      <c r="AS276" s="33">
        <f>ROUND(Y276-AI276,2)</f>
      </c>
      <c r="AT276" s="33">
        <f>ROUND(Z276-AJ276,2)</f>
      </c>
      <c r="AU276" s="33">
        <f>ROUND(AA276-AK276,2)</f>
      </c>
      <c r="AV276" s="33">
        <f>ROUND(AB276-AL276,2)</f>
      </c>
      <c r="AW276" s="33">
        <f>ROUND(AC276-AM276,2)</f>
      </c>
      <c r="AX276" s="33">
        <f>ROUND(AD276-AN276,2)</f>
      </c>
      <c r="AY276" s="33">
        <f>ROUND(AE276-AO276,2)</f>
      </c>
      <c r="AZ276" s="33">
        <f>ROUND(MAX(0,'Your debts'!$D$22-SUM($L276:$U276)),2)</f>
      </c>
      <c r="BA276" s="33">
        <f>ROUND(SUM($B276:$K276)-SUM($AP275:$AY275),2)</f>
      </c>
      <c r="BB276" s="33">
        <f>SUM($AP276:$AY276)</f>
      </c>
      <c r="BC276" s="33">
        <f>ROUND(SUM($L276:$U276)+SUM($AF276:$AO276),2)</f>
      </c>
    </row>
    <row r="277" spans="1:55" x14ac:dyDescent="0.25">
      <c r="A277">
        <v>270</v>
      </c>
      <c r="B277" s="33">
        <f>IF(AP276&lt;=0,0,ROUND(AP276+ROUND(AP276*V$3/12,2),2))</f>
      </c>
      <c r="C277" s="33">
        <f>IF(AQ276&lt;=0,0,ROUND(AQ276+ROUND(AQ276*W$3/12,2),2))</f>
      </c>
      <c r="D277" s="33">
        <f>IF(AR276&lt;=0,0,ROUND(AR276+ROUND(AR276*X$3/12,2),2))</f>
      </c>
      <c r="E277" s="33">
        <f>IF(AS276&lt;=0,0,ROUND(AS276+ROUND(AS276*Y$3/12,2),2))</f>
      </c>
      <c r="F277" s="33">
        <f>IF(AT276&lt;=0,0,ROUND(AT276+ROUND(AT276*Z$3/12,2),2))</f>
      </c>
      <c r="G277" s="33">
        <f>IF(AU276&lt;=0,0,ROUND(AU276+ROUND(AU276*AA$3/12,2),2))</f>
      </c>
      <c r="H277" s="33">
        <f>IF(AV276&lt;=0,0,ROUND(AV276+ROUND(AV276*AB$3/12,2),2))</f>
      </c>
      <c r="I277" s="33">
        <f>IF(AW276&lt;=0,0,ROUND(AW276+ROUND(AW276*AC$3/12,2),2))</f>
      </c>
      <c r="J277" s="33">
        <f>IF(AX276&lt;=0,0,ROUND(AX276+ROUND(AX276*AD$3/12,2),2))</f>
      </c>
      <c r="K277" s="33">
        <f>IF(AY276&lt;=0,0,ROUND(AY276+ROUND(AY276*AE$3/12,2),2))</f>
      </c>
      <c r="L277" s="33">
        <f>ROUND(MIN(MAX(0,N('Your debts'!$E$6)),B277),2)</f>
      </c>
      <c r="M277" s="33">
        <f>ROUND(MIN(MAX(0,N('Your debts'!$E$7)),C277),2)</f>
      </c>
      <c r="N277" s="33">
        <f>ROUND(MIN(MAX(0,N('Your debts'!$E$8)),D277),2)</f>
      </c>
      <c r="O277" s="33">
        <f>ROUND(MIN(MAX(0,N('Your debts'!$E$9)),E277),2)</f>
      </c>
      <c r="P277" s="33">
        <f>ROUND(MIN(MAX(0,N('Your debts'!$E$10)),F277),2)</f>
      </c>
      <c r="Q277" s="33">
        <f>ROUND(MIN(MAX(0,N('Your debts'!$E$11)),G277),2)</f>
      </c>
      <c r="R277" s="33">
        <f>ROUND(MIN(MAX(0,N('Your debts'!$E$12)),H277),2)</f>
      </c>
      <c r="S277" s="33">
        <f>ROUND(MIN(MAX(0,N('Your debts'!$E$13)),I277),2)</f>
      </c>
      <c r="T277" s="33">
        <f>ROUND(MIN(MAX(0,N('Your debts'!$E$14)),J277),2)</f>
      </c>
      <c r="U277" s="33">
        <f>ROUND(MIN(MAX(0,N('Your debts'!$E$15)),K277),2)</f>
      </c>
      <c r="V277" s="33">
        <f>ROUND(B277-L277,2)</f>
      </c>
      <c r="W277" s="33">
        <f>ROUND(C277-M277,2)</f>
      </c>
      <c r="X277" s="33">
        <f>ROUND(D277-N277,2)</f>
      </c>
      <c r="Y277" s="33">
        <f>ROUND(E277-O277,2)</f>
      </c>
      <c r="Z277" s="33">
        <f>ROUND(F277-P277,2)</f>
      </c>
      <c r="AA277" s="33">
        <f>ROUND(G277-Q277,2)</f>
      </c>
      <c r="AB277" s="33">
        <f>ROUND(H277-R277,2)</f>
      </c>
      <c r="AC277" s="33">
        <f>ROUND(I277-S277,2)</f>
      </c>
      <c r="AD277" s="33">
        <f>ROUND(J277-T277,2)</f>
      </c>
      <c r="AE277" s="33">
        <f>ROUND(K277-U277,2)</f>
      </c>
      <c r="AF277" s="33">
        <f>IF(V277&lt;=0,0,MAX(0,MIN(V277,ROUND($AZ277-SUMPRODUCT($V277:$AE277*($V277:$AE277&gt;0)*(($V$3:$AE$3&gt;V$3)+($V$3:$AE$3=V$3)*($V277:$AE277&lt;V277)+($V$3:$AE$3=V$3)*($V277:$AE277=V277)*($V$2:$AE$2&lt;V$2))),2))))</f>
      </c>
      <c r="AG277" s="33">
        <f>IF(W277&lt;=0,0,MAX(0,MIN(W277,ROUND($AZ277-SUMPRODUCT($V277:$AE277*($V277:$AE277&gt;0)*(($V$3:$AE$3&gt;W$3)+($V$3:$AE$3=W$3)*($V277:$AE277&lt;W277)+($V$3:$AE$3=W$3)*($V277:$AE277=W277)*($V$2:$AE$2&lt;W$2))),2))))</f>
      </c>
      <c r="AH277" s="33">
        <f>IF(X277&lt;=0,0,MAX(0,MIN(X277,ROUND($AZ277-SUMPRODUCT($V277:$AE277*($V277:$AE277&gt;0)*(($V$3:$AE$3&gt;X$3)+($V$3:$AE$3=X$3)*($V277:$AE277&lt;X277)+($V$3:$AE$3=X$3)*($V277:$AE277=X277)*($V$2:$AE$2&lt;X$2))),2))))</f>
      </c>
      <c r="AI277" s="33">
        <f>IF(Y277&lt;=0,0,MAX(0,MIN(Y277,ROUND($AZ277-SUMPRODUCT($V277:$AE277*($V277:$AE277&gt;0)*(($V$3:$AE$3&gt;Y$3)+($V$3:$AE$3=Y$3)*($V277:$AE277&lt;Y277)+($V$3:$AE$3=Y$3)*($V277:$AE277=Y277)*($V$2:$AE$2&lt;Y$2))),2))))</f>
      </c>
      <c r="AJ277" s="33">
        <f>IF(Z277&lt;=0,0,MAX(0,MIN(Z277,ROUND($AZ277-SUMPRODUCT($V277:$AE277*($V277:$AE277&gt;0)*(($V$3:$AE$3&gt;Z$3)+($V$3:$AE$3=Z$3)*($V277:$AE277&lt;Z277)+($V$3:$AE$3=Z$3)*($V277:$AE277=Z277)*($V$2:$AE$2&lt;Z$2))),2))))</f>
      </c>
      <c r="AK277" s="33">
        <f>IF(AA277&lt;=0,0,MAX(0,MIN(AA277,ROUND($AZ277-SUMPRODUCT($V277:$AE277*($V277:$AE277&gt;0)*(($V$3:$AE$3&gt;AA$3)+($V$3:$AE$3=AA$3)*($V277:$AE277&lt;AA277)+($V$3:$AE$3=AA$3)*($V277:$AE277=AA277)*($V$2:$AE$2&lt;AA$2))),2))))</f>
      </c>
      <c r="AL277" s="33">
        <f>IF(AB277&lt;=0,0,MAX(0,MIN(AB277,ROUND($AZ277-SUMPRODUCT($V277:$AE277*($V277:$AE277&gt;0)*(($V$3:$AE$3&gt;AB$3)+($V$3:$AE$3=AB$3)*($V277:$AE277&lt;AB277)+($V$3:$AE$3=AB$3)*($V277:$AE277=AB277)*($V$2:$AE$2&lt;AB$2))),2))))</f>
      </c>
      <c r="AM277" s="33">
        <f>IF(AC277&lt;=0,0,MAX(0,MIN(AC277,ROUND($AZ277-SUMPRODUCT($V277:$AE277*($V277:$AE277&gt;0)*(($V$3:$AE$3&gt;AC$3)+($V$3:$AE$3=AC$3)*($V277:$AE277&lt;AC277)+($V$3:$AE$3=AC$3)*($V277:$AE277=AC277)*($V$2:$AE$2&lt;AC$2))),2))))</f>
      </c>
      <c r="AN277" s="33">
        <f>IF(AD277&lt;=0,0,MAX(0,MIN(AD277,ROUND($AZ277-SUMPRODUCT($V277:$AE277*($V277:$AE277&gt;0)*(($V$3:$AE$3&gt;AD$3)+($V$3:$AE$3=AD$3)*($V277:$AE277&lt;AD277)+($V$3:$AE$3=AD$3)*($V277:$AE277=AD277)*($V$2:$AE$2&lt;AD$2))),2))))</f>
      </c>
      <c r="AO277" s="33">
        <f>IF(AE277&lt;=0,0,MAX(0,MIN(AE277,ROUND($AZ277-SUMPRODUCT($V277:$AE277*($V277:$AE277&gt;0)*(($V$3:$AE$3&gt;AE$3)+($V$3:$AE$3=AE$3)*($V277:$AE277&lt;AE277)+($V$3:$AE$3=AE$3)*($V277:$AE277=AE277)*($V$2:$AE$2&lt;AE$2))),2))))</f>
      </c>
      <c r="AP277" s="33">
        <f>ROUND(V277-AF277,2)</f>
      </c>
      <c r="AQ277" s="33">
        <f>ROUND(W277-AG277,2)</f>
      </c>
      <c r="AR277" s="33">
        <f>ROUND(X277-AH277,2)</f>
      </c>
      <c r="AS277" s="33">
        <f>ROUND(Y277-AI277,2)</f>
      </c>
      <c r="AT277" s="33">
        <f>ROUND(Z277-AJ277,2)</f>
      </c>
      <c r="AU277" s="33">
        <f>ROUND(AA277-AK277,2)</f>
      </c>
      <c r="AV277" s="33">
        <f>ROUND(AB277-AL277,2)</f>
      </c>
      <c r="AW277" s="33">
        <f>ROUND(AC277-AM277,2)</f>
      </c>
      <c r="AX277" s="33">
        <f>ROUND(AD277-AN277,2)</f>
      </c>
      <c r="AY277" s="33">
        <f>ROUND(AE277-AO277,2)</f>
      </c>
      <c r="AZ277" s="33">
        <f>ROUND(MAX(0,'Your debts'!$D$22-SUM($L277:$U277)),2)</f>
      </c>
      <c r="BA277" s="33">
        <f>ROUND(SUM($B277:$K277)-SUM($AP276:$AY276),2)</f>
      </c>
      <c r="BB277" s="33">
        <f>SUM($AP277:$AY277)</f>
      </c>
      <c r="BC277" s="33">
        <f>ROUND(SUM($L277:$U277)+SUM($AF277:$AO277),2)</f>
      </c>
    </row>
    <row r="278" spans="1:55" x14ac:dyDescent="0.25">
      <c r="A278">
        <v>271</v>
      </c>
      <c r="B278" s="33">
        <f>IF(AP277&lt;=0,0,ROUND(AP277+ROUND(AP277*V$3/12,2),2))</f>
      </c>
      <c r="C278" s="33">
        <f>IF(AQ277&lt;=0,0,ROUND(AQ277+ROUND(AQ277*W$3/12,2),2))</f>
      </c>
      <c r="D278" s="33">
        <f>IF(AR277&lt;=0,0,ROUND(AR277+ROUND(AR277*X$3/12,2),2))</f>
      </c>
      <c r="E278" s="33">
        <f>IF(AS277&lt;=0,0,ROUND(AS277+ROUND(AS277*Y$3/12,2),2))</f>
      </c>
      <c r="F278" s="33">
        <f>IF(AT277&lt;=0,0,ROUND(AT277+ROUND(AT277*Z$3/12,2),2))</f>
      </c>
      <c r="G278" s="33">
        <f>IF(AU277&lt;=0,0,ROUND(AU277+ROUND(AU277*AA$3/12,2),2))</f>
      </c>
      <c r="H278" s="33">
        <f>IF(AV277&lt;=0,0,ROUND(AV277+ROUND(AV277*AB$3/12,2),2))</f>
      </c>
      <c r="I278" s="33">
        <f>IF(AW277&lt;=0,0,ROUND(AW277+ROUND(AW277*AC$3/12,2),2))</f>
      </c>
      <c r="J278" s="33">
        <f>IF(AX277&lt;=0,0,ROUND(AX277+ROUND(AX277*AD$3/12,2),2))</f>
      </c>
      <c r="K278" s="33">
        <f>IF(AY277&lt;=0,0,ROUND(AY277+ROUND(AY277*AE$3/12,2),2))</f>
      </c>
      <c r="L278" s="33">
        <f>ROUND(MIN(MAX(0,N('Your debts'!$E$6)),B278),2)</f>
      </c>
      <c r="M278" s="33">
        <f>ROUND(MIN(MAX(0,N('Your debts'!$E$7)),C278),2)</f>
      </c>
      <c r="N278" s="33">
        <f>ROUND(MIN(MAX(0,N('Your debts'!$E$8)),D278),2)</f>
      </c>
      <c r="O278" s="33">
        <f>ROUND(MIN(MAX(0,N('Your debts'!$E$9)),E278),2)</f>
      </c>
      <c r="P278" s="33">
        <f>ROUND(MIN(MAX(0,N('Your debts'!$E$10)),F278),2)</f>
      </c>
      <c r="Q278" s="33">
        <f>ROUND(MIN(MAX(0,N('Your debts'!$E$11)),G278),2)</f>
      </c>
      <c r="R278" s="33">
        <f>ROUND(MIN(MAX(0,N('Your debts'!$E$12)),H278),2)</f>
      </c>
      <c r="S278" s="33">
        <f>ROUND(MIN(MAX(0,N('Your debts'!$E$13)),I278),2)</f>
      </c>
      <c r="T278" s="33">
        <f>ROUND(MIN(MAX(0,N('Your debts'!$E$14)),J278),2)</f>
      </c>
      <c r="U278" s="33">
        <f>ROUND(MIN(MAX(0,N('Your debts'!$E$15)),K278),2)</f>
      </c>
      <c r="V278" s="33">
        <f>ROUND(B278-L278,2)</f>
      </c>
      <c r="W278" s="33">
        <f>ROUND(C278-M278,2)</f>
      </c>
      <c r="X278" s="33">
        <f>ROUND(D278-N278,2)</f>
      </c>
      <c r="Y278" s="33">
        <f>ROUND(E278-O278,2)</f>
      </c>
      <c r="Z278" s="33">
        <f>ROUND(F278-P278,2)</f>
      </c>
      <c r="AA278" s="33">
        <f>ROUND(G278-Q278,2)</f>
      </c>
      <c r="AB278" s="33">
        <f>ROUND(H278-R278,2)</f>
      </c>
      <c r="AC278" s="33">
        <f>ROUND(I278-S278,2)</f>
      </c>
      <c r="AD278" s="33">
        <f>ROUND(J278-T278,2)</f>
      </c>
      <c r="AE278" s="33">
        <f>ROUND(K278-U278,2)</f>
      </c>
      <c r="AF278" s="33">
        <f>IF(V278&lt;=0,0,MAX(0,MIN(V278,ROUND($AZ278-SUMPRODUCT($V278:$AE278*($V278:$AE278&gt;0)*(($V$3:$AE$3&gt;V$3)+($V$3:$AE$3=V$3)*($V278:$AE278&lt;V278)+($V$3:$AE$3=V$3)*($V278:$AE278=V278)*($V$2:$AE$2&lt;V$2))),2))))</f>
      </c>
      <c r="AG278" s="33">
        <f>IF(W278&lt;=0,0,MAX(0,MIN(W278,ROUND($AZ278-SUMPRODUCT($V278:$AE278*($V278:$AE278&gt;0)*(($V$3:$AE$3&gt;W$3)+($V$3:$AE$3=W$3)*($V278:$AE278&lt;W278)+($V$3:$AE$3=W$3)*($V278:$AE278=W278)*($V$2:$AE$2&lt;W$2))),2))))</f>
      </c>
      <c r="AH278" s="33">
        <f>IF(X278&lt;=0,0,MAX(0,MIN(X278,ROUND($AZ278-SUMPRODUCT($V278:$AE278*($V278:$AE278&gt;0)*(($V$3:$AE$3&gt;X$3)+($V$3:$AE$3=X$3)*($V278:$AE278&lt;X278)+($V$3:$AE$3=X$3)*($V278:$AE278=X278)*($V$2:$AE$2&lt;X$2))),2))))</f>
      </c>
      <c r="AI278" s="33">
        <f>IF(Y278&lt;=0,0,MAX(0,MIN(Y278,ROUND($AZ278-SUMPRODUCT($V278:$AE278*($V278:$AE278&gt;0)*(($V$3:$AE$3&gt;Y$3)+($V$3:$AE$3=Y$3)*($V278:$AE278&lt;Y278)+($V$3:$AE$3=Y$3)*($V278:$AE278=Y278)*($V$2:$AE$2&lt;Y$2))),2))))</f>
      </c>
      <c r="AJ278" s="33">
        <f>IF(Z278&lt;=0,0,MAX(0,MIN(Z278,ROUND($AZ278-SUMPRODUCT($V278:$AE278*($V278:$AE278&gt;0)*(($V$3:$AE$3&gt;Z$3)+($V$3:$AE$3=Z$3)*($V278:$AE278&lt;Z278)+($V$3:$AE$3=Z$3)*($V278:$AE278=Z278)*($V$2:$AE$2&lt;Z$2))),2))))</f>
      </c>
      <c r="AK278" s="33">
        <f>IF(AA278&lt;=0,0,MAX(0,MIN(AA278,ROUND($AZ278-SUMPRODUCT($V278:$AE278*($V278:$AE278&gt;0)*(($V$3:$AE$3&gt;AA$3)+($V$3:$AE$3=AA$3)*($V278:$AE278&lt;AA278)+($V$3:$AE$3=AA$3)*($V278:$AE278=AA278)*($V$2:$AE$2&lt;AA$2))),2))))</f>
      </c>
      <c r="AL278" s="33">
        <f>IF(AB278&lt;=0,0,MAX(0,MIN(AB278,ROUND($AZ278-SUMPRODUCT($V278:$AE278*($V278:$AE278&gt;0)*(($V$3:$AE$3&gt;AB$3)+($V$3:$AE$3=AB$3)*($V278:$AE278&lt;AB278)+($V$3:$AE$3=AB$3)*($V278:$AE278=AB278)*($V$2:$AE$2&lt;AB$2))),2))))</f>
      </c>
      <c r="AM278" s="33">
        <f>IF(AC278&lt;=0,0,MAX(0,MIN(AC278,ROUND($AZ278-SUMPRODUCT($V278:$AE278*($V278:$AE278&gt;0)*(($V$3:$AE$3&gt;AC$3)+($V$3:$AE$3=AC$3)*($V278:$AE278&lt;AC278)+($V$3:$AE$3=AC$3)*($V278:$AE278=AC278)*($V$2:$AE$2&lt;AC$2))),2))))</f>
      </c>
      <c r="AN278" s="33">
        <f>IF(AD278&lt;=0,0,MAX(0,MIN(AD278,ROUND($AZ278-SUMPRODUCT($V278:$AE278*($V278:$AE278&gt;0)*(($V$3:$AE$3&gt;AD$3)+($V$3:$AE$3=AD$3)*($V278:$AE278&lt;AD278)+($V$3:$AE$3=AD$3)*($V278:$AE278=AD278)*($V$2:$AE$2&lt;AD$2))),2))))</f>
      </c>
      <c r="AO278" s="33">
        <f>IF(AE278&lt;=0,0,MAX(0,MIN(AE278,ROUND($AZ278-SUMPRODUCT($V278:$AE278*($V278:$AE278&gt;0)*(($V$3:$AE$3&gt;AE$3)+($V$3:$AE$3=AE$3)*($V278:$AE278&lt;AE278)+($V$3:$AE$3=AE$3)*($V278:$AE278=AE278)*($V$2:$AE$2&lt;AE$2))),2))))</f>
      </c>
      <c r="AP278" s="33">
        <f>ROUND(V278-AF278,2)</f>
      </c>
      <c r="AQ278" s="33">
        <f>ROUND(W278-AG278,2)</f>
      </c>
      <c r="AR278" s="33">
        <f>ROUND(X278-AH278,2)</f>
      </c>
      <c r="AS278" s="33">
        <f>ROUND(Y278-AI278,2)</f>
      </c>
      <c r="AT278" s="33">
        <f>ROUND(Z278-AJ278,2)</f>
      </c>
      <c r="AU278" s="33">
        <f>ROUND(AA278-AK278,2)</f>
      </c>
      <c r="AV278" s="33">
        <f>ROUND(AB278-AL278,2)</f>
      </c>
      <c r="AW278" s="33">
        <f>ROUND(AC278-AM278,2)</f>
      </c>
      <c r="AX278" s="33">
        <f>ROUND(AD278-AN278,2)</f>
      </c>
      <c r="AY278" s="33">
        <f>ROUND(AE278-AO278,2)</f>
      </c>
      <c r="AZ278" s="33">
        <f>ROUND(MAX(0,'Your debts'!$D$22-SUM($L278:$U278)),2)</f>
      </c>
      <c r="BA278" s="33">
        <f>ROUND(SUM($B278:$K278)-SUM($AP277:$AY277),2)</f>
      </c>
      <c r="BB278" s="33">
        <f>SUM($AP278:$AY278)</f>
      </c>
      <c r="BC278" s="33">
        <f>ROUND(SUM($L278:$U278)+SUM($AF278:$AO278),2)</f>
      </c>
    </row>
    <row r="279" spans="1:55" x14ac:dyDescent="0.25">
      <c r="A279">
        <v>272</v>
      </c>
      <c r="B279" s="33">
        <f>IF(AP278&lt;=0,0,ROUND(AP278+ROUND(AP278*V$3/12,2),2))</f>
      </c>
      <c r="C279" s="33">
        <f>IF(AQ278&lt;=0,0,ROUND(AQ278+ROUND(AQ278*W$3/12,2),2))</f>
      </c>
      <c r="D279" s="33">
        <f>IF(AR278&lt;=0,0,ROUND(AR278+ROUND(AR278*X$3/12,2),2))</f>
      </c>
      <c r="E279" s="33">
        <f>IF(AS278&lt;=0,0,ROUND(AS278+ROUND(AS278*Y$3/12,2),2))</f>
      </c>
      <c r="F279" s="33">
        <f>IF(AT278&lt;=0,0,ROUND(AT278+ROUND(AT278*Z$3/12,2),2))</f>
      </c>
      <c r="G279" s="33">
        <f>IF(AU278&lt;=0,0,ROUND(AU278+ROUND(AU278*AA$3/12,2),2))</f>
      </c>
      <c r="H279" s="33">
        <f>IF(AV278&lt;=0,0,ROUND(AV278+ROUND(AV278*AB$3/12,2),2))</f>
      </c>
      <c r="I279" s="33">
        <f>IF(AW278&lt;=0,0,ROUND(AW278+ROUND(AW278*AC$3/12,2),2))</f>
      </c>
      <c r="J279" s="33">
        <f>IF(AX278&lt;=0,0,ROUND(AX278+ROUND(AX278*AD$3/12,2),2))</f>
      </c>
      <c r="K279" s="33">
        <f>IF(AY278&lt;=0,0,ROUND(AY278+ROUND(AY278*AE$3/12,2),2))</f>
      </c>
      <c r="L279" s="33">
        <f>ROUND(MIN(MAX(0,N('Your debts'!$E$6)),B279),2)</f>
      </c>
      <c r="M279" s="33">
        <f>ROUND(MIN(MAX(0,N('Your debts'!$E$7)),C279),2)</f>
      </c>
      <c r="N279" s="33">
        <f>ROUND(MIN(MAX(0,N('Your debts'!$E$8)),D279),2)</f>
      </c>
      <c r="O279" s="33">
        <f>ROUND(MIN(MAX(0,N('Your debts'!$E$9)),E279),2)</f>
      </c>
      <c r="P279" s="33">
        <f>ROUND(MIN(MAX(0,N('Your debts'!$E$10)),F279),2)</f>
      </c>
      <c r="Q279" s="33">
        <f>ROUND(MIN(MAX(0,N('Your debts'!$E$11)),G279),2)</f>
      </c>
      <c r="R279" s="33">
        <f>ROUND(MIN(MAX(0,N('Your debts'!$E$12)),H279),2)</f>
      </c>
      <c r="S279" s="33">
        <f>ROUND(MIN(MAX(0,N('Your debts'!$E$13)),I279),2)</f>
      </c>
      <c r="T279" s="33">
        <f>ROUND(MIN(MAX(0,N('Your debts'!$E$14)),J279),2)</f>
      </c>
      <c r="U279" s="33">
        <f>ROUND(MIN(MAX(0,N('Your debts'!$E$15)),K279),2)</f>
      </c>
      <c r="V279" s="33">
        <f>ROUND(B279-L279,2)</f>
      </c>
      <c r="W279" s="33">
        <f>ROUND(C279-M279,2)</f>
      </c>
      <c r="X279" s="33">
        <f>ROUND(D279-N279,2)</f>
      </c>
      <c r="Y279" s="33">
        <f>ROUND(E279-O279,2)</f>
      </c>
      <c r="Z279" s="33">
        <f>ROUND(F279-P279,2)</f>
      </c>
      <c r="AA279" s="33">
        <f>ROUND(G279-Q279,2)</f>
      </c>
      <c r="AB279" s="33">
        <f>ROUND(H279-R279,2)</f>
      </c>
      <c r="AC279" s="33">
        <f>ROUND(I279-S279,2)</f>
      </c>
      <c r="AD279" s="33">
        <f>ROUND(J279-T279,2)</f>
      </c>
      <c r="AE279" s="33">
        <f>ROUND(K279-U279,2)</f>
      </c>
      <c r="AF279" s="33">
        <f>IF(V279&lt;=0,0,MAX(0,MIN(V279,ROUND($AZ279-SUMPRODUCT($V279:$AE279*($V279:$AE279&gt;0)*(($V$3:$AE$3&gt;V$3)+($V$3:$AE$3=V$3)*($V279:$AE279&lt;V279)+($V$3:$AE$3=V$3)*($V279:$AE279=V279)*($V$2:$AE$2&lt;V$2))),2))))</f>
      </c>
      <c r="AG279" s="33">
        <f>IF(W279&lt;=0,0,MAX(0,MIN(W279,ROUND($AZ279-SUMPRODUCT($V279:$AE279*($V279:$AE279&gt;0)*(($V$3:$AE$3&gt;W$3)+($V$3:$AE$3=W$3)*($V279:$AE279&lt;W279)+($V$3:$AE$3=W$3)*($V279:$AE279=W279)*($V$2:$AE$2&lt;W$2))),2))))</f>
      </c>
      <c r="AH279" s="33">
        <f>IF(X279&lt;=0,0,MAX(0,MIN(X279,ROUND($AZ279-SUMPRODUCT($V279:$AE279*($V279:$AE279&gt;0)*(($V$3:$AE$3&gt;X$3)+($V$3:$AE$3=X$3)*($V279:$AE279&lt;X279)+($V$3:$AE$3=X$3)*($V279:$AE279=X279)*($V$2:$AE$2&lt;X$2))),2))))</f>
      </c>
      <c r="AI279" s="33">
        <f>IF(Y279&lt;=0,0,MAX(0,MIN(Y279,ROUND($AZ279-SUMPRODUCT($V279:$AE279*($V279:$AE279&gt;0)*(($V$3:$AE$3&gt;Y$3)+($V$3:$AE$3=Y$3)*($V279:$AE279&lt;Y279)+($V$3:$AE$3=Y$3)*($V279:$AE279=Y279)*($V$2:$AE$2&lt;Y$2))),2))))</f>
      </c>
      <c r="AJ279" s="33">
        <f>IF(Z279&lt;=0,0,MAX(0,MIN(Z279,ROUND($AZ279-SUMPRODUCT($V279:$AE279*($V279:$AE279&gt;0)*(($V$3:$AE$3&gt;Z$3)+($V$3:$AE$3=Z$3)*($V279:$AE279&lt;Z279)+($V$3:$AE$3=Z$3)*($V279:$AE279=Z279)*($V$2:$AE$2&lt;Z$2))),2))))</f>
      </c>
      <c r="AK279" s="33">
        <f>IF(AA279&lt;=0,0,MAX(0,MIN(AA279,ROUND($AZ279-SUMPRODUCT($V279:$AE279*($V279:$AE279&gt;0)*(($V$3:$AE$3&gt;AA$3)+($V$3:$AE$3=AA$3)*($V279:$AE279&lt;AA279)+($V$3:$AE$3=AA$3)*($V279:$AE279=AA279)*($V$2:$AE$2&lt;AA$2))),2))))</f>
      </c>
      <c r="AL279" s="33">
        <f>IF(AB279&lt;=0,0,MAX(0,MIN(AB279,ROUND($AZ279-SUMPRODUCT($V279:$AE279*($V279:$AE279&gt;0)*(($V$3:$AE$3&gt;AB$3)+($V$3:$AE$3=AB$3)*($V279:$AE279&lt;AB279)+($V$3:$AE$3=AB$3)*($V279:$AE279=AB279)*($V$2:$AE$2&lt;AB$2))),2))))</f>
      </c>
      <c r="AM279" s="33">
        <f>IF(AC279&lt;=0,0,MAX(0,MIN(AC279,ROUND($AZ279-SUMPRODUCT($V279:$AE279*($V279:$AE279&gt;0)*(($V$3:$AE$3&gt;AC$3)+($V$3:$AE$3=AC$3)*($V279:$AE279&lt;AC279)+($V$3:$AE$3=AC$3)*($V279:$AE279=AC279)*($V$2:$AE$2&lt;AC$2))),2))))</f>
      </c>
      <c r="AN279" s="33">
        <f>IF(AD279&lt;=0,0,MAX(0,MIN(AD279,ROUND($AZ279-SUMPRODUCT($V279:$AE279*($V279:$AE279&gt;0)*(($V$3:$AE$3&gt;AD$3)+($V$3:$AE$3=AD$3)*($V279:$AE279&lt;AD279)+($V$3:$AE$3=AD$3)*($V279:$AE279=AD279)*($V$2:$AE$2&lt;AD$2))),2))))</f>
      </c>
      <c r="AO279" s="33">
        <f>IF(AE279&lt;=0,0,MAX(0,MIN(AE279,ROUND($AZ279-SUMPRODUCT($V279:$AE279*($V279:$AE279&gt;0)*(($V$3:$AE$3&gt;AE$3)+($V$3:$AE$3=AE$3)*($V279:$AE279&lt;AE279)+($V$3:$AE$3=AE$3)*($V279:$AE279=AE279)*($V$2:$AE$2&lt;AE$2))),2))))</f>
      </c>
      <c r="AP279" s="33">
        <f>ROUND(V279-AF279,2)</f>
      </c>
      <c r="AQ279" s="33">
        <f>ROUND(W279-AG279,2)</f>
      </c>
      <c r="AR279" s="33">
        <f>ROUND(X279-AH279,2)</f>
      </c>
      <c r="AS279" s="33">
        <f>ROUND(Y279-AI279,2)</f>
      </c>
      <c r="AT279" s="33">
        <f>ROUND(Z279-AJ279,2)</f>
      </c>
      <c r="AU279" s="33">
        <f>ROUND(AA279-AK279,2)</f>
      </c>
      <c r="AV279" s="33">
        <f>ROUND(AB279-AL279,2)</f>
      </c>
      <c r="AW279" s="33">
        <f>ROUND(AC279-AM279,2)</f>
      </c>
      <c r="AX279" s="33">
        <f>ROUND(AD279-AN279,2)</f>
      </c>
      <c r="AY279" s="33">
        <f>ROUND(AE279-AO279,2)</f>
      </c>
      <c r="AZ279" s="33">
        <f>ROUND(MAX(0,'Your debts'!$D$22-SUM($L279:$U279)),2)</f>
      </c>
      <c r="BA279" s="33">
        <f>ROUND(SUM($B279:$K279)-SUM($AP278:$AY278),2)</f>
      </c>
      <c r="BB279" s="33">
        <f>SUM($AP279:$AY279)</f>
      </c>
      <c r="BC279" s="33">
        <f>ROUND(SUM($L279:$U279)+SUM($AF279:$AO279),2)</f>
      </c>
    </row>
    <row r="280" spans="1:55" x14ac:dyDescent="0.25">
      <c r="A280">
        <v>273</v>
      </c>
      <c r="B280" s="33">
        <f>IF(AP279&lt;=0,0,ROUND(AP279+ROUND(AP279*V$3/12,2),2))</f>
      </c>
      <c r="C280" s="33">
        <f>IF(AQ279&lt;=0,0,ROUND(AQ279+ROUND(AQ279*W$3/12,2),2))</f>
      </c>
      <c r="D280" s="33">
        <f>IF(AR279&lt;=0,0,ROUND(AR279+ROUND(AR279*X$3/12,2),2))</f>
      </c>
      <c r="E280" s="33">
        <f>IF(AS279&lt;=0,0,ROUND(AS279+ROUND(AS279*Y$3/12,2),2))</f>
      </c>
      <c r="F280" s="33">
        <f>IF(AT279&lt;=0,0,ROUND(AT279+ROUND(AT279*Z$3/12,2),2))</f>
      </c>
      <c r="G280" s="33">
        <f>IF(AU279&lt;=0,0,ROUND(AU279+ROUND(AU279*AA$3/12,2),2))</f>
      </c>
      <c r="H280" s="33">
        <f>IF(AV279&lt;=0,0,ROUND(AV279+ROUND(AV279*AB$3/12,2),2))</f>
      </c>
      <c r="I280" s="33">
        <f>IF(AW279&lt;=0,0,ROUND(AW279+ROUND(AW279*AC$3/12,2),2))</f>
      </c>
      <c r="J280" s="33">
        <f>IF(AX279&lt;=0,0,ROUND(AX279+ROUND(AX279*AD$3/12,2),2))</f>
      </c>
      <c r="K280" s="33">
        <f>IF(AY279&lt;=0,0,ROUND(AY279+ROUND(AY279*AE$3/12,2),2))</f>
      </c>
      <c r="L280" s="33">
        <f>ROUND(MIN(MAX(0,N('Your debts'!$E$6)),B280),2)</f>
      </c>
      <c r="M280" s="33">
        <f>ROUND(MIN(MAX(0,N('Your debts'!$E$7)),C280),2)</f>
      </c>
      <c r="N280" s="33">
        <f>ROUND(MIN(MAX(0,N('Your debts'!$E$8)),D280),2)</f>
      </c>
      <c r="O280" s="33">
        <f>ROUND(MIN(MAX(0,N('Your debts'!$E$9)),E280),2)</f>
      </c>
      <c r="P280" s="33">
        <f>ROUND(MIN(MAX(0,N('Your debts'!$E$10)),F280),2)</f>
      </c>
      <c r="Q280" s="33">
        <f>ROUND(MIN(MAX(0,N('Your debts'!$E$11)),G280),2)</f>
      </c>
      <c r="R280" s="33">
        <f>ROUND(MIN(MAX(0,N('Your debts'!$E$12)),H280),2)</f>
      </c>
      <c r="S280" s="33">
        <f>ROUND(MIN(MAX(0,N('Your debts'!$E$13)),I280),2)</f>
      </c>
      <c r="T280" s="33">
        <f>ROUND(MIN(MAX(0,N('Your debts'!$E$14)),J280),2)</f>
      </c>
      <c r="U280" s="33">
        <f>ROUND(MIN(MAX(0,N('Your debts'!$E$15)),K280),2)</f>
      </c>
      <c r="V280" s="33">
        <f>ROUND(B280-L280,2)</f>
      </c>
      <c r="W280" s="33">
        <f>ROUND(C280-M280,2)</f>
      </c>
      <c r="X280" s="33">
        <f>ROUND(D280-N280,2)</f>
      </c>
      <c r="Y280" s="33">
        <f>ROUND(E280-O280,2)</f>
      </c>
      <c r="Z280" s="33">
        <f>ROUND(F280-P280,2)</f>
      </c>
      <c r="AA280" s="33">
        <f>ROUND(G280-Q280,2)</f>
      </c>
      <c r="AB280" s="33">
        <f>ROUND(H280-R280,2)</f>
      </c>
      <c r="AC280" s="33">
        <f>ROUND(I280-S280,2)</f>
      </c>
      <c r="AD280" s="33">
        <f>ROUND(J280-T280,2)</f>
      </c>
      <c r="AE280" s="33">
        <f>ROUND(K280-U280,2)</f>
      </c>
      <c r="AF280" s="33">
        <f>IF(V280&lt;=0,0,MAX(0,MIN(V280,ROUND($AZ280-SUMPRODUCT($V280:$AE280*($V280:$AE280&gt;0)*(($V$3:$AE$3&gt;V$3)+($V$3:$AE$3=V$3)*($V280:$AE280&lt;V280)+($V$3:$AE$3=V$3)*($V280:$AE280=V280)*($V$2:$AE$2&lt;V$2))),2))))</f>
      </c>
      <c r="AG280" s="33">
        <f>IF(W280&lt;=0,0,MAX(0,MIN(W280,ROUND($AZ280-SUMPRODUCT($V280:$AE280*($V280:$AE280&gt;0)*(($V$3:$AE$3&gt;W$3)+($V$3:$AE$3=W$3)*($V280:$AE280&lt;W280)+($V$3:$AE$3=W$3)*($V280:$AE280=W280)*($V$2:$AE$2&lt;W$2))),2))))</f>
      </c>
      <c r="AH280" s="33">
        <f>IF(X280&lt;=0,0,MAX(0,MIN(X280,ROUND($AZ280-SUMPRODUCT($V280:$AE280*($V280:$AE280&gt;0)*(($V$3:$AE$3&gt;X$3)+($V$3:$AE$3=X$3)*($V280:$AE280&lt;X280)+($V$3:$AE$3=X$3)*($V280:$AE280=X280)*($V$2:$AE$2&lt;X$2))),2))))</f>
      </c>
      <c r="AI280" s="33">
        <f>IF(Y280&lt;=0,0,MAX(0,MIN(Y280,ROUND($AZ280-SUMPRODUCT($V280:$AE280*($V280:$AE280&gt;0)*(($V$3:$AE$3&gt;Y$3)+($V$3:$AE$3=Y$3)*($V280:$AE280&lt;Y280)+($V$3:$AE$3=Y$3)*($V280:$AE280=Y280)*($V$2:$AE$2&lt;Y$2))),2))))</f>
      </c>
      <c r="AJ280" s="33">
        <f>IF(Z280&lt;=0,0,MAX(0,MIN(Z280,ROUND($AZ280-SUMPRODUCT($V280:$AE280*($V280:$AE280&gt;0)*(($V$3:$AE$3&gt;Z$3)+($V$3:$AE$3=Z$3)*($V280:$AE280&lt;Z280)+($V$3:$AE$3=Z$3)*($V280:$AE280=Z280)*($V$2:$AE$2&lt;Z$2))),2))))</f>
      </c>
      <c r="AK280" s="33">
        <f>IF(AA280&lt;=0,0,MAX(0,MIN(AA280,ROUND($AZ280-SUMPRODUCT($V280:$AE280*($V280:$AE280&gt;0)*(($V$3:$AE$3&gt;AA$3)+($V$3:$AE$3=AA$3)*($V280:$AE280&lt;AA280)+($V$3:$AE$3=AA$3)*($V280:$AE280=AA280)*($V$2:$AE$2&lt;AA$2))),2))))</f>
      </c>
      <c r="AL280" s="33">
        <f>IF(AB280&lt;=0,0,MAX(0,MIN(AB280,ROUND($AZ280-SUMPRODUCT($V280:$AE280*($V280:$AE280&gt;0)*(($V$3:$AE$3&gt;AB$3)+($V$3:$AE$3=AB$3)*($V280:$AE280&lt;AB280)+($V$3:$AE$3=AB$3)*($V280:$AE280=AB280)*($V$2:$AE$2&lt;AB$2))),2))))</f>
      </c>
      <c r="AM280" s="33">
        <f>IF(AC280&lt;=0,0,MAX(0,MIN(AC280,ROUND($AZ280-SUMPRODUCT($V280:$AE280*($V280:$AE280&gt;0)*(($V$3:$AE$3&gt;AC$3)+($V$3:$AE$3=AC$3)*($V280:$AE280&lt;AC280)+($V$3:$AE$3=AC$3)*($V280:$AE280=AC280)*($V$2:$AE$2&lt;AC$2))),2))))</f>
      </c>
      <c r="AN280" s="33">
        <f>IF(AD280&lt;=0,0,MAX(0,MIN(AD280,ROUND($AZ280-SUMPRODUCT($V280:$AE280*($V280:$AE280&gt;0)*(($V$3:$AE$3&gt;AD$3)+($V$3:$AE$3=AD$3)*($V280:$AE280&lt;AD280)+($V$3:$AE$3=AD$3)*($V280:$AE280=AD280)*($V$2:$AE$2&lt;AD$2))),2))))</f>
      </c>
      <c r="AO280" s="33">
        <f>IF(AE280&lt;=0,0,MAX(0,MIN(AE280,ROUND($AZ280-SUMPRODUCT($V280:$AE280*($V280:$AE280&gt;0)*(($V$3:$AE$3&gt;AE$3)+($V$3:$AE$3=AE$3)*($V280:$AE280&lt;AE280)+($V$3:$AE$3=AE$3)*($V280:$AE280=AE280)*($V$2:$AE$2&lt;AE$2))),2))))</f>
      </c>
      <c r="AP280" s="33">
        <f>ROUND(V280-AF280,2)</f>
      </c>
      <c r="AQ280" s="33">
        <f>ROUND(W280-AG280,2)</f>
      </c>
      <c r="AR280" s="33">
        <f>ROUND(X280-AH280,2)</f>
      </c>
      <c r="AS280" s="33">
        <f>ROUND(Y280-AI280,2)</f>
      </c>
      <c r="AT280" s="33">
        <f>ROUND(Z280-AJ280,2)</f>
      </c>
      <c r="AU280" s="33">
        <f>ROUND(AA280-AK280,2)</f>
      </c>
      <c r="AV280" s="33">
        <f>ROUND(AB280-AL280,2)</f>
      </c>
      <c r="AW280" s="33">
        <f>ROUND(AC280-AM280,2)</f>
      </c>
      <c r="AX280" s="33">
        <f>ROUND(AD280-AN280,2)</f>
      </c>
      <c r="AY280" s="33">
        <f>ROUND(AE280-AO280,2)</f>
      </c>
      <c r="AZ280" s="33">
        <f>ROUND(MAX(0,'Your debts'!$D$22-SUM($L280:$U280)),2)</f>
      </c>
      <c r="BA280" s="33">
        <f>ROUND(SUM($B280:$K280)-SUM($AP279:$AY279),2)</f>
      </c>
      <c r="BB280" s="33">
        <f>SUM($AP280:$AY280)</f>
      </c>
      <c r="BC280" s="33">
        <f>ROUND(SUM($L280:$U280)+SUM($AF280:$AO280),2)</f>
      </c>
    </row>
    <row r="281" spans="1:55" x14ac:dyDescent="0.25">
      <c r="A281">
        <v>274</v>
      </c>
      <c r="B281" s="33">
        <f>IF(AP280&lt;=0,0,ROUND(AP280+ROUND(AP280*V$3/12,2),2))</f>
      </c>
      <c r="C281" s="33">
        <f>IF(AQ280&lt;=0,0,ROUND(AQ280+ROUND(AQ280*W$3/12,2),2))</f>
      </c>
      <c r="D281" s="33">
        <f>IF(AR280&lt;=0,0,ROUND(AR280+ROUND(AR280*X$3/12,2),2))</f>
      </c>
      <c r="E281" s="33">
        <f>IF(AS280&lt;=0,0,ROUND(AS280+ROUND(AS280*Y$3/12,2),2))</f>
      </c>
      <c r="F281" s="33">
        <f>IF(AT280&lt;=0,0,ROUND(AT280+ROUND(AT280*Z$3/12,2),2))</f>
      </c>
      <c r="G281" s="33">
        <f>IF(AU280&lt;=0,0,ROUND(AU280+ROUND(AU280*AA$3/12,2),2))</f>
      </c>
      <c r="H281" s="33">
        <f>IF(AV280&lt;=0,0,ROUND(AV280+ROUND(AV280*AB$3/12,2),2))</f>
      </c>
      <c r="I281" s="33">
        <f>IF(AW280&lt;=0,0,ROUND(AW280+ROUND(AW280*AC$3/12,2),2))</f>
      </c>
      <c r="J281" s="33">
        <f>IF(AX280&lt;=0,0,ROUND(AX280+ROUND(AX280*AD$3/12,2),2))</f>
      </c>
      <c r="K281" s="33">
        <f>IF(AY280&lt;=0,0,ROUND(AY280+ROUND(AY280*AE$3/12,2),2))</f>
      </c>
      <c r="L281" s="33">
        <f>ROUND(MIN(MAX(0,N('Your debts'!$E$6)),B281),2)</f>
      </c>
      <c r="M281" s="33">
        <f>ROUND(MIN(MAX(0,N('Your debts'!$E$7)),C281),2)</f>
      </c>
      <c r="N281" s="33">
        <f>ROUND(MIN(MAX(0,N('Your debts'!$E$8)),D281),2)</f>
      </c>
      <c r="O281" s="33">
        <f>ROUND(MIN(MAX(0,N('Your debts'!$E$9)),E281),2)</f>
      </c>
      <c r="P281" s="33">
        <f>ROUND(MIN(MAX(0,N('Your debts'!$E$10)),F281),2)</f>
      </c>
      <c r="Q281" s="33">
        <f>ROUND(MIN(MAX(0,N('Your debts'!$E$11)),G281),2)</f>
      </c>
      <c r="R281" s="33">
        <f>ROUND(MIN(MAX(0,N('Your debts'!$E$12)),H281),2)</f>
      </c>
      <c r="S281" s="33">
        <f>ROUND(MIN(MAX(0,N('Your debts'!$E$13)),I281),2)</f>
      </c>
      <c r="T281" s="33">
        <f>ROUND(MIN(MAX(0,N('Your debts'!$E$14)),J281),2)</f>
      </c>
      <c r="U281" s="33">
        <f>ROUND(MIN(MAX(0,N('Your debts'!$E$15)),K281),2)</f>
      </c>
      <c r="V281" s="33">
        <f>ROUND(B281-L281,2)</f>
      </c>
      <c r="W281" s="33">
        <f>ROUND(C281-M281,2)</f>
      </c>
      <c r="X281" s="33">
        <f>ROUND(D281-N281,2)</f>
      </c>
      <c r="Y281" s="33">
        <f>ROUND(E281-O281,2)</f>
      </c>
      <c r="Z281" s="33">
        <f>ROUND(F281-P281,2)</f>
      </c>
      <c r="AA281" s="33">
        <f>ROUND(G281-Q281,2)</f>
      </c>
      <c r="AB281" s="33">
        <f>ROUND(H281-R281,2)</f>
      </c>
      <c r="AC281" s="33">
        <f>ROUND(I281-S281,2)</f>
      </c>
      <c r="AD281" s="33">
        <f>ROUND(J281-T281,2)</f>
      </c>
      <c r="AE281" s="33">
        <f>ROUND(K281-U281,2)</f>
      </c>
      <c r="AF281" s="33">
        <f>IF(V281&lt;=0,0,MAX(0,MIN(V281,ROUND($AZ281-SUMPRODUCT($V281:$AE281*($V281:$AE281&gt;0)*(($V$3:$AE$3&gt;V$3)+($V$3:$AE$3=V$3)*($V281:$AE281&lt;V281)+($V$3:$AE$3=V$3)*($V281:$AE281=V281)*($V$2:$AE$2&lt;V$2))),2))))</f>
      </c>
      <c r="AG281" s="33">
        <f>IF(W281&lt;=0,0,MAX(0,MIN(W281,ROUND($AZ281-SUMPRODUCT($V281:$AE281*($V281:$AE281&gt;0)*(($V$3:$AE$3&gt;W$3)+($V$3:$AE$3=W$3)*($V281:$AE281&lt;W281)+($V$3:$AE$3=W$3)*($V281:$AE281=W281)*($V$2:$AE$2&lt;W$2))),2))))</f>
      </c>
      <c r="AH281" s="33">
        <f>IF(X281&lt;=0,0,MAX(0,MIN(X281,ROUND($AZ281-SUMPRODUCT($V281:$AE281*($V281:$AE281&gt;0)*(($V$3:$AE$3&gt;X$3)+($V$3:$AE$3=X$3)*($V281:$AE281&lt;X281)+($V$3:$AE$3=X$3)*($V281:$AE281=X281)*($V$2:$AE$2&lt;X$2))),2))))</f>
      </c>
      <c r="AI281" s="33">
        <f>IF(Y281&lt;=0,0,MAX(0,MIN(Y281,ROUND($AZ281-SUMPRODUCT($V281:$AE281*($V281:$AE281&gt;0)*(($V$3:$AE$3&gt;Y$3)+($V$3:$AE$3=Y$3)*($V281:$AE281&lt;Y281)+($V$3:$AE$3=Y$3)*($V281:$AE281=Y281)*($V$2:$AE$2&lt;Y$2))),2))))</f>
      </c>
      <c r="AJ281" s="33">
        <f>IF(Z281&lt;=0,0,MAX(0,MIN(Z281,ROUND($AZ281-SUMPRODUCT($V281:$AE281*($V281:$AE281&gt;0)*(($V$3:$AE$3&gt;Z$3)+($V$3:$AE$3=Z$3)*($V281:$AE281&lt;Z281)+($V$3:$AE$3=Z$3)*($V281:$AE281=Z281)*($V$2:$AE$2&lt;Z$2))),2))))</f>
      </c>
      <c r="AK281" s="33">
        <f>IF(AA281&lt;=0,0,MAX(0,MIN(AA281,ROUND($AZ281-SUMPRODUCT($V281:$AE281*($V281:$AE281&gt;0)*(($V$3:$AE$3&gt;AA$3)+($V$3:$AE$3=AA$3)*($V281:$AE281&lt;AA281)+($V$3:$AE$3=AA$3)*($V281:$AE281=AA281)*($V$2:$AE$2&lt;AA$2))),2))))</f>
      </c>
      <c r="AL281" s="33">
        <f>IF(AB281&lt;=0,0,MAX(0,MIN(AB281,ROUND($AZ281-SUMPRODUCT($V281:$AE281*($V281:$AE281&gt;0)*(($V$3:$AE$3&gt;AB$3)+($V$3:$AE$3=AB$3)*($V281:$AE281&lt;AB281)+($V$3:$AE$3=AB$3)*($V281:$AE281=AB281)*($V$2:$AE$2&lt;AB$2))),2))))</f>
      </c>
      <c r="AM281" s="33">
        <f>IF(AC281&lt;=0,0,MAX(0,MIN(AC281,ROUND($AZ281-SUMPRODUCT($V281:$AE281*($V281:$AE281&gt;0)*(($V$3:$AE$3&gt;AC$3)+($V$3:$AE$3=AC$3)*($V281:$AE281&lt;AC281)+($V$3:$AE$3=AC$3)*($V281:$AE281=AC281)*($V$2:$AE$2&lt;AC$2))),2))))</f>
      </c>
      <c r="AN281" s="33">
        <f>IF(AD281&lt;=0,0,MAX(0,MIN(AD281,ROUND($AZ281-SUMPRODUCT($V281:$AE281*($V281:$AE281&gt;0)*(($V$3:$AE$3&gt;AD$3)+($V$3:$AE$3=AD$3)*($V281:$AE281&lt;AD281)+($V$3:$AE$3=AD$3)*($V281:$AE281=AD281)*($V$2:$AE$2&lt;AD$2))),2))))</f>
      </c>
      <c r="AO281" s="33">
        <f>IF(AE281&lt;=0,0,MAX(0,MIN(AE281,ROUND($AZ281-SUMPRODUCT($V281:$AE281*($V281:$AE281&gt;0)*(($V$3:$AE$3&gt;AE$3)+($V$3:$AE$3=AE$3)*($V281:$AE281&lt;AE281)+($V$3:$AE$3=AE$3)*($V281:$AE281=AE281)*($V$2:$AE$2&lt;AE$2))),2))))</f>
      </c>
      <c r="AP281" s="33">
        <f>ROUND(V281-AF281,2)</f>
      </c>
      <c r="AQ281" s="33">
        <f>ROUND(W281-AG281,2)</f>
      </c>
      <c r="AR281" s="33">
        <f>ROUND(X281-AH281,2)</f>
      </c>
      <c r="AS281" s="33">
        <f>ROUND(Y281-AI281,2)</f>
      </c>
      <c r="AT281" s="33">
        <f>ROUND(Z281-AJ281,2)</f>
      </c>
      <c r="AU281" s="33">
        <f>ROUND(AA281-AK281,2)</f>
      </c>
      <c r="AV281" s="33">
        <f>ROUND(AB281-AL281,2)</f>
      </c>
      <c r="AW281" s="33">
        <f>ROUND(AC281-AM281,2)</f>
      </c>
      <c r="AX281" s="33">
        <f>ROUND(AD281-AN281,2)</f>
      </c>
      <c r="AY281" s="33">
        <f>ROUND(AE281-AO281,2)</f>
      </c>
      <c r="AZ281" s="33">
        <f>ROUND(MAX(0,'Your debts'!$D$22-SUM($L281:$U281)),2)</f>
      </c>
      <c r="BA281" s="33">
        <f>ROUND(SUM($B281:$K281)-SUM($AP280:$AY280),2)</f>
      </c>
      <c r="BB281" s="33">
        <f>SUM($AP281:$AY281)</f>
      </c>
      <c r="BC281" s="33">
        <f>ROUND(SUM($L281:$U281)+SUM($AF281:$AO281),2)</f>
      </c>
    </row>
    <row r="282" spans="1:55" x14ac:dyDescent="0.25">
      <c r="A282">
        <v>275</v>
      </c>
      <c r="B282" s="33">
        <f>IF(AP281&lt;=0,0,ROUND(AP281+ROUND(AP281*V$3/12,2),2))</f>
      </c>
      <c r="C282" s="33">
        <f>IF(AQ281&lt;=0,0,ROUND(AQ281+ROUND(AQ281*W$3/12,2),2))</f>
      </c>
      <c r="D282" s="33">
        <f>IF(AR281&lt;=0,0,ROUND(AR281+ROUND(AR281*X$3/12,2),2))</f>
      </c>
      <c r="E282" s="33">
        <f>IF(AS281&lt;=0,0,ROUND(AS281+ROUND(AS281*Y$3/12,2),2))</f>
      </c>
      <c r="F282" s="33">
        <f>IF(AT281&lt;=0,0,ROUND(AT281+ROUND(AT281*Z$3/12,2),2))</f>
      </c>
      <c r="G282" s="33">
        <f>IF(AU281&lt;=0,0,ROUND(AU281+ROUND(AU281*AA$3/12,2),2))</f>
      </c>
      <c r="H282" s="33">
        <f>IF(AV281&lt;=0,0,ROUND(AV281+ROUND(AV281*AB$3/12,2),2))</f>
      </c>
      <c r="I282" s="33">
        <f>IF(AW281&lt;=0,0,ROUND(AW281+ROUND(AW281*AC$3/12,2),2))</f>
      </c>
      <c r="J282" s="33">
        <f>IF(AX281&lt;=0,0,ROUND(AX281+ROUND(AX281*AD$3/12,2),2))</f>
      </c>
      <c r="K282" s="33">
        <f>IF(AY281&lt;=0,0,ROUND(AY281+ROUND(AY281*AE$3/12,2),2))</f>
      </c>
      <c r="L282" s="33">
        <f>ROUND(MIN(MAX(0,N('Your debts'!$E$6)),B282),2)</f>
      </c>
      <c r="M282" s="33">
        <f>ROUND(MIN(MAX(0,N('Your debts'!$E$7)),C282),2)</f>
      </c>
      <c r="N282" s="33">
        <f>ROUND(MIN(MAX(0,N('Your debts'!$E$8)),D282),2)</f>
      </c>
      <c r="O282" s="33">
        <f>ROUND(MIN(MAX(0,N('Your debts'!$E$9)),E282),2)</f>
      </c>
      <c r="P282" s="33">
        <f>ROUND(MIN(MAX(0,N('Your debts'!$E$10)),F282),2)</f>
      </c>
      <c r="Q282" s="33">
        <f>ROUND(MIN(MAX(0,N('Your debts'!$E$11)),G282),2)</f>
      </c>
      <c r="R282" s="33">
        <f>ROUND(MIN(MAX(0,N('Your debts'!$E$12)),H282),2)</f>
      </c>
      <c r="S282" s="33">
        <f>ROUND(MIN(MAX(0,N('Your debts'!$E$13)),I282),2)</f>
      </c>
      <c r="T282" s="33">
        <f>ROUND(MIN(MAX(0,N('Your debts'!$E$14)),J282),2)</f>
      </c>
      <c r="U282" s="33">
        <f>ROUND(MIN(MAX(0,N('Your debts'!$E$15)),K282),2)</f>
      </c>
      <c r="V282" s="33">
        <f>ROUND(B282-L282,2)</f>
      </c>
      <c r="W282" s="33">
        <f>ROUND(C282-M282,2)</f>
      </c>
      <c r="X282" s="33">
        <f>ROUND(D282-N282,2)</f>
      </c>
      <c r="Y282" s="33">
        <f>ROUND(E282-O282,2)</f>
      </c>
      <c r="Z282" s="33">
        <f>ROUND(F282-P282,2)</f>
      </c>
      <c r="AA282" s="33">
        <f>ROUND(G282-Q282,2)</f>
      </c>
      <c r="AB282" s="33">
        <f>ROUND(H282-R282,2)</f>
      </c>
      <c r="AC282" s="33">
        <f>ROUND(I282-S282,2)</f>
      </c>
      <c r="AD282" s="33">
        <f>ROUND(J282-T282,2)</f>
      </c>
      <c r="AE282" s="33">
        <f>ROUND(K282-U282,2)</f>
      </c>
      <c r="AF282" s="33">
        <f>IF(V282&lt;=0,0,MAX(0,MIN(V282,ROUND($AZ282-SUMPRODUCT($V282:$AE282*($V282:$AE282&gt;0)*(($V$3:$AE$3&gt;V$3)+($V$3:$AE$3=V$3)*($V282:$AE282&lt;V282)+($V$3:$AE$3=V$3)*($V282:$AE282=V282)*($V$2:$AE$2&lt;V$2))),2))))</f>
      </c>
      <c r="AG282" s="33">
        <f>IF(W282&lt;=0,0,MAX(0,MIN(W282,ROUND($AZ282-SUMPRODUCT($V282:$AE282*($V282:$AE282&gt;0)*(($V$3:$AE$3&gt;W$3)+($V$3:$AE$3=W$3)*($V282:$AE282&lt;W282)+($V$3:$AE$3=W$3)*($V282:$AE282=W282)*($V$2:$AE$2&lt;W$2))),2))))</f>
      </c>
      <c r="AH282" s="33">
        <f>IF(X282&lt;=0,0,MAX(0,MIN(X282,ROUND($AZ282-SUMPRODUCT($V282:$AE282*($V282:$AE282&gt;0)*(($V$3:$AE$3&gt;X$3)+($V$3:$AE$3=X$3)*($V282:$AE282&lt;X282)+($V$3:$AE$3=X$3)*($V282:$AE282=X282)*($V$2:$AE$2&lt;X$2))),2))))</f>
      </c>
      <c r="AI282" s="33">
        <f>IF(Y282&lt;=0,0,MAX(0,MIN(Y282,ROUND($AZ282-SUMPRODUCT($V282:$AE282*($V282:$AE282&gt;0)*(($V$3:$AE$3&gt;Y$3)+($V$3:$AE$3=Y$3)*($V282:$AE282&lt;Y282)+($V$3:$AE$3=Y$3)*($V282:$AE282=Y282)*($V$2:$AE$2&lt;Y$2))),2))))</f>
      </c>
      <c r="AJ282" s="33">
        <f>IF(Z282&lt;=0,0,MAX(0,MIN(Z282,ROUND($AZ282-SUMPRODUCT($V282:$AE282*($V282:$AE282&gt;0)*(($V$3:$AE$3&gt;Z$3)+($V$3:$AE$3=Z$3)*($V282:$AE282&lt;Z282)+($V$3:$AE$3=Z$3)*($V282:$AE282=Z282)*($V$2:$AE$2&lt;Z$2))),2))))</f>
      </c>
      <c r="AK282" s="33">
        <f>IF(AA282&lt;=0,0,MAX(0,MIN(AA282,ROUND($AZ282-SUMPRODUCT($V282:$AE282*($V282:$AE282&gt;0)*(($V$3:$AE$3&gt;AA$3)+($V$3:$AE$3=AA$3)*($V282:$AE282&lt;AA282)+($V$3:$AE$3=AA$3)*($V282:$AE282=AA282)*($V$2:$AE$2&lt;AA$2))),2))))</f>
      </c>
      <c r="AL282" s="33">
        <f>IF(AB282&lt;=0,0,MAX(0,MIN(AB282,ROUND($AZ282-SUMPRODUCT($V282:$AE282*($V282:$AE282&gt;0)*(($V$3:$AE$3&gt;AB$3)+($V$3:$AE$3=AB$3)*($V282:$AE282&lt;AB282)+($V$3:$AE$3=AB$3)*($V282:$AE282=AB282)*($V$2:$AE$2&lt;AB$2))),2))))</f>
      </c>
      <c r="AM282" s="33">
        <f>IF(AC282&lt;=0,0,MAX(0,MIN(AC282,ROUND($AZ282-SUMPRODUCT($V282:$AE282*($V282:$AE282&gt;0)*(($V$3:$AE$3&gt;AC$3)+($V$3:$AE$3=AC$3)*($V282:$AE282&lt;AC282)+($V$3:$AE$3=AC$3)*($V282:$AE282=AC282)*($V$2:$AE$2&lt;AC$2))),2))))</f>
      </c>
      <c r="AN282" s="33">
        <f>IF(AD282&lt;=0,0,MAX(0,MIN(AD282,ROUND($AZ282-SUMPRODUCT($V282:$AE282*($V282:$AE282&gt;0)*(($V$3:$AE$3&gt;AD$3)+($V$3:$AE$3=AD$3)*($V282:$AE282&lt;AD282)+($V$3:$AE$3=AD$3)*($V282:$AE282=AD282)*($V$2:$AE$2&lt;AD$2))),2))))</f>
      </c>
      <c r="AO282" s="33">
        <f>IF(AE282&lt;=0,0,MAX(0,MIN(AE282,ROUND($AZ282-SUMPRODUCT($V282:$AE282*($V282:$AE282&gt;0)*(($V$3:$AE$3&gt;AE$3)+($V$3:$AE$3=AE$3)*($V282:$AE282&lt;AE282)+($V$3:$AE$3=AE$3)*($V282:$AE282=AE282)*($V$2:$AE$2&lt;AE$2))),2))))</f>
      </c>
      <c r="AP282" s="33">
        <f>ROUND(V282-AF282,2)</f>
      </c>
      <c r="AQ282" s="33">
        <f>ROUND(W282-AG282,2)</f>
      </c>
      <c r="AR282" s="33">
        <f>ROUND(X282-AH282,2)</f>
      </c>
      <c r="AS282" s="33">
        <f>ROUND(Y282-AI282,2)</f>
      </c>
      <c r="AT282" s="33">
        <f>ROUND(Z282-AJ282,2)</f>
      </c>
      <c r="AU282" s="33">
        <f>ROUND(AA282-AK282,2)</f>
      </c>
      <c r="AV282" s="33">
        <f>ROUND(AB282-AL282,2)</f>
      </c>
      <c r="AW282" s="33">
        <f>ROUND(AC282-AM282,2)</f>
      </c>
      <c r="AX282" s="33">
        <f>ROUND(AD282-AN282,2)</f>
      </c>
      <c r="AY282" s="33">
        <f>ROUND(AE282-AO282,2)</f>
      </c>
      <c r="AZ282" s="33">
        <f>ROUND(MAX(0,'Your debts'!$D$22-SUM($L282:$U282)),2)</f>
      </c>
      <c r="BA282" s="33">
        <f>ROUND(SUM($B282:$K282)-SUM($AP281:$AY281),2)</f>
      </c>
      <c r="BB282" s="33">
        <f>SUM($AP282:$AY282)</f>
      </c>
      <c r="BC282" s="33">
        <f>ROUND(SUM($L282:$U282)+SUM($AF282:$AO282),2)</f>
      </c>
    </row>
    <row r="283" spans="1:55" x14ac:dyDescent="0.25">
      <c r="A283">
        <v>276</v>
      </c>
      <c r="B283" s="33">
        <f>IF(AP282&lt;=0,0,ROUND(AP282+ROUND(AP282*V$3/12,2),2))</f>
      </c>
      <c r="C283" s="33">
        <f>IF(AQ282&lt;=0,0,ROUND(AQ282+ROUND(AQ282*W$3/12,2),2))</f>
      </c>
      <c r="D283" s="33">
        <f>IF(AR282&lt;=0,0,ROUND(AR282+ROUND(AR282*X$3/12,2),2))</f>
      </c>
      <c r="E283" s="33">
        <f>IF(AS282&lt;=0,0,ROUND(AS282+ROUND(AS282*Y$3/12,2),2))</f>
      </c>
      <c r="F283" s="33">
        <f>IF(AT282&lt;=0,0,ROUND(AT282+ROUND(AT282*Z$3/12,2),2))</f>
      </c>
      <c r="G283" s="33">
        <f>IF(AU282&lt;=0,0,ROUND(AU282+ROUND(AU282*AA$3/12,2),2))</f>
      </c>
      <c r="H283" s="33">
        <f>IF(AV282&lt;=0,0,ROUND(AV282+ROUND(AV282*AB$3/12,2),2))</f>
      </c>
      <c r="I283" s="33">
        <f>IF(AW282&lt;=0,0,ROUND(AW282+ROUND(AW282*AC$3/12,2),2))</f>
      </c>
      <c r="J283" s="33">
        <f>IF(AX282&lt;=0,0,ROUND(AX282+ROUND(AX282*AD$3/12,2),2))</f>
      </c>
      <c r="K283" s="33">
        <f>IF(AY282&lt;=0,0,ROUND(AY282+ROUND(AY282*AE$3/12,2),2))</f>
      </c>
      <c r="L283" s="33">
        <f>ROUND(MIN(MAX(0,N('Your debts'!$E$6)),B283),2)</f>
      </c>
      <c r="M283" s="33">
        <f>ROUND(MIN(MAX(0,N('Your debts'!$E$7)),C283),2)</f>
      </c>
      <c r="N283" s="33">
        <f>ROUND(MIN(MAX(0,N('Your debts'!$E$8)),D283),2)</f>
      </c>
      <c r="O283" s="33">
        <f>ROUND(MIN(MAX(0,N('Your debts'!$E$9)),E283),2)</f>
      </c>
      <c r="P283" s="33">
        <f>ROUND(MIN(MAX(0,N('Your debts'!$E$10)),F283),2)</f>
      </c>
      <c r="Q283" s="33">
        <f>ROUND(MIN(MAX(0,N('Your debts'!$E$11)),G283),2)</f>
      </c>
      <c r="R283" s="33">
        <f>ROUND(MIN(MAX(0,N('Your debts'!$E$12)),H283),2)</f>
      </c>
      <c r="S283" s="33">
        <f>ROUND(MIN(MAX(0,N('Your debts'!$E$13)),I283),2)</f>
      </c>
      <c r="T283" s="33">
        <f>ROUND(MIN(MAX(0,N('Your debts'!$E$14)),J283),2)</f>
      </c>
      <c r="U283" s="33">
        <f>ROUND(MIN(MAX(0,N('Your debts'!$E$15)),K283),2)</f>
      </c>
      <c r="V283" s="33">
        <f>ROUND(B283-L283,2)</f>
      </c>
      <c r="W283" s="33">
        <f>ROUND(C283-M283,2)</f>
      </c>
      <c r="X283" s="33">
        <f>ROUND(D283-N283,2)</f>
      </c>
      <c r="Y283" s="33">
        <f>ROUND(E283-O283,2)</f>
      </c>
      <c r="Z283" s="33">
        <f>ROUND(F283-P283,2)</f>
      </c>
      <c r="AA283" s="33">
        <f>ROUND(G283-Q283,2)</f>
      </c>
      <c r="AB283" s="33">
        <f>ROUND(H283-R283,2)</f>
      </c>
      <c r="AC283" s="33">
        <f>ROUND(I283-S283,2)</f>
      </c>
      <c r="AD283" s="33">
        <f>ROUND(J283-T283,2)</f>
      </c>
      <c r="AE283" s="33">
        <f>ROUND(K283-U283,2)</f>
      </c>
      <c r="AF283" s="33">
        <f>IF(V283&lt;=0,0,MAX(0,MIN(V283,ROUND($AZ283-SUMPRODUCT($V283:$AE283*($V283:$AE283&gt;0)*(($V$3:$AE$3&gt;V$3)+($V$3:$AE$3=V$3)*($V283:$AE283&lt;V283)+($V$3:$AE$3=V$3)*($V283:$AE283=V283)*($V$2:$AE$2&lt;V$2))),2))))</f>
      </c>
      <c r="AG283" s="33">
        <f>IF(W283&lt;=0,0,MAX(0,MIN(W283,ROUND($AZ283-SUMPRODUCT($V283:$AE283*($V283:$AE283&gt;0)*(($V$3:$AE$3&gt;W$3)+($V$3:$AE$3=W$3)*($V283:$AE283&lt;W283)+($V$3:$AE$3=W$3)*($V283:$AE283=W283)*($V$2:$AE$2&lt;W$2))),2))))</f>
      </c>
      <c r="AH283" s="33">
        <f>IF(X283&lt;=0,0,MAX(0,MIN(X283,ROUND($AZ283-SUMPRODUCT($V283:$AE283*($V283:$AE283&gt;0)*(($V$3:$AE$3&gt;X$3)+($V$3:$AE$3=X$3)*($V283:$AE283&lt;X283)+($V$3:$AE$3=X$3)*($V283:$AE283=X283)*($V$2:$AE$2&lt;X$2))),2))))</f>
      </c>
      <c r="AI283" s="33">
        <f>IF(Y283&lt;=0,0,MAX(0,MIN(Y283,ROUND($AZ283-SUMPRODUCT($V283:$AE283*($V283:$AE283&gt;0)*(($V$3:$AE$3&gt;Y$3)+($V$3:$AE$3=Y$3)*($V283:$AE283&lt;Y283)+($V$3:$AE$3=Y$3)*($V283:$AE283=Y283)*($V$2:$AE$2&lt;Y$2))),2))))</f>
      </c>
      <c r="AJ283" s="33">
        <f>IF(Z283&lt;=0,0,MAX(0,MIN(Z283,ROUND($AZ283-SUMPRODUCT($V283:$AE283*($V283:$AE283&gt;0)*(($V$3:$AE$3&gt;Z$3)+($V$3:$AE$3=Z$3)*($V283:$AE283&lt;Z283)+($V$3:$AE$3=Z$3)*($V283:$AE283=Z283)*($V$2:$AE$2&lt;Z$2))),2))))</f>
      </c>
      <c r="AK283" s="33">
        <f>IF(AA283&lt;=0,0,MAX(0,MIN(AA283,ROUND($AZ283-SUMPRODUCT($V283:$AE283*($V283:$AE283&gt;0)*(($V$3:$AE$3&gt;AA$3)+($V$3:$AE$3=AA$3)*($V283:$AE283&lt;AA283)+($V$3:$AE$3=AA$3)*($V283:$AE283=AA283)*($V$2:$AE$2&lt;AA$2))),2))))</f>
      </c>
      <c r="AL283" s="33">
        <f>IF(AB283&lt;=0,0,MAX(0,MIN(AB283,ROUND($AZ283-SUMPRODUCT($V283:$AE283*($V283:$AE283&gt;0)*(($V$3:$AE$3&gt;AB$3)+($V$3:$AE$3=AB$3)*($V283:$AE283&lt;AB283)+($V$3:$AE$3=AB$3)*($V283:$AE283=AB283)*($V$2:$AE$2&lt;AB$2))),2))))</f>
      </c>
      <c r="AM283" s="33">
        <f>IF(AC283&lt;=0,0,MAX(0,MIN(AC283,ROUND($AZ283-SUMPRODUCT($V283:$AE283*($V283:$AE283&gt;0)*(($V$3:$AE$3&gt;AC$3)+($V$3:$AE$3=AC$3)*($V283:$AE283&lt;AC283)+($V$3:$AE$3=AC$3)*($V283:$AE283=AC283)*($V$2:$AE$2&lt;AC$2))),2))))</f>
      </c>
      <c r="AN283" s="33">
        <f>IF(AD283&lt;=0,0,MAX(0,MIN(AD283,ROUND($AZ283-SUMPRODUCT($V283:$AE283*($V283:$AE283&gt;0)*(($V$3:$AE$3&gt;AD$3)+($V$3:$AE$3=AD$3)*($V283:$AE283&lt;AD283)+($V$3:$AE$3=AD$3)*($V283:$AE283=AD283)*($V$2:$AE$2&lt;AD$2))),2))))</f>
      </c>
      <c r="AO283" s="33">
        <f>IF(AE283&lt;=0,0,MAX(0,MIN(AE283,ROUND($AZ283-SUMPRODUCT($V283:$AE283*($V283:$AE283&gt;0)*(($V$3:$AE$3&gt;AE$3)+($V$3:$AE$3=AE$3)*($V283:$AE283&lt;AE283)+($V$3:$AE$3=AE$3)*($V283:$AE283=AE283)*($V$2:$AE$2&lt;AE$2))),2))))</f>
      </c>
      <c r="AP283" s="33">
        <f>ROUND(V283-AF283,2)</f>
      </c>
      <c r="AQ283" s="33">
        <f>ROUND(W283-AG283,2)</f>
      </c>
      <c r="AR283" s="33">
        <f>ROUND(X283-AH283,2)</f>
      </c>
      <c r="AS283" s="33">
        <f>ROUND(Y283-AI283,2)</f>
      </c>
      <c r="AT283" s="33">
        <f>ROUND(Z283-AJ283,2)</f>
      </c>
      <c r="AU283" s="33">
        <f>ROUND(AA283-AK283,2)</f>
      </c>
      <c r="AV283" s="33">
        <f>ROUND(AB283-AL283,2)</f>
      </c>
      <c r="AW283" s="33">
        <f>ROUND(AC283-AM283,2)</f>
      </c>
      <c r="AX283" s="33">
        <f>ROUND(AD283-AN283,2)</f>
      </c>
      <c r="AY283" s="33">
        <f>ROUND(AE283-AO283,2)</f>
      </c>
      <c r="AZ283" s="33">
        <f>ROUND(MAX(0,'Your debts'!$D$22-SUM($L283:$U283)),2)</f>
      </c>
      <c r="BA283" s="33">
        <f>ROUND(SUM($B283:$K283)-SUM($AP282:$AY282),2)</f>
      </c>
      <c r="BB283" s="33">
        <f>SUM($AP283:$AY283)</f>
      </c>
      <c r="BC283" s="33">
        <f>ROUND(SUM($L283:$U283)+SUM($AF283:$AO283),2)</f>
      </c>
    </row>
    <row r="284" spans="1:55" x14ac:dyDescent="0.25">
      <c r="A284">
        <v>277</v>
      </c>
      <c r="B284" s="33">
        <f>IF(AP283&lt;=0,0,ROUND(AP283+ROUND(AP283*V$3/12,2),2))</f>
      </c>
      <c r="C284" s="33">
        <f>IF(AQ283&lt;=0,0,ROUND(AQ283+ROUND(AQ283*W$3/12,2),2))</f>
      </c>
      <c r="D284" s="33">
        <f>IF(AR283&lt;=0,0,ROUND(AR283+ROUND(AR283*X$3/12,2),2))</f>
      </c>
      <c r="E284" s="33">
        <f>IF(AS283&lt;=0,0,ROUND(AS283+ROUND(AS283*Y$3/12,2),2))</f>
      </c>
      <c r="F284" s="33">
        <f>IF(AT283&lt;=0,0,ROUND(AT283+ROUND(AT283*Z$3/12,2),2))</f>
      </c>
      <c r="G284" s="33">
        <f>IF(AU283&lt;=0,0,ROUND(AU283+ROUND(AU283*AA$3/12,2),2))</f>
      </c>
      <c r="H284" s="33">
        <f>IF(AV283&lt;=0,0,ROUND(AV283+ROUND(AV283*AB$3/12,2),2))</f>
      </c>
      <c r="I284" s="33">
        <f>IF(AW283&lt;=0,0,ROUND(AW283+ROUND(AW283*AC$3/12,2),2))</f>
      </c>
      <c r="J284" s="33">
        <f>IF(AX283&lt;=0,0,ROUND(AX283+ROUND(AX283*AD$3/12,2),2))</f>
      </c>
      <c r="K284" s="33">
        <f>IF(AY283&lt;=0,0,ROUND(AY283+ROUND(AY283*AE$3/12,2),2))</f>
      </c>
      <c r="L284" s="33">
        <f>ROUND(MIN(MAX(0,N('Your debts'!$E$6)),B284),2)</f>
      </c>
      <c r="M284" s="33">
        <f>ROUND(MIN(MAX(0,N('Your debts'!$E$7)),C284),2)</f>
      </c>
      <c r="N284" s="33">
        <f>ROUND(MIN(MAX(0,N('Your debts'!$E$8)),D284),2)</f>
      </c>
      <c r="O284" s="33">
        <f>ROUND(MIN(MAX(0,N('Your debts'!$E$9)),E284),2)</f>
      </c>
      <c r="P284" s="33">
        <f>ROUND(MIN(MAX(0,N('Your debts'!$E$10)),F284),2)</f>
      </c>
      <c r="Q284" s="33">
        <f>ROUND(MIN(MAX(0,N('Your debts'!$E$11)),G284),2)</f>
      </c>
      <c r="R284" s="33">
        <f>ROUND(MIN(MAX(0,N('Your debts'!$E$12)),H284),2)</f>
      </c>
      <c r="S284" s="33">
        <f>ROUND(MIN(MAX(0,N('Your debts'!$E$13)),I284),2)</f>
      </c>
      <c r="T284" s="33">
        <f>ROUND(MIN(MAX(0,N('Your debts'!$E$14)),J284),2)</f>
      </c>
      <c r="U284" s="33">
        <f>ROUND(MIN(MAX(0,N('Your debts'!$E$15)),K284),2)</f>
      </c>
      <c r="V284" s="33">
        <f>ROUND(B284-L284,2)</f>
      </c>
      <c r="W284" s="33">
        <f>ROUND(C284-M284,2)</f>
      </c>
      <c r="X284" s="33">
        <f>ROUND(D284-N284,2)</f>
      </c>
      <c r="Y284" s="33">
        <f>ROUND(E284-O284,2)</f>
      </c>
      <c r="Z284" s="33">
        <f>ROUND(F284-P284,2)</f>
      </c>
      <c r="AA284" s="33">
        <f>ROUND(G284-Q284,2)</f>
      </c>
      <c r="AB284" s="33">
        <f>ROUND(H284-R284,2)</f>
      </c>
      <c r="AC284" s="33">
        <f>ROUND(I284-S284,2)</f>
      </c>
      <c r="AD284" s="33">
        <f>ROUND(J284-T284,2)</f>
      </c>
      <c r="AE284" s="33">
        <f>ROUND(K284-U284,2)</f>
      </c>
      <c r="AF284" s="33">
        <f>IF(V284&lt;=0,0,MAX(0,MIN(V284,ROUND($AZ284-SUMPRODUCT($V284:$AE284*($V284:$AE284&gt;0)*(($V$3:$AE$3&gt;V$3)+($V$3:$AE$3=V$3)*($V284:$AE284&lt;V284)+($V$3:$AE$3=V$3)*($V284:$AE284=V284)*($V$2:$AE$2&lt;V$2))),2))))</f>
      </c>
      <c r="AG284" s="33">
        <f>IF(W284&lt;=0,0,MAX(0,MIN(W284,ROUND($AZ284-SUMPRODUCT($V284:$AE284*($V284:$AE284&gt;0)*(($V$3:$AE$3&gt;W$3)+($V$3:$AE$3=W$3)*($V284:$AE284&lt;W284)+($V$3:$AE$3=W$3)*($V284:$AE284=W284)*($V$2:$AE$2&lt;W$2))),2))))</f>
      </c>
      <c r="AH284" s="33">
        <f>IF(X284&lt;=0,0,MAX(0,MIN(X284,ROUND($AZ284-SUMPRODUCT($V284:$AE284*($V284:$AE284&gt;0)*(($V$3:$AE$3&gt;X$3)+($V$3:$AE$3=X$3)*($V284:$AE284&lt;X284)+($V$3:$AE$3=X$3)*($V284:$AE284=X284)*($V$2:$AE$2&lt;X$2))),2))))</f>
      </c>
      <c r="AI284" s="33">
        <f>IF(Y284&lt;=0,0,MAX(0,MIN(Y284,ROUND($AZ284-SUMPRODUCT($V284:$AE284*($V284:$AE284&gt;0)*(($V$3:$AE$3&gt;Y$3)+($V$3:$AE$3=Y$3)*($V284:$AE284&lt;Y284)+($V$3:$AE$3=Y$3)*($V284:$AE284=Y284)*($V$2:$AE$2&lt;Y$2))),2))))</f>
      </c>
      <c r="AJ284" s="33">
        <f>IF(Z284&lt;=0,0,MAX(0,MIN(Z284,ROUND($AZ284-SUMPRODUCT($V284:$AE284*($V284:$AE284&gt;0)*(($V$3:$AE$3&gt;Z$3)+($V$3:$AE$3=Z$3)*($V284:$AE284&lt;Z284)+($V$3:$AE$3=Z$3)*($V284:$AE284=Z284)*($V$2:$AE$2&lt;Z$2))),2))))</f>
      </c>
      <c r="AK284" s="33">
        <f>IF(AA284&lt;=0,0,MAX(0,MIN(AA284,ROUND($AZ284-SUMPRODUCT($V284:$AE284*($V284:$AE284&gt;0)*(($V$3:$AE$3&gt;AA$3)+($V$3:$AE$3=AA$3)*($V284:$AE284&lt;AA284)+($V$3:$AE$3=AA$3)*($V284:$AE284=AA284)*($V$2:$AE$2&lt;AA$2))),2))))</f>
      </c>
      <c r="AL284" s="33">
        <f>IF(AB284&lt;=0,0,MAX(0,MIN(AB284,ROUND($AZ284-SUMPRODUCT($V284:$AE284*($V284:$AE284&gt;0)*(($V$3:$AE$3&gt;AB$3)+($V$3:$AE$3=AB$3)*($V284:$AE284&lt;AB284)+($V$3:$AE$3=AB$3)*($V284:$AE284=AB284)*($V$2:$AE$2&lt;AB$2))),2))))</f>
      </c>
      <c r="AM284" s="33">
        <f>IF(AC284&lt;=0,0,MAX(0,MIN(AC284,ROUND($AZ284-SUMPRODUCT($V284:$AE284*($V284:$AE284&gt;0)*(($V$3:$AE$3&gt;AC$3)+($V$3:$AE$3=AC$3)*($V284:$AE284&lt;AC284)+($V$3:$AE$3=AC$3)*($V284:$AE284=AC284)*($V$2:$AE$2&lt;AC$2))),2))))</f>
      </c>
      <c r="AN284" s="33">
        <f>IF(AD284&lt;=0,0,MAX(0,MIN(AD284,ROUND($AZ284-SUMPRODUCT($V284:$AE284*($V284:$AE284&gt;0)*(($V$3:$AE$3&gt;AD$3)+($V$3:$AE$3=AD$3)*($V284:$AE284&lt;AD284)+($V$3:$AE$3=AD$3)*($V284:$AE284=AD284)*($V$2:$AE$2&lt;AD$2))),2))))</f>
      </c>
      <c r="AO284" s="33">
        <f>IF(AE284&lt;=0,0,MAX(0,MIN(AE284,ROUND($AZ284-SUMPRODUCT($V284:$AE284*($V284:$AE284&gt;0)*(($V$3:$AE$3&gt;AE$3)+($V$3:$AE$3=AE$3)*($V284:$AE284&lt;AE284)+($V$3:$AE$3=AE$3)*($V284:$AE284=AE284)*($V$2:$AE$2&lt;AE$2))),2))))</f>
      </c>
      <c r="AP284" s="33">
        <f>ROUND(V284-AF284,2)</f>
      </c>
      <c r="AQ284" s="33">
        <f>ROUND(W284-AG284,2)</f>
      </c>
      <c r="AR284" s="33">
        <f>ROUND(X284-AH284,2)</f>
      </c>
      <c r="AS284" s="33">
        <f>ROUND(Y284-AI284,2)</f>
      </c>
      <c r="AT284" s="33">
        <f>ROUND(Z284-AJ284,2)</f>
      </c>
      <c r="AU284" s="33">
        <f>ROUND(AA284-AK284,2)</f>
      </c>
      <c r="AV284" s="33">
        <f>ROUND(AB284-AL284,2)</f>
      </c>
      <c r="AW284" s="33">
        <f>ROUND(AC284-AM284,2)</f>
      </c>
      <c r="AX284" s="33">
        <f>ROUND(AD284-AN284,2)</f>
      </c>
      <c r="AY284" s="33">
        <f>ROUND(AE284-AO284,2)</f>
      </c>
      <c r="AZ284" s="33">
        <f>ROUND(MAX(0,'Your debts'!$D$22-SUM($L284:$U284)),2)</f>
      </c>
      <c r="BA284" s="33">
        <f>ROUND(SUM($B284:$K284)-SUM($AP283:$AY283),2)</f>
      </c>
      <c r="BB284" s="33">
        <f>SUM($AP284:$AY284)</f>
      </c>
      <c r="BC284" s="33">
        <f>ROUND(SUM($L284:$U284)+SUM($AF284:$AO284),2)</f>
      </c>
    </row>
    <row r="285" spans="1:55" x14ac:dyDescent="0.25">
      <c r="A285">
        <v>278</v>
      </c>
      <c r="B285" s="33">
        <f>IF(AP284&lt;=0,0,ROUND(AP284+ROUND(AP284*V$3/12,2),2))</f>
      </c>
      <c r="C285" s="33">
        <f>IF(AQ284&lt;=0,0,ROUND(AQ284+ROUND(AQ284*W$3/12,2),2))</f>
      </c>
      <c r="D285" s="33">
        <f>IF(AR284&lt;=0,0,ROUND(AR284+ROUND(AR284*X$3/12,2),2))</f>
      </c>
      <c r="E285" s="33">
        <f>IF(AS284&lt;=0,0,ROUND(AS284+ROUND(AS284*Y$3/12,2),2))</f>
      </c>
      <c r="F285" s="33">
        <f>IF(AT284&lt;=0,0,ROUND(AT284+ROUND(AT284*Z$3/12,2),2))</f>
      </c>
      <c r="G285" s="33">
        <f>IF(AU284&lt;=0,0,ROUND(AU284+ROUND(AU284*AA$3/12,2),2))</f>
      </c>
      <c r="H285" s="33">
        <f>IF(AV284&lt;=0,0,ROUND(AV284+ROUND(AV284*AB$3/12,2),2))</f>
      </c>
      <c r="I285" s="33">
        <f>IF(AW284&lt;=0,0,ROUND(AW284+ROUND(AW284*AC$3/12,2),2))</f>
      </c>
      <c r="J285" s="33">
        <f>IF(AX284&lt;=0,0,ROUND(AX284+ROUND(AX284*AD$3/12,2),2))</f>
      </c>
      <c r="K285" s="33">
        <f>IF(AY284&lt;=0,0,ROUND(AY284+ROUND(AY284*AE$3/12,2),2))</f>
      </c>
      <c r="L285" s="33">
        <f>ROUND(MIN(MAX(0,N('Your debts'!$E$6)),B285),2)</f>
      </c>
      <c r="M285" s="33">
        <f>ROUND(MIN(MAX(0,N('Your debts'!$E$7)),C285),2)</f>
      </c>
      <c r="N285" s="33">
        <f>ROUND(MIN(MAX(0,N('Your debts'!$E$8)),D285),2)</f>
      </c>
      <c r="O285" s="33">
        <f>ROUND(MIN(MAX(0,N('Your debts'!$E$9)),E285),2)</f>
      </c>
      <c r="P285" s="33">
        <f>ROUND(MIN(MAX(0,N('Your debts'!$E$10)),F285),2)</f>
      </c>
      <c r="Q285" s="33">
        <f>ROUND(MIN(MAX(0,N('Your debts'!$E$11)),G285),2)</f>
      </c>
      <c r="R285" s="33">
        <f>ROUND(MIN(MAX(0,N('Your debts'!$E$12)),H285),2)</f>
      </c>
      <c r="S285" s="33">
        <f>ROUND(MIN(MAX(0,N('Your debts'!$E$13)),I285),2)</f>
      </c>
      <c r="T285" s="33">
        <f>ROUND(MIN(MAX(0,N('Your debts'!$E$14)),J285),2)</f>
      </c>
      <c r="U285" s="33">
        <f>ROUND(MIN(MAX(0,N('Your debts'!$E$15)),K285),2)</f>
      </c>
      <c r="V285" s="33">
        <f>ROUND(B285-L285,2)</f>
      </c>
      <c r="W285" s="33">
        <f>ROUND(C285-M285,2)</f>
      </c>
      <c r="X285" s="33">
        <f>ROUND(D285-N285,2)</f>
      </c>
      <c r="Y285" s="33">
        <f>ROUND(E285-O285,2)</f>
      </c>
      <c r="Z285" s="33">
        <f>ROUND(F285-P285,2)</f>
      </c>
      <c r="AA285" s="33">
        <f>ROUND(G285-Q285,2)</f>
      </c>
      <c r="AB285" s="33">
        <f>ROUND(H285-R285,2)</f>
      </c>
      <c r="AC285" s="33">
        <f>ROUND(I285-S285,2)</f>
      </c>
      <c r="AD285" s="33">
        <f>ROUND(J285-T285,2)</f>
      </c>
      <c r="AE285" s="33">
        <f>ROUND(K285-U285,2)</f>
      </c>
      <c r="AF285" s="33">
        <f>IF(V285&lt;=0,0,MAX(0,MIN(V285,ROUND($AZ285-SUMPRODUCT($V285:$AE285*($V285:$AE285&gt;0)*(($V$3:$AE$3&gt;V$3)+($V$3:$AE$3=V$3)*($V285:$AE285&lt;V285)+($V$3:$AE$3=V$3)*($V285:$AE285=V285)*($V$2:$AE$2&lt;V$2))),2))))</f>
      </c>
      <c r="AG285" s="33">
        <f>IF(W285&lt;=0,0,MAX(0,MIN(W285,ROUND($AZ285-SUMPRODUCT($V285:$AE285*($V285:$AE285&gt;0)*(($V$3:$AE$3&gt;W$3)+($V$3:$AE$3=W$3)*($V285:$AE285&lt;W285)+($V$3:$AE$3=W$3)*($V285:$AE285=W285)*($V$2:$AE$2&lt;W$2))),2))))</f>
      </c>
      <c r="AH285" s="33">
        <f>IF(X285&lt;=0,0,MAX(0,MIN(X285,ROUND($AZ285-SUMPRODUCT($V285:$AE285*($V285:$AE285&gt;0)*(($V$3:$AE$3&gt;X$3)+($V$3:$AE$3=X$3)*($V285:$AE285&lt;X285)+($V$3:$AE$3=X$3)*($V285:$AE285=X285)*($V$2:$AE$2&lt;X$2))),2))))</f>
      </c>
      <c r="AI285" s="33">
        <f>IF(Y285&lt;=0,0,MAX(0,MIN(Y285,ROUND($AZ285-SUMPRODUCT($V285:$AE285*($V285:$AE285&gt;0)*(($V$3:$AE$3&gt;Y$3)+($V$3:$AE$3=Y$3)*($V285:$AE285&lt;Y285)+($V$3:$AE$3=Y$3)*($V285:$AE285=Y285)*($V$2:$AE$2&lt;Y$2))),2))))</f>
      </c>
      <c r="AJ285" s="33">
        <f>IF(Z285&lt;=0,0,MAX(0,MIN(Z285,ROUND($AZ285-SUMPRODUCT($V285:$AE285*($V285:$AE285&gt;0)*(($V$3:$AE$3&gt;Z$3)+($V$3:$AE$3=Z$3)*($V285:$AE285&lt;Z285)+($V$3:$AE$3=Z$3)*($V285:$AE285=Z285)*($V$2:$AE$2&lt;Z$2))),2))))</f>
      </c>
      <c r="AK285" s="33">
        <f>IF(AA285&lt;=0,0,MAX(0,MIN(AA285,ROUND($AZ285-SUMPRODUCT($V285:$AE285*($V285:$AE285&gt;0)*(($V$3:$AE$3&gt;AA$3)+($V$3:$AE$3=AA$3)*($V285:$AE285&lt;AA285)+($V$3:$AE$3=AA$3)*($V285:$AE285=AA285)*($V$2:$AE$2&lt;AA$2))),2))))</f>
      </c>
      <c r="AL285" s="33">
        <f>IF(AB285&lt;=0,0,MAX(0,MIN(AB285,ROUND($AZ285-SUMPRODUCT($V285:$AE285*($V285:$AE285&gt;0)*(($V$3:$AE$3&gt;AB$3)+($V$3:$AE$3=AB$3)*($V285:$AE285&lt;AB285)+($V$3:$AE$3=AB$3)*($V285:$AE285=AB285)*($V$2:$AE$2&lt;AB$2))),2))))</f>
      </c>
      <c r="AM285" s="33">
        <f>IF(AC285&lt;=0,0,MAX(0,MIN(AC285,ROUND($AZ285-SUMPRODUCT($V285:$AE285*($V285:$AE285&gt;0)*(($V$3:$AE$3&gt;AC$3)+($V$3:$AE$3=AC$3)*($V285:$AE285&lt;AC285)+($V$3:$AE$3=AC$3)*($V285:$AE285=AC285)*($V$2:$AE$2&lt;AC$2))),2))))</f>
      </c>
      <c r="AN285" s="33">
        <f>IF(AD285&lt;=0,0,MAX(0,MIN(AD285,ROUND($AZ285-SUMPRODUCT($V285:$AE285*($V285:$AE285&gt;0)*(($V$3:$AE$3&gt;AD$3)+($V$3:$AE$3=AD$3)*($V285:$AE285&lt;AD285)+($V$3:$AE$3=AD$3)*($V285:$AE285=AD285)*($V$2:$AE$2&lt;AD$2))),2))))</f>
      </c>
      <c r="AO285" s="33">
        <f>IF(AE285&lt;=0,0,MAX(0,MIN(AE285,ROUND($AZ285-SUMPRODUCT($V285:$AE285*($V285:$AE285&gt;0)*(($V$3:$AE$3&gt;AE$3)+($V$3:$AE$3=AE$3)*($V285:$AE285&lt;AE285)+($V$3:$AE$3=AE$3)*($V285:$AE285=AE285)*($V$2:$AE$2&lt;AE$2))),2))))</f>
      </c>
      <c r="AP285" s="33">
        <f>ROUND(V285-AF285,2)</f>
      </c>
      <c r="AQ285" s="33">
        <f>ROUND(W285-AG285,2)</f>
      </c>
      <c r="AR285" s="33">
        <f>ROUND(X285-AH285,2)</f>
      </c>
      <c r="AS285" s="33">
        <f>ROUND(Y285-AI285,2)</f>
      </c>
      <c r="AT285" s="33">
        <f>ROUND(Z285-AJ285,2)</f>
      </c>
      <c r="AU285" s="33">
        <f>ROUND(AA285-AK285,2)</f>
      </c>
      <c r="AV285" s="33">
        <f>ROUND(AB285-AL285,2)</f>
      </c>
      <c r="AW285" s="33">
        <f>ROUND(AC285-AM285,2)</f>
      </c>
      <c r="AX285" s="33">
        <f>ROUND(AD285-AN285,2)</f>
      </c>
      <c r="AY285" s="33">
        <f>ROUND(AE285-AO285,2)</f>
      </c>
      <c r="AZ285" s="33">
        <f>ROUND(MAX(0,'Your debts'!$D$22-SUM($L285:$U285)),2)</f>
      </c>
      <c r="BA285" s="33">
        <f>ROUND(SUM($B285:$K285)-SUM($AP284:$AY284),2)</f>
      </c>
      <c r="BB285" s="33">
        <f>SUM($AP285:$AY285)</f>
      </c>
      <c r="BC285" s="33">
        <f>ROUND(SUM($L285:$U285)+SUM($AF285:$AO285),2)</f>
      </c>
    </row>
    <row r="286" spans="1:55" x14ac:dyDescent="0.25">
      <c r="A286">
        <v>279</v>
      </c>
      <c r="B286" s="33">
        <f>IF(AP285&lt;=0,0,ROUND(AP285+ROUND(AP285*V$3/12,2),2))</f>
      </c>
      <c r="C286" s="33">
        <f>IF(AQ285&lt;=0,0,ROUND(AQ285+ROUND(AQ285*W$3/12,2),2))</f>
      </c>
      <c r="D286" s="33">
        <f>IF(AR285&lt;=0,0,ROUND(AR285+ROUND(AR285*X$3/12,2),2))</f>
      </c>
      <c r="E286" s="33">
        <f>IF(AS285&lt;=0,0,ROUND(AS285+ROUND(AS285*Y$3/12,2),2))</f>
      </c>
      <c r="F286" s="33">
        <f>IF(AT285&lt;=0,0,ROUND(AT285+ROUND(AT285*Z$3/12,2),2))</f>
      </c>
      <c r="G286" s="33">
        <f>IF(AU285&lt;=0,0,ROUND(AU285+ROUND(AU285*AA$3/12,2),2))</f>
      </c>
      <c r="H286" s="33">
        <f>IF(AV285&lt;=0,0,ROUND(AV285+ROUND(AV285*AB$3/12,2),2))</f>
      </c>
      <c r="I286" s="33">
        <f>IF(AW285&lt;=0,0,ROUND(AW285+ROUND(AW285*AC$3/12,2),2))</f>
      </c>
      <c r="J286" s="33">
        <f>IF(AX285&lt;=0,0,ROUND(AX285+ROUND(AX285*AD$3/12,2),2))</f>
      </c>
      <c r="K286" s="33">
        <f>IF(AY285&lt;=0,0,ROUND(AY285+ROUND(AY285*AE$3/12,2),2))</f>
      </c>
      <c r="L286" s="33">
        <f>ROUND(MIN(MAX(0,N('Your debts'!$E$6)),B286),2)</f>
      </c>
      <c r="M286" s="33">
        <f>ROUND(MIN(MAX(0,N('Your debts'!$E$7)),C286),2)</f>
      </c>
      <c r="N286" s="33">
        <f>ROUND(MIN(MAX(0,N('Your debts'!$E$8)),D286),2)</f>
      </c>
      <c r="O286" s="33">
        <f>ROUND(MIN(MAX(0,N('Your debts'!$E$9)),E286),2)</f>
      </c>
      <c r="P286" s="33">
        <f>ROUND(MIN(MAX(0,N('Your debts'!$E$10)),F286),2)</f>
      </c>
      <c r="Q286" s="33">
        <f>ROUND(MIN(MAX(0,N('Your debts'!$E$11)),G286),2)</f>
      </c>
      <c r="R286" s="33">
        <f>ROUND(MIN(MAX(0,N('Your debts'!$E$12)),H286),2)</f>
      </c>
      <c r="S286" s="33">
        <f>ROUND(MIN(MAX(0,N('Your debts'!$E$13)),I286),2)</f>
      </c>
      <c r="T286" s="33">
        <f>ROUND(MIN(MAX(0,N('Your debts'!$E$14)),J286),2)</f>
      </c>
      <c r="U286" s="33">
        <f>ROUND(MIN(MAX(0,N('Your debts'!$E$15)),K286),2)</f>
      </c>
      <c r="V286" s="33">
        <f>ROUND(B286-L286,2)</f>
      </c>
      <c r="W286" s="33">
        <f>ROUND(C286-M286,2)</f>
      </c>
      <c r="X286" s="33">
        <f>ROUND(D286-N286,2)</f>
      </c>
      <c r="Y286" s="33">
        <f>ROUND(E286-O286,2)</f>
      </c>
      <c r="Z286" s="33">
        <f>ROUND(F286-P286,2)</f>
      </c>
      <c r="AA286" s="33">
        <f>ROUND(G286-Q286,2)</f>
      </c>
      <c r="AB286" s="33">
        <f>ROUND(H286-R286,2)</f>
      </c>
      <c r="AC286" s="33">
        <f>ROUND(I286-S286,2)</f>
      </c>
      <c r="AD286" s="33">
        <f>ROUND(J286-T286,2)</f>
      </c>
      <c r="AE286" s="33">
        <f>ROUND(K286-U286,2)</f>
      </c>
      <c r="AF286" s="33">
        <f>IF(V286&lt;=0,0,MAX(0,MIN(V286,ROUND($AZ286-SUMPRODUCT($V286:$AE286*($V286:$AE286&gt;0)*(($V$3:$AE$3&gt;V$3)+($V$3:$AE$3=V$3)*($V286:$AE286&lt;V286)+($V$3:$AE$3=V$3)*($V286:$AE286=V286)*($V$2:$AE$2&lt;V$2))),2))))</f>
      </c>
      <c r="AG286" s="33">
        <f>IF(W286&lt;=0,0,MAX(0,MIN(W286,ROUND($AZ286-SUMPRODUCT($V286:$AE286*($V286:$AE286&gt;0)*(($V$3:$AE$3&gt;W$3)+($V$3:$AE$3=W$3)*($V286:$AE286&lt;W286)+($V$3:$AE$3=W$3)*($V286:$AE286=W286)*($V$2:$AE$2&lt;W$2))),2))))</f>
      </c>
      <c r="AH286" s="33">
        <f>IF(X286&lt;=0,0,MAX(0,MIN(X286,ROUND($AZ286-SUMPRODUCT($V286:$AE286*($V286:$AE286&gt;0)*(($V$3:$AE$3&gt;X$3)+($V$3:$AE$3=X$3)*($V286:$AE286&lt;X286)+($V$3:$AE$3=X$3)*($V286:$AE286=X286)*($V$2:$AE$2&lt;X$2))),2))))</f>
      </c>
      <c r="AI286" s="33">
        <f>IF(Y286&lt;=0,0,MAX(0,MIN(Y286,ROUND($AZ286-SUMPRODUCT($V286:$AE286*($V286:$AE286&gt;0)*(($V$3:$AE$3&gt;Y$3)+($V$3:$AE$3=Y$3)*($V286:$AE286&lt;Y286)+($V$3:$AE$3=Y$3)*($V286:$AE286=Y286)*($V$2:$AE$2&lt;Y$2))),2))))</f>
      </c>
      <c r="AJ286" s="33">
        <f>IF(Z286&lt;=0,0,MAX(0,MIN(Z286,ROUND($AZ286-SUMPRODUCT($V286:$AE286*($V286:$AE286&gt;0)*(($V$3:$AE$3&gt;Z$3)+($V$3:$AE$3=Z$3)*($V286:$AE286&lt;Z286)+($V$3:$AE$3=Z$3)*($V286:$AE286=Z286)*($V$2:$AE$2&lt;Z$2))),2))))</f>
      </c>
      <c r="AK286" s="33">
        <f>IF(AA286&lt;=0,0,MAX(0,MIN(AA286,ROUND($AZ286-SUMPRODUCT($V286:$AE286*($V286:$AE286&gt;0)*(($V$3:$AE$3&gt;AA$3)+($V$3:$AE$3=AA$3)*($V286:$AE286&lt;AA286)+($V$3:$AE$3=AA$3)*($V286:$AE286=AA286)*($V$2:$AE$2&lt;AA$2))),2))))</f>
      </c>
      <c r="AL286" s="33">
        <f>IF(AB286&lt;=0,0,MAX(0,MIN(AB286,ROUND($AZ286-SUMPRODUCT($V286:$AE286*($V286:$AE286&gt;0)*(($V$3:$AE$3&gt;AB$3)+($V$3:$AE$3=AB$3)*($V286:$AE286&lt;AB286)+($V$3:$AE$3=AB$3)*($V286:$AE286=AB286)*($V$2:$AE$2&lt;AB$2))),2))))</f>
      </c>
      <c r="AM286" s="33">
        <f>IF(AC286&lt;=0,0,MAX(0,MIN(AC286,ROUND($AZ286-SUMPRODUCT($V286:$AE286*($V286:$AE286&gt;0)*(($V$3:$AE$3&gt;AC$3)+($V$3:$AE$3=AC$3)*($V286:$AE286&lt;AC286)+($V$3:$AE$3=AC$3)*($V286:$AE286=AC286)*($V$2:$AE$2&lt;AC$2))),2))))</f>
      </c>
      <c r="AN286" s="33">
        <f>IF(AD286&lt;=0,0,MAX(0,MIN(AD286,ROUND($AZ286-SUMPRODUCT($V286:$AE286*($V286:$AE286&gt;0)*(($V$3:$AE$3&gt;AD$3)+($V$3:$AE$3=AD$3)*($V286:$AE286&lt;AD286)+($V$3:$AE$3=AD$3)*($V286:$AE286=AD286)*($V$2:$AE$2&lt;AD$2))),2))))</f>
      </c>
      <c r="AO286" s="33">
        <f>IF(AE286&lt;=0,0,MAX(0,MIN(AE286,ROUND($AZ286-SUMPRODUCT($V286:$AE286*($V286:$AE286&gt;0)*(($V$3:$AE$3&gt;AE$3)+($V$3:$AE$3=AE$3)*($V286:$AE286&lt;AE286)+($V$3:$AE$3=AE$3)*($V286:$AE286=AE286)*($V$2:$AE$2&lt;AE$2))),2))))</f>
      </c>
      <c r="AP286" s="33">
        <f>ROUND(V286-AF286,2)</f>
      </c>
      <c r="AQ286" s="33">
        <f>ROUND(W286-AG286,2)</f>
      </c>
      <c r="AR286" s="33">
        <f>ROUND(X286-AH286,2)</f>
      </c>
      <c r="AS286" s="33">
        <f>ROUND(Y286-AI286,2)</f>
      </c>
      <c r="AT286" s="33">
        <f>ROUND(Z286-AJ286,2)</f>
      </c>
      <c r="AU286" s="33">
        <f>ROUND(AA286-AK286,2)</f>
      </c>
      <c r="AV286" s="33">
        <f>ROUND(AB286-AL286,2)</f>
      </c>
      <c r="AW286" s="33">
        <f>ROUND(AC286-AM286,2)</f>
      </c>
      <c r="AX286" s="33">
        <f>ROUND(AD286-AN286,2)</f>
      </c>
      <c r="AY286" s="33">
        <f>ROUND(AE286-AO286,2)</f>
      </c>
      <c r="AZ286" s="33">
        <f>ROUND(MAX(0,'Your debts'!$D$22-SUM($L286:$U286)),2)</f>
      </c>
      <c r="BA286" s="33">
        <f>ROUND(SUM($B286:$K286)-SUM($AP285:$AY285),2)</f>
      </c>
      <c r="BB286" s="33">
        <f>SUM($AP286:$AY286)</f>
      </c>
      <c r="BC286" s="33">
        <f>ROUND(SUM($L286:$U286)+SUM($AF286:$AO286),2)</f>
      </c>
    </row>
    <row r="287" spans="1:55" x14ac:dyDescent="0.25">
      <c r="A287">
        <v>280</v>
      </c>
      <c r="B287" s="33">
        <f>IF(AP286&lt;=0,0,ROUND(AP286+ROUND(AP286*V$3/12,2),2))</f>
      </c>
      <c r="C287" s="33">
        <f>IF(AQ286&lt;=0,0,ROUND(AQ286+ROUND(AQ286*W$3/12,2),2))</f>
      </c>
      <c r="D287" s="33">
        <f>IF(AR286&lt;=0,0,ROUND(AR286+ROUND(AR286*X$3/12,2),2))</f>
      </c>
      <c r="E287" s="33">
        <f>IF(AS286&lt;=0,0,ROUND(AS286+ROUND(AS286*Y$3/12,2),2))</f>
      </c>
      <c r="F287" s="33">
        <f>IF(AT286&lt;=0,0,ROUND(AT286+ROUND(AT286*Z$3/12,2),2))</f>
      </c>
      <c r="G287" s="33">
        <f>IF(AU286&lt;=0,0,ROUND(AU286+ROUND(AU286*AA$3/12,2),2))</f>
      </c>
      <c r="H287" s="33">
        <f>IF(AV286&lt;=0,0,ROUND(AV286+ROUND(AV286*AB$3/12,2),2))</f>
      </c>
      <c r="I287" s="33">
        <f>IF(AW286&lt;=0,0,ROUND(AW286+ROUND(AW286*AC$3/12,2),2))</f>
      </c>
      <c r="J287" s="33">
        <f>IF(AX286&lt;=0,0,ROUND(AX286+ROUND(AX286*AD$3/12,2),2))</f>
      </c>
      <c r="K287" s="33">
        <f>IF(AY286&lt;=0,0,ROUND(AY286+ROUND(AY286*AE$3/12,2),2))</f>
      </c>
      <c r="L287" s="33">
        <f>ROUND(MIN(MAX(0,N('Your debts'!$E$6)),B287),2)</f>
      </c>
      <c r="M287" s="33">
        <f>ROUND(MIN(MAX(0,N('Your debts'!$E$7)),C287),2)</f>
      </c>
      <c r="N287" s="33">
        <f>ROUND(MIN(MAX(0,N('Your debts'!$E$8)),D287),2)</f>
      </c>
      <c r="O287" s="33">
        <f>ROUND(MIN(MAX(0,N('Your debts'!$E$9)),E287),2)</f>
      </c>
      <c r="P287" s="33">
        <f>ROUND(MIN(MAX(0,N('Your debts'!$E$10)),F287),2)</f>
      </c>
      <c r="Q287" s="33">
        <f>ROUND(MIN(MAX(0,N('Your debts'!$E$11)),G287),2)</f>
      </c>
      <c r="R287" s="33">
        <f>ROUND(MIN(MAX(0,N('Your debts'!$E$12)),H287),2)</f>
      </c>
      <c r="S287" s="33">
        <f>ROUND(MIN(MAX(0,N('Your debts'!$E$13)),I287),2)</f>
      </c>
      <c r="T287" s="33">
        <f>ROUND(MIN(MAX(0,N('Your debts'!$E$14)),J287),2)</f>
      </c>
      <c r="U287" s="33">
        <f>ROUND(MIN(MAX(0,N('Your debts'!$E$15)),K287),2)</f>
      </c>
      <c r="V287" s="33">
        <f>ROUND(B287-L287,2)</f>
      </c>
      <c r="W287" s="33">
        <f>ROUND(C287-M287,2)</f>
      </c>
      <c r="X287" s="33">
        <f>ROUND(D287-N287,2)</f>
      </c>
      <c r="Y287" s="33">
        <f>ROUND(E287-O287,2)</f>
      </c>
      <c r="Z287" s="33">
        <f>ROUND(F287-P287,2)</f>
      </c>
      <c r="AA287" s="33">
        <f>ROUND(G287-Q287,2)</f>
      </c>
      <c r="AB287" s="33">
        <f>ROUND(H287-R287,2)</f>
      </c>
      <c r="AC287" s="33">
        <f>ROUND(I287-S287,2)</f>
      </c>
      <c r="AD287" s="33">
        <f>ROUND(J287-T287,2)</f>
      </c>
      <c r="AE287" s="33">
        <f>ROUND(K287-U287,2)</f>
      </c>
      <c r="AF287" s="33">
        <f>IF(V287&lt;=0,0,MAX(0,MIN(V287,ROUND($AZ287-SUMPRODUCT($V287:$AE287*($V287:$AE287&gt;0)*(($V$3:$AE$3&gt;V$3)+($V$3:$AE$3=V$3)*($V287:$AE287&lt;V287)+($V$3:$AE$3=V$3)*($V287:$AE287=V287)*($V$2:$AE$2&lt;V$2))),2))))</f>
      </c>
      <c r="AG287" s="33">
        <f>IF(W287&lt;=0,0,MAX(0,MIN(W287,ROUND($AZ287-SUMPRODUCT($V287:$AE287*($V287:$AE287&gt;0)*(($V$3:$AE$3&gt;W$3)+($V$3:$AE$3=W$3)*($V287:$AE287&lt;W287)+($V$3:$AE$3=W$3)*($V287:$AE287=W287)*($V$2:$AE$2&lt;W$2))),2))))</f>
      </c>
      <c r="AH287" s="33">
        <f>IF(X287&lt;=0,0,MAX(0,MIN(X287,ROUND($AZ287-SUMPRODUCT($V287:$AE287*($V287:$AE287&gt;0)*(($V$3:$AE$3&gt;X$3)+($V$3:$AE$3=X$3)*($V287:$AE287&lt;X287)+($V$3:$AE$3=X$3)*($V287:$AE287=X287)*($V$2:$AE$2&lt;X$2))),2))))</f>
      </c>
      <c r="AI287" s="33">
        <f>IF(Y287&lt;=0,0,MAX(0,MIN(Y287,ROUND($AZ287-SUMPRODUCT($V287:$AE287*($V287:$AE287&gt;0)*(($V$3:$AE$3&gt;Y$3)+($V$3:$AE$3=Y$3)*($V287:$AE287&lt;Y287)+($V$3:$AE$3=Y$3)*($V287:$AE287=Y287)*($V$2:$AE$2&lt;Y$2))),2))))</f>
      </c>
      <c r="AJ287" s="33">
        <f>IF(Z287&lt;=0,0,MAX(0,MIN(Z287,ROUND($AZ287-SUMPRODUCT($V287:$AE287*($V287:$AE287&gt;0)*(($V$3:$AE$3&gt;Z$3)+($V$3:$AE$3=Z$3)*($V287:$AE287&lt;Z287)+($V$3:$AE$3=Z$3)*($V287:$AE287=Z287)*($V$2:$AE$2&lt;Z$2))),2))))</f>
      </c>
      <c r="AK287" s="33">
        <f>IF(AA287&lt;=0,0,MAX(0,MIN(AA287,ROUND($AZ287-SUMPRODUCT($V287:$AE287*($V287:$AE287&gt;0)*(($V$3:$AE$3&gt;AA$3)+($V$3:$AE$3=AA$3)*($V287:$AE287&lt;AA287)+($V$3:$AE$3=AA$3)*($V287:$AE287=AA287)*($V$2:$AE$2&lt;AA$2))),2))))</f>
      </c>
      <c r="AL287" s="33">
        <f>IF(AB287&lt;=0,0,MAX(0,MIN(AB287,ROUND($AZ287-SUMPRODUCT($V287:$AE287*($V287:$AE287&gt;0)*(($V$3:$AE$3&gt;AB$3)+($V$3:$AE$3=AB$3)*($V287:$AE287&lt;AB287)+($V$3:$AE$3=AB$3)*($V287:$AE287=AB287)*($V$2:$AE$2&lt;AB$2))),2))))</f>
      </c>
      <c r="AM287" s="33">
        <f>IF(AC287&lt;=0,0,MAX(0,MIN(AC287,ROUND($AZ287-SUMPRODUCT($V287:$AE287*($V287:$AE287&gt;0)*(($V$3:$AE$3&gt;AC$3)+($V$3:$AE$3=AC$3)*($V287:$AE287&lt;AC287)+($V$3:$AE$3=AC$3)*($V287:$AE287=AC287)*($V$2:$AE$2&lt;AC$2))),2))))</f>
      </c>
      <c r="AN287" s="33">
        <f>IF(AD287&lt;=0,0,MAX(0,MIN(AD287,ROUND($AZ287-SUMPRODUCT($V287:$AE287*($V287:$AE287&gt;0)*(($V$3:$AE$3&gt;AD$3)+($V$3:$AE$3=AD$3)*($V287:$AE287&lt;AD287)+($V$3:$AE$3=AD$3)*($V287:$AE287=AD287)*($V$2:$AE$2&lt;AD$2))),2))))</f>
      </c>
      <c r="AO287" s="33">
        <f>IF(AE287&lt;=0,0,MAX(0,MIN(AE287,ROUND($AZ287-SUMPRODUCT($V287:$AE287*($V287:$AE287&gt;0)*(($V$3:$AE$3&gt;AE$3)+($V$3:$AE$3=AE$3)*($V287:$AE287&lt;AE287)+($V$3:$AE$3=AE$3)*($V287:$AE287=AE287)*($V$2:$AE$2&lt;AE$2))),2))))</f>
      </c>
      <c r="AP287" s="33">
        <f>ROUND(V287-AF287,2)</f>
      </c>
      <c r="AQ287" s="33">
        <f>ROUND(W287-AG287,2)</f>
      </c>
      <c r="AR287" s="33">
        <f>ROUND(X287-AH287,2)</f>
      </c>
      <c r="AS287" s="33">
        <f>ROUND(Y287-AI287,2)</f>
      </c>
      <c r="AT287" s="33">
        <f>ROUND(Z287-AJ287,2)</f>
      </c>
      <c r="AU287" s="33">
        <f>ROUND(AA287-AK287,2)</f>
      </c>
      <c r="AV287" s="33">
        <f>ROUND(AB287-AL287,2)</f>
      </c>
      <c r="AW287" s="33">
        <f>ROUND(AC287-AM287,2)</f>
      </c>
      <c r="AX287" s="33">
        <f>ROUND(AD287-AN287,2)</f>
      </c>
      <c r="AY287" s="33">
        <f>ROUND(AE287-AO287,2)</f>
      </c>
      <c r="AZ287" s="33">
        <f>ROUND(MAX(0,'Your debts'!$D$22-SUM($L287:$U287)),2)</f>
      </c>
      <c r="BA287" s="33">
        <f>ROUND(SUM($B287:$K287)-SUM($AP286:$AY286),2)</f>
      </c>
      <c r="BB287" s="33">
        <f>SUM($AP287:$AY287)</f>
      </c>
      <c r="BC287" s="33">
        <f>ROUND(SUM($L287:$U287)+SUM($AF287:$AO287),2)</f>
      </c>
    </row>
    <row r="288" spans="1:55" x14ac:dyDescent="0.25">
      <c r="A288">
        <v>281</v>
      </c>
      <c r="B288" s="33">
        <f>IF(AP287&lt;=0,0,ROUND(AP287+ROUND(AP287*V$3/12,2),2))</f>
      </c>
      <c r="C288" s="33">
        <f>IF(AQ287&lt;=0,0,ROUND(AQ287+ROUND(AQ287*W$3/12,2),2))</f>
      </c>
      <c r="D288" s="33">
        <f>IF(AR287&lt;=0,0,ROUND(AR287+ROUND(AR287*X$3/12,2),2))</f>
      </c>
      <c r="E288" s="33">
        <f>IF(AS287&lt;=0,0,ROUND(AS287+ROUND(AS287*Y$3/12,2),2))</f>
      </c>
      <c r="F288" s="33">
        <f>IF(AT287&lt;=0,0,ROUND(AT287+ROUND(AT287*Z$3/12,2),2))</f>
      </c>
      <c r="G288" s="33">
        <f>IF(AU287&lt;=0,0,ROUND(AU287+ROUND(AU287*AA$3/12,2),2))</f>
      </c>
      <c r="H288" s="33">
        <f>IF(AV287&lt;=0,0,ROUND(AV287+ROUND(AV287*AB$3/12,2),2))</f>
      </c>
      <c r="I288" s="33">
        <f>IF(AW287&lt;=0,0,ROUND(AW287+ROUND(AW287*AC$3/12,2),2))</f>
      </c>
      <c r="J288" s="33">
        <f>IF(AX287&lt;=0,0,ROUND(AX287+ROUND(AX287*AD$3/12,2),2))</f>
      </c>
      <c r="K288" s="33">
        <f>IF(AY287&lt;=0,0,ROUND(AY287+ROUND(AY287*AE$3/12,2),2))</f>
      </c>
      <c r="L288" s="33">
        <f>ROUND(MIN(MAX(0,N('Your debts'!$E$6)),B288),2)</f>
      </c>
      <c r="M288" s="33">
        <f>ROUND(MIN(MAX(0,N('Your debts'!$E$7)),C288),2)</f>
      </c>
      <c r="N288" s="33">
        <f>ROUND(MIN(MAX(0,N('Your debts'!$E$8)),D288),2)</f>
      </c>
      <c r="O288" s="33">
        <f>ROUND(MIN(MAX(0,N('Your debts'!$E$9)),E288),2)</f>
      </c>
      <c r="P288" s="33">
        <f>ROUND(MIN(MAX(0,N('Your debts'!$E$10)),F288),2)</f>
      </c>
      <c r="Q288" s="33">
        <f>ROUND(MIN(MAX(0,N('Your debts'!$E$11)),G288),2)</f>
      </c>
      <c r="R288" s="33">
        <f>ROUND(MIN(MAX(0,N('Your debts'!$E$12)),H288),2)</f>
      </c>
      <c r="S288" s="33">
        <f>ROUND(MIN(MAX(0,N('Your debts'!$E$13)),I288),2)</f>
      </c>
      <c r="T288" s="33">
        <f>ROUND(MIN(MAX(0,N('Your debts'!$E$14)),J288),2)</f>
      </c>
      <c r="U288" s="33">
        <f>ROUND(MIN(MAX(0,N('Your debts'!$E$15)),K288),2)</f>
      </c>
      <c r="V288" s="33">
        <f>ROUND(B288-L288,2)</f>
      </c>
      <c r="W288" s="33">
        <f>ROUND(C288-M288,2)</f>
      </c>
      <c r="X288" s="33">
        <f>ROUND(D288-N288,2)</f>
      </c>
      <c r="Y288" s="33">
        <f>ROUND(E288-O288,2)</f>
      </c>
      <c r="Z288" s="33">
        <f>ROUND(F288-P288,2)</f>
      </c>
      <c r="AA288" s="33">
        <f>ROUND(G288-Q288,2)</f>
      </c>
      <c r="AB288" s="33">
        <f>ROUND(H288-R288,2)</f>
      </c>
      <c r="AC288" s="33">
        <f>ROUND(I288-S288,2)</f>
      </c>
      <c r="AD288" s="33">
        <f>ROUND(J288-T288,2)</f>
      </c>
      <c r="AE288" s="33">
        <f>ROUND(K288-U288,2)</f>
      </c>
      <c r="AF288" s="33">
        <f>IF(V288&lt;=0,0,MAX(0,MIN(V288,ROUND($AZ288-SUMPRODUCT($V288:$AE288*($V288:$AE288&gt;0)*(($V$3:$AE$3&gt;V$3)+($V$3:$AE$3=V$3)*($V288:$AE288&lt;V288)+($V$3:$AE$3=V$3)*($V288:$AE288=V288)*($V$2:$AE$2&lt;V$2))),2))))</f>
      </c>
      <c r="AG288" s="33">
        <f>IF(W288&lt;=0,0,MAX(0,MIN(W288,ROUND($AZ288-SUMPRODUCT($V288:$AE288*($V288:$AE288&gt;0)*(($V$3:$AE$3&gt;W$3)+($V$3:$AE$3=W$3)*($V288:$AE288&lt;W288)+($V$3:$AE$3=W$3)*($V288:$AE288=W288)*($V$2:$AE$2&lt;W$2))),2))))</f>
      </c>
      <c r="AH288" s="33">
        <f>IF(X288&lt;=0,0,MAX(0,MIN(X288,ROUND($AZ288-SUMPRODUCT($V288:$AE288*($V288:$AE288&gt;0)*(($V$3:$AE$3&gt;X$3)+($V$3:$AE$3=X$3)*($V288:$AE288&lt;X288)+($V$3:$AE$3=X$3)*($V288:$AE288=X288)*($V$2:$AE$2&lt;X$2))),2))))</f>
      </c>
      <c r="AI288" s="33">
        <f>IF(Y288&lt;=0,0,MAX(0,MIN(Y288,ROUND($AZ288-SUMPRODUCT($V288:$AE288*($V288:$AE288&gt;0)*(($V$3:$AE$3&gt;Y$3)+($V$3:$AE$3=Y$3)*($V288:$AE288&lt;Y288)+($V$3:$AE$3=Y$3)*($V288:$AE288=Y288)*($V$2:$AE$2&lt;Y$2))),2))))</f>
      </c>
      <c r="AJ288" s="33">
        <f>IF(Z288&lt;=0,0,MAX(0,MIN(Z288,ROUND($AZ288-SUMPRODUCT($V288:$AE288*($V288:$AE288&gt;0)*(($V$3:$AE$3&gt;Z$3)+($V$3:$AE$3=Z$3)*($V288:$AE288&lt;Z288)+($V$3:$AE$3=Z$3)*($V288:$AE288=Z288)*($V$2:$AE$2&lt;Z$2))),2))))</f>
      </c>
      <c r="AK288" s="33">
        <f>IF(AA288&lt;=0,0,MAX(0,MIN(AA288,ROUND($AZ288-SUMPRODUCT($V288:$AE288*($V288:$AE288&gt;0)*(($V$3:$AE$3&gt;AA$3)+($V$3:$AE$3=AA$3)*($V288:$AE288&lt;AA288)+($V$3:$AE$3=AA$3)*($V288:$AE288=AA288)*($V$2:$AE$2&lt;AA$2))),2))))</f>
      </c>
      <c r="AL288" s="33">
        <f>IF(AB288&lt;=0,0,MAX(0,MIN(AB288,ROUND($AZ288-SUMPRODUCT($V288:$AE288*($V288:$AE288&gt;0)*(($V$3:$AE$3&gt;AB$3)+($V$3:$AE$3=AB$3)*($V288:$AE288&lt;AB288)+($V$3:$AE$3=AB$3)*($V288:$AE288=AB288)*($V$2:$AE$2&lt;AB$2))),2))))</f>
      </c>
      <c r="AM288" s="33">
        <f>IF(AC288&lt;=0,0,MAX(0,MIN(AC288,ROUND($AZ288-SUMPRODUCT($V288:$AE288*($V288:$AE288&gt;0)*(($V$3:$AE$3&gt;AC$3)+($V$3:$AE$3=AC$3)*($V288:$AE288&lt;AC288)+($V$3:$AE$3=AC$3)*($V288:$AE288=AC288)*($V$2:$AE$2&lt;AC$2))),2))))</f>
      </c>
      <c r="AN288" s="33">
        <f>IF(AD288&lt;=0,0,MAX(0,MIN(AD288,ROUND($AZ288-SUMPRODUCT($V288:$AE288*($V288:$AE288&gt;0)*(($V$3:$AE$3&gt;AD$3)+($V$3:$AE$3=AD$3)*($V288:$AE288&lt;AD288)+($V$3:$AE$3=AD$3)*($V288:$AE288=AD288)*($V$2:$AE$2&lt;AD$2))),2))))</f>
      </c>
      <c r="AO288" s="33">
        <f>IF(AE288&lt;=0,0,MAX(0,MIN(AE288,ROUND($AZ288-SUMPRODUCT($V288:$AE288*($V288:$AE288&gt;0)*(($V$3:$AE$3&gt;AE$3)+($V$3:$AE$3=AE$3)*($V288:$AE288&lt;AE288)+($V$3:$AE$3=AE$3)*($V288:$AE288=AE288)*($V$2:$AE$2&lt;AE$2))),2))))</f>
      </c>
      <c r="AP288" s="33">
        <f>ROUND(V288-AF288,2)</f>
      </c>
      <c r="AQ288" s="33">
        <f>ROUND(W288-AG288,2)</f>
      </c>
      <c r="AR288" s="33">
        <f>ROUND(X288-AH288,2)</f>
      </c>
      <c r="AS288" s="33">
        <f>ROUND(Y288-AI288,2)</f>
      </c>
      <c r="AT288" s="33">
        <f>ROUND(Z288-AJ288,2)</f>
      </c>
      <c r="AU288" s="33">
        <f>ROUND(AA288-AK288,2)</f>
      </c>
      <c r="AV288" s="33">
        <f>ROUND(AB288-AL288,2)</f>
      </c>
      <c r="AW288" s="33">
        <f>ROUND(AC288-AM288,2)</f>
      </c>
      <c r="AX288" s="33">
        <f>ROUND(AD288-AN288,2)</f>
      </c>
      <c r="AY288" s="33">
        <f>ROUND(AE288-AO288,2)</f>
      </c>
      <c r="AZ288" s="33">
        <f>ROUND(MAX(0,'Your debts'!$D$22-SUM($L288:$U288)),2)</f>
      </c>
      <c r="BA288" s="33">
        <f>ROUND(SUM($B288:$K288)-SUM($AP287:$AY287),2)</f>
      </c>
      <c r="BB288" s="33">
        <f>SUM($AP288:$AY288)</f>
      </c>
      <c r="BC288" s="33">
        <f>ROUND(SUM($L288:$U288)+SUM($AF288:$AO288),2)</f>
      </c>
    </row>
    <row r="289" spans="1:55" x14ac:dyDescent="0.25">
      <c r="A289">
        <v>282</v>
      </c>
      <c r="B289" s="33">
        <f>IF(AP288&lt;=0,0,ROUND(AP288+ROUND(AP288*V$3/12,2),2))</f>
      </c>
      <c r="C289" s="33">
        <f>IF(AQ288&lt;=0,0,ROUND(AQ288+ROUND(AQ288*W$3/12,2),2))</f>
      </c>
      <c r="D289" s="33">
        <f>IF(AR288&lt;=0,0,ROUND(AR288+ROUND(AR288*X$3/12,2),2))</f>
      </c>
      <c r="E289" s="33">
        <f>IF(AS288&lt;=0,0,ROUND(AS288+ROUND(AS288*Y$3/12,2),2))</f>
      </c>
      <c r="F289" s="33">
        <f>IF(AT288&lt;=0,0,ROUND(AT288+ROUND(AT288*Z$3/12,2),2))</f>
      </c>
      <c r="G289" s="33">
        <f>IF(AU288&lt;=0,0,ROUND(AU288+ROUND(AU288*AA$3/12,2),2))</f>
      </c>
      <c r="H289" s="33">
        <f>IF(AV288&lt;=0,0,ROUND(AV288+ROUND(AV288*AB$3/12,2),2))</f>
      </c>
      <c r="I289" s="33">
        <f>IF(AW288&lt;=0,0,ROUND(AW288+ROUND(AW288*AC$3/12,2),2))</f>
      </c>
      <c r="J289" s="33">
        <f>IF(AX288&lt;=0,0,ROUND(AX288+ROUND(AX288*AD$3/12,2),2))</f>
      </c>
      <c r="K289" s="33">
        <f>IF(AY288&lt;=0,0,ROUND(AY288+ROUND(AY288*AE$3/12,2),2))</f>
      </c>
      <c r="L289" s="33">
        <f>ROUND(MIN(MAX(0,N('Your debts'!$E$6)),B289),2)</f>
      </c>
      <c r="M289" s="33">
        <f>ROUND(MIN(MAX(0,N('Your debts'!$E$7)),C289),2)</f>
      </c>
      <c r="N289" s="33">
        <f>ROUND(MIN(MAX(0,N('Your debts'!$E$8)),D289),2)</f>
      </c>
      <c r="O289" s="33">
        <f>ROUND(MIN(MAX(0,N('Your debts'!$E$9)),E289),2)</f>
      </c>
      <c r="P289" s="33">
        <f>ROUND(MIN(MAX(0,N('Your debts'!$E$10)),F289),2)</f>
      </c>
      <c r="Q289" s="33">
        <f>ROUND(MIN(MAX(0,N('Your debts'!$E$11)),G289),2)</f>
      </c>
      <c r="R289" s="33">
        <f>ROUND(MIN(MAX(0,N('Your debts'!$E$12)),H289),2)</f>
      </c>
      <c r="S289" s="33">
        <f>ROUND(MIN(MAX(0,N('Your debts'!$E$13)),I289),2)</f>
      </c>
      <c r="T289" s="33">
        <f>ROUND(MIN(MAX(0,N('Your debts'!$E$14)),J289),2)</f>
      </c>
      <c r="U289" s="33">
        <f>ROUND(MIN(MAX(0,N('Your debts'!$E$15)),K289),2)</f>
      </c>
      <c r="V289" s="33">
        <f>ROUND(B289-L289,2)</f>
      </c>
      <c r="W289" s="33">
        <f>ROUND(C289-M289,2)</f>
      </c>
      <c r="X289" s="33">
        <f>ROUND(D289-N289,2)</f>
      </c>
      <c r="Y289" s="33">
        <f>ROUND(E289-O289,2)</f>
      </c>
      <c r="Z289" s="33">
        <f>ROUND(F289-P289,2)</f>
      </c>
      <c r="AA289" s="33">
        <f>ROUND(G289-Q289,2)</f>
      </c>
      <c r="AB289" s="33">
        <f>ROUND(H289-R289,2)</f>
      </c>
      <c r="AC289" s="33">
        <f>ROUND(I289-S289,2)</f>
      </c>
      <c r="AD289" s="33">
        <f>ROUND(J289-T289,2)</f>
      </c>
      <c r="AE289" s="33">
        <f>ROUND(K289-U289,2)</f>
      </c>
      <c r="AF289" s="33">
        <f>IF(V289&lt;=0,0,MAX(0,MIN(V289,ROUND($AZ289-SUMPRODUCT($V289:$AE289*($V289:$AE289&gt;0)*(($V$3:$AE$3&gt;V$3)+($V$3:$AE$3=V$3)*($V289:$AE289&lt;V289)+($V$3:$AE$3=V$3)*($V289:$AE289=V289)*($V$2:$AE$2&lt;V$2))),2))))</f>
      </c>
      <c r="AG289" s="33">
        <f>IF(W289&lt;=0,0,MAX(0,MIN(W289,ROUND($AZ289-SUMPRODUCT($V289:$AE289*($V289:$AE289&gt;0)*(($V$3:$AE$3&gt;W$3)+($V$3:$AE$3=W$3)*($V289:$AE289&lt;W289)+($V$3:$AE$3=W$3)*($V289:$AE289=W289)*($V$2:$AE$2&lt;W$2))),2))))</f>
      </c>
      <c r="AH289" s="33">
        <f>IF(X289&lt;=0,0,MAX(0,MIN(X289,ROUND($AZ289-SUMPRODUCT($V289:$AE289*($V289:$AE289&gt;0)*(($V$3:$AE$3&gt;X$3)+($V$3:$AE$3=X$3)*($V289:$AE289&lt;X289)+($V$3:$AE$3=X$3)*($V289:$AE289=X289)*($V$2:$AE$2&lt;X$2))),2))))</f>
      </c>
      <c r="AI289" s="33">
        <f>IF(Y289&lt;=0,0,MAX(0,MIN(Y289,ROUND($AZ289-SUMPRODUCT($V289:$AE289*($V289:$AE289&gt;0)*(($V$3:$AE$3&gt;Y$3)+($V$3:$AE$3=Y$3)*($V289:$AE289&lt;Y289)+($V$3:$AE$3=Y$3)*($V289:$AE289=Y289)*($V$2:$AE$2&lt;Y$2))),2))))</f>
      </c>
      <c r="AJ289" s="33">
        <f>IF(Z289&lt;=0,0,MAX(0,MIN(Z289,ROUND($AZ289-SUMPRODUCT($V289:$AE289*($V289:$AE289&gt;0)*(($V$3:$AE$3&gt;Z$3)+($V$3:$AE$3=Z$3)*($V289:$AE289&lt;Z289)+($V$3:$AE$3=Z$3)*($V289:$AE289=Z289)*($V$2:$AE$2&lt;Z$2))),2))))</f>
      </c>
      <c r="AK289" s="33">
        <f>IF(AA289&lt;=0,0,MAX(0,MIN(AA289,ROUND($AZ289-SUMPRODUCT($V289:$AE289*($V289:$AE289&gt;0)*(($V$3:$AE$3&gt;AA$3)+($V$3:$AE$3=AA$3)*($V289:$AE289&lt;AA289)+($V$3:$AE$3=AA$3)*($V289:$AE289=AA289)*($V$2:$AE$2&lt;AA$2))),2))))</f>
      </c>
      <c r="AL289" s="33">
        <f>IF(AB289&lt;=0,0,MAX(0,MIN(AB289,ROUND($AZ289-SUMPRODUCT($V289:$AE289*($V289:$AE289&gt;0)*(($V$3:$AE$3&gt;AB$3)+($V$3:$AE$3=AB$3)*($V289:$AE289&lt;AB289)+($V$3:$AE$3=AB$3)*($V289:$AE289=AB289)*($V$2:$AE$2&lt;AB$2))),2))))</f>
      </c>
      <c r="AM289" s="33">
        <f>IF(AC289&lt;=0,0,MAX(0,MIN(AC289,ROUND($AZ289-SUMPRODUCT($V289:$AE289*($V289:$AE289&gt;0)*(($V$3:$AE$3&gt;AC$3)+($V$3:$AE$3=AC$3)*($V289:$AE289&lt;AC289)+($V$3:$AE$3=AC$3)*($V289:$AE289=AC289)*($V$2:$AE$2&lt;AC$2))),2))))</f>
      </c>
      <c r="AN289" s="33">
        <f>IF(AD289&lt;=0,0,MAX(0,MIN(AD289,ROUND($AZ289-SUMPRODUCT($V289:$AE289*($V289:$AE289&gt;0)*(($V$3:$AE$3&gt;AD$3)+($V$3:$AE$3=AD$3)*($V289:$AE289&lt;AD289)+($V$3:$AE$3=AD$3)*($V289:$AE289=AD289)*($V$2:$AE$2&lt;AD$2))),2))))</f>
      </c>
      <c r="AO289" s="33">
        <f>IF(AE289&lt;=0,0,MAX(0,MIN(AE289,ROUND($AZ289-SUMPRODUCT($V289:$AE289*($V289:$AE289&gt;0)*(($V$3:$AE$3&gt;AE$3)+($V$3:$AE$3=AE$3)*($V289:$AE289&lt;AE289)+($V$3:$AE$3=AE$3)*($V289:$AE289=AE289)*($V$2:$AE$2&lt;AE$2))),2))))</f>
      </c>
      <c r="AP289" s="33">
        <f>ROUND(V289-AF289,2)</f>
      </c>
      <c r="AQ289" s="33">
        <f>ROUND(W289-AG289,2)</f>
      </c>
      <c r="AR289" s="33">
        <f>ROUND(X289-AH289,2)</f>
      </c>
      <c r="AS289" s="33">
        <f>ROUND(Y289-AI289,2)</f>
      </c>
      <c r="AT289" s="33">
        <f>ROUND(Z289-AJ289,2)</f>
      </c>
      <c r="AU289" s="33">
        <f>ROUND(AA289-AK289,2)</f>
      </c>
      <c r="AV289" s="33">
        <f>ROUND(AB289-AL289,2)</f>
      </c>
      <c r="AW289" s="33">
        <f>ROUND(AC289-AM289,2)</f>
      </c>
      <c r="AX289" s="33">
        <f>ROUND(AD289-AN289,2)</f>
      </c>
      <c r="AY289" s="33">
        <f>ROUND(AE289-AO289,2)</f>
      </c>
      <c r="AZ289" s="33">
        <f>ROUND(MAX(0,'Your debts'!$D$22-SUM($L289:$U289)),2)</f>
      </c>
      <c r="BA289" s="33">
        <f>ROUND(SUM($B289:$K289)-SUM($AP288:$AY288),2)</f>
      </c>
      <c r="BB289" s="33">
        <f>SUM($AP289:$AY289)</f>
      </c>
      <c r="BC289" s="33">
        <f>ROUND(SUM($L289:$U289)+SUM($AF289:$AO289),2)</f>
      </c>
    </row>
    <row r="290" spans="1:55" x14ac:dyDescent="0.25">
      <c r="A290">
        <v>283</v>
      </c>
      <c r="B290" s="33">
        <f>IF(AP289&lt;=0,0,ROUND(AP289+ROUND(AP289*V$3/12,2),2))</f>
      </c>
      <c r="C290" s="33">
        <f>IF(AQ289&lt;=0,0,ROUND(AQ289+ROUND(AQ289*W$3/12,2),2))</f>
      </c>
      <c r="D290" s="33">
        <f>IF(AR289&lt;=0,0,ROUND(AR289+ROUND(AR289*X$3/12,2),2))</f>
      </c>
      <c r="E290" s="33">
        <f>IF(AS289&lt;=0,0,ROUND(AS289+ROUND(AS289*Y$3/12,2),2))</f>
      </c>
      <c r="F290" s="33">
        <f>IF(AT289&lt;=0,0,ROUND(AT289+ROUND(AT289*Z$3/12,2),2))</f>
      </c>
      <c r="G290" s="33">
        <f>IF(AU289&lt;=0,0,ROUND(AU289+ROUND(AU289*AA$3/12,2),2))</f>
      </c>
      <c r="H290" s="33">
        <f>IF(AV289&lt;=0,0,ROUND(AV289+ROUND(AV289*AB$3/12,2),2))</f>
      </c>
      <c r="I290" s="33">
        <f>IF(AW289&lt;=0,0,ROUND(AW289+ROUND(AW289*AC$3/12,2),2))</f>
      </c>
      <c r="J290" s="33">
        <f>IF(AX289&lt;=0,0,ROUND(AX289+ROUND(AX289*AD$3/12,2),2))</f>
      </c>
      <c r="K290" s="33">
        <f>IF(AY289&lt;=0,0,ROUND(AY289+ROUND(AY289*AE$3/12,2),2))</f>
      </c>
      <c r="L290" s="33">
        <f>ROUND(MIN(MAX(0,N('Your debts'!$E$6)),B290),2)</f>
      </c>
      <c r="M290" s="33">
        <f>ROUND(MIN(MAX(0,N('Your debts'!$E$7)),C290),2)</f>
      </c>
      <c r="N290" s="33">
        <f>ROUND(MIN(MAX(0,N('Your debts'!$E$8)),D290),2)</f>
      </c>
      <c r="O290" s="33">
        <f>ROUND(MIN(MAX(0,N('Your debts'!$E$9)),E290),2)</f>
      </c>
      <c r="P290" s="33">
        <f>ROUND(MIN(MAX(0,N('Your debts'!$E$10)),F290),2)</f>
      </c>
      <c r="Q290" s="33">
        <f>ROUND(MIN(MAX(0,N('Your debts'!$E$11)),G290),2)</f>
      </c>
      <c r="R290" s="33">
        <f>ROUND(MIN(MAX(0,N('Your debts'!$E$12)),H290),2)</f>
      </c>
      <c r="S290" s="33">
        <f>ROUND(MIN(MAX(0,N('Your debts'!$E$13)),I290),2)</f>
      </c>
      <c r="T290" s="33">
        <f>ROUND(MIN(MAX(0,N('Your debts'!$E$14)),J290),2)</f>
      </c>
      <c r="U290" s="33">
        <f>ROUND(MIN(MAX(0,N('Your debts'!$E$15)),K290),2)</f>
      </c>
      <c r="V290" s="33">
        <f>ROUND(B290-L290,2)</f>
      </c>
      <c r="W290" s="33">
        <f>ROUND(C290-M290,2)</f>
      </c>
      <c r="X290" s="33">
        <f>ROUND(D290-N290,2)</f>
      </c>
      <c r="Y290" s="33">
        <f>ROUND(E290-O290,2)</f>
      </c>
      <c r="Z290" s="33">
        <f>ROUND(F290-P290,2)</f>
      </c>
      <c r="AA290" s="33">
        <f>ROUND(G290-Q290,2)</f>
      </c>
      <c r="AB290" s="33">
        <f>ROUND(H290-R290,2)</f>
      </c>
      <c r="AC290" s="33">
        <f>ROUND(I290-S290,2)</f>
      </c>
      <c r="AD290" s="33">
        <f>ROUND(J290-T290,2)</f>
      </c>
      <c r="AE290" s="33">
        <f>ROUND(K290-U290,2)</f>
      </c>
      <c r="AF290" s="33">
        <f>IF(V290&lt;=0,0,MAX(0,MIN(V290,ROUND($AZ290-SUMPRODUCT($V290:$AE290*($V290:$AE290&gt;0)*(($V$3:$AE$3&gt;V$3)+($V$3:$AE$3=V$3)*($V290:$AE290&lt;V290)+($V$3:$AE$3=V$3)*($V290:$AE290=V290)*($V$2:$AE$2&lt;V$2))),2))))</f>
      </c>
      <c r="AG290" s="33">
        <f>IF(W290&lt;=0,0,MAX(0,MIN(W290,ROUND($AZ290-SUMPRODUCT($V290:$AE290*($V290:$AE290&gt;0)*(($V$3:$AE$3&gt;W$3)+($V$3:$AE$3=W$3)*($V290:$AE290&lt;W290)+($V$3:$AE$3=W$3)*($V290:$AE290=W290)*($V$2:$AE$2&lt;W$2))),2))))</f>
      </c>
      <c r="AH290" s="33">
        <f>IF(X290&lt;=0,0,MAX(0,MIN(X290,ROUND($AZ290-SUMPRODUCT($V290:$AE290*($V290:$AE290&gt;0)*(($V$3:$AE$3&gt;X$3)+($V$3:$AE$3=X$3)*($V290:$AE290&lt;X290)+($V$3:$AE$3=X$3)*($V290:$AE290=X290)*($V$2:$AE$2&lt;X$2))),2))))</f>
      </c>
      <c r="AI290" s="33">
        <f>IF(Y290&lt;=0,0,MAX(0,MIN(Y290,ROUND($AZ290-SUMPRODUCT($V290:$AE290*($V290:$AE290&gt;0)*(($V$3:$AE$3&gt;Y$3)+($V$3:$AE$3=Y$3)*($V290:$AE290&lt;Y290)+($V$3:$AE$3=Y$3)*($V290:$AE290=Y290)*($V$2:$AE$2&lt;Y$2))),2))))</f>
      </c>
      <c r="AJ290" s="33">
        <f>IF(Z290&lt;=0,0,MAX(0,MIN(Z290,ROUND($AZ290-SUMPRODUCT($V290:$AE290*($V290:$AE290&gt;0)*(($V$3:$AE$3&gt;Z$3)+($V$3:$AE$3=Z$3)*($V290:$AE290&lt;Z290)+($V$3:$AE$3=Z$3)*($V290:$AE290=Z290)*($V$2:$AE$2&lt;Z$2))),2))))</f>
      </c>
      <c r="AK290" s="33">
        <f>IF(AA290&lt;=0,0,MAX(0,MIN(AA290,ROUND($AZ290-SUMPRODUCT($V290:$AE290*($V290:$AE290&gt;0)*(($V$3:$AE$3&gt;AA$3)+($V$3:$AE$3=AA$3)*($V290:$AE290&lt;AA290)+($V$3:$AE$3=AA$3)*($V290:$AE290=AA290)*($V$2:$AE$2&lt;AA$2))),2))))</f>
      </c>
      <c r="AL290" s="33">
        <f>IF(AB290&lt;=0,0,MAX(0,MIN(AB290,ROUND($AZ290-SUMPRODUCT($V290:$AE290*($V290:$AE290&gt;0)*(($V$3:$AE$3&gt;AB$3)+($V$3:$AE$3=AB$3)*($V290:$AE290&lt;AB290)+($V$3:$AE$3=AB$3)*($V290:$AE290=AB290)*($V$2:$AE$2&lt;AB$2))),2))))</f>
      </c>
      <c r="AM290" s="33">
        <f>IF(AC290&lt;=0,0,MAX(0,MIN(AC290,ROUND($AZ290-SUMPRODUCT($V290:$AE290*($V290:$AE290&gt;0)*(($V$3:$AE$3&gt;AC$3)+($V$3:$AE$3=AC$3)*($V290:$AE290&lt;AC290)+($V$3:$AE$3=AC$3)*($V290:$AE290=AC290)*($V$2:$AE$2&lt;AC$2))),2))))</f>
      </c>
      <c r="AN290" s="33">
        <f>IF(AD290&lt;=0,0,MAX(0,MIN(AD290,ROUND($AZ290-SUMPRODUCT($V290:$AE290*($V290:$AE290&gt;0)*(($V$3:$AE$3&gt;AD$3)+($V$3:$AE$3=AD$3)*($V290:$AE290&lt;AD290)+($V$3:$AE$3=AD$3)*($V290:$AE290=AD290)*($V$2:$AE$2&lt;AD$2))),2))))</f>
      </c>
      <c r="AO290" s="33">
        <f>IF(AE290&lt;=0,0,MAX(0,MIN(AE290,ROUND($AZ290-SUMPRODUCT($V290:$AE290*($V290:$AE290&gt;0)*(($V$3:$AE$3&gt;AE$3)+($V$3:$AE$3=AE$3)*($V290:$AE290&lt;AE290)+($V$3:$AE$3=AE$3)*($V290:$AE290=AE290)*($V$2:$AE$2&lt;AE$2))),2))))</f>
      </c>
      <c r="AP290" s="33">
        <f>ROUND(V290-AF290,2)</f>
      </c>
      <c r="AQ290" s="33">
        <f>ROUND(W290-AG290,2)</f>
      </c>
      <c r="AR290" s="33">
        <f>ROUND(X290-AH290,2)</f>
      </c>
      <c r="AS290" s="33">
        <f>ROUND(Y290-AI290,2)</f>
      </c>
      <c r="AT290" s="33">
        <f>ROUND(Z290-AJ290,2)</f>
      </c>
      <c r="AU290" s="33">
        <f>ROUND(AA290-AK290,2)</f>
      </c>
      <c r="AV290" s="33">
        <f>ROUND(AB290-AL290,2)</f>
      </c>
      <c r="AW290" s="33">
        <f>ROUND(AC290-AM290,2)</f>
      </c>
      <c r="AX290" s="33">
        <f>ROUND(AD290-AN290,2)</f>
      </c>
      <c r="AY290" s="33">
        <f>ROUND(AE290-AO290,2)</f>
      </c>
      <c r="AZ290" s="33">
        <f>ROUND(MAX(0,'Your debts'!$D$22-SUM($L290:$U290)),2)</f>
      </c>
      <c r="BA290" s="33">
        <f>ROUND(SUM($B290:$K290)-SUM($AP289:$AY289),2)</f>
      </c>
      <c r="BB290" s="33">
        <f>SUM($AP290:$AY290)</f>
      </c>
      <c r="BC290" s="33">
        <f>ROUND(SUM($L290:$U290)+SUM($AF290:$AO290),2)</f>
      </c>
    </row>
    <row r="291" spans="1:55" x14ac:dyDescent="0.25">
      <c r="A291">
        <v>284</v>
      </c>
      <c r="B291" s="33">
        <f>IF(AP290&lt;=0,0,ROUND(AP290+ROUND(AP290*V$3/12,2),2))</f>
      </c>
      <c r="C291" s="33">
        <f>IF(AQ290&lt;=0,0,ROUND(AQ290+ROUND(AQ290*W$3/12,2),2))</f>
      </c>
      <c r="D291" s="33">
        <f>IF(AR290&lt;=0,0,ROUND(AR290+ROUND(AR290*X$3/12,2),2))</f>
      </c>
      <c r="E291" s="33">
        <f>IF(AS290&lt;=0,0,ROUND(AS290+ROUND(AS290*Y$3/12,2),2))</f>
      </c>
      <c r="F291" s="33">
        <f>IF(AT290&lt;=0,0,ROUND(AT290+ROUND(AT290*Z$3/12,2),2))</f>
      </c>
      <c r="G291" s="33">
        <f>IF(AU290&lt;=0,0,ROUND(AU290+ROUND(AU290*AA$3/12,2),2))</f>
      </c>
      <c r="H291" s="33">
        <f>IF(AV290&lt;=0,0,ROUND(AV290+ROUND(AV290*AB$3/12,2),2))</f>
      </c>
      <c r="I291" s="33">
        <f>IF(AW290&lt;=0,0,ROUND(AW290+ROUND(AW290*AC$3/12,2),2))</f>
      </c>
      <c r="J291" s="33">
        <f>IF(AX290&lt;=0,0,ROUND(AX290+ROUND(AX290*AD$3/12,2),2))</f>
      </c>
      <c r="K291" s="33">
        <f>IF(AY290&lt;=0,0,ROUND(AY290+ROUND(AY290*AE$3/12,2),2))</f>
      </c>
      <c r="L291" s="33">
        <f>ROUND(MIN(MAX(0,N('Your debts'!$E$6)),B291),2)</f>
      </c>
      <c r="M291" s="33">
        <f>ROUND(MIN(MAX(0,N('Your debts'!$E$7)),C291),2)</f>
      </c>
      <c r="N291" s="33">
        <f>ROUND(MIN(MAX(0,N('Your debts'!$E$8)),D291),2)</f>
      </c>
      <c r="O291" s="33">
        <f>ROUND(MIN(MAX(0,N('Your debts'!$E$9)),E291),2)</f>
      </c>
      <c r="P291" s="33">
        <f>ROUND(MIN(MAX(0,N('Your debts'!$E$10)),F291),2)</f>
      </c>
      <c r="Q291" s="33">
        <f>ROUND(MIN(MAX(0,N('Your debts'!$E$11)),G291),2)</f>
      </c>
      <c r="R291" s="33">
        <f>ROUND(MIN(MAX(0,N('Your debts'!$E$12)),H291),2)</f>
      </c>
      <c r="S291" s="33">
        <f>ROUND(MIN(MAX(0,N('Your debts'!$E$13)),I291),2)</f>
      </c>
      <c r="T291" s="33">
        <f>ROUND(MIN(MAX(0,N('Your debts'!$E$14)),J291),2)</f>
      </c>
      <c r="U291" s="33">
        <f>ROUND(MIN(MAX(0,N('Your debts'!$E$15)),K291),2)</f>
      </c>
      <c r="V291" s="33">
        <f>ROUND(B291-L291,2)</f>
      </c>
      <c r="W291" s="33">
        <f>ROUND(C291-M291,2)</f>
      </c>
      <c r="X291" s="33">
        <f>ROUND(D291-N291,2)</f>
      </c>
      <c r="Y291" s="33">
        <f>ROUND(E291-O291,2)</f>
      </c>
      <c r="Z291" s="33">
        <f>ROUND(F291-P291,2)</f>
      </c>
      <c r="AA291" s="33">
        <f>ROUND(G291-Q291,2)</f>
      </c>
      <c r="AB291" s="33">
        <f>ROUND(H291-R291,2)</f>
      </c>
      <c r="AC291" s="33">
        <f>ROUND(I291-S291,2)</f>
      </c>
      <c r="AD291" s="33">
        <f>ROUND(J291-T291,2)</f>
      </c>
      <c r="AE291" s="33">
        <f>ROUND(K291-U291,2)</f>
      </c>
      <c r="AF291" s="33">
        <f>IF(V291&lt;=0,0,MAX(0,MIN(V291,ROUND($AZ291-SUMPRODUCT($V291:$AE291*($V291:$AE291&gt;0)*(($V$3:$AE$3&gt;V$3)+($V$3:$AE$3=V$3)*($V291:$AE291&lt;V291)+($V$3:$AE$3=V$3)*($V291:$AE291=V291)*($V$2:$AE$2&lt;V$2))),2))))</f>
      </c>
      <c r="AG291" s="33">
        <f>IF(W291&lt;=0,0,MAX(0,MIN(W291,ROUND($AZ291-SUMPRODUCT($V291:$AE291*($V291:$AE291&gt;0)*(($V$3:$AE$3&gt;W$3)+($V$3:$AE$3=W$3)*($V291:$AE291&lt;W291)+($V$3:$AE$3=W$3)*($V291:$AE291=W291)*($V$2:$AE$2&lt;W$2))),2))))</f>
      </c>
      <c r="AH291" s="33">
        <f>IF(X291&lt;=0,0,MAX(0,MIN(X291,ROUND($AZ291-SUMPRODUCT($V291:$AE291*($V291:$AE291&gt;0)*(($V$3:$AE$3&gt;X$3)+($V$3:$AE$3=X$3)*($V291:$AE291&lt;X291)+($V$3:$AE$3=X$3)*($V291:$AE291=X291)*($V$2:$AE$2&lt;X$2))),2))))</f>
      </c>
      <c r="AI291" s="33">
        <f>IF(Y291&lt;=0,0,MAX(0,MIN(Y291,ROUND($AZ291-SUMPRODUCT($V291:$AE291*($V291:$AE291&gt;0)*(($V$3:$AE$3&gt;Y$3)+($V$3:$AE$3=Y$3)*($V291:$AE291&lt;Y291)+($V$3:$AE$3=Y$3)*($V291:$AE291=Y291)*($V$2:$AE$2&lt;Y$2))),2))))</f>
      </c>
      <c r="AJ291" s="33">
        <f>IF(Z291&lt;=0,0,MAX(0,MIN(Z291,ROUND($AZ291-SUMPRODUCT($V291:$AE291*($V291:$AE291&gt;0)*(($V$3:$AE$3&gt;Z$3)+($V$3:$AE$3=Z$3)*($V291:$AE291&lt;Z291)+($V$3:$AE$3=Z$3)*($V291:$AE291=Z291)*($V$2:$AE$2&lt;Z$2))),2))))</f>
      </c>
      <c r="AK291" s="33">
        <f>IF(AA291&lt;=0,0,MAX(0,MIN(AA291,ROUND($AZ291-SUMPRODUCT($V291:$AE291*($V291:$AE291&gt;0)*(($V$3:$AE$3&gt;AA$3)+($V$3:$AE$3=AA$3)*($V291:$AE291&lt;AA291)+($V$3:$AE$3=AA$3)*($V291:$AE291=AA291)*($V$2:$AE$2&lt;AA$2))),2))))</f>
      </c>
      <c r="AL291" s="33">
        <f>IF(AB291&lt;=0,0,MAX(0,MIN(AB291,ROUND($AZ291-SUMPRODUCT($V291:$AE291*($V291:$AE291&gt;0)*(($V$3:$AE$3&gt;AB$3)+($V$3:$AE$3=AB$3)*($V291:$AE291&lt;AB291)+($V$3:$AE$3=AB$3)*($V291:$AE291=AB291)*($V$2:$AE$2&lt;AB$2))),2))))</f>
      </c>
      <c r="AM291" s="33">
        <f>IF(AC291&lt;=0,0,MAX(0,MIN(AC291,ROUND($AZ291-SUMPRODUCT($V291:$AE291*($V291:$AE291&gt;0)*(($V$3:$AE$3&gt;AC$3)+($V$3:$AE$3=AC$3)*($V291:$AE291&lt;AC291)+($V$3:$AE$3=AC$3)*($V291:$AE291=AC291)*($V$2:$AE$2&lt;AC$2))),2))))</f>
      </c>
      <c r="AN291" s="33">
        <f>IF(AD291&lt;=0,0,MAX(0,MIN(AD291,ROUND($AZ291-SUMPRODUCT($V291:$AE291*($V291:$AE291&gt;0)*(($V$3:$AE$3&gt;AD$3)+($V$3:$AE$3=AD$3)*($V291:$AE291&lt;AD291)+($V$3:$AE$3=AD$3)*($V291:$AE291=AD291)*($V$2:$AE$2&lt;AD$2))),2))))</f>
      </c>
      <c r="AO291" s="33">
        <f>IF(AE291&lt;=0,0,MAX(0,MIN(AE291,ROUND($AZ291-SUMPRODUCT($V291:$AE291*($V291:$AE291&gt;0)*(($V$3:$AE$3&gt;AE$3)+($V$3:$AE$3=AE$3)*($V291:$AE291&lt;AE291)+($V$3:$AE$3=AE$3)*($V291:$AE291=AE291)*($V$2:$AE$2&lt;AE$2))),2))))</f>
      </c>
      <c r="AP291" s="33">
        <f>ROUND(V291-AF291,2)</f>
      </c>
      <c r="AQ291" s="33">
        <f>ROUND(W291-AG291,2)</f>
      </c>
      <c r="AR291" s="33">
        <f>ROUND(X291-AH291,2)</f>
      </c>
      <c r="AS291" s="33">
        <f>ROUND(Y291-AI291,2)</f>
      </c>
      <c r="AT291" s="33">
        <f>ROUND(Z291-AJ291,2)</f>
      </c>
      <c r="AU291" s="33">
        <f>ROUND(AA291-AK291,2)</f>
      </c>
      <c r="AV291" s="33">
        <f>ROUND(AB291-AL291,2)</f>
      </c>
      <c r="AW291" s="33">
        <f>ROUND(AC291-AM291,2)</f>
      </c>
      <c r="AX291" s="33">
        <f>ROUND(AD291-AN291,2)</f>
      </c>
      <c r="AY291" s="33">
        <f>ROUND(AE291-AO291,2)</f>
      </c>
      <c r="AZ291" s="33">
        <f>ROUND(MAX(0,'Your debts'!$D$22-SUM($L291:$U291)),2)</f>
      </c>
      <c r="BA291" s="33">
        <f>ROUND(SUM($B291:$K291)-SUM($AP290:$AY290),2)</f>
      </c>
      <c r="BB291" s="33">
        <f>SUM($AP291:$AY291)</f>
      </c>
      <c r="BC291" s="33">
        <f>ROUND(SUM($L291:$U291)+SUM($AF291:$AO291),2)</f>
      </c>
    </row>
    <row r="292" spans="1:55" x14ac:dyDescent="0.25">
      <c r="A292">
        <v>285</v>
      </c>
      <c r="B292" s="33">
        <f>IF(AP291&lt;=0,0,ROUND(AP291+ROUND(AP291*V$3/12,2),2))</f>
      </c>
      <c r="C292" s="33">
        <f>IF(AQ291&lt;=0,0,ROUND(AQ291+ROUND(AQ291*W$3/12,2),2))</f>
      </c>
      <c r="D292" s="33">
        <f>IF(AR291&lt;=0,0,ROUND(AR291+ROUND(AR291*X$3/12,2),2))</f>
      </c>
      <c r="E292" s="33">
        <f>IF(AS291&lt;=0,0,ROUND(AS291+ROUND(AS291*Y$3/12,2),2))</f>
      </c>
      <c r="F292" s="33">
        <f>IF(AT291&lt;=0,0,ROUND(AT291+ROUND(AT291*Z$3/12,2),2))</f>
      </c>
      <c r="G292" s="33">
        <f>IF(AU291&lt;=0,0,ROUND(AU291+ROUND(AU291*AA$3/12,2),2))</f>
      </c>
      <c r="H292" s="33">
        <f>IF(AV291&lt;=0,0,ROUND(AV291+ROUND(AV291*AB$3/12,2),2))</f>
      </c>
      <c r="I292" s="33">
        <f>IF(AW291&lt;=0,0,ROUND(AW291+ROUND(AW291*AC$3/12,2),2))</f>
      </c>
      <c r="J292" s="33">
        <f>IF(AX291&lt;=0,0,ROUND(AX291+ROUND(AX291*AD$3/12,2),2))</f>
      </c>
      <c r="K292" s="33">
        <f>IF(AY291&lt;=0,0,ROUND(AY291+ROUND(AY291*AE$3/12,2),2))</f>
      </c>
      <c r="L292" s="33">
        <f>ROUND(MIN(MAX(0,N('Your debts'!$E$6)),B292),2)</f>
      </c>
      <c r="M292" s="33">
        <f>ROUND(MIN(MAX(0,N('Your debts'!$E$7)),C292),2)</f>
      </c>
      <c r="N292" s="33">
        <f>ROUND(MIN(MAX(0,N('Your debts'!$E$8)),D292),2)</f>
      </c>
      <c r="O292" s="33">
        <f>ROUND(MIN(MAX(0,N('Your debts'!$E$9)),E292),2)</f>
      </c>
      <c r="P292" s="33">
        <f>ROUND(MIN(MAX(0,N('Your debts'!$E$10)),F292),2)</f>
      </c>
      <c r="Q292" s="33">
        <f>ROUND(MIN(MAX(0,N('Your debts'!$E$11)),G292),2)</f>
      </c>
      <c r="R292" s="33">
        <f>ROUND(MIN(MAX(0,N('Your debts'!$E$12)),H292),2)</f>
      </c>
      <c r="S292" s="33">
        <f>ROUND(MIN(MAX(0,N('Your debts'!$E$13)),I292),2)</f>
      </c>
      <c r="T292" s="33">
        <f>ROUND(MIN(MAX(0,N('Your debts'!$E$14)),J292),2)</f>
      </c>
      <c r="U292" s="33">
        <f>ROUND(MIN(MAX(0,N('Your debts'!$E$15)),K292),2)</f>
      </c>
      <c r="V292" s="33">
        <f>ROUND(B292-L292,2)</f>
      </c>
      <c r="W292" s="33">
        <f>ROUND(C292-M292,2)</f>
      </c>
      <c r="X292" s="33">
        <f>ROUND(D292-N292,2)</f>
      </c>
      <c r="Y292" s="33">
        <f>ROUND(E292-O292,2)</f>
      </c>
      <c r="Z292" s="33">
        <f>ROUND(F292-P292,2)</f>
      </c>
      <c r="AA292" s="33">
        <f>ROUND(G292-Q292,2)</f>
      </c>
      <c r="AB292" s="33">
        <f>ROUND(H292-R292,2)</f>
      </c>
      <c r="AC292" s="33">
        <f>ROUND(I292-S292,2)</f>
      </c>
      <c r="AD292" s="33">
        <f>ROUND(J292-T292,2)</f>
      </c>
      <c r="AE292" s="33">
        <f>ROUND(K292-U292,2)</f>
      </c>
      <c r="AF292" s="33">
        <f>IF(V292&lt;=0,0,MAX(0,MIN(V292,ROUND($AZ292-SUMPRODUCT($V292:$AE292*($V292:$AE292&gt;0)*(($V$3:$AE$3&gt;V$3)+($V$3:$AE$3=V$3)*($V292:$AE292&lt;V292)+($V$3:$AE$3=V$3)*($V292:$AE292=V292)*($V$2:$AE$2&lt;V$2))),2))))</f>
      </c>
      <c r="AG292" s="33">
        <f>IF(W292&lt;=0,0,MAX(0,MIN(W292,ROUND($AZ292-SUMPRODUCT($V292:$AE292*($V292:$AE292&gt;0)*(($V$3:$AE$3&gt;W$3)+($V$3:$AE$3=W$3)*($V292:$AE292&lt;W292)+($V$3:$AE$3=W$3)*($V292:$AE292=W292)*($V$2:$AE$2&lt;W$2))),2))))</f>
      </c>
      <c r="AH292" s="33">
        <f>IF(X292&lt;=0,0,MAX(0,MIN(X292,ROUND($AZ292-SUMPRODUCT($V292:$AE292*($V292:$AE292&gt;0)*(($V$3:$AE$3&gt;X$3)+($V$3:$AE$3=X$3)*($V292:$AE292&lt;X292)+($V$3:$AE$3=X$3)*($V292:$AE292=X292)*($V$2:$AE$2&lt;X$2))),2))))</f>
      </c>
      <c r="AI292" s="33">
        <f>IF(Y292&lt;=0,0,MAX(0,MIN(Y292,ROUND($AZ292-SUMPRODUCT($V292:$AE292*($V292:$AE292&gt;0)*(($V$3:$AE$3&gt;Y$3)+($V$3:$AE$3=Y$3)*($V292:$AE292&lt;Y292)+($V$3:$AE$3=Y$3)*($V292:$AE292=Y292)*($V$2:$AE$2&lt;Y$2))),2))))</f>
      </c>
      <c r="AJ292" s="33">
        <f>IF(Z292&lt;=0,0,MAX(0,MIN(Z292,ROUND($AZ292-SUMPRODUCT($V292:$AE292*($V292:$AE292&gt;0)*(($V$3:$AE$3&gt;Z$3)+($V$3:$AE$3=Z$3)*($V292:$AE292&lt;Z292)+($V$3:$AE$3=Z$3)*($V292:$AE292=Z292)*($V$2:$AE$2&lt;Z$2))),2))))</f>
      </c>
      <c r="AK292" s="33">
        <f>IF(AA292&lt;=0,0,MAX(0,MIN(AA292,ROUND($AZ292-SUMPRODUCT($V292:$AE292*($V292:$AE292&gt;0)*(($V$3:$AE$3&gt;AA$3)+($V$3:$AE$3=AA$3)*($V292:$AE292&lt;AA292)+($V$3:$AE$3=AA$3)*($V292:$AE292=AA292)*($V$2:$AE$2&lt;AA$2))),2))))</f>
      </c>
      <c r="AL292" s="33">
        <f>IF(AB292&lt;=0,0,MAX(0,MIN(AB292,ROUND($AZ292-SUMPRODUCT($V292:$AE292*($V292:$AE292&gt;0)*(($V$3:$AE$3&gt;AB$3)+($V$3:$AE$3=AB$3)*($V292:$AE292&lt;AB292)+($V$3:$AE$3=AB$3)*($V292:$AE292=AB292)*($V$2:$AE$2&lt;AB$2))),2))))</f>
      </c>
      <c r="AM292" s="33">
        <f>IF(AC292&lt;=0,0,MAX(0,MIN(AC292,ROUND($AZ292-SUMPRODUCT($V292:$AE292*($V292:$AE292&gt;0)*(($V$3:$AE$3&gt;AC$3)+($V$3:$AE$3=AC$3)*($V292:$AE292&lt;AC292)+($V$3:$AE$3=AC$3)*($V292:$AE292=AC292)*($V$2:$AE$2&lt;AC$2))),2))))</f>
      </c>
      <c r="AN292" s="33">
        <f>IF(AD292&lt;=0,0,MAX(0,MIN(AD292,ROUND($AZ292-SUMPRODUCT($V292:$AE292*($V292:$AE292&gt;0)*(($V$3:$AE$3&gt;AD$3)+($V$3:$AE$3=AD$3)*($V292:$AE292&lt;AD292)+($V$3:$AE$3=AD$3)*($V292:$AE292=AD292)*($V$2:$AE$2&lt;AD$2))),2))))</f>
      </c>
      <c r="AO292" s="33">
        <f>IF(AE292&lt;=0,0,MAX(0,MIN(AE292,ROUND($AZ292-SUMPRODUCT($V292:$AE292*($V292:$AE292&gt;0)*(($V$3:$AE$3&gt;AE$3)+($V$3:$AE$3=AE$3)*($V292:$AE292&lt;AE292)+($V$3:$AE$3=AE$3)*($V292:$AE292=AE292)*($V$2:$AE$2&lt;AE$2))),2))))</f>
      </c>
      <c r="AP292" s="33">
        <f>ROUND(V292-AF292,2)</f>
      </c>
      <c r="AQ292" s="33">
        <f>ROUND(W292-AG292,2)</f>
      </c>
      <c r="AR292" s="33">
        <f>ROUND(X292-AH292,2)</f>
      </c>
      <c r="AS292" s="33">
        <f>ROUND(Y292-AI292,2)</f>
      </c>
      <c r="AT292" s="33">
        <f>ROUND(Z292-AJ292,2)</f>
      </c>
      <c r="AU292" s="33">
        <f>ROUND(AA292-AK292,2)</f>
      </c>
      <c r="AV292" s="33">
        <f>ROUND(AB292-AL292,2)</f>
      </c>
      <c r="AW292" s="33">
        <f>ROUND(AC292-AM292,2)</f>
      </c>
      <c r="AX292" s="33">
        <f>ROUND(AD292-AN292,2)</f>
      </c>
      <c r="AY292" s="33">
        <f>ROUND(AE292-AO292,2)</f>
      </c>
      <c r="AZ292" s="33">
        <f>ROUND(MAX(0,'Your debts'!$D$22-SUM($L292:$U292)),2)</f>
      </c>
      <c r="BA292" s="33">
        <f>ROUND(SUM($B292:$K292)-SUM($AP291:$AY291),2)</f>
      </c>
      <c r="BB292" s="33">
        <f>SUM($AP292:$AY292)</f>
      </c>
      <c r="BC292" s="33">
        <f>ROUND(SUM($L292:$U292)+SUM($AF292:$AO292),2)</f>
      </c>
    </row>
    <row r="293" spans="1:55" x14ac:dyDescent="0.25">
      <c r="A293">
        <v>286</v>
      </c>
      <c r="B293" s="33">
        <f>IF(AP292&lt;=0,0,ROUND(AP292+ROUND(AP292*V$3/12,2),2))</f>
      </c>
      <c r="C293" s="33">
        <f>IF(AQ292&lt;=0,0,ROUND(AQ292+ROUND(AQ292*W$3/12,2),2))</f>
      </c>
      <c r="D293" s="33">
        <f>IF(AR292&lt;=0,0,ROUND(AR292+ROUND(AR292*X$3/12,2),2))</f>
      </c>
      <c r="E293" s="33">
        <f>IF(AS292&lt;=0,0,ROUND(AS292+ROUND(AS292*Y$3/12,2),2))</f>
      </c>
      <c r="F293" s="33">
        <f>IF(AT292&lt;=0,0,ROUND(AT292+ROUND(AT292*Z$3/12,2),2))</f>
      </c>
      <c r="G293" s="33">
        <f>IF(AU292&lt;=0,0,ROUND(AU292+ROUND(AU292*AA$3/12,2),2))</f>
      </c>
      <c r="H293" s="33">
        <f>IF(AV292&lt;=0,0,ROUND(AV292+ROUND(AV292*AB$3/12,2),2))</f>
      </c>
      <c r="I293" s="33">
        <f>IF(AW292&lt;=0,0,ROUND(AW292+ROUND(AW292*AC$3/12,2),2))</f>
      </c>
      <c r="J293" s="33">
        <f>IF(AX292&lt;=0,0,ROUND(AX292+ROUND(AX292*AD$3/12,2),2))</f>
      </c>
      <c r="K293" s="33">
        <f>IF(AY292&lt;=0,0,ROUND(AY292+ROUND(AY292*AE$3/12,2),2))</f>
      </c>
      <c r="L293" s="33">
        <f>ROUND(MIN(MAX(0,N('Your debts'!$E$6)),B293),2)</f>
      </c>
      <c r="M293" s="33">
        <f>ROUND(MIN(MAX(0,N('Your debts'!$E$7)),C293),2)</f>
      </c>
      <c r="N293" s="33">
        <f>ROUND(MIN(MAX(0,N('Your debts'!$E$8)),D293),2)</f>
      </c>
      <c r="O293" s="33">
        <f>ROUND(MIN(MAX(0,N('Your debts'!$E$9)),E293),2)</f>
      </c>
      <c r="P293" s="33">
        <f>ROUND(MIN(MAX(0,N('Your debts'!$E$10)),F293),2)</f>
      </c>
      <c r="Q293" s="33">
        <f>ROUND(MIN(MAX(0,N('Your debts'!$E$11)),G293),2)</f>
      </c>
      <c r="R293" s="33">
        <f>ROUND(MIN(MAX(0,N('Your debts'!$E$12)),H293),2)</f>
      </c>
      <c r="S293" s="33">
        <f>ROUND(MIN(MAX(0,N('Your debts'!$E$13)),I293),2)</f>
      </c>
      <c r="T293" s="33">
        <f>ROUND(MIN(MAX(0,N('Your debts'!$E$14)),J293),2)</f>
      </c>
      <c r="U293" s="33">
        <f>ROUND(MIN(MAX(0,N('Your debts'!$E$15)),K293),2)</f>
      </c>
      <c r="V293" s="33">
        <f>ROUND(B293-L293,2)</f>
      </c>
      <c r="W293" s="33">
        <f>ROUND(C293-M293,2)</f>
      </c>
      <c r="X293" s="33">
        <f>ROUND(D293-N293,2)</f>
      </c>
      <c r="Y293" s="33">
        <f>ROUND(E293-O293,2)</f>
      </c>
      <c r="Z293" s="33">
        <f>ROUND(F293-P293,2)</f>
      </c>
      <c r="AA293" s="33">
        <f>ROUND(G293-Q293,2)</f>
      </c>
      <c r="AB293" s="33">
        <f>ROUND(H293-R293,2)</f>
      </c>
      <c r="AC293" s="33">
        <f>ROUND(I293-S293,2)</f>
      </c>
      <c r="AD293" s="33">
        <f>ROUND(J293-T293,2)</f>
      </c>
      <c r="AE293" s="33">
        <f>ROUND(K293-U293,2)</f>
      </c>
      <c r="AF293" s="33">
        <f>IF(V293&lt;=0,0,MAX(0,MIN(V293,ROUND($AZ293-SUMPRODUCT($V293:$AE293*($V293:$AE293&gt;0)*(($V$3:$AE$3&gt;V$3)+($V$3:$AE$3=V$3)*($V293:$AE293&lt;V293)+($V$3:$AE$3=V$3)*($V293:$AE293=V293)*($V$2:$AE$2&lt;V$2))),2))))</f>
      </c>
      <c r="AG293" s="33">
        <f>IF(W293&lt;=0,0,MAX(0,MIN(W293,ROUND($AZ293-SUMPRODUCT($V293:$AE293*($V293:$AE293&gt;0)*(($V$3:$AE$3&gt;W$3)+($V$3:$AE$3=W$3)*($V293:$AE293&lt;W293)+($V$3:$AE$3=W$3)*($V293:$AE293=W293)*($V$2:$AE$2&lt;W$2))),2))))</f>
      </c>
      <c r="AH293" s="33">
        <f>IF(X293&lt;=0,0,MAX(0,MIN(X293,ROUND($AZ293-SUMPRODUCT($V293:$AE293*($V293:$AE293&gt;0)*(($V$3:$AE$3&gt;X$3)+($V$3:$AE$3=X$3)*($V293:$AE293&lt;X293)+($V$3:$AE$3=X$3)*($V293:$AE293=X293)*($V$2:$AE$2&lt;X$2))),2))))</f>
      </c>
      <c r="AI293" s="33">
        <f>IF(Y293&lt;=0,0,MAX(0,MIN(Y293,ROUND($AZ293-SUMPRODUCT($V293:$AE293*($V293:$AE293&gt;0)*(($V$3:$AE$3&gt;Y$3)+($V$3:$AE$3=Y$3)*($V293:$AE293&lt;Y293)+($V$3:$AE$3=Y$3)*($V293:$AE293=Y293)*($V$2:$AE$2&lt;Y$2))),2))))</f>
      </c>
      <c r="AJ293" s="33">
        <f>IF(Z293&lt;=0,0,MAX(0,MIN(Z293,ROUND($AZ293-SUMPRODUCT($V293:$AE293*($V293:$AE293&gt;0)*(($V$3:$AE$3&gt;Z$3)+($V$3:$AE$3=Z$3)*($V293:$AE293&lt;Z293)+($V$3:$AE$3=Z$3)*($V293:$AE293=Z293)*($V$2:$AE$2&lt;Z$2))),2))))</f>
      </c>
      <c r="AK293" s="33">
        <f>IF(AA293&lt;=0,0,MAX(0,MIN(AA293,ROUND($AZ293-SUMPRODUCT($V293:$AE293*($V293:$AE293&gt;0)*(($V$3:$AE$3&gt;AA$3)+($V$3:$AE$3=AA$3)*($V293:$AE293&lt;AA293)+($V$3:$AE$3=AA$3)*($V293:$AE293=AA293)*($V$2:$AE$2&lt;AA$2))),2))))</f>
      </c>
      <c r="AL293" s="33">
        <f>IF(AB293&lt;=0,0,MAX(0,MIN(AB293,ROUND($AZ293-SUMPRODUCT($V293:$AE293*($V293:$AE293&gt;0)*(($V$3:$AE$3&gt;AB$3)+($V$3:$AE$3=AB$3)*($V293:$AE293&lt;AB293)+($V$3:$AE$3=AB$3)*($V293:$AE293=AB293)*($V$2:$AE$2&lt;AB$2))),2))))</f>
      </c>
      <c r="AM293" s="33">
        <f>IF(AC293&lt;=0,0,MAX(0,MIN(AC293,ROUND($AZ293-SUMPRODUCT($V293:$AE293*($V293:$AE293&gt;0)*(($V$3:$AE$3&gt;AC$3)+($V$3:$AE$3=AC$3)*($V293:$AE293&lt;AC293)+($V$3:$AE$3=AC$3)*($V293:$AE293=AC293)*($V$2:$AE$2&lt;AC$2))),2))))</f>
      </c>
      <c r="AN293" s="33">
        <f>IF(AD293&lt;=0,0,MAX(0,MIN(AD293,ROUND($AZ293-SUMPRODUCT($V293:$AE293*($V293:$AE293&gt;0)*(($V$3:$AE$3&gt;AD$3)+($V$3:$AE$3=AD$3)*($V293:$AE293&lt;AD293)+($V$3:$AE$3=AD$3)*($V293:$AE293=AD293)*($V$2:$AE$2&lt;AD$2))),2))))</f>
      </c>
      <c r="AO293" s="33">
        <f>IF(AE293&lt;=0,0,MAX(0,MIN(AE293,ROUND($AZ293-SUMPRODUCT($V293:$AE293*($V293:$AE293&gt;0)*(($V$3:$AE$3&gt;AE$3)+($V$3:$AE$3=AE$3)*($V293:$AE293&lt;AE293)+($V$3:$AE$3=AE$3)*($V293:$AE293=AE293)*($V$2:$AE$2&lt;AE$2))),2))))</f>
      </c>
      <c r="AP293" s="33">
        <f>ROUND(V293-AF293,2)</f>
      </c>
      <c r="AQ293" s="33">
        <f>ROUND(W293-AG293,2)</f>
      </c>
      <c r="AR293" s="33">
        <f>ROUND(X293-AH293,2)</f>
      </c>
      <c r="AS293" s="33">
        <f>ROUND(Y293-AI293,2)</f>
      </c>
      <c r="AT293" s="33">
        <f>ROUND(Z293-AJ293,2)</f>
      </c>
      <c r="AU293" s="33">
        <f>ROUND(AA293-AK293,2)</f>
      </c>
      <c r="AV293" s="33">
        <f>ROUND(AB293-AL293,2)</f>
      </c>
      <c r="AW293" s="33">
        <f>ROUND(AC293-AM293,2)</f>
      </c>
      <c r="AX293" s="33">
        <f>ROUND(AD293-AN293,2)</f>
      </c>
      <c r="AY293" s="33">
        <f>ROUND(AE293-AO293,2)</f>
      </c>
      <c r="AZ293" s="33">
        <f>ROUND(MAX(0,'Your debts'!$D$22-SUM($L293:$U293)),2)</f>
      </c>
      <c r="BA293" s="33">
        <f>ROUND(SUM($B293:$K293)-SUM($AP292:$AY292),2)</f>
      </c>
      <c r="BB293" s="33">
        <f>SUM($AP293:$AY293)</f>
      </c>
      <c r="BC293" s="33">
        <f>ROUND(SUM($L293:$U293)+SUM($AF293:$AO293),2)</f>
      </c>
    </row>
    <row r="294" spans="1:55" x14ac:dyDescent="0.25">
      <c r="A294">
        <v>287</v>
      </c>
      <c r="B294" s="33">
        <f>IF(AP293&lt;=0,0,ROUND(AP293+ROUND(AP293*V$3/12,2),2))</f>
      </c>
      <c r="C294" s="33">
        <f>IF(AQ293&lt;=0,0,ROUND(AQ293+ROUND(AQ293*W$3/12,2),2))</f>
      </c>
      <c r="D294" s="33">
        <f>IF(AR293&lt;=0,0,ROUND(AR293+ROUND(AR293*X$3/12,2),2))</f>
      </c>
      <c r="E294" s="33">
        <f>IF(AS293&lt;=0,0,ROUND(AS293+ROUND(AS293*Y$3/12,2),2))</f>
      </c>
      <c r="F294" s="33">
        <f>IF(AT293&lt;=0,0,ROUND(AT293+ROUND(AT293*Z$3/12,2),2))</f>
      </c>
      <c r="G294" s="33">
        <f>IF(AU293&lt;=0,0,ROUND(AU293+ROUND(AU293*AA$3/12,2),2))</f>
      </c>
      <c r="H294" s="33">
        <f>IF(AV293&lt;=0,0,ROUND(AV293+ROUND(AV293*AB$3/12,2),2))</f>
      </c>
      <c r="I294" s="33">
        <f>IF(AW293&lt;=0,0,ROUND(AW293+ROUND(AW293*AC$3/12,2),2))</f>
      </c>
      <c r="J294" s="33">
        <f>IF(AX293&lt;=0,0,ROUND(AX293+ROUND(AX293*AD$3/12,2),2))</f>
      </c>
      <c r="K294" s="33">
        <f>IF(AY293&lt;=0,0,ROUND(AY293+ROUND(AY293*AE$3/12,2),2))</f>
      </c>
      <c r="L294" s="33">
        <f>ROUND(MIN(MAX(0,N('Your debts'!$E$6)),B294),2)</f>
      </c>
      <c r="M294" s="33">
        <f>ROUND(MIN(MAX(0,N('Your debts'!$E$7)),C294),2)</f>
      </c>
      <c r="N294" s="33">
        <f>ROUND(MIN(MAX(0,N('Your debts'!$E$8)),D294),2)</f>
      </c>
      <c r="O294" s="33">
        <f>ROUND(MIN(MAX(0,N('Your debts'!$E$9)),E294),2)</f>
      </c>
      <c r="P294" s="33">
        <f>ROUND(MIN(MAX(0,N('Your debts'!$E$10)),F294),2)</f>
      </c>
      <c r="Q294" s="33">
        <f>ROUND(MIN(MAX(0,N('Your debts'!$E$11)),G294),2)</f>
      </c>
      <c r="R294" s="33">
        <f>ROUND(MIN(MAX(0,N('Your debts'!$E$12)),H294),2)</f>
      </c>
      <c r="S294" s="33">
        <f>ROUND(MIN(MAX(0,N('Your debts'!$E$13)),I294),2)</f>
      </c>
      <c r="T294" s="33">
        <f>ROUND(MIN(MAX(0,N('Your debts'!$E$14)),J294),2)</f>
      </c>
      <c r="U294" s="33">
        <f>ROUND(MIN(MAX(0,N('Your debts'!$E$15)),K294),2)</f>
      </c>
      <c r="V294" s="33">
        <f>ROUND(B294-L294,2)</f>
      </c>
      <c r="W294" s="33">
        <f>ROUND(C294-M294,2)</f>
      </c>
      <c r="X294" s="33">
        <f>ROUND(D294-N294,2)</f>
      </c>
      <c r="Y294" s="33">
        <f>ROUND(E294-O294,2)</f>
      </c>
      <c r="Z294" s="33">
        <f>ROUND(F294-P294,2)</f>
      </c>
      <c r="AA294" s="33">
        <f>ROUND(G294-Q294,2)</f>
      </c>
      <c r="AB294" s="33">
        <f>ROUND(H294-R294,2)</f>
      </c>
      <c r="AC294" s="33">
        <f>ROUND(I294-S294,2)</f>
      </c>
      <c r="AD294" s="33">
        <f>ROUND(J294-T294,2)</f>
      </c>
      <c r="AE294" s="33">
        <f>ROUND(K294-U294,2)</f>
      </c>
      <c r="AF294" s="33">
        <f>IF(V294&lt;=0,0,MAX(0,MIN(V294,ROUND($AZ294-SUMPRODUCT($V294:$AE294*($V294:$AE294&gt;0)*(($V$3:$AE$3&gt;V$3)+($V$3:$AE$3=V$3)*($V294:$AE294&lt;V294)+($V$3:$AE$3=V$3)*($V294:$AE294=V294)*($V$2:$AE$2&lt;V$2))),2))))</f>
      </c>
      <c r="AG294" s="33">
        <f>IF(W294&lt;=0,0,MAX(0,MIN(W294,ROUND($AZ294-SUMPRODUCT($V294:$AE294*($V294:$AE294&gt;0)*(($V$3:$AE$3&gt;W$3)+($V$3:$AE$3=W$3)*($V294:$AE294&lt;W294)+($V$3:$AE$3=W$3)*($V294:$AE294=W294)*($V$2:$AE$2&lt;W$2))),2))))</f>
      </c>
      <c r="AH294" s="33">
        <f>IF(X294&lt;=0,0,MAX(0,MIN(X294,ROUND($AZ294-SUMPRODUCT($V294:$AE294*($V294:$AE294&gt;0)*(($V$3:$AE$3&gt;X$3)+($V$3:$AE$3=X$3)*($V294:$AE294&lt;X294)+($V$3:$AE$3=X$3)*($V294:$AE294=X294)*($V$2:$AE$2&lt;X$2))),2))))</f>
      </c>
      <c r="AI294" s="33">
        <f>IF(Y294&lt;=0,0,MAX(0,MIN(Y294,ROUND($AZ294-SUMPRODUCT($V294:$AE294*($V294:$AE294&gt;0)*(($V$3:$AE$3&gt;Y$3)+($V$3:$AE$3=Y$3)*($V294:$AE294&lt;Y294)+($V$3:$AE$3=Y$3)*($V294:$AE294=Y294)*($V$2:$AE$2&lt;Y$2))),2))))</f>
      </c>
      <c r="AJ294" s="33">
        <f>IF(Z294&lt;=0,0,MAX(0,MIN(Z294,ROUND($AZ294-SUMPRODUCT($V294:$AE294*($V294:$AE294&gt;0)*(($V$3:$AE$3&gt;Z$3)+($V$3:$AE$3=Z$3)*($V294:$AE294&lt;Z294)+($V$3:$AE$3=Z$3)*($V294:$AE294=Z294)*($V$2:$AE$2&lt;Z$2))),2))))</f>
      </c>
      <c r="AK294" s="33">
        <f>IF(AA294&lt;=0,0,MAX(0,MIN(AA294,ROUND($AZ294-SUMPRODUCT($V294:$AE294*($V294:$AE294&gt;0)*(($V$3:$AE$3&gt;AA$3)+($V$3:$AE$3=AA$3)*($V294:$AE294&lt;AA294)+($V$3:$AE$3=AA$3)*($V294:$AE294=AA294)*($V$2:$AE$2&lt;AA$2))),2))))</f>
      </c>
      <c r="AL294" s="33">
        <f>IF(AB294&lt;=0,0,MAX(0,MIN(AB294,ROUND($AZ294-SUMPRODUCT($V294:$AE294*($V294:$AE294&gt;0)*(($V$3:$AE$3&gt;AB$3)+($V$3:$AE$3=AB$3)*($V294:$AE294&lt;AB294)+($V$3:$AE$3=AB$3)*($V294:$AE294=AB294)*($V$2:$AE$2&lt;AB$2))),2))))</f>
      </c>
      <c r="AM294" s="33">
        <f>IF(AC294&lt;=0,0,MAX(0,MIN(AC294,ROUND($AZ294-SUMPRODUCT($V294:$AE294*($V294:$AE294&gt;0)*(($V$3:$AE$3&gt;AC$3)+($V$3:$AE$3=AC$3)*($V294:$AE294&lt;AC294)+($V$3:$AE$3=AC$3)*($V294:$AE294=AC294)*($V$2:$AE$2&lt;AC$2))),2))))</f>
      </c>
      <c r="AN294" s="33">
        <f>IF(AD294&lt;=0,0,MAX(0,MIN(AD294,ROUND($AZ294-SUMPRODUCT($V294:$AE294*($V294:$AE294&gt;0)*(($V$3:$AE$3&gt;AD$3)+($V$3:$AE$3=AD$3)*($V294:$AE294&lt;AD294)+($V$3:$AE$3=AD$3)*($V294:$AE294=AD294)*($V$2:$AE$2&lt;AD$2))),2))))</f>
      </c>
      <c r="AO294" s="33">
        <f>IF(AE294&lt;=0,0,MAX(0,MIN(AE294,ROUND($AZ294-SUMPRODUCT($V294:$AE294*($V294:$AE294&gt;0)*(($V$3:$AE$3&gt;AE$3)+($V$3:$AE$3=AE$3)*($V294:$AE294&lt;AE294)+($V$3:$AE$3=AE$3)*($V294:$AE294=AE294)*($V$2:$AE$2&lt;AE$2))),2))))</f>
      </c>
      <c r="AP294" s="33">
        <f>ROUND(V294-AF294,2)</f>
      </c>
      <c r="AQ294" s="33">
        <f>ROUND(W294-AG294,2)</f>
      </c>
      <c r="AR294" s="33">
        <f>ROUND(X294-AH294,2)</f>
      </c>
      <c r="AS294" s="33">
        <f>ROUND(Y294-AI294,2)</f>
      </c>
      <c r="AT294" s="33">
        <f>ROUND(Z294-AJ294,2)</f>
      </c>
      <c r="AU294" s="33">
        <f>ROUND(AA294-AK294,2)</f>
      </c>
      <c r="AV294" s="33">
        <f>ROUND(AB294-AL294,2)</f>
      </c>
      <c r="AW294" s="33">
        <f>ROUND(AC294-AM294,2)</f>
      </c>
      <c r="AX294" s="33">
        <f>ROUND(AD294-AN294,2)</f>
      </c>
      <c r="AY294" s="33">
        <f>ROUND(AE294-AO294,2)</f>
      </c>
      <c r="AZ294" s="33">
        <f>ROUND(MAX(0,'Your debts'!$D$22-SUM($L294:$U294)),2)</f>
      </c>
      <c r="BA294" s="33">
        <f>ROUND(SUM($B294:$K294)-SUM($AP293:$AY293),2)</f>
      </c>
      <c r="BB294" s="33">
        <f>SUM($AP294:$AY294)</f>
      </c>
      <c r="BC294" s="33">
        <f>ROUND(SUM($L294:$U294)+SUM($AF294:$AO294),2)</f>
      </c>
    </row>
    <row r="295" spans="1:55" x14ac:dyDescent="0.25">
      <c r="A295">
        <v>288</v>
      </c>
      <c r="B295" s="33">
        <f>IF(AP294&lt;=0,0,ROUND(AP294+ROUND(AP294*V$3/12,2),2))</f>
      </c>
      <c r="C295" s="33">
        <f>IF(AQ294&lt;=0,0,ROUND(AQ294+ROUND(AQ294*W$3/12,2),2))</f>
      </c>
      <c r="D295" s="33">
        <f>IF(AR294&lt;=0,0,ROUND(AR294+ROUND(AR294*X$3/12,2),2))</f>
      </c>
      <c r="E295" s="33">
        <f>IF(AS294&lt;=0,0,ROUND(AS294+ROUND(AS294*Y$3/12,2),2))</f>
      </c>
      <c r="F295" s="33">
        <f>IF(AT294&lt;=0,0,ROUND(AT294+ROUND(AT294*Z$3/12,2),2))</f>
      </c>
      <c r="G295" s="33">
        <f>IF(AU294&lt;=0,0,ROUND(AU294+ROUND(AU294*AA$3/12,2),2))</f>
      </c>
      <c r="H295" s="33">
        <f>IF(AV294&lt;=0,0,ROUND(AV294+ROUND(AV294*AB$3/12,2),2))</f>
      </c>
      <c r="I295" s="33">
        <f>IF(AW294&lt;=0,0,ROUND(AW294+ROUND(AW294*AC$3/12,2),2))</f>
      </c>
      <c r="J295" s="33">
        <f>IF(AX294&lt;=0,0,ROUND(AX294+ROUND(AX294*AD$3/12,2),2))</f>
      </c>
      <c r="K295" s="33">
        <f>IF(AY294&lt;=0,0,ROUND(AY294+ROUND(AY294*AE$3/12,2),2))</f>
      </c>
      <c r="L295" s="33">
        <f>ROUND(MIN(MAX(0,N('Your debts'!$E$6)),B295),2)</f>
      </c>
      <c r="M295" s="33">
        <f>ROUND(MIN(MAX(0,N('Your debts'!$E$7)),C295),2)</f>
      </c>
      <c r="N295" s="33">
        <f>ROUND(MIN(MAX(0,N('Your debts'!$E$8)),D295),2)</f>
      </c>
      <c r="O295" s="33">
        <f>ROUND(MIN(MAX(0,N('Your debts'!$E$9)),E295),2)</f>
      </c>
      <c r="P295" s="33">
        <f>ROUND(MIN(MAX(0,N('Your debts'!$E$10)),F295),2)</f>
      </c>
      <c r="Q295" s="33">
        <f>ROUND(MIN(MAX(0,N('Your debts'!$E$11)),G295),2)</f>
      </c>
      <c r="R295" s="33">
        <f>ROUND(MIN(MAX(0,N('Your debts'!$E$12)),H295),2)</f>
      </c>
      <c r="S295" s="33">
        <f>ROUND(MIN(MAX(0,N('Your debts'!$E$13)),I295),2)</f>
      </c>
      <c r="T295" s="33">
        <f>ROUND(MIN(MAX(0,N('Your debts'!$E$14)),J295),2)</f>
      </c>
      <c r="U295" s="33">
        <f>ROUND(MIN(MAX(0,N('Your debts'!$E$15)),K295),2)</f>
      </c>
      <c r="V295" s="33">
        <f>ROUND(B295-L295,2)</f>
      </c>
      <c r="W295" s="33">
        <f>ROUND(C295-M295,2)</f>
      </c>
      <c r="X295" s="33">
        <f>ROUND(D295-N295,2)</f>
      </c>
      <c r="Y295" s="33">
        <f>ROUND(E295-O295,2)</f>
      </c>
      <c r="Z295" s="33">
        <f>ROUND(F295-P295,2)</f>
      </c>
      <c r="AA295" s="33">
        <f>ROUND(G295-Q295,2)</f>
      </c>
      <c r="AB295" s="33">
        <f>ROUND(H295-R295,2)</f>
      </c>
      <c r="AC295" s="33">
        <f>ROUND(I295-S295,2)</f>
      </c>
      <c r="AD295" s="33">
        <f>ROUND(J295-T295,2)</f>
      </c>
      <c r="AE295" s="33">
        <f>ROUND(K295-U295,2)</f>
      </c>
      <c r="AF295" s="33">
        <f>IF(V295&lt;=0,0,MAX(0,MIN(V295,ROUND($AZ295-SUMPRODUCT($V295:$AE295*($V295:$AE295&gt;0)*(($V$3:$AE$3&gt;V$3)+($V$3:$AE$3=V$3)*($V295:$AE295&lt;V295)+($V$3:$AE$3=V$3)*($V295:$AE295=V295)*($V$2:$AE$2&lt;V$2))),2))))</f>
      </c>
      <c r="AG295" s="33">
        <f>IF(W295&lt;=0,0,MAX(0,MIN(W295,ROUND($AZ295-SUMPRODUCT($V295:$AE295*($V295:$AE295&gt;0)*(($V$3:$AE$3&gt;W$3)+($V$3:$AE$3=W$3)*($V295:$AE295&lt;W295)+($V$3:$AE$3=W$3)*($V295:$AE295=W295)*($V$2:$AE$2&lt;W$2))),2))))</f>
      </c>
      <c r="AH295" s="33">
        <f>IF(X295&lt;=0,0,MAX(0,MIN(X295,ROUND($AZ295-SUMPRODUCT($V295:$AE295*($V295:$AE295&gt;0)*(($V$3:$AE$3&gt;X$3)+($V$3:$AE$3=X$3)*($V295:$AE295&lt;X295)+($V$3:$AE$3=X$3)*($V295:$AE295=X295)*($V$2:$AE$2&lt;X$2))),2))))</f>
      </c>
      <c r="AI295" s="33">
        <f>IF(Y295&lt;=0,0,MAX(0,MIN(Y295,ROUND($AZ295-SUMPRODUCT($V295:$AE295*($V295:$AE295&gt;0)*(($V$3:$AE$3&gt;Y$3)+($V$3:$AE$3=Y$3)*($V295:$AE295&lt;Y295)+($V$3:$AE$3=Y$3)*($V295:$AE295=Y295)*($V$2:$AE$2&lt;Y$2))),2))))</f>
      </c>
      <c r="AJ295" s="33">
        <f>IF(Z295&lt;=0,0,MAX(0,MIN(Z295,ROUND($AZ295-SUMPRODUCT($V295:$AE295*($V295:$AE295&gt;0)*(($V$3:$AE$3&gt;Z$3)+($V$3:$AE$3=Z$3)*($V295:$AE295&lt;Z295)+($V$3:$AE$3=Z$3)*($V295:$AE295=Z295)*($V$2:$AE$2&lt;Z$2))),2))))</f>
      </c>
      <c r="AK295" s="33">
        <f>IF(AA295&lt;=0,0,MAX(0,MIN(AA295,ROUND($AZ295-SUMPRODUCT($V295:$AE295*($V295:$AE295&gt;0)*(($V$3:$AE$3&gt;AA$3)+($V$3:$AE$3=AA$3)*($V295:$AE295&lt;AA295)+($V$3:$AE$3=AA$3)*($V295:$AE295=AA295)*($V$2:$AE$2&lt;AA$2))),2))))</f>
      </c>
      <c r="AL295" s="33">
        <f>IF(AB295&lt;=0,0,MAX(0,MIN(AB295,ROUND($AZ295-SUMPRODUCT($V295:$AE295*($V295:$AE295&gt;0)*(($V$3:$AE$3&gt;AB$3)+($V$3:$AE$3=AB$3)*($V295:$AE295&lt;AB295)+($V$3:$AE$3=AB$3)*($V295:$AE295=AB295)*($V$2:$AE$2&lt;AB$2))),2))))</f>
      </c>
      <c r="AM295" s="33">
        <f>IF(AC295&lt;=0,0,MAX(0,MIN(AC295,ROUND($AZ295-SUMPRODUCT($V295:$AE295*($V295:$AE295&gt;0)*(($V$3:$AE$3&gt;AC$3)+($V$3:$AE$3=AC$3)*($V295:$AE295&lt;AC295)+($V$3:$AE$3=AC$3)*($V295:$AE295=AC295)*($V$2:$AE$2&lt;AC$2))),2))))</f>
      </c>
      <c r="AN295" s="33">
        <f>IF(AD295&lt;=0,0,MAX(0,MIN(AD295,ROUND($AZ295-SUMPRODUCT($V295:$AE295*($V295:$AE295&gt;0)*(($V$3:$AE$3&gt;AD$3)+($V$3:$AE$3=AD$3)*($V295:$AE295&lt;AD295)+($V$3:$AE$3=AD$3)*($V295:$AE295=AD295)*($V$2:$AE$2&lt;AD$2))),2))))</f>
      </c>
      <c r="AO295" s="33">
        <f>IF(AE295&lt;=0,0,MAX(0,MIN(AE295,ROUND($AZ295-SUMPRODUCT($V295:$AE295*($V295:$AE295&gt;0)*(($V$3:$AE$3&gt;AE$3)+($V$3:$AE$3=AE$3)*($V295:$AE295&lt;AE295)+($V$3:$AE$3=AE$3)*($V295:$AE295=AE295)*($V$2:$AE$2&lt;AE$2))),2))))</f>
      </c>
      <c r="AP295" s="33">
        <f>ROUND(V295-AF295,2)</f>
      </c>
      <c r="AQ295" s="33">
        <f>ROUND(W295-AG295,2)</f>
      </c>
      <c r="AR295" s="33">
        <f>ROUND(X295-AH295,2)</f>
      </c>
      <c r="AS295" s="33">
        <f>ROUND(Y295-AI295,2)</f>
      </c>
      <c r="AT295" s="33">
        <f>ROUND(Z295-AJ295,2)</f>
      </c>
      <c r="AU295" s="33">
        <f>ROUND(AA295-AK295,2)</f>
      </c>
      <c r="AV295" s="33">
        <f>ROUND(AB295-AL295,2)</f>
      </c>
      <c r="AW295" s="33">
        <f>ROUND(AC295-AM295,2)</f>
      </c>
      <c r="AX295" s="33">
        <f>ROUND(AD295-AN295,2)</f>
      </c>
      <c r="AY295" s="33">
        <f>ROUND(AE295-AO295,2)</f>
      </c>
      <c r="AZ295" s="33">
        <f>ROUND(MAX(0,'Your debts'!$D$22-SUM($L295:$U295)),2)</f>
      </c>
      <c r="BA295" s="33">
        <f>ROUND(SUM($B295:$K295)-SUM($AP294:$AY294),2)</f>
      </c>
      <c r="BB295" s="33">
        <f>SUM($AP295:$AY295)</f>
      </c>
      <c r="BC295" s="33">
        <f>ROUND(SUM($L295:$U295)+SUM($AF295:$AO295),2)</f>
      </c>
    </row>
    <row r="296" spans="1:55" x14ac:dyDescent="0.25">
      <c r="A296">
        <v>289</v>
      </c>
      <c r="B296" s="33">
        <f>IF(AP295&lt;=0,0,ROUND(AP295+ROUND(AP295*V$3/12,2),2))</f>
      </c>
      <c r="C296" s="33">
        <f>IF(AQ295&lt;=0,0,ROUND(AQ295+ROUND(AQ295*W$3/12,2),2))</f>
      </c>
      <c r="D296" s="33">
        <f>IF(AR295&lt;=0,0,ROUND(AR295+ROUND(AR295*X$3/12,2),2))</f>
      </c>
      <c r="E296" s="33">
        <f>IF(AS295&lt;=0,0,ROUND(AS295+ROUND(AS295*Y$3/12,2),2))</f>
      </c>
      <c r="F296" s="33">
        <f>IF(AT295&lt;=0,0,ROUND(AT295+ROUND(AT295*Z$3/12,2),2))</f>
      </c>
      <c r="G296" s="33">
        <f>IF(AU295&lt;=0,0,ROUND(AU295+ROUND(AU295*AA$3/12,2),2))</f>
      </c>
      <c r="H296" s="33">
        <f>IF(AV295&lt;=0,0,ROUND(AV295+ROUND(AV295*AB$3/12,2),2))</f>
      </c>
      <c r="I296" s="33">
        <f>IF(AW295&lt;=0,0,ROUND(AW295+ROUND(AW295*AC$3/12,2),2))</f>
      </c>
      <c r="J296" s="33">
        <f>IF(AX295&lt;=0,0,ROUND(AX295+ROUND(AX295*AD$3/12,2),2))</f>
      </c>
      <c r="K296" s="33">
        <f>IF(AY295&lt;=0,0,ROUND(AY295+ROUND(AY295*AE$3/12,2),2))</f>
      </c>
      <c r="L296" s="33">
        <f>ROUND(MIN(MAX(0,N('Your debts'!$E$6)),B296),2)</f>
      </c>
      <c r="M296" s="33">
        <f>ROUND(MIN(MAX(0,N('Your debts'!$E$7)),C296),2)</f>
      </c>
      <c r="N296" s="33">
        <f>ROUND(MIN(MAX(0,N('Your debts'!$E$8)),D296),2)</f>
      </c>
      <c r="O296" s="33">
        <f>ROUND(MIN(MAX(0,N('Your debts'!$E$9)),E296),2)</f>
      </c>
      <c r="P296" s="33">
        <f>ROUND(MIN(MAX(0,N('Your debts'!$E$10)),F296),2)</f>
      </c>
      <c r="Q296" s="33">
        <f>ROUND(MIN(MAX(0,N('Your debts'!$E$11)),G296),2)</f>
      </c>
      <c r="R296" s="33">
        <f>ROUND(MIN(MAX(0,N('Your debts'!$E$12)),H296),2)</f>
      </c>
      <c r="S296" s="33">
        <f>ROUND(MIN(MAX(0,N('Your debts'!$E$13)),I296),2)</f>
      </c>
      <c r="T296" s="33">
        <f>ROUND(MIN(MAX(0,N('Your debts'!$E$14)),J296),2)</f>
      </c>
      <c r="U296" s="33">
        <f>ROUND(MIN(MAX(0,N('Your debts'!$E$15)),K296),2)</f>
      </c>
      <c r="V296" s="33">
        <f>ROUND(B296-L296,2)</f>
      </c>
      <c r="W296" s="33">
        <f>ROUND(C296-M296,2)</f>
      </c>
      <c r="X296" s="33">
        <f>ROUND(D296-N296,2)</f>
      </c>
      <c r="Y296" s="33">
        <f>ROUND(E296-O296,2)</f>
      </c>
      <c r="Z296" s="33">
        <f>ROUND(F296-P296,2)</f>
      </c>
      <c r="AA296" s="33">
        <f>ROUND(G296-Q296,2)</f>
      </c>
      <c r="AB296" s="33">
        <f>ROUND(H296-R296,2)</f>
      </c>
      <c r="AC296" s="33">
        <f>ROUND(I296-S296,2)</f>
      </c>
      <c r="AD296" s="33">
        <f>ROUND(J296-T296,2)</f>
      </c>
      <c r="AE296" s="33">
        <f>ROUND(K296-U296,2)</f>
      </c>
      <c r="AF296" s="33">
        <f>IF(V296&lt;=0,0,MAX(0,MIN(V296,ROUND($AZ296-SUMPRODUCT($V296:$AE296*($V296:$AE296&gt;0)*(($V$3:$AE$3&gt;V$3)+($V$3:$AE$3=V$3)*($V296:$AE296&lt;V296)+($V$3:$AE$3=V$3)*($V296:$AE296=V296)*($V$2:$AE$2&lt;V$2))),2))))</f>
      </c>
      <c r="AG296" s="33">
        <f>IF(W296&lt;=0,0,MAX(0,MIN(W296,ROUND($AZ296-SUMPRODUCT($V296:$AE296*($V296:$AE296&gt;0)*(($V$3:$AE$3&gt;W$3)+($V$3:$AE$3=W$3)*($V296:$AE296&lt;W296)+($V$3:$AE$3=W$3)*($V296:$AE296=W296)*($V$2:$AE$2&lt;W$2))),2))))</f>
      </c>
      <c r="AH296" s="33">
        <f>IF(X296&lt;=0,0,MAX(0,MIN(X296,ROUND($AZ296-SUMPRODUCT($V296:$AE296*($V296:$AE296&gt;0)*(($V$3:$AE$3&gt;X$3)+($V$3:$AE$3=X$3)*($V296:$AE296&lt;X296)+($V$3:$AE$3=X$3)*($V296:$AE296=X296)*($V$2:$AE$2&lt;X$2))),2))))</f>
      </c>
      <c r="AI296" s="33">
        <f>IF(Y296&lt;=0,0,MAX(0,MIN(Y296,ROUND($AZ296-SUMPRODUCT($V296:$AE296*($V296:$AE296&gt;0)*(($V$3:$AE$3&gt;Y$3)+($V$3:$AE$3=Y$3)*($V296:$AE296&lt;Y296)+($V$3:$AE$3=Y$3)*($V296:$AE296=Y296)*($V$2:$AE$2&lt;Y$2))),2))))</f>
      </c>
      <c r="AJ296" s="33">
        <f>IF(Z296&lt;=0,0,MAX(0,MIN(Z296,ROUND($AZ296-SUMPRODUCT($V296:$AE296*($V296:$AE296&gt;0)*(($V$3:$AE$3&gt;Z$3)+($V$3:$AE$3=Z$3)*($V296:$AE296&lt;Z296)+($V$3:$AE$3=Z$3)*($V296:$AE296=Z296)*($V$2:$AE$2&lt;Z$2))),2))))</f>
      </c>
      <c r="AK296" s="33">
        <f>IF(AA296&lt;=0,0,MAX(0,MIN(AA296,ROUND($AZ296-SUMPRODUCT($V296:$AE296*($V296:$AE296&gt;0)*(($V$3:$AE$3&gt;AA$3)+($V$3:$AE$3=AA$3)*($V296:$AE296&lt;AA296)+($V$3:$AE$3=AA$3)*($V296:$AE296=AA296)*($V$2:$AE$2&lt;AA$2))),2))))</f>
      </c>
      <c r="AL296" s="33">
        <f>IF(AB296&lt;=0,0,MAX(0,MIN(AB296,ROUND($AZ296-SUMPRODUCT($V296:$AE296*($V296:$AE296&gt;0)*(($V$3:$AE$3&gt;AB$3)+($V$3:$AE$3=AB$3)*($V296:$AE296&lt;AB296)+($V$3:$AE$3=AB$3)*($V296:$AE296=AB296)*($V$2:$AE$2&lt;AB$2))),2))))</f>
      </c>
      <c r="AM296" s="33">
        <f>IF(AC296&lt;=0,0,MAX(0,MIN(AC296,ROUND($AZ296-SUMPRODUCT($V296:$AE296*($V296:$AE296&gt;0)*(($V$3:$AE$3&gt;AC$3)+($V$3:$AE$3=AC$3)*($V296:$AE296&lt;AC296)+($V$3:$AE$3=AC$3)*($V296:$AE296=AC296)*($V$2:$AE$2&lt;AC$2))),2))))</f>
      </c>
      <c r="AN296" s="33">
        <f>IF(AD296&lt;=0,0,MAX(0,MIN(AD296,ROUND($AZ296-SUMPRODUCT($V296:$AE296*($V296:$AE296&gt;0)*(($V$3:$AE$3&gt;AD$3)+($V$3:$AE$3=AD$3)*($V296:$AE296&lt;AD296)+($V$3:$AE$3=AD$3)*($V296:$AE296=AD296)*($V$2:$AE$2&lt;AD$2))),2))))</f>
      </c>
      <c r="AO296" s="33">
        <f>IF(AE296&lt;=0,0,MAX(0,MIN(AE296,ROUND($AZ296-SUMPRODUCT($V296:$AE296*($V296:$AE296&gt;0)*(($V$3:$AE$3&gt;AE$3)+($V$3:$AE$3=AE$3)*($V296:$AE296&lt;AE296)+($V$3:$AE$3=AE$3)*($V296:$AE296=AE296)*($V$2:$AE$2&lt;AE$2))),2))))</f>
      </c>
      <c r="AP296" s="33">
        <f>ROUND(V296-AF296,2)</f>
      </c>
      <c r="AQ296" s="33">
        <f>ROUND(W296-AG296,2)</f>
      </c>
      <c r="AR296" s="33">
        <f>ROUND(X296-AH296,2)</f>
      </c>
      <c r="AS296" s="33">
        <f>ROUND(Y296-AI296,2)</f>
      </c>
      <c r="AT296" s="33">
        <f>ROUND(Z296-AJ296,2)</f>
      </c>
      <c r="AU296" s="33">
        <f>ROUND(AA296-AK296,2)</f>
      </c>
      <c r="AV296" s="33">
        <f>ROUND(AB296-AL296,2)</f>
      </c>
      <c r="AW296" s="33">
        <f>ROUND(AC296-AM296,2)</f>
      </c>
      <c r="AX296" s="33">
        <f>ROUND(AD296-AN296,2)</f>
      </c>
      <c r="AY296" s="33">
        <f>ROUND(AE296-AO296,2)</f>
      </c>
      <c r="AZ296" s="33">
        <f>ROUND(MAX(0,'Your debts'!$D$22-SUM($L296:$U296)),2)</f>
      </c>
      <c r="BA296" s="33">
        <f>ROUND(SUM($B296:$K296)-SUM($AP295:$AY295),2)</f>
      </c>
      <c r="BB296" s="33">
        <f>SUM($AP296:$AY296)</f>
      </c>
      <c r="BC296" s="33">
        <f>ROUND(SUM($L296:$U296)+SUM($AF296:$AO296),2)</f>
      </c>
    </row>
    <row r="297" spans="1:55" x14ac:dyDescent="0.25">
      <c r="A297">
        <v>290</v>
      </c>
      <c r="B297" s="33">
        <f>IF(AP296&lt;=0,0,ROUND(AP296+ROUND(AP296*V$3/12,2),2))</f>
      </c>
      <c r="C297" s="33">
        <f>IF(AQ296&lt;=0,0,ROUND(AQ296+ROUND(AQ296*W$3/12,2),2))</f>
      </c>
      <c r="D297" s="33">
        <f>IF(AR296&lt;=0,0,ROUND(AR296+ROUND(AR296*X$3/12,2),2))</f>
      </c>
      <c r="E297" s="33">
        <f>IF(AS296&lt;=0,0,ROUND(AS296+ROUND(AS296*Y$3/12,2),2))</f>
      </c>
      <c r="F297" s="33">
        <f>IF(AT296&lt;=0,0,ROUND(AT296+ROUND(AT296*Z$3/12,2),2))</f>
      </c>
      <c r="G297" s="33">
        <f>IF(AU296&lt;=0,0,ROUND(AU296+ROUND(AU296*AA$3/12,2),2))</f>
      </c>
      <c r="H297" s="33">
        <f>IF(AV296&lt;=0,0,ROUND(AV296+ROUND(AV296*AB$3/12,2),2))</f>
      </c>
      <c r="I297" s="33">
        <f>IF(AW296&lt;=0,0,ROUND(AW296+ROUND(AW296*AC$3/12,2),2))</f>
      </c>
      <c r="J297" s="33">
        <f>IF(AX296&lt;=0,0,ROUND(AX296+ROUND(AX296*AD$3/12,2),2))</f>
      </c>
      <c r="K297" s="33">
        <f>IF(AY296&lt;=0,0,ROUND(AY296+ROUND(AY296*AE$3/12,2),2))</f>
      </c>
      <c r="L297" s="33">
        <f>ROUND(MIN(MAX(0,N('Your debts'!$E$6)),B297),2)</f>
      </c>
      <c r="M297" s="33">
        <f>ROUND(MIN(MAX(0,N('Your debts'!$E$7)),C297),2)</f>
      </c>
      <c r="N297" s="33">
        <f>ROUND(MIN(MAX(0,N('Your debts'!$E$8)),D297),2)</f>
      </c>
      <c r="O297" s="33">
        <f>ROUND(MIN(MAX(0,N('Your debts'!$E$9)),E297),2)</f>
      </c>
      <c r="P297" s="33">
        <f>ROUND(MIN(MAX(0,N('Your debts'!$E$10)),F297),2)</f>
      </c>
      <c r="Q297" s="33">
        <f>ROUND(MIN(MAX(0,N('Your debts'!$E$11)),G297),2)</f>
      </c>
      <c r="R297" s="33">
        <f>ROUND(MIN(MAX(0,N('Your debts'!$E$12)),H297),2)</f>
      </c>
      <c r="S297" s="33">
        <f>ROUND(MIN(MAX(0,N('Your debts'!$E$13)),I297),2)</f>
      </c>
      <c r="T297" s="33">
        <f>ROUND(MIN(MAX(0,N('Your debts'!$E$14)),J297),2)</f>
      </c>
      <c r="U297" s="33">
        <f>ROUND(MIN(MAX(0,N('Your debts'!$E$15)),K297),2)</f>
      </c>
      <c r="V297" s="33">
        <f>ROUND(B297-L297,2)</f>
      </c>
      <c r="W297" s="33">
        <f>ROUND(C297-M297,2)</f>
      </c>
      <c r="X297" s="33">
        <f>ROUND(D297-N297,2)</f>
      </c>
      <c r="Y297" s="33">
        <f>ROUND(E297-O297,2)</f>
      </c>
      <c r="Z297" s="33">
        <f>ROUND(F297-P297,2)</f>
      </c>
      <c r="AA297" s="33">
        <f>ROUND(G297-Q297,2)</f>
      </c>
      <c r="AB297" s="33">
        <f>ROUND(H297-R297,2)</f>
      </c>
      <c r="AC297" s="33">
        <f>ROUND(I297-S297,2)</f>
      </c>
      <c r="AD297" s="33">
        <f>ROUND(J297-T297,2)</f>
      </c>
      <c r="AE297" s="33">
        <f>ROUND(K297-U297,2)</f>
      </c>
      <c r="AF297" s="33">
        <f>IF(V297&lt;=0,0,MAX(0,MIN(V297,ROUND($AZ297-SUMPRODUCT($V297:$AE297*($V297:$AE297&gt;0)*(($V$3:$AE$3&gt;V$3)+($V$3:$AE$3=V$3)*($V297:$AE297&lt;V297)+($V$3:$AE$3=V$3)*($V297:$AE297=V297)*($V$2:$AE$2&lt;V$2))),2))))</f>
      </c>
      <c r="AG297" s="33">
        <f>IF(W297&lt;=0,0,MAX(0,MIN(W297,ROUND($AZ297-SUMPRODUCT($V297:$AE297*($V297:$AE297&gt;0)*(($V$3:$AE$3&gt;W$3)+($V$3:$AE$3=W$3)*($V297:$AE297&lt;W297)+($V$3:$AE$3=W$3)*($V297:$AE297=W297)*($V$2:$AE$2&lt;W$2))),2))))</f>
      </c>
      <c r="AH297" s="33">
        <f>IF(X297&lt;=0,0,MAX(0,MIN(X297,ROUND($AZ297-SUMPRODUCT($V297:$AE297*($V297:$AE297&gt;0)*(($V$3:$AE$3&gt;X$3)+($V$3:$AE$3=X$3)*($V297:$AE297&lt;X297)+($V$3:$AE$3=X$3)*($V297:$AE297=X297)*($V$2:$AE$2&lt;X$2))),2))))</f>
      </c>
      <c r="AI297" s="33">
        <f>IF(Y297&lt;=0,0,MAX(0,MIN(Y297,ROUND($AZ297-SUMPRODUCT($V297:$AE297*($V297:$AE297&gt;0)*(($V$3:$AE$3&gt;Y$3)+($V$3:$AE$3=Y$3)*($V297:$AE297&lt;Y297)+($V$3:$AE$3=Y$3)*($V297:$AE297=Y297)*($V$2:$AE$2&lt;Y$2))),2))))</f>
      </c>
      <c r="AJ297" s="33">
        <f>IF(Z297&lt;=0,0,MAX(0,MIN(Z297,ROUND($AZ297-SUMPRODUCT($V297:$AE297*($V297:$AE297&gt;0)*(($V$3:$AE$3&gt;Z$3)+($V$3:$AE$3=Z$3)*($V297:$AE297&lt;Z297)+($V$3:$AE$3=Z$3)*($V297:$AE297=Z297)*($V$2:$AE$2&lt;Z$2))),2))))</f>
      </c>
      <c r="AK297" s="33">
        <f>IF(AA297&lt;=0,0,MAX(0,MIN(AA297,ROUND($AZ297-SUMPRODUCT($V297:$AE297*($V297:$AE297&gt;0)*(($V$3:$AE$3&gt;AA$3)+($V$3:$AE$3=AA$3)*($V297:$AE297&lt;AA297)+($V$3:$AE$3=AA$3)*($V297:$AE297=AA297)*($V$2:$AE$2&lt;AA$2))),2))))</f>
      </c>
      <c r="AL297" s="33">
        <f>IF(AB297&lt;=0,0,MAX(0,MIN(AB297,ROUND($AZ297-SUMPRODUCT($V297:$AE297*($V297:$AE297&gt;0)*(($V$3:$AE$3&gt;AB$3)+($V$3:$AE$3=AB$3)*($V297:$AE297&lt;AB297)+($V$3:$AE$3=AB$3)*($V297:$AE297=AB297)*($V$2:$AE$2&lt;AB$2))),2))))</f>
      </c>
      <c r="AM297" s="33">
        <f>IF(AC297&lt;=0,0,MAX(0,MIN(AC297,ROUND($AZ297-SUMPRODUCT($V297:$AE297*($V297:$AE297&gt;0)*(($V$3:$AE$3&gt;AC$3)+($V$3:$AE$3=AC$3)*($V297:$AE297&lt;AC297)+($V$3:$AE$3=AC$3)*($V297:$AE297=AC297)*($V$2:$AE$2&lt;AC$2))),2))))</f>
      </c>
      <c r="AN297" s="33">
        <f>IF(AD297&lt;=0,0,MAX(0,MIN(AD297,ROUND($AZ297-SUMPRODUCT($V297:$AE297*($V297:$AE297&gt;0)*(($V$3:$AE$3&gt;AD$3)+($V$3:$AE$3=AD$3)*($V297:$AE297&lt;AD297)+($V$3:$AE$3=AD$3)*($V297:$AE297=AD297)*($V$2:$AE$2&lt;AD$2))),2))))</f>
      </c>
      <c r="AO297" s="33">
        <f>IF(AE297&lt;=0,0,MAX(0,MIN(AE297,ROUND($AZ297-SUMPRODUCT($V297:$AE297*($V297:$AE297&gt;0)*(($V$3:$AE$3&gt;AE$3)+($V$3:$AE$3=AE$3)*($V297:$AE297&lt;AE297)+($V$3:$AE$3=AE$3)*($V297:$AE297=AE297)*($V$2:$AE$2&lt;AE$2))),2))))</f>
      </c>
      <c r="AP297" s="33">
        <f>ROUND(V297-AF297,2)</f>
      </c>
      <c r="AQ297" s="33">
        <f>ROUND(W297-AG297,2)</f>
      </c>
      <c r="AR297" s="33">
        <f>ROUND(X297-AH297,2)</f>
      </c>
      <c r="AS297" s="33">
        <f>ROUND(Y297-AI297,2)</f>
      </c>
      <c r="AT297" s="33">
        <f>ROUND(Z297-AJ297,2)</f>
      </c>
      <c r="AU297" s="33">
        <f>ROUND(AA297-AK297,2)</f>
      </c>
      <c r="AV297" s="33">
        <f>ROUND(AB297-AL297,2)</f>
      </c>
      <c r="AW297" s="33">
        <f>ROUND(AC297-AM297,2)</f>
      </c>
      <c r="AX297" s="33">
        <f>ROUND(AD297-AN297,2)</f>
      </c>
      <c r="AY297" s="33">
        <f>ROUND(AE297-AO297,2)</f>
      </c>
      <c r="AZ297" s="33">
        <f>ROUND(MAX(0,'Your debts'!$D$22-SUM($L297:$U297)),2)</f>
      </c>
      <c r="BA297" s="33">
        <f>ROUND(SUM($B297:$K297)-SUM($AP296:$AY296),2)</f>
      </c>
      <c r="BB297" s="33">
        <f>SUM($AP297:$AY297)</f>
      </c>
      <c r="BC297" s="33">
        <f>ROUND(SUM($L297:$U297)+SUM($AF297:$AO297),2)</f>
      </c>
    </row>
    <row r="298" spans="1:55" x14ac:dyDescent="0.25">
      <c r="A298">
        <v>291</v>
      </c>
      <c r="B298" s="33">
        <f>IF(AP297&lt;=0,0,ROUND(AP297+ROUND(AP297*V$3/12,2),2))</f>
      </c>
      <c r="C298" s="33">
        <f>IF(AQ297&lt;=0,0,ROUND(AQ297+ROUND(AQ297*W$3/12,2),2))</f>
      </c>
      <c r="D298" s="33">
        <f>IF(AR297&lt;=0,0,ROUND(AR297+ROUND(AR297*X$3/12,2),2))</f>
      </c>
      <c r="E298" s="33">
        <f>IF(AS297&lt;=0,0,ROUND(AS297+ROUND(AS297*Y$3/12,2),2))</f>
      </c>
      <c r="F298" s="33">
        <f>IF(AT297&lt;=0,0,ROUND(AT297+ROUND(AT297*Z$3/12,2),2))</f>
      </c>
      <c r="G298" s="33">
        <f>IF(AU297&lt;=0,0,ROUND(AU297+ROUND(AU297*AA$3/12,2),2))</f>
      </c>
      <c r="H298" s="33">
        <f>IF(AV297&lt;=0,0,ROUND(AV297+ROUND(AV297*AB$3/12,2),2))</f>
      </c>
      <c r="I298" s="33">
        <f>IF(AW297&lt;=0,0,ROUND(AW297+ROUND(AW297*AC$3/12,2),2))</f>
      </c>
      <c r="J298" s="33">
        <f>IF(AX297&lt;=0,0,ROUND(AX297+ROUND(AX297*AD$3/12,2),2))</f>
      </c>
      <c r="K298" s="33">
        <f>IF(AY297&lt;=0,0,ROUND(AY297+ROUND(AY297*AE$3/12,2),2))</f>
      </c>
      <c r="L298" s="33">
        <f>ROUND(MIN(MAX(0,N('Your debts'!$E$6)),B298),2)</f>
      </c>
      <c r="M298" s="33">
        <f>ROUND(MIN(MAX(0,N('Your debts'!$E$7)),C298),2)</f>
      </c>
      <c r="N298" s="33">
        <f>ROUND(MIN(MAX(0,N('Your debts'!$E$8)),D298),2)</f>
      </c>
      <c r="O298" s="33">
        <f>ROUND(MIN(MAX(0,N('Your debts'!$E$9)),E298),2)</f>
      </c>
      <c r="P298" s="33">
        <f>ROUND(MIN(MAX(0,N('Your debts'!$E$10)),F298),2)</f>
      </c>
      <c r="Q298" s="33">
        <f>ROUND(MIN(MAX(0,N('Your debts'!$E$11)),G298),2)</f>
      </c>
      <c r="R298" s="33">
        <f>ROUND(MIN(MAX(0,N('Your debts'!$E$12)),H298),2)</f>
      </c>
      <c r="S298" s="33">
        <f>ROUND(MIN(MAX(0,N('Your debts'!$E$13)),I298),2)</f>
      </c>
      <c r="T298" s="33">
        <f>ROUND(MIN(MAX(0,N('Your debts'!$E$14)),J298),2)</f>
      </c>
      <c r="U298" s="33">
        <f>ROUND(MIN(MAX(0,N('Your debts'!$E$15)),K298),2)</f>
      </c>
      <c r="V298" s="33">
        <f>ROUND(B298-L298,2)</f>
      </c>
      <c r="W298" s="33">
        <f>ROUND(C298-M298,2)</f>
      </c>
      <c r="X298" s="33">
        <f>ROUND(D298-N298,2)</f>
      </c>
      <c r="Y298" s="33">
        <f>ROUND(E298-O298,2)</f>
      </c>
      <c r="Z298" s="33">
        <f>ROUND(F298-P298,2)</f>
      </c>
      <c r="AA298" s="33">
        <f>ROUND(G298-Q298,2)</f>
      </c>
      <c r="AB298" s="33">
        <f>ROUND(H298-R298,2)</f>
      </c>
      <c r="AC298" s="33">
        <f>ROUND(I298-S298,2)</f>
      </c>
      <c r="AD298" s="33">
        <f>ROUND(J298-T298,2)</f>
      </c>
      <c r="AE298" s="33">
        <f>ROUND(K298-U298,2)</f>
      </c>
      <c r="AF298" s="33">
        <f>IF(V298&lt;=0,0,MAX(0,MIN(V298,ROUND($AZ298-SUMPRODUCT($V298:$AE298*($V298:$AE298&gt;0)*(($V$3:$AE$3&gt;V$3)+($V$3:$AE$3=V$3)*($V298:$AE298&lt;V298)+($V$3:$AE$3=V$3)*($V298:$AE298=V298)*($V$2:$AE$2&lt;V$2))),2))))</f>
      </c>
      <c r="AG298" s="33">
        <f>IF(W298&lt;=0,0,MAX(0,MIN(W298,ROUND($AZ298-SUMPRODUCT($V298:$AE298*($V298:$AE298&gt;0)*(($V$3:$AE$3&gt;W$3)+($V$3:$AE$3=W$3)*($V298:$AE298&lt;W298)+($V$3:$AE$3=W$3)*($V298:$AE298=W298)*($V$2:$AE$2&lt;W$2))),2))))</f>
      </c>
      <c r="AH298" s="33">
        <f>IF(X298&lt;=0,0,MAX(0,MIN(X298,ROUND($AZ298-SUMPRODUCT($V298:$AE298*($V298:$AE298&gt;0)*(($V$3:$AE$3&gt;X$3)+($V$3:$AE$3=X$3)*($V298:$AE298&lt;X298)+($V$3:$AE$3=X$3)*($V298:$AE298=X298)*($V$2:$AE$2&lt;X$2))),2))))</f>
      </c>
      <c r="AI298" s="33">
        <f>IF(Y298&lt;=0,0,MAX(0,MIN(Y298,ROUND($AZ298-SUMPRODUCT($V298:$AE298*($V298:$AE298&gt;0)*(($V$3:$AE$3&gt;Y$3)+($V$3:$AE$3=Y$3)*($V298:$AE298&lt;Y298)+($V$3:$AE$3=Y$3)*($V298:$AE298=Y298)*($V$2:$AE$2&lt;Y$2))),2))))</f>
      </c>
      <c r="AJ298" s="33">
        <f>IF(Z298&lt;=0,0,MAX(0,MIN(Z298,ROUND($AZ298-SUMPRODUCT($V298:$AE298*($V298:$AE298&gt;0)*(($V$3:$AE$3&gt;Z$3)+($V$3:$AE$3=Z$3)*($V298:$AE298&lt;Z298)+($V$3:$AE$3=Z$3)*($V298:$AE298=Z298)*($V$2:$AE$2&lt;Z$2))),2))))</f>
      </c>
      <c r="AK298" s="33">
        <f>IF(AA298&lt;=0,0,MAX(0,MIN(AA298,ROUND($AZ298-SUMPRODUCT($V298:$AE298*($V298:$AE298&gt;0)*(($V$3:$AE$3&gt;AA$3)+($V$3:$AE$3=AA$3)*($V298:$AE298&lt;AA298)+($V$3:$AE$3=AA$3)*($V298:$AE298=AA298)*($V$2:$AE$2&lt;AA$2))),2))))</f>
      </c>
      <c r="AL298" s="33">
        <f>IF(AB298&lt;=0,0,MAX(0,MIN(AB298,ROUND($AZ298-SUMPRODUCT($V298:$AE298*($V298:$AE298&gt;0)*(($V$3:$AE$3&gt;AB$3)+($V$3:$AE$3=AB$3)*($V298:$AE298&lt;AB298)+($V$3:$AE$3=AB$3)*($V298:$AE298=AB298)*($V$2:$AE$2&lt;AB$2))),2))))</f>
      </c>
      <c r="AM298" s="33">
        <f>IF(AC298&lt;=0,0,MAX(0,MIN(AC298,ROUND($AZ298-SUMPRODUCT($V298:$AE298*($V298:$AE298&gt;0)*(($V$3:$AE$3&gt;AC$3)+($V$3:$AE$3=AC$3)*($V298:$AE298&lt;AC298)+($V$3:$AE$3=AC$3)*($V298:$AE298=AC298)*($V$2:$AE$2&lt;AC$2))),2))))</f>
      </c>
      <c r="AN298" s="33">
        <f>IF(AD298&lt;=0,0,MAX(0,MIN(AD298,ROUND($AZ298-SUMPRODUCT($V298:$AE298*($V298:$AE298&gt;0)*(($V$3:$AE$3&gt;AD$3)+($V$3:$AE$3=AD$3)*($V298:$AE298&lt;AD298)+($V$3:$AE$3=AD$3)*($V298:$AE298=AD298)*($V$2:$AE$2&lt;AD$2))),2))))</f>
      </c>
      <c r="AO298" s="33">
        <f>IF(AE298&lt;=0,0,MAX(0,MIN(AE298,ROUND($AZ298-SUMPRODUCT($V298:$AE298*($V298:$AE298&gt;0)*(($V$3:$AE$3&gt;AE$3)+($V$3:$AE$3=AE$3)*($V298:$AE298&lt;AE298)+($V$3:$AE$3=AE$3)*($V298:$AE298=AE298)*($V$2:$AE$2&lt;AE$2))),2))))</f>
      </c>
      <c r="AP298" s="33">
        <f>ROUND(V298-AF298,2)</f>
      </c>
      <c r="AQ298" s="33">
        <f>ROUND(W298-AG298,2)</f>
      </c>
      <c r="AR298" s="33">
        <f>ROUND(X298-AH298,2)</f>
      </c>
      <c r="AS298" s="33">
        <f>ROUND(Y298-AI298,2)</f>
      </c>
      <c r="AT298" s="33">
        <f>ROUND(Z298-AJ298,2)</f>
      </c>
      <c r="AU298" s="33">
        <f>ROUND(AA298-AK298,2)</f>
      </c>
      <c r="AV298" s="33">
        <f>ROUND(AB298-AL298,2)</f>
      </c>
      <c r="AW298" s="33">
        <f>ROUND(AC298-AM298,2)</f>
      </c>
      <c r="AX298" s="33">
        <f>ROUND(AD298-AN298,2)</f>
      </c>
      <c r="AY298" s="33">
        <f>ROUND(AE298-AO298,2)</f>
      </c>
      <c r="AZ298" s="33">
        <f>ROUND(MAX(0,'Your debts'!$D$22-SUM($L298:$U298)),2)</f>
      </c>
      <c r="BA298" s="33">
        <f>ROUND(SUM($B298:$K298)-SUM($AP297:$AY297),2)</f>
      </c>
      <c r="BB298" s="33">
        <f>SUM($AP298:$AY298)</f>
      </c>
      <c r="BC298" s="33">
        <f>ROUND(SUM($L298:$U298)+SUM($AF298:$AO298),2)</f>
      </c>
    </row>
    <row r="299" spans="1:55" x14ac:dyDescent="0.25">
      <c r="A299">
        <v>292</v>
      </c>
      <c r="B299" s="33">
        <f>IF(AP298&lt;=0,0,ROUND(AP298+ROUND(AP298*V$3/12,2),2))</f>
      </c>
      <c r="C299" s="33">
        <f>IF(AQ298&lt;=0,0,ROUND(AQ298+ROUND(AQ298*W$3/12,2),2))</f>
      </c>
      <c r="D299" s="33">
        <f>IF(AR298&lt;=0,0,ROUND(AR298+ROUND(AR298*X$3/12,2),2))</f>
      </c>
      <c r="E299" s="33">
        <f>IF(AS298&lt;=0,0,ROUND(AS298+ROUND(AS298*Y$3/12,2),2))</f>
      </c>
      <c r="F299" s="33">
        <f>IF(AT298&lt;=0,0,ROUND(AT298+ROUND(AT298*Z$3/12,2),2))</f>
      </c>
      <c r="G299" s="33">
        <f>IF(AU298&lt;=0,0,ROUND(AU298+ROUND(AU298*AA$3/12,2),2))</f>
      </c>
      <c r="H299" s="33">
        <f>IF(AV298&lt;=0,0,ROUND(AV298+ROUND(AV298*AB$3/12,2),2))</f>
      </c>
      <c r="I299" s="33">
        <f>IF(AW298&lt;=0,0,ROUND(AW298+ROUND(AW298*AC$3/12,2),2))</f>
      </c>
      <c r="J299" s="33">
        <f>IF(AX298&lt;=0,0,ROUND(AX298+ROUND(AX298*AD$3/12,2),2))</f>
      </c>
      <c r="K299" s="33">
        <f>IF(AY298&lt;=0,0,ROUND(AY298+ROUND(AY298*AE$3/12,2),2))</f>
      </c>
      <c r="L299" s="33">
        <f>ROUND(MIN(MAX(0,N('Your debts'!$E$6)),B299),2)</f>
      </c>
      <c r="M299" s="33">
        <f>ROUND(MIN(MAX(0,N('Your debts'!$E$7)),C299),2)</f>
      </c>
      <c r="N299" s="33">
        <f>ROUND(MIN(MAX(0,N('Your debts'!$E$8)),D299),2)</f>
      </c>
      <c r="O299" s="33">
        <f>ROUND(MIN(MAX(0,N('Your debts'!$E$9)),E299),2)</f>
      </c>
      <c r="P299" s="33">
        <f>ROUND(MIN(MAX(0,N('Your debts'!$E$10)),F299),2)</f>
      </c>
      <c r="Q299" s="33">
        <f>ROUND(MIN(MAX(0,N('Your debts'!$E$11)),G299),2)</f>
      </c>
      <c r="R299" s="33">
        <f>ROUND(MIN(MAX(0,N('Your debts'!$E$12)),H299),2)</f>
      </c>
      <c r="S299" s="33">
        <f>ROUND(MIN(MAX(0,N('Your debts'!$E$13)),I299),2)</f>
      </c>
      <c r="T299" s="33">
        <f>ROUND(MIN(MAX(0,N('Your debts'!$E$14)),J299),2)</f>
      </c>
      <c r="U299" s="33">
        <f>ROUND(MIN(MAX(0,N('Your debts'!$E$15)),K299),2)</f>
      </c>
      <c r="V299" s="33">
        <f>ROUND(B299-L299,2)</f>
      </c>
      <c r="W299" s="33">
        <f>ROUND(C299-M299,2)</f>
      </c>
      <c r="X299" s="33">
        <f>ROUND(D299-N299,2)</f>
      </c>
      <c r="Y299" s="33">
        <f>ROUND(E299-O299,2)</f>
      </c>
      <c r="Z299" s="33">
        <f>ROUND(F299-P299,2)</f>
      </c>
      <c r="AA299" s="33">
        <f>ROUND(G299-Q299,2)</f>
      </c>
      <c r="AB299" s="33">
        <f>ROUND(H299-R299,2)</f>
      </c>
      <c r="AC299" s="33">
        <f>ROUND(I299-S299,2)</f>
      </c>
      <c r="AD299" s="33">
        <f>ROUND(J299-T299,2)</f>
      </c>
      <c r="AE299" s="33">
        <f>ROUND(K299-U299,2)</f>
      </c>
      <c r="AF299" s="33">
        <f>IF(V299&lt;=0,0,MAX(0,MIN(V299,ROUND($AZ299-SUMPRODUCT($V299:$AE299*($V299:$AE299&gt;0)*(($V$3:$AE$3&gt;V$3)+($V$3:$AE$3=V$3)*($V299:$AE299&lt;V299)+($V$3:$AE$3=V$3)*($V299:$AE299=V299)*($V$2:$AE$2&lt;V$2))),2))))</f>
      </c>
      <c r="AG299" s="33">
        <f>IF(W299&lt;=0,0,MAX(0,MIN(W299,ROUND($AZ299-SUMPRODUCT($V299:$AE299*($V299:$AE299&gt;0)*(($V$3:$AE$3&gt;W$3)+($V$3:$AE$3=W$3)*($V299:$AE299&lt;W299)+($V$3:$AE$3=W$3)*($V299:$AE299=W299)*($V$2:$AE$2&lt;W$2))),2))))</f>
      </c>
      <c r="AH299" s="33">
        <f>IF(X299&lt;=0,0,MAX(0,MIN(X299,ROUND($AZ299-SUMPRODUCT($V299:$AE299*($V299:$AE299&gt;0)*(($V$3:$AE$3&gt;X$3)+($V$3:$AE$3=X$3)*($V299:$AE299&lt;X299)+($V$3:$AE$3=X$3)*($V299:$AE299=X299)*($V$2:$AE$2&lt;X$2))),2))))</f>
      </c>
      <c r="AI299" s="33">
        <f>IF(Y299&lt;=0,0,MAX(0,MIN(Y299,ROUND($AZ299-SUMPRODUCT($V299:$AE299*($V299:$AE299&gt;0)*(($V$3:$AE$3&gt;Y$3)+($V$3:$AE$3=Y$3)*($V299:$AE299&lt;Y299)+($V$3:$AE$3=Y$3)*($V299:$AE299=Y299)*($V$2:$AE$2&lt;Y$2))),2))))</f>
      </c>
      <c r="AJ299" s="33">
        <f>IF(Z299&lt;=0,0,MAX(0,MIN(Z299,ROUND($AZ299-SUMPRODUCT($V299:$AE299*($V299:$AE299&gt;0)*(($V$3:$AE$3&gt;Z$3)+($V$3:$AE$3=Z$3)*($V299:$AE299&lt;Z299)+($V$3:$AE$3=Z$3)*($V299:$AE299=Z299)*($V$2:$AE$2&lt;Z$2))),2))))</f>
      </c>
      <c r="AK299" s="33">
        <f>IF(AA299&lt;=0,0,MAX(0,MIN(AA299,ROUND($AZ299-SUMPRODUCT($V299:$AE299*($V299:$AE299&gt;0)*(($V$3:$AE$3&gt;AA$3)+($V$3:$AE$3=AA$3)*($V299:$AE299&lt;AA299)+($V$3:$AE$3=AA$3)*($V299:$AE299=AA299)*($V$2:$AE$2&lt;AA$2))),2))))</f>
      </c>
      <c r="AL299" s="33">
        <f>IF(AB299&lt;=0,0,MAX(0,MIN(AB299,ROUND($AZ299-SUMPRODUCT($V299:$AE299*($V299:$AE299&gt;0)*(($V$3:$AE$3&gt;AB$3)+($V$3:$AE$3=AB$3)*($V299:$AE299&lt;AB299)+($V$3:$AE$3=AB$3)*($V299:$AE299=AB299)*($V$2:$AE$2&lt;AB$2))),2))))</f>
      </c>
      <c r="AM299" s="33">
        <f>IF(AC299&lt;=0,0,MAX(0,MIN(AC299,ROUND($AZ299-SUMPRODUCT($V299:$AE299*($V299:$AE299&gt;0)*(($V$3:$AE$3&gt;AC$3)+($V$3:$AE$3=AC$3)*($V299:$AE299&lt;AC299)+($V$3:$AE$3=AC$3)*($V299:$AE299=AC299)*($V$2:$AE$2&lt;AC$2))),2))))</f>
      </c>
      <c r="AN299" s="33">
        <f>IF(AD299&lt;=0,0,MAX(0,MIN(AD299,ROUND($AZ299-SUMPRODUCT($V299:$AE299*($V299:$AE299&gt;0)*(($V$3:$AE$3&gt;AD$3)+($V$3:$AE$3=AD$3)*($V299:$AE299&lt;AD299)+($V$3:$AE$3=AD$3)*($V299:$AE299=AD299)*($V$2:$AE$2&lt;AD$2))),2))))</f>
      </c>
      <c r="AO299" s="33">
        <f>IF(AE299&lt;=0,0,MAX(0,MIN(AE299,ROUND($AZ299-SUMPRODUCT($V299:$AE299*($V299:$AE299&gt;0)*(($V$3:$AE$3&gt;AE$3)+($V$3:$AE$3=AE$3)*($V299:$AE299&lt;AE299)+($V$3:$AE$3=AE$3)*($V299:$AE299=AE299)*($V$2:$AE$2&lt;AE$2))),2))))</f>
      </c>
      <c r="AP299" s="33">
        <f>ROUND(V299-AF299,2)</f>
      </c>
      <c r="AQ299" s="33">
        <f>ROUND(W299-AG299,2)</f>
      </c>
      <c r="AR299" s="33">
        <f>ROUND(X299-AH299,2)</f>
      </c>
      <c r="AS299" s="33">
        <f>ROUND(Y299-AI299,2)</f>
      </c>
      <c r="AT299" s="33">
        <f>ROUND(Z299-AJ299,2)</f>
      </c>
      <c r="AU299" s="33">
        <f>ROUND(AA299-AK299,2)</f>
      </c>
      <c r="AV299" s="33">
        <f>ROUND(AB299-AL299,2)</f>
      </c>
      <c r="AW299" s="33">
        <f>ROUND(AC299-AM299,2)</f>
      </c>
      <c r="AX299" s="33">
        <f>ROUND(AD299-AN299,2)</f>
      </c>
      <c r="AY299" s="33">
        <f>ROUND(AE299-AO299,2)</f>
      </c>
      <c r="AZ299" s="33">
        <f>ROUND(MAX(0,'Your debts'!$D$22-SUM($L299:$U299)),2)</f>
      </c>
      <c r="BA299" s="33">
        <f>ROUND(SUM($B299:$K299)-SUM($AP298:$AY298),2)</f>
      </c>
      <c r="BB299" s="33">
        <f>SUM($AP299:$AY299)</f>
      </c>
      <c r="BC299" s="33">
        <f>ROUND(SUM($L299:$U299)+SUM($AF299:$AO299),2)</f>
      </c>
    </row>
    <row r="300" spans="1:55" x14ac:dyDescent="0.25">
      <c r="A300">
        <v>293</v>
      </c>
      <c r="B300" s="33">
        <f>IF(AP299&lt;=0,0,ROUND(AP299+ROUND(AP299*V$3/12,2),2))</f>
      </c>
      <c r="C300" s="33">
        <f>IF(AQ299&lt;=0,0,ROUND(AQ299+ROUND(AQ299*W$3/12,2),2))</f>
      </c>
      <c r="D300" s="33">
        <f>IF(AR299&lt;=0,0,ROUND(AR299+ROUND(AR299*X$3/12,2),2))</f>
      </c>
      <c r="E300" s="33">
        <f>IF(AS299&lt;=0,0,ROUND(AS299+ROUND(AS299*Y$3/12,2),2))</f>
      </c>
      <c r="F300" s="33">
        <f>IF(AT299&lt;=0,0,ROUND(AT299+ROUND(AT299*Z$3/12,2),2))</f>
      </c>
      <c r="G300" s="33">
        <f>IF(AU299&lt;=0,0,ROUND(AU299+ROUND(AU299*AA$3/12,2),2))</f>
      </c>
      <c r="H300" s="33">
        <f>IF(AV299&lt;=0,0,ROUND(AV299+ROUND(AV299*AB$3/12,2),2))</f>
      </c>
      <c r="I300" s="33">
        <f>IF(AW299&lt;=0,0,ROUND(AW299+ROUND(AW299*AC$3/12,2),2))</f>
      </c>
      <c r="J300" s="33">
        <f>IF(AX299&lt;=0,0,ROUND(AX299+ROUND(AX299*AD$3/12,2),2))</f>
      </c>
      <c r="K300" s="33">
        <f>IF(AY299&lt;=0,0,ROUND(AY299+ROUND(AY299*AE$3/12,2),2))</f>
      </c>
      <c r="L300" s="33">
        <f>ROUND(MIN(MAX(0,N('Your debts'!$E$6)),B300),2)</f>
      </c>
      <c r="M300" s="33">
        <f>ROUND(MIN(MAX(0,N('Your debts'!$E$7)),C300),2)</f>
      </c>
      <c r="N300" s="33">
        <f>ROUND(MIN(MAX(0,N('Your debts'!$E$8)),D300),2)</f>
      </c>
      <c r="O300" s="33">
        <f>ROUND(MIN(MAX(0,N('Your debts'!$E$9)),E300),2)</f>
      </c>
      <c r="P300" s="33">
        <f>ROUND(MIN(MAX(0,N('Your debts'!$E$10)),F300),2)</f>
      </c>
      <c r="Q300" s="33">
        <f>ROUND(MIN(MAX(0,N('Your debts'!$E$11)),G300),2)</f>
      </c>
      <c r="R300" s="33">
        <f>ROUND(MIN(MAX(0,N('Your debts'!$E$12)),H300),2)</f>
      </c>
      <c r="S300" s="33">
        <f>ROUND(MIN(MAX(0,N('Your debts'!$E$13)),I300),2)</f>
      </c>
      <c r="T300" s="33">
        <f>ROUND(MIN(MAX(0,N('Your debts'!$E$14)),J300),2)</f>
      </c>
      <c r="U300" s="33">
        <f>ROUND(MIN(MAX(0,N('Your debts'!$E$15)),K300),2)</f>
      </c>
      <c r="V300" s="33">
        <f>ROUND(B300-L300,2)</f>
      </c>
      <c r="W300" s="33">
        <f>ROUND(C300-M300,2)</f>
      </c>
      <c r="X300" s="33">
        <f>ROUND(D300-N300,2)</f>
      </c>
      <c r="Y300" s="33">
        <f>ROUND(E300-O300,2)</f>
      </c>
      <c r="Z300" s="33">
        <f>ROUND(F300-P300,2)</f>
      </c>
      <c r="AA300" s="33">
        <f>ROUND(G300-Q300,2)</f>
      </c>
      <c r="AB300" s="33">
        <f>ROUND(H300-R300,2)</f>
      </c>
      <c r="AC300" s="33">
        <f>ROUND(I300-S300,2)</f>
      </c>
      <c r="AD300" s="33">
        <f>ROUND(J300-T300,2)</f>
      </c>
      <c r="AE300" s="33">
        <f>ROUND(K300-U300,2)</f>
      </c>
      <c r="AF300" s="33">
        <f>IF(V300&lt;=0,0,MAX(0,MIN(V300,ROUND($AZ300-SUMPRODUCT($V300:$AE300*($V300:$AE300&gt;0)*(($V$3:$AE$3&gt;V$3)+($V$3:$AE$3=V$3)*($V300:$AE300&lt;V300)+($V$3:$AE$3=V$3)*($V300:$AE300=V300)*($V$2:$AE$2&lt;V$2))),2))))</f>
      </c>
      <c r="AG300" s="33">
        <f>IF(W300&lt;=0,0,MAX(0,MIN(W300,ROUND($AZ300-SUMPRODUCT($V300:$AE300*($V300:$AE300&gt;0)*(($V$3:$AE$3&gt;W$3)+($V$3:$AE$3=W$3)*($V300:$AE300&lt;W300)+($V$3:$AE$3=W$3)*($V300:$AE300=W300)*($V$2:$AE$2&lt;W$2))),2))))</f>
      </c>
      <c r="AH300" s="33">
        <f>IF(X300&lt;=0,0,MAX(0,MIN(X300,ROUND($AZ300-SUMPRODUCT($V300:$AE300*($V300:$AE300&gt;0)*(($V$3:$AE$3&gt;X$3)+($V$3:$AE$3=X$3)*($V300:$AE300&lt;X300)+($V$3:$AE$3=X$3)*($V300:$AE300=X300)*($V$2:$AE$2&lt;X$2))),2))))</f>
      </c>
      <c r="AI300" s="33">
        <f>IF(Y300&lt;=0,0,MAX(0,MIN(Y300,ROUND($AZ300-SUMPRODUCT($V300:$AE300*($V300:$AE300&gt;0)*(($V$3:$AE$3&gt;Y$3)+($V$3:$AE$3=Y$3)*($V300:$AE300&lt;Y300)+($V$3:$AE$3=Y$3)*($V300:$AE300=Y300)*($V$2:$AE$2&lt;Y$2))),2))))</f>
      </c>
      <c r="AJ300" s="33">
        <f>IF(Z300&lt;=0,0,MAX(0,MIN(Z300,ROUND($AZ300-SUMPRODUCT($V300:$AE300*($V300:$AE300&gt;0)*(($V$3:$AE$3&gt;Z$3)+($V$3:$AE$3=Z$3)*($V300:$AE300&lt;Z300)+($V$3:$AE$3=Z$3)*($V300:$AE300=Z300)*($V$2:$AE$2&lt;Z$2))),2))))</f>
      </c>
      <c r="AK300" s="33">
        <f>IF(AA300&lt;=0,0,MAX(0,MIN(AA300,ROUND($AZ300-SUMPRODUCT($V300:$AE300*($V300:$AE300&gt;0)*(($V$3:$AE$3&gt;AA$3)+($V$3:$AE$3=AA$3)*($V300:$AE300&lt;AA300)+($V$3:$AE$3=AA$3)*($V300:$AE300=AA300)*($V$2:$AE$2&lt;AA$2))),2))))</f>
      </c>
      <c r="AL300" s="33">
        <f>IF(AB300&lt;=0,0,MAX(0,MIN(AB300,ROUND($AZ300-SUMPRODUCT($V300:$AE300*($V300:$AE300&gt;0)*(($V$3:$AE$3&gt;AB$3)+($V$3:$AE$3=AB$3)*($V300:$AE300&lt;AB300)+($V$3:$AE$3=AB$3)*($V300:$AE300=AB300)*($V$2:$AE$2&lt;AB$2))),2))))</f>
      </c>
      <c r="AM300" s="33">
        <f>IF(AC300&lt;=0,0,MAX(0,MIN(AC300,ROUND($AZ300-SUMPRODUCT($V300:$AE300*($V300:$AE300&gt;0)*(($V$3:$AE$3&gt;AC$3)+($V$3:$AE$3=AC$3)*($V300:$AE300&lt;AC300)+($V$3:$AE$3=AC$3)*($V300:$AE300=AC300)*($V$2:$AE$2&lt;AC$2))),2))))</f>
      </c>
      <c r="AN300" s="33">
        <f>IF(AD300&lt;=0,0,MAX(0,MIN(AD300,ROUND($AZ300-SUMPRODUCT($V300:$AE300*($V300:$AE300&gt;0)*(($V$3:$AE$3&gt;AD$3)+($V$3:$AE$3=AD$3)*($V300:$AE300&lt;AD300)+($V$3:$AE$3=AD$3)*($V300:$AE300=AD300)*($V$2:$AE$2&lt;AD$2))),2))))</f>
      </c>
      <c r="AO300" s="33">
        <f>IF(AE300&lt;=0,0,MAX(0,MIN(AE300,ROUND($AZ300-SUMPRODUCT($V300:$AE300*($V300:$AE300&gt;0)*(($V$3:$AE$3&gt;AE$3)+($V$3:$AE$3=AE$3)*($V300:$AE300&lt;AE300)+($V$3:$AE$3=AE$3)*($V300:$AE300=AE300)*($V$2:$AE$2&lt;AE$2))),2))))</f>
      </c>
      <c r="AP300" s="33">
        <f>ROUND(V300-AF300,2)</f>
      </c>
      <c r="AQ300" s="33">
        <f>ROUND(W300-AG300,2)</f>
      </c>
      <c r="AR300" s="33">
        <f>ROUND(X300-AH300,2)</f>
      </c>
      <c r="AS300" s="33">
        <f>ROUND(Y300-AI300,2)</f>
      </c>
      <c r="AT300" s="33">
        <f>ROUND(Z300-AJ300,2)</f>
      </c>
      <c r="AU300" s="33">
        <f>ROUND(AA300-AK300,2)</f>
      </c>
      <c r="AV300" s="33">
        <f>ROUND(AB300-AL300,2)</f>
      </c>
      <c r="AW300" s="33">
        <f>ROUND(AC300-AM300,2)</f>
      </c>
      <c r="AX300" s="33">
        <f>ROUND(AD300-AN300,2)</f>
      </c>
      <c r="AY300" s="33">
        <f>ROUND(AE300-AO300,2)</f>
      </c>
      <c r="AZ300" s="33">
        <f>ROUND(MAX(0,'Your debts'!$D$22-SUM($L300:$U300)),2)</f>
      </c>
      <c r="BA300" s="33">
        <f>ROUND(SUM($B300:$K300)-SUM($AP299:$AY299),2)</f>
      </c>
      <c r="BB300" s="33">
        <f>SUM($AP300:$AY300)</f>
      </c>
      <c r="BC300" s="33">
        <f>ROUND(SUM($L300:$U300)+SUM($AF300:$AO300),2)</f>
      </c>
    </row>
    <row r="301" spans="1:55" x14ac:dyDescent="0.25">
      <c r="A301">
        <v>294</v>
      </c>
      <c r="B301" s="33">
        <f>IF(AP300&lt;=0,0,ROUND(AP300+ROUND(AP300*V$3/12,2),2))</f>
      </c>
      <c r="C301" s="33">
        <f>IF(AQ300&lt;=0,0,ROUND(AQ300+ROUND(AQ300*W$3/12,2),2))</f>
      </c>
      <c r="D301" s="33">
        <f>IF(AR300&lt;=0,0,ROUND(AR300+ROUND(AR300*X$3/12,2),2))</f>
      </c>
      <c r="E301" s="33">
        <f>IF(AS300&lt;=0,0,ROUND(AS300+ROUND(AS300*Y$3/12,2),2))</f>
      </c>
      <c r="F301" s="33">
        <f>IF(AT300&lt;=0,0,ROUND(AT300+ROUND(AT300*Z$3/12,2),2))</f>
      </c>
      <c r="G301" s="33">
        <f>IF(AU300&lt;=0,0,ROUND(AU300+ROUND(AU300*AA$3/12,2),2))</f>
      </c>
      <c r="H301" s="33">
        <f>IF(AV300&lt;=0,0,ROUND(AV300+ROUND(AV300*AB$3/12,2),2))</f>
      </c>
      <c r="I301" s="33">
        <f>IF(AW300&lt;=0,0,ROUND(AW300+ROUND(AW300*AC$3/12,2),2))</f>
      </c>
      <c r="J301" s="33">
        <f>IF(AX300&lt;=0,0,ROUND(AX300+ROUND(AX300*AD$3/12,2),2))</f>
      </c>
      <c r="K301" s="33">
        <f>IF(AY300&lt;=0,0,ROUND(AY300+ROUND(AY300*AE$3/12,2),2))</f>
      </c>
      <c r="L301" s="33">
        <f>ROUND(MIN(MAX(0,N('Your debts'!$E$6)),B301),2)</f>
      </c>
      <c r="M301" s="33">
        <f>ROUND(MIN(MAX(0,N('Your debts'!$E$7)),C301),2)</f>
      </c>
      <c r="N301" s="33">
        <f>ROUND(MIN(MAX(0,N('Your debts'!$E$8)),D301),2)</f>
      </c>
      <c r="O301" s="33">
        <f>ROUND(MIN(MAX(0,N('Your debts'!$E$9)),E301),2)</f>
      </c>
      <c r="P301" s="33">
        <f>ROUND(MIN(MAX(0,N('Your debts'!$E$10)),F301),2)</f>
      </c>
      <c r="Q301" s="33">
        <f>ROUND(MIN(MAX(0,N('Your debts'!$E$11)),G301),2)</f>
      </c>
      <c r="R301" s="33">
        <f>ROUND(MIN(MAX(0,N('Your debts'!$E$12)),H301),2)</f>
      </c>
      <c r="S301" s="33">
        <f>ROUND(MIN(MAX(0,N('Your debts'!$E$13)),I301),2)</f>
      </c>
      <c r="T301" s="33">
        <f>ROUND(MIN(MAX(0,N('Your debts'!$E$14)),J301),2)</f>
      </c>
      <c r="U301" s="33">
        <f>ROUND(MIN(MAX(0,N('Your debts'!$E$15)),K301),2)</f>
      </c>
      <c r="V301" s="33">
        <f>ROUND(B301-L301,2)</f>
      </c>
      <c r="W301" s="33">
        <f>ROUND(C301-M301,2)</f>
      </c>
      <c r="X301" s="33">
        <f>ROUND(D301-N301,2)</f>
      </c>
      <c r="Y301" s="33">
        <f>ROUND(E301-O301,2)</f>
      </c>
      <c r="Z301" s="33">
        <f>ROUND(F301-P301,2)</f>
      </c>
      <c r="AA301" s="33">
        <f>ROUND(G301-Q301,2)</f>
      </c>
      <c r="AB301" s="33">
        <f>ROUND(H301-R301,2)</f>
      </c>
      <c r="AC301" s="33">
        <f>ROUND(I301-S301,2)</f>
      </c>
      <c r="AD301" s="33">
        <f>ROUND(J301-T301,2)</f>
      </c>
      <c r="AE301" s="33">
        <f>ROUND(K301-U301,2)</f>
      </c>
      <c r="AF301" s="33">
        <f>IF(V301&lt;=0,0,MAX(0,MIN(V301,ROUND($AZ301-SUMPRODUCT($V301:$AE301*($V301:$AE301&gt;0)*(($V$3:$AE$3&gt;V$3)+($V$3:$AE$3=V$3)*($V301:$AE301&lt;V301)+($V$3:$AE$3=V$3)*($V301:$AE301=V301)*($V$2:$AE$2&lt;V$2))),2))))</f>
      </c>
      <c r="AG301" s="33">
        <f>IF(W301&lt;=0,0,MAX(0,MIN(W301,ROUND($AZ301-SUMPRODUCT($V301:$AE301*($V301:$AE301&gt;0)*(($V$3:$AE$3&gt;W$3)+($V$3:$AE$3=W$3)*($V301:$AE301&lt;W301)+($V$3:$AE$3=W$3)*($V301:$AE301=W301)*($V$2:$AE$2&lt;W$2))),2))))</f>
      </c>
      <c r="AH301" s="33">
        <f>IF(X301&lt;=0,0,MAX(0,MIN(X301,ROUND($AZ301-SUMPRODUCT($V301:$AE301*($V301:$AE301&gt;0)*(($V$3:$AE$3&gt;X$3)+($V$3:$AE$3=X$3)*($V301:$AE301&lt;X301)+($V$3:$AE$3=X$3)*($V301:$AE301=X301)*($V$2:$AE$2&lt;X$2))),2))))</f>
      </c>
      <c r="AI301" s="33">
        <f>IF(Y301&lt;=0,0,MAX(0,MIN(Y301,ROUND($AZ301-SUMPRODUCT($V301:$AE301*($V301:$AE301&gt;0)*(($V$3:$AE$3&gt;Y$3)+($V$3:$AE$3=Y$3)*($V301:$AE301&lt;Y301)+($V$3:$AE$3=Y$3)*($V301:$AE301=Y301)*($V$2:$AE$2&lt;Y$2))),2))))</f>
      </c>
      <c r="AJ301" s="33">
        <f>IF(Z301&lt;=0,0,MAX(0,MIN(Z301,ROUND($AZ301-SUMPRODUCT($V301:$AE301*($V301:$AE301&gt;0)*(($V$3:$AE$3&gt;Z$3)+($V$3:$AE$3=Z$3)*($V301:$AE301&lt;Z301)+($V$3:$AE$3=Z$3)*($V301:$AE301=Z301)*($V$2:$AE$2&lt;Z$2))),2))))</f>
      </c>
      <c r="AK301" s="33">
        <f>IF(AA301&lt;=0,0,MAX(0,MIN(AA301,ROUND($AZ301-SUMPRODUCT($V301:$AE301*($V301:$AE301&gt;0)*(($V$3:$AE$3&gt;AA$3)+($V$3:$AE$3=AA$3)*($V301:$AE301&lt;AA301)+($V$3:$AE$3=AA$3)*($V301:$AE301=AA301)*($V$2:$AE$2&lt;AA$2))),2))))</f>
      </c>
      <c r="AL301" s="33">
        <f>IF(AB301&lt;=0,0,MAX(0,MIN(AB301,ROUND($AZ301-SUMPRODUCT($V301:$AE301*($V301:$AE301&gt;0)*(($V$3:$AE$3&gt;AB$3)+($V$3:$AE$3=AB$3)*($V301:$AE301&lt;AB301)+($V$3:$AE$3=AB$3)*($V301:$AE301=AB301)*($V$2:$AE$2&lt;AB$2))),2))))</f>
      </c>
      <c r="AM301" s="33">
        <f>IF(AC301&lt;=0,0,MAX(0,MIN(AC301,ROUND($AZ301-SUMPRODUCT($V301:$AE301*($V301:$AE301&gt;0)*(($V$3:$AE$3&gt;AC$3)+($V$3:$AE$3=AC$3)*($V301:$AE301&lt;AC301)+($V$3:$AE$3=AC$3)*($V301:$AE301=AC301)*($V$2:$AE$2&lt;AC$2))),2))))</f>
      </c>
      <c r="AN301" s="33">
        <f>IF(AD301&lt;=0,0,MAX(0,MIN(AD301,ROUND($AZ301-SUMPRODUCT($V301:$AE301*($V301:$AE301&gt;0)*(($V$3:$AE$3&gt;AD$3)+($V$3:$AE$3=AD$3)*($V301:$AE301&lt;AD301)+($V$3:$AE$3=AD$3)*($V301:$AE301=AD301)*($V$2:$AE$2&lt;AD$2))),2))))</f>
      </c>
      <c r="AO301" s="33">
        <f>IF(AE301&lt;=0,0,MAX(0,MIN(AE301,ROUND($AZ301-SUMPRODUCT($V301:$AE301*($V301:$AE301&gt;0)*(($V$3:$AE$3&gt;AE$3)+($V$3:$AE$3=AE$3)*($V301:$AE301&lt;AE301)+($V$3:$AE$3=AE$3)*($V301:$AE301=AE301)*($V$2:$AE$2&lt;AE$2))),2))))</f>
      </c>
      <c r="AP301" s="33">
        <f>ROUND(V301-AF301,2)</f>
      </c>
      <c r="AQ301" s="33">
        <f>ROUND(W301-AG301,2)</f>
      </c>
      <c r="AR301" s="33">
        <f>ROUND(X301-AH301,2)</f>
      </c>
      <c r="AS301" s="33">
        <f>ROUND(Y301-AI301,2)</f>
      </c>
      <c r="AT301" s="33">
        <f>ROUND(Z301-AJ301,2)</f>
      </c>
      <c r="AU301" s="33">
        <f>ROUND(AA301-AK301,2)</f>
      </c>
      <c r="AV301" s="33">
        <f>ROUND(AB301-AL301,2)</f>
      </c>
      <c r="AW301" s="33">
        <f>ROUND(AC301-AM301,2)</f>
      </c>
      <c r="AX301" s="33">
        <f>ROUND(AD301-AN301,2)</f>
      </c>
      <c r="AY301" s="33">
        <f>ROUND(AE301-AO301,2)</f>
      </c>
      <c r="AZ301" s="33">
        <f>ROUND(MAX(0,'Your debts'!$D$22-SUM($L301:$U301)),2)</f>
      </c>
      <c r="BA301" s="33">
        <f>ROUND(SUM($B301:$K301)-SUM($AP300:$AY300),2)</f>
      </c>
      <c r="BB301" s="33">
        <f>SUM($AP301:$AY301)</f>
      </c>
      <c r="BC301" s="33">
        <f>ROUND(SUM($L301:$U301)+SUM($AF301:$AO301),2)</f>
      </c>
    </row>
    <row r="302" spans="1:55" x14ac:dyDescent="0.25">
      <c r="A302">
        <v>295</v>
      </c>
      <c r="B302" s="33">
        <f>IF(AP301&lt;=0,0,ROUND(AP301+ROUND(AP301*V$3/12,2),2))</f>
      </c>
      <c r="C302" s="33">
        <f>IF(AQ301&lt;=0,0,ROUND(AQ301+ROUND(AQ301*W$3/12,2),2))</f>
      </c>
      <c r="D302" s="33">
        <f>IF(AR301&lt;=0,0,ROUND(AR301+ROUND(AR301*X$3/12,2),2))</f>
      </c>
      <c r="E302" s="33">
        <f>IF(AS301&lt;=0,0,ROUND(AS301+ROUND(AS301*Y$3/12,2),2))</f>
      </c>
      <c r="F302" s="33">
        <f>IF(AT301&lt;=0,0,ROUND(AT301+ROUND(AT301*Z$3/12,2),2))</f>
      </c>
      <c r="G302" s="33">
        <f>IF(AU301&lt;=0,0,ROUND(AU301+ROUND(AU301*AA$3/12,2),2))</f>
      </c>
      <c r="H302" s="33">
        <f>IF(AV301&lt;=0,0,ROUND(AV301+ROUND(AV301*AB$3/12,2),2))</f>
      </c>
      <c r="I302" s="33">
        <f>IF(AW301&lt;=0,0,ROUND(AW301+ROUND(AW301*AC$3/12,2),2))</f>
      </c>
      <c r="J302" s="33">
        <f>IF(AX301&lt;=0,0,ROUND(AX301+ROUND(AX301*AD$3/12,2),2))</f>
      </c>
      <c r="K302" s="33">
        <f>IF(AY301&lt;=0,0,ROUND(AY301+ROUND(AY301*AE$3/12,2),2))</f>
      </c>
      <c r="L302" s="33">
        <f>ROUND(MIN(MAX(0,N('Your debts'!$E$6)),B302),2)</f>
      </c>
      <c r="M302" s="33">
        <f>ROUND(MIN(MAX(0,N('Your debts'!$E$7)),C302),2)</f>
      </c>
      <c r="N302" s="33">
        <f>ROUND(MIN(MAX(0,N('Your debts'!$E$8)),D302),2)</f>
      </c>
      <c r="O302" s="33">
        <f>ROUND(MIN(MAX(0,N('Your debts'!$E$9)),E302),2)</f>
      </c>
      <c r="P302" s="33">
        <f>ROUND(MIN(MAX(0,N('Your debts'!$E$10)),F302),2)</f>
      </c>
      <c r="Q302" s="33">
        <f>ROUND(MIN(MAX(0,N('Your debts'!$E$11)),G302),2)</f>
      </c>
      <c r="R302" s="33">
        <f>ROUND(MIN(MAX(0,N('Your debts'!$E$12)),H302),2)</f>
      </c>
      <c r="S302" s="33">
        <f>ROUND(MIN(MAX(0,N('Your debts'!$E$13)),I302),2)</f>
      </c>
      <c r="T302" s="33">
        <f>ROUND(MIN(MAX(0,N('Your debts'!$E$14)),J302),2)</f>
      </c>
      <c r="U302" s="33">
        <f>ROUND(MIN(MAX(0,N('Your debts'!$E$15)),K302),2)</f>
      </c>
      <c r="V302" s="33">
        <f>ROUND(B302-L302,2)</f>
      </c>
      <c r="W302" s="33">
        <f>ROUND(C302-M302,2)</f>
      </c>
      <c r="X302" s="33">
        <f>ROUND(D302-N302,2)</f>
      </c>
      <c r="Y302" s="33">
        <f>ROUND(E302-O302,2)</f>
      </c>
      <c r="Z302" s="33">
        <f>ROUND(F302-P302,2)</f>
      </c>
      <c r="AA302" s="33">
        <f>ROUND(G302-Q302,2)</f>
      </c>
      <c r="AB302" s="33">
        <f>ROUND(H302-R302,2)</f>
      </c>
      <c r="AC302" s="33">
        <f>ROUND(I302-S302,2)</f>
      </c>
      <c r="AD302" s="33">
        <f>ROUND(J302-T302,2)</f>
      </c>
      <c r="AE302" s="33">
        <f>ROUND(K302-U302,2)</f>
      </c>
      <c r="AF302" s="33">
        <f>IF(V302&lt;=0,0,MAX(0,MIN(V302,ROUND($AZ302-SUMPRODUCT($V302:$AE302*($V302:$AE302&gt;0)*(($V$3:$AE$3&gt;V$3)+($V$3:$AE$3=V$3)*($V302:$AE302&lt;V302)+($V$3:$AE$3=V$3)*($V302:$AE302=V302)*($V$2:$AE$2&lt;V$2))),2))))</f>
      </c>
      <c r="AG302" s="33">
        <f>IF(W302&lt;=0,0,MAX(0,MIN(W302,ROUND($AZ302-SUMPRODUCT($V302:$AE302*($V302:$AE302&gt;0)*(($V$3:$AE$3&gt;W$3)+($V$3:$AE$3=W$3)*($V302:$AE302&lt;W302)+($V$3:$AE$3=W$3)*($V302:$AE302=W302)*($V$2:$AE$2&lt;W$2))),2))))</f>
      </c>
      <c r="AH302" s="33">
        <f>IF(X302&lt;=0,0,MAX(0,MIN(X302,ROUND($AZ302-SUMPRODUCT($V302:$AE302*($V302:$AE302&gt;0)*(($V$3:$AE$3&gt;X$3)+($V$3:$AE$3=X$3)*($V302:$AE302&lt;X302)+($V$3:$AE$3=X$3)*($V302:$AE302=X302)*($V$2:$AE$2&lt;X$2))),2))))</f>
      </c>
      <c r="AI302" s="33">
        <f>IF(Y302&lt;=0,0,MAX(0,MIN(Y302,ROUND($AZ302-SUMPRODUCT($V302:$AE302*($V302:$AE302&gt;0)*(($V$3:$AE$3&gt;Y$3)+($V$3:$AE$3=Y$3)*($V302:$AE302&lt;Y302)+($V$3:$AE$3=Y$3)*($V302:$AE302=Y302)*($V$2:$AE$2&lt;Y$2))),2))))</f>
      </c>
      <c r="AJ302" s="33">
        <f>IF(Z302&lt;=0,0,MAX(0,MIN(Z302,ROUND($AZ302-SUMPRODUCT($V302:$AE302*($V302:$AE302&gt;0)*(($V$3:$AE$3&gt;Z$3)+($V$3:$AE$3=Z$3)*($V302:$AE302&lt;Z302)+($V$3:$AE$3=Z$3)*($V302:$AE302=Z302)*($V$2:$AE$2&lt;Z$2))),2))))</f>
      </c>
      <c r="AK302" s="33">
        <f>IF(AA302&lt;=0,0,MAX(0,MIN(AA302,ROUND($AZ302-SUMPRODUCT($V302:$AE302*($V302:$AE302&gt;0)*(($V$3:$AE$3&gt;AA$3)+($V$3:$AE$3=AA$3)*($V302:$AE302&lt;AA302)+($V$3:$AE$3=AA$3)*($V302:$AE302=AA302)*($V$2:$AE$2&lt;AA$2))),2))))</f>
      </c>
      <c r="AL302" s="33">
        <f>IF(AB302&lt;=0,0,MAX(0,MIN(AB302,ROUND($AZ302-SUMPRODUCT($V302:$AE302*($V302:$AE302&gt;0)*(($V$3:$AE$3&gt;AB$3)+($V$3:$AE$3=AB$3)*($V302:$AE302&lt;AB302)+($V$3:$AE$3=AB$3)*($V302:$AE302=AB302)*($V$2:$AE$2&lt;AB$2))),2))))</f>
      </c>
      <c r="AM302" s="33">
        <f>IF(AC302&lt;=0,0,MAX(0,MIN(AC302,ROUND($AZ302-SUMPRODUCT($V302:$AE302*($V302:$AE302&gt;0)*(($V$3:$AE$3&gt;AC$3)+($V$3:$AE$3=AC$3)*($V302:$AE302&lt;AC302)+($V$3:$AE$3=AC$3)*($V302:$AE302=AC302)*($V$2:$AE$2&lt;AC$2))),2))))</f>
      </c>
      <c r="AN302" s="33">
        <f>IF(AD302&lt;=0,0,MAX(0,MIN(AD302,ROUND($AZ302-SUMPRODUCT($V302:$AE302*($V302:$AE302&gt;0)*(($V$3:$AE$3&gt;AD$3)+($V$3:$AE$3=AD$3)*($V302:$AE302&lt;AD302)+($V$3:$AE$3=AD$3)*($V302:$AE302=AD302)*($V$2:$AE$2&lt;AD$2))),2))))</f>
      </c>
      <c r="AO302" s="33">
        <f>IF(AE302&lt;=0,0,MAX(0,MIN(AE302,ROUND($AZ302-SUMPRODUCT($V302:$AE302*($V302:$AE302&gt;0)*(($V$3:$AE$3&gt;AE$3)+($V$3:$AE$3=AE$3)*($V302:$AE302&lt;AE302)+($V$3:$AE$3=AE$3)*($V302:$AE302=AE302)*($V$2:$AE$2&lt;AE$2))),2))))</f>
      </c>
      <c r="AP302" s="33">
        <f>ROUND(V302-AF302,2)</f>
      </c>
      <c r="AQ302" s="33">
        <f>ROUND(W302-AG302,2)</f>
      </c>
      <c r="AR302" s="33">
        <f>ROUND(X302-AH302,2)</f>
      </c>
      <c r="AS302" s="33">
        <f>ROUND(Y302-AI302,2)</f>
      </c>
      <c r="AT302" s="33">
        <f>ROUND(Z302-AJ302,2)</f>
      </c>
      <c r="AU302" s="33">
        <f>ROUND(AA302-AK302,2)</f>
      </c>
      <c r="AV302" s="33">
        <f>ROUND(AB302-AL302,2)</f>
      </c>
      <c r="AW302" s="33">
        <f>ROUND(AC302-AM302,2)</f>
      </c>
      <c r="AX302" s="33">
        <f>ROUND(AD302-AN302,2)</f>
      </c>
      <c r="AY302" s="33">
        <f>ROUND(AE302-AO302,2)</f>
      </c>
      <c r="AZ302" s="33">
        <f>ROUND(MAX(0,'Your debts'!$D$22-SUM($L302:$U302)),2)</f>
      </c>
      <c r="BA302" s="33">
        <f>ROUND(SUM($B302:$K302)-SUM($AP301:$AY301),2)</f>
      </c>
      <c r="BB302" s="33">
        <f>SUM($AP302:$AY302)</f>
      </c>
      <c r="BC302" s="33">
        <f>ROUND(SUM($L302:$U302)+SUM($AF302:$AO302),2)</f>
      </c>
    </row>
    <row r="303" spans="1:55" x14ac:dyDescent="0.25">
      <c r="A303">
        <v>296</v>
      </c>
      <c r="B303" s="33">
        <f>IF(AP302&lt;=0,0,ROUND(AP302+ROUND(AP302*V$3/12,2),2))</f>
      </c>
      <c r="C303" s="33">
        <f>IF(AQ302&lt;=0,0,ROUND(AQ302+ROUND(AQ302*W$3/12,2),2))</f>
      </c>
      <c r="D303" s="33">
        <f>IF(AR302&lt;=0,0,ROUND(AR302+ROUND(AR302*X$3/12,2),2))</f>
      </c>
      <c r="E303" s="33">
        <f>IF(AS302&lt;=0,0,ROUND(AS302+ROUND(AS302*Y$3/12,2),2))</f>
      </c>
      <c r="F303" s="33">
        <f>IF(AT302&lt;=0,0,ROUND(AT302+ROUND(AT302*Z$3/12,2),2))</f>
      </c>
      <c r="G303" s="33">
        <f>IF(AU302&lt;=0,0,ROUND(AU302+ROUND(AU302*AA$3/12,2),2))</f>
      </c>
      <c r="H303" s="33">
        <f>IF(AV302&lt;=0,0,ROUND(AV302+ROUND(AV302*AB$3/12,2),2))</f>
      </c>
      <c r="I303" s="33">
        <f>IF(AW302&lt;=0,0,ROUND(AW302+ROUND(AW302*AC$3/12,2),2))</f>
      </c>
      <c r="J303" s="33">
        <f>IF(AX302&lt;=0,0,ROUND(AX302+ROUND(AX302*AD$3/12,2),2))</f>
      </c>
      <c r="K303" s="33">
        <f>IF(AY302&lt;=0,0,ROUND(AY302+ROUND(AY302*AE$3/12,2),2))</f>
      </c>
      <c r="L303" s="33">
        <f>ROUND(MIN(MAX(0,N('Your debts'!$E$6)),B303),2)</f>
      </c>
      <c r="M303" s="33">
        <f>ROUND(MIN(MAX(0,N('Your debts'!$E$7)),C303),2)</f>
      </c>
      <c r="N303" s="33">
        <f>ROUND(MIN(MAX(0,N('Your debts'!$E$8)),D303),2)</f>
      </c>
      <c r="O303" s="33">
        <f>ROUND(MIN(MAX(0,N('Your debts'!$E$9)),E303),2)</f>
      </c>
      <c r="P303" s="33">
        <f>ROUND(MIN(MAX(0,N('Your debts'!$E$10)),F303),2)</f>
      </c>
      <c r="Q303" s="33">
        <f>ROUND(MIN(MAX(0,N('Your debts'!$E$11)),G303),2)</f>
      </c>
      <c r="R303" s="33">
        <f>ROUND(MIN(MAX(0,N('Your debts'!$E$12)),H303),2)</f>
      </c>
      <c r="S303" s="33">
        <f>ROUND(MIN(MAX(0,N('Your debts'!$E$13)),I303),2)</f>
      </c>
      <c r="T303" s="33">
        <f>ROUND(MIN(MAX(0,N('Your debts'!$E$14)),J303),2)</f>
      </c>
      <c r="U303" s="33">
        <f>ROUND(MIN(MAX(0,N('Your debts'!$E$15)),K303),2)</f>
      </c>
      <c r="V303" s="33">
        <f>ROUND(B303-L303,2)</f>
      </c>
      <c r="W303" s="33">
        <f>ROUND(C303-M303,2)</f>
      </c>
      <c r="X303" s="33">
        <f>ROUND(D303-N303,2)</f>
      </c>
      <c r="Y303" s="33">
        <f>ROUND(E303-O303,2)</f>
      </c>
      <c r="Z303" s="33">
        <f>ROUND(F303-P303,2)</f>
      </c>
      <c r="AA303" s="33">
        <f>ROUND(G303-Q303,2)</f>
      </c>
      <c r="AB303" s="33">
        <f>ROUND(H303-R303,2)</f>
      </c>
      <c r="AC303" s="33">
        <f>ROUND(I303-S303,2)</f>
      </c>
      <c r="AD303" s="33">
        <f>ROUND(J303-T303,2)</f>
      </c>
      <c r="AE303" s="33">
        <f>ROUND(K303-U303,2)</f>
      </c>
      <c r="AF303" s="33">
        <f>IF(V303&lt;=0,0,MAX(0,MIN(V303,ROUND($AZ303-SUMPRODUCT($V303:$AE303*($V303:$AE303&gt;0)*(($V$3:$AE$3&gt;V$3)+($V$3:$AE$3=V$3)*($V303:$AE303&lt;V303)+($V$3:$AE$3=V$3)*($V303:$AE303=V303)*($V$2:$AE$2&lt;V$2))),2))))</f>
      </c>
      <c r="AG303" s="33">
        <f>IF(W303&lt;=0,0,MAX(0,MIN(W303,ROUND($AZ303-SUMPRODUCT($V303:$AE303*($V303:$AE303&gt;0)*(($V$3:$AE$3&gt;W$3)+($V$3:$AE$3=W$3)*($V303:$AE303&lt;W303)+($V$3:$AE$3=W$3)*($V303:$AE303=W303)*($V$2:$AE$2&lt;W$2))),2))))</f>
      </c>
      <c r="AH303" s="33">
        <f>IF(X303&lt;=0,0,MAX(0,MIN(X303,ROUND($AZ303-SUMPRODUCT($V303:$AE303*($V303:$AE303&gt;0)*(($V$3:$AE$3&gt;X$3)+($V$3:$AE$3=X$3)*($V303:$AE303&lt;X303)+($V$3:$AE$3=X$3)*($V303:$AE303=X303)*($V$2:$AE$2&lt;X$2))),2))))</f>
      </c>
      <c r="AI303" s="33">
        <f>IF(Y303&lt;=0,0,MAX(0,MIN(Y303,ROUND($AZ303-SUMPRODUCT($V303:$AE303*($V303:$AE303&gt;0)*(($V$3:$AE$3&gt;Y$3)+($V$3:$AE$3=Y$3)*($V303:$AE303&lt;Y303)+($V$3:$AE$3=Y$3)*($V303:$AE303=Y303)*($V$2:$AE$2&lt;Y$2))),2))))</f>
      </c>
      <c r="AJ303" s="33">
        <f>IF(Z303&lt;=0,0,MAX(0,MIN(Z303,ROUND($AZ303-SUMPRODUCT($V303:$AE303*($V303:$AE303&gt;0)*(($V$3:$AE$3&gt;Z$3)+($V$3:$AE$3=Z$3)*($V303:$AE303&lt;Z303)+($V$3:$AE$3=Z$3)*($V303:$AE303=Z303)*($V$2:$AE$2&lt;Z$2))),2))))</f>
      </c>
      <c r="AK303" s="33">
        <f>IF(AA303&lt;=0,0,MAX(0,MIN(AA303,ROUND($AZ303-SUMPRODUCT($V303:$AE303*($V303:$AE303&gt;0)*(($V$3:$AE$3&gt;AA$3)+($V$3:$AE$3=AA$3)*($V303:$AE303&lt;AA303)+($V$3:$AE$3=AA$3)*($V303:$AE303=AA303)*($V$2:$AE$2&lt;AA$2))),2))))</f>
      </c>
      <c r="AL303" s="33">
        <f>IF(AB303&lt;=0,0,MAX(0,MIN(AB303,ROUND($AZ303-SUMPRODUCT($V303:$AE303*($V303:$AE303&gt;0)*(($V$3:$AE$3&gt;AB$3)+($V$3:$AE$3=AB$3)*($V303:$AE303&lt;AB303)+($V$3:$AE$3=AB$3)*($V303:$AE303=AB303)*($V$2:$AE$2&lt;AB$2))),2))))</f>
      </c>
      <c r="AM303" s="33">
        <f>IF(AC303&lt;=0,0,MAX(0,MIN(AC303,ROUND($AZ303-SUMPRODUCT($V303:$AE303*($V303:$AE303&gt;0)*(($V$3:$AE$3&gt;AC$3)+($V$3:$AE$3=AC$3)*($V303:$AE303&lt;AC303)+($V$3:$AE$3=AC$3)*($V303:$AE303=AC303)*($V$2:$AE$2&lt;AC$2))),2))))</f>
      </c>
      <c r="AN303" s="33">
        <f>IF(AD303&lt;=0,0,MAX(0,MIN(AD303,ROUND($AZ303-SUMPRODUCT($V303:$AE303*($V303:$AE303&gt;0)*(($V$3:$AE$3&gt;AD$3)+($V$3:$AE$3=AD$3)*($V303:$AE303&lt;AD303)+($V$3:$AE$3=AD$3)*($V303:$AE303=AD303)*($V$2:$AE$2&lt;AD$2))),2))))</f>
      </c>
      <c r="AO303" s="33">
        <f>IF(AE303&lt;=0,0,MAX(0,MIN(AE303,ROUND($AZ303-SUMPRODUCT($V303:$AE303*($V303:$AE303&gt;0)*(($V$3:$AE$3&gt;AE$3)+($V$3:$AE$3=AE$3)*($V303:$AE303&lt;AE303)+($V$3:$AE$3=AE$3)*($V303:$AE303=AE303)*($V$2:$AE$2&lt;AE$2))),2))))</f>
      </c>
      <c r="AP303" s="33">
        <f>ROUND(V303-AF303,2)</f>
      </c>
      <c r="AQ303" s="33">
        <f>ROUND(W303-AG303,2)</f>
      </c>
      <c r="AR303" s="33">
        <f>ROUND(X303-AH303,2)</f>
      </c>
      <c r="AS303" s="33">
        <f>ROUND(Y303-AI303,2)</f>
      </c>
      <c r="AT303" s="33">
        <f>ROUND(Z303-AJ303,2)</f>
      </c>
      <c r="AU303" s="33">
        <f>ROUND(AA303-AK303,2)</f>
      </c>
      <c r="AV303" s="33">
        <f>ROUND(AB303-AL303,2)</f>
      </c>
      <c r="AW303" s="33">
        <f>ROUND(AC303-AM303,2)</f>
      </c>
      <c r="AX303" s="33">
        <f>ROUND(AD303-AN303,2)</f>
      </c>
      <c r="AY303" s="33">
        <f>ROUND(AE303-AO303,2)</f>
      </c>
      <c r="AZ303" s="33">
        <f>ROUND(MAX(0,'Your debts'!$D$22-SUM($L303:$U303)),2)</f>
      </c>
      <c r="BA303" s="33">
        <f>ROUND(SUM($B303:$K303)-SUM($AP302:$AY302),2)</f>
      </c>
      <c r="BB303" s="33">
        <f>SUM($AP303:$AY303)</f>
      </c>
      <c r="BC303" s="33">
        <f>ROUND(SUM($L303:$U303)+SUM($AF303:$AO303),2)</f>
      </c>
    </row>
    <row r="304" spans="1:55" x14ac:dyDescent="0.25">
      <c r="A304">
        <v>297</v>
      </c>
      <c r="B304" s="33">
        <f>IF(AP303&lt;=0,0,ROUND(AP303+ROUND(AP303*V$3/12,2),2))</f>
      </c>
      <c r="C304" s="33">
        <f>IF(AQ303&lt;=0,0,ROUND(AQ303+ROUND(AQ303*W$3/12,2),2))</f>
      </c>
      <c r="D304" s="33">
        <f>IF(AR303&lt;=0,0,ROUND(AR303+ROUND(AR303*X$3/12,2),2))</f>
      </c>
      <c r="E304" s="33">
        <f>IF(AS303&lt;=0,0,ROUND(AS303+ROUND(AS303*Y$3/12,2),2))</f>
      </c>
      <c r="F304" s="33">
        <f>IF(AT303&lt;=0,0,ROUND(AT303+ROUND(AT303*Z$3/12,2),2))</f>
      </c>
      <c r="G304" s="33">
        <f>IF(AU303&lt;=0,0,ROUND(AU303+ROUND(AU303*AA$3/12,2),2))</f>
      </c>
      <c r="H304" s="33">
        <f>IF(AV303&lt;=0,0,ROUND(AV303+ROUND(AV303*AB$3/12,2),2))</f>
      </c>
      <c r="I304" s="33">
        <f>IF(AW303&lt;=0,0,ROUND(AW303+ROUND(AW303*AC$3/12,2),2))</f>
      </c>
      <c r="J304" s="33">
        <f>IF(AX303&lt;=0,0,ROUND(AX303+ROUND(AX303*AD$3/12,2),2))</f>
      </c>
      <c r="K304" s="33">
        <f>IF(AY303&lt;=0,0,ROUND(AY303+ROUND(AY303*AE$3/12,2),2))</f>
      </c>
      <c r="L304" s="33">
        <f>ROUND(MIN(MAX(0,N('Your debts'!$E$6)),B304),2)</f>
      </c>
      <c r="M304" s="33">
        <f>ROUND(MIN(MAX(0,N('Your debts'!$E$7)),C304),2)</f>
      </c>
      <c r="N304" s="33">
        <f>ROUND(MIN(MAX(0,N('Your debts'!$E$8)),D304),2)</f>
      </c>
      <c r="O304" s="33">
        <f>ROUND(MIN(MAX(0,N('Your debts'!$E$9)),E304),2)</f>
      </c>
      <c r="P304" s="33">
        <f>ROUND(MIN(MAX(0,N('Your debts'!$E$10)),F304),2)</f>
      </c>
      <c r="Q304" s="33">
        <f>ROUND(MIN(MAX(0,N('Your debts'!$E$11)),G304),2)</f>
      </c>
      <c r="R304" s="33">
        <f>ROUND(MIN(MAX(0,N('Your debts'!$E$12)),H304),2)</f>
      </c>
      <c r="S304" s="33">
        <f>ROUND(MIN(MAX(0,N('Your debts'!$E$13)),I304),2)</f>
      </c>
      <c r="T304" s="33">
        <f>ROUND(MIN(MAX(0,N('Your debts'!$E$14)),J304),2)</f>
      </c>
      <c r="U304" s="33">
        <f>ROUND(MIN(MAX(0,N('Your debts'!$E$15)),K304),2)</f>
      </c>
      <c r="V304" s="33">
        <f>ROUND(B304-L304,2)</f>
      </c>
      <c r="W304" s="33">
        <f>ROUND(C304-M304,2)</f>
      </c>
      <c r="X304" s="33">
        <f>ROUND(D304-N304,2)</f>
      </c>
      <c r="Y304" s="33">
        <f>ROUND(E304-O304,2)</f>
      </c>
      <c r="Z304" s="33">
        <f>ROUND(F304-P304,2)</f>
      </c>
      <c r="AA304" s="33">
        <f>ROUND(G304-Q304,2)</f>
      </c>
      <c r="AB304" s="33">
        <f>ROUND(H304-R304,2)</f>
      </c>
      <c r="AC304" s="33">
        <f>ROUND(I304-S304,2)</f>
      </c>
      <c r="AD304" s="33">
        <f>ROUND(J304-T304,2)</f>
      </c>
      <c r="AE304" s="33">
        <f>ROUND(K304-U304,2)</f>
      </c>
      <c r="AF304" s="33">
        <f>IF(V304&lt;=0,0,MAX(0,MIN(V304,ROUND($AZ304-SUMPRODUCT($V304:$AE304*($V304:$AE304&gt;0)*(($V$3:$AE$3&gt;V$3)+($V$3:$AE$3=V$3)*($V304:$AE304&lt;V304)+($V$3:$AE$3=V$3)*($V304:$AE304=V304)*($V$2:$AE$2&lt;V$2))),2))))</f>
      </c>
      <c r="AG304" s="33">
        <f>IF(W304&lt;=0,0,MAX(0,MIN(W304,ROUND($AZ304-SUMPRODUCT($V304:$AE304*($V304:$AE304&gt;0)*(($V$3:$AE$3&gt;W$3)+($V$3:$AE$3=W$3)*($V304:$AE304&lt;W304)+($V$3:$AE$3=W$3)*($V304:$AE304=W304)*($V$2:$AE$2&lt;W$2))),2))))</f>
      </c>
      <c r="AH304" s="33">
        <f>IF(X304&lt;=0,0,MAX(0,MIN(X304,ROUND($AZ304-SUMPRODUCT($V304:$AE304*($V304:$AE304&gt;0)*(($V$3:$AE$3&gt;X$3)+($V$3:$AE$3=X$3)*($V304:$AE304&lt;X304)+($V$3:$AE$3=X$3)*($V304:$AE304=X304)*($V$2:$AE$2&lt;X$2))),2))))</f>
      </c>
      <c r="AI304" s="33">
        <f>IF(Y304&lt;=0,0,MAX(0,MIN(Y304,ROUND($AZ304-SUMPRODUCT($V304:$AE304*($V304:$AE304&gt;0)*(($V$3:$AE$3&gt;Y$3)+($V$3:$AE$3=Y$3)*($V304:$AE304&lt;Y304)+($V$3:$AE$3=Y$3)*($V304:$AE304=Y304)*($V$2:$AE$2&lt;Y$2))),2))))</f>
      </c>
      <c r="AJ304" s="33">
        <f>IF(Z304&lt;=0,0,MAX(0,MIN(Z304,ROUND($AZ304-SUMPRODUCT($V304:$AE304*($V304:$AE304&gt;0)*(($V$3:$AE$3&gt;Z$3)+($V$3:$AE$3=Z$3)*($V304:$AE304&lt;Z304)+($V$3:$AE$3=Z$3)*($V304:$AE304=Z304)*($V$2:$AE$2&lt;Z$2))),2))))</f>
      </c>
      <c r="AK304" s="33">
        <f>IF(AA304&lt;=0,0,MAX(0,MIN(AA304,ROUND($AZ304-SUMPRODUCT($V304:$AE304*($V304:$AE304&gt;0)*(($V$3:$AE$3&gt;AA$3)+($V$3:$AE$3=AA$3)*($V304:$AE304&lt;AA304)+($V$3:$AE$3=AA$3)*($V304:$AE304=AA304)*($V$2:$AE$2&lt;AA$2))),2))))</f>
      </c>
      <c r="AL304" s="33">
        <f>IF(AB304&lt;=0,0,MAX(0,MIN(AB304,ROUND($AZ304-SUMPRODUCT($V304:$AE304*($V304:$AE304&gt;0)*(($V$3:$AE$3&gt;AB$3)+($V$3:$AE$3=AB$3)*($V304:$AE304&lt;AB304)+($V$3:$AE$3=AB$3)*($V304:$AE304=AB304)*($V$2:$AE$2&lt;AB$2))),2))))</f>
      </c>
      <c r="AM304" s="33">
        <f>IF(AC304&lt;=0,0,MAX(0,MIN(AC304,ROUND($AZ304-SUMPRODUCT($V304:$AE304*($V304:$AE304&gt;0)*(($V$3:$AE$3&gt;AC$3)+($V$3:$AE$3=AC$3)*($V304:$AE304&lt;AC304)+($V$3:$AE$3=AC$3)*($V304:$AE304=AC304)*($V$2:$AE$2&lt;AC$2))),2))))</f>
      </c>
      <c r="AN304" s="33">
        <f>IF(AD304&lt;=0,0,MAX(0,MIN(AD304,ROUND($AZ304-SUMPRODUCT($V304:$AE304*($V304:$AE304&gt;0)*(($V$3:$AE$3&gt;AD$3)+($V$3:$AE$3=AD$3)*($V304:$AE304&lt;AD304)+($V$3:$AE$3=AD$3)*($V304:$AE304=AD304)*($V$2:$AE$2&lt;AD$2))),2))))</f>
      </c>
      <c r="AO304" s="33">
        <f>IF(AE304&lt;=0,0,MAX(0,MIN(AE304,ROUND($AZ304-SUMPRODUCT($V304:$AE304*($V304:$AE304&gt;0)*(($V$3:$AE$3&gt;AE$3)+($V$3:$AE$3=AE$3)*($V304:$AE304&lt;AE304)+($V$3:$AE$3=AE$3)*($V304:$AE304=AE304)*($V$2:$AE$2&lt;AE$2))),2))))</f>
      </c>
      <c r="AP304" s="33">
        <f>ROUND(V304-AF304,2)</f>
      </c>
      <c r="AQ304" s="33">
        <f>ROUND(W304-AG304,2)</f>
      </c>
      <c r="AR304" s="33">
        <f>ROUND(X304-AH304,2)</f>
      </c>
      <c r="AS304" s="33">
        <f>ROUND(Y304-AI304,2)</f>
      </c>
      <c r="AT304" s="33">
        <f>ROUND(Z304-AJ304,2)</f>
      </c>
      <c r="AU304" s="33">
        <f>ROUND(AA304-AK304,2)</f>
      </c>
      <c r="AV304" s="33">
        <f>ROUND(AB304-AL304,2)</f>
      </c>
      <c r="AW304" s="33">
        <f>ROUND(AC304-AM304,2)</f>
      </c>
      <c r="AX304" s="33">
        <f>ROUND(AD304-AN304,2)</f>
      </c>
      <c r="AY304" s="33">
        <f>ROUND(AE304-AO304,2)</f>
      </c>
      <c r="AZ304" s="33">
        <f>ROUND(MAX(0,'Your debts'!$D$22-SUM($L304:$U304)),2)</f>
      </c>
      <c r="BA304" s="33">
        <f>ROUND(SUM($B304:$K304)-SUM($AP303:$AY303),2)</f>
      </c>
      <c r="BB304" s="33">
        <f>SUM($AP304:$AY304)</f>
      </c>
      <c r="BC304" s="33">
        <f>ROUND(SUM($L304:$U304)+SUM($AF304:$AO304),2)</f>
      </c>
    </row>
    <row r="305" spans="1:55" x14ac:dyDescent="0.25">
      <c r="A305">
        <v>298</v>
      </c>
      <c r="B305" s="33">
        <f>IF(AP304&lt;=0,0,ROUND(AP304+ROUND(AP304*V$3/12,2),2))</f>
      </c>
      <c r="C305" s="33">
        <f>IF(AQ304&lt;=0,0,ROUND(AQ304+ROUND(AQ304*W$3/12,2),2))</f>
      </c>
      <c r="D305" s="33">
        <f>IF(AR304&lt;=0,0,ROUND(AR304+ROUND(AR304*X$3/12,2),2))</f>
      </c>
      <c r="E305" s="33">
        <f>IF(AS304&lt;=0,0,ROUND(AS304+ROUND(AS304*Y$3/12,2),2))</f>
      </c>
      <c r="F305" s="33">
        <f>IF(AT304&lt;=0,0,ROUND(AT304+ROUND(AT304*Z$3/12,2),2))</f>
      </c>
      <c r="G305" s="33">
        <f>IF(AU304&lt;=0,0,ROUND(AU304+ROUND(AU304*AA$3/12,2),2))</f>
      </c>
      <c r="H305" s="33">
        <f>IF(AV304&lt;=0,0,ROUND(AV304+ROUND(AV304*AB$3/12,2),2))</f>
      </c>
      <c r="I305" s="33">
        <f>IF(AW304&lt;=0,0,ROUND(AW304+ROUND(AW304*AC$3/12,2),2))</f>
      </c>
      <c r="J305" s="33">
        <f>IF(AX304&lt;=0,0,ROUND(AX304+ROUND(AX304*AD$3/12,2),2))</f>
      </c>
      <c r="K305" s="33">
        <f>IF(AY304&lt;=0,0,ROUND(AY304+ROUND(AY304*AE$3/12,2),2))</f>
      </c>
      <c r="L305" s="33">
        <f>ROUND(MIN(MAX(0,N('Your debts'!$E$6)),B305),2)</f>
      </c>
      <c r="M305" s="33">
        <f>ROUND(MIN(MAX(0,N('Your debts'!$E$7)),C305),2)</f>
      </c>
      <c r="N305" s="33">
        <f>ROUND(MIN(MAX(0,N('Your debts'!$E$8)),D305),2)</f>
      </c>
      <c r="O305" s="33">
        <f>ROUND(MIN(MAX(0,N('Your debts'!$E$9)),E305),2)</f>
      </c>
      <c r="P305" s="33">
        <f>ROUND(MIN(MAX(0,N('Your debts'!$E$10)),F305),2)</f>
      </c>
      <c r="Q305" s="33">
        <f>ROUND(MIN(MAX(0,N('Your debts'!$E$11)),G305),2)</f>
      </c>
      <c r="R305" s="33">
        <f>ROUND(MIN(MAX(0,N('Your debts'!$E$12)),H305),2)</f>
      </c>
      <c r="S305" s="33">
        <f>ROUND(MIN(MAX(0,N('Your debts'!$E$13)),I305),2)</f>
      </c>
      <c r="T305" s="33">
        <f>ROUND(MIN(MAX(0,N('Your debts'!$E$14)),J305),2)</f>
      </c>
      <c r="U305" s="33">
        <f>ROUND(MIN(MAX(0,N('Your debts'!$E$15)),K305),2)</f>
      </c>
      <c r="V305" s="33">
        <f>ROUND(B305-L305,2)</f>
      </c>
      <c r="W305" s="33">
        <f>ROUND(C305-M305,2)</f>
      </c>
      <c r="X305" s="33">
        <f>ROUND(D305-N305,2)</f>
      </c>
      <c r="Y305" s="33">
        <f>ROUND(E305-O305,2)</f>
      </c>
      <c r="Z305" s="33">
        <f>ROUND(F305-P305,2)</f>
      </c>
      <c r="AA305" s="33">
        <f>ROUND(G305-Q305,2)</f>
      </c>
      <c r="AB305" s="33">
        <f>ROUND(H305-R305,2)</f>
      </c>
      <c r="AC305" s="33">
        <f>ROUND(I305-S305,2)</f>
      </c>
      <c r="AD305" s="33">
        <f>ROUND(J305-T305,2)</f>
      </c>
      <c r="AE305" s="33">
        <f>ROUND(K305-U305,2)</f>
      </c>
      <c r="AF305" s="33">
        <f>IF(V305&lt;=0,0,MAX(0,MIN(V305,ROUND($AZ305-SUMPRODUCT($V305:$AE305*($V305:$AE305&gt;0)*(($V$3:$AE$3&gt;V$3)+($V$3:$AE$3=V$3)*($V305:$AE305&lt;V305)+($V$3:$AE$3=V$3)*($V305:$AE305=V305)*($V$2:$AE$2&lt;V$2))),2))))</f>
      </c>
      <c r="AG305" s="33">
        <f>IF(W305&lt;=0,0,MAX(0,MIN(W305,ROUND($AZ305-SUMPRODUCT($V305:$AE305*($V305:$AE305&gt;0)*(($V$3:$AE$3&gt;W$3)+($V$3:$AE$3=W$3)*($V305:$AE305&lt;W305)+($V$3:$AE$3=W$3)*($V305:$AE305=W305)*($V$2:$AE$2&lt;W$2))),2))))</f>
      </c>
      <c r="AH305" s="33">
        <f>IF(X305&lt;=0,0,MAX(0,MIN(X305,ROUND($AZ305-SUMPRODUCT($V305:$AE305*($V305:$AE305&gt;0)*(($V$3:$AE$3&gt;X$3)+($V$3:$AE$3=X$3)*($V305:$AE305&lt;X305)+($V$3:$AE$3=X$3)*($V305:$AE305=X305)*($V$2:$AE$2&lt;X$2))),2))))</f>
      </c>
      <c r="AI305" s="33">
        <f>IF(Y305&lt;=0,0,MAX(0,MIN(Y305,ROUND($AZ305-SUMPRODUCT($V305:$AE305*($V305:$AE305&gt;0)*(($V$3:$AE$3&gt;Y$3)+($V$3:$AE$3=Y$3)*($V305:$AE305&lt;Y305)+($V$3:$AE$3=Y$3)*($V305:$AE305=Y305)*($V$2:$AE$2&lt;Y$2))),2))))</f>
      </c>
      <c r="AJ305" s="33">
        <f>IF(Z305&lt;=0,0,MAX(0,MIN(Z305,ROUND($AZ305-SUMPRODUCT($V305:$AE305*($V305:$AE305&gt;0)*(($V$3:$AE$3&gt;Z$3)+($V$3:$AE$3=Z$3)*($V305:$AE305&lt;Z305)+($V$3:$AE$3=Z$3)*($V305:$AE305=Z305)*($V$2:$AE$2&lt;Z$2))),2))))</f>
      </c>
      <c r="AK305" s="33">
        <f>IF(AA305&lt;=0,0,MAX(0,MIN(AA305,ROUND($AZ305-SUMPRODUCT($V305:$AE305*($V305:$AE305&gt;0)*(($V$3:$AE$3&gt;AA$3)+($V$3:$AE$3=AA$3)*($V305:$AE305&lt;AA305)+($V$3:$AE$3=AA$3)*($V305:$AE305=AA305)*($V$2:$AE$2&lt;AA$2))),2))))</f>
      </c>
      <c r="AL305" s="33">
        <f>IF(AB305&lt;=0,0,MAX(0,MIN(AB305,ROUND($AZ305-SUMPRODUCT($V305:$AE305*($V305:$AE305&gt;0)*(($V$3:$AE$3&gt;AB$3)+($V$3:$AE$3=AB$3)*($V305:$AE305&lt;AB305)+($V$3:$AE$3=AB$3)*($V305:$AE305=AB305)*($V$2:$AE$2&lt;AB$2))),2))))</f>
      </c>
      <c r="AM305" s="33">
        <f>IF(AC305&lt;=0,0,MAX(0,MIN(AC305,ROUND($AZ305-SUMPRODUCT($V305:$AE305*($V305:$AE305&gt;0)*(($V$3:$AE$3&gt;AC$3)+($V$3:$AE$3=AC$3)*($V305:$AE305&lt;AC305)+($V$3:$AE$3=AC$3)*($V305:$AE305=AC305)*($V$2:$AE$2&lt;AC$2))),2))))</f>
      </c>
      <c r="AN305" s="33">
        <f>IF(AD305&lt;=0,0,MAX(0,MIN(AD305,ROUND($AZ305-SUMPRODUCT($V305:$AE305*($V305:$AE305&gt;0)*(($V$3:$AE$3&gt;AD$3)+($V$3:$AE$3=AD$3)*($V305:$AE305&lt;AD305)+($V$3:$AE$3=AD$3)*($V305:$AE305=AD305)*($V$2:$AE$2&lt;AD$2))),2))))</f>
      </c>
      <c r="AO305" s="33">
        <f>IF(AE305&lt;=0,0,MAX(0,MIN(AE305,ROUND($AZ305-SUMPRODUCT($V305:$AE305*($V305:$AE305&gt;0)*(($V$3:$AE$3&gt;AE$3)+($V$3:$AE$3=AE$3)*($V305:$AE305&lt;AE305)+($V$3:$AE$3=AE$3)*($V305:$AE305=AE305)*($V$2:$AE$2&lt;AE$2))),2))))</f>
      </c>
      <c r="AP305" s="33">
        <f>ROUND(V305-AF305,2)</f>
      </c>
      <c r="AQ305" s="33">
        <f>ROUND(W305-AG305,2)</f>
      </c>
      <c r="AR305" s="33">
        <f>ROUND(X305-AH305,2)</f>
      </c>
      <c r="AS305" s="33">
        <f>ROUND(Y305-AI305,2)</f>
      </c>
      <c r="AT305" s="33">
        <f>ROUND(Z305-AJ305,2)</f>
      </c>
      <c r="AU305" s="33">
        <f>ROUND(AA305-AK305,2)</f>
      </c>
      <c r="AV305" s="33">
        <f>ROUND(AB305-AL305,2)</f>
      </c>
      <c r="AW305" s="33">
        <f>ROUND(AC305-AM305,2)</f>
      </c>
      <c r="AX305" s="33">
        <f>ROUND(AD305-AN305,2)</f>
      </c>
      <c r="AY305" s="33">
        <f>ROUND(AE305-AO305,2)</f>
      </c>
      <c r="AZ305" s="33">
        <f>ROUND(MAX(0,'Your debts'!$D$22-SUM($L305:$U305)),2)</f>
      </c>
      <c r="BA305" s="33">
        <f>ROUND(SUM($B305:$K305)-SUM($AP304:$AY304),2)</f>
      </c>
      <c r="BB305" s="33">
        <f>SUM($AP305:$AY305)</f>
      </c>
      <c r="BC305" s="33">
        <f>ROUND(SUM($L305:$U305)+SUM($AF305:$AO305),2)</f>
      </c>
    </row>
    <row r="306" spans="1:55" x14ac:dyDescent="0.25">
      <c r="A306">
        <v>299</v>
      </c>
      <c r="B306" s="33">
        <f>IF(AP305&lt;=0,0,ROUND(AP305+ROUND(AP305*V$3/12,2),2))</f>
      </c>
      <c r="C306" s="33">
        <f>IF(AQ305&lt;=0,0,ROUND(AQ305+ROUND(AQ305*W$3/12,2),2))</f>
      </c>
      <c r="D306" s="33">
        <f>IF(AR305&lt;=0,0,ROUND(AR305+ROUND(AR305*X$3/12,2),2))</f>
      </c>
      <c r="E306" s="33">
        <f>IF(AS305&lt;=0,0,ROUND(AS305+ROUND(AS305*Y$3/12,2),2))</f>
      </c>
      <c r="F306" s="33">
        <f>IF(AT305&lt;=0,0,ROUND(AT305+ROUND(AT305*Z$3/12,2),2))</f>
      </c>
      <c r="G306" s="33">
        <f>IF(AU305&lt;=0,0,ROUND(AU305+ROUND(AU305*AA$3/12,2),2))</f>
      </c>
      <c r="H306" s="33">
        <f>IF(AV305&lt;=0,0,ROUND(AV305+ROUND(AV305*AB$3/12,2),2))</f>
      </c>
      <c r="I306" s="33">
        <f>IF(AW305&lt;=0,0,ROUND(AW305+ROUND(AW305*AC$3/12,2),2))</f>
      </c>
      <c r="J306" s="33">
        <f>IF(AX305&lt;=0,0,ROUND(AX305+ROUND(AX305*AD$3/12,2),2))</f>
      </c>
      <c r="K306" s="33">
        <f>IF(AY305&lt;=0,0,ROUND(AY305+ROUND(AY305*AE$3/12,2),2))</f>
      </c>
      <c r="L306" s="33">
        <f>ROUND(MIN(MAX(0,N('Your debts'!$E$6)),B306),2)</f>
      </c>
      <c r="M306" s="33">
        <f>ROUND(MIN(MAX(0,N('Your debts'!$E$7)),C306),2)</f>
      </c>
      <c r="N306" s="33">
        <f>ROUND(MIN(MAX(0,N('Your debts'!$E$8)),D306),2)</f>
      </c>
      <c r="O306" s="33">
        <f>ROUND(MIN(MAX(0,N('Your debts'!$E$9)),E306),2)</f>
      </c>
      <c r="P306" s="33">
        <f>ROUND(MIN(MAX(0,N('Your debts'!$E$10)),F306),2)</f>
      </c>
      <c r="Q306" s="33">
        <f>ROUND(MIN(MAX(0,N('Your debts'!$E$11)),G306),2)</f>
      </c>
      <c r="R306" s="33">
        <f>ROUND(MIN(MAX(0,N('Your debts'!$E$12)),H306),2)</f>
      </c>
      <c r="S306" s="33">
        <f>ROUND(MIN(MAX(0,N('Your debts'!$E$13)),I306),2)</f>
      </c>
      <c r="T306" s="33">
        <f>ROUND(MIN(MAX(0,N('Your debts'!$E$14)),J306),2)</f>
      </c>
      <c r="U306" s="33">
        <f>ROUND(MIN(MAX(0,N('Your debts'!$E$15)),K306),2)</f>
      </c>
      <c r="V306" s="33">
        <f>ROUND(B306-L306,2)</f>
      </c>
      <c r="W306" s="33">
        <f>ROUND(C306-M306,2)</f>
      </c>
      <c r="X306" s="33">
        <f>ROUND(D306-N306,2)</f>
      </c>
      <c r="Y306" s="33">
        <f>ROUND(E306-O306,2)</f>
      </c>
      <c r="Z306" s="33">
        <f>ROUND(F306-P306,2)</f>
      </c>
      <c r="AA306" s="33">
        <f>ROUND(G306-Q306,2)</f>
      </c>
      <c r="AB306" s="33">
        <f>ROUND(H306-R306,2)</f>
      </c>
      <c r="AC306" s="33">
        <f>ROUND(I306-S306,2)</f>
      </c>
      <c r="AD306" s="33">
        <f>ROUND(J306-T306,2)</f>
      </c>
      <c r="AE306" s="33">
        <f>ROUND(K306-U306,2)</f>
      </c>
      <c r="AF306" s="33">
        <f>IF(V306&lt;=0,0,MAX(0,MIN(V306,ROUND($AZ306-SUMPRODUCT($V306:$AE306*($V306:$AE306&gt;0)*(($V$3:$AE$3&gt;V$3)+($V$3:$AE$3=V$3)*($V306:$AE306&lt;V306)+($V$3:$AE$3=V$3)*($V306:$AE306=V306)*($V$2:$AE$2&lt;V$2))),2))))</f>
      </c>
      <c r="AG306" s="33">
        <f>IF(W306&lt;=0,0,MAX(0,MIN(W306,ROUND($AZ306-SUMPRODUCT($V306:$AE306*($V306:$AE306&gt;0)*(($V$3:$AE$3&gt;W$3)+($V$3:$AE$3=W$3)*($V306:$AE306&lt;W306)+($V$3:$AE$3=W$3)*($V306:$AE306=W306)*($V$2:$AE$2&lt;W$2))),2))))</f>
      </c>
      <c r="AH306" s="33">
        <f>IF(X306&lt;=0,0,MAX(0,MIN(X306,ROUND($AZ306-SUMPRODUCT($V306:$AE306*($V306:$AE306&gt;0)*(($V$3:$AE$3&gt;X$3)+($V$3:$AE$3=X$3)*($V306:$AE306&lt;X306)+($V$3:$AE$3=X$3)*($V306:$AE306=X306)*($V$2:$AE$2&lt;X$2))),2))))</f>
      </c>
      <c r="AI306" s="33">
        <f>IF(Y306&lt;=0,0,MAX(0,MIN(Y306,ROUND($AZ306-SUMPRODUCT($V306:$AE306*($V306:$AE306&gt;0)*(($V$3:$AE$3&gt;Y$3)+($V$3:$AE$3=Y$3)*($V306:$AE306&lt;Y306)+($V$3:$AE$3=Y$3)*($V306:$AE306=Y306)*($V$2:$AE$2&lt;Y$2))),2))))</f>
      </c>
      <c r="AJ306" s="33">
        <f>IF(Z306&lt;=0,0,MAX(0,MIN(Z306,ROUND($AZ306-SUMPRODUCT($V306:$AE306*($V306:$AE306&gt;0)*(($V$3:$AE$3&gt;Z$3)+($V$3:$AE$3=Z$3)*($V306:$AE306&lt;Z306)+($V$3:$AE$3=Z$3)*($V306:$AE306=Z306)*($V$2:$AE$2&lt;Z$2))),2))))</f>
      </c>
      <c r="AK306" s="33">
        <f>IF(AA306&lt;=0,0,MAX(0,MIN(AA306,ROUND($AZ306-SUMPRODUCT($V306:$AE306*($V306:$AE306&gt;0)*(($V$3:$AE$3&gt;AA$3)+($V$3:$AE$3=AA$3)*($V306:$AE306&lt;AA306)+($V$3:$AE$3=AA$3)*($V306:$AE306=AA306)*($V$2:$AE$2&lt;AA$2))),2))))</f>
      </c>
      <c r="AL306" s="33">
        <f>IF(AB306&lt;=0,0,MAX(0,MIN(AB306,ROUND($AZ306-SUMPRODUCT($V306:$AE306*($V306:$AE306&gt;0)*(($V$3:$AE$3&gt;AB$3)+($V$3:$AE$3=AB$3)*($V306:$AE306&lt;AB306)+($V$3:$AE$3=AB$3)*($V306:$AE306=AB306)*($V$2:$AE$2&lt;AB$2))),2))))</f>
      </c>
      <c r="AM306" s="33">
        <f>IF(AC306&lt;=0,0,MAX(0,MIN(AC306,ROUND($AZ306-SUMPRODUCT($V306:$AE306*($V306:$AE306&gt;0)*(($V$3:$AE$3&gt;AC$3)+($V$3:$AE$3=AC$3)*($V306:$AE306&lt;AC306)+($V$3:$AE$3=AC$3)*($V306:$AE306=AC306)*($V$2:$AE$2&lt;AC$2))),2))))</f>
      </c>
      <c r="AN306" s="33">
        <f>IF(AD306&lt;=0,0,MAX(0,MIN(AD306,ROUND($AZ306-SUMPRODUCT($V306:$AE306*($V306:$AE306&gt;0)*(($V$3:$AE$3&gt;AD$3)+($V$3:$AE$3=AD$3)*($V306:$AE306&lt;AD306)+($V$3:$AE$3=AD$3)*($V306:$AE306=AD306)*($V$2:$AE$2&lt;AD$2))),2))))</f>
      </c>
      <c r="AO306" s="33">
        <f>IF(AE306&lt;=0,0,MAX(0,MIN(AE306,ROUND($AZ306-SUMPRODUCT($V306:$AE306*($V306:$AE306&gt;0)*(($V$3:$AE$3&gt;AE$3)+($V$3:$AE$3=AE$3)*($V306:$AE306&lt;AE306)+($V$3:$AE$3=AE$3)*($V306:$AE306=AE306)*($V$2:$AE$2&lt;AE$2))),2))))</f>
      </c>
      <c r="AP306" s="33">
        <f>ROUND(V306-AF306,2)</f>
      </c>
      <c r="AQ306" s="33">
        <f>ROUND(W306-AG306,2)</f>
      </c>
      <c r="AR306" s="33">
        <f>ROUND(X306-AH306,2)</f>
      </c>
      <c r="AS306" s="33">
        <f>ROUND(Y306-AI306,2)</f>
      </c>
      <c r="AT306" s="33">
        <f>ROUND(Z306-AJ306,2)</f>
      </c>
      <c r="AU306" s="33">
        <f>ROUND(AA306-AK306,2)</f>
      </c>
      <c r="AV306" s="33">
        <f>ROUND(AB306-AL306,2)</f>
      </c>
      <c r="AW306" s="33">
        <f>ROUND(AC306-AM306,2)</f>
      </c>
      <c r="AX306" s="33">
        <f>ROUND(AD306-AN306,2)</f>
      </c>
      <c r="AY306" s="33">
        <f>ROUND(AE306-AO306,2)</f>
      </c>
      <c r="AZ306" s="33">
        <f>ROUND(MAX(0,'Your debts'!$D$22-SUM($L306:$U306)),2)</f>
      </c>
      <c r="BA306" s="33">
        <f>ROUND(SUM($B306:$K306)-SUM($AP305:$AY305),2)</f>
      </c>
      <c r="BB306" s="33">
        <f>SUM($AP306:$AY306)</f>
      </c>
      <c r="BC306" s="33">
        <f>ROUND(SUM($L306:$U306)+SUM($AF306:$AO306),2)</f>
      </c>
    </row>
    <row r="307" spans="1:55" x14ac:dyDescent="0.25">
      <c r="A307">
        <v>300</v>
      </c>
      <c r="B307" s="33">
        <f>IF(AP306&lt;=0,0,ROUND(AP306+ROUND(AP306*V$3/12,2),2))</f>
      </c>
      <c r="C307" s="33">
        <f>IF(AQ306&lt;=0,0,ROUND(AQ306+ROUND(AQ306*W$3/12,2),2))</f>
      </c>
      <c r="D307" s="33">
        <f>IF(AR306&lt;=0,0,ROUND(AR306+ROUND(AR306*X$3/12,2),2))</f>
      </c>
      <c r="E307" s="33">
        <f>IF(AS306&lt;=0,0,ROUND(AS306+ROUND(AS306*Y$3/12,2),2))</f>
      </c>
      <c r="F307" s="33">
        <f>IF(AT306&lt;=0,0,ROUND(AT306+ROUND(AT306*Z$3/12,2),2))</f>
      </c>
      <c r="G307" s="33">
        <f>IF(AU306&lt;=0,0,ROUND(AU306+ROUND(AU306*AA$3/12,2),2))</f>
      </c>
      <c r="H307" s="33">
        <f>IF(AV306&lt;=0,0,ROUND(AV306+ROUND(AV306*AB$3/12,2),2))</f>
      </c>
      <c r="I307" s="33">
        <f>IF(AW306&lt;=0,0,ROUND(AW306+ROUND(AW306*AC$3/12,2),2))</f>
      </c>
      <c r="J307" s="33">
        <f>IF(AX306&lt;=0,0,ROUND(AX306+ROUND(AX306*AD$3/12,2),2))</f>
      </c>
      <c r="K307" s="33">
        <f>IF(AY306&lt;=0,0,ROUND(AY306+ROUND(AY306*AE$3/12,2),2))</f>
      </c>
      <c r="L307" s="33">
        <f>ROUND(MIN(MAX(0,N('Your debts'!$E$6)),B307),2)</f>
      </c>
      <c r="M307" s="33">
        <f>ROUND(MIN(MAX(0,N('Your debts'!$E$7)),C307),2)</f>
      </c>
      <c r="N307" s="33">
        <f>ROUND(MIN(MAX(0,N('Your debts'!$E$8)),D307),2)</f>
      </c>
      <c r="O307" s="33">
        <f>ROUND(MIN(MAX(0,N('Your debts'!$E$9)),E307),2)</f>
      </c>
      <c r="P307" s="33">
        <f>ROUND(MIN(MAX(0,N('Your debts'!$E$10)),F307),2)</f>
      </c>
      <c r="Q307" s="33">
        <f>ROUND(MIN(MAX(0,N('Your debts'!$E$11)),G307),2)</f>
      </c>
      <c r="R307" s="33">
        <f>ROUND(MIN(MAX(0,N('Your debts'!$E$12)),H307),2)</f>
      </c>
      <c r="S307" s="33">
        <f>ROUND(MIN(MAX(0,N('Your debts'!$E$13)),I307),2)</f>
      </c>
      <c r="T307" s="33">
        <f>ROUND(MIN(MAX(0,N('Your debts'!$E$14)),J307),2)</f>
      </c>
      <c r="U307" s="33">
        <f>ROUND(MIN(MAX(0,N('Your debts'!$E$15)),K307),2)</f>
      </c>
      <c r="V307" s="33">
        <f>ROUND(B307-L307,2)</f>
      </c>
      <c r="W307" s="33">
        <f>ROUND(C307-M307,2)</f>
      </c>
      <c r="X307" s="33">
        <f>ROUND(D307-N307,2)</f>
      </c>
      <c r="Y307" s="33">
        <f>ROUND(E307-O307,2)</f>
      </c>
      <c r="Z307" s="33">
        <f>ROUND(F307-P307,2)</f>
      </c>
      <c r="AA307" s="33">
        <f>ROUND(G307-Q307,2)</f>
      </c>
      <c r="AB307" s="33">
        <f>ROUND(H307-R307,2)</f>
      </c>
      <c r="AC307" s="33">
        <f>ROUND(I307-S307,2)</f>
      </c>
      <c r="AD307" s="33">
        <f>ROUND(J307-T307,2)</f>
      </c>
      <c r="AE307" s="33">
        <f>ROUND(K307-U307,2)</f>
      </c>
      <c r="AF307" s="33">
        <f>IF(V307&lt;=0,0,MAX(0,MIN(V307,ROUND($AZ307-SUMPRODUCT($V307:$AE307*($V307:$AE307&gt;0)*(($V$3:$AE$3&gt;V$3)+($V$3:$AE$3=V$3)*($V307:$AE307&lt;V307)+($V$3:$AE$3=V$3)*($V307:$AE307=V307)*($V$2:$AE$2&lt;V$2))),2))))</f>
      </c>
      <c r="AG307" s="33">
        <f>IF(W307&lt;=0,0,MAX(0,MIN(W307,ROUND($AZ307-SUMPRODUCT($V307:$AE307*($V307:$AE307&gt;0)*(($V$3:$AE$3&gt;W$3)+($V$3:$AE$3=W$3)*($V307:$AE307&lt;W307)+($V$3:$AE$3=W$3)*($V307:$AE307=W307)*($V$2:$AE$2&lt;W$2))),2))))</f>
      </c>
      <c r="AH307" s="33">
        <f>IF(X307&lt;=0,0,MAX(0,MIN(X307,ROUND($AZ307-SUMPRODUCT($V307:$AE307*($V307:$AE307&gt;0)*(($V$3:$AE$3&gt;X$3)+($V$3:$AE$3=X$3)*($V307:$AE307&lt;X307)+($V$3:$AE$3=X$3)*($V307:$AE307=X307)*($V$2:$AE$2&lt;X$2))),2))))</f>
      </c>
      <c r="AI307" s="33">
        <f>IF(Y307&lt;=0,0,MAX(0,MIN(Y307,ROUND($AZ307-SUMPRODUCT($V307:$AE307*($V307:$AE307&gt;0)*(($V$3:$AE$3&gt;Y$3)+($V$3:$AE$3=Y$3)*($V307:$AE307&lt;Y307)+($V$3:$AE$3=Y$3)*($V307:$AE307=Y307)*($V$2:$AE$2&lt;Y$2))),2))))</f>
      </c>
      <c r="AJ307" s="33">
        <f>IF(Z307&lt;=0,0,MAX(0,MIN(Z307,ROUND($AZ307-SUMPRODUCT($V307:$AE307*($V307:$AE307&gt;0)*(($V$3:$AE$3&gt;Z$3)+($V$3:$AE$3=Z$3)*($V307:$AE307&lt;Z307)+($V$3:$AE$3=Z$3)*($V307:$AE307=Z307)*($V$2:$AE$2&lt;Z$2))),2))))</f>
      </c>
      <c r="AK307" s="33">
        <f>IF(AA307&lt;=0,0,MAX(0,MIN(AA307,ROUND($AZ307-SUMPRODUCT($V307:$AE307*($V307:$AE307&gt;0)*(($V$3:$AE$3&gt;AA$3)+($V$3:$AE$3=AA$3)*($V307:$AE307&lt;AA307)+($V$3:$AE$3=AA$3)*($V307:$AE307=AA307)*($V$2:$AE$2&lt;AA$2))),2))))</f>
      </c>
      <c r="AL307" s="33">
        <f>IF(AB307&lt;=0,0,MAX(0,MIN(AB307,ROUND($AZ307-SUMPRODUCT($V307:$AE307*($V307:$AE307&gt;0)*(($V$3:$AE$3&gt;AB$3)+($V$3:$AE$3=AB$3)*($V307:$AE307&lt;AB307)+($V$3:$AE$3=AB$3)*($V307:$AE307=AB307)*($V$2:$AE$2&lt;AB$2))),2))))</f>
      </c>
      <c r="AM307" s="33">
        <f>IF(AC307&lt;=0,0,MAX(0,MIN(AC307,ROUND($AZ307-SUMPRODUCT($V307:$AE307*($V307:$AE307&gt;0)*(($V$3:$AE$3&gt;AC$3)+($V$3:$AE$3=AC$3)*($V307:$AE307&lt;AC307)+($V$3:$AE$3=AC$3)*($V307:$AE307=AC307)*($V$2:$AE$2&lt;AC$2))),2))))</f>
      </c>
      <c r="AN307" s="33">
        <f>IF(AD307&lt;=0,0,MAX(0,MIN(AD307,ROUND($AZ307-SUMPRODUCT($V307:$AE307*($V307:$AE307&gt;0)*(($V$3:$AE$3&gt;AD$3)+($V$3:$AE$3=AD$3)*($V307:$AE307&lt;AD307)+($V$3:$AE$3=AD$3)*($V307:$AE307=AD307)*($V$2:$AE$2&lt;AD$2))),2))))</f>
      </c>
      <c r="AO307" s="33">
        <f>IF(AE307&lt;=0,0,MAX(0,MIN(AE307,ROUND($AZ307-SUMPRODUCT($V307:$AE307*($V307:$AE307&gt;0)*(($V$3:$AE$3&gt;AE$3)+($V$3:$AE$3=AE$3)*($V307:$AE307&lt;AE307)+($V$3:$AE$3=AE$3)*($V307:$AE307=AE307)*($V$2:$AE$2&lt;AE$2))),2))))</f>
      </c>
      <c r="AP307" s="33">
        <f>ROUND(V307-AF307,2)</f>
      </c>
      <c r="AQ307" s="33">
        <f>ROUND(W307-AG307,2)</f>
      </c>
      <c r="AR307" s="33">
        <f>ROUND(X307-AH307,2)</f>
      </c>
      <c r="AS307" s="33">
        <f>ROUND(Y307-AI307,2)</f>
      </c>
      <c r="AT307" s="33">
        <f>ROUND(Z307-AJ307,2)</f>
      </c>
      <c r="AU307" s="33">
        <f>ROUND(AA307-AK307,2)</f>
      </c>
      <c r="AV307" s="33">
        <f>ROUND(AB307-AL307,2)</f>
      </c>
      <c r="AW307" s="33">
        <f>ROUND(AC307-AM307,2)</f>
      </c>
      <c r="AX307" s="33">
        <f>ROUND(AD307-AN307,2)</f>
      </c>
      <c r="AY307" s="33">
        <f>ROUND(AE307-AO307,2)</f>
      </c>
      <c r="AZ307" s="33">
        <f>ROUND(MAX(0,'Your debts'!$D$22-SUM($L307:$U307)),2)</f>
      </c>
      <c r="BA307" s="33">
        <f>ROUND(SUM($B307:$K307)-SUM($AP306:$AY306),2)</f>
      </c>
      <c r="BB307" s="33">
        <f>SUM($AP307:$AY307)</f>
      </c>
      <c r="BC307" s="33">
        <f>ROUND(SUM($L307:$U307)+SUM($AF307:$AO307),2)</f>
      </c>
    </row>
    <row r="308" spans="1:55" x14ac:dyDescent="0.25">
      <c r="A308">
        <v>301</v>
      </c>
      <c r="B308" s="33">
        <f>IF(AP307&lt;=0,0,ROUND(AP307+ROUND(AP307*V$3/12,2),2))</f>
      </c>
      <c r="C308" s="33">
        <f>IF(AQ307&lt;=0,0,ROUND(AQ307+ROUND(AQ307*W$3/12,2),2))</f>
      </c>
      <c r="D308" s="33">
        <f>IF(AR307&lt;=0,0,ROUND(AR307+ROUND(AR307*X$3/12,2),2))</f>
      </c>
      <c r="E308" s="33">
        <f>IF(AS307&lt;=0,0,ROUND(AS307+ROUND(AS307*Y$3/12,2),2))</f>
      </c>
      <c r="F308" s="33">
        <f>IF(AT307&lt;=0,0,ROUND(AT307+ROUND(AT307*Z$3/12,2),2))</f>
      </c>
      <c r="G308" s="33">
        <f>IF(AU307&lt;=0,0,ROUND(AU307+ROUND(AU307*AA$3/12,2),2))</f>
      </c>
      <c r="H308" s="33">
        <f>IF(AV307&lt;=0,0,ROUND(AV307+ROUND(AV307*AB$3/12,2),2))</f>
      </c>
      <c r="I308" s="33">
        <f>IF(AW307&lt;=0,0,ROUND(AW307+ROUND(AW307*AC$3/12,2),2))</f>
      </c>
      <c r="J308" s="33">
        <f>IF(AX307&lt;=0,0,ROUND(AX307+ROUND(AX307*AD$3/12,2),2))</f>
      </c>
      <c r="K308" s="33">
        <f>IF(AY307&lt;=0,0,ROUND(AY307+ROUND(AY307*AE$3/12,2),2))</f>
      </c>
      <c r="L308" s="33">
        <f>ROUND(MIN(MAX(0,N('Your debts'!$E$6)),B308),2)</f>
      </c>
      <c r="M308" s="33">
        <f>ROUND(MIN(MAX(0,N('Your debts'!$E$7)),C308),2)</f>
      </c>
      <c r="N308" s="33">
        <f>ROUND(MIN(MAX(0,N('Your debts'!$E$8)),D308),2)</f>
      </c>
      <c r="O308" s="33">
        <f>ROUND(MIN(MAX(0,N('Your debts'!$E$9)),E308),2)</f>
      </c>
      <c r="P308" s="33">
        <f>ROUND(MIN(MAX(0,N('Your debts'!$E$10)),F308),2)</f>
      </c>
      <c r="Q308" s="33">
        <f>ROUND(MIN(MAX(0,N('Your debts'!$E$11)),G308),2)</f>
      </c>
      <c r="R308" s="33">
        <f>ROUND(MIN(MAX(0,N('Your debts'!$E$12)),H308),2)</f>
      </c>
      <c r="S308" s="33">
        <f>ROUND(MIN(MAX(0,N('Your debts'!$E$13)),I308),2)</f>
      </c>
      <c r="T308" s="33">
        <f>ROUND(MIN(MAX(0,N('Your debts'!$E$14)),J308),2)</f>
      </c>
      <c r="U308" s="33">
        <f>ROUND(MIN(MAX(0,N('Your debts'!$E$15)),K308),2)</f>
      </c>
      <c r="V308" s="33">
        <f>ROUND(B308-L308,2)</f>
      </c>
      <c r="W308" s="33">
        <f>ROUND(C308-M308,2)</f>
      </c>
      <c r="X308" s="33">
        <f>ROUND(D308-N308,2)</f>
      </c>
      <c r="Y308" s="33">
        <f>ROUND(E308-O308,2)</f>
      </c>
      <c r="Z308" s="33">
        <f>ROUND(F308-P308,2)</f>
      </c>
      <c r="AA308" s="33">
        <f>ROUND(G308-Q308,2)</f>
      </c>
      <c r="AB308" s="33">
        <f>ROUND(H308-R308,2)</f>
      </c>
      <c r="AC308" s="33">
        <f>ROUND(I308-S308,2)</f>
      </c>
      <c r="AD308" s="33">
        <f>ROUND(J308-T308,2)</f>
      </c>
      <c r="AE308" s="33">
        <f>ROUND(K308-U308,2)</f>
      </c>
      <c r="AF308" s="33">
        <f>IF(V308&lt;=0,0,MAX(0,MIN(V308,ROUND($AZ308-SUMPRODUCT($V308:$AE308*($V308:$AE308&gt;0)*(($V$3:$AE$3&gt;V$3)+($V$3:$AE$3=V$3)*($V308:$AE308&lt;V308)+($V$3:$AE$3=V$3)*($V308:$AE308=V308)*($V$2:$AE$2&lt;V$2))),2))))</f>
      </c>
      <c r="AG308" s="33">
        <f>IF(W308&lt;=0,0,MAX(0,MIN(W308,ROUND($AZ308-SUMPRODUCT($V308:$AE308*($V308:$AE308&gt;0)*(($V$3:$AE$3&gt;W$3)+($V$3:$AE$3=W$3)*($V308:$AE308&lt;W308)+($V$3:$AE$3=W$3)*($V308:$AE308=W308)*($V$2:$AE$2&lt;W$2))),2))))</f>
      </c>
      <c r="AH308" s="33">
        <f>IF(X308&lt;=0,0,MAX(0,MIN(X308,ROUND($AZ308-SUMPRODUCT($V308:$AE308*($V308:$AE308&gt;0)*(($V$3:$AE$3&gt;X$3)+($V$3:$AE$3=X$3)*($V308:$AE308&lt;X308)+($V$3:$AE$3=X$3)*($V308:$AE308=X308)*($V$2:$AE$2&lt;X$2))),2))))</f>
      </c>
      <c r="AI308" s="33">
        <f>IF(Y308&lt;=0,0,MAX(0,MIN(Y308,ROUND($AZ308-SUMPRODUCT($V308:$AE308*($V308:$AE308&gt;0)*(($V$3:$AE$3&gt;Y$3)+($V$3:$AE$3=Y$3)*($V308:$AE308&lt;Y308)+($V$3:$AE$3=Y$3)*($V308:$AE308=Y308)*($V$2:$AE$2&lt;Y$2))),2))))</f>
      </c>
      <c r="AJ308" s="33">
        <f>IF(Z308&lt;=0,0,MAX(0,MIN(Z308,ROUND($AZ308-SUMPRODUCT($V308:$AE308*($V308:$AE308&gt;0)*(($V$3:$AE$3&gt;Z$3)+($V$3:$AE$3=Z$3)*($V308:$AE308&lt;Z308)+($V$3:$AE$3=Z$3)*($V308:$AE308=Z308)*($V$2:$AE$2&lt;Z$2))),2))))</f>
      </c>
      <c r="AK308" s="33">
        <f>IF(AA308&lt;=0,0,MAX(0,MIN(AA308,ROUND($AZ308-SUMPRODUCT($V308:$AE308*($V308:$AE308&gt;0)*(($V$3:$AE$3&gt;AA$3)+($V$3:$AE$3=AA$3)*($V308:$AE308&lt;AA308)+($V$3:$AE$3=AA$3)*($V308:$AE308=AA308)*($V$2:$AE$2&lt;AA$2))),2))))</f>
      </c>
      <c r="AL308" s="33">
        <f>IF(AB308&lt;=0,0,MAX(0,MIN(AB308,ROUND($AZ308-SUMPRODUCT($V308:$AE308*($V308:$AE308&gt;0)*(($V$3:$AE$3&gt;AB$3)+($V$3:$AE$3=AB$3)*($V308:$AE308&lt;AB308)+($V$3:$AE$3=AB$3)*($V308:$AE308=AB308)*($V$2:$AE$2&lt;AB$2))),2))))</f>
      </c>
      <c r="AM308" s="33">
        <f>IF(AC308&lt;=0,0,MAX(0,MIN(AC308,ROUND($AZ308-SUMPRODUCT($V308:$AE308*($V308:$AE308&gt;0)*(($V$3:$AE$3&gt;AC$3)+($V$3:$AE$3=AC$3)*($V308:$AE308&lt;AC308)+($V$3:$AE$3=AC$3)*($V308:$AE308=AC308)*($V$2:$AE$2&lt;AC$2))),2))))</f>
      </c>
      <c r="AN308" s="33">
        <f>IF(AD308&lt;=0,0,MAX(0,MIN(AD308,ROUND($AZ308-SUMPRODUCT($V308:$AE308*($V308:$AE308&gt;0)*(($V$3:$AE$3&gt;AD$3)+($V$3:$AE$3=AD$3)*($V308:$AE308&lt;AD308)+($V$3:$AE$3=AD$3)*($V308:$AE308=AD308)*($V$2:$AE$2&lt;AD$2))),2))))</f>
      </c>
      <c r="AO308" s="33">
        <f>IF(AE308&lt;=0,0,MAX(0,MIN(AE308,ROUND($AZ308-SUMPRODUCT($V308:$AE308*($V308:$AE308&gt;0)*(($V$3:$AE$3&gt;AE$3)+($V$3:$AE$3=AE$3)*($V308:$AE308&lt;AE308)+($V$3:$AE$3=AE$3)*($V308:$AE308=AE308)*($V$2:$AE$2&lt;AE$2))),2))))</f>
      </c>
      <c r="AP308" s="33">
        <f>ROUND(V308-AF308,2)</f>
      </c>
      <c r="AQ308" s="33">
        <f>ROUND(W308-AG308,2)</f>
      </c>
      <c r="AR308" s="33">
        <f>ROUND(X308-AH308,2)</f>
      </c>
      <c r="AS308" s="33">
        <f>ROUND(Y308-AI308,2)</f>
      </c>
      <c r="AT308" s="33">
        <f>ROUND(Z308-AJ308,2)</f>
      </c>
      <c r="AU308" s="33">
        <f>ROUND(AA308-AK308,2)</f>
      </c>
      <c r="AV308" s="33">
        <f>ROUND(AB308-AL308,2)</f>
      </c>
      <c r="AW308" s="33">
        <f>ROUND(AC308-AM308,2)</f>
      </c>
      <c r="AX308" s="33">
        <f>ROUND(AD308-AN308,2)</f>
      </c>
      <c r="AY308" s="33">
        <f>ROUND(AE308-AO308,2)</f>
      </c>
      <c r="AZ308" s="33">
        <f>ROUND(MAX(0,'Your debts'!$D$22-SUM($L308:$U308)),2)</f>
      </c>
      <c r="BA308" s="33">
        <f>ROUND(SUM($B308:$K308)-SUM($AP307:$AY307),2)</f>
      </c>
      <c r="BB308" s="33">
        <f>SUM($AP308:$AY308)</f>
      </c>
      <c r="BC308" s="33">
        <f>ROUND(SUM($L308:$U308)+SUM($AF308:$AO308),2)</f>
      </c>
    </row>
    <row r="309" spans="1:55" x14ac:dyDescent="0.25">
      <c r="A309">
        <v>302</v>
      </c>
      <c r="B309" s="33">
        <f>IF(AP308&lt;=0,0,ROUND(AP308+ROUND(AP308*V$3/12,2),2))</f>
      </c>
      <c r="C309" s="33">
        <f>IF(AQ308&lt;=0,0,ROUND(AQ308+ROUND(AQ308*W$3/12,2),2))</f>
      </c>
      <c r="D309" s="33">
        <f>IF(AR308&lt;=0,0,ROUND(AR308+ROUND(AR308*X$3/12,2),2))</f>
      </c>
      <c r="E309" s="33">
        <f>IF(AS308&lt;=0,0,ROUND(AS308+ROUND(AS308*Y$3/12,2),2))</f>
      </c>
      <c r="F309" s="33">
        <f>IF(AT308&lt;=0,0,ROUND(AT308+ROUND(AT308*Z$3/12,2),2))</f>
      </c>
      <c r="G309" s="33">
        <f>IF(AU308&lt;=0,0,ROUND(AU308+ROUND(AU308*AA$3/12,2),2))</f>
      </c>
      <c r="H309" s="33">
        <f>IF(AV308&lt;=0,0,ROUND(AV308+ROUND(AV308*AB$3/12,2),2))</f>
      </c>
      <c r="I309" s="33">
        <f>IF(AW308&lt;=0,0,ROUND(AW308+ROUND(AW308*AC$3/12,2),2))</f>
      </c>
      <c r="J309" s="33">
        <f>IF(AX308&lt;=0,0,ROUND(AX308+ROUND(AX308*AD$3/12,2),2))</f>
      </c>
      <c r="K309" s="33">
        <f>IF(AY308&lt;=0,0,ROUND(AY308+ROUND(AY308*AE$3/12,2),2))</f>
      </c>
      <c r="L309" s="33">
        <f>ROUND(MIN(MAX(0,N('Your debts'!$E$6)),B309),2)</f>
      </c>
      <c r="M309" s="33">
        <f>ROUND(MIN(MAX(0,N('Your debts'!$E$7)),C309),2)</f>
      </c>
      <c r="N309" s="33">
        <f>ROUND(MIN(MAX(0,N('Your debts'!$E$8)),D309),2)</f>
      </c>
      <c r="O309" s="33">
        <f>ROUND(MIN(MAX(0,N('Your debts'!$E$9)),E309),2)</f>
      </c>
      <c r="P309" s="33">
        <f>ROUND(MIN(MAX(0,N('Your debts'!$E$10)),F309),2)</f>
      </c>
      <c r="Q309" s="33">
        <f>ROUND(MIN(MAX(0,N('Your debts'!$E$11)),G309),2)</f>
      </c>
      <c r="R309" s="33">
        <f>ROUND(MIN(MAX(0,N('Your debts'!$E$12)),H309),2)</f>
      </c>
      <c r="S309" s="33">
        <f>ROUND(MIN(MAX(0,N('Your debts'!$E$13)),I309),2)</f>
      </c>
      <c r="T309" s="33">
        <f>ROUND(MIN(MAX(0,N('Your debts'!$E$14)),J309),2)</f>
      </c>
      <c r="U309" s="33">
        <f>ROUND(MIN(MAX(0,N('Your debts'!$E$15)),K309),2)</f>
      </c>
      <c r="V309" s="33">
        <f>ROUND(B309-L309,2)</f>
      </c>
      <c r="W309" s="33">
        <f>ROUND(C309-M309,2)</f>
      </c>
      <c r="X309" s="33">
        <f>ROUND(D309-N309,2)</f>
      </c>
      <c r="Y309" s="33">
        <f>ROUND(E309-O309,2)</f>
      </c>
      <c r="Z309" s="33">
        <f>ROUND(F309-P309,2)</f>
      </c>
      <c r="AA309" s="33">
        <f>ROUND(G309-Q309,2)</f>
      </c>
      <c r="AB309" s="33">
        <f>ROUND(H309-R309,2)</f>
      </c>
      <c r="AC309" s="33">
        <f>ROUND(I309-S309,2)</f>
      </c>
      <c r="AD309" s="33">
        <f>ROUND(J309-T309,2)</f>
      </c>
      <c r="AE309" s="33">
        <f>ROUND(K309-U309,2)</f>
      </c>
      <c r="AF309" s="33">
        <f>IF(V309&lt;=0,0,MAX(0,MIN(V309,ROUND($AZ309-SUMPRODUCT($V309:$AE309*($V309:$AE309&gt;0)*(($V$3:$AE$3&gt;V$3)+($V$3:$AE$3=V$3)*($V309:$AE309&lt;V309)+($V$3:$AE$3=V$3)*($V309:$AE309=V309)*($V$2:$AE$2&lt;V$2))),2))))</f>
      </c>
      <c r="AG309" s="33">
        <f>IF(W309&lt;=0,0,MAX(0,MIN(W309,ROUND($AZ309-SUMPRODUCT($V309:$AE309*($V309:$AE309&gt;0)*(($V$3:$AE$3&gt;W$3)+($V$3:$AE$3=W$3)*($V309:$AE309&lt;W309)+($V$3:$AE$3=W$3)*($V309:$AE309=W309)*($V$2:$AE$2&lt;W$2))),2))))</f>
      </c>
      <c r="AH309" s="33">
        <f>IF(X309&lt;=0,0,MAX(0,MIN(X309,ROUND($AZ309-SUMPRODUCT($V309:$AE309*($V309:$AE309&gt;0)*(($V$3:$AE$3&gt;X$3)+($V$3:$AE$3=X$3)*($V309:$AE309&lt;X309)+($V$3:$AE$3=X$3)*($V309:$AE309=X309)*($V$2:$AE$2&lt;X$2))),2))))</f>
      </c>
      <c r="AI309" s="33">
        <f>IF(Y309&lt;=0,0,MAX(0,MIN(Y309,ROUND($AZ309-SUMPRODUCT($V309:$AE309*($V309:$AE309&gt;0)*(($V$3:$AE$3&gt;Y$3)+($V$3:$AE$3=Y$3)*($V309:$AE309&lt;Y309)+($V$3:$AE$3=Y$3)*($V309:$AE309=Y309)*($V$2:$AE$2&lt;Y$2))),2))))</f>
      </c>
      <c r="AJ309" s="33">
        <f>IF(Z309&lt;=0,0,MAX(0,MIN(Z309,ROUND($AZ309-SUMPRODUCT($V309:$AE309*($V309:$AE309&gt;0)*(($V$3:$AE$3&gt;Z$3)+($V$3:$AE$3=Z$3)*($V309:$AE309&lt;Z309)+($V$3:$AE$3=Z$3)*($V309:$AE309=Z309)*($V$2:$AE$2&lt;Z$2))),2))))</f>
      </c>
      <c r="AK309" s="33">
        <f>IF(AA309&lt;=0,0,MAX(0,MIN(AA309,ROUND($AZ309-SUMPRODUCT($V309:$AE309*($V309:$AE309&gt;0)*(($V$3:$AE$3&gt;AA$3)+($V$3:$AE$3=AA$3)*($V309:$AE309&lt;AA309)+($V$3:$AE$3=AA$3)*($V309:$AE309=AA309)*($V$2:$AE$2&lt;AA$2))),2))))</f>
      </c>
      <c r="AL309" s="33">
        <f>IF(AB309&lt;=0,0,MAX(0,MIN(AB309,ROUND($AZ309-SUMPRODUCT($V309:$AE309*($V309:$AE309&gt;0)*(($V$3:$AE$3&gt;AB$3)+($V$3:$AE$3=AB$3)*($V309:$AE309&lt;AB309)+($V$3:$AE$3=AB$3)*($V309:$AE309=AB309)*($V$2:$AE$2&lt;AB$2))),2))))</f>
      </c>
      <c r="AM309" s="33">
        <f>IF(AC309&lt;=0,0,MAX(0,MIN(AC309,ROUND($AZ309-SUMPRODUCT($V309:$AE309*($V309:$AE309&gt;0)*(($V$3:$AE$3&gt;AC$3)+($V$3:$AE$3=AC$3)*($V309:$AE309&lt;AC309)+($V$3:$AE$3=AC$3)*($V309:$AE309=AC309)*($V$2:$AE$2&lt;AC$2))),2))))</f>
      </c>
      <c r="AN309" s="33">
        <f>IF(AD309&lt;=0,0,MAX(0,MIN(AD309,ROUND($AZ309-SUMPRODUCT($V309:$AE309*($V309:$AE309&gt;0)*(($V$3:$AE$3&gt;AD$3)+($V$3:$AE$3=AD$3)*($V309:$AE309&lt;AD309)+($V$3:$AE$3=AD$3)*($V309:$AE309=AD309)*($V$2:$AE$2&lt;AD$2))),2))))</f>
      </c>
      <c r="AO309" s="33">
        <f>IF(AE309&lt;=0,0,MAX(0,MIN(AE309,ROUND($AZ309-SUMPRODUCT($V309:$AE309*($V309:$AE309&gt;0)*(($V$3:$AE$3&gt;AE$3)+($V$3:$AE$3=AE$3)*($V309:$AE309&lt;AE309)+($V$3:$AE$3=AE$3)*($V309:$AE309=AE309)*($V$2:$AE$2&lt;AE$2))),2))))</f>
      </c>
      <c r="AP309" s="33">
        <f>ROUND(V309-AF309,2)</f>
      </c>
      <c r="AQ309" s="33">
        <f>ROUND(W309-AG309,2)</f>
      </c>
      <c r="AR309" s="33">
        <f>ROUND(X309-AH309,2)</f>
      </c>
      <c r="AS309" s="33">
        <f>ROUND(Y309-AI309,2)</f>
      </c>
      <c r="AT309" s="33">
        <f>ROUND(Z309-AJ309,2)</f>
      </c>
      <c r="AU309" s="33">
        <f>ROUND(AA309-AK309,2)</f>
      </c>
      <c r="AV309" s="33">
        <f>ROUND(AB309-AL309,2)</f>
      </c>
      <c r="AW309" s="33">
        <f>ROUND(AC309-AM309,2)</f>
      </c>
      <c r="AX309" s="33">
        <f>ROUND(AD309-AN309,2)</f>
      </c>
      <c r="AY309" s="33">
        <f>ROUND(AE309-AO309,2)</f>
      </c>
      <c r="AZ309" s="33">
        <f>ROUND(MAX(0,'Your debts'!$D$22-SUM($L309:$U309)),2)</f>
      </c>
      <c r="BA309" s="33">
        <f>ROUND(SUM($B309:$K309)-SUM($AP308:$AY308),2)</f>
      </c>
      <c r="BB309" s="33">
        <f>SUM($AP309:$AY309)</f>
      </c>
      <c r="BC309" s="33">
        <f>ROUND(SUM($L309:$U309)+SUM($AF309:$AO309),2)</f>
      </c>
    </row>
    <row r="310" spans="1:55" x14ac:dyDescent="0.25">
      <c r="A310">
        <v>303</v>
      </c>
      <c r="B310" s="33">
        <f>IF(AP309&lt;=0,0,ROUND(AP309+ROUND(AP309*V$3/12,2),2))</f>
      </c>
      <c r="C310" s="33">
        <f>IF(AQ309&lt;=0,0,ROUND(AQ309+ROUND(AQ309*W$3/12,2),2))</f>
      </c>
      <c r="D310" s="33">
        <f>IF(AR309&lt;=0,0,ROUND(AR309+ROUND(AR309*X$3/12,2),2))</f>
      </c>
      <c r="E310" s="33">
        <f>IF(AS309&lt;=0,0,ROUND(AS309+ROUND(AS309*Y$3/12,2),2))</f>
      </c>
      <c r="F310" s="33">
        <f>IF(AT309&lt;=0,0,ROUND(AT309+ROUND(AT309*Z$3/12,2),2))</f>
      </c>
      <c r="G310" s="33">
        <f>IF(AU309&lt;=0,0,ROUND(AU309+ROUND(AU309*AA$3/12,2),2))</f>
      </c>
      <c r="H310" s="33">
        <f>IF(AV309&lt;=0,0,ROUND(AV309+ROUND(AV309*AB$3/12,2),2))</f>
      </c>
      <c r="I310" s="33">
        <f>IF(AW309&lt;=0,0,ROUND(AW309+ROUND(AW309*AC$3/12,2),2))</f>
      </c>
      <c r="J310" s="33">
        <f>IF(AX309&lt;=0,0,ROUND(AX309+ROUND(AX309*AD$3/12,2),2))</f>
      </c>
      <c r="K310" s="33">
        <f>IF(AY309&lt;=0,0,ROUND(AY309+ROUND(AY309*AE$3/12,2),2))</f>
      </c>
      <c r="L310" s="33">
        <f>ROUND(MIN(MAX(0,N('Your debts'!$E$6)),B310),2)</f>
      </c>
      <c r="M310" s="33">
        <f>ROUND(MIN(MAX(0,N('Your debts'!$E$7)),C310),2)</f>
      </c>
      <c r="N310" s="33">
        <f>ROUND(MIN(MAX(0,N('Your debts'!$E$8)),D310),2)</f>
      </c>
      <c r="O310" s="33">
        <f>ROUND(MIN(MAX(0,N('Your debts'!$E$9)),E310),2)</f>
      </c>
      <c r="P310" s="33">
        <f>ROUND(MIN(MAX(0,N('Your debts'!$E$10)),F310),2)</f>
      </c>
      <c r="Q310" s="33">
        <f>ROUND(MIN(MAX(0,N('Your debts'!$E$11)),G310),2)</f>
      </c>
      <c r="R310" s="33">
        <f>ROUND(MIN(MAX(0,N('Your debts'!$E$12)),H310),2)</f>
      </c>
      <c r="S310" s="33">
        <f>ROUND(MIN(MAX(0,N('Your debts'!$E$13)),I310),2)</f>
      </c>
      <c r="T310" s="33">
        <f>ROUND(MIN(MAX(0,N('Your debts'!$E$14)),J310),2)</f>
      </c>
      <c r="U310" s="33">
        <f>ROUND(MIN(MAX(0,N('Your debts'!$E$15)),K310),2)</f>
      </c>
      <c r="V310" s="33">
        <f>ROUND(B310-L310,2)</f>
      </c>
      <c r="W310" s="33">
        <f>ROUND(C310-M310,2)</f>
      </c>
      <c r="X310" s="33">
        <f>ROUND(D310-N310,2)</f>
      </c>
      <c r="Y310" s="33">
        <f>ROUND(E310-O310,2)</f>
      </c>
      <c r="Z310" s="33">
        <f>ROUND(F310-P310,2)</f>
      </c>
      <c r="AA310" s="33">
        <f>ROUND(G310-Q310,2)</f>
      </c>
      <c r="AB310" s="33">
        <f>ROUND(H310-R310,2)</f>
      </c>
      <c r="AC310" s="33">
        <f>ROUND(I310-S310,2)</f>
      </c>
      <c r="AD310" s="33">
        <f>ROUND(J310-T310,2)</f>
      </c>
      <c r="AE310" s="33">
        <f>ROUND(K310-U310,2)</f>
      </c>
      <c r="AF310" s="33">
        <f>IF(V310&lt;=0,0,MAX(0,MIN(V310,ROUND($AZ310-SUMPRODUCT($V310:$AE310*($V310:$AE310&gt;0)*(($V$3:$AE$3&gt;V$3)+($V$3:$AE$3=V$3)*($V310:$AE310&lt;V310)+($V$3:$AE$3=V$3)*($V310:$AE310=V310)*($V$2:$AE$2&lt;V$2))),2))))</f>
      </c>
      <c r="AG310" s="33">
        <f>IF(W310&lt;=0,0,MAX(0,MIN(W310,ROUND($AZ310-SUMPRODUCT($V310:$AE310*($V310:$AE310&gt;0)*(($V$3:$AE$3&gt;W$3)+($V$3:$AE$3=W$3)*($V310:$AE310&lt;W310)+($V$3:$AE$3=W$3)*($V310:$AE310=W310)*($V$2:$AE$2&lt;W$2))),2))))</f>
      </c>
      <c r="AH310" s="33">
        <f>IF(X310&lt;=0,0,MAX(0,MIN(X310,ROUND($AZ310-SUMPRODUCT($V310:$AE310*($V310:$AE310&gt;0)*(($V$3:$AE$3&gt;X$3)+($V$3:$AE$3=X$3)*($V310:$AE310&lt;X310)+($V$3:$AE$3=X$3)*($V310:$AE310=X310)*($V$2:$AE$2&lt;X$2))),2))))</f>
      </c>
      <c r="AI310" s="33">
        <f>IF(Y310&lt;=0,0,MAX(0,MIN(Y310,ROUND($AZ310-SUMPRODUCT($V310:$AE310*($V310:$AE310&gt;0)*(($V$3:$AE$3&gt;Y$3)+($V$3:$AE$3=Y$3)*($V310:$AE310&lt;Y310)+($V$3:$AE$3=Y$3)*($V310:$AE310=Y310)*($V$2:$AE$2&lt;Y$2))),2))))</f>
      </c>
      <c r="AJ310" s="33">
        <f>IF(Z310&lt;=0,0,MAX(0,MIN(Z310,ROUND($AZ310-SUMPRODUCT($V310:$AE310*($V310:$AE310&gt;0)*(($V$3:$AE$3&gt;Z$3)+($V$3:$AE$3=Z$3)*($V310:$AE310&lt;Z310)+($V$3:$AE$3=Z$3)*($V310:$AE310=Z310)*($V$2:$AE$2&lt;Z$2))),2))))</f>
      </c>
      <c r="AK310" s="33">
        <f>IF(AA310&lt;=0,0,MAX(0,MIN(AA310,ROUND($AZ310-SUMPRODUCT($V310:$AE310*($V310:$AE310&gt;0)*(($V$3:$AE$3&gt;AA$3)+($V$3:$AE$3=AA$3)*($V310:$AE310&lt;AA310)+($V$3:$AE$3=AA$3)*($V310:$AE310=AA310)*($V$2:$AE$2&lt;AA$2))),2))))</f>
      </c>
      <c r="AL310" s="33">
        <f>IF(AB310&lt;=0,0,MAX(0,MIN(AB310,ROUND($AZ310-SUMPRODUCT($V310:$AE310*($V310:$AE310&gt;0)*(($V$3:$AE$3&gt;AB$3)+($V$3:$AE$3=AB$3)*($V310:$AE310&lt;AB310)+($V$3:$AE$3=AB$3)*($V310:$AE310=AB310)*($V$2:$AE$2&lt;AB$2))),2))))</f>
      </c>
      <c r="AM310" s="33">
        <f>IF(AC310&lt;=0,0,MAX(0,MIN(AC310,ROUND($AZ310-SUMPRODUCT($V310:$AE310*($V310:$AE310&gt;0)*(($V$3:$AE$3&gt;AC$3)+($V$3:$AE$3=AC$3)*($V310:$AE310&lt;AC310)+($V$3:$AE$3=AC$3)*($V310:$AE310=AC310)*($V$2:$AE$2&lt;AC$2))),2))))</f>
      </c>
      <c r="AN310" s="33">
        <f>IF(AD310&lt;=0,0,MAX(0,MIN(AD310,ROUND($AZ310-SUMPRODUCT($V310:$AE310*($V310:$AE310&gt;0)*(($V$3:$AE$3&gt;AD$3)+($V$3:$AE$3=AD$3)*($V310:$AE310&lt;AD310)+($V$3:$AE$3=AD$3)*($V310:$AE310=AD310)*($V$2:$AE$2&lt;AD$2))),2))))</f>
      </c>
      <c r="AO310" s="33">
        <f>IF(AE310&lt;=0,0,MAX(0,MIN(AE310,ROUND($AZ310-SUMPRODUCT($V310:$AE310*($V310:$AE310&gt;0)*(($V$3:$AE$3&gt;AE$3)+($V$3:$AE$3=AE$3)*($V310:$AE310&lt;AE310)+($V$3:$AE$3=AE$3)*($V310:$AE310=AE310)*($V$2:$AE$2&lt;AE$2))),2))))</f>
      </c>
      <c r="AP310" s="33">
        <f>ROUND(V310-AF310,2)</f>
      </c>
      <c r="AQ310" s="33">
        <f>ROUND(W310-AG310,2)</f>
      </c>
      <c r="AR310" s="33">
        <f>ROUND(X310-AH310,2)</f>
      </c>
      <c r="AS310" s="33">
        <f>ROUND(Y310-AI310,2)</f>
      </c>
      <c r="AT310" s="33">
        <f>ROUND(Z310-AJ310,2)</f>
      </c>
      <c r="AU310" s="33">
        <f>ROUND(AA310-AK310,2)</f>
      </c>
      <c r="AV310" s="33">
        <f>ROUND(AB310-AL310,2)</f>
      </c>
      <c r="AW310" s="33">
        <f>ROUND(AC310-AM310,2)</f>
      </c>
      <c r="AX310" s="33">
        <f>ROUND(AD310-AN310,2)</f>
      </c>
      <c r="AY310" s="33">
        <f>ROUND(AE310-AO310,2)</f>
      </c>
      <c r="AZ310" s="33">
        <f>ROUND(MAX(0,'Your debts'!$D$22-SUM($L310:$U310)),2)</f>
      </c>
      <c r="BA310" s="33">
        <f>ROUND(SUM($B310:$K310)-SUM($AP309:$AY309),2)</f>
      </c>
      <c r="BB310" s="33">
        <f>SUM($AP310:$AY310)</f>
      </c>
      <c r="BC310" s="33">
        <f>ROUND(SUM($L310:$U310)+SUM($AF310:$AO310),2)</f>
      </c>
    </row>
    <row r="311" spans="1:55" x14ac:dyDescent="0.25">
      <c r="A311">
        <v>304</v>
      </c>
      <c r="B311" s="33">
        <f>IF(AP310&lt;=0,0,ROUND(AP310+ROUND(AP310*V$3/12,2),2))</f>
      </c>
      <c r="C311" s="33">
        <f>IF(AQ310&lt;=0,0,ROUND(AQ310+ROUND(AQ310*W$3/12,2),2))</f>
      </c>
      <c r="D311" s="33">
        <f>IF(AR310&lt;=0,0,ROUND(AR310+ROUND(AR310*X$3/12,2),2))</f>
      </c>
      <c r="E311" s="33">
        <f>IF(AS310&lt;=0,0,ROUND(AS310+ROUND(AS310*Y$3/12,2),2))</f>
      </c>
      <c r="F311" s="33">
        <f>IF(AT310&lt;=0,0,ROUND(AT310+ROUND(AT310*Z$3/12,2),2))</f>
      </c>
      <c r="G311" s="33">
        <f>IF(AU310&lt;=0,0,ROUND(AU310+ROUND(AU310*AA$3/12,2),2))</f>
      </c>
      <c r="H311" s="33">
        <f>IF(AV310&lt;=0,0,ROUND(AV310+ROUND(AV310*AB$3/12,2),2))</f>
      </c>
      <c r="I311" s="33">
        <f>IF(AW310&lt;=0,0,ROUND(AW310+ROUND(AW310*AC$3/12,2),2))</f>
      </c>
      <c r="J311" s="33">
        <f>IF(AX310&lt;=0,0,ROUND(AX310+ROUND(AX310*AD$3/12,2),2))</f>
      </c>
      <c r="K311" s="33">
        <f>IF(AY310&lt;=0,0,ROUND(AY310+ROUND(AY310*AE$3/12,2),2))</f>
      </c>
      <c r="L311" s="33">
        <f>ROUND(MIN(MAX(0,N('Your debts'!$E$6)),B311),2)</f>
      </c>
      <c r="M311" s="33">
        <f>ROUND(MIN(MAX(0,N('Your debts'!$E$7)),C311),2)</f>
      </c>
      <c r="N311" s="33">
        <f>ROUND(MIN(MAX(0,N('Your debts'!$E$8)),D311),2)</f>
      </c>
      <c r="O311" s="33">
        <f>ROUND(MIN(MAX(0,N('Your debts'!$E$9)),E311),2)</f>
      </c>
      <c r="P311" s="33">
        <f>ROUND(MIN(MAX(0,N('Your debts'!$E$10)),F311),2)</f>
      </c>
      <c r="Q311" s="33">
        <f>ROUND(MIN(MAX(0,N('Your debts'!$E$11)),G311),2)</f>
      </c>
      <c r="R311" s="33">
        <f>ROUND(MIN(MAX(0,N('Your debts'!$E$12)),H311),2)</f>
      </c>
      <c r="S311" s="33">
        <f>ROUND(MIN(MAX(0,N('Your debts'!$E$13)),I311),2)</f>
      </c>
      <c r="T311" s="33">
        <f>ROUND(MIN(MAX(0,N('Your debts'!$E$14)),J311),2)</f>
      </c>
      <c r="U311" s="33">
        <f>ROUND(MIN(MAX(0,N('Your debts'!$E$15)),K311),2)</f>
      </c>
      <c r="V311" s="33">
        <f>ROUND(B311-L311,2)</f>
      </c>
      <c r="W311" s="33">
        <f>ROUND(C311-M311,2)</f>
      </c>
      <c r="X311" s="33">
        <f>ROUND(D311-N311,2)</f>
      </c>
      <c r="Y311" s="33">
        <f>ROUND(E311-O311,2)</f>
      </c>
      <c r="Z311" s="33">
        <f>ROUND(F311-P311,2)</f>
      </c>
      <c r="AA311" s="33">
        <f>ROUND(G311-Q311,2)</f>
      </c>
      <c r="AB311" s="33">
        <f>ROUND(H311-R311,2)</f>
      </c>
      <c r="AC311" s="33">
        <f>ROUND(I311-S311,2)</f>
      </c>
      <c r="AD311" s="33">
        <f>ROUND(J311-T311,2)</f>
      </c>
      <c r="AE311" s="33">
        <f>ROUND(K311-U311,2)</f>
      </c>
      <c r="AF311" s="33">
        <f>IF(V311&lt;=0,0,MAX(0,MIN(V311,ROUND($AZ311-SUMPRODUCT($V311:$AE311*($V311:$AE311&gt;0)*(($V$3:$AE$3&gt;V$3)+($V$3:$AE$3=V$3)*($V311:$AE311&lt;V311)+($V$3:$AE$3=V$3)*($V311:$AE311=V311)*($V$2:$AE$2&lt;V$2))),2))))</f>
      </c>
      <c r="AG311" s="33">
        <f>IF(W311&lt;=0,0,MAX(0,MIN(W311,ROUND($AZ311-SUMPRODUCT($V311:$AE311*($V311:$AE311&gt;0)*(($V$3:$AE$3&gt;W$3)+($V$3:$AE$3=W$3)*($V311:$AE311&lt;W311)+($V$3:$AE$3=W$3)*($V311:$AE311=W311)*($V$2:$AE$2&lt;W$2))),2))))</f>
      </c>
      <c r="AH311" s="33">
        <f>IF(X311&lt;=0,0,MAX(0,MIN(X311,ROUND($AZ311-SUMPRODUCT($V311:$AE311*($V311:$AE311&gt;0)*(($V$3:$AE$3&gt;X$3)+($V$3:$AE$3=X$3)*($V311:$AE311&lt;X311)+($V$3:$AE$3=X$3)*($V311:$AE311=X311)*($V$2:$AE$2&lt;X$2))),2))))</f>
      </c>
      <c r="AI311" s="33">
        <f>IF(Y311&lt;=0,0,MAX(0,MIN(Y311,ROUND($AZ311-SUMPRODUCT($V311:$AE311*($V311:$AE311&gt;0)*(($V$3:$AE$3&gt;Y$3)+($V$3:$AE$3=Y$3)*($V311:$AE311&lt;Y311)+($V$3:$AE$3=Y$3)*($V311:$AE311=Y311)*($V$2:$AE$2&lt;Y$2))),2))))</f>
      </c>
      <c r="AJ311" s="33">
        <f>IF(Z311&lt;=0,0,MAX(0,MIN(Z311,ROUND($AZ311-SUMPRODUCT($V311:$AE311*($V311:$AE311&gt;0)*(($V$3:$AE$3&gt;Z$3)+($V$3:$AE$3=Z$3)*($V311:$AE311&lt;Z311)+($V$3:$AE$3=Z$3)*($V311:$AE311=Z311)*($V$2:$AE$2&lt;Z$2))),2))))</f>
      </c>
      <c r="AK311" s="33">
        <f>IF(AA311&lt;=0,0,MAX(0,MIN(AA311,ROUND($AZ311-SUMPRODUCT($V311:$AE311*($V311:$AE311&gt;0)*(($V$3:$AE$3&gt;AA$3)+($V$3:$AE$3=AA$3)*($V311:$AE311&lt;AA311)+($V$3:$AE$3=AA$3)*($V311:$AE311=AA311)*($V$2:$AE$2&lt;AA$2))),2))))</f>
      </c>
      <c r="AL311" s="33">
        <f>IF(AB311&lt;=0,0,MAX(0,MIN(AB311,ROUND($AZ311-SUMPRODUCT($V311:$AE311*($V311:$AE311&gt;0)*(($V$3:$AE$3&gt;AB$3)+($V$3:$AE$3=AB$3)*($V311:$AE311&lt;AB311)+($V$3:$AE$3=AB$3)*($V311:$AE311=AB311)*($V$2:$AE$2&lt;AB$2))),2))))</f>
      </c>
      <c r="AM311" s="33">
        <f>IF(AC311&lt;=0,0,MAX(0,MIN(AC311,ROUND($AZ311-SUMPRODUCT($V311:$AE311*($V311:$AE311&gt;0)*(($V$3:$AE$3&gt;AC$3)+($V$3:$AE$3=AC$3)*($V311:$AE311&lt;AC311)+($V$3:$AE$3=AC$3)*($V311:$AE311=AC311)*($V$2:$AE$2&lt;AC$2))),2))))</f>
      </c>
      <c r="AN311" s="33">
        <f>IF(AD311&lt;=0,0,MAX(0,MIN(AD311,ROUND($AZ311-SUMPRODUCT($V311:$AE311*($V311:$AE311&gt;0)*(($V$3:$AE$3&gt;AD$3)+($V$3:$AE$3=AD$3)*($V311:$AE311&lt;AD311)+($V$3:$AE$3=AD$3)*($V311:$AE311=AD311)*($V$2:$AE$2&lt;AD$2))),2))))</f>
      </c>
      <c r="AO311" s="33">
        <f>IF(AE311&lt;=0,0,MAX(0,MIN(AE311,ROUND($AZ311-SUMPRODUCT($V311:$AE311*($V311:$AE311&gt;0)*(($V$3:$AE$3&gt;AE$3)+($V$3:$AE$3=AE$3)*($V311:$AE311&lt;AE311)+($V$3:$AE$3=AE$3)*($V311:$AE311=AE311)*($V$2:$AE$2&lt;AE$2))),2))))</f>
      </c>
      <c r="AP311" s="33">
        <f>ROUND(V311-AF311,2)</f>
      </c>
      <c r="AQ311" s="33">
        <f>ROUND(W311-AG311,2)</f>
      </c>
      <c r="AR311" s="33">
        <f>ROUND(X311-AH311,2)</f>
      </c>
      <c r="AS311" s="33">
        <f>ROUND(Y311-AI311,2)</f>
      </c>
      <c r="AT311" s="33">
        <f>ROUND(Z311-AJ311,2)</f>
      </c>
      <c r="AU311" s="33">
        <f>ROUND(AA311-AK311,2)</f>
      </c>
      <c r="AV311" s="33">
        <f>ROUND(AB311-AL311,2)</f>
      </c>
      <c r="AW311" s="33">
        <f>ROUND(AC311-AM311,2)</f>
      </c>
      <c r="AX311" s="33">
        <f>ROUND(AD311-AN311,2)</f>
      </c>
      <c r="AY311" s="33">
        <f>ROUND(AE311-AO311,2)</f>
      </c>
      <c r="AZ311" s="33">
        <f>ROUND(MAX(0,'Your debts'!$D$22-SUM($L311:$U311)),2)</f>
      </c>
      <c r="BA311" s="33">
        <f>ROUND(SUM($B311:$K311)-SUM($AP310:$AY310),2)</f>
      </c>
      <c r="BB311" s="33">
        <f>SUM($AP311:$AY311)</f>
      </c>
      <c r="BC311" s="33">
        <f>ROUND(SUM($L311:$U311)+SUM($AF311:$AO311),2)</f>
      </c>
    </row>
    <row r="312" spans="1:55" x14ac:dyDescent="0.25">
      <c r="A312">
        <v>305</v>
      </c>
      <c r="B312" s="33">
        <f>IF(AP311&lt;=0,0,ROUND(AP311+ROUND(AP311*V$3/12,2),2))</f>
      </c>
      <c r="C312" s="33">
        <f>IF(AQ311&lt;=0,0,ROUND(AQ311+ROUND(AQ311*W$3/12,2),2))</f>
      </c>
      <c r="D312" s="33">
        <f>IF(AR311&lt;=0,0,ROUND(AR311+ROUND(AR311*X$3/12,2),2))</f>
      </c>
      <c r="E312" s="33">
        <f>IF(AS311&lt;=0,0,ROUND(AS311+ROUND(AS311*Y$3/12,2),2))</f>
      </c>
      <c r="F312" s="33">
        <f>IF(AT311&lt;=0,0,ROUND(AT311+ROUND(AT311*Z$3/12,2),2))</f>
      </c>
      <c r="G312" s="33">
        <f>IF(AU311&lt;=0,0,ROUND(AU311+ROUND(AU311*AA$3/12,2),2))</f>
      </c>
      <c r="H312" s="33">
        <f>IF(AV311&lt;=0,0,ROUND(AV311+ROUND(AV311*AB$3/12,2),2))</f>
      </c>
      <c r="I312" s="33">
        <f>IF(AW311&lt;=0,0,ROUND(AW311+ROUND(AW311*AC$3/12,2),2))</f>
      </c>
      <c r="J312" s="33">
        <f>IF(AX311&lt;=0,0,ROUND(AX311+ROUND(AX311*AD$3/12,2),2))</f>
      </c>
      <c r="K312" s="33">
        <f>IF(AY311&lt;=0,0,ROUND(AY311+ROUND(AY311*AE$3/12,2),2))</f>
      </c>
      <c r="L312" s="33">
        <f>ROUND(MIN(MAX(0,N('Your debts'!$E$6)),B312),2)</f>
      </c>
      <c r="M312" s="33">
        <f>ROUND(MIN(MAX(0,N('Your debts'!$E$7)),C312),2)</f>
      </c>
      <c r="N312" s="33">
        <f>ROUND(MIN(MAX(0,N('Your debts'!$E$8)),D312),2)</f>
      </c>
      <c r="O312" s="33">
        <f>ROUND(MIN(MAX(0,N('Your debts'!$E$9)),E312),2)</f>
      </c>
      <c r="P312" s="33">
        <f>ROUND(MIN(MAX(0,N('Your debts'!$E$10)),F312),2)</f>
      </c>
      <c r="Q312" s="33">
        <f>ROUND(MIN(MAX(0,N('Your debts'!$E$11)),G312),2)</f>
      </c>
      <c r="R312" s="33">
        <f>ROUND(MIN(MAX(0,N('Your debts'!$E$12)),H312),2)</f>
      </c>
      <c r="S312" s="33">
        <f>ROUND(MIN(MAX(0,N('Your debts'!$E$13)),I312),2)</f>
      </c>
      <c r="T312" s="33">
        <f>ROUND(MIN(MAX(0,N('Your debts'!$E$14)),J312),2)</f>
      </c>
      <c r="U312" s="33">
        <f>ROUND(MIN(MAX(0,N('Your debts'!$E$15)),K312),2)</f>
      </c>
      <c r="V312" s="33">
        <f>ROUND(B312-L312,2)</f>
      </c>
      <c r="W312" s="33">
        <f>ROUND(C312-M312,2)</f>
      </c>
      <c r="X312" s="33">
        <f>ROUND(D312-N312,2)</f>
      </c>
      <c r="Y312" s="33">
        <f>ROUND(E312-O312,2)</f>
      </c>
      <c r="Z312" s="33">
        <f>ROUND(F312-P312,2)</f>
      </c>
      <c r="AA312" s="33">
        <f>ROUND(G312-Q312,2)</f>
      </c>
      <c r="AB312" s="33">
        <f>ROUND(H312-R312,2)</f>
      </c>
      <c r="AC312" s="33">
        <f>ROUND(I312-S312,2)</f>
      </c>
      <c r="AD312" s="33">
        <f>ROUND(J312-T312,2)</f>
      </c>
      <c r="AE312" s="33">
        <f>ROUND(K312-U312,2)</f>
      </c>
      <c r="AF312" s="33">
        <f>IF(V312&lt;=0,0,MAX(0,MIN(V312,ROUND($AZ312-SUMPRODUCT($V312:$AE312*($V312:$AE312&gt;0)*(($V$3:$AE$3&gt;V$3)+($V$3:$AE$3=V$3)*($V312:$AE312&lt;V312)+($V$3:$AE$3=V$3)*($V312:$AE312=V312)*($V$2:$AE$2&lt;V$2))),2))))</f>
      </c>
      <c r="AG312" s="33">
        <f>IF(W312&lt;=0,0,MAX(0,MIN(W312,ROUND($AZ312-SUMPRODUCT($V312:$AE312*($V312:$AE312&gt;0)*(($V$3:$AE$3&gt;W$3)+($V$3:$AE$3=W$3)*($V312:$AE312&lt;W312)+($V$3:$AE$3=W$3)*($V312:$AE312=W312)*($V$2:$AE$2&lt;W$2))),2))))</f>
      </c>
      <c r="AH312" s="33">
        <f>IF(X312&lt;=0,0,MAX(0,MIN(X312,ROUND($AZ312-SUMPRODUCT($V312:$AE312*($V312:$AE312&gt;0)*(($V$3:$AE$3&gt;X$3)+($V$3:$AE$3=X$3)*($V312:$AE312&lt;X312)+($V$3:$AE$3=X$3)*($V312:$AE312=X312)*($V$2:$AE$2&lt;X$2))),2))))</f>
      </c>
      <c r="AI312" s="33">
        <f>IF(Y312&lt;=0,0,MAX(0,MIN(Y312,ROUND($AZ312-SUMPRODUCT($V312:$AE312*($V312:$AE312&gt;0)*(($V$3:$AE$3&gt;Y$3)+($V$3:$AE$3=Y$3)*($V312:$AE312&lt;Y312)+($V$3:$AE$3=Y$3)*($V312:$AE312=Y312)*($V$2:$AE$2&lt;Y$2))),2))))</f>
      </c>
      <c r="AJ312" s="33">
        <f>IF(Z312&lt;=0,0,MAX(0,MIN(Z312,ROUND($AZ312-SUMPRODUCT($V312:$AE312*($V312:$AE312&gt;0)*(($V$3:$AE$3&gt;Z$3)+($V$3:$AE$3=Z$3)*($V312:$AE312&lt;Z312)+($V$3:$AE$3=Z$3)*($V312:$AE312=Z312)*($V$2:$AE$2&lt;Z$2))),2))))</f>
      </c>
      <c r="AK312" s="33">
        <f>IF(AA312&lt;=0,0,MAX(0,MIN(AA312,ROUND($AZ312-SUMPRODUCT($V312:$AE312*($V312:$AE312&gt;0)*(($V$3:$AE$3&gt;AA$3)+($V$3:$AE$3=AA$3)*($V312:$AE312&lt;AA312)+($V$3:$AE$3=AA$3)*($V312:$AE312=AA312)*($V$2:$AE$2&lt;AA$2))),2))))</f>
      </c>
      <c r="AL312" s="33">
        <f>IF(AB312&lt;=0,0,MAX(0,MIN(AB312,ROUND($AZ312-SUMPRODUCT($V312:$AE312*($V312:$AE312&gt;0)*(($V$3:$AE$3&gt;AB$3)+($V$3:$AE$3=AB$3)*($V312:$AE312&lt;AB312)+($V$3:$AE$3=AB$3)*($V312:$AE312=AB312)*($V$2:$AE$2&lt;AB$2))),2))))</f>
      </c>
      <c r="AM312" s="33">
        <f>IF(AC312&lt;=0,0,MAX(0,MIN(AC312,ROUND($AZ312-SUMPRODUCT($V312:$AE312*($V312:$AE312&gt;0)*(($V$3:$AE$3&gt;AC$3)+($V$3:$AE$3=AC$3)*($V312:$AE312&lt;AC312)+($V$3:$AE$3=AC$3)*($V312:$AE312=AC312)*($V$2:$AE$2&lt;AC$2))),2))))</f>
      </c>
      <c r="AN312" s="33">
        <f>IF(AD312&lt;=0,0,MAX(0,MIN(AD312,ROUND($AZ312-SUMPRODUCT($V312:$AE312*($V312:$AE312&gt;0)*(($V$3:$AE$3&gt;AD$3)+($V$3:$AE$3=AD$3)*($V312:$AE312&lt;AD312)+($V$3:$AE$3=AD$3)*($V312:$AE312=AD312)*($V$2:$AE$2&lt;AD$2))),2))))</f>
      </c>
      <c r="AO312" s="33">
        <f>IF(AE312&lt;=0,0,MAX(0,MIN(AE312,ROUND($AZ312-SUMPRODUCT($V312:$AE312*($V312:$AE312&gt;0)*(($V$3:$AE$3&gt;AE$3)+($V$3:$AE$3=AE$3)*($V312:$AE312&lt;AE312)+($V$3:$AE$3=AE$3)*($V312:$AE312=AE312)*($V$2:$AE$2&lt;AE$2))),2))))</f>
      </c>
      <c r="AP312" s="33">
        <f>ROUND(V312-AF312,2)</f>
      </c>
      <c r="AQ312" s="33">
        <f>ROUND(W312-AG312,2)</f>
      </c>
      <c r="AR312" s="33">
        <f>ROUND(X312-AH312,2)</f>
      </c>
      <c r="AS312" s="33">
        <f>ROUND(Y312-AI312,2)</f>
      </c>
      <c r="AT312" s="33">
        <f>ROUND(Z312-AJ312,2)</f>
      </c>
      <c r="AU312" s="33">
        <f>ROUND(AA312-AK312,2)</f>
      </c>
      <c r="AV312" s="33">
        <f>ROUND(AB312-AL312,2)</f>
      </c>
      <c r="AW312" s="33">
        <f>ROUND(AC312-AM312,2)</f>
      </c>
      <c r="AX312" s="33">
        <f>ROUND(AD312-AN312,2)</f>
      </c>
      <c r="AY312" s="33">
        <f>ROUND(AE312-AO312,2)</f>
      </c>
      <c r="AZ312" s="33">
        <f>ROUND(MAX(0,'Your debts'!$D$22-SUM($L312:$U312)),2)</f>
      </c>
      <c r="BA312" s="33">
        <f>ROUND(SUM($B312:$K312)-SUM($AP311:$AY311),2)</f>
      </c>
      <c r="BB312" s="33">
        <f>SUM($AP312:$AY312)</f>
      </c>
      <c r="BC312" s="33">
        <f>ROUND(SUM($L312:$U312)+SUM($AF312:$AO312),2)</f>
      </c>
    </row>
    <row r="313" spans="1:55" x14ac:dyDescent="0.25">
      <c r="A313">
        <v>306</v>
      </c>
      <c r="B313" s="33">
        <f>IF(AP312&lt;=0,0,ROUND(AP312+ROUND(AP312*V$3/12,2),2))</f>
      </c>
      <c r="C313" s="33">
        <f>IF(AQ312&lt;=0,0,ROUND(AQ312+ROUND(AQ312*W$3/12,2),2))</f>
      </c>
      <c r="D313" s="33">
        <f>IF(AR312&lt;=0,0,ROUND(AR312+ROUND(AR312*X$3/12,2),2))</f>
      </c>
      <c r="E313" s="33">
        <f>IF(AS312&lt;=0,0,ROUND(AS312+ROUND(AS312*Y$3/12,2),2))</f>
      </c>
      <c r="F313" s="33">
        <f>IF(AT312&lt;=0,0,ROUND(AT312+ROUND(AT312*Z$3/12,2),2))</f>
      </c>
      <c r="G313" s="33">
        <f>IF(AU312&lt;=0,0,ROUND(AU312+ROUND(AU312*AA$3/12,2),2))</f>
      </c>
      <c r="H313" s="33">
        <f>IF(AV312&lt;=0,0,ROUND(AV312+ROUND(AV312*AB$3/12,2),2))</f>
      </c>
      <c r="I313" s="33">
        <f>IF(AW312&lt;=0,0,ROUND(AW312+ROUND(AW312*AC$3/12,2),2))</f>
      </c>
      <c r="J313" s="33">
        <f>IF(AX312&lt;=0,0,ROUND(AX312+ROUND(AX312*AD$3/12,2),2))</f>
      </c>
      <c r="K313" s="33">
        <f>IF(AY312&lt;=0,0,ROUND(AY312+ROUND(AY312*AE$3/12,2),2))</f>
      </c>
      <c r="L313" s="33">
        <f>ROUND(MIN(MAX(0,N('Your debts'!$E$6)),B313),2)</f>
      </c>
      <c r="M313" s="33">
        <f>ROUND(MIN(MAX(0,N('Your debts'!$E$7)),C313),2)</f>
      </c>
      <c r="N313" s="33">
        <f>ROUND(MIN(MAX(0,N('Your debts'!$E$8)),D313),2)</f>
      </c>
      <c r="O313" s="33">
        <f>ROUND(MIN(MAX(0,N('Your debts'!$E$9)),E313),2)</f>
      </c>
      <c r="P313" s="33">
        <f>ROUND(MIN(MAX(0,N('Your debts'!$E$10)),F313),2)</f>
      </c>
      <c r="Q313" s="33">
        <f>ROUND(MIN(MAX(0,N('Your debts'!$E$11)),G313),2)</f>
      </c>
      <c r="R313" s="33">
        <f>ROUND(MIN(MAX(0,N('Your debts'!$E$12)),H313),2)</f>
      </c>
      <c r="S313" s="33">
        <f>ROUND(MIN(MAX(0,N('Your debts'!$E$13)),I313),2)</f>
      </c>
      <c r="T313" s="33">
        <f>ROUND(MIN(MAX(0,N('Your debts'!$E$14)),J313),2)</f>
      </c>
      <c r="U313" s="33">
        <f>ROUND(MIN(MAX(0,N('Your debts'!$E$15)),K313),2)</f>
      </c>
      <c r="V313" s="33">
        <f>ROUND(B313-L313,2)</f>
      </c>
      <c r="W313" s="33">
        <f>ROUND(C313-M313,2)</f>
      </c>
      <c r="X313" s="33">
        <f>ROUND(D313-N313,2)</f>
      </c>
      <c r="Y313" s="33">
        <f>ROUND(E313-O313,2)</f>
      </c>
      <c r="Z313" s="33">
        <f>ROUND(F313-P313,2)</f>
      </c>
      <c r="AA313" s="33">
        <f>ROUND(G313-Q313,2)</f>
      </c>
      <c r="AB313" s="33">
        <f>ROUND(H313-R313,2)</f>
      </c>
      <c r="AC313" s="33">
        <f>ROUND(I313-S313,2)</f>
      </c>
      <c r="AD313" s="33">
        <f>ROUND(J313-T313,2)</f>
      </c>
      <c r="AE313" s="33">
        <f>ROUND(K313-U313,2)</f>
      </c>
      <c r="AF313" s="33">
        <f>IF(V313&lt;=0,0,MAX(0,MIN(V313,ROUND($AZ313-SUMPRODUCT($V313:$AE313*($V313:$AE313&gt;0)*(($V$3:$AE$3&gt;V$3)+($V$3:$AE$3=V$3)*($V313:$AE313&lt;V313)+($V$3:$AE$3=V$3)*($V313:$AE313=V313)*($V$2:$AE$2&lt;V$2))),2))))</f>
      </c>
      <c r="AG313" s="33">
        <f>IF(W313&lt;=0,0,MAX(0,MIN(W313,ROUND($AZ313-SUMPRODUCT($V313:$AE313*($V313:$AE313&gt;0)*(($V$3:$AE$3&gt;W$3)+($V$3:$AE$3=W$3)*($V313:$AE313&lt;W313)+($V$3:$AE$3=W$3)*($V313:$AE313=W313)*($V$2:$AE$2&lt;W$2))),2))))</f>
      </c>
      <c r="AH313" s="33">
        <f>IF(X313&lt;=0,0,MAX(0,MIN(X313,ROUND($AZ313-SUMPRODUCT($V313:$AE313*($V313:$AE313&gt;0)*(($V$3:$AE$3&gt;X$3)+($V$3:$AE$3=X$3)*($V313:$AE313&lt;X313)+($V$3:$AE$3=X$3)*($V313:$AE313=X313)*($V$2:$AE$2&lt;X$2))),2))))</f>
      </c>
      <c r="AI313" s="33">
        <f>IF(Y313&lt;=0,0,MAX(0,MIN(Y313,ROUND($AZ313-SUMPRODUCT($V313:$AE313*($V313:$AE313&gt;0)*(($V$3:$AE$3&gt;Y$3)+($V$3:$AE$3=Y$3)*($V313:$AE313&lt;Y313)+($V$3:$AE$3=Y$3)*($V313:$AE313=Y313)*($V$2:$AE$2&lt;Y$2))),2))))</f>
      </c>
      <c r="AJ313" s="33">
        <f>IF(Z313&lt;=0,0,MAX(0,MIN(Z313,ROUND($AZ313-SUMPRODUCT($V313:$AE313*($V313:$AE313&gt;0)*(($V$3:$AE$3&gt;Z$3)+($V$3:$AE$3=Z$3)*($V313:$AE313&lt;Z313)+($V$3:$AE$3=Z$3)*($V313:$AE313=Z313)*($V$2:$AE$2&lt;Z$2))),2))))</f>
      </c>
      <c r="AK313" s="33">
        <f>IF(AA313&lt;=0,0,MAX(0,MIN(AA313,ROUND($AZ313-SUMPRODUCT($V313:$AE313*($V313:$AE313&gt;0)*(($V$3:$AE$3&gt;AA$3)+($V$3:$AE$3=AA$3)*($V313:$AE313&lt;AA313)+($V$3:$AE$3=AA$3)*($V313:$AE313=AA313)*($V$2:$AE$2&lt;AA$2))),2))))</f>
      </c>
      <c r="AL313" s="33">
        <f>IF(AB313&lt;=0,0,MAX(0,MIN(AB313,ROUND($AZ313-SUMPRODUCT($V313:$AE313*($V313:$AE313&gt;0)*(($V$3:$AE$3&gt;AB$3)+($V$3:$AE$3=AB$3)*($V313:$AE313&lt;AB313)+($V$3:$AE$3=AB$3)*($V313:$AE313=AB313)*($V$2:$AE$2&lt;AB$2))),2))))</f>
      </c>
      <c r="AM313" s="33">
        <f>IF(AC313&lt;=0,0,MAX(0,MIN(AC313,ROUND($AZ313-SUMPRODUCT($V313:$AE313*($V313:$AE313&gt;0)*(($V$3:$AE$3&gt;AC$3)+($V$3:$AE$3=AC$3)*($V313:$AE313&lt;AC313)+($V$3:$AE$3=AC$3)*($V313:$AE313=AC313)*($V$2:$AE$2&lt;AC$2))),2))))</f>
      </c>
      <c r="AN313" s="33">
        <f>IF(AD313&lt;=0,0,MAX(0,MIN(AD313,ROUND($AZ313-SUMPRODUCT($V313:$AE313*($V313:$AE313&gt;0)*(($V$3:$AE$3&gt;AD$3)+($V$3:$AE$3=AD$3)*($V313:$AE313&lt;AD313)+($V$3:$AE$3=AD$3)*($V313:$AE313=AD313)*($V$2:$AE$2&lt;AD$2))),2))))</f>
      </c>
      <c r="AO313" s="33">
        <f>IF(AE313&lt;=0,0,MAX(0,MIN(AE313,ROUND($AZ313-SUMPRODUCT($V313:$AE313*($V313:$AE313&gt;0)*(($V$3:$AE$3&gt;AE$3)+($V$3:$AE$3=AE$3)*($V313:$AE313&lt;AE313)+($V$3:$AE$3=AE$3)*($V313:$AE313=AE313)*($V$2:$AE$2&lt;AE$2))),2))))</f>
      </c>
      <c r="AP313" s="33">
        <f>ROUND(V313-AF313,2)</f>
      </c>
      <c r="AQ313" s="33">
        <f>ROUND(W313-AG313,2)</f>
      </c>
      <c r="AR313" s="33">
        <f>ROUND(X313-AH313,2)</f>
      </c>
      <c r="AS313" s="33">
        <f>ROUND(Y313-AI313,2)</f>
      </c>
      <c r="AT313" s="33">
        <f>ROUND(Z313-AJ313,2)</f>
      </c>
      <c r="AU313" s="33">
        <f>ROUND(AA313-AK313,2)</f>
      </c>
      <c r="AV313" s="33">
        <f>ROUND(AB313-AL313,2)</f>
      </c>
      <c r="AW313" s="33">
        <f>ROUND(AC313-AM313,2)</f>
      </c>
      <c r="AX313" s="33">
        <f>ROUND(AD313-AN313,2)</f>
      </c>
      <c r="AY313" s="33">
        <f>ROUND(AE313-AO313,2)</f>
      </c>
      <c r="AZ313" s="33">
        <f>ROUND(MAX(0,'Your debts'!$D$22-SUM($L313:$U313)),2)</f>
      </c>
      <c r="BA313" s="33">
        <f>ROUND(SUM($B313:$K313)-SUM($AP312:$AY312),2)</f>
      </c>
      <c r="BB313" s="33">
        <f>SUM($AP313:$AY313)</f>
      </c>
      <c r="BC313" s="33">
        <f>ROUND(SUM($L313:$U313)+SUM($AF313:$AO313),2)</f>
      </c>
    </row>
    <row r="314" spans="1:55" x14ac:dyDescent="0.25">
      <c r="A314">
        <v>307</v>
      </c>
      <c r="B314" s="33">
        <f>IF(AP313&lt;=0,0,ROUND(AP313+ROUND(AP313*V$3/12,2),2))</f>
      </c>
      <c r="C314" s="33">
        <f>IF(AQ313&lt;=0,0,ROUND(AQ313+ROUND(AQ313*W$3/12,2),2))</f>
      </c>
      <c r="D314" s="33">
        <f>IF(AR313&lt;=0,0,ROUND(AR313+ROUND(AR313*X$3/12,2),2))</f>
      </c>
      <c r="E314" s="33">
        <f>IF(AS313&lt;=0,0,ROUND(AS313+ROUND(AS313*Y$3/12,2),2))</f>
      </c>
      <c r="F314" s="33">
        <f>IF(AT313&lt;=0,0,ROUND(AT313+ROUND(AT313*Z$3/12,2),2))</f>
      </c>
      <c r="G314" s="33">
        <f>IF(AU313&lt;=0,0,ROUND(AU313+ROUND(AU313*AA$3/12,2),2))</f>
      </c>
      <c r="H314" s="33">
        <f>IF(AV313&lt;=0,0,ROUND(AV313+ROUND(AV313*AB$3/12,2),2))</f>
      </c>
      <c r="I314" s="33">
        <f>IF(AW313&lt;=0,0,ROUND(AW313+ROUND(AW313*AC$3/12,2),2))</f>
      </c>
      <c r="J314" s="33">
        <f>IF(AX313&lt;=0,0,ROUND(AX313+ROUND(AX313*AD$3/12,2),2))</f>
      </c>
      <c r="K314" s="33">
        <f>IF(AY313&lt;=0,0,ROUND(AY313+ROUND(AY313*AE$3/12,2),2))</f>
      </c>
      <c r="L314" s="33">
        <f>ROUND(MIN(MAX(0,N('Your debts'!$E$6)),B314),2)</f>
      </c>
      <c r="M314" s="33">
        <f>ROUND(MIN(MAX(0,N('Your debts'!$E$7)),C314),2)</f>
      </c>
      <c r="N314" s="33">
        <f>ROUND(MIN(MAX(0,N('Your debts'!$E$8)),D314),2)</f>
      </c>
      <c r="O314" s="33">
        <f>ROUND(MIN(MAX(0,N('Your debts'!$E$9)),E314),2)</f>
      </c>
      <c r="P314" s="33">
        <f>ROUND(MIN(MAX(0,N('Your debts'!$E$10)),F314),2)</f>
      </c>
      <c r="Q314" s="33">
        <f>ROUND(MIN(MAX(0,N('Your debts'!$E$11)),G314),2)</f>
      </c>
      <c r="R314" s="33">
        <f>ROUND(MIN(MAX(0,N('Your debts'!$E$12)),H314),2)</f>
      </c>
      <c r="S314" s="33">
        <f>ROUND(MIN(MAX(0,N('Your debts'!$E$13)),I314),2)</f>
      </c>
      <c r="T314" s="33">
        <f>ROUND(MIN(MAX(0,N('Your debts'!$E$14)),J314),2)</f>
      </c>
      <c r="U314" s="33">
        <f>ROUND(MIN(MAX(0,N('Your debts'!$E$15)),K314),2)</f>
      </c>
      <c r="V314" s="33">
        <f>ROUND(B314-L314,2)</f>
      </c>
      <c r="W314" s="33">
        <f>ROUND(C314-M314,2)</f>
      </c>
      <c r="X314" s="33">
        <f>ROUND(D314-N314,2)</f>
      </c>
      <c r="Y314" s="33">
        <f>ROUND(E314-O314,2)</f>
      </c>
      <c r="Z314" s="33">
        <f>ROUND(F314-P314,2)</f>
      </c>
      <c r="AA314" s="33">
        <f>ROUND(G314-Q314,2)</f>
      </c>
      <c r="AB314" s="33">
        <f>ROUND(H314-R314,2)</f>
      </c>
      <c r="AC314" s="33">
        <f>ROUND(I314-S314,2)</f>
      </c>
      <c r="AD314" s="33">
        <f>ROUND(J314-T314,2)</f>
      </c>
      <c r="AE314" s="33">
        <f>ROUND(K314-U314,2)</f>
      </c>
      <c r="AF314" s="33">
        <f>IF(V314&lt;=0,0,MAX(0,MIN(V314,ROUND($AZ314-SUMPRODUCT($V314:$AE314*($V314:$AE314&gt;0)*(($V$3:$AE$3&gt;V$3)+($V$3:$AE$3=V$3)*($V314:$AE314&lt;V314)+($V$3:$AE$3=V$3)*($V314:$AE314=V314)*($V$2:$AE$2&lt;V$2))),2))))</f>
      </c>
      <c r="AG314" s="33">
        <f>IF(W314&lt;=0,0,MAX(0,MIN(W314,ROUND($AZ314-SUMPRODUCT($V314:$AE314*($V314:$AE314&gt;0)*(($V$3:$AE$3&gt;W$3)+($V$3:$AE$3=W$3)*($V314:$AE314&lt;W314)+($V$3:$AE$3=W$3)*($V314:$AE314=W314)*($V$2:$AE$2&lt;W$2))),2))))</f>
      </c>
      <c r="AH314" s="33">
        <f>IF(X314&lt;=0,0,MAX(0,MIN(X314,ROUND($AZ314-SUMPRODUCT($V314:$AE314*($V314:$AE314&gt;0)*(($V$3:$AE$3&gt;X$3)+($V$3:$AE$3=X$3)*($V314:$AE314&lt;X314)+($V$3:$AE$3=X$3)*($V314:$AE314=X314)*($V$2:$AE$2&lt;X$2))),2))))</f>
      </c>
      <c r="AI314" s="33">
        <f>IF(Y314&lt;=0,0,MAX(0,MIN(Y314,ROUND($AZ314-SUMPRODUCT($V314:$AE314*($V314:$AE314&gt;0)*(($V$3:$AE$3&gt;Y$3)+($V$3:$AE$3=Y$3)*($V314:$AE314&lt;Y314)+($V$3:$AE$3=Y$3)*($V314:$AE314=Y314)*($V$2:$AE$2&lt;Y$2))),2))))</f>
      </c>
      <c r="AJ314" s="33">
        <f>IF(Z314&lt;=0,0,MAX(0,MIN(Z314,ROUND($AZ314-SUMPRODUCT($V314:$AE314*($V314:$AE314&gt;0)*(($V$3:$AE$3&gt;Z$3)+($V$3:$AE$3=Z$3)*($V314:$AE314&lt;Z314)+($V$3:$AE$3=Z$3)*($V314:$AE314=Z314)*($V$2:$AE$2&lt;Z$2))),2))))</f>
      </c>
      <c r="AK314" s="33">
        <f>IF(AA314&lt;=0,0,MAX(0,MIN(AA314,ROUND($AZ314-SUMPRODUCT($V314:$AE314*($V314:$AE314&gt;0)*(($V$3:$AE$3&gt;AA$3)+($V$3:$AE$3=AA$3)*($V314:$AE314&lt;AA314)+($V$3:$AE$3=AA$3)*($V314:$AE314=AA314)*($V$2:$AE$2&lt;AA$2))),2))))</f>
      </c>
      <c r="AL314" s="33">
        <f>IF(AB314&lt;=0,0,MAX(0,MIN(AB314,ROUND($AZ314-SUMPRODUCT($V314:$AE314*($V314:$AE314&gt;0)*(($V$3:$AE$3&gt;AB$3)+($V$3:$AE$3=AB$3)*($V314:$AE314&lt;AB314)+($V$3:$AE$3=AB$3)*($V314:$AE314=AB314)*($V$2:$AE$2&lt;AB$2))),2))))</f>
      </c>
      <c r="AM314" s="33">
        <f>IF(AC314&lt;=0,0,MAX(0,MIN(AC314,ROUND($AZ314-SUMPRODUCT($V314:$AE314*($V314:$AE314&gt;0)*(($V$3:$AE$3&gt;AC$3)+($V$3:$AE$3=AC$3)*($V314:$AE314&lt;AC314)+($V$3:$AE$3=AC$3)*($V314:$AE314=AC314)*($V$2:$AE$2&lt;AC$2))),2))))</f>
      </c>
      <c r="AN314" s="33">
        <f>IF(AD314&lt;=0,0,MAX(0,MIN(AD314,ROUND($AZ314-SUMPRODUCT($V314:$AE314*($V314:$AE314&gt;0)*(($V$3:$AE$3&gt;AD$3)+($V$3:$AE$3=AD$3)*($V314:$AE314&lt;AD314)+($V$3:$AE$3=AD$3)*($V314:$AE314=AD314)*($V$2:$AE$2&lt;AD$2))),2))))</f>
      </c>
      <c r="AO314" s="33">
        <f>IF(AE314&lt;=0,0,MAX(0,MIN(AE314,ROUND($AZ314-SUMPRODUCT($V314:$AE314*($V314:$AE314&gt;0)*(($V$3:$AE$3&gt;AE$3)+($V$3:$AE$3=AE$3)*($V314:$AE314&lt;AE314)+($V$3:$AE$3=AE$3)*($V314:$AE314=AE314)*($V$2:$AE$2&lt;AE$2))),2))))</f>
      </c>
      <c r="AP314" s="33">
        <f>ROUND(V314-AF314,2)</f>
      </c>
      <c r="AQ314" s="33">
        <f>ROUND(W314-AG314,2)</f>
      </c>
      <c r="AR314" s="33">
        <f>ROUND(X314-AH314,2)</f>
      </c>
      <c r="AS314" s="33">
        <f>ROUND(Y314-AI314,2)</f>
      </c>
      <c r="AT314" s="33">
        <f>ROUND(Z314-AJ314,2)</f>
      </c>
      <c r="AU314" s="33">
        <f>ROUND(AA314-AK314,2)</f>
      </c>
      <c r="AV314" s="33">
        <f>ROUND(AB314-AL314,2)</f>
      </c>
      <c r="AW314" s="33">
        <f>ROUND(AC314-AM314,2)</f>
      </c>
      <c r="AX314" s="33">
        <f>ROUND(AD314-AN314,2)</f>
      </c>
      <c r="AY314" s="33">
        <f>ROUND(AE314-AO314,2)</f>
      </c>
      <c r="AZ314" s="33">
        <f>ROUND(MAX(0,'Your debts'!$D$22-SUM($L314:$U314)),2)</f>
      </c>
      <c r="BA314" s="33">
        <f>ROUND(SUM($B314:$K314)-SUM($AP313:$AY313),2)</f>
      </c>
      <c r="BB314" s="33">
        <f>SUM($AP314:$AY314)</f>
      </c>
      <c r="BC314" s="33">
        <f>ROUND(SUM($L314:$U314)+SUM($AF314:$AO314),2)</f>
      </c>
    </row>
    <row r="315" spans="1:55" x14ac:dyDescent="0.25">
      <c r="A315">
        <v>308</v>
      </c>
      <c r="B315" s="33">
        <f>IF(AP314&lt;=0,0,ROUND(AP314+ROUND(AP314*V$3/12,2),2))</f>
      </c>
      <c r="C315" s="33">
        <f>IF(AQ314&lt;=0,0,ROUND(AQ314+ROUND(AQ314*W$3/12,2),2))</f>
      </c>
      <c r="D315" s="33">
        <f>IF(AR314&lt;=0,0,ROUND(AR314+ROUND(AR314*X$3/12,2),2))</f>
      </c>
      <c r="E315" s="33">
        <f>IF(AS314&lt;=0,0,ROUND(AS314+ROUND(AS314*Y$3/12,2),2))</f>
      </c>
      <c r="F315" s="33">
        <f>IF(AT314&lt;=0,0,ROUND(AT314+ROUND(AT314*Z$3/12,2),2))</f>
      </c>
      <c r="G315" s="33">
        <f>IF(AU314&lt;=0,0,ROUND(AU314+ROUND(AU314*AA$3/12,2),2))</f>
      </c>
      <c r="H315" s="33">
        <f>IF(AV314&lt;=0,0,ROUND(AV314+ROUND(AV314*AB$3/12,2),2))</f>
      </c>
      <c r="I315" s="33">
        <f>IF(AW314&lt;=0,0,ROUND(AW314+ROUND(AW314*AC$3/12,2),2))</f>
      </c>
      <c r="J315" s="33">
        <f>IF(AX314&lt;=0,0,ROUND(AX314+ROUND(AX314*AD$3/12,2),2))</f>
      </c>
      <c r="K315" s="33">
        <f>IF(AY314&lt;=0,0,ROUND(AY314+ROUND(AY314*AE$3/12,2),2))</f>
      </c>
      <c r="L315" s="33">
        <f>ROUND(MIN(MAX(0,N('Your debts'!$E$6)),B315),2)</f>
      </c>
      <c r="M315" s="33">
        <f>ROUND(MIN(MAX(0,N('Your debts'!$E$7)),C315),2)</f>
      </c>
      <c r="N315" s="33">
        <f>ROUND(MIN(MAX(0,N('Your debts'!$E$8)),D315),2)</f>
      </c>
      <c r="O315" s="33">
        <f>ROUND(MIN(MAX(0,N('Your debts'!$E$9)),E315),2)</f>
      </c>
      <c r="P315" s="33">
        <f>ROUND(MIN(MAX(0,N('Your debts'!$E$10)),F315),2)</f>
      </c>
      <c r="Q315" s="33">
        <f>ROUND(MIN(MAX(0,N('Your debts'!$E$11)),G315),2)</f>
      </c>
      <c r="R315" s="33">
        <f>ROUND(MIN(MAX(0,N('Your debts'!$E$12)),H315),2)</f>
      </c>
      <c r="S315" s="33">
        <f>ROUND(MIN(MAX(0,N('Your debts'!$E$13)),I315),2)</f>
      </c>
      <c r="T315" s="33">
        <f>ROUND(MIN(MAX(0,N('Your debts'!$E$14)),J315),2)</f>
      </c>
      <c r="U315" s="33">
        <f>ROUND(MIN(MAX(0,N('Your debts'!$E$15)),K315),2)</f>
      </c>
      <c r="V315" s="33">
        <f>ROUND(B315-L315,2)</f>
      </c>
      <c r="W315" s="33">
        <f>ROUND(C315-M315,2)</f>
      </c>
      <c r="X315" s="33">
        <f>ROUND(D315-N315,2)</f>
      </c>
      <c r="Y315" s="33">
        <f>ROUND(E315-O315,2)</f>
      </c>
      <c r="Z315" s="33">
        <f>ROUND(F315-P315,2)</f>
      </c>
      <c r="AA315" s="33">
        <f>ROUND(G315-Q315,2)</f>
      </c>
      <c r="AB315" s="33">
        <f>ROUND(H315-R315,2)</f>
      </c>
      <c r="AC315" s="33">
        <f>ROUND(I315-S315,2)</f>
      </c>
      <c r="AD315" s="33">
        <f>ROUND(J315-T315,2)</f>
      </c>
      <c r="AE315" s="33">
        <f>ROUND(K315-U315,2)</f>
      </c>
      <c r="AF315" s="33">
        <f>IF(V315&lt;=0,0,MAX(0,MIN(V315,ROUND($AZ315-SUMPRODUCT($V315:$AE315*($V315:$AE315&gt;0)*(($V$3:$AE$3&gt;V$3)+($V$3:$AE$3=V$3)*($V315:$AE315&lt;V315)+($V$3:$AE$3=V$3)*($V315:$AE315=V315)*($V$2:$AE$2&lt;V$2))),2))))</f>
      </c>
      <c r="AG315" s="33">
        <f>IF(W315&lt;=0,0,MAX(0,MIN(W315,ROUND($AZ315-SUMPRODUCT($V315:$AE315*($V315:$AE315&gt;0)*(($V$3:$AE$3&gt;W$3)+($V$3:$AE$3=W$3)*($V315:$AE315&lt;W315)+($V$3:$AE$3=W$3)*($V315:$AE315=W315)*($V$2:$AE$2&lt;W$2))),2))))</f>
      </c>
      <c r="AH315" s="33">
        <f>IF(X315&lt;=0,0,MAX(0,MIN(X315,ROUND($AZ315-SUMPRODUCT($V315:$AE315*($V315:$AE315&gt;0)*(($V$3:$AE$3&gt;X$3)+($V$3:$AE$3=X$3)*($V315:$AE315&lt;X315)+($V$3:$AE$3=X$3)*($V315:$AE315=X315)*($V$2:$AE$2&lt;X$2))),2))))</f>
      </c>
      <c r="AI315" s="33">
        <f>IF(Y315&lt;=0,0,MAX(0,MIN(Y315,ROUND($AZ315-SUMPRODUCT($V315:$AE315*($V315:$AE315&gt;0)*(($V$3:$AE$3&gt;Y$3)+($V$3:$AE$3=Y$3)*($V315:$AE315&lt;Y315)+($V$3:$AE$3=Y$3)*($V315:$AE315=Y315)*($V$2:$AE$2&lt;Y$2))),2))))</f>
      </c>
      <c r="AJ315" s="33">
        <f>IF(Z315&lt;=0,0,MAX(0,MIN(Z315,ROUND($AZ315-SUMPRODUCT($V315:$AE315*($V315:$AE315&gt;0)*(($V$3:$AE$3&gt;Z$3)+($V$3:$AE$3=Z$3)*($V315:$AE315&lt;Z315)+($V$3:$AE$3=Z$3)*($V315:$AE315=Z315)*($V$2:$AE$2&lt;Z$2))),2))))</f>
      </c>
      <c r="AK315" s="33">
        <f>IF(AA315&lt;=0,0,MAX(0,MIN(AA315,ROUND($AZ315-SUMPRODUCT($V315:$AE315*($V315:$AE315&gt;0)*(($V$3:$AE$3&gt;AA$3)+($V$3:$AE$3=AA$3)*($V315:$AE315&lt;AA315)+($V$3:$AE$3=AA$3)*($V315:$AE315=AA315)*($V$2:$AE$2&lt;AA$2))),2))))</f>
      </c>
      <c r="AL315" s="33">
        <f>IF(AB315&lt;=0,0,MAX(0,MIN(AB315,ROUND($AZ315-SUMPRODUCT($V315:$AE315*($V315:$AE315&gt;0)*(($V$3:$AE$3&gt;AB$3)+($V$3:$AE$3=AB$3)*($V315:$AE315&lt;AB315)+($V$3:$AE$3=AB$3)*($V315:$AE315=AB315)*($V$2:$AE$2&lt;AB$2))),2))))</f>
      </c>
      <c r="AM315" s="33">
        <f>IF(AC315&lt;=0,0,MAX(0,MIN(AC315,ROUND($AZ315-SUMPRODUCT($V315:$AE315*($V315:$AE315&gt;0)*(($V$3:$AE$3&gt;AC$3)+($V$3:$AE$3=AC$3)*($V315:$AE315&lt;AC315)+($V$3:$AE$3=AC$3)*($V315:$AE315=AC315)*($V$2:$AE$2&lt;AC$2))),2))))</f>
      </c>
      <c r="AN315" s="33">
        <f>IF(AD315&lt;=0,0,MAX(0,MIN(AD315,ROUND($AZ315-SUMPRODUCT($V315:$AE315*($V315:$AE315&gt;0)*(($V$3:$AE$3&gt;AD$3)+($V$3:$AE$3=AD$3)*($V315:$AE315&lt;AD315)+($V$3:$AE$3=AD$3)*($V315:$AE315=AD315)*($V$2:$AE$2&lt;AD$2))),2))))</f>
      </c>
      <c r="AO315" s="33">
        <f>IF(AE315&lt;=0,0,MAX(0,MIN(AE315,ROUND($AZ315-SUMPRODUCT($V315:$AE315*($V315:$AE315&gt;0)*(($V$3:$AE$3&gt;AE$3)+($V$3:$AE$3=AE$3)*($V315:$AE315&lt;AE315)+($V$3:$AE$3=AE$3)*($V315:$AE315=AE315)*($V$2:$AE$2&lt;AE$2))),2))))</f>
      </c>
      <c r="AP315" s="33">
        <f>ROUND(V315-AF315,2)</f>
      </c>
      <c r="AQ315" s="33">
        <f>ROUND(W315-AG315,2)</f>
      </c>
      <c r="AR315" s="33">
        <f>ROUND(X315-AH315,2)</f>
      </c>
      <c r="AS315" s="33">
        <f>ROUND(Y315-AI315,2)</f>
      </c>
      <c r="AT315" s="33">
        <f>ROUND(Z315-AJ315,2)</f>
      </c>
      <c r="AU315" s="33">
        <f>ROUND(AA315-AK315,2)</f>
      </c>
      <c r="AV315" s="33">
        <f>ROUND(AB315-AL315,2)</f>
      </c>
      <c r="AW315" s="33">
        <f>ROUND(AC315-AM315,2)</f>
      </c>
      <c r="AX315" s="33">
        <f>ROUND(AD315-AN315,2)</f>
      </c>
      <c r="AY315" s="33">
        <f>ROUND(AE315-AO315,2)</f>
      </c>
      <c r="AZ315" s="33">
        <f>ROUND(MAX(0,'Your debts'!$D$22-SUM($L315:$U315)),2)</f>
      </c>
      <c r="BA315" s="33">
        <f>ROUND(SUM($B315:$K315)-SUM($AP314:$AY314),2)</f>
      </c>
      <c r="BB315" s="33">
        <f>SUM($AP315:$AY315)</f>
      </c>
      <c r="BC315" s="33">
        <f>ROUND(SUM($L315:$U315)+SUM($AF315:$AO315),2)</f>
      </c>
    </row>
    <row r="316" spans="1:55" x14ac:dyDescent="0.25">
      <c r="A316">
        <v>309</v>
      </c>
      <c r="B316" s="33">
        <f>IF(AP315&lt;=0,0,ROUND(AP315+ROUND(AP315*V$3/12,2),2))</f>
      </c>
      <c r="C316" s="33">
        <f>IF(AQ315&lt;=0,0,ROUND(AQ315+ROUND(AQ315*W$3/12,2),2))</f>
      </c>
      <c r="D316" s="33">
        <f>IF(AR315&lt;=0,0,ROUND(AR315+ROUND(AR315*X$3/12,2),2))</f>
      </c>
      <c r="E316" s="33">
        <f>IF(AS315&lt;=0,0,ROUND(AS315+ROUND(AS315*Y$3/12,2),2))</f>
      </c>
      <c r="F316" s="33">
        <f>IF(AT315&lt;=0,0,ROUND(AT315+ROUND(AT315*Z$3/12,2),2))</f>
      </c>
      <c r="G316" s="33">
        <f>IF(AU315&lt;=0,0,ROUND(AU315+ROUND(AU315*AA$3/12,2),2))</f>
      </c>
      <c r="H316" s="33">
        <f>IF(AV315&lt;=0,0,ROUND(AV315+ROUND(AV315*AB$3/12,2),2))</f>
      </c>
      <c r="I316" s="33">
        <f>IF(AW315&lt;=0,0,ROUND(AW315+ROUND(AW315*AC$3/12,2),2))</f>
      </c>
      <c r="J316" s="33">
        <f>IF(AX315&lt;=0,0,ROUND(AX315+ROUND(AX315*AD$3/12,2),2))</f>
      </c>
      <c r="K316" s="33">
        <f>IF(AY315&lt;=0,0,ROUND(AY315+ROUND(AY315*AE$3/12,2),2))</f>
      </c>
      <c r="L316" s="33">
        <f>ROUND(MIN(MAX(0,N('Your debts'!$E$6)),B316),2)</f>
      </c>
      <c r="M316" s="33">
        <f>ROUND(MIN(MAX(0,N('Your debts'!$E$7)),C316),2)</f>
      </c>
      <c r="N316" s="33">
        <f>ROUND(MIN(MAX(0,N('Your debts'!$E$8)),D316),2)</f>
      </c>
      <c r="O316" s="33">
        <f>ROUND(MIN(MAX(0,N('Your debts'!$E$9)),E316),2)</f>
      </c>
      <c r="P316" s="33">
        <f>ROUND(MIN(MAX(0,N('Your debts'!$E$10)),F316),2)</f>
      </c>
      <c r="Q316" s="33">
        <f>ROUND(MIN(MAX(0,N('Your debts'!$E$11)),G316),2)</f>
      </c>
      <c r="R316" s="33">
        <f>ROUND(MIN(MAX(0,N('Your debts'!$E$12)),H316),2)</f>
      </c>
      <c r="S316" s="33">
        <f>ROUND(MIN(MAX(0,N('Your debts'!$E$13)),I316),2)</f>
      </c>
      <c r="T316" s="33">
        <f>ROUND(MIN(MAX(0,N('Your debts'!$E$14)),J316),2)</f>
      </c>
      <c r="U316" s="33">
        <f>ROUND(MIN(MAX(0,N('Your debts'!$E$15)),K316),2)</f>
      </c>
      <c r="V316" s="33">
        <f>ROUND(B316-L316,2)</f>
      </c>
      <c r="W316" s="33">
        <f>ROUND(C316-M316,2)</f>
      </c>
      <c r="X316" s="33">
        <f>ROUND(D316-N316,2)</f>
      </c>
      <c r="Y316" s="33">
        <f>ROUND(E316-O316,2)</f>
      </c>
      <c r="Z316" s="33">
        <f>ROUND(F316-P316,2)</f>
      </c>
      <c r="AA316" s="33">
        <f>ROUND(G316-Q316,2)</f>
      </c>
      <c r="AB316" s="33">
        <f>ROUND(H316-R316,2)</f>
      </c>
      <c r="AC316" s="33">
        <f>ROUND(I316-S316,2)</f>
      </c>
      <c r="AD316" s="33">
        <f>ROUND(J316-T316,2)</f>
      </c>
      <c r="AE316" s="33">
        <f>ROUND(K316-U316,2)</f>
      </c>
      <c r="AF316" s="33">
        <f>IF(V316&lt;=0,0,MAX(0,MIN(V316,ROUND($AZ316-SUMPRODUCT($V316:$AE316*($V316:$AE316&gt;0)*(($V$3:$AE$3&gt;V$3)+($V$3:$AE$3=V$3)*($V316:$AE316&lt;V316)+($V$3:$AE$3=V$3)*($V316:$AE316=V316)*($V$2:$AE$2&lt;V$2))),2))))</f>
      </c>
      <c r="AG316" s="33">
        <f>IF(W316&lt;=0,0,MAX(0,MIN(W316,ROUND($AZ316-SUMPRODUCT($V316:$AE316*($V316:$AE316&gt;0)*(($V$3:$AE$3&gt;W$3)+($V$3:$AE$3=W$3)*($V316:$AE316&lt;W316)+($V$3:$AE$3=W$3)*($V316:$AE316=W316)*($V$2:$AE$2&lt;W$2))),2))))</f>
      </c>
      <c r="AH316" s="33">
        <f>IF(X316&lt;=0,0,MAX(0,MIN(X316,ROUND($AZ316-SUMPRODUCT($V316:$AE316*($V316:$AE316&gt;0)*(($V$3:$AE$3&gt;X$3)+($V$3:$AE$3=X$3)*($V316:$AE316&lt;X316)+($V$3:$AE$3=X$3)*($V316:$AE316=X316)*($V$2:$AE$2&lt;X$2))),2))))</f>
      </c>
      <c r="AI316" s="33">
        <f>IF(Y316&lt;=0,0,MAX(0,MIN(Y316,ROUND($AZ316-SUMPRODUCT($V316:$AE316*($V316:$AE316&gt;0)*(($V$3:$AE$3&gt;Y$3)+($V$3:$AE$3=Y$3)*($V316:$AE316&lt;Y316)+($V$3:$AE$3=Y$3)*($V316:$AE316=Y316)*($V$2:$AE$2&lt;Y$2))),2))))</f>
      </c>
      <c r="AJ316" s="33">
        <f>IF(Z316&lt;=0,0,MAX(0,MIN(Z316,ROUND($AZ316-SUMPRODUCT($V316:$AE316*($V316:$AE316&gt;0)*(($V$3:$AE$3&gt;Z$3)+($V$3:$AE$3=Z$3)*($V316:$AE316&lt;Z316)+($V$3:$AE$3=Z$3)*($V316:$AE316=Z316)*($V$2:$AE$2&lt;Z$2))),2))))</f>
      </c>
      <c r="AK316" s="33">
        <f>IF(AA316&lt;=0,0,MAX(0,MIN(AA316,ROUND($AZ316-SUMPRODUCT($V316:$AE316*($V316:$AE316&gt;0)*(($V$3:$AE$3&gt;AA$3)+($V$3:$AE$3=AA$3)*($V316:$AE316&lt;AA316)+($V$3:$AE$3=AA$3)*($V316:$AE316=AA316)*($V$2:$AE$2&lt;AA$2))),2))))</f>
      </c>
      <c r="AL316" s="33">
        <f>IF(AB316&lt;=0,0,MAX(0,MIN(AB316,ROUND($AZ316-SUMPRODUCT($V316:$AE316*($V316:$AE316&gt;0)*(($V$3:$AE$3&gt;AB$3)+($V$3:$AE$3=AB$3)*($V316:$AE316&lt;AB316)+($V$3:$AE$3=AB$3)*($V316:$AE316=AB316)*($V$2:$AE$2&lt;AB$2))),2))))</f>
      </c>
      <c r="AM316" s="33">
        <f>IF(AC316&lt;=0,0,MAX(0,MIN(AC316,ROUND($AZ316-SUMPRODUCT($V316:$AE316*($V316:$AE316&gt;0)*(($V$3:$AE$3&gt;AC$3)+($V$3:$AE$3=AC$3)*($V316:$AE316&lt;AC316)+($V$3:$AE$3=AC$3)*($V316:$AE316=AC316)*($V$2:$AE$2&lt;AC$2))),2))))</f>
      </c>
      <c r="AN316" s="33">
        <f>IF(AD316&lt;=0,0,MAX(0,MIN(AD316,ROUND($AZ316-SUMPRODUCT($V316:$AE316*($V316:$AE316&gt;0)*(($V$3:$AE$3&gt;AD$3)+($V$3:$AE$3=AD$3)*($V316:$AE316&lt;AD316)+($V$3:$AE$3=AD$3)*($V316:$AE316=AD316)*($V$2:$AE$2&lt;AD$2))),2))))</f>
      </c>
      <c r="AO316" s="33">
        <f>IF(AE316&lt;=0,0,MAX(0,MIN(AE316,ROUND($AZ316-SUMPRODUCT($V316:$AE316*($V316:$AE316&gt;0)*(($V$3:$AE$3&gt;AE$3)+($V$3:$AE$3=AE$3)*($V316:$AE316&lt;AE316)+($V$3:$AE$3=AE$3)*($V316:$AE316=AE316)*($V$2:$AE$2&lt;AE$2))),2))))</f>
      </c>
      <c r="AP316" s="33">
        <f>ROUND(V316-AF316,2)</f>
      </c>
      <c r="AQ316" s="33">
        <f>ROUND(W316-AG316,2)</f>
      </c>
      <c r="AR316" s="33">
        <f>ROUND(X316-AH316,2)</f>
      </c>
      <c r="AS316" s="33">
        <f>ROUND(Y316-AI316,2)</f>
      </c>
      <c r="AT316" s="33">
        <f>ROUND(Z316-AJ316,2)</f>
      </c>
      <c r="AU316" s="33">
        <f>ROUND(AA316-AK316,2)</f>
      </c>
      <c r="AV316" s="33">
        <f>ROUND(AB316-AL316,2)</f>
      </c>
      <c r="AW316" s="33">
        <f>ROUND(AC316-AM316,2)</f>
      </c>
      <c r="AX316" s="33">
        <f>ROUND(AD316-AN316,2)</f>
      </c>
      <c r="AY316" s="33">
        <f>ROUND(AE316-AO316,2)</f>
      </c>
      <c r="AZ316" s="33">
        <f>ROUND(MAX(0,'Your debts'!$D$22-SUM($L316:$U316)),2)</f>
      </c>
      <c r="BA316" s="33">
        <f>ROUND(SUM($B316:$K316)-SUM($AP315:$AY315),2)</f>
      </c>
      <c r="BB316" s="33">
        <f>SUM($AP316:$AY316)</f>
      </c>
      <c r="BC316" s="33">
        <f>ROUND(SUM($L316:$U316)+SUM($AF316:$AO316),2)</f>
      </c>
    </row>
    <row r="317" spans="1:55" x14ac:dyDescent="0.25">
      <c r="A317">
        <v>310</v>
      </c>
      <c r="B317" s="33">
        <f>IF(AP316&lt;=0,0,ROUND(AP316+ROUND(AP316*V$3/12,2),2))</f>
      </c>
      <c r="C317" s="33">
        <f>IF(AQ316&lt;=0,0,ROUND(AQ316+ROUND(AQ316*W$3/12,2),2))</f>
      </c>
      <c r="D317" s="33">
        <f>IF(AR316&lt;=0,0,ROUND(AR316+ROUND(AR316*X$3/12,2),2))</f>
      </c>
      <c r="E317" s="33">
        <f>IF(AS316&lt;=0,0,ROUND(AS316+ROUND(AS316*Y$3/12,2),2))</f>
      </c>
      <c r="F317" s="33">
        <f>IF(AT316&lt;=0,0,ROUND(AT316+ROUND(AT316*Z$3/12,2),2))</f>
      </c>
      <c r="G317" s="33">
        <f>IF(AU316&lt;=0,0,ROUND(AU316+ROUND(AU316*AA$3/12,2),2))</f>
      </c>
      <c r="H317" s="33">
        <f>IF(AV316&lt;=0,0,ROUND(AV316+ROUND(AV316*AB$3/12,2),2))</f>
      </c>
      <c r="I317" s="33">
        <f>IF(AW316&lt;=0,0,ROUND(AW316+ROUND(AW316*AC$3/12,2),2))</f>
      </c>
      <c r="J317" s="33">
        <f>IF(AX316&lt;=0,0,ROUND(AX316+ROUND(AX316*AD$3/12,2),2))</f>
      </c>
      <c r="K317" s="33">
        <f>IF(AY316&lt;=0,0,ROUND(AY316+ROUND(AY316*AE$3/12,2),2))</f>
      </c>
      <c r="L317" s="33">
        <f>ROUND(MIN(MAX(0,N('Your debts'!$E$6)),B317),2)</f>
      </c>
      <c r="M317" s="33">
        <f>ROUND(MIN(MAX(0,N('Your debts'!$E$7)),C317),2)</f>
      </c>
      <c r="N317" s="33">
        <f>ROUND(MIN(MAX(0,N('Your debts'!$E$8)),D317),2)</f>
      </c>
      <c r="O317" s="33">
        <f>ROUND(MIN(MAX(0,N('Your debts'!$E$9)),E317),2)</f>
      </c>
      <c r="P317" s="33">
        <f>ROUND(MIN(MAX(0,N('Your debts'!$E$10)),F317),2)</f>
      </c>
      <c r="Q317" s="33">
        <f>ROUND(MIN(MAX(0,N('Your debts'!$E$11)),G317),2)</f>
      </c>
      <c r="R317" s="33">
        <f>ROUND(MIN(MAX(0,N('Your debts'!$E$12)),H317),2)</f>
      </c>
      <c r="S317" s="33">
        <f>ROUND(MIN(MAX(0,N('Your debts'!$E$13)),I317),2)</f>
      </c>
      <c r="T317" s="33">
        <f>ROUND(MIN(MAX(0,N('Your debts'!$E$14)),J317),2)</f>
      </c>
      <c r="U317" s="33">
        <f>ROUND(MIN(MAX(0,N('Your debts'!$E$15)),K317),2)</f>
      </c>
      <c r="V317" s="33">
        <f>ROUND(B317-L317,2)</f>
      </c>
      <c r="W317" s="33">
        <f>ROUND(C317-M317,2)</f>
      </c>
      <c r="X317" s="33">
        <f>ROUND(D317-N317,2)</f>
      </c>
      <c r="Y317" s="33">
        <f>ROUND(E317-O317,2)</f>
      </c>
      <c r="Z317" s="33">
        <f>ROUND(F317-P317,2)</f>
      </c>
      <c r="AA317" s="33">
        <f>ROUND(G317-Q317,2)</f>
      </c>
      <c r="AB317" s="33">
        <f>ROUND(H317-R317,2)</f>
      </c>
      <c r="AC317" s="33">
        <f>ROUND(I317-S317,2)</f>
      </c>
      <c r="AD317" s="33">
        <f>ROUND(J317-T317,2)</f>
      </c>
      <c r="AE317" s="33">
        <f>ROUND(K317-U317,2)</f>
      </c>
      <c r="AF317" s="33">
        <f>IF(V317&lt;=0,0,MAX(0,MIN(V317,ROUND($AZ317-SUMPRODUCT($V317:$AE317*($V317:$AE317&gt;0)*(($V$3:$AE$3&gt;V$3)+($V$3:$AE$3=V$3)*($V317:$AE317&lt;V317)+($V$3:$AE$3=V$3)*($V317:$AE317=V317)*($V$2:$AE$2&lt;V$2))),2))))</f>
      </c>
      <c r="AG317" s="33">
        <f>IF(W317&lt;=0,0,MAX(0,MIN(W317,ROUND($AZ317-SUMPRODUCT($V317:$AE317*($V317:$AE317&gt;0)*(($V$3:$AE$3&gt;W$3)+($V$3:$AE$3=W$3)*($V317:$AE317&lt;W317)+($V$3:$AE$3=W$3)*($V317:$AE317=W317)*($V$2:$AE$2&lt;W$2))),2))))</f>
      </c>
      <c r="AH317" s="33">
        <f>IF(X317&lt;=0,0,MAX(0,MIN(X317,ROUND($AZ317-SUMPRODUCT($V317:$AE317*($V317:$AE317&gt;0)*(($V$3:$AE$3&gt;X$3)+($V$3:$AE$3=X$3)*($V317:$AE317&lt;X317)+($V$3:$AE$3=X$3)*($V317:$AE317=X317)*($V$2:$AE$2&lt;X$2))),2))))</f>
      </c>
      <c r="AI317" s="33">
        <f>IF(Y317&lt;=0,0,MAX(0,MIN(Y317,ROUND($AZ317-SUMPRODUCT($V317:$AE317*($V317:$AE317&gt;0)*(($V$3:$AE$3&gt;Y$3)+($V$3:$AE$3=Y$3)*($V317:$AE317&lt;Y317)+($V$3:$AE$3=Y$3)*($V317:$AE317=Y317)*($V$2:$AE$2&lt;Y$2))),2))))</f>
      </c>
      <c r="AJ317" s="33">
        <f>IF(Z317&lt;=0,0,MAX(0,MIN(Z317,ROUND($AZ317-SUMPRODUCT($V317:$AE317*($V317:$AE317&gt;0)*(($V$3:$AE$3&gt;Z$3)+($V$3:$AE$3=Z$3)*($V317:$AE317&lt;Z317)+($V$3:$AE$3=Z$3)*($V317:$AE317=Z317)*($V$2:$AE$2&lt;Z$2))),2))))</f>
      </c>
      <c r="AK317" s="33">
        <f>IF(AA317&lt;=0,0,MAX(0,MIN(AA317,ROUND($AZ317-SUMPRODUCT($V317:$AE317*($V317:$AE317&gt;0)*(($V$3:$AE$3&gt;AA$3)+($V$3:$AE$3=AA$3)*($V317:$AE317&lt;AA317)+($V$3:$AE$3=AA$3)*($V317:$AE317=AA317)*($V$2:$AE$2&lt;AA$2))),2))))</f>
      </c>
      <c r="AL317" s="33">
        <f>IF(AB317&lt;=0,0,MAX(0,MIN(AB317,ROUND($AZ317-SUMPRODUCT($V317:$AE317*($V317:$AE317&gt;0)*(($V$3:$AE$3&gt;AB$3)+($V$3:$AE$3=AB$3)*($V317:$AE317&lt;AB317)+($V$3:$AE$3=AB$3)*($V317:$AE317=AB317)*($V$2:$AE$2&lt;AB$2))),2))))</f>
      </c>
      <c r="AM317" s="33">
        <f>IF(AC317&lt;=0,0,MAX(0,MIN(AC317,ROUND($AZ317-SUMPRODUCT($V317:$AE317*($V317:$AE317&gt;0)*(($V$3:$AE$3&gt;AC$3)+($V$3:$AE$3=AC$3)*($V317:$AE317&lt;AC317)+($V$3:$AE$3=AC$3)*($V317:$AE317=AC317)*($V$2:$AE$2&lt;AC$2))),2))))</f>
      </c>
      <c r="AN317" s="33">
        <f>IF(AD317&lt;=0,0,MAX(0,MIN(AD317,ROUND($AZ317-SUMPRODUCT($V317:$AE317*($V317:$AE317&gt;0)*(($V$3:$AE$3&gt;AD$3)+($V$3:$AE$3=AD$3)*($V317:$AE317&lt;AD317)+($V$3:$AE$3=AD$3)*($V317:$AE317=AD317)*($V$2:$AE$2&lt;AD$2))),2))))</f>
      </c>
      <c r="AO317" s="33">
        <f>IF(AE317&lt;=0,0,MAX(0,MIN(AE317,ROUND($AZ317-SUMPRODUCT($V317:$AE317*($V317:$AE317&gt;0)*(($V$3:$AE$3&gt;AE$3)+($V$3:$AE$3=AE$3)*($V317:$AE317&lt;AE317)+($V$3:$AE$3=AE$3)*($V317:$AE317=AE317)*($V$2:$AE$2&lt;AE$2))),2))))</f>
      </c>
      <c r="AP317" s="33">
        <f>ROUND(V317-AF317,2)</f>
      </c>
      <c r="AQ317" s="33">
        <f>ROUND(W317-AG317,2)</f>
      </c>
      <c r="AR317" s="33">
        <f>ROUND(X317-AH317,2)</f>
      </c>
      <c r="AS317" s="33">
        <f>ROUND(Y317-AI317,2)</f>
      </c>
      <c r="AT317" s="33">
        <f>ROUND(Z317-AJ317,2)</f>
      </c>
      <c r="AU317" s="33">
        <f>ROUND(AA317-AK317,2)</f>
      </c>
      <c r="AV317" s="33">
        <f>ROUND(AB317-AL317,2)</f>
      </c>
      <c r="AW317" s="33">
        <f>ROUND(AC317-AM317,2)</f>
      </c>
      <c r="AX317" s="33">
        <f>ROUND(AD317-AN317,2)</f>
      </c>
      <c r="AY317" s="33">
        <f>ROUND(AE317-AO317,2)</f>
      </c>
      <c r="AZ317" s="33">
        <f>ROUND(MAX(0,'Your debts'!$D$22-SUM($L317:$U317)),2)</f>
      </c>
      <c r="BA317" s="33">
        <f>ROUND(SUM($B317:$K317)-SUM($AP316:$AY316),2)</f>
      </c>
      <c r="BB317" s="33">
        <f>SUM($AP317:$AY317)</f>
      </c>
      <c r="BC317" s="33">
        <f>ROUND(SUM($L317:$U317)+SUM($AF317:$AO317),2)</f>
      </c>
    </row>
    <row r="318" spans="1:55" x14ac:dyDescent="0.25">
      <c r="A318">
        <v>311</v>
      </c>
      <c r="B318" s="33">
        <f>IF(AP317&lt;=0,0,ROUND(AP317+ROUND(AP317*V$3/12,2),2))</f>
      </c>
      <c r="C318" s="33">
        <f>IF(AQ317&lt;=0,0,ROUND(AQ317+ROUND(AQ317*W$3/12,2),2))</f>
      </c>
      <c r="D318" s="33">
        <f>IF(AR317&lt;=0,0,ROUND(AR317+ROUND(AR317*X$3/12,2),2))</f>
      </c>
      <c r="E318" s="33">
        <f>IF(AS317&lt;=0,0,ROUND(AS317+ROUND(AS317*Y$3/12,2),2))</f>
      </c>
      <c r="F318" s="33">
        <f>IF(AT317&lt;=0,0,ROUND(AT317+ROUND(AT317*Z$3/12,2),2))</f>
      </c>
      <c r="G318" s="33">
        <f>IF(AU317&lt;=0,0,ROUND(AU317+ROUND(AU317*AA$3/12,2),2))</f>
      </c>
      <c r="H318" s="33">
        <f>IF(AV317&lt;=0,0,ROUND(AV317+ROUND(AV317*AB$3/12,2),2))</f>
      </c>
      <c r="I318" s="33">
        <f>IF(AW317&lt;=0,0,ROUND(AW317+ROUND(AW317*AC$3/12,2),2))</f>
      </c>
      <c r="J318" s="33">
        <f>IF(AX317&lt;=0,0,ROUND(AX317+ROUND(AX317*AD$3/12,2),2))</f>
      </c>
      <c r="K318" s="33">
        <f>IF(AY317&lt;=0,0,ROUND(AY317+ROUND(AY317*AE$3/12,2),2))</f>
      </c>
      <c r="L318" s="33">
        <f>ROUND(MIN(MAX(0,N('Your debts'!$E$6)),B318),2)</f>
      </c>
      <c r="M318" s="33">
        <f>ROUND(MIN(MAX(0,N('Your debts'!$E$7)),C318),2)</f>
      </c>
      <c r="N318" s="33">
        <f>ROUND(MIN(MAX(0,N('Your debts'!$E$8)),D318),2)</f>
      </c>
      <c r="O318" s="33">
        <f>ROUND(MIN(MAX(0,N('Your debts'!$E$9)),E318),2)</f>
      </c>
      <c r="P318" s="33">
        <f>ROUND(MIN(MAX(0,N('Your debts'!$E$10)),F318),2)</f>
      </c>
      <c r="Q318" s="33">
        <f>ROUND(MIN(MAX(0,N('Your debts'!$E$11)),G318),2)</f>
      </c>
      <c r="R318" s="33">
        <f>ROUND(MIN(MAX(0,N('Your debts'!$E$12)),H318),2)</f>
      </c>
      <c r="S318" s="33">
        <f>ROUND(MIN(MAX(0,N('Your debts'!$E$13)),I318),2)</f>
      </c>
      <c r="T318" s="33">
        <f>ROUND(MIN(MAX(0,N('Your debts'!$E$14)),J318),2)</f>
      </c>
      <c r="U318" s="33">
        <f>ROUND(MIN(MAX(0,N('Your debts'!$E$15)),K318),2)</f>
      </c>
      <c r="V318" s="33">
        <f>ROUND(B318-L318,2)</f>
      </c>
      <c r="W318" s="33">
        <f>ROUND(C318-M318,2)</f>
      </c>
      <c r="X318" s="33">
        <f>ROUND(D318-N318,2)</f>
      </c>
      <c r="Y318" s="33">
        <f>ROUND(E318-O318,2)</f>
      </c>
      <c r="Z318" s="33">
        <f>ROUND(F318-P318,2)</f>
      </c>
      <c r="AA318" s="33">
        <f>ROUND(G318-Q318,2)</f>
      </c>
      <c r="AB318" s="33">
        <f>ROUND(H318-R318,2)</f>
      </c>
      <c r="AC318" s="33">
        <f>ROUND(I318-S318,2)</f>
      </c>
      <c r="AD318" s="33">
        <f>ROUND(J318-T318,2)</f>
      </c>
      <c r="AE318" s="33">
        <f>ROUND(K318-U318,2)</f>
      </c>
      <c r="AF318" s="33">
        <f>IF(V318&lt;=0,0,MAX(0,MIN(V318,ROUND($AZ318-SUMPRODUCT($V318:$AE318*($V318:$AE318&gt;0)*(($V$3:$AE$3&gt;V$3)+($V$3:$AE$3=V$3)*($V318:$AE318&lt;V318)+($V$3:$AE$3=V$3)*($V318:$AE318=V318)*($V$2:$AE$2&lt;V$2))),2))))</f>
      </c>
      <c r="AG318" s="33">
        <f>IF(W318&lt;=0,0,MAX(0,MIN(W318,ROUND($AZ318-SUMPRODUCT($V318:$AE318*($V318:$AE318&gt;0)*(($V$3:$AE$3&gt;W$3)+($V$3:$AE$3=W$3)*($V318:$AE318&lt;W318)+($V$3:$AE$3=W$3)*($V318:$AE318=W318)*($V$2:$AE$2&lt;W$2))),2))))</f>
      </c>
      <c r="AH318" s="33">
        <f>IF(X318&lt;=0,0,MAX(0,MIN(X318,ROUND($AZ318-SUMPRODUCT($V318:$AE318*($V318:$AE318&gt;0)*(($V$3:$AE$3&gt;X$3)+($V$3:$AE$3=X$3)*($V318:$AE318&lt;X318)+($V$3:$AE$3=X$3)*($V318:$AE318=X318)*($V$2:$AE$2&lt;X$2))),2))))</f>
      </c>
      <c r="AI318" s="33">
        <f>IF(Y318&lt;=0,0,MAX(0,MIN(Y318,ROUND($AZ318-SUMPRODUCT($V318:$AE318*($V318:$AE318&gt;0)*(($V$3:$AE$3&gt;Y$3)+($V$3:$AE$3=Y$3)*($V318:$AE318&lt;Y318)+($V$3:$AE$3=Y$3)*($V318:$AE318=Y318)*($V$2:$AE$2&lt;Y$2))),2))))</f>
      </c>
      <c r="AJ318" s="33">
        <f>IF(Z318&lt;=0,0,MAX(0,MIN(Z318,ROUND($AZ318-SUMPRODUCT($V318:$AE318*($V318:$AE318&gt;0)*(($V$3:$AE$3&gt;Z$3)+($V$3:$AE$3=Z$3)*($V318:$AE318&lt;Z318)+($V$3:$AE$3=Z$3)*($V318:$AE318=Z318)*($V$2:$AE$2&lt;Z$2))),2))))</f>
      </c>
      <c r="AK318" s="33">
        <f>IF(AA318&lt;=0,0,MAX(0,MIN(AA318,ROUND($AZ318-SUMPRODUCT($V318:$AE318*($V318:$AE318&gt;0)*(($V$3:$AE$3&gt;AA$3)+($V$3:$AE$3=AA$3)*($V318:$AE318&lt;AA318)+($V$3:$AE$3=AA$3)*($V318:$AE318=AA318)*($V$2:$AE$2&lt;AA$2))),2))))</f>
      </c>
      <c r="AL318" s="33">
        <f>IF(AB318&lt;=0,0,MAX(0,MIN(AB318,ROUND($AZ318-SUMPRODUCT($V318:$AE318*($V318:$AE318&gt;0)*(($V$3:$AE$3&gt;AB$3)+($V$3:$AE$3=AB$3)*($V318:$AE318&lt;AB318)+($V$3:$AE$3=AB$3)*($V318:$AE318=AB318)*($V$2:$AE$2&lt;AB$2))),2))))</f>
      </c>
      <c r="AM318" s="33">
        <f>IF(AC318&lt;=0,0,MAX(0,MIN(AC318,ROUND($AZ318-SUMPRODUCT($V318:$AE318*($V318:$AE318&gt;0)*(($V$3:$AE$3&gt;AC$3)+($V$3:$AE$3=AC$3)*($V318:$AE318&lt;AC318)+($V$3:$AE$3=AC$3)*($V318:$AE318=AC318)*($V$2:$AE$2&lt;AC$2))),2))))</f>
      </c>
      <c r="AN318" s="33">
        <f>IF(AD318&lt;=0,0,MAX(0,MIN(AD318,ROUND($AZ318-SUMPRODUCT($V318:$AE318*($V318:$AE318&gt;0)*(($V$3:$AE$3&gt;AD$3)+($V$3:$AE$3=AD$3)*($V318:$AE318&lt;AD318)+($V$3:$AE$3=AD$3)*($V318:$AE318=AD318)*($V$2:$AE$2&lt;AD$2))),2))))</f>
      </c>
      <c r="AO318" s="33">
        <f>IF(AE318&lt;=0,0,MAX(0,MIN(AE318,ROUND($AZ318-SUMPRODUCT($V318:$AE318*($V318:$AE318&gt;0)*(($V$3:$AE$3&gt;AE$3)+($V$3:$AE$3=AE$3)*($V318:$AE318&lt;AE318)+($V$3:$AE$3=AE$3)*($V318:$AE318=AE318)*($V$2:$AE$2&lt;AE$2))),2))))</f>
      </c>
      <c r="AP318" s="33">
        <f>ROUND(V318-AF318,2)</f>
      </c>
      <c r="AQ318" s="33">
        <f>ROUND(W318-AG318,2)</f>
      </c>
      <c r="AR318" s="33">
        <f>ROUND(X318-AH318,2)</f>
      </c>
      <c r="AS318" s="33">
        <f>ROUND(Y318-AI318,2)</f>
      </c>
      <c r="AT318" s="33">
        <f>ROUND(Z318-AJ318,2)</f>
      </c>
      <c r="AU318" s="33">
        <f>ROUND(AA318-AK318,2)</f>
      </c>
      <c r="AV318" s="33">
        <f>ROUND(AB318-AL318,2)</f>
      </c>
      <c r="AW318" s="33">
        <f>ROUND(AC318-AM318,2)</f>
      </c>
      <c r="AX318" s="33">
        <f>ROUND(AD318-AN318,2)</f>
      </c>
      <c r="AY318" s="33">
        <f>ROUND(AE318-AO318,2)</f>
      </c>
      <c r="AZ318" s="33">
        <f>ROUND(MAX(0,'Your debts'!$D$22-SUM($L318:$U318)),2)</f>
      </c>
      <c r="BA318" s="33">
        <f>ROUND(SUM($B318:$K318)-SUM($AP317:$AY317),2)</f>
      </c>
      <c r="BB318" s="33">
        <f>SUM($AP318:$AY318)</f>
      </c>
      <c r="BC318" s="33">
        <f>ROUND(SUM($L318:$U318)+SUM($AF318:$AO318),2)</f>
      </c>
    </row>
    <row r="319" spans="1:55" x14ac:dyDescent="0.25">
      <c r="A319">
        <v>312</v>
      </c>
      <c r="B319" s="33">
        <f>IF(AP318&lt;=0,0,ROUND(AP318+ROUND(AP318*V$3/12,2),2))</f>
      </c>
      <c r="C319" s="33">
        <f>IF(AQ318&lt;=0,0,ROUND(AQ318+ROUND(AQ318*W$3/12,2),2))</f>
      </c>
      <c r="D319" s="33">
        <f>IF(AR318&lt;=0,0,ROUND(AR318+ROUND(AR318*X$3/12,2),2))</f>
      </c>
      <c r="E319" s="33">
        <f>IF(AS318&lt;=0,0,ROUND(AS318+ROUND(AS318*Y$3/12,2),2))</f>
      </c>
      <c r="F319" s="33">
        <f>IF(AT318&lt;=0,0,ROUND(AT318+ROUND(AT318*Z$3/12,2),2))</f>
      </c>
      <c r="G319" s="33">
        <f>IF(AU318&lt;=0,0,ROUND(AU318+ROUND(AU318*AA$3/12,2),2))</f>
      </c>
      <c r="H319" s="33">
        <f>IF(AV318&lt;=0,0,ROUND(AV318+ROUND(AV318*AB$3/12,2),2))</f>
      </c>
      <c r="I319" s="33">
        <f>IF(AW318&lt;=0,0,ROUND(AW318+ROUND(AW318*AC$3/12,2),2))</f>
      </c>
      <c r="J319" s="33">
        <f>IF(AX318&lt;=0,0,ROUND(AX318+ROUND(AX318*AD$3/12,2),2))</f>
      </c>
      <c r="K319" s="33">
        <f>IF(AY318&lt;=0,0,ROUND(AY318+ROUND(AY318*AE$3/12,2),2))</f>
      </c>
      <c r="L319" s="33">
        <f>ROUND(MIN(MAX(0,N('Your debts'!$E$6)),B319),2)</f>
      </c>
      <c r="M319" s="33">
        <f>ROUND(MIN(MAX(0,N('Your debts'!$E$7)),C319),2)</f>
      </c>
      <c r="N319" s="33">
        <f>ROUND(MIN(MAX(0,N('Your debts'!$E$8)),D319),2)</f>
      </c>
      <c r="O319" s="33">
        <f>ROUND(MIN(MAX(0,N('Your debts'!$E$9)),E319),2)</f>
      </c>
      <c r="P319" s="33">
        <f>ROUND(MIN(MAX(0,N('Your debts'!$E$10)),F319),2)</f>
      </c>
      <c r="Q319" s="33">
        <f>ROUND(MIN(MAX(0,N('Your debts'!$E$11)),G319),2)</f>
      </c>
      <c r="R319" s="33">
        <f>ROUND(MIN(MAX(0,N('Your debts'!$E$12)),H319),2)</f>
      </c>
      <c r="S319" s="33">
        <f>ROUND(MIN(MAX(0,N('Your debts'!$E$13)),I319),2)</f>
      </c>
      <c r="T319" s="33">
        <f>ROUND(MIN(MAX(0,N('Your debts'!$E$14)),J319),2)</f>
      </c>
      <c r="U319" s="33">
        <f>ROUND(MIN(MAX(0,N('Your debts'!$E$15)),K319),2)</f>
      </c>
      <c r="V319" s="33">
        <f>ROUND(B319-L319,2)</f>
      </c>
      <c r="W319" s="33">
        <f>ROUND(C319-M319,2)</f>
      </c>
      <c r="X319" s="33">
        <f>ROUND(D319-N319,2)</f>
      </c>
      <c r="Y319" s="33">
        <f>ROUND(E319-O319,2)</f>
      </c>
      <c r="Z319" s="33">
        <f>ROUND(F319-P319,2)</f>
      </c>
      <c r="AA319" s="33">
        <f>ROUND(G319-Q319,2)</f>
      </c>
      <c r="AB319" s="33">
        <f>ROUND(H319-R319,2)</f>
      </c>
      <c r="AC319" s="33">
        <f>ROUND(I319-S319,2)</f>
      </c>
      <c r="AD319" s="33">
        <f>ROUND(J319-T319,2)</f>
      </c>
      <c r="AE319" s="33">
        <f>ROUND(K319-U319,2)</f>
      </c>
      <c r="AF319" s="33">
        <f>IF(V319&lt;=0,0,MAX(0,MIN(V319,ROUND($AZ319-SUMPRODUCT($V319:$AE319*($V319:$AE319&gt;0)*(($V$3:$AE$3&gt;V$3)+($V$3:$AE$3=V$3)*($V319:$AE319&lt;V319)+($V$3:$AE$3=V$3)*($V319:$AE319=V319)*($V$2:$AE$2&lt;V$2))),2))))</f>
      </c>
      <c r="AG319" s="33">
        <f>IF(W319&lt;=0,0,MAX(0,MIN(W319,ROUND($AZ319-SUMPRODUCT($V319:$AE319*($V319:$AE319&gt;0)*(($V$3:$AE$3&gt;W$3)+($V$3:$AE$3=W$3)*($V319:$AE319&lt;W319)+($V$3:$AE$3=W$3)*($V319:$AE319=W319)*($V$2:$AE$2&lt;W$2))),2))))</f>
      </c>
      <c r="AH319" s="33">
        <f>IF(X319&lt;=0,0,MAX(0,MIN(X319,ROUND($AZ319-SUMPRODUCT($V319:$AE319*($V319:$AE319&gt;0)*(($V$3:$AE$3&gt;X$3)+($V$3:$AE$3=X$3)*($V319:$AE319&lt;X319)+($V$3:$AE$3=X$3)*($V319:$AE319=X319)*($V$2:$AE$2&lt;X$2))),2))))</f>
      </c>
      <c r="AI319" s="33">
        <f>IF(Y319&lt;=0,0,MAX(0,MIN(Y319,ROUND($AZ319-SUMPRODUCT($V319:$AE319*($V319:$AE319&gt;0)*(($V$3:$AE$3&gt;Y$3)+($V$3:$AE$3=Y$3)*($V319:$AE319&lt;Y319)+($V$3:$AE$3=Y$3)*($V319:$AE319=Y319)*($V$2:$AE$2&lt;Y$2))),2))))</f>
      </c>
      <c r="AJ319" s="33">
        <f>IF(Z319&lt;=0,0,MAX(0,MIN(Z319,ROUND($AZ319-SUMPRODUCT($V319:$AE319*($V319:$AE319&gt;0)*(($V$3:$AE$3&gt;Z$3)+($V$3:$AE$3=Z$3)*($V319:$AE319&lt;Z319)+($V$3:$AE$3=Z$3)*($V319:$AE319=Z319)*($V$2:$AE$2&lt;Z$2))),2))))</f>
      </c>
      <c r="AK319" s="33">
        <f>IF(AA319&lt;=0,0,MAX(0,MIN(AA319,ROUND($AZ319-SUMPRODUCT($V319:$AE319*($V319:$AE319&gt;0)*(($V$3:$AE$3&gt;AA$3)+($V$3:$AE$3=AA$3)*($V319:$AE319&lt;AA319)+($V$3:$AE$3=AA$3)*($V319:$AE319=AA319)*($V$2:$AE$2&lt;AA$2))),2))))</f>
      </c>
      <c r="AL319" s="33">
        <f>IF(AB319&lt;=0,0,MAX(0,MIN(AB319,ROUND($AZ319-SUMPRODUCT($V319:$AE319*($V319:$AE319&gt;0)*(($V$3:$AE$3&gt;AB$3)+($V$3:$AE$3=AB$3)*($V319:$AE319&lt;AB319)+($V$3:$AE$3=AB$3)*($V319:$AE319=AB319)*($V$2:$AE$2&lt;AB$2))),2))))</f>
      </c>
      <c r="AM319" s="33">
        <f>IF(AC319&lt;=0,0,MAX(0,MIN(AC319,ROUND($AZ319-SUMPRODUCT($V319:$AE319*($V319:$AE319&gt;0)*(($V$3:$AE$3&gt;AC$3)+($V$3:$AE$3=AC$3)*($V319:$AE319&lt;AC319)+($V$3:$AE$3=AC$3)*($V319:$AE319=AC319)*($V$2:$AE$2&lt;AC$2))),2))))</f>
      </c>
      <c r="AN319" s="33">
        <f>IF(AD319&lt;=0,0,MAX(0,MIN(AD319,ROUND($AZ319-SUMPRODUCT($V319:$AE319*($V319:$AE319&gt;0)*(($V$3:$AE$3&gt;AD$3)+($V$3:$AE$3=AD$3)*($V319:$AE319&lt;AD319)+($V$3:$AE$3=AD$3)*($V319:$AE319=AD319)*($V$2:$AE$2&lt;AD$2))),2))))</f>
      </c>
      <c r="AO319" s="33">
        <f>IF(AE319&lt;=0,0,MAX(0,MIN(AE319,ROUND($AZ319-SUMPRODUCT($V319:$AE319*($V319:$AE319&gt;0)*(($V$3:$AE$3&gt;AE$3)+($V$3:$AE$3=AE$3)*($V319:$AE319&lt;AE319)+($V$3:$AE$3=AE$3)*($V319:$AE319=AE319)*($V$2:$AE$2&lt;AE$2))),2))))</f>
      </c>
      <c r="AP319" s="33">
        <f>ROUND(V319-AF319,2)</f>
      </c>
      <c r="AQ319" s="33">
        <f>ROUND(W319-AG319,2)</f>
      </c>
      <c r="AR319" s="33">
        <f>ROUND(X319-AH319,2)</f>
      </c>
      <c r="AS319" s="33">
        <f>ROUND(Y319-AI319,2)</f>
      </c>
      <c r="AT319" s="33">
        <f>ROUND(Z319-AJ319,2)</f>
      </c>
      <c r="AU319" s="33">
        <f>ROUND(AA319-AK319,2)</f>
      </c>
      <c r="AV319" s="33">
        <f>ROUND(AB319-AL319,2)</f>
      </c>
      <c r="AW319" s="33">
        <f>ROUND(AC319-AM319,2)</f>
      </c>
      <c r="AX319" s="33">
        <f>ROUND(AD319-AN319,2)</f>
      </c>
      <c r="AY319" s="33">
        <f>ROUND(AE319-AO319,2)</f>
      </c>
      <c r="AZ319" s="33">
        <f>ROUND(MAX(0,'Your debts'!$D$22-SUM($L319:$U319)),2)</f>
      </c>
      <c r="BA319" s="33">
        <f>ROUND(SUM($B319:$K319)-SUM($AP318:$AY318),2)</f>
      </c>
      <c r="BB319" s="33">
        <f>SUM($AP319:$AY319)</f>
      </c>
      <c r="BC319" s="33">
        <f>ROUND(SUM($L319:$U319)+SUM($AF319:$AO319),2)</f>
      </c>
    </row>
    <row r="320" spans="1:55" x14ac:dyDescent="0.25">
      <c r="A320">
        <v>313</v>
      </c>
      <c r="B320" s="33">
        <f>IF(AP319&lt;=0,0,ROUND(AP319+ROUND(AP319*V$3/12,2),2))</f>
      </c>
      <c r="C320" s="33">
        <f>IF(AQ319&lt;=0,0,ROUND(AQ319+ROUND(AQ319*W$3/12,2),2))</f>
      </c>
      <c r="D320" s="33">
        <f>IF(AR319&lt;=0,0,ROUND(AR319+ROUND(AR319*X$3/12,2),2))</f>
      </c>
      <c r="E320" s="33">
        <f>IF(AS319&lt;=0,0,ROUND(AS319+ROUND(AS319*Y$3/12,2),2))</f>
      </c>
      <c r="F320" s="33">
        <f>IF(AT319&lt;=0,0,ROUND(AT319+ROUND(AT319*Z$3/12,2),2))</f>
      </c>
      <c r="G320" s="33">
        <f>IF(AU319&lt;=0,0,ROUND(AU319+ROUND(AU319*AA$3/12,2),2))</f>
      </c>
      <c r="H320" s="33">
        <f>IF(AV319&lt;=0,0,ROUND(AV319+ROUND(AV319*AB$3/12,2),2))</f>
      </c>
      <c r="I320" s="33">
        <f>IF(AW319&lt;=0,0,ROUND(AW319+ROUND(AW319*AC$3/12,2),2))</f>
      </c>
      <c r="J320" s="33">
        <f>IF(AX319&lt;=0,0,ROUND(AX319+ROUND(AX319*AD$3/12,2),2))</f>
      </c>
      <c r="K320" s="33">
        <f>IF(AY319&lt;=0,0,ROUND(AY319+ROUND(AY319*AE$3/12,2),2))</f>
      </c>
      <c r="L320" s="33">
        <f>ROUND(MIN(MAX(0,N('Your debts'!$E$6)),B320),2)</f>
      </c>
      <c r="M320" s="33">
        <f>ROUND(MIN(MAX(0,N('Your debts'!$E$7)),C320),2)</f>
      </c>
      <c r="N320" s="33">
        <f>ROUND(MIN(MAX(0,N('Your debts'!$E$8)),D320),2)</f>
      </c>
      <c r="O320" s="33">
        <f>ROUND(MIN(MAX(0,N('Your debts'!$E$9)),E320),2)</f>
      </c>
      <c r="P320" s="33">
        <f>ROUND(MIN(MAX(0,N('Your debts'!$E$10)),F320),2)</f>
      </c>
      <c r="Q320" s="33">
        <f>ROUND(MIN(MAX(0,N('Your debts'!$E$11)),G320),2)</f>
      </c>
      <c r="R320" s="33">
        <f>ROUND(MIN(MAX(0,N('Your debts'!$E$12)),H320),2)</f>
      </c>
      <c r="S320" s="33">
        <f>ROUND(MIN(MAX(0,N('Your debts'!$E$13)),I320),2)</f>
      </c>
      <c r="T320" s="33">
        <f>ROUND(MIN(MAX(0,N('Your debts'!$E$14)),J320),2)</f>
      </c>
      <c r="U320" s="33">
        <f>ROUND(MIN(MAX(0,N('Your debts'!$E$15)),K320),2)</f>
      </c>
      <c r="V320" s="33">
        <f>ROUND(B320-L320,2)</f>
      </c>
      <c r="W320" s="33">
        <f>ROUND(C320-M320,2)</f>
      </c>
      <c r="X320" s="33">
        <f>ROUND(D320-N320,2)</f>
      </c>
      <c r="Y320" s="33">
        <f>ROUND(E320-O320,2)</f>
      </c>
      <c r="Z320" s="33">
        <f>ROUND(F320-P320,2)</f>
      </c>
      <c r="AA320" s="33">
        <f>ROUND(G320-Q320,2)</f>
      </c>
      <c r="AB320" s="33">
        <f>ROUND(H320-R320,2)</f>
      </c>
      <c r="AC320" s="33">
        <f>ROUND(I320-S320,2)</f>
      </c>
      <c r="AD320" s="33">
        <f>ROUND(J320-T320,2)</f>
      </c>
      <c r="AE320" s="33">
        <f>ROUND(K320-U320,2)</f>
      </c>
      <c r="AF320" s="33">
        <f>IF(V320&lt;=0,0,MAX(0,MIN(V320,ROUND($AZ320-SUMPRODUCT($V320:$AE320*($V320:$AE320&gt;0)*(($V$3:$AE$3&gt;V$3)+($V$3:$AE$3=V$3)*($V320:$AE320&lt;V320)+($V$3:$AE$3=V$3)*($V320:$AE320=V320)*($V$2:$AE$2&lt;V$2))),2))))</f>
      </c>
      <c r="AG320" s="33">
        <f>IF(W320&lt;=0,0,MAX(0,MIN(W320,ROUND($AZ320-SUMPRODUCT($V320:$AE320*($V320:$AE320&gt;0)*(($V$3:$AE$3&gt;W$3)+($V$3:$AE$3=W$3)*($V320:$AE320&lt;W320)+($V$3:$AE$3=W$3)*($V320:$AE320=W320)*($V$2:$AE$2&lt;W$2))),2))))</f>
      </c>
      <c r="AH320" s="33">
        <f>IF(X320&lt;=0,0,MAX(0,MIN(X320,ROUND($AZ320-SUMPRODUCT($V320:$AE320*($V320:$AE320&gt;0)*(($V$3:$AE$3&gt;X$3)+($V$3:$AE$3=X$3)*($V320:$AE320&lt;X320)+($V$3:$AE$3=X$3)*($V320:$AE320=X320)*($V$2:$AE$2&lt;X$2))),2))))</f>
      </c>
      <c r="AI320" s="33">
        <f>IF(Y320&lt;=0,0,MAX(0,MIN(Y320,ROUND($AZ320-SUMPRODUCT($V320:$AE320*($V320:$AE320&gt;0)*(($V$3:$AE$3&gt;Y$3)+($V$3:$AE$3=Y$3)*($V320:$AE320&lt;Y320)+($V$3:$AE$3=Y$3)*($V320:$AE320=Y320)*($V$2:$AE$2&lt;Y$2))),2))))</f>
      </c>
      <c r="AJ320" s="33">
        <f>IF(Z320&lt;=0,0,MAX(0,MIN(Z320,ROUND($AZ320-SUMPRODUCT($V320:$AE320*($V320:$AE320&gt;0)*(($V$3:$AE$3&gt;Z$3)+($V$3:$AE$3=Z$3)*($V320:$AE320&lt;Z320)+($V$3:$AE$3=Z$3)*($V320:$AE320=Z320)*($V$2:$AE$2&lt;Z$2))),2))))</f>
      </c>
      <c r="AK320" s="33">
        <f>IF(AA320&lt;=0,0,MAX(0,MIN(AA320,ROUND($AZ320-SUMPRODUCT($V320:$AE320*($V320:$AE320&gt;0)*(($V$3:$AE$3&gt;AA$3)+($V$3:$AE$3=AA$3)*($V320:$AE320&lt;AA320)+($V$3:$AE$3=AA$3)*($V320:$AE320=AA320)*($V$2:$AE$2&lt;AA$2))),2))))</f>
      </c>
      <c r="AL320" s="33">
        <f>IF(AB320&lt;=0,0,MAX(0,MIN(AB320,ROUND($AZ320-SUMPRODUCT($V320:$AE320*($V320:$AE320&gt;0)*(($V$3:$AE$3&gt;AB$3)+($V$3:$AE$3=AB$3)*($V320:$AE320&lt;AB320)+($V$3:$AE$3=AB$3)*($V320:$AE320=AB320)*($V$2:$AE$2&lt;AB$2))),2))))</f>
      </c>
      <c r="AM320" s="33">
        <f>IF(AC320&lt;=0,0,MAX(0,MIN(AC320,ROUND($AZ320-SUMPRODUCT($V320:$AE320*($V320:$AE320&gt;0)*(($V$3:$AE$3&gt;AC$3)+($V$3:$AE$3=AC$3)*($V320:$AE320&lt;AC320)+($V$3:$AE$3=AC$3)*($V320:$AE320=AC320)*($V$2:$AE$2&lt;AC$2))),2))))</f>
      </c>
      <c r="AN320" s="33">
        <f>IF(AD320&lt;=0,0,MAX(0,MIN(AD320,ROUND($AZ320-SUMPRODUCT($V320:$AE320*($V320:$AE320&gt;0)*(($V$3:$AE$3&gt;AD$3)+($V$3:$AE$3=AD$3)*($V320:$AE320&lt;AD320)+($V$3:$AE$3=AD$3)*($V320:$AE320=AD320)*($V$2:$AE$2&lt;AD$2))),2))))</f>
      </c>
      <c r="AO320" s="33">
        <f>IF(AE320&lt;=0,0,MAX(0,MIN(AE320,ROUND($AZ320-SUMPRODUCT($V320:$AE320*($V320:$AE320&gt;0)*(($V$3:$AE$3&gt;AE$3)+($V$3:$AE$3=AE$3)*($V320:$AE320&lt;AE320)+($V$3:$AE$3=AE$3)*($V320:$AE320=AE320)*($V$2:$AE$2&lt;AE$2))),2))))</f>
      </c>
      <c r="AP320" s="33">
        <f>ROUND(V320-AF320,2)</f>
      </c>
      <c r="AQ320" s="33">
        <f>ROUND(W320-AG320,2)</f>
      </c>
      <c r="AR320" s="33">
        <f>ROUND(X320-AH320,2)</f>
      </c>
      <c r="AS320" s="33">
        <f>ROUND(Y320-AI320,2)</f>
      </c>
      <c r="AT320" s="33">
        <f>ROUND(Z320-AJ320,2)</f>
      </c>
      <c r="AU320" s="33">
        <f>ROUND(AA320-AK320,2)</f>
      </c>
      <c r="AV320" s="33">
        <f>ROUND(AB320-AL320,2)</f>
      </c>
      <c r="AW320" s="33">
        <f>ROUND(AC320-AM320,2)</f>
      </c>
      <c r="AX320" s="33">
        <f>ROUND(AD320-AN320,2)</f>
      </c>
      <c r="AY320" s="33">
        <f>ROUND(AE320-AO320,2)</f>
      </c>
      <c r="AZ320" s="33">
        <f>ROUND(MAX(0,'Your debts'!$D$22-SUM($L320:$U320)),2)</f>
      </c>
      <c r="BA320" s="33">
        <f>ROUND(SUM($B320:$K320)-SUM($AP319:$AY319),2)</f>
      </c>
      <c r="BB320" s="33">
        <f>SUM($AP320:$AY320)</f>
      </c>
      <c r="BC320" s="33">
        <f>ROUND(SUM($L320:$U320)+SUM($AF320:$AO320),2)</f>
      </c>
    </row>
    <row r="321" spans="1:55" x14ac:dyDescent="0.25">
      <c r="A321">
        <v>314</v>
      </c>
      <c r="B321" s="33">
        <f>IF(AP320&lt;=0,0,ROUND(AP320+ROUND(AP320*V$3/12,2),2))</f>
      </c>
      <c r="C321" s="33">
        <f>IF(AQ320&lt;=0,0,ROUND(AQ320+ROUND(AQ320*W$3/12,2),2))</f>
      </c>
      <c r="D321" s="33">
        <f>IF(AR320&lt;=0,0,ROUND(AR320+ROUND(AR320*X$3/12,2),2))</f>
      </c>
      <c r="E321" s="33">
        <f>IF(AS320&lt;=0,0,ROUND(AS320+ROUND(AS320*Y$3/12,2),2))</f>
      </c>
      <c r="F321" s="33">
        <f>IF(AT320&lt;=0,0,ROUND(AT320+ROUND(AT320*Z$3/12,2),2))</f>
      </c>
      <c r="G321" s="33">
        <f>IF(AU320&lt;=0,0,ROUND(AU320+ROUND(AU320*AA$3/12,2),2))</f>
      </c>
      <c r="H321" s="33">
        <f>IF(AV320&lt;=0,0,ROUND(AV320+ROUND(AV320*AB$3/12,2),2))</f>
      </c>
      <c r="I321" s="33">
        <f>IF(AW320&lt;=0,0,ROUND(AW320+ROUND(AW320*AC$3/12,2),2))</f>
      </c>
      <c r="J321" s="33">
        <f>IF(AX320&lt;=0,0,ROUND(AX320+ROUND(AX320*AD$3/12,2),2))</f>
      </c>
      <c r="K321" s="33">
        <f>IF(AY320&lt;=0,0,ROUND(AY320+ROUND(AY320*AE$3/12,2),2))</f>
      </c>
      <c r="L321" s="33">
        <f>ROUND(MIN(MAX(0,N('Your debts'!$E$6)),B321),2)</f>
      </c>
      <c r="M321" s="33">
        <f>ROUND(MIN(MAX(0,N('Your debts'!$E$7)),C321),2)</f>
      </c>
      <c r="N321" s="33">
        <f>ROUND(MIN(MAX(0,N('Your debts'!$E$8)),D321),2)</f>
      </c>
      <c r="O321" s="33">
        <f>ROUND(MIN(MAX(0,N('Your debts'!$E$9)),E321),2)</f>
      </c>
      <c r="P321" s="33">
        <f>ROUND(MIN(MAX(0,N('Your debts'!$E$10)),F321),2)</f>
      </c>
      <c r="Q321" s="33">
        <f>ROUND(MIN(MAX(0,N('Your debts'!$E$11)),G321),2)</f>
      </c>
      <c r="R321" s="33">
        <f>ROUND(MIN(MAX(0,N('Your debts'!$E$12)),H321),2)</f>
      </c>
      <c r="S321" s="33">
        <f>ROUND(MIN(MAX(0,N('Your debts'!$E$13)),I321),2)</f>
      </c>
      <c r="T321" s="33">
        <f>ROUND(MIN(MAX(0,N('Your debts'!$E$14)),J321),2)</f>
      </c>
      <c r="U321" s="33">
        <f>ROUND(MIN(MAX(0,N('Your debts'!$E$15)),K321),2)</f>
      </c>
      <c r="V321" s="33">
        <f>ROUND(B321-L321,2)</f>
      </c>
      <c r="W321" s="33">
        <f>ROUND(C321-M321,2)</f>
      </c>
      <c r="X321" s="33">
        <f>ROUND(D321-N321,2)</f>
      </c>
      <c r="Y321" s="33">
        <f>ROUND(E321-O321,2)</f>
      </c>
      <c r="Z321" s="33">
        <f>ROUND(F321-P321,2)</f>
      </c>
      <c r="AA321" s="33">
        <f>ROUND(G321-Q321,2)</f>
      </c>
      <c r="AB321" s="33">
        <f>ROUND(H321-R321,2)</f>
      </c>
      <c r="AC321" s="33">
        <f>ROUND(I321-S321,2)</f>
      </c>
      <c r="AD321" s="33">
        <f>ROUND(J321-T321,2)</f>
      </c>
      <c r="AE321" s="33">
        <f>ROUND(K321-U321,2)</f>
      </c>
      <c r="AF321" s="33">
        <f>IF(V321&lt;=0,0,MAX(0,MIN(V321,ROUND($AZ321-SUMPRODUCT($V321:$AE321*($V321:$AE321&gt;0)*(($V$3:$AE$3&gt;V$3)+($V$3:$AE$3=V$3)*($V321:$AE321&lt;V321)+($V$3:$AE$3=V$3)*($V321:$AE321=V321)*($V$2:$AE$2&lt;V$2))),2))))</f>
      </c>
      <c r="AG321" s="33">
        <f>IF(W321&lt;=0,0,MAX(0,MIN(W321,ROUND($AZ321-SUMPRODUCT($V321:$AE321*($V321:$AE321&gt;0)*(($V$3:$AE$3&gt;W$3)+($V$3:$AE$3=W$3)*($V321:$AE321&lt;W321)+($V$3:$AE$3=W$3)*($V321:$AE321=W321)*($V$2:$AE$2&lt;W$2))),2))))</f>
      </c>
      <c r="AH321" s="33">
        <f>IF(X321&lt;=0,0,MAX(0,MIN(X321,ROUND($AZ321-SUMPRODUCT($V321:$AE321*($V321:$AE321&gt;0)*(($V$3:$AE$3&gt;X$3)+($V$3:$AE$3=X$3)*($V321:$AE321&lt;X321)+($V$3:$AE$3=X$3)*($V321:$AE321=X321)*($V$2:$AE$2&lt;X$2))),2))))</f>
      </c>
      <c r="AI321" s="33">
        <f>IF(Y321&lt;=0,0,MAX(0,MIN(Y321,ROUND($AZ321-SUMPRODUCT($V321:$AE321*($V321:$AE321&gt;0)*(($V$3:$AE$3&gt;Y$3)+($V$3:$AE$3=Y$3)*($V321:$AE321&lt;Y321)+($V$3:$AE$3=Y$3)*($V321:$AE321=Y321)*($V$2:$AE$2&lt;Y$2))),2))))</f>
      </c>
      <c r="AJ321" s="33">
        <f>IF(Z321&lt;=0,0,MAX(0,MIN(Z321,ROUND($AZ321-SUMPRODUCT($V321:$AE321*($V321:$AE321&gt;0)*(($V$3:$AE$3&gt;Z$3)+($V$3:$AE$3=Z$3)*($V321:$AE321&lt;Z321)+($V$3:$AE$3=Z$3)*($V321:$AE321=Z321)*($V$2:$AE$2&lt;Z$2))),2))))</f>
      </c>
      <c r="AK321" s="33">
        <f>IF(AA321&lt;=0,0,MAX(0,MIN(AA321,ROUND($AZ321-SUMPRODUCT($V321:$AE321*($V321:$AE321&gt;0)*(($V$3:$AE$3&gt;AA$3)+($V$3:$AE$3=AA$3)*($V321:$AE321&lt;AA321)+($V$3:$AE$3=AA$3)*($V321:$AE321=AA321)*($V$2:$AE$2&lt;AA$2))),2))))</f>
      </c>
      <c r="AL321" s="33">
        <f>IF(AB321&lt;=0,0,MAX(0,MIN(AB321,ROUND($AZ321-SUMPRODUCT($V321:$AE321*($V321:$AE321&gt;0)*(($V$3:$AE$3&gt;AB$3)+($V$3:$AE$3=AB$3)*($V321:$AE321&lt;AB321)+($V$3:$AE$3=AB$3)*($V321:$AE321=AB321)*($V$2:$AE$2&lt;AB$2))),2))))</f>
      </c>
      <c r="AM321" s="33">
        <f>IF(AC321&lt;=0,0,MAX(0,MIN(AC321,ROUND($AZ321-SUMPRODUCT($V321:$AE321*($V321:$AE321&gt;0)*(($V$3:$AE$3&gt;AC$3)+($V$3:$AE$3=AC$3)*($V321:$AE321&lt;AC321)+($V$3:$AE$3=AC$3)*($V321:$AE321=AC321)*($V$2:$AE$2&lt;AC$2))),2))))</f>
      </c>
      <c r="AN321" s="33">
        <f>IF(AD321&lt;=0,0,MAX(0,MIN(AD321,ROUND($AZ321-SUMPRODUCT($V321:$AE321*($V321:$AE321&gt;0)*(($V$3:$AE$3&gt;AD$3)+($V$3:$AE$3=AD$3)*($V321:$AE321&lt;AD321)+($V$3:$AE$3=AD$3)*($V321:$AE321=AD321)*($V$2:$AE$2&lt;AD$2))),2))))</f>
      </c>
      <c r="AO321" s="33">
        <f>IF(AE321&lt;=0,0,MAX(0,MIN(AE321,ROUND($AZ321-SUMPRODUCT($V321:$AE321*($V321:$AE321&gt;0)*(($V$3:$AE$3&gt;AE$3)+($V$3:$AE$3=AE$3)*($V321:$AE321&lt;AE321)+($V$3:$AE$3=AE$3)*($V321:$AE321=AE321)*($V$2:$AE$2&lt;AE$2))),2))))</f>
      </c>
      <c r="AP321" s="33">
        <f>ROUND(V321-AF321,2)</f>
      </c>
      <c r="AQ321" s="33">
        <f>ROUND(W321-AG321,2)</f>
      </c>
      <c r="AR321" s="33">
        <f>ROUND(X321-AH321,2)</f>
      </c>
      <c r="AS321" s="33">
        <f>ROUND(Y321-AI321,2)</f>
      </c>
      <c r="AT321" s="33">
        <f>ROUND(Z321-AJ321,2)</f>
      </c>
      <c r="AU321" s="33">
        <f>ROUND(AA321-AK321,2)</f>
      </c>
      <c r="AV321" s="33">
        <f>ROUND(AB321-AL321,2)</f>
      </c>
      <c r="AW321" s="33">
        <f>ROUND(AC321-AM321,2)</f>
      </c>
      <c r="AX321" s="33">
        <f>ROUND(AD321-AN321,2)</f>
      </c>
      <c r="AY321" s="33">
        <f>ROUND(AE321-AO321,2)</f>
      </c>
      <c r="AZ321" s="33">
        <f>ROUND(MAX(0,'Your debts'!$D$22-SUM($L321:$U321)),2)</f>
      </c>
      <c r="BA321" s="33">
        <f>ROUND(SUM($B321:$K321)-SUM($AP320:$AY320),2)</f>
      </c>
      <c r="BB321" s="33">
        <f>SUM($AP321:$AY321)</f>
      </c>
      <c r="BC321" s="33">
        <f>ROUND(SUM($L321:$U321)+SUM($AF321:$AO321),2)</f>
      </c>
    </row>
    <row r="322" spans="1:55" x14ac:dyDescent="0.25">
      <c r="A322">
        <v>315</v>
      </c>
      <c r="B322" s="33">
        <f>IF(AP321&lt;=0,0,ROUND(AP321+ROUND(AP321*V$3/12,2),2))</f>
      </c>
      <c r="C322" s="33">
        <f>IF(AQ321&lt;=0,0,ROUND(AQ321+ROUND(AQ321*W$3/12,2),2))</f>
      </c>
      <c r="D322" s="33">
        <f>IF(AR321&lt;=0,0,ROUND(AR321+ROUND(AR321*X$3/12,2),2))</f>
      </c>
      <c r="E322" s="33">
        <f>IF(AS321&lt;=0,0,ROUND(AS321+ROUND(AS321*Y$3/12,2),2))</f>
      </c>
      <c r="F322" s="33">
        <f>IF(AT321&lt;=0,0,ROUND(AT321+ROUND(AT321*Z$3/12,2),2))</f>
      </c>
      <c r="G322" s="33">
        <f>IF(AU321&lt;=0,0,ROUND(AU321+ROUND(AU321*AA$3/12,2),2))</f>
      </c>
      <c r="H322" s="33">
        <f>IF(AV321&lt;=0,0,ROUND(AV321+ROUND(AV321*AB$3/12,2),2))</f>
      </c>
      <c r="I322" s="33">
        <f>IF(AW321&lt;=0,0,ROUND(AW321+ROUND(AW321*AC$3/12,2),2))</f>
      </c>
      <c r="J322" s="33">
        <f>IF(AX321&lt;=0,0,ROUND(AX321+ROUND(AX321*AD$3/12,2),2))</f>
      </c>
      <c r="K322" s="33">
        <f>IF(AY321&lt;=0,0,ROUND(AY321+ROUND(AY321*AE$3/12,2),2))</f>
      </c>
      <c r="L322" s="33">
        <f>ROUND(MIN(MAX(0,N('Your debts'!$E$6)),B322),2)</f>
      </c>
      <c r="M322" s="33">
        <f>ROUND(MIN(MAX(0,N('Your debts'!$E$7)),C322),2)</f>
      </c>
      <c r="N322" s="33">
        <f>ROUND(MIN(MAX(0,N('Your debts'!$E$8)),D322),2)</f>
      </c>
      <c r="O322" s="33">
        <f>ROUND(MIN(MAX(0,N('Your debts'!$E$9)),E322),2)</f>
      </c>
      <c r="P322" s="33">
        <f>ROUND(MIN(MAX(0,N('Your debts'!$E$10)),F322),2)</f>
      </c>
      <c r="Q322" s="33">
        <f>ROUND(MIN(MAX(0,N('Your debts'!$E$11)),G322),2)</f>
      </c>
      <c r="R322" s="33">
        <f>ROUND(MIN(MAX(0,N('Your debts'!$E$12)),H322),2)</f>
      </c>
      <c r="S322" s="33">
        <f>ROUND(MIN(MAX(0,N('Your debts'!$E$13)),I322),2)</f>
      </c>
      <c r="T322" s="33">
        <f>ROUND(MIN(MAX(0,N('Your debts'!$E$14)),J322),2)</f>
      </c>
      <c r="U322" s="33">
        <f>ROUND(MIN(MAX(0,N('Your debts'!$E$15)),K322),2)</f>
      </c>
      <c r="V322" s="33">
        <f>ROUND(B322-L322,2)</f>
      </c>
      <c r="W322" s="33">
        <f>ROUND(C322-M322,2)</f>
      </c>
      <c r="X322" s="33">
        <f>ROUND(D322-N322,2)</f>
      </c>
      <c r="Y322" s="33">
        <f>ROUND(E322-O322,2)</f>
      </c>
      <c r="Z322" s="33">
        <f>ROUND(F322-P322,2)</f>
      </c>
      <c r="AA322" s="33">
        <f>ROUND(G322-Q322,2)</f>
      </c>
      <c r="AB322" s="33">
        <f>ROUND(H322-R322,2)</f>
      </c>
      <c r="AC322" s="33">
        <f>ROUND(I322-S322,2)</f>
      </c>
      <c r="AD322" s="33">
        <f>ROUND(J322-T322,2)</f>
      </c>
      <c r="AE322" s="33">
        <f>ROUND(K322-U322,2)</f>
      </c>
      <c r="AF322" s="33">
        <f>IF(V322&lt;=0,0,MAX(0,MIN(V322,ROUND($AZ322-SUMPRODUCT($V322:$AE322*($V322:$AE322&gt;0)*(($V$3:$AE$3&gt;V$3)+($V$3:$AE$3=V$3)*($V322:$AE322&lt;V322)+($V$3:$AE$3=V$3)*($V322:$AE322=V322)*($V$2:$AE$2&lt;V$2))),2))))</f>
      </c>
      <c r="AG322" s="33">
        <f>IF(W322&lt;=0,0,MAX(0,MIN(W322,ROUND($AZ322-SUMPRODUCT($V322:$AE322*($V322:$AE322&gt;0)*(($V$3:$AE$3&gt;W$3)+($V$3:$AE$3=W$3)*($V322:$AE322&lt;W322)+($V$3:$AE$3=W$3)*($V322:$AE322=W322)*($V$2:$AE$2&lt;W$2))),2))))</f>
      </c>
      <c r="AH322" s="33">
        <f>IF(X322&lt;=0,0,MAX(0,MIN(X322,ROUND($AZ322-SUMPRODUCT($V322:$AE322*($V322:$AE322&gt;0)*(($V$3:$AE$3&gt;X$3)+($V$3:$AE$3=X$3)*($V322:$AE322&lt;X322)+($V$3:$AE$3=X$3)*($V322:$AE322=X322)*($V$2:$AE$2&lt;X$2))),2))))</f>
      </c>
      <c r="AI322" s="33">
        <f>IF(Y322&lt;=0,0,MAX(0,MIN(Y322,ROUND($AZ322-SUMPRODUCT($V322:$AE322*($V322:$AE322&gt;0)*(($V$3:$AE$3&gt;Y$3)+($V$3:$AE$3=Y$3)*($V322:$AE322&lt;Y322)+($V$3:$AE$3=Y$3)*($V322:$AE322=Y322)*($V$2:$AE$2&lt;Y$2))),2))))</f>
      </c>
      <c r="AJ322" s="33">
        <f>IF(Z322&lt;=0,0,MAX(0,MIN(Z322,ROUND($AZ322-SUMPRODUCT($V322:$AE322*($V322:$AE322&gt;0)*(($V$3:$AE$3&gt;Z$3)+($V$3:$AE$3=Z$3)*($V322:$AE322&lt;Z322)+($V$3:$AE$3=Z$3)*($V322:$AE322=Z322)*($V$2:$AE$2&lt;Z$2))),2))))</f>
      </c>
      <c r="AK322" s="33">
        <f>IF(AA322&lt;=0,0,MAX(0,MIN(AA322,ROUND($AZ322-SUMPRODUCT($V322:$AE322*($V322:$AE322&gt;0)*(($V$3:$AE$3&gt;AA$3)+($V$3:$AE$3=AA$3)*($V322:$AE322&lt;AA322)+($V$3:$AE$3=AA$3)*($V322:$AE322=AA322)*($V$2:$AE$2&lt;AA$2))),2))))</f>
      </c>
      <c r="AL322" s="33">
        <f>IF(AB322&lt;=0,0,MAX(0,MIN(AB322,ROUND($AZ322-SUMPRODUCT($V322:$AE322*($V322:$AE322&gt;0)*(($V$3:$AE$3&gt;AB$3)+($V$3:$AE$3=AB$3)*($V322:$AE322&lt;AB322)+($V$3:$AE$3=AB$3)*($V322:$AE322=AB322)*($V$2:$AE$2&lt;AB$2))),2))))</f>
      </c>
      <c r="AM322" s="33">
        <f>IF(AC322&lt;=0,0,MAX(0,MIN(AC322,ROUND($AZ322-SUMPRODUCT($V322:$AE322*($V322:$AE322&gt;0)*(($V$3:$AE$3&gt;AC$3)+($V$3:$AE$3=AC$3)*($V322:$AE322&lt;AC322)+($V$3:$AE$3=AC$3)*($V322:$AE322=AC322)*($V$2:$AE$2&lt;AC$2))),2))))</f>
      </c>
      <c r="AN322" s="33">
        <f>IF(AD322&lt;=0,0,MAX(0,MIN(AD322,ROUND($AZ322-SUMPRODUCT($V322:$AE322*($V322:$AE322&gt;0)*(($V$3:$AE$3&gt;AD$3)+($V$3:$AE$3=AD$3)*($V322:$AE322&lt;AD322)+($V$3:$AE$3=AD$3)*($V322:$AE322=AD322)*($V$2:$AE$2&lt;AD$2))),2))))</f>
      </c>
      <c r="AO322" s="33">
        <f>IF(AE322&lt;=0,0,MAX(0,MIN(AE322,ROUND($AZ322-SUMPRODUCT($V322:$AE322*($V322:$AE322&gt;0)*(($V$3:$AE$3&gt;AE$3)+($V$3:$AE$3=AE$3)*($V322:$AE322&lt;AE322)+($V$3:$AE$3=AE$3)*($V322:$AE322=AE322)*($V$2:$AE$2&lt;AE$2))),2))))</f>
      </c>
      <c r="AP322" s="33">
        <f>ROUND(V322-AF322,2)</f>
      </c>
      <c r="AQ322" s="33">
        <f>ROUND(W322-AG322,2)</f>
      </c>
      <c r="AR322" s="33">
        <f>ROUND(X322-AH322,2)</f>
      </c>
      <c r="AS322" s="33">
        <f>ROUND(Y322-AI322,2)</f>
      </c>
      <c r="AT322" s="33">
        <f>ROUND(Z322-AJ322,2)</f>
      </c>
      <c r="AU322" s="33">
        <f>ROUND(AA322-AK322,2)</f>
      </c>
      <c r="AV322" s="33">
        <f>ROUND(AB322-AL322,2)</f>
      </c>
      <c r="AW322" s="33">
        <f>ROUND(AC322-AM322,2)</f>
      </c>
      <c r="AX322" s="33">
        <f>ROUND(AD322-AN322,2)</f>
      </c>
      <c r="AY322" s="33">
        <f>ROUND(AE322-AO322,2)</f>
      </c>
      <c r="AZ322" s="33">
        <f>ROUND(MAX(0,'Your debts'!$D$22-SUM($L322:$U322)),2)</f>
      </c>
      <c r="BA322" s="33">
        <f>ROUND(SUM($B322:$K322)-SUM($AP321:$AY321),2)</f>
      </c>
      <c r="BB322" s="33">
        <f>SUM($AP322:$AY322)</f>
      </c>
      <c r="BC322" s="33">
        <f>ROUND(SUM($L322:$U322)+SUM($AF322:$AO322),2)</f>
      </c>
    </row>
    <row r="323" spans="1:55" x14ac:dyDescent="0.25">
      <c r="A323">
        <v>316</v>
      </c>
      <c r="B323" s="33">
        <f>IF(AP322&lt;=0,0,ROUND(AP322+ROUND(AP322*V$3/12,2),2))</f>
      </c>
      <c r="C323" s="33">
        <f>IF(AQ322&lt;=0,0,ROUND(AQ322+ROUND(AQ322*W$3/12,2),2))</f>
      </c>
      <c r="D323" s="33">
        <f>IF(AR322&lt;=0,0,ROUND(AR322+ROUND(AR322*X$3/12,2),2))</f>
      </c>
      <c r="E323" s="33">
        <f>IF(AS322&lt;=0,0,ROUND(AS322+ROUND(AS322*Y$3/12,2),2))</f>
      </c>
      <c r="F323" s="33">
        <f>IF(AT322&lt;=0,0,ROUND(AT322+ROUND(AT322*Z$3/12,2),2))</f>
      </c>
      <c r="G323" s="33">
        <f>IF(AU322&lt;=0,0,ROUND(AU322+ROUND(AU322*AA$3/12,2),2))</f>
      </c>
      <c r="H323" s="33">
        <f>IF(AV322&lt;=0,0,ROUND(AV322+ROUND(AV322*AB$3/12,2),2))</f>
      </c>
      <c r="I323" s="33">
        <f>IF(AW322&lt;=0,0,ROUND(AW322+ROUND(AW322*AC$3/12,2),2))</f>
      </c>
      <c r="J323" s="33">
        <f>IF(AX322&lt;=0,0,ROUND(AX322+ROUND(AX322*AD$3/12,2),2))</f>
      </c>
      <c r="K323" s="33">
        <f>IF(AY322&lt;=0,0,ROUND(AY322+ROUND(AY322*AE$3/12,2),2))</f>
      </c>
      <c r="L323" s="33">
        <f>ROUND(MIN(MAX(0,N('Your debts'!$E$6)),B323),2)</f>
      </c>
      <c r="M323" s="33">
        <f>ROUND(MIN(MAX(0,N('Your debts'!$E$7)),C323),2)</f>
      </c>
      <c r="N323" s="33">
        <f>ROUND(MIN(MAX(0,N('Your debts'!$E$8)),D323),2)</f>
      </c>
      <c r="O323" s="33">
        <f>ROUND(MIN(MAX(0,N('Your debts'!$E$9)),E323),2)</f>
      </c>
      <c r="P323" s="33">
        <f>ROUND(MIN(MAX(0,N('Your debts'!$E$10)),F323),2)</f>
      </c>
      <c r="Q323" s="33">
        <f>ROUND(MIN(MAX(0,N('Your debts'!$E$11)),G323),2)</f>
      </c>
      <c r="R323" s="33">
        <f>ROUND(MIN(MAX(0,N('Your debts'!$E$12)),H323),2)</f>
      </c>
      <c r="S323" s="33">
        <f>ROUND(MIN(MAX(0,N('Your debts'!$E$13)),I323),2)</f>
      </c>
      <c r="T323" s="33">
        <f>ROUND(MIN(MAX(0,N('Your debts'!$E$14)),J323),2)</f>
      </c>
      <c r="U323" s="33">
        <f>ROUND(MIN(MAX(0,N('Your debts'!$E$15)),K323),2)</f>
      </c>
      <c r="V323" s="33">
        <f>ROUND(B323-L323,2)</f>
      </c>
      <c r="W323" s="33">
        <f>ROUND(C323-M323,2)</f>
      </c>
      <c r="X323" s="33">
        <f>ROUND(D323-N323,2)</f>
      </c>
      <c r="Y323" s="33">
        <f>ROUND(E323-O323,2)</f>
      </c>
      <c r="Z323" s="33">
        <f>ROUND(F323-P323,2)</f>
      </c>
      <c r="AA323" s="33">
        <f>ROUND(G323-Q323,2)</f>
      </c>
      <c r="AB323" s="33">
        <f>ROUND(H323-R323,2)</f>
      </c>
      <c r="AC323" s="33">
        <f>ROUND(I323-S323,2)</f>
      </c>
      <c r="AD323" s="33">
        <f>ROUND(J323-T323,2)</f>
      </c>
      <c r="AE323" s="33">
        <f>ROUND(K323-U323,2)</f>
      </c>
      <c r="AF323" s="33">
        <f>IF(V323&lt;=0,0,MAX(0,MIN(V323,ROUND($AZ323-SUMPRODUCT($V323:$AE323*($V323:$AE323&gt;0)*(($V$3:$AE$3&gt;V$3)+($V$3:$AE$3=V$3)*($V323:$AE323&lt;V323)+($V$3:$AE$3=V$3)*($V323:$AE323=V323)*($V$2:$AE$2&lt;V$2))),2))))</f>
      </c>
      <c r="AG323" s="33">
        <f>IF(W323&lt;=0,0,MAX(0,MIN(W323,ROUND($AZ323-SUMPRODUCT($V323:$AE323*($V323:$AE323&gt;0)*(($V$3:$AE$3&gt;W$3)+($V$3:$AE$3=W$3)*($V323:$AE323&lt;W323)+($V$3:$AE$3=W$3)*($V323:$AE323=W323)*($V$2:$AE$2&lt;W$2))),2))))</f>
      </c>
      <c r="AH323" s="33">
        <f>IF(X323&lt;=0,0,MAX(0,MIN(X323,ROUND($AZ323-SUMPRODUCT($V323:$AE323*($V323:$AE323&gt;0)*(($V$3:$AE$3&gt;X$3)+($V$3:$AE$3=X$3)*($V323:$AE323&lt;X323)+($V$3:$AE$3=X$3)*($V323:$AE323=X323)*($V$2:$AE$2&lt;X$2))),2))))</f>
      </c>
      <c r="AI323" s="33">
        <f>IF(Y323&lt;=0,0,MAX(0,MIN(Y323,ROUND($AZ323-SUMPRODUCT($V323:$AE323*($V323:$AE323&gt;0)*(($V$3:$AE$3&gt;Y$3)+($V$3:$AE$3=Y$3)*($V323:$AE323&lt;Y323)+($V$3:$AE$3=Y$3)*($V323:$AE323=Y323)*($V$2:$AE$2&lt;Y$2))),2))))</f>
      </c>
      <c r="AJ323" s="33">
        <f>IF(Z323&lt;=0,0,MAX(0,MIN(Z323,ROUND($AZ323-SUMPRODUCT($V323:$AE323*($V323:$AE323&gt;0)*(($V$3:$AE$3&gt;Z$3)+($V$3:$AE$3=Z$3)*($V323:$AE323&lt;Z323)+($V$3:$AE$3=Z$3)*($V323:$AE323=Z323)*($V$2:$AE$2&lt;Z$2))),2))))</f>
      </c>
      <c r="AK323" s="33">
        <f>IF(AA323&lt;=0,0,MAX(0,MIN(AA323,ROUND($AZ323-SUMPRODUCT($V323:$AE323*($V323:$AE323&gt;0)*(($V$3:$AE$3&gt;AA$3)+($V$3:$AE$3=AA$3)*($V323:$AE323&lt;AA323)+($V$3:$AE$3=AA$3)*($V323:$AE323=AA323)*($V$2:$AE$2&lt;AA$2))),2))))</f>
      </c>
      <c r="AL323" s="33">
        <f>IF(AB323&lt;=0,0,MAX(0,MIN(AB323,ROUND($AZ323-SUMPRODUCT($V323:$AE323*($V323:$AE323&gt;0)*(($V$3:$AE$3&gt;AB$3)+($V$3:$AE$3=AB$3)*($V323:$AE323&lt;AB323)+($V$3:$AE$3=AB$3)*($V323:$AE323=AB323)*($V$2:$AE$2&lt;AB$2))),2))))</f>
      </c>
      <c r="AM323" s="33">
        <f>IF(AC323&lt;=0,0,MAX(0,MIN(AC323,ROUND($AZ323-SUMPRODUCT($V323:$AE323*($V323:$AE323&gt;0)*(($V$3:$AE$3&gt;AC$3)+($V$3:$AE$3=AC$3)*($V323:$AE323&lt;AC323)+($V$3:$AE$3=AC$3)*($V323:$AE323=AC323)*($V$2:$AE$2&lt;AC$2))),2))))</f>
      </c>
      <c r="AN323" s="33">
        <f>IF(AD323&lt;=0,0,MAX(0,MIN(AD323,ROUND($AZ323-SUMPRODUCT($V323:$AE323*($V323:$AE323&gt;0)*(($V$3:$AE$3&gt;AD$3)+($V$3:$AE$3=AD$3)*($V323:$AE323&lt;AD323)+($V$3:$AE$3=AD$3)*($V323:$AE323=AD323)*($V$2:$AE$2&lt;AD$2))),2))))</f>
      </c>
      <c r="AO323" s="33">
        <f>IF(AE323&lt;=0,0,MAX(0,MIN(AE323,ROUND($AZ323-SUMPRODUCT($V323:$AE323*($V323:$AE323&gt;0)*(($V$3:$AE$3&gt;AE$3)+($V$3:$AE$3=AE$3)*($V323:$AE323&lt;AE323)+($V$3:$AE$3=AE$3)*($V323:$AE323=AE323)*($V$2:$AE$2&lt;AE$2))),2))))</f>
      </c>
      <c r="AP323" s="33">
        <f>ROUND(V323-AF323,2)</f>
      </c>
      <c r="AQ323" s="33">
        <f>ROUND(W323-AG323,2)</f>
      </c>
      <c r="AR323" s="33">
        <f>ROUND(X323-AH323,2)</f>
      </c>
      <c r="AS323" s="33">
        <f>ROUND(Y323-AI323,2)</f>
      </c>
      <c r="AT323" s="33">
        <f>ROUND(Z323-AJ323,2)</f>
      </c>
      <c r="AU323" s="33">
        <f>ROUND(AA323-AK323,2)</f>
      </c>
      <c r="AV323" s="33">
        <f>ROUND(AB323-AL323,2)</f>
      </c>
      <c r="AW323" s="33">
        <f>ROUND(AC323-AM323,2)</f>
      </c>
      <c r="AX323" s="33">
        <f>ROUND(AD323-AN323,2)</f>
      </c>
      <c r="AY323" s="33">
        <f>ROUND(AE323-AO323,2)</f>
      </c>
      <c r="AZ323" s="33">
        <f>ROUND(MAX(0,'Your debts'!$D$22-SUM($L323:$U323)),2)</f>
      </c>
      <c r="BA323" s="33">
        <f>ROUND(SUM($B323:$K323)-SUM($AP322:$AY322),2)</f>
      </c>
      <c r="BB323" s="33">
        <f>SUM($AP323:$AY323)</f>
      </c>
      <c r="BC323" s="33">
        <f>ROUND(SUM($L323:$U323)+SUM($AF323:$AO323),2)</f>
      </c>
    </row>
    <row r="324" spans="1:55" x14ac:dyDescent="0.25">
      <c r="A324">
        <v>317</v>
      </c>
      <c r="B324" s="33">
        <f>IF(AP323&lt;=0,0,ROUND(AP323+ROUND(AP323*V$3/12,2),2))</f>
      </c>
      <c r="C324" s="33">
        <f>IF(AQ323&lt;=0,0,ROUND(AQ323+ROUND(AQ323*W$3/12,2),2))</f>
      </c>
      <c r="D324" s="33">
        <f>IF(AR323&lt;=0,0,ROUND(AR323+ROUND(AR323*X$3/12,2),2))</f>
      </c>
      <c r="E324" s="33">
        <f>IF(AS323&lt;=0,0,ROUND(AS323+ROUND(AS323*Y$3/12,2),2))</f>
      </c>
      <c r="F324" s="33">
        <f>IF(AT323&lt;=0,0,ROUND(AT323+ROUND(AT323*Z$3/12,2),2))</f>
      </c>
      <c r="G324" s="33">
        <f>IF(AU323&lt;=0,0,ROUND(AU323+ROUND(AU323*AA$3/12,2),2))</f>
      </c>
      <c r="H324" s="33">
        <f>IF(AV323&lt;=0,0,ROUND(AV323+ROUND(AV323*AB$3/12,2),2))</f>
      </c>
      <c r="I324" s="33">
        <f>IF(AW323&lt;=0,0,ROUND(AW323+ROUND(AW323*AC$3/12,2),2))</f>
      </c>
      <c r="J324" s="33">
        <f>IF(AX323&lt;=0,0,ROUND(AX323+ROUND(AX323*AD$3/12,2),2))</f>
      </c>
      <c r="K324" s="33">
        <f>IF(AY323&lt;=0,0,ROUND(AY323+ROUND(AY323*AE$3/12,2),2))</f>
      </c>
      <c r="L324" s="33">
        <f>ROUND(MIN(MAX(0,N('Your debts'!$E$6)),B324),2)</f>
      </c>
      <c r="M324" s="33">
        <f>ROUND(MIN(MAX(0,N('Your debts'!$E$7)),C324),2)</f>
      </c>
      <c r="N324" s="33">
        <f>ROUND(MIN(MAX(0,N('Your debts'!$E$8)),D324),2)</f>
      </c>
      <c r="O324" s="33">
        <f>ROUND(MIN(MAX(0,N('Your debts'!$E$9)),E324),2)</f>
      </c>
      <c r="P324" s="33">
        <f>ROUND(MIN(MAX(0,N('Your debts'!$E$10)),F324),2)</f>
      </c>
      <c r="Q324" s="33">
        <f>ROUND(MIN(MAX(0,N('Your debts'!$E$11)),G324),2)</f>
      </c>
      <c r="R324" s="33">
        <f>ROUND(MIN(MAX(0,N('Your debts'!$E$12)),H324),2)</f>
      </c>
      <c r="S324" s="33">
        <f>ROUND(MIN(MAX(0,N('Your debts'!$E$13)),I324),2)</f>
      </c>
      <c r="T324" s="33">
        <f>ROUND(MIN(MAX(0,N('Your debts'!$E$14)),J324),2)</f>
      </c>
      <c r="U324" s="33">
        <f>ROUND(MIN(MAX(0,N('Your debts'!$E$15)),K324),2)</f>
      </c>
      <c r="V324" s="33">
        <f>ROUND(B324-L324,2)</f>
      </c>
      <c r="W324" s="33">
        <f>ROUND(C324-M324,2)</f>
      </c>
      <c r="X324" s="33">
        <f>ROUND(D324-N324,2)</f>
      </c>
      <c r="Y324" s="33">
        <f>ROUND(E324-O324,2)</f>
      </c>
      <c r="Z324" s="33">
        <f>ROUND(F324-P324,2)</f>
      </c>
      <c r="AA324" s="33">
        <f>ROUND(G324-Q324,2)</f>
      </c>
      <c r="AB324" s="33">
        <f>ROUND(H324-R324,2)</f>
      </c>
      <c r="AC324" s="33">
        <f>ROUND(I324-S324,2)</f>
      </c>
      <c r="AD324" s="33">
        <f>ROUND(J324-T324,2)</f>
      </c>
      <c r="AE324" s="33">
        <f>ROUND(K324-U324,2)</f>
      </c>
      <c r="AF324" s="33">
        <f>IF(V324&lt;=0,0,MAX(0,MIN(V324,ROUND($AZ324-SUMPRODUCT($V324:$AE324*($V324:$AE324&gt;0)*(($V$3:$AE$3&gt;V$3)+($V$3:$AE$3=V$3)*($V324:$AE324&lt;V324)+($V$3:$AE$3=V$3)*($V324:$AE324=V324)*($V$2:$AE$2&lt;V$2))),2))))</f>
      </c>
      <c r="AG324" s="33">
        <f>IF(W324&lt;=0,0,MAX(0,MIN(W324,ROUND($AZ324-SUMPRODUCT($V324:$AE324*($V324:$AE324&gt;0)*(($V$3:$AE$3&gt;W$3)+($V$3:$AE$3=W$3)*($V324:$AE324&lt;W324)+($V$3:$AE$3=W$3)*($V324:$AE324=W324)*($V$2:$AE$2&lt;W$2))),2))))</f>
      </c>
      <c r="AH324" s="33">
        <f>IF(X324&lt;=0,0,MAX(0,MIN(X324,ROUND($AZ324-SUMPRODUCT($V324:$AE324*($V324:$AE324&gt;0)*(($V$3:$AE$3&gt;X$3)+($V$3:$AE$3=X$3)*($V324:$AE324&lt;X324)+($V$3:$AE$3=X$3)*($V324:$AE324=X324)*($V$2:$AE$2&lt;X$2))),2))))</f>
      </c>
      <c r="AI324" s="33">
        <f>IF(Y324&lt;=0,0,MAX(0,MIN(Y324,ROUND($AZ324-SUMPRODUCT($V324:$AE324*($V324:$AE324&gt;0)*(($V$3:$AE$3&gt;Y$3)+($V$3:$AE$3=Y$3)*($V324:$AE324&lt;Y324)+($V$3:$AE$3=Y$3)*($V324:$AE324=Y324)*($V$2:$AE$2&lt;Y$2))),2))))</f>
      </c>
      <c r="AJ324" s="33">
        <f>IF(Z324&lt;=0,0,MAX(0,MIN(Z324,ROUND($AZ324-SUMPRODUCT($V324:$AE324*($V324:$AE324&gt;0)*(($V$3:$AE$3&gt;Z$3)+($V$3:$AE$3=Z$3)*($V324:$AE324&lt;Z324)+($V$3:$AE$3=Z$3)*($V324:$AE324=Z324)*($V$2:$AE$2&lt;Z$2))),2))))</f>
      </c>
      <c r="AK324" s="33">
        <f>IF(AA324&lt;=0,0,MAX(0,MIN(AA324,ROUND($AZ324-SUMPRODUCT($V324:$AE324*($V324:$AE324&gt;0)*(($V$3:$AE$3&gt;AA$3)+($V$3:$AE$3=AA$3)*($V324:$AE324&lt;AA324)+($V$3:$AE$3=AA$3)*($V324:$AE324=AA324)*($V$2:$AE$2&lt;AA$2))),2))))</f>
      </c>
      <c r="AL324" s="33">
        <f>IF(AB324&lt;=0,0,MAX(0,MIN(AB324,ROUND($AZ324-SUMPRODUCT($V324:$AE324*($V324:$AE324&gt;0)*(($V$3:$AE$3&gt;AB$3)+($V$3:$AE$3=AB$3)*($V324:$AE324&lt;AB324)+($V$3:$AE$3=AB$3)*($V324:$AE324=AB324)*($V$2:$AE$2&lt;AB$2))),2))))</f>
      </c>
      <c r="AM324" s="33">
        <f>IF(AC324&lt;=0,0,MAX(0,MIN(AC324,ROUND($AZ324-SUMPRODUCT($V324:$AE324*($V324:$AE324&gt;0)*(($V$3:$AE$3&gt;AC$3)+($V$3:$AE$3=AC$3)*($V324:$AE324&lt;AC324)+($V$3:$AE$3=AC$3)*($V324:$AE324=AC324)*($V$2:$AE$2&lt;AC$2))),2))))</f>
      </c>
      <c r="AN324" s="33">
        <f>IF(AD324&lt;=0,0,MAX(0,MIN(AD324,ROUND($AZ324-SUMPRODUCT($V324:$AE324*($V324:$AE324&gt;0)*(($V$3:$AE$3&gt;AD$3)+($V$3:$AE$3=AD$3)*($V324:$AE324&lt;AD324)+($V$3:$AE$3=AD$3)*($V324:$AE324=AD324)*($V$2:$AE$2&lt;AD$2))),2))))</f>
      </c>
      <c r="AO324" s="33">
        <f>IF(AE324&lt;=0,0,MAX(0,MIN(AE324,ROUND($AZ324-SUMPRODUCT($V324:$AE324*($V324:$AE324&gt;0)*(($V$3:$AE$3&gt;AE$3)+($V$3:$AE$3=AE$3)*($V324:$AE324&lt;AE324)+($V$3:$AE$3=AE$3)*($V324:$AE324=AE324)*($V$2:$AE$2&lt;AE$2))),2))))</f>
      </c>
      <c r="AP324" s="33">
        <f>ROUND(V324-AF324,2)</f>
      </c>
      <c r="AQ324" s="33">
        <f>ROUND(W324-AG324,2)</f>
      </c>
      <c r="AR324" s="33">
        <f>ROUND(X324-AH324,2)</f>
      </c>
      <c r="AS324" s="33">
        <f>ROUND(Y324-AI324,2)</f>
      </c>
      <c r="AT324" s="33">
        <f>ROUND(Z324-AJ324,2)</f>
      </c>
      <c r="AU324" s="33">
        <f>ROUND(AA324-AK324,2)</f>
      </c>
      <c r="AV324" s="33">
        <f>ROUND(AB324-AL324,2)</f>
      </c>
      <c r="AW324" s="33">
        <f>ROUND(AC324-AM324,2)</f>
      </c>
      <c r="AX324" s="33">
        <f>ROUND(AD324-AN324,2)</f>
      </c>
      <c r="AY324" s="33">
        <f>ROUND(AE324-AO324,2)</f>
      </c>
      <c r="AZ324" s="33">
        <f>ROUND(MAX(0,'Your debts'!$D$22-SUM($L324:$U324)),2)</f>
      </c>
      <c r="BA324" s="33">
        <f>ROUND(SUM($B324:$K324)-SUM($AP323:$AY323),2)</f>
      </c>
      <c r="BB324" s="33">
        <f>SUM($AP324:$AY324)</f>
      </c>
      <c r="BC324" s="33">
        <f>ROUND(SUM($L324:$U324)+SUM($AF324:$AO324),2)</f>
      </c>
    </row>
    <row r="325" spans="1:55" x14ac:dyDescent="0.25">
      <c r="A325">
        <v>318</v>
      </c>
      <c r="B325" s="33">
        <f>IF(AP324&lt;=0,0,ROUND(AP324+ROUND(AP324*V$3/12,2),2))</f>
      </c>
      <c r="C325" s="33">
        <f>IF(AQ324&lt;=0,0,ROUND(AQ324+ROUND(AQ324*W$3/12,2),2))</f>
      </c>
      <c r="D325" s="33">
        <f>IF(AR324&lt;=0,0,ROUND(AR324+ROUND(AR324*X$3/12,2),2))</f>
      </c>
      <c r="E325" s="33">
        <f>IF(AS324&lt;=0,0,ROUND(AS324+ROUND(AS324*Y$3/12,2),2))</f>
      </c>
      <c r="F325" s="33">
        <f>IF(AT324&lt;=0,0,ROUND(AT324+ROUND(AT324*Z$3/12,2),2))</f>
      </c>
      <c r="G325" s="33">
        <f>IF(AU324&lt;=0,0,ROUND(AU324+ROUND(AU324*AA$3/12,2),2))</f>
      </c>
      <c r="H325" s="33">
        <f>IF(AV324&lt;=0,0,ROUND(AV324+ROUND(AV324*AB$3/12,2),2))</f>
      </c>
      <c r="I325" s="33">
        <f>IF(AW324&lt;=0,0,ROUND(AW324+ROUND(AW324*AC$3/12,2),2))</f>
      </c>
      <c r="J325" s="33">
        <f>IF(AX324&lt;=0,0,ROUND(AX324+ROUND(AX324*AD$3/12,2),2))</f>
      </c>
      <c r="K325" s="33">
        <f>IF(AY324&lt;=0,0,ROUND(AY324+ROUND(AY324*AE$3/12,2),2))</f>
      </c>
      <c r="L325" s="33">
        <f>ROUND(MIN(MAX(0,N('Your debts'!$E$6)),B325),2)</f>
      </c>
      <c r="M325" s="33">
        <f>ROUND(MIN(MAX(0,N('Your debts'!$E$7)),C325),2)</f>
      </c>
      <c r="N325" s="33">
        <f>ROUND(MIN(MAX(0,N('Your debts'!$E$8)),D325),2)</f>
      </c>
      <c r="O325" s="33">
        <f>ROUND(MIN(MAX(0,N('Your debts'!$E$9)),E325),2)</f>
      </c>
      <c r="P325" s="33">
        <f>ROUND(MIN(MAX(0,N('Your debts'!$E$10)),F325),2)</f>
      </c>
      <c r="Q325" s="33">
        <f>ROUND(MIN(MAX(0,N('Your debts'!$E$11)),G325),2)</f>
      </c>
      <c r="R325" s="33">
        <f>ROUND(MIN(MAX(0,N('Your debts'!$E$12)),H325),2)</f>
      </c>
      <c r="S325" s="33">
        <f>ROUND(MIN(MAX(0,N('Your debts'!$E$13)),I325),2)</f>
      </c>
      <c r="T325" s="33">
        <f>ROUND(MIN(MAX(0,N('Your debts'!$E$14)),J325),2)</f>
      </c>
      <c r="U325" s="33">
        <f>ROUND(MIN(MAX(0,N('Your debts'!$E$15)),K325),2)</f>
      </c>
      <c r="V325" s="33">
        <f>ROUND(B325-L325,2)</f>
      </c>
      <c r="W325" s="33">
        <f>ROUND(C325-M325,2)</f>
      </c>
      <c r="X325" s="33">
        <f>ROUND(D325-N325,2)</f>
      </c>
      <c r="Y325" s="33">
        <f>ROUND(E325-O325,2)</f>
      </c>
      <c r="Z325" s="33">
        <f>ROUND(F325-P325,2)</f>
      </c>
      <c r="AA325" s="33">
        <f>ROUND(G325-Q325,2)</f>
      </c>
      <c r="AB325" s="33">
        <f>ROUND(H325-R325,2)</f>
      </c>
      <c r="AC325" s="33">
        <f>ROUND(I325-S325,2)</f>
      </c>
      <c r="AD325" s="33">
        <f>ROUND(J325-T325,2)</f>
      </c>
      <c r="AE325" s="33">
        <f>ROUND(K325-U325,2)</f>
      </c>
      <c r="AF325" s="33">
        <f>IF(V325&lt;=0,0,MAX(0,MIN(V325,ROUND($AZ325-SUMPRODUCT($V325:$AE325*($V325:$AE325&gt;0)*(($V$3:$AE$3&gt;V$3)+($V$3:$AE$3=V$3)*($V325:$AE325&lt;V325)+($V$3:$AE$3=V$3)*($V325:$AE325=V325)*($V$2:$AE$2&lt;V$2))),2))))</f>
      </c>
      <c r="AG325" s="33">
        <f>IF(W325&lt;=0,0,MAX(0,MIN(W325,ROUND($AZ325-SUMPRODUCT($V325:$AE325*($V325:$AE325&gt;0)*(($V$3:$AE$3&gt;W$3)+($V$3:$AE$3=W$3)*($V325:$AE325&lt;W325)+($V$3:$AE$3=W$3)*($V325:$AE325=W325)*($V$2:$AE$2&lt;W$2))),2))))</f>
      </c>
      <c r="AH325" s="33">
        <f>IF(X325&lt;=0,0,MAX(0,MIN(X325,ROUND($AZ325-SUMPRODUCT($V325:$AE325*($V325:$AE325&gt;0)*(($V$3:$AE$3&gt;X$3)+($V$3:$AE$3=X$3)*($V325:$AE325&lt;X325)+($V$3:$AE$3=X$3)*($V325:$AE325=X325)*($V$2:$AE$2&lt;X$2))),2))))</f>
      </c>
      <c r="AI325" s="33">
        <f>IF(Y325&lt;=0,0,MAX(0,MIN(Y325,ROUND($AZ325-SUMPRODUCT($V325:$AE325*($V325:$AE325&gt;0)*(($V$3:$AE$3&gt;Y$3)+($V$3:$AE$3=Y$3)*($V325:$AE325&lt;Y325)+($V$3:$AE$3=Y$3)*($V325:$AE325=Y325)*($V$2:$AE$2&lt;Y$2))),2))))</f>
      </c>
      <c r="AJ325" s="33">
        <f>IF(Z325&lt;=0,0,MAX(0,MIN(Z325,ROUND($AZ325-SUMPRODUCT($V325:$AE325*($V325:$AE325&gt;0)*(($V$3:$AE$3&gt;Z$3)+($V$3:$AE$3=Z$3)*($V325:$AE325&lt;Z325)+($V$3:$AE$3=Z$3)*($V325:$AE325=Z325)*($V$2:$AE$2&lt;Z$2))),2))))</f>
      </c>
      <c r="AK325" s="33">
        <f>IF(AA325&lt;=0,0,MAX(0,MIN(AA325,ROUND($AZ325-SUMPRODUCT($V325:$AE325*($V325:$AE325&gt;0)*(($V$3:$AE$3&gt;AA$3)+($V$3:$AE$3=AA$3)*($V325:$AE325&lt;AA325)+($V$3:$AE$3=AA$3)*($V325:$AE325=AA325)*($V$2:$AE$2&lt;AA$2))),2))))</f>
      </c>
      <c r="AL325" s="33">
        <f>IF(AB325&lt;=0,0,MAX(0,MIN(AB325,ROUND($AZ325-SUMPRODUCT($V325:$AE325*($V325:$AE325&gt;0)*(($V$3:$AE$3&gt;AB$3)+($V$3:$AE$3=AB$3)*($V325:$AE325&lt;AB325)+($V$3:$AE$3=AB$3)*($V325:$AE325=AB325)*($V$2:$AE$2&lt;AB$2))),2))))</f>
      </c>
      <c r="AM325" s="33">
        <f>IF(AC325&lt;=0,0,MAX(0,MIN(AC325,ROUND($AZ325-SUMPRODUCT($V325:$AE325*($V325:$AE325&gt;0)*(($V$3:$AE$3&gt;AC$3)+($V$3:$AE$3=AC$3)*($V325:$AE325&lt;AC325)+($V$3:$AE$3=AC$3)*($V325:$AE325=AC325)*($V$2:$AE$2&lt;AC$2))),2))))</f>
      </c>
      <c r="AN325" s="33">
        <f>IF(AD325&lt;=0,0,MAX(0,MIN(AD325,ROUND($AZ325-SUMPRODUCT($V325:$AE325*($V325:$AE325&gt;0)*(($V$3:$AE$3&gt;AD$3)+($V$3:$AE$3=AD$3)*($V325:$AE325&lt;AD325)+($V$3:$AE$3=AD$3)*($V325:$AE325=AD325)*($V$2:$AE$2&lt;AD$2))),2))))</f>
      </c>
      <c r="AO325" s="33">
        <f>IF(AE325&lt;=0,0,MAX(0,MIN(AE325,ROUND($AZ325-SUMPRODUCT($V325:$AE325*($V325:$AE325&gt;0)*(($V$3:$AE$3&gt;AE$3)+($V$3:$AE$3=AE$3)*($V325:$AE325&lt;AE325)+($V$3:$AE$3=AE$3)*($V325:$AE325=AE325)*($V$2:$AE$2&lt;AE$2))),2))))</f>
      </c>
      <c r="AP325" s="33">
        <f>ROUND(V325-AF325,2)</f>
      </c>
      <c r="AQ325" s="33">
        <f>ROUND(W325-AG325,2)</f>
      </c>
      <c r="AR325" s="33">
        <f>ROUND(X325-AH325,2)</f>
      </c>
      <c r="AS325" s="33">
        <f>ROUND(Y325-AI325,2)</f>
      </c>
      <c r="AT325" s="33">
        <f>ROUND(Z325-AJ325,2)</f>
      </c>
      <c r="AU325" s="33">
        <f>ROUND(AA325-AK325,2)</f>
      </c>
      <c r="AV325" s="33">
        <f>ROUND(AB325-AL325,2)</f>
      </c>
      <c r="AW325" s="33">
        <f>ROUND(AC325-AM325,2)</f>
      </c>
      <c r="AX325" s="33">
        <f>ROUND(AD325-AN325,2)</f>
      </c>
      <c r="AY325" s="33">
        <f>ROUND(AE325-AO325,2)</f>
      </c>
      <c r="AZ325" s="33">
        <f>ROUND(MAX(0,'Your debts'!$D$22-SUM($L325:$U325)),2)</f>
      </c>
      <c r="BA325" s="33">
        <f>ROUND(SUM($B325:$K325)-SUM($AP324:$AY324),2)</f>
      </c>
      <c r="BB325" s="33">
        <f>SUM($AP325:$AY325)</f>
      </c>
      <c r="BC325" s="33">
        <f>ROUND(SUM($L325:$U325)+SUM($AF325:$AO325),2)</f>
      </c>
    </row>
    <row r="326" spans="1:55" x14ac:dyDescent="0.25">
      <c r="A326">
        <v>319</v>
      </c>
      <c r="B326" s="33">
        <f>IF(AP325&lt;=0,0,ROUND(AP325+ROUND(AP325*V$3/12,2),2))</f>
      </c>
      <c r="C326" s="33">
        <f>IF(AQ325&lt;=0,0,ROUND(AQ325+ROUND(AQ325*W$3/12,2),2))</f>
      </c>
      <c r="D326" s="33">
        <f>IF(AR325&lt;=0,0,ROUND(AR325+ROUND(AR325*X$3/12,2),2))</f>
      </c>
      <c r="E326" s="33">
        <f>IF(AS325&lt;=0,0,ROUND(AS325+ROUND(AS325*Y$3/12,2),2))</f>
      </c>
      <c r="F326" s="33">
        <f>IF(AT325&lt;=0,0,ROUND(AT325+ROUND(AT325*Z$3/12,2),2))</f>
      </c>
      <c r="G326" s="33">
        <f>IF(AU325&lt;=0,0,ROUND(AU325+ROUND(AU325*AA$3/12,2),2))</f>
      </c>
      <c r="H326" s="33">
        <f>IF(AV325&lt;=0,0,ROUND(AV325+ROUND(AV325*AB$3/12,2),2))</f>
      </c>
      <c r="I326" s="33">
        <f>IF(AW325&lt;=0,0,ROUND(AW325+ROUND(AW325*AC$3/12,2),2))</f>
      </c>
      <c r="J326" s="33">
        <f>IF(AX325&lt;=0,0,ROUND(AX325+ROUND(AX325*AD$3/12,2),2))</f>
      </c>
      <c r="K326" s="33">
        <f>IF(AY325&lt;=0,0,ROUND(AY325+ROUND(AY325*AE$3/12,2),2))</f>
      </c>
      <c r="L326" s="33">
        <f>ROUND(MIN(MAX(0,N('Your debts'!$E$6)),B326),2)</f>
      </c>
      <c r="M326" s="33">
        <f>ROUND(MIN(MAX(0,N('Your debts'!$E$7)),C326),2)</f>
      </c>
      <c r="N326" s="33">
        <f>ROUND(MIN(MAX(0,N('Your debts'!$E$8)),D326),2)</f>
      </c>
      <c r="O326" s="33">
        <f>ROUND(MIN(MAX(0,N('Your debts'!$E$9)),E326),2)</f>
      </c>
      <c r="P326" s="33">
        <f>ROUND(MIN(MAX(0,N('Your debts'!$E$10)),F326),2)</f>
      </c>
      <c r="Q326" s="33">
        <f>ROUND(MIN(MAX(0,N('Your debts'!$E$11)),G326),2)</f>
      </c>
      <c r="R326" s="33">
        <f>ROUND(MIN(MAX(0,N('Your debts'!$E$12)),H326),2)</f>
      </c>
      <c r="S326" s="33">
        <f>ROUND(MIN(MAX(0,N('Your debts'!$E$13)),I326),2)</f>
      </c>
      <c r="T326" s="33">
        <f>ROUND(MIN(MAX(0,N('Your debts'!$E$14)),J326),2)</f>
      </c>
      <c r="U326" s="33">
        <f>ROUND(MIN(MAX(0,N('Your debts'!$E$15)),K326),2)</f>
      </c>
      <c r="V326" s="33">
        <f>ROUND(B326-L326,2)</f>
      </c>
      <c r="W326" s="33">
        <f>ROUND(C326-M326,2)</f>
      </c>
      <c r="X326" s="33">
        <f>ROUND(D326-N326,2)</f>
      </c>
      <c r="Y326" s="33">
        <f>ROUND(E326-O326,2)</f>
      </c>
      <c r="Z326" s="33">
        <f>ROUND(F326-P326,2)</f>
      </c>
      <c r="AA326" s="33">
        <f>ROUND(G326-Q326,2)</f>
      </c>
      <c r="AB326" s="33">
        <f>ROUND(H326-R326,2)</f>
      </c>
      <c r="AC326" s="33">
        <f>ROUND(I326-S326,2)</f>
      </c>
      <c r="AD326" s="33">
        <f>ROUND(J326-T326,2)</f>
      </c>
      <c r="AE326" s="33">
        <f>ROUND(K326-U326,2)</f>
      </c>
      <c r="AF326" s="33">
        <f>IF(V326&lt;=0,0,MAX(0,MIN(V326,ROUND($AZ326-SUMPRODUCT($V326:$AE326*($V326:$AE326&gt;0)*(($V$3:$AE$3&gt;V$3)+($V$3:$AE$3=V$3)*($V326:$AE326&lt;V326)+($V$3:$AE$3=V$3)*($V326:$AE326=V326)*($V$2:$AE$2&lt;V$2))),2))))</f>
      </c>
      <c r="AG326" s="33">
        <f>IF(W326&lt;=0,0,MAX(0,MIN(W326,ROUND($AZ326-SUMPRODUCT($V326:$AE326*($V326:$AE326&gt;0)*(($V$3:$AE$3&gt;W$3)+($V$3:$AE$3=W$3)*($V326:$AE326&lt;W326)+($V$3:$AE$3=W$3)*($V326:$AE326=W326)*($V$2:$AE$2&lt;W$2))),2))))</f>
      </c>
      <c r="AH326" s="33">
        <f>IF(X326&lt;=0,0,MAX(0,MIN(X326,ROUND($AZ326-SUMPRODUCT($V326:$AE326*($V326:$AE326&gt;0)*(($V$3:$AE$3&gt;X$3)+($V$3:$AE$3=X$3)*($V326:$AE326&lt;X326)+($V$3:$AE$3=X$3)*($V326:$AE326=X326)*($V$2:$AE$2&lt;X$2))),2))))</f>
      </c>
      <c r="AI326" s="33">
        <f>IF(Y326&lt;=0,0,MAX(0,MIN(Y326,ROUND($AZ326-SUMPRODUCT($V326:$AE326*($V326:$AE326&gt;0)*(($V$3:$AE$3&gt;Y$3)+($V$3:$AE$3=Y$3)*($V326:$AE326&lt;Y326)+($V$3:$AE$3=Y$3)*($V326:$AE326=Y326)*($V$2:$AE$2&lt;Y$2))),2))))</f>
      </c>
      <c r="AJ326" s="33">
        <f>IF(Z326&lt;=0,0,MAX(0,MIN(Z326,ROUND($AZ326-SUMPRODUCT($V326:$AE326*($V326:$AE326&gt;0)*(($V$3:$AE$3&gt;Z$3)+($V$3:$AE$3=Z$3)*($V326:$AE326&lt;Z326)+($V$3:$AE$3=Z$3)*($V326:$AE326=Z326)*($V$2:$AE$2&lt;Z$2))),2))))</f>
      </c>
      <c r="AK326" s="33">
        <f>IF(AA326&lt;=0,0,MAX(0,MIN(AA326,ROUND($AZ326-SUMPRODUCT($V326:$AE326*($V326:$AE326&gt;0)*(($V$3:$AE$3&gt;AA$3)+($V$3:$AE$3=AA$3)*($V326:$AE326&lt;AA326)+($V$3:$AE$3=AA$3)*($V326:$AE326=AA326)*($V$2:$AE$2&lt;AA$2))),2))))</f>
      </c>
      <c r="AL326" s="33">
        <f>IF(AB326&lt;=0,0,MAX(0,MIN(AB326,ROUND($AZ326-SUMPRODUCT($V326:$AE326*($V326:$AE326&gt;0)*(($V$3:$AE$3&gt;AB$3)+($V$3:$AE$3=AB$3)*($V326:$AE326&lt;AB326)+($V$3:$AE$3=AB$3)*($V326:$AE326=AB326)*($V$2:$AE$2&lt;AB$2))),2))))</f>
      </c>
      <c r="AM326" s="33">
        <f>IF(AC326&lt;=0,0,MAX(0,MIN(AC326,ROUND($AZ326-SUMPRODUCT($V326:$AE326*($V326:$AE326&gt;0)*(($V$3:$AE$3&gt;AC$3)+($V$3:$AE$3=AC$3)*($V326:$AE326&lt;AC326)+($V$3:$AE$3=AC$3)*($V326:$AE326=AC326)*($V$2:$AE$2&lt;AC$2))),2))))</f>
      </c>
      <c r="AN326" s="33">
        <f>IF(AD326&lt;=0,0,MAX(0,MIN(AD326,ROUND($AZ326-SUMPRODUCT($V326:$AE326*($V326:$AE326&gt;0)*(($V$3:$AE$3&gt;AD$3)+($V$3:$AE$3=AD$3)*($V326:$AE326&lt;AD326)+($V$3:$AE$3=AD$3)*($V326:$AE326=AD326)*($V$2:$AE$2&lt;AD$2))),2))))</f>
      </c>
      <c r="AO326" s="33">
        <f>IF(AE326&lt;=0,0,MAX(0,MIN(AE326,ROUND($AZ326-SUMPRODUCT($V326:$AE326*($V326:$AE326&gt;0)*(($V$3:$AE$3&gt;AE$3)+($V$3:$AE$3=AE$3)*($V326:$AE326&lt;AE326)+($V$3:$AE$3=AE$3)*($V326:$AE326=AE326)*($V$2:$AE$2&lt;AE$2))),2))))</f>
      </c>
      <c r="AP326" s="33">
        <f>ROUND(V326-AF326,2)</f>
      </c>
      <c r="AQ326" s="33">
        <f>ROUND(W326-AG326,2)</f>
      </c>
      <c r="AR326" s="33">
        <f>ROUND(X326-AH326,2)</f>
      </c>
      <c r="AS326" s="33">
        <f>ROUND(Y326-AI326,2)</f>
      </c>
      <c r="AT326" s="33">
        <f>ROUND(Z326-AJ326,2)</f>
      </c>
      <c r="AU326" s="33">
        <f>ROUND(AA326-AK326,2)</f>
      </c>
      <c r="AV326" s="33">
        <f>ROUND(AB326-AL326,2)</f>
      </c>
      <c r="AW326" s="33">
        <f>ROUND(AC326-AM326,2)</f>
      </c>
      <c r="AX326" s="33">
        <f>ROUND(AD326-AN326,2)</f>
      </c>
      <c r="AY326" s="33">
        <f>ROUND(AE326-AO326,2)</f>
      </c>
      <c r="AZ326" s="33">
        <f>ROUND(MAX(0,'Your debts'!$D$22-SUM($L326:$U326)),2)</f>
      </c>
      <c r="BA326" s="33">
        <f>ROUND(SUM($B326:$K326)-SUM($AP325:$AY325),2)</f>
      </c>
      <c r="BB326" s="33">
        <f>SUM($AP326:$AY326)</f>
      </c>
      <c r="BC326" s="33">
        <f>ROUND(SUM($L326:$U326)+SUM($AF326:$AO326),2)</f>
      </c>
    </row>
    <row r="327" spans="1:55" x14ac:dyDescent="0.25">
      <c r="A327">
        <v>320</v>
      </c>
      <c r="B327" s="33">
        <f>IF(AP326&lt;=0,0,ROUND(AP326+ROUND(AP326*V$3/12,2),2))</f>
      </c>
      <c r="C327" s="33">
        <f>IF(AQ326&lt;=0,0,ROUND(AQ326+ROUND(AQ326*W$3/12,2),2))</f>
      </c>
      <c r="D327" s="33">
        <f>IF(AR326&lt;=0,0,ROUND(AR326+ROUND(AR326*X$3/12,2),2))</f>
      </c>
      <c r="E327" s="33">
        <f>IF(AS326&lt;=0,0,ROUND(AS326+ROUND(AS326*Y$3/12,2),2))</f>
      </c>
      <c r="F327" s="33">
        <f>IF(AT326&lt;=0,0,ROUND(AT326+ROUND(AT326*Z$3/12,2),2))</f>
      </c>
      <c r="G327" s="33">
        <f>IF(AU326&lt;=0,0,ROUND(AU326+ROUND(AU326*AA$3/12,2),2))</f>
      </c>
      <c r="H327" s="33">
        <f>IF(AV326&lt;=0,0,ROUND(AV326+ROUND(AV326*AB$3/12,2),2))</f>
      </c>
      <c r="I327" s="33">
        <f>IF(AW326&lt;=0,0,ROUND(AW326+ROUND(AW326*AC$3/12,2),2))</f>
      </c>
      <c r="J327" s="33">
        <f>IF(AX326&lt;=0,0,ROUND(AX326+ROUND(AX326*AD$3/12,2),2))</f>
      </c>
      <c r="K327" s="33">
        <f>IF(AY326&lt;=0,0,ROUND(AY326+ROUND(AY326*AE$3/12,2),2))</f>
      </c>
      <c r="L327" s="33">
        <f>ROUND(MIN(MAX(0,N('Your debts'!$E$6)),B327),2)</f>
      </c>
      <c r="M327" s="33">
        <f>ROUND(MIN(MAX(0,N('Your debts'!$E$7)),C327),2)</f>
      </c>
      <c r="N327" s="33">
        <f>ROUND(MIN(MAX(0,N('Your debts'!$E$8)),D327),2)</f>
      </c>
      <c r="O327" s="33">
        <f>ROUND(MIN(MAX(0,N('Your debts'!$E$9)),E327),2)</f>
      </c>
      <c r="P327" s="33">
        <f>ROUND(MIN(MAX(0,N('Your debts'!$E$10)),F327),2)</f>
      </c>
      <c r="Q327" s="33">
        <f>ROUND(MIN(MAX(0,N('Your debts'!$E$11)),G327),2)</f>
      </c>
      <c r="R327" s="33">
        <f>ROUND(MIN(MAX(0,N('Your debts'!$E$12)),H327),2)</f>
      </c>
      <c r="S327" s="33">
        <f>ROUND(MIN(MAX(0,N('Your debts'!$E$13)),I327),2)</f>
      </c>
      <c r="T327" s="33">
        <f>ROUND(MIN(MAX(0,N('Your debts'!$E$14)),J327),2)</f>
      </c>
      <c r="U327" s="33">
        <f>ROUND(MIN(MAX(0,N('Your debts'!$E$15)),K327),2)</f>
      </c>
      <c r="V327" s="33">
        <f>ROUND(B327-L327,2)</f>
      </c>
      <c r="W327" s="33">
        <f>ROUND(C327-M327,2)</f>
      </c>
      <c r="X327" s="33">
        <f>ROUND(D327-N327,2)</f>
      </c>
      <c r="Y327" s="33">
        <f>ROUND(E327-O327,2)</f>
      </c>
      <c r="Z327" s="33">
        <f>ROUND(F327-P327,2)</f>
      </c>
      <c r="AA327" s="33">
        <f>ROUND(G327-Q327,2)</f>
      </c>
      <c r="AB327" s="33">
        <f>ROUND(H327-R327,2)</f>
      </c>
      <c r="AC327" s="33">
        <f>ROUND(I327-S327,2)</f>
      </c>
      <c r="AD327" s="33">
        <f>ROUND(J327-T327,2)</f>
      </c>
      <c r="AE327" s="33">
        <f>ROUND(K327-U327,2)</f>
      </c>
      <c r="AF327" s="33">
        <f>IF(V327&lt;=0,0,MAX(0,MIN(V327,ROUND($AZ327-SUMPRODUCT($V327:$AE327*($V327:$AE327&gt;0)*(($V$3:$AE$3&gt;V$3)+($V$3:$AE$3=V$3)*($V327:$AE327&lt;V327)+($V$3:$AE$3=V$3)*($V327:$AE327=V327)*($V$2:$AE$2&lt;V$2))),2))))</f>
      </c>
      <c r="AG327" s="33">
        <f>IF(W327&lt;=0,0,MAX(0,MIN(W327,ROUND($AZ327-SUMPRODUCT($V327:$AE327*($V327:$AE327&gt;0)*(($V$3:$AE$3&gt;W$3)+($V$3:$AE$3=W$3)*($V327:$AE327&lt;W327)+($V$3:$AE$3=W$3)*($V327:$AE327=W327)*($V$2:$AE$2&lt;W$2))),2))))</f>
      </c>
      <c r="AH327" s="33">
        <f>IF(X327&lt;=0,0,MAX(0,MIN(X327,ROUND($AZ327-SUMPRODUCT($V327:$AE327*($V327:$AE327&gt;0)*(($V$3:$AE$3&gt;X$3)+($V$3:$AE$3=X$3)*($V327:$AE327&lt;X327)+($V$3:$AE$3=X$3)*($V327:$AE327=X327)*($V$2:$AE$2&lt;X$2))),2))))</f>
      </c>
      <c r="AI327" s="33">
        <f>IF(Y327&lt;=0,0,MAX(0,MIN(Y327,ROUND($AZ327-SUMPRODUCT($V327:$AE327*($V327:$AE327&gt;0)*(($V$3:$AE$3&gt;Y$3)+($V$3:$AE$3=Y$3)*($V327:$AE327&lt;Y327)+($V$3:$AE$3=Y$3)*($V327:$AE327=Y327)*($V$2:$AE$2&lt;Y$2))),2))))</f>
      </c>
      <c r="AJ327" s="33">
        <f>IF(Z327&lt;=0,0,MAX(0,MIN(Z327,ROUND($AZ327-SUMPRODUCT($V327:$AE327*($V327:$AE327&gt;0)*(($V$3:$AE$3&gt;Z$3)+($V$3:$AE$3=Z$3)*($V327:$AE327&lt;Z327)+($V$3:$AE$3=Z$3)*($V327:$AE327=Z327)*($V$2:$AE$2&lt;Z$2))),2))))</f>
      </c>
      <c r="AK327" s="33">
        <f>IF(AA327&lt;=0,0,MAX(0,MIN(AA327,ROUND($AZ327-SUMPRODUCT($V327:$AE327*($V327:$AE327&gt;0)*(($V$3:$AE$3&gt;AA$3)+($V$3:$AE$3=AA$3)*($V327:$AE327&lt;AA327)+($V$3:$AE$3=AA$3)*($V327:$AE327=AA327)*($V$2:$AE$2&lt;AA$2))),2))))</f>
      </c>
      <c r="AL327" s="33">
        <f>IF(AB327&lt;=0,0,MAX(0,MIN(AB327,ROUND($AZ327-SUMPRODUCT($V327:$AE327*($V327:$AE327&gt;0)*(($V$3:$AE$3&gt;AB$3)+($V$3:$AE$3=AB$3)*($V327:$AE327&lt;AB327)+($V$3:$AE$3=AB$3)*($V327:$AE327=AB327)*($V$2:$AE$2&lt;AB$2))),2))))</f>
      </c>
      <c r="AM327" s="33">
        <f>IF(AC327&lt;=0,0,MAX(0,MIN(AC327,ROUND($AZ327-SUMPRODUCT($V327:$AE327*($V327:$AE327&gt;0)*(($V$3:$AE$3&gt;AC$3)+($V$3:$AE$3=AC$3)*($V327:$AE327&lt;AC327)+($V$3:$AE$3=AC$3)*($V327:$AE327=AC327)*($V$2:$AE$2&lt;AC$2))),2))))</f>
      </c>
      <c r="AN327" s="33">
        <f>IF(AD327&lt;=0,0,MAX(0,MIN(AD327,ROUND($AZ327-SUMPRODUCT($V327:$AE327*($V327:$AE327&gt;0)*(($V$3:$AE$3&gt;AD$3)+($V$3:$AE$3=AD$3)*($V327:$AE327&lt;AD327)+($V$3:$AE$3=AD$3)*($V327:$AE327=AD327)*($V$2:$AE$2&lt;AD$2))),2))))</f>
      </c>
      <c r="AO327" s="33">
        <f>IF(AE327&lt;=0,0,MAX(0,MIN(AE327,ROUND($AZ327-SUMPRODUCT($V327:$AE327*($V327:$AE327&gt;0)*(($V$3:$AE$3&gt;AE$3)+($V$3:$AE$3=AE$3)*($V327:$AE327&lt;AE327)+($V$3:$AE$3=AE$3)*($V327:$AE327=AE327)*($V$2:$AE$2&lt;AE$2))),2))))</f>
      </c>
      <c r="AP327" s="33">
        <f>ROUND(V327-AF327,2)</f>
      </c>
      <c r="AQ327" s="33">
        <f>ROUND(W327-AG327,2)</f>
      </c>
      <c r="AR327" s="33">
        <f>ROUND(X327-AH327,2)</f>
      </c>
      <c r="AS327" s="33">
        <f>ROUND(Y327-AI327,2)</f>
      </c>
      <c r="AT327" s="33">
        <f>ROUND(Z327-AJ327,2)</f>
      </c>
      <c r="AU327" s="33">
        <f>ROUND(AA327-AK327,2)</f>
      </c>
      <c r="AV327" s="33">
        <f>ROUND(AB327-AL327,2)</f>
      </c>
      <c r="AW327" s="33">
        <f>ROUND(AC327-AM327,2)</f>
      </c>
      <c r="AX327" s="33">
        <f>ROUND(AD327-AN327,2)</f>
      </c>
      <c r="AY327" s="33">
        <f>ROUND(AE327-AO327,2)</f>
      </c>
      <c r="AZ327" s="33">
        <f>ROUND(MAX(0,'Your debts'!$D$22-SUM($L327:$U327)),2)</f>
      </c>
      <c r="BA327" s="33">
        <f>ROUND(SUM($B327:$K327)-SUM($AP326:$AY326),2)</f>
      </c>
      <c r="BB327" s="33">
        <f>SUM($AP327:$AY327)</f>
      </c>
      <c r="BC327" s="33">
        <f>ROUND(SUM($L327:$U327)+SUM($AF327:$AO327),2)</f>
      </c>
    </row>
    <row r="328" spans="1:55" x14ac:dyDescent="0.25">
      <c r="A328">
        <v>321</v>
      </c>
      <c r="B328" s="33">
        <f>IF(AP327&lt;=0,0,ROUND(AP327+ROUND(AP327*V$3/12,2),2))</f>
      </c>
      <c r="C328" s="33">
        <f>IF(AQ327&lt;=0,0,ROUND(AQ327+ROUND(AQ327*W$3/12,2),2))</f>
      </c>
      <c r="D328" s="33">
        <f>IF(AR327&lt;=0,0,ROUND(AR327+ROUND(AR327*X$3/12,2),2))</f>
      </c>
      <c r="E328" s="33">
        <f>IF(AS327&lt;=0,0,ROUND(AS327+ROUND(AS327*Y$3/12,2),2))</f>
      </c>
      <c r="F328" s="33">
        <f>IF(AT327&lt;=0,0,ROUND(AT327+ROUND(AT327*Z$3/12,2),2))</f>
      </c>
      <c r="G328" s="33">
        <f>IF(AU327&lt;=0,0,ROUND(AU327+ROUND(AU327*AA$3/12,2),2))</f>
      </c>
      <c r="H328" s="33">
        <f>IF(AV327&lt;=0,0,ROUND(AV327+ROUND(AV327*AB$3/12,2),2))</f>
      </c>
      <c r="I328" s="33">
        <f>IF(AW327&lt;=0,0,ROUND(AW327+ROUND(AW327*AC$3/12,2),2))</f>
      </c>
      <c r="J328" s="33">
        <f>IF(AX327&lt;=0,0,ROUND(AX327+ROUND(AX327*AD$3/12,2),2))</f>
      </c>
      <c r="K328" s="33">
        <f>IF(AY327&lt;=0,0,ROUND(AY327+ROUND(AY327*AE$3/12,2),2))</f>
      </c>
      <c r="L328" s="33">
        <f>ROUND(MIN(MAX(0,N('Your debts'!$E$6)),B328),2)</f>
      </c>
      <c r="M328" s="33">
        <f>ROUND(MIN(MAX(0,N('Your debts'!$E$7)),C328),2)</f>
      </c>
      <c r="N328" s="33">
        <f>ROUND(MIN(MAX(0,N('Your debts'!$E$8)),D328),2)</f>
      </c>
      <c r="O328" s="33">
        <f>ROUND(MIN(MAX(0,N('Your debts'!$E$9)),E328),2)</f>
      </c>
      <c r="P328" s="33">
        <f>ROUND(MIN(MAX(0,N('Your debts'!$E$10)),F328),2)</f>
      </c>
      <c r="Q328" s="33">
        <f>ROUND(MIN(MAX(0,N('Your debts'!$E$11)),G328),2)</f>
      </c>
      <c r="R328" s="33">
        <f>ROUND(MIN(MAX(0,N('Your debts'!$E$12)),H328),2)</f>
      </c>
      <c r="S328" s="33">
        <f>ROUND(MIN(MAX(0,N('Your debts'!$E$13)),I328),2)</f>
      </c>
      <c r="T328" s="33">
        <f>ROUND(MIN(MAX(0,N('Your debts'!$E$14)),J328),2)</f>
      </c>
      <c r="U328" s="33">
        <f>ROUND(MIN(MAX(0,N('Your debts'!$E$15)),K328),2)</f>
      </c>
      <c r="V328" s="33">
        <f>ROUND(B328-L328,2)</f>
      </c>
      <c r="W328" s="33">
        <f>ROUND(C328-M328,2)</f>
      </c>
      <c r="X328" s="33">
        <f>ROUND(D328-N328,2)</f>
      </c>
      <c r="Y328" s="33">
        <f>ROUND(E328-O328,2)</f>
      </c>
      <c r="Z328" s="33">
        <f>ROUND(F328-P328,2)</f>
      </c>
      <c r="AA328" s="33">
        <f>ROUND(G328-Q328,2)</f>
      </c>
      <c r="AB328" s="33">
        <f>ROUND(H328-R328,2)</f>
      </c>
      <c r="AC328" s="33">
        <f>ROUND(I328-S328,2)</f>
      </c>
      <c r="AD328" s="33">
        <f>ROUND(J328-T328,2)</f>
      </c>
      <c r="AE328" s="33">
        <f>ROUND(K328-U328,2)</f>
      </c>
      <c r="AF328" s="33">
        <f>IF(V328&lt;=0,0,MAX(0,MIN(V328,ROUND($AZ328-SUMPRODUCT($V328:$AE328*($V328:$AE328&gt;0)*(($V$3:$AE$3&gt;V$3)+($V$3:$AE$3=V$3)*($V328:$AE328&lt;V328)+($V$3:$AE$3=V$3)*($V328:$AE328=V328)*($V$2:$AE$2&lt;V$2))),2))))</f>
      </c>
      <c r="AG328" s="33">
        <f>IF(W328&lt;=0,0,MAX(0,MIN(W328,ROUND($AZ328-SUMPRODUCT($V328:$AE328*($V328:$AE328&gt;0)*(($V$3:$AE$3&gt;W$3)+($V$3:$AE$3=W$3)*($V328:$AE328&lt;W328)+($V$3:$AE$3=W$3)*($V328:$AE328=W328)*($V$2:$AE$2&lt;W$2))),2))))</f>
      </c>
      <c r="AH328" s="33">
        <f>IF(X328&lt;=0,0,MAX(0,MIN(X328,ROUND($AZ328-SUMPRODUCT($V328:$AE328*($V328:$AE328&gt;0)*(($V$3:$AE$3&gt;X$3)+($V$3:$AE$3=X$3)*($V328:$AE328&lt;X328)+($V$3:$AE$3=X$3)*($V328:$AE328=X328)*($V$2:$AE$2&lt;X$2))),2))))</f>
      </c>
      <c r="AI328" s="33">
        <f>IF(Y328&lt;=0,0,MAX(0,MIN(Y328,ROUND($AZ328-SUMPRODUCT($V328:$AE328*($V328:$AE328&gt;0)*(($V$3:$AE$3&gt;Y$3)+($V$3:$AE$3=Y$3)*($V328:$AE328&lt;Y328)+($V$3:$AE$3=Y$3)*($V328:$AE328=Y328)*($V$2:$AE$2&lt;Y$2))),2))))</f>
      </c>
      <c r="AJ328" s="33">
        <f>IF(Z328&lt;=0,0,MAX(0,MIN(Z328,ROUND($AZ328-SUMPRODUCT($V328:$AE328*($V328:$AE328&gt;0)*(($V$3:$AE$3&gt;Z$3)+($V$3:$AE$3=Z$3)*($V328:$AE328&lt;Z328)+($V$3:$AE$3=Z$3)*($V328:$AE328=Z328)*($V$2:$AE$2&lt;Z$2))),2))))</f>
      </c>
      <c r="AK328" s="33">
        <f>IF(AA328&lt;=0,0,MAX(0,MIN(AA328,ROUND($AZ328-SUMPRODUCT($V328:$AE328*($V328:$AE328&gt;0)*(($V$3:$AE$3&gt;AA$3)+($V$3:$AE$3=AA$3)*($V328:$AE328&lt;AA328)+($V$3:$AE$3=AA$3)*($V328:$AE328=AA328)*($V$2:$AE$2&lt;AA$2))),2))))</f>
      </c>
      <c r="AL328" s="33">
        <f>IF(AB328&lt;=0,0,MAX(0,MIN(AB328,ROUND($AZ328-SUMPRODUCT($V328:$AE328*($V328:$AE328&gt;0)*(($V$3:$AE$3&gt;AB$3)+($V$3:$AE$3=AB$3)*($V328:$AE328&lt;AB328)+($V$3:$AE$3=AB$3)*($V328:$AE328=AB328)*($V$2:$AE$2&lt;AB$2))),2))))</f>
      </c>
      <c r="AM328" s="33">
        <f>IF(AC328&lt;=0,0,MAX(0,MIN(AC328,ROUND($AZ328-SUMPRODUCT($V328:$AE328*($V328:$AE328&gt;0)*(($V$3:$AE$3&gt;AC$3)+($V$3:$AE$3=AC$3)*($V328:$AE328&lt;AC328)+($V$3:$AE$3=AC$3)*($V328:$AE328=AC328)*($V$2:$AE$2&lt;AC$2))),2))))</f>
      </c>
      <c r="AN328" s="33">
        <f>IF(AD328&lt;=0,0,MAX(0,MIN(AD328,ROUND($AZ328-SUMPRODUCT($V328:$AE328*($V328:$AE328&gt;0)*(($V$3:$AE$3&gt;AD$3)+($V$3:$AE$3=AD$3)*($V328:$AE328&lt;AD328)+($V$3:$AE$3=AD$3)*($V328:$AE328=AD328)*($V$2:$AE$2&lt;AD$2))),2))))</f>
      </c>
      <c r="AO328" s="33">
        <f>IF(AE328&lt;=0,0,MAX(0,MIN(AE328,ROUND($AZ328-SUMPRODUCT($V328:$AE328*($V328:$AE328&gt;0)*(($V$3:$AE$3&gt;AE$3)+($V$3:$AE$3=AE$3)*($V328:$AE328&lt;AE328)+($V$3:$AE$3=AE$3)*($V328:$AE328=AE328)*($V$2:$AE$2&lt;AE$2))),2))))</f>
      </c>
      <c r="AP328" s="33">
        <f>ROUND(V328-AF328,2)</f>
      </c>
      <c r="AQ328" s="33">
        <f>ROUND(W328-AG328,2)</f>
      </c>
      <c r="AR328" s="33">
        <f>ROUND(X328-AH328,2)</f>
      </c>
      <c r="AS328" s="33">
        <f>ROUND(Y328-AI328,2)</f>
      </c>
      <c r="AT328" s="33">
        <f>ROUND(Z328-AJ328,2)</f>
      </c>
      <c r="AU328" s="33">
        <f>ROUND(AA328-AK328,2)</f>
      </c>
      <c r="AV328" s="33">
        <f>ROUND(AB328-AL328,2)</f>
      </c>
      <c r="AW328" s="33">
        <f>ROUND(AC328-AM328,2)</f>
      </c>
      <c r="AX328" s="33">
        <f>ROUND(AD328-AN328,2)</f>
      </c>
      <c r="AY328" s="33">
        <f>ROUND(AE328-AO328,2)</f>
      </c>
      <c r="AZ328" s="33">
        <f>ROUND(MAX(0,'Your debts'!$D$22-SUM($L328:$U328)),2)</f>
      </c>
      <c r="BA328" s="33">
        <f>ROUND(SUM($B328:$K328)-SUM($AP327:$AY327),2)</f>
      </c>
      <c r="BB328" s="33">
        <f>SUM($AP328:$AY328)</f>
      </c>
      <c r="BC328" s="33">
        <f>ROUND(SUM($L328:$U328)+SUM($AF328:$AO328),2)</f>
      </c>
    </row>
    <row r="329" spans="1:55" x14ac:dyDescent="0.25">
      <c r="A329">
        <v>322</v>
      </c>
      <c r="B329" s="33">
        <f>IF(AP328&lt;=0,0,ROUND(AP328+ROUND(AP328*V$3/12,2),2))</f>
      </c>
      <c r="C329" s="33">
        <f>IF(AQ328&lt;=0,0,ROUND(AQ328+ROUND(AQ328*W$3/12,2),2))</f>
      </c>
      <c r="D329" s="33">
        <f>IF(AR328&lt;=0,0,ROUND(AR328+ROUND(AR328*X$3/12,2),2))</f>
      </c>
      <c r="E329" s="33">
        <f>IF(AS328&lt;=0,0,ROUND(AS328+ROUND(AS328*Y$3/12,2),2))</f>
      </c>
      <c r="F329" s="33">
        <f>IF(AT328&lt;=0,0,ROUND(AT328+ROUND(AT328*Z$3/12,2),2))</f>
      </c>
      <c r="G329" s="33">
        <f>IF(AU328&lt;=0,0,ROUND(AU328+ROUND(AU328*AA$3/12,2),2))</f>
      </c>
      <c r="H329" s="33">
        <f>IF(AV328&lt;=0,0,ROUND(AV328+ROUND(AV328*AB$3/12,2),2))</f>
      </c>
      <c r="I329" s="33">
        <f>IF(AW328&lt;=0,0,ROUND(AW328+ROUND(AW328*AC$3/12,2),2))</f>
      </c>
      <c r="J329" s="33">
        <f>IF(AX328&lt;=0,0,ROUND(AX328+ROUND(AX328*AD$3/12,2),2))</f>
      </c>
      <c r="K329" s="33">
        <f>IF(AY328&lt;=0,0,ROUND(AY328+ROUND(AY328*AE$3/12,2),2))</f>
      </c>
      <c r="L329" s="33">
        <f>ROUND(MIN(MAX(0,N('Your debts'!$E$6)),B329),2)</f>
      </c>
      <c r="M329" s="33">
        <f>ROUND(MIN(MAX(0,N('Your debts'!$E$7)),C329),2)</f>
      </c>
      <c r="N329" s="33">
        <f>ROUND(MIN(MAX(0,N('Your debts'!$E$8)),D329),2)</f>
      </c>
      <c r="O329" s="33">
        <f>ROUND(MIN(MAX(0,N('Your debts'!$E$9)),E329),2)</f>
      </c>
      <c r="P329" s="33">
        <f>ROUND(MIN(MAX(0,N('Your debts'!$E$10)),F329),2)</f>
      </c>
      <c r="Q329" s="33">
        <f>ROUND(MIN(MAX(0,N('Your debts'!$E$11)),G329),2)</f>
      </c>
      <c r="R329" s="33">
        <f>ROUND(MIN(MAX(0,N('Your debts'!$E$12)),H329),2)</f>
      </c>
      <c r="S329" s="33">
        <f>ROUND(MIN(MAX(0,N('Your debts'!$E$13)),I329),2)</f>
      </c>
      <c r="T329" s="33">
        <f>ROUND(MIN(MAX(0,N('Your debts'!$E$14)),J329),2)</f>
      </c>
      <c r="U329" s="33">
        <f>ROUND(MIN(MAX(0,N('Your debts'!$E$15)),K329),2)</f>
      </c>
      <c r="V329" s="33">
        <f>ROUND(B329-L329,2)</f>
      </c>
      <c r="W329" s="33">
        <f>ROUND(C329-M329,2)</f>
      </c>
      <c r="X329" s="33">
        <f>ROUND(D329-N329,2)</f>
      </c>
      <c r="Y329" s="33">
        <f>ROUND(E329-O329,2)</f>
      </c>
      <c r="Z329" s="33">
        <f>ROUND(F329-P329,2)</f>
      </c>
      <c r="AA329" s="33">
        <f>ROUND(G329-Q329,2)</f>
      </c>
      <c r="AB329" s="33">
        <f>ROUND(H329-R329,2)</f>
      </c>
      <c r="AC329" s="33">
        <f>ROUND(I329-S329,2)</f>
      </c>
      <c r="AD329" s="33">
        <f>ROUND(J329-T329,2)</f>
      </c>
      <c r="AE329" s="33">
        <f>ROUND(K329-U329,2)</f>
      </c>
      <c r="AF329" s="33">
        <f>IF(V329&lt;=0,0,MAX(0,MIN(V329,ROUND($AZ329-SUMPRODUCT($V329:$AE329*($V329:$AE329&gt;0)*(($V$3:$AE$3&gt;V$3)+($V$3:$AE$3=V$3)*($V329:$AE329&lt;V329)+($V$3:$AE$3=V$3)*($V329:$AE329=V329)*($V$2:$AE$2&lt;V$2))),2))))</f>
      </c>
      <c r="AG329" s="33">
        <f>IF(W329&lt;=0,0,MAX(0,MIN(W329,ROUND($AZ329-SUMPRODUCT($V329:$AE329*($V329:$AE329&gt;0)*(($V$3:$AE$3&gt;W$3)+($V$3:$AE$3=W$3)*($V329:$AE329&lt;W329)+($V$3:$AE$3=W$3)*($V329:$AE329=W329)*($V$2:$AE$2&lt;W$2))),2))))</f>
      </c>
      <c r="AH329" s="33">
        <f>IF(X329&lt;=0,0,MAX(0,MIN(X329,ROUND($AZ329-SUMPRODUCT($V329:$AE329*($V329:$AE329&gt;0)*(($V$3:$AE$3&gt;X$3)+($V$3:$AE$3=X$3)*($V329:$AE329&lt;X329)+($V$3:$AE$3=X$3)*($V329:$AE329=X329)*($V$2:$AE$2&lt;X$2))),2))))</f>
      </c>
      <c r="AI329" s="33">
        <f>IF(Y329&lt;=0,0,MAX(0,MIN(Y329,ROUND($AZ329-SUMPRODUCT($V329:$AE329*($V329:$AE329&gt;0)*(($V$3:$AE$3&gt;Y$3)+($V$3:$AE$3=Y$3)*($V329:$AE329&lt;Y329)+($V$3:$AE$3=Y$3)*($V329:$AE329=Y329)*($V$2:$AE$2&lt;Y$2))),2))))</f>
      </c>
      <c r="AJ329" s="33">
        <f>IF(Z329&lt;=0,0,MAX(0,MIN(Z329,ROUND($AZ329-SUMPRODUCT($V329:$AE329*($V329:$AE329&gt;0)*(($V$3:$AE$3&gt;Z$3)+($V$3:$AE$3=Z$3)*($V329:$AE329&lt;Z329)+($V$3:$AE$3=Z$3)*($V329:$AE329=Z329)*($V$2:$AE$2&lt;Z$2))),2))))</f>
      </c>
      <c r="AK329" s="33">
        <f>IF(AA329&lt;=0,0,MAX(0,MIN(AA329,ROUND($AZ329-SUMPRODUCT($V329:$AE329*($V329:$AE329&gt;0)*(($V$3:$AE$3&gt;AA$3)+($V$3:$AE$3=AA$3)*($V329:$AE329&lt;AA329)+($V$3:$AE$3=AA$3)*($V329:$AE329=AA329)*($V$2:$AE$2&lt;AA$2))),2))))</f>
      </c>
      <c r="AL329" s="33">
        <f>IF(AB329&lt;=0,0,MAX(0,MIN(AB329,ROUND($AZ329-SUMPRODUCT($V329:$AE329*($V329:$AE329&gt;0)*(($V$3:$AE$3&gt;AB$3)+($V$3:$AE$3=AB$3)*($V329:$AE329&lt;AB329)+($V$3:$AE$3=AB$3)*($V329:$AE329=AB329)*($V$2:$AE$2&lt;AB$2))),2))))</f>
      </c>
      <c r="AM329" s="33">
        <f>IF(AC329&lt;=0,0,MAX(0,MIN(AC329,ROUND($AZ329-SUMPRODUCT($V329:$AE329*($V329:$AE329&gt;0)*(($V$3:$AE$3&gt;AC$3)+($V$3:$AE$3=AC$3)*($V329:$AE329&lt;AC329)+($V$3:$AE$3=AC$3)*($V329:$AE329=AC329)*($V$2:$AE$2&lt;AC$2))),2))))</f>
      </c>
      <c r="AN329" s="33">
        <f>IF(AD329&lt;=0,0,MAX(0,MIN(AD329,ROUND($AZ329-SUMPRODUCT($V329:$AE329*($V329:$AE329&gt;0)*(($V$3:$AE$3&gt;AD$3)+($V$3:$AE$3=AD$3)*($V329:$AE329&lt;AD329)+($V$3:$AE$3=AD$3)*($V329:$AE329=AD329)*($V$2:$AE$2&lt;AD$2))),2))))</f>
      </c>
      <c r="AO329" s="33">
        <f>IF(AE329&lt;=0,0,MAX(0,MIN(AE329,ROUND($AZ329-SUMPRODUCT($V329:$AE329*($V329:$AE329&gt;0)*(($V$3:$AE$3&gt;AE$3)+($V$3:$AE$3=AE$3)*($V329:$AE329&lt;AE329)+($V$3:$AE$3=AE$3)*($V329:$AE329=AE329)*($V$2:$AE$2&lt;AE$2))),2))))</f>
      </c>
      <c r="AP329" s="33">
        <f>ROUND(V329-AF329,2)</f>
      </c>
      <c r="AQ329" s="33">
        <f>ROUND(W329-AG329,2)</f>
      </c>
      <c r="AR329" s="33">
        <f>ROUND(X329-AH329,2)</f>
      </c>
      <c r="AS329" s="33">
        <f>ROUND(Y329-AI329,2)</f>
      </c>
      <c r="AT329" s="33">
        <f>ROUND(Z329-AJ329,2)</f>
      </c>
      <c r="AU329" s="33">
        <f>ROUND(AA329-AK329,2)</f>
      </c>
      <c r="AV329" s="33">
        <f>ROUND(AB329-AL329,2)</f>
      </c>
      <c r="AW329" s="33">
        <f>ROUND(AC329-AM329,2)</f>
      </c>
      <c r="AX329" s="33">
        <f>ROUND(AD329-AN329,2)</f>
      </c>
      <c r="AY329" s="33">
        <f>ROUND(AE329-AO329,2)</f>
      </c>
      <c r="AZ329" s="33">
        <f>ROUND(MAX(0,'Your debts'!$D$22-SUM($L329:$U329)),2)</f>
      </c>
      <c r="BA329" s="33">
        <f>ROUND(SUM($B329:$K329)-SUM($AP328:$AY328),2)</f>
      </c>
      <c r="BB329" s="33">
        <f>SUM($AP329:$AY329)</f>
      </c>
      <c r="BC329" s="33">
        <f>ROUND(SUM($L329:$U329)+SUM($AF329:$AO329),2)</f>
      </c>
    </row>
    <row r="330" spans="1:55" x14ac:dyDescent="0.25">
      <c r="A330">
        <v>323</v>
      </c>
      <c r="B330" s="33">
        <f>IF(AP329&lt;=0,0,ROUND(AP329+ROUND(AP329*V$3/12,2),2))</f>
      </c>
      <c r="C330" s="33">
        <f>IF(AQ329&lt;=0,0,ROUND(AQ329+ROUND(AQ329*W$3/12,2),2))</f>
      </c>
      <c r="D330" s="33">
        <f>IF(AR329&lt;=0,0,ROUND(AR329+ROUND(AR329*X$3/12,2),2))</f>
      </c>
      <c r="E330" s="33">
        <f>IF(AS329&lt;=0,0,ROUND(AS329+ROUND(AS329*Y$3/12,2),2))</f>
      </c>
      <c r="F330" s="33">
        <f>IF(AT329&lt;=0,0,ROUND(AT329+ROUND(AT329*Z$3/12,2),2))</f>
      </c>
      <c r="G330" s="33">
        <f>IF(AU329&lt;=0,0,ROUND(AU329+ROUND(AU329*AA$3/12,2),2))</f>
      </c>
      <c r="H330" s="33">
        <f>IF(AV329&lt;=0,0,ROUND(AV329+ROUND(AV329*AB$3/12,2),2))</f>
      </c>
      <c r="I330" s="33">
        <f>IF(AW329&lt;=0,0,ROUND(AW329+ROUND(AW329*AC$3/12,2),2))</f>
      </c>
      <c r="J330" s="33">
        <f>IF(AX329&lt;=0,0,ROUND(AX329+ROUND(AX329*AD$3/12,2),2))</f>
      </c>
      <c r="K330" s="33">
        <f>IF(AY329&lt;=0,0,ROUND(AY329+ROUND(AY329*AE$3/12,2),2))</f>
      </c>
      <c r="L330" s="33">
        <f>ROUND(MIN(MAX(0,N('Your debts'!$E$6)),B330),2)</f>
      </c>
      <c r="M330" s="33">
        <f>ROUND(MIN(MAX(0,N('Your debts'!$E$7)),C330),2)</f>
      </c>
      <c r="N330" s="33">
        <f>ROUND(MIN(MAX(0,N('Your debts'!$E$8)),D330),2)</f>
      </c>
      <c r="O330" s="33">
        <f>ROUND(MIN(MAX(0,N('Your debts'!$E$9)),E330),2)</f>
      </c>
      <c r="P330" s="33">
        <f>ROUND(MIN(MAX(0,N('Your debts'!$E$10)),F330),2)</f>
      </c>
      <c r="Q330" s="33">
        <f>ROUND(MIN(MAX(0,N('Your debts'!$E$11)),G330),2)</f>
      </c>
      <c r="R330" s="33">
        <f>ROUND(MIN(MAX(0,N('Your debts'!$E$12)),H330),2)</f>
      </c>
      <c r="S330" s="33">
        <f>ROUND(MIN(MAX(0,N('Your debts'!$E$13)),I330),2)</f>
      </c>
      <c r="T330" s="33">
        <f>ROUND(MIN(MAX(0,N('Your debts'!$E$14)),J330),2)</f>
      </c>
      <c r="U330" s="33">
        <f>ROUND(MIN(MAX(0,N('Your debts'!$E$15)),K330),2)</f>
      </c>
      <c r="V330" s="33">
        <f>ROUND(B330-L330,2)</f>
      </c>
      <c r="W330" s="33">
        <f>ROUND(C330-M330,2)</f>
      </c>
      <c r="X330" s="33">
        <f>ROUND(D330-N330,2)</f>
      </c>
      <c r="Y330" s="33">
        <f>ROUND(E330-O330,2)</f>
      </c>
      <c r="Z330" s="33">
        <f>ROUND(F330-P330,2)</f>
      </c>
      <c r="AA330" s="33">
        <f>ROUND(G330-Q330,2)</f>
      </c>
      <c r="AB330" s="33">
        <f>ROUND(H330-R330,2)</f>
      </c>
      <c r="AC330" s="33">
        <f>ROUND(I330-S330,2)</f>
      </c>
      <c r="AD330" s="33">
        <f>ROUND(J330-T330,2)</f>
      </c>
      <c r="AE330" s="33">
        <f>ROUND(K330-U330,2)</f>
      </c>
      <c r="AF330" s="33">
        <f>IF(V330&lt;=0,0,MAX(0,MIN(V330,ROUND($AZ330-SUMPRODUCT($V330:$AE330*($V330:$AE330&gt;0)*(($V$3:$AE$3&gt;V$3)+($V$3:$AE$3=V$3)*($V330:$AE330&lt;V330)+($V$3:$AE$3=V$3)*($V330:$AE330=V330)*($V$2:$AE$2&lt;V$2))),2))))</f>
      </c>
      <c r="AG330" s="33">
        <f>IF(W330&lt;=0,0,MAX(0,MIN(W330,ROUND($AZ330-SUMPRODUCT($V330:$AE330*($V330:$AE330&gt;0)*(($V$3:$AE$3&gt;W$3)+($V$3:$AE$3=W$3)*($V330:$AE330&lt;W330)+($V$3:$AE$3=W$3)*($V330:$AE330=W330)*($V$2:$AE$2&lt;W$2))),2))))</f>
      </c>
      <c r="AH330" s="33">
        <f>IF(X330&lt;=0,0,MAX(0,MIN(X330,ROUND($AZ330-SUMPRODUCT($V330:$AE330*($V330:$AE330&gt;0)*(($V$3:$AE$3&gt;X$3)+($V$3:$AE$3=X$3)*($V330:$AE330&lt;X330)+($V$3:$AE$3=X$3)*($V330:$AE330=X330)*($V$2:$AE$2&lt;X$2))),2))))</f>
      </c>
      <c r="AI330" s="33">
        <f>IF(Y330&lt;=0,0,MAX(0,MIN(Y330,ROUND($AZ330-SUMPRODUCT($V330:$AE330*($V330:$AE330&gt;0)*(($V$3:$AE$3&gt;Y$3)+($V$3:$AE$3=Y$3)*($V330:$AE330&lt;Y330)+($V$3:$AE$3=Y$3)*($V330:$AE330=Y330)*($V$2:$AE$2&lt;Y$2))),2))))</f>
      </c>
      <c r="AJ330" s="33">
        <f>IF(Z330&lt;=0,0,MAX(0,MIN(Z330,ROUND($AZ330-SUMPRODUCT($V330:$AE330*($V330:$AE330&gt;0)*(($V$3:$AE$3&gt;Z$3)+($V$3:$AE$3=Z$3)*($V330:$AE330&lt;Z330)+($V$3:$AE$3=Z$3)*($V330:$AE330=Z330)*($V$2:$AE$2&lt;Z$2))),2))))</f>
      </c>
      <c r="AK330" s="33">
        <f>IF(AA330&lt;=0,0,MAX(0,MIN(AA330,ROUND($AZ330-SUMPRODUCT($V330:$AE330*($V330:$AE330&gt;0)*(($V$3:$AE$3&gt;AA$3)+($V$3:$AE$3=AA$3)*($V330:$AE330&lt;AA330)+($V$3:$AE$3=AA$3)*($V330:$AE330=AA330)*($V$2:$AE$2&lt;AA$2))),2))))</f>
      </c>
      <c r="AL330" s="33">
        <f>IF(AB330&lt;=0,0,MAX(0,MIN(AB330,ROUND($AZ330-SUMPRODUCT($V330:$AE330*($V330:$AE330&gt;0)*(($V$3:$AE$3&gt;AB$3)+($V$3:$AE$3=AB$3)*($V330:$AE330&lt;AB330)+($V$3:$AE$3=AB$3)*($V330:$AE330=AB330)*($V$2:$AE$2&lt;AB$2))),2))))</f>
      </c>
      <c r="AM330" s="33">
        <f>IF(AC330&lt;=0,0,MAX(0,MIN(AC330,ROUND($AZ330-SUMPRODUCT($V330:$AE330*($V330:$AE330&gt;0)*(($V$3:$AE$3&gt;AC$3)+($V$3:$AE$3=AC$3)*($V330:$AE330&lt;AC330)+($V$3:$AE$3=AC$3)*($V330:$AE330=AC330)*($V$2:$AE$2&lt;AC$2))),2))))</f>
      </c>
      <c r="AN330" s="33">
        <f>IF(AD330&lt;=0,0,MAX(0,MIN(AD330,ROUND($AZ330-SUMPRODUCT($V330:$AE330*($V330:$AE330&gt;0)*(($V$3:$AE$3&gt;AD$3)+($V$3:$AE$3=AD$3)*($V330:$AE330&lt;AD330)+($V$3:$AE$3=AD$3)*($V330:$AE330=AD330)*($V$2:$AE$2&lt;AD$2))),2))))</f>
      </c>
      <c r="AO330" s="33">
        <f>IF(AE330&lt;=0,0,MAX(0,MIN(AE330,ROUND($AZ330-SUMPRODUCT($V330:$AE330*($V330:$AE330&gt;0)*(($V$3:$AE$3&gt;AE$3)+($V$3:$AE$3=AE$3)*($V330:$AE330&lt;AE330)+($V$3:$AE$3=AE$3)*($V330:$AE330=AE330)*($V$2:$AE$2&lt;AE$2))),2))))</f>
      </c>
      <c r="AP330" s="33">
        <f>ROUND(V330-AF330,2)</f>
      </c>
      <c r="AQ330" s="33">
        <f>ROUND(W330-AG330,2)</f>
      </c>
      <c r="AR330" s="33">
        <f>ROUND(X330-AH330,2)</f>
      </c>
      <c r="AS330" s="33">
        <f>ROUND(Y330-AI330,2)</f>
      </c>
      <c r="AT330" s="33">
        <f>ROUND(Z330-AJ330,2)</f>
      </c>
      <c r="AU330" s="33">
        <f>ROUND(AA330-AK330,2)</f>
      </c>
      <c r="AV330" s="33">
        <f>ROUND(AB330-AL330,2)</f>
      </c>
      <c r="AW330" s="33">
        <f>ROUND(AC330-AM330,2)</f>
      </c>
      <c r="AX330" s="33">
        <f>ROUND(AD330-AN330,2)</f>
      </c>
      <c r="AY330" s="33">
        <f>ROUND(AE330-AO330,2)</f>
      </c>
      <c r="AZ330" s="33">
        <f>ROUND(MAX(0,'Your debts'!$D$22-SUM($L330:$U330)),2)</f>
      </c>
      <c r="BA330" s="33">
        <f>ROUND(SUM($B330:$K330)-SUM($AP329:$AY329),2)</f>
      </c>
      <c r="BB330" s="33">
        <f>SUM($AP330:$AY330)</f>
      </c>
      <c r="BC330" s="33">
        <f>ROUND(SUM($L330:$U330)+SUM($AF330:$AO330),2)</f>
      </c>
    </row>
    <row r="331" spans="1:55" x14ac:dyDescent="0.25">
      <c r="A331">
        <v>324</v>
      </c>
      <c r="B331" s="33">
        <f>IF(AP330&lt;=0,0,ROUND(AP330+ROUND(AP330*V$3/12,2),2))</f>
      </c>
      <c r="C331" s="33">
        <f>IF(AQ330&lt;=0,0,ROUND(AQ330+ROUND(AQ330*W$3/12,2),2))</f>
      </c>
      <c r="D331" s="33">
        <f>IF(AR330&lt;=0,0,ROUND(AR330+ROUND(AR330*X$3/12,2),2))</f>
      </c>
      <c r="E331" s="33">
        <f>IF(AS330&lt;=0,0,ROUND(AS330+ROUND(AS330*Y$3/12,2),2))</f>
      </c>
      <c r="F331" s="33">
        <f>IF(AT330&lt;=0,0,ROUND(AT330+ROUND(AT330*Z$3/12,2),2))</f>
      </c>
      <c r="G331" s="33">
        <f>IF(AU330&lt;=0,0,ROUND(AU330+ROUND(AU330*AA$3/12,2),2))</f>
      </c>
      <c r="H331" s="33">
        <f>IF(AV330&lt;=0,0,ROUND(AV330+ROUND(AV330*AB$3/12,2),2))</f>
      </c>
      <c r="I331" s="33">
        <f>IF(AW330&lt;=0,0,ROUND(AW330+ROUND(AW330*AC$3/12,2),2))</f>
      </c>
      <c r="J331" s="33">
        <f>IF(AX330&lt;=0,0,ROUND(AX330+ROUND(AX330*AD$3/12,2),2))</f>
      </c>
      <c r="K331" s="33">
        <f>IF(AY330&lt;=0,0,ROUND(AY330+ROUND(AY330*AE$3/12,2),2))</f>
      </c>
      <c r="L331" s="33">
        <f>ROUND(MIN(MAX(0,N('Your debts'!$E$6)),B331),2)</f>
      </c>
      <c r="M331" s="33">
        <f>ROUND(MIN(MAX(0,N('Your debts'!$E$7)),C331),2)</f>
      </c>
      <c r="N331" s="33">
        <f>ROUND(MIN(MAX(0,N('Your debts'!$E$8)),D331),2)</f>
      </c>
      <c r="O331" s="33">
        <f>ROUND(MIN(MAX(0,N('Your debts'!$E$9)),E331),2)</f>
      </c>
      <c r="P331" s="33">
        <f>ROUND(MIN(MAX(0,N('Your debts'!$E$10)),F331),2)</f>
      </c>
      <c r="Q331" s="33">
        <f>ROUND(MIN(MAX(0,N('Your debts'!$E$11)),G331),2)</f>
      </c>
      <c r="R331" s="33">
        <f>ROUND(MIN(MAX(0,N('Your debts'!$E$12)),H331),2)</f>
      </c>
      <c r="S331" s="33">
        <f>ROUND(MIN(MAX(0,N('Your debts'!$E$13)),I331),2)</f>
      </c>
      <c r="T331" s="33">
        <f>ROUND(MIN(MAX(0,N('Your debts'!$E$14)),J331),2)</f>
      </c>
      <c r="U331" s="33">
        <f>ROUND(MIN(MAX(0,N('Your debts'!$E$15)),K331),2)</f>
      </c>
      <c r="V331" s="33">
        <f>ROUND(B331-L331,2)</f>
      </c>
      <c r="W331" s="33">
        <f>ROUND(C331-M331,2)</f>
      </c>
      <c r="X331" s="33">
        <f>ROUND(D331-N331,2)</f>
      </c>
      <c r="Y331" s="33">
        <f>ROUND(E331-O331,2)</f>
      </c>
      <c r="Z331" s="33">
        <f>ROUND(F331-P331,2)</f>
      </c>
      <c r="AA331" s="33">
        <f>ROUND(G331-Q331,2)</f>
      </c>
      <c r="AB331" s="33">
        <f>ROUND(H331-R331,2)</f>
      </c>
      <c r="AC331" s="33">
        <f>ROUND(I331-S331,2)</f>
      </c>
      <c r="AD331" s="33">
        <f>ROUND(J331-T331,2)</f>
      </c>
      <c r="AE331" s="33">
        <f>ROUND(K331-U331,2)</f>
      </c>
      <c r="AF331" s="33">
        <f>IF(V331&lt;=0,0,MAX(0,MIN(V331,ROUND($AZ331-SUMPRODUCT($V331:$AE331*($V331:$AE331&gt;0)*(($V$3:$AE$3&gt;V$3)+($V$3:$AE$3=V$3)*($V331:$AE331&lt;V331)+($V$3:$AE$3=V$3)*($V331:$AE331=V331)*($V$2:$AE$2&lt;V$2))),2))))</f>
      </c>
      <c r="AG331" s="33">
        <f>IF(W331&lt;=0,0,MAX(0,MIN(W331,ROUND($AZ331-SUMPRODUCT($V331:$AE331*($V331:$AE331&gt;0)*(($V$3:$AE$3&gt;W$3)+($V$3:$AE$3=W$3)*($V331:$AE331&lt;W331)+($V$3:$AE$3=W$3)*($V331:$AE331=W331)*($V$2:$AE$2&lt;W$2))),2))))</f>
      </c>
      <c r="AH331" s="33">
        <f>IF(X331&lt;=0,0,MAX(0,MIN(X331,ROUND($AZ331-SUMPRODUCT($V331:$AE331*($V331:$AE331&gt;0)*(($V$3:$AE$3&gt;X$3)+($V$3:$AE$3=X$3)*($V331:$AE331&lt;X331)+($V$3:$AE$3=X$3)*($V331:$AE331=X331)*($V$2:$AE$2&lt;X$2))),2))))</f>
      </c>
      <c r="AI331" s="33">
        <f>IF(Y331&lt;=0,0,MAX(0,MIN(Y331,ROUND($AZ331-SUMPRODUCT($V331:$AE331*($V331:$AE331&gt;0)*(($V$3:$AE$3&gt;Y$3)+($V$3:$AE$3=Y$3)*($V331:$AE331&lt;Y331)+($V$3:$AE$3=Y$3)*($V331:$AE331=Y331)*($V$2:$AE$2&lt;Y$2))),2))))</f>
      </c>
      <c r="AJ331" s="33">
        <f>IF(Z331&lt;=0,0,MAX(0,MIN(Z331,ROUND($AZ331-SUMPRODUCT($V331:$AE331*($V331:$AE331&gt;0)*(($V$3:$AE$3&gt;Z$3)+($V$3:$AE$3=Z$3)*($V331:$AE331&lt;Z331)+($V$3:$AE$3=Z$3)*($V331:$AE331=Z331)*($V$2:$AE$2&lt;Z$2))),2))))</f>
      </c>
      <c r="AK331" s="33">
        <f>IF(AA331&lt;=0,0,MAX(0,MIN(AA331,ROUND($AZ331-SUMPRODUCT($V331:$AE331*($V331:$AE331&gt;0)*(($V$3:$AE$3&gt;AA$3)+($V$3:$AE$3=AA$3)*($V331:$AE331&lt;AA331)+($V$3:$AE$3=AA$3)*($V331:$AE331=AA331)*($V$2:$AE$2&lt;AA$2))),2))))</f>
      </c>
      <c r="AL331" s="33">
        <f>IF(AB331&lt;=0,0,MAX(0,MIN(AB331,ROUND($AZ331-SUMPRODUCT($V331:$AE331*($V331:$AE331&gt;0)*(($V$3:$AE$3&gt;AB$3)+($V$3:$AE$3=AB$3)*($V331:$AE331&lt;AB331)+($V$3:$AE$3=AB$3)*($V331:$AE331=AB331)*($V$2:$AE$2&lt;AB$2))),2))))</f>
      </c>
      <c r="AM331" s="33">
        <f>IF(AC331&lt;=0,0,MAX(0,MIN(AC331,ROUND($AZ331-SUMPRODUCT($V331:$AE331*($V331:$AE331&gt;0)*(($V$3:$AE$3&gt;AC$3)+($V$3:$AE$3=AC$3)*($V331:$AE331&lt;AC331)+($V$3:$AE$3=AC$3)*($V331:$AE331=AC331)*($V$2:$AE$2&lt;AC$2))),2))))</f>
      </c>
      <c r="AN331" s="33">
        <f>IF(AD331&lt;=0,0,MAX(0,MIN(AD331,ROUND($AZ331-SUMPRODUCT($V331:$AE331*($V331:$AE331&gt;0)*(($V$3:$AE$3&gt;AD$3)+($V$3:$AE$3=AD$3)*($V331:$AE331&lt;AD331)+($V$3:$AE$3=AD$3)*($V331:$AE331=AD331)*($V$2:$AE$2&lt;AD$2))),2))))</f>
      </c>
      <c r="AO331" s="33">
        <f>IF(AE331&lt;=0,0,MAX(0,MIN(AE331,ROUND($AZ331-SUMPRODUCT($V331:$AE331*($V331:$AE331&gt;0)*(($V$3:$AE$3&gt;AE$3)+($V$3:$AE$3=AE$3)*($V331:$AE331&lt;AE331)+($V$3:$AE$3=AE$3)*($V331:$AE331=AE331)*($V$2:$AE$2&lt;AE$2))),2))))</f>
      </c>
      <c r="AP331" s="33">
        <f>ROUND(V331-AF331,2)</f>
      </c>
      <c r="AQ331" s="33">
        <f>ROUND(W331-AG331,2)</f>
      </c>
      <c r="AR331" s="33">
        <f>ROUND(X331-AH331,2)</f>
      </c>
      <c r="AS331" s="33">
        <f>ROUND(Y331-AI331,2)</f>
      </c>
      <c r="AT331" s="33">
        <f>ROUND(Z331-AJ331,2)</f>
      </c>
      <c r="AU331" s="33">
        <f>ROUND(AA331-AK331,2)</f>
      </c>
      <c r="AV331" s="33">
        <f>ROUND(AB331-AL331,2)</f>
      </c>
      <c r="AW331" s="33">
        <f>ROUND(AC331-AM331,2)</f>
      </c>
      <c r="AX331" s="33">
        <f>ROUND(AD331-AN331,2)</f>
      </c>
      <c r="AY331" s="33">
        <f>ROUND(AE331-AO331,2)</f>
      </c>
      <c r="AZ331" s="33">
        <f>ROUND(MAX(0,'Your debts'!$D$22-SUM($L331:$U331)),2)</f>
      </c>
      <c r="BA331" s="33">
        <f>ROUND(SUM($B331:$K331)-SUM($AP330:$AY330),2)</f>
      </c>
      <c r="BB331" s="33">
        <f>SUM($AP331:$AY331)</f>
      </c>
      <c r="BC331" s="33">
        <f>ROUND(SUM($L331:$U331)+SUM($AF331:$AO331),2)</f>
      </c>
    </row>
    <row r="332" spans="1:55" x14ac:dyDescent="0.25">
      <c r="A332">
        <v>325</v>
      </c>
      <c r="B332" s="33">
        <f>IF(AP331&lt;=0,0,ROUND(AP331+ROUND(AP331*V$3/12,2),2))</f>
      </c>
      <c r="C332" s="33">
        <f>IF(AQ331&lt;=0,0,ROUND(AQ331+ROUND(AQ331*W$3/12,2),2))</f>
      </c>
      <c r="D332" s="33">
        <f>IF(AR331&lt;=0,0,ROUND(AR331+ROUND(AR331*X$3/12,2),2))</f>
      </c>
      <c r="E332" s="33">
        <f>IF(AS331&lt;=0,0,ROUND(AS331+ROUND(AS331*Y$3/12,2),2))</f>
      </c>
      <c r="F332" s="33">
        <f>IF(AT331&lt;=0,0,ROUND(AT331+ROUND(AT331*Z$3/12,2),2))</f>
      </c>
      <c r="G332" s="33">
        <f>IF(AU331&lt;=0,0,ROUND(AU331+ROUND(AU331*AA$3/12,2),2))</f>
      </c>
      <c r="H332" s="33">
        <f>IF(AV331&lt;=0,0,ROUND(AV331+ROUND(AV331*AB$3/12,2),2))</f>
      </c>
      <c r="I332" s="33">
        <f>IF(AW331&lt;=0,0,ROUND(AW331+ROUND(AW331*AC$3/12,2),2))</f>
      </c>
      <c r="J332" s="33">
        <f>IF(AX331&lt;=0,0,ROUND(AX331+ROUND(AX331*AD$3/12,2),2))</f>
      </c>
      <c r="K332" s="33">
        <f>IF(AY331&lt;=0,0,ROUND(AY331+ROUND(AY331*AE$3/12,2),2))</f>
      </c>
      <c r="L332" s="33">
        <f>ROUND(MIN(MAX(0,N('Your debts'!$E$6)),B332),2)</f>
      </c>
      <c r="M332" s="33">
        <f>ROUND(MIN(MAX(0,N('Your debts'!$E$7)),C332),2)</f>
      </c>
      <c r="N332" s="33">
        <f>ROUND(MIN(MAX(0,N('Your debts'!$E$8)),D332),2)</f>
      </c>
      <c r="O332" s="33">
        <f>ROUND(MIN(MAX(0,N('Your debts'!$E$9)),E332),2)</f>
      </c>
      <c r="P332" s="33">
        <f>ROUND(MIN(MAX(0,N('Your debts'!$E$10)),F332),2)</f>
      </c>
      <c r="Q332" s="33">
        <f>ROUND(MIN(MAX(0,N('Your debts'!$E$11)),G332),2)</f>
      </c>
      <c r="R332" s="33">
        <f>ROUND(MIN(MAX(0,N('Your debts'!$E$12)),H332),2)</f>
      </c>
      <c r="S332" s="33">
        <f>ROUND(MIN(MAX(0,N('Your debts'!$E$13)),I332),2)</f>
      </c>
      <c r="T332" s="33">
        <f>ROUND(MIN(MAX(0,N('Your debts'!$E$14)),J332),2)</f>
      </c>
      <c r="U332" s="33">
        <f>ROUND(MIN(MAX(0,N('Your debts'!$E$15)),K332),2)</f>
      </c>
      <c r="V332" s="33">
        <f>ROUND(B332-L332,2)</f>
      </c>
      <c r="W332" s="33">
        <f>ROUND(C332-M332,2)</f>
      </c>
      <c r="X332" s="33">
        <f>ROUND(D332-N332,2)</f>
      </c>
      <c r="Y332" s="33">
        <f>ROUND(E332-O332,2)</f>
      </c>
      <c r="Z332" s="33">
        <f>ROUND(F332-P332,2)</f>
      </c>
      <c r="AA332" s="33">
        <f>ROUND(G332-Q332,2)</f>
      </c>
      <c r="AB332" s="33">
        <f>ROUND(H332-R332,2)</f>
      </c>
      <c r="AC332" s="33">
        <f>ROUND(I332-S332,2)</f>
      </c>
      <c r="AD332" s="33">
        <f>ROUND(J332-T332,2)</f>
      </c>
      <c r="AE332" s="33">
        <f>ROUND(K332-U332,2)</f>
      </c>
      <c r="AF332" s="33">
        <f>IF(V332&lt;=0,0,MAX(0,MIN(V332,ROUND($AZ332-SUMPRODUCT($V332:$AE332*($V332:$AE332&gt;0)*(($V$3:$AE$3&gt;V$3)+($V$3:$AE$3=V$3)*($V332:$AE332&lt;V332)+($V$3:$AE$3=V$3)*($V332:$AE332=V332)*($V$2:$AE$2&lt;V$2))),2))))</f>
      </c>
      <c r="AG332" s="33">
        <f>IF(W332&lt;=0,0,MAX(0,MIN(W332,ROUND($AZ332-SUMPRODUCT($V332:$AE332*($V332:$AE332&gt;0)*(($V$3:$AE$3&gt;W$3)+($V$3:$AE$3=W$3)*($V332:$AE332&lt;W332)+($V$3:$AE$3=W$3)*($V332:$AE332=W332)*($V$2:$AE$2&lt;W$2))),2))))</f>
      </c>
      <c r="AH332" s="33">
        <f>IF(X332&lt;=0,0,MAX(0,MIN(X332,ROUND($AZ332-SUMPRODUCT($V332:$AE332*($V332:$AE332&gt;0)*(($V$3:$AE$3&gt;X$3)+($V$3:$AE$3=X$3)*($V332:$AE332&lt;X332)+($V$3:$AE$3=X$3)*($V332:$AE332=X332)*($V$2:$AE$2&lt;X$2))),2))))</f>
      </c>
      <c r="AI332" s="33">
        <f>IF(Y332&lt;=0,0,MAX(0,MIN(Y332,ROUND($AZ332-SUMPRODUCT($V332:$AE332*($V332:$AE332&gt;0)*(($V$3:$AE$3&gt;Y$3)+($V$3:$AE$3=Y$3)*($V332:$AE332&lt;Y332)+($V$3:$AE$3=Y$3)*($V332:$AE332=Y332)*($V$2:$AE$2&lt;Y$2))),2))))</f>
      </c>
      <c r="AJ332" s="33">
        <f>IF(Z332&lt;=0,0,MAX(0,MIN(Z332,ROUND($AZ332-SUMPRODUCT($V332:$AE332*($V332:$AE332&gt;0)*(($V$3:$AE$3&gt;Z$3)+($V$3:$AE$3=Z$3)*($V332:$AE332&lt;Z332)+($V$3:$AE$3=Z$3)*($V332:$AE332=Z332)*($V$2:$AE$2&lt;Z$2))),2))))</f>
      </c>
      <c r="AK332" s="33">
        <f>IF(AA332&lt;=0,0,MAX(0,MIN(AA332,ROUND($AZ332-SUMPRODUCT($V332:$AE332*($V332:$AE332&gt;0)*(($V$3:$AE$3&gt;AA$3)+($V$3:$AE$3=AA$3)*($V332:$AE332&lt;AA332)+($V$3:$AE$3=AA$3)*($V332:$AE332=AA332)*($V$2:$AE$2&lt;AA$2))),2))))</f>
      </c>
      <c r="AL332" s="33">
        <f>IF(AB332&lt;=0,0,MAX(0,MIN(AB332,ROUND($AZ332-SUMPRODUCT($V332:$AE332*($V332:$AE332&gt;0)*(($V$3:$AE$3&gt;AB$3)+($V$3:$AE$3=AB$3)*($V332:$AE332&lt;AB332)+($V$3:$AE$3=AB$3)*($V332:$AE332=AB332)*($V$2:$AE$2&lt;AB$2))),2))))</f>
      </c>
      <c r="AM332" s="33">
        <f>IF(AC332&lt;=0,0,MAX(0,MIN(AC332,ROUND($AZ332-SUMPRODUCT($V332:$AE332*($V332:$AE332&gt;0)*(($V$3:$AE$3&gt;AC$3)+($V$3:$AE$3=AC$3)*($V332:$AE332&lt;AC332)+($V$3:$AE$3=AC$3)*($V332:$AE332=AC332)*($V$2:$AE$2&lt;AC$2))),2))))</f>
      </c>
      <c r="AN332" s="33">
        <f>IF(AD332&lt;=0,0,MAX(0,MIN(AD332,ROUND($AZ332-SUMPRODUCT($V332:$AE332*($V332:$AE332&gt;0)*(($V$3:$AE$3&gt;AD$3)+($V$3:$AE$3=AD$3)*($V332:$AE332&lt;AD332)+($V$3:$AE$3=AD$3)*($V332:$AE332=AD332)*($V$2:$AE$2&lt;AD$2))),2))))</f>
      </c>
      <c r="AO332" s="33">
        <f>IF(AE332&lt;=0,0,MAX(0,MIN(AE332,ROUND($AZ332-SUMPRODUCT($V332:$AE332*($V332:$AE332&gt;0)*(($V$3:$AE$3&gt;AE$3)+($V$3:$AE$3=AE$3)*($V332:$AE332&lt;AE332)+($V$3:$AE$3=AE$3)*($V332:$AE332=AE332)*($V$2:$AE$2&lt;AE$2))),2))))</f>
      </c>
      <c r="AP332" s="33">
        <f>ROUND(V332-AF332,2)</f>
      </c>
      <c r="AQ332" s="33">
        <f>ROUND(W332-AG332,2)</f>
      </c>
      <c r="AR332" s="33">
        <f>ROUND(X332-AH332,2)</f>
      </c>
      <c r="AS332" s="33">
        <f>ROUND(Y332-AI332,2)</f>
      </c>
      <c r="AT332" s="33">
        <f>ROUND(Z332-AJ332,2)</f>
      </c>
      <c r="AU332" s="33">
        <f>ROUND(AA332-AK332,2)</f>
      </c>
      <c r="AV332" s="33">
        <f>ROUND(AB332-AL332,2)</f>
      </c>
      <c r="AW332" s="33">
        <f>ROUND(AC332-AM332,2)</f>
      </c>
      <c r="AX332" s="33">
        <f>ROUND(AD332-AN332,2)</f>
      </c>
      <c r="AY332" s="33">
        <f>ROUND(AE332-AO332,2)</f>
      </c>
      <c r="AZ332" s="33">
        <f>ROUND(MAX(0,'Your debts'!$D$22-SUM($L332:$U332)),2)</f>
      </c>
      <c r="BA332" s="33">
        <f>ROUND(SUM($B332:$K332)-SUM($AP331:$AY331),2)</f>
      </c>
      <c r="BB332" s="33">
        <f>SUM($AP332:$AY332)</f>
      </c>
      <c r="BC332" s="33">
        <f>ROUND(SUM($L332:$U332)+SUM($AF332:$AO332),2)</f>
      </c>
    </row>
    <row r="333" spans="1:55" x14ac:dyDescent="0.25">
      <c r="A333">
        <v>326</v>
      </c>
      <c r="B333" s="33">
        <f>IF(AP332&lt;=0,0,ROUND(AP332+ROUND(AP332*V$3/12,2),2))</f>
      </c>
      <c r="C333" s="33">
        <f>IF(AQ332&lt;=0,0,ROUND(AQ332+ROUND(AQ332*W$3/12,2),2))</f>
      </c>
      <c r="D333" s="33">
        <f>IF(AR332&lt;=0,0,ROUND(AR332+ROUND(AR332*X$3/12,2),2))</f>
      </c>
      <c r="E333" s="33">
        <f>IF(AS332&lt;=0,0,ROUND(AS332+ROUND(AS332*Y$3/12,2),2))</f>
      </c>
      <c r="F333" s="33">
        <f>IF(AT332&lt;=0,0,ROUND(AT332+ROUND(AT332*Z$3/12,2),2))</f>
      </c>
      <c r="G333" s="33">
        <f>IF(AU332&lt;=0,0,ROUND(AU332+ROUND(AU332*AA$3/12,2),2))</f>
      </c>
      <c r="H333" s="33">
        <f>IF(AV332&lt;=0,0,ROUND(AV332+ROUND(AV332*AB$3/12,2),2))</f>
      </c>
      <c r="I333" s="33">
        <f>IF(AW332&lt;=0,0,ROUND(AW332+ROUND(AW332*AC$3/12,2),2))</f>
      </c>
      <c r="J333" s="33">
        <f>IF(AX332&lt;=0,0,ROUND(AX332+ROUND(AX332*AD$3/12,2),2))</f>
      </c>
      <c r="K333" s="33">
        <f>IF(AY332&lt;=0,0,ROUND(AY332+ROUND(AY332*AE$3/12,2),2))</f>
      </c>
      <c r="L333" s="33">
        <f>ROUND(MIN(MAX(0,N('Your debts'!$E$6)),B333),2)</f>
      </c>
      <c r="M333" s="33">
        <f>ROUND(MIN(MAX(0,N('Your debts'!$E$7)),C333),2)</f>
      </c>
      <c r="N333" s="33">
        <f>ROUND(MIN(MAX(0,N('Your debts'!$E$8)),D333),2)</f>
      </c>
      <c r="O333" s="33">
        <f>ROUND(MIN(MAX(0,N('Your debts'!$E$9)),E333),2)</f>
      </c>
      <c r="P333" s="33">
        <f>ROUND(MIN(MAX(0,N('Your debts'!$E$10)),F333),2)</f>
      </c>
      <c r="Q333" s="33">
        <f>ROUND(MIN(MAX(0,N('Your debts'!$E$11)),G333),2)</f>
      </c>
      <c r="R333" s="33">
        <f>ROUND(MIN(MAX(0,N('Your debts'!$E$12)),H333),2)</f>
      </c>
      <c r="S333" s="33">
        <f>ROUND(MIN(MAX(0,N('Your debts'!$E$13)),I333),2)</f>
      </c>
      <c r="T333" s="33">
        <f>ROUND(MIN(MAX(0,N('Your debts'!$E$14)),J333),2)</f>
      </c>
      <c r="U333" s="33">
        <f>ROUND(MIN(MAX(0,N('Your debts'!$E$15)),K333),2)</f>
      </c>
      <c r="V333" s="33">
        <f>ROUND(B333-L333,2)</f>
      </c>
      <c r="W333" s="33">
        <f>ROUND(C333-M333,2)</f>
      </c>
      <c r="X333" s="33">
        <f>ROUND(D333-N333,2)</f>
      </c>
      <c r="Y333" s="33">
        <f>ROUND(E333-O333,2)</f>
      </c>
      <c r="Z333" s="33">
        <f>ROUND(F333-P333,2)</f>
      </c>
      <c r="AA333" s="33">
        <f>ROUND(G333-Q333,2)</f>
      </c>
      <c r="AB333" s="33">
        <f>ROUND(H333-R333,2)</f>
      </c>
      <c r="AC333" s="33">
        <f>ROUND(I333-S333,2)</f>
      </c>
      <c r="AD333" s="33">
        <f>ROUND(J333-T333,2)</f>
      </c>
      <c r="AE333" s="33">
        <f>ROUND(K333-U333,2)</f>
      </c>
      <c r="AF333" s="33">
        <f>IF(V333&lt;=0,0,MAX(0,MIN(V333,ROUND($AZ333-SUMPRODUCT($V333:$AE333*($V333:$AE333&gt;0)*(($V$3:$AE$3&gt;V$3)+($V$3:$AE$3=V$3)*($V333:$AE333&lt;V333)+($V$3:$AE$3=V$3)*($V333:$AE333=V333)*($V$2:$AE$2&lt;V$2))),2))))</f>
      </c>
      <c r="AG333" s="33">
        <f>IF(W333&lt;=0,0,MAX(0,MIN(W333,ROUND($AZ333-SUMPRODUCT($V333:$AE333*($V333:$AE333&gt;0)*(($V$3:$AE$3&gt;W$3)+($V$3:$AE$3=W$3)*($V333:$AE333&lt;W333)+($V$3:$AE$3=W$3)*($V333:$AE333=W333)*($V$2:$AE$2&lt;W$2))),2))))</f>
      </c>
      <c r="AH333" s="33">
        <f>IF(X333&lt;=0,0,MAX(0,MIN(X333,ROUND($AZ333-SUMPRODUCT($V333:$AE333*($V333:$AE333&gt;0)*(($V$3:$AE$3&gt;X$3)+($V$3:$AE$3=X$3)*($V333:$AE333&lt;X333)+($V$3:$AE$3=X$3)*($V333:$AE333=X333)*($V$2:$AE$2&lt;X$2))),2))))</f>
      </c>
      <c r="AI333" s="33">
        <f>IF(Y333&lt;=0,0,MAX(0,MIN(Y333,ROUND($AZ333-SUMPRODUCT($V333:$AE333*($V333:$AE333&gt;0)*(($V$3:$AE$3&gt;Y$3)+($V$3:$AE$3=Y$3)*($V333:$AE333&lt;Y333)+($V$3:$AE$3=Y$3)*($V333:$AE333=Y333)*($V$2:$AE$2&lt;Y$2))),2))))</f>
      </c>
      <c r="AJ333" s="33">
        <f>IF(Z333&lt;=0,0,MAX(0,MIN(Z333,ROUND($AZ333-SUMPRODUCT($V333:$AE333*($V333:$AE333&gt;0)*(($V$3:$AE$3&gt;Z$3)+($V$3:$AE$3=Z$3)*($V333:$AE333&lt;Z333)+($V$3:$AE$3=Z$3)*($V333:$AE333=Z333)*($V$2:$AE$2&lt;Z$2))),2))))</f>
      </c>
      <c r="AK333" s="33">
        <f>IF(AA333&lt;=0,0,MAX(0,MIN(AA333,ROUND($AZ333-SUMPRODUCT($V333:$AE333*($V333:$AE333&gt;0)*(($V$3:$AE$3&gt;AA$3)+($V$3:$AE$3=AA$3)*($V333:$AE333&lt;AA333)+($V$3:$AE$3=AA$3)*($V333:$AE333=AA333)*($V$2:$AE$2&lt;AA$2))),2))))</f>
      </c>
      <c r="AL333" s="33">
        <f>IF(AB333&lt;=0,0,MAX(0,MIN(AB333,ROUND($AZ333-SUMPRODUCT($V333:$AE333*($V333:$AE333&gt;0)*(($V$3:$AE$3&gt;AB$3)+($V$3:$AE$3=AB$3)*($V333:$AE333&lt;AB333)+($V$3:$AE$3=AB$3)*($V333:$AE333=AB333)*($V$2:$AE$2&lt;AB$2))),2))))</f>
      </c>
      <c r="AM333" s="33">
        <f>IF(AC333&lt;=0,0,MAX(0,MIN(AC333,ROUND($AZ333-SUMPRODUCT($V333:$AE333*($V333:$AE333&gt;0)*(($V$3:$AE$3&gt;AC$3)+($V$3:$AE$3=AC$3)*($V333:$AE333&lt;AC333)+($V$3:$AE$3=AC$3)*($V333:$AE333=AC333)*($V$2:$AE$2&lt;AC$2))),2))))</f>
      </c>
      <c r="AN333" s="33">
        <f>IF(AD333&lt;=0,0,MAX(0,MIN(AD333,ROUND($AZ333-SUMPRODUCT($V333:$AE333*($V333:$AE333&gt;0)*(($V$3:$AE$3&gt;AD$3)+($V$3:$AE$3=AD$3)*($V333:$AE333&lt;AD333)+($V$3:$AE$3=AD$3)*($V333:$AE333=AD333)*($V$2:$AE$2&lt;AD$2))),2))))</f>
      </c>
      <c r="AO333" s="33">
        <f>IF(AE333&lt;=0,0,MAX(0,MIN(AE333,ROUND($AZ333-SUMPRODUCT($V333:$AE333*($V333:$AE333&gt;0)*(($V$3:$AE$3&gt;AE$3)+($V$3:$AE$3=AE$3)*($V333:$AE333&lt;AE333)+($V$3:$AE$3=AE$3)*($V333:$AE333=AE333)*($V$2:$AE$2&lt;AE$2))),2))))</f>
      </c>
      <c r="AP333" s="33">
        <f>ROUND(V333-AF333,2)</f>
      </c>
      <c r="AQ333" s="33">
        <f>ROUND(W333-AG333,2)</f>
      </c>
      <c r="AR333" s="33">
        <f>ROUND(X333-AH333,2)</f>
      </c>
      <c r="AS333" s="33">
        <f>ROUND(Y333-AI333,2)</f>
      </c>
      <c r="AT333" s="33">
        <f>ROUND(Z333-AJ333,2)</f>
      </c>
      <c r="AU333" s="33">
        <f>ROUND(AA333-AK333,2)</f>
      </c>
      <c r="AV333" s="33">
        <f>ROUND(AB333-AL333,2)</f>
      </c>
      <c r="AW333" s="33">
        <f>ROUND(AC333-AM333,2)</f>
      </c>
      <c r="AX333" s="33">
        <f>ROUND(AD333-AN333,2)</f>
      </c>
      <c r="AY333" s="33">
        <f>ROUND(AE333-AO333,2)</f>
      </c>
      <c r="AZ333" s="33">
        <f>ROUND(MAX(0,'Your debts'!$D$22-SUM($L333:$U333)),2)</f>
      </c>
      <c r="BA333" s="33">
        <f>ROUND(SUM($B333:$K333)-SUM($AP332:$AY332),2)</f>
      </c>
      <c r="BB333" s="33">
        <f>SUM($AP333:$AY333)</f>
      </c>
      <c r="BC333" s="33">
        <f>ROUND(SUM($L333:$U333)+SUM($AF333:$AO333),2)</f>
      </c>
    </row>
    <row r="334" spans="1:55" x14ac:dyDescent="0.25">
      <c r="A334">
        <v>327</v>
      </c>
      <c r="B334" s="33">
        <f>IF(AP333&lt;=0,0,ROUND(AP333+ROUND(AP333*V$3/12,2),2))</f>
      </c>
      <c r="C334" s="33">
        <f>IF(AQ333&lt;=0,0,ROUND(AQ333+ROUND(AQ333*W$3/12,2),2))</f>
      </c>
      <c r="D334" s="33">
        <f>IF(AR333&lt;=0,0,ROUND(AR333+ROUND(AR333*X$3/12,2),2))</f>
      </c>
      <c r="E334" s="33">
        <f>IF(AS333&lt;=0,0,ROUND(AS333+ROUND(AS333*Y$3/12,2),2))</f>
      </c>
      <c r="F334" s="33">
        <f>IF(AT333&lt;=0,0,ROUND(AT333+ROUND(AT333*Z$3/12,2),2))</f>
      </c>
      <c r="G334" s="33">
        <f>IF(AU333&lt;=0,0,ROUND(AU333+ROUND(AU333*AA$3/12,2),2))</f>
      </c>
      <c r="H334" s="33">
        <f>IF(AV333&lt;=0,0,ROUND(AV333+ROUND(AV333*AB$3/12,2),2))</f>
      </c>
      <c r="I334" s="33">
        <f>IF(AW333&lt;=0,0,ROUND(AW333+ROUND(AW333*AC$3/12,2),2))</f>
      </c>
      <c r="J334" s="33">
        <f>IF(AX333&lt;=0,0,ROUND(AX333+ROUND(AX333*AD$3/12,2),2))</f>
      </c>
      <c r="K334" s="33">
        <f>IF(AY333&lt;=0,0,ROUND(AY333+ROUND(AY333*AE$3/12,2),2))</f>
      </c>
      <c r="L334" s="33">
        <f>ROUND(MIN(MAX(0,N('Your debts'!$E$6)),B334),2)</f>
      </c>
      <c r="M334" s="33">
        <f>ROUND(MIN(MAX(0,N('Your debts'!$E$7)),C334),2)</f>
      </c>
      <c r="N334" s="33">
        <f>ROUND(MIN(MAX(0,N('Your debts'!$E$8)),D334),2)</f>
      </c>
      <c r="O334" s="33">
        <f>ROUND(MIN(MAX(0,N('Your debts'!$E$9)),E334),2)</f>
      </c>
      <c r="P334" s="33">
        <f>ROUND(MIN(MAX(0,N('Your debts'!$E$10)),F334),2)</f>
      </c>
      <c r="Q334" s="33">
        <f>ROUND(MIN(MAX(0,N('Your debts'!$E$11)),G334),2)</f>
      </c>
      <c r="R334" s="33">
        <f>ROUND(MIN(MAX(0,N('Your debts'!$E$12)),H334),2)</f>
      </c>
      <c r="S334" s="33">
        <f>ROUND(MIN(MAX(0,N('Your debts'!$E$13)),I334),2)</f>
      </c>
      <c r="T334" s="33">
        <f>ROUND(MIN(MAX(0,N('Your debts'!$E$14)),J334),2)</f>
      </c>
      <c r="U334" s="33">
        <f>ROUND(MIN(MAX(0,N('Your debts'!$E$15)),K334),2)</f>
      </c>
      <c r="V334" s="33">
        <f>ROUND(B334-L334,2)</f>
      </c>
      <c r="W334" s="33">
        <f>ROUND(C334-M334,2)</f>
      </c>
      <c r="X334" s="33">
        <f>ROUND(D334-N334,2)</f>
      </c>
      <c r="Y334" s="33">
        <f>ROUND(E334-O334,2)</f>
      </c>
      <c r="Z334" s="33">
        <f>ROUND(F334-P334,2)</f>
      </c>
      <c r="AA334" s="33">
        <f>ROUND(G334-Q334,2)</f>
      </c>
      <c r="AB334" s="33">
        <f>ROUND(H334-R334,2)</f>
      </c>
      <c r="AC334" s="33">
        <f>ROUND(I334-S334,2)</f>
      </c>
      <c r="AD334" s="33">
        <f>ROUND(J334-T334,2)</f>
      </c>
      <c r="AE334" s="33">
        <f>ROUND(K334-U334,2)</f>
      </c>
      <c r="AF334" s="33">
        <f>IF(V334&lt;=0,0,MAX(0,MIN(V334,ROUND($AZ334-SUMPRODUCT($V334:$AE334*($V334:$AE334&gt;0)*(($V$3:$AE$3&gt;V$3)+($V$3:$AE$3=V$3)*($V334:$AE334&lt;V334)+($V$3:$AE$3=V$3)*($V334:$AE334=V334)*($V$2:$AE$2&lt;V$2))),2))))</f>
      </c>
      <c r="AG334" s="33">
        <f>IF(W334&lt;=0,0,MAX(0,MIN(W334,ROUND($AZ334-SUMPRODUCT($V334:$AE334*($V334:$AE334&gt;0)*(($V$3:$AE$3&gt;W$3)+($V$3:$AE$3=W$3)*($V334:$AE334&lt;W334)+($V$3:$AE$3=W$3)*($V334:$AE334=W334)*($V$2:$AE$2&lt;W$2))),2))))</f>
      </c>
      <c r="AH334" s="33">
        <f>IF(X334&lt;=0,0,MAX(0,MIN(X334,ROUND($AZ334-SUMPRODUCT($V334:$AE334*($V334:$AE334&gt;0)*(($V$3:$AE$3&gt;X$3)+($V$3:$AE$3=X$3)*($V334:$AE334&lt;X334)+($V$3:$AE$3=X$3)*($V334:$AE334=X334)*($V$2:$AE$2&lt;X$2))),2))))</f>
      </c>
      <c r="AI334" s="33">
        <f>IF(Y334&lt;=0,0,MAX(0,MIN(Y334,ROUND($AZ334-SUMPRODUCT($V334:$AE334*($V334:$AE334&gt;0)*(($V$3:$AE$3&gt;Y$3)+($V$3:$AE$3=Y$3)*($V334:$AE334&lt;Y334)+($V$3:$AE$3=Y$3)*($V334:$AE334=Y334)*($V$2:$AE$2&lt;Y$2))),2))))</f>
      </c>
      <c r="AJ334" s="33">
        <f>IF(Z334&lt;=0,0,MAX(0,MIN(Z334,ROUND($AZ334-SUMPRODUCT($V334:$AE334*($V334:$AE334&gt;0)*(($V$3:$AE$3&gt;Z$3)+($V$3:$AE$3=Z$3)*($V334:$AE334&lt;Z334)+($V$3:$AE$3=Z$3)*($V334:$AE334=Z334)*($V$2:$AE$2&lt;Z$2))),2))))</f>
      </c>
      <c r="AK334" s="33">
        <f>IF(AA334&lt;=0,0,MAX(0,MIN(AA334,ROUND($AZ334-SUMPRODUCT($V334:$AE334*($V334:$AE334&gt;0)*(($V$3:$AE$3&gt;AA$3)+($V$3:$AE$3=AA$3)*($V334:$AE334&lt;AA334)+($V$3:$AE$3=AA$3)*($V334:$AE334=AA334)*($V$2:$AE$2&lt;AA$2))),2))))</f>
      </c>
      <c r="AL334" s="33">
        <f>IF(AB334&lt;=0,0,MAX(0,MIN(AB334,ROUND($AZ334-SUMPRODUCT($V334:$AE334*($V334:$AE334&gt;0)*(($V$3:$AE$3&gt;AB$3)+($V$3:$AE$3=AB$3)*($V334:$AE334&lt;AB334)+($V$3:$AE$3=AB$3)*($V334:$AE334=AB334)*($V$2:$AE$2&lt;AB$2))),2))))</f>
      </c>
      <c r="AM334" s="33">
        <f>IF(AC334&lt;=0,0,MAX(0,MIN(AC334,ROUND($AZ334-SUMPRODUCT($V334:$AE334*($V334:$AE334&gt;0)*(($V$3:$AE$3&gt;AC$3)+($V$3:$AE$3=AC$3)*($V334:$AE334&lt;AC334)+($V$3:$AE$3=AC$3)*($V334:$AE334=AC334)*($V$2:$AE$2&lt;AC$2))),2))))</f>
      </c>
      <c r="AN334" s="33">
        <f>IF(AD334&lt;=0,0,MAX(0,MIN(AD334,ROUND($AZ334-SUMPRODUCT($V334:$AE334*($V334:$AE334&gt;0)*(($V$3:$AE$3&gt;AD$3)+($V$3:$AE$3=AD$3)*($V334:$AE334&lt;AD334)+($V$3:$AE$3=AD$3)*($V334:$AE334=AD334)*($V$2:$AE$2&lt;AD$2))),2))))</f>
      </c>
      <c r="AO334" s="33">
        <f>IF(AE334&lt;=0,0,MAX(0,MIN(AE334,ROUND($AZ334-SUMPRODUCT($V334:$AE334*($V334:$AE334&gt;0)*(($V$3:$AE$3&gt;AE$3)+($V$3:$AE$3=AE$3)*($V334:$AE334&lt;AE334)+($V$3:$AE$3=AE$3)*($V334:$AE334=AE334)*($V$2:$AE$2&lt;AE$2))),2))))</f>
      </c>
      <c r="AP334" s="33">
        <f>ROUND(V334-AF334,2)</f>
      </c>
      <c r="AQ334" s="33">
        <f>ROUND(W334-AG334,2)</f>
      </c>
      <c r="AR334" s="33">
        <f>ROUND(X334-AH334,2)</f>
      </c>
      <c r="AS334" s="33">
        <f>ROUND(Y334-AI334,2)</f>
      </c>
      <c r="AT334" s="33">
        <f>ROUND(Z334-AJ334,2)</f>
      </c>
      <c r="AU334" s="33">
        <f>ROUND(AA334-AK334,2)</f>
      </c>
      <c r="AV334" s="33">
        <f>ROUND(AB334-AL334,2)</f>
      </c>
      <c r="AW334" s="33">
        <f>ROUND(AC334-AM334,2)</f>
      </c>
      <c r="AX334" s="33">
        <f>ROUND(AD334-AN334,2)</f>
      </c>
      <c r="AY334" s="33">
        <f>ROUND(AE334-AO334,2)</f>
      </c>
      <c r="AZ334" s="33">
        <f>ROUND(MAX(0,'Your debts'!$D$22-SUM($L334:$U334)),2)</f>
      </c>
      <c r="BA334" s="33">
        <f>ROUND(SUM($B334:$K334)-SUM($AP333:$AY333),2)</f>
      </c>
      <c r="BB334" s="33">
        <f>SUM($AP334:$AY334)</f>
      </c>
      <c r="BC334" s="33">
        <f>ROUND(SUM($L334:$U334)+SUM($AF334:$AO334),2)</f>
      </c>
    </row>
    <row r="335" spans="1:55" x14ac:dyDescent="0.25">
      <c r="A335">
        <v>328</v>
      </c>
      <c r="B335" s="33">
        <f>IF(AP334&lt;=0,0,ROUND(AP334+ROUND(AP334*V$3/12,2),2))</f>
      </c>
      <c r="C335" s="33">
        <f>IF(AQ334&lt;=0,0,ROUND(AQ334+ROUND(AQ334*W$3/12,2),2))</f>
      </c>
      <c r="D335" s="33">
        <f>IF(AR334&lt;=0,0,ROUND(AR334+ROUND(AR334*X$3/12,2),2))</f>
      </c>
      <c r="E335" s="33">
        <f>IF(AS334&lt;=0,0,ROUND(AS334+ROUND(AS334*Y$3/12,2),2))</f>
      </c>
      <c r="F335" s="33">
        <f>IF(AT334&lt;=0,0,ROUND(AT334+ROUND(AT334*Z$3/12,2),2))</f>
      </c>
      <c r="G335" s="33">
        <f>IF(AU334&lt;=0,0,ROUND(AU334+ROUND(AU334*AA$3/12,2),2))</f>
      </c>
      <c r="H335" s="33">
        <f>IF(AV334&lt;=0,0,ROUND(AV334+ROUND(AV334*AB$3/12,2),2))</f>
      </c>
      <c r="I335" s="33">
        <f>IF(AW334&lt;=0,0,ROUND(AW334+ROUND(AW334*AC$3/12,2),2))</f>
      </c>
      <c r="J335" s="33">
        <f>IF(AX334&lt;=0,0,ROUND(AX334+ROUND(AX334*AD$3/12,2),2))</f>
      </c>
      <c r="K335" s="33">
        <f>IF(AY334&lt;=0,0,ROUND(AY334+ROUND(AY334*AE$3/12,2),2))</f>
      </c>
      <c r="L335" s="33">
        <f>ROUND(MIN(MAX(0,N('Your debts'!$E$6)),B335),2)</f>
      </c>
      <c r="M335" s="33">
        <f>ROUND(MIN(MAX(0,N('Your debts'!$E$7)),C335),2)</f>
      </c>
      <c r="N335" s="33">
        <f>ROUND(MIN(MAX(0,N('Your debts'!$E$8)),D335),2)</f>
      </c>
      <c r="O335" s="33">
        <f>ROUND(MIN(MAX(0,N('Your debts'!$E$9)),E335),2)</f>
      </c>
      <c r="P335" s="33">
        <f>ROUND(MIN(MAX(0,N('Your debts'!$E$10)),F335),2)</f>
      </c>
      <c r="Q335" s="33">
        <f>ROUND(MIN(MAX(0,N('Your debts'!$E$11)),G335),2)</f>
      </c>
      <c r="R335" s="33">
        <f>ROUND(MIN(MAX(0,N('Your debts'!$E$12)),H335),2)</f>
      </c>
      <c r="S335" s="33">
        <f>ROUND(MIN(MAX(0,N('Your debts'!$E$13)),I335),2)</f>
      </c>
      <c r="T335" s="33">
        <f>ROUND(MIN(MAX(0,N('Your debts'!$E$14)),J335),2)</f>
      </c>
      <c r="U335" s="33">
        <f>ROUND(MIN(MAX(0,N('Your debts'!$E$15)),K335),2)</f>
      </c>
      <c r="V335" s="33">
        <f>ROUND(B335-L335,2)</f>
      </c>
      <c r="W335" s="33">
        <f>ROUND(C335-M335,2)</f>
      </c>
      <c r="X335" s="33">
        <f>ROUND(D335-N335,2)</f>
      </c>
      <c r="Y335" s="33">
        <f>ROUND(E335-O335,2)</f>
      </c>
      <c r="Z335" s="33">
        <f>ROUND(F335-P335,2)</f>
      </c>
      <c r="AA335" s="33">
        <f>ROUND(G335-Q335,2)</f>
      </c>
      <c r="AB335" s="33">
        <f>ROUND(H335-R335,2)</f>
      </c>
      <c r="AC335" s="33">
        <f>ROUND(I335-S335,2)</f>
      </c>
      <c r="AD335" s="33">
        <f>ROUND(J335-T335,2)</f>
      </c>
      <c r="AE335" s="33">
        <f>ROUND(K335-U335,2)</f>
      </c>
      <c r="AF335" s="33">
        <f>IF(V335&lt;=0,0,MAX(0,MIN(V335,ROUND($AZ335-SUMPRODUCT($V335:$AE335*($V335:$AE335&gt;0)*(($V$3:$AE$3&gt;V$3)+($V$3:$AE$3=V$3)*($V335:$AE335&lt;V335)+($V$3:$AE$3=V$3)*($V335:$AE335=V335)*($V$2:$AE$2&lt;V$2))),2))))</f>
      </c>
      <c r="AG335" s="33">
        <f>IF(W335&lt;=0,0,MAX(0,MIN(W335,ROUND($AZ335-SUMPRODUCT($V335:$AE335*($V335:$AE335&gt;0)*(($V$3:$AE$3&gt;W$3)+($V$3:$AE$3=W$3)*($V335:$AE335&lt;W335)+($V$3:$AE$3=W$3)*($V335:$AE335=W335)*($V$2:$AE$2&lt;W$2))),2))))</f>
      </c>
      <c r="AH335" s="33">
        <f>IF(X335&lt;=0,0,MAX(0,MIN(X335,ROUND($AZ335-SUMPRODUCT($V335:$AE335*($V335:$AE335&gt;0)*(($V$3:$AE$3&gt;X$3)+($V$3:$AE$3=X$3)*($V335:$AE335&lt;X335)+($V$3:$AE$3=X$3)*($V335:$AE335=X335)*($V$2:$AE$2&lt;X$2))),2))))</f>
      </c>
      <c r="AI335" s="33">
        <f>IF(Y335&lt;=0,0,MAX(0,MIN(Y335,ROUND($AZ335-SUMPRODUCT($V335:$AE335*($V335:$AE335&gt;0)*(($V$3:$AE$3&gt;Y$3)+($V$3:$AE$3=Y$3)*($V335:$AE335&lt;Y335)+($V$3:$AE$3=Y$3)*($V335:$AE335=Y335)*($V$2:$AE$2&lt;Y$2))),2))))</f>
      </c>
      <c r="AJ335" s="33">
        <f>IF(Z335&lt;=0,0,MAX(0,MIN(Z335,ROUND($AZ335-SUMPRODUCT($V335:$AE335*($V335:$AE335&gt;0)*(($V$3:$AE$3&gt;Z$3)+($V$3:$AE$3=Z$3)*($V335:$AE335&lt;Z335)+($V$3:$AE$3=Z$3)*($V335:$AE335=Z335)*($V$2:$AE$2&lt;Z$2))),2))))</f>
      </c>
      <c r="AK335" s="33">
        <f>IF(AA335&lt;=0,0,MAX(0,MIN(AA335,ROUND($AZ335-SUMPRODUCT($V335:$AE335*($V335:$AE335&gt;0)*(($V$3:$AE$3&gt;AA$3)+($V$3:$AE$3=AA$3)*($V335:$AE335&lt;AA335)+($V$3:$AE$3=AA$3)*($V335:$AE335=AA335)*($V$2:$AE$2&lt;AA$2))),2))))</f>
      </c>
      <c r="AL335" s="33">
        <f>IF(AB335&lt;=0,0,MAX(0,MIN(AB335,ROUND($AZ335-SUMPRODUCT($V335:$AE335*($V335:$AE335&gt;0)*(($V$3:$AE$3&gt;AB$3)+($V$3:$AE$3=AB$3)*($V335:$AE335&lt;AB335)+($V$3:$AE$3=AB$3)*($V335:$AE335=AB335)*($V$2:$AE$2&lt;AB$2))),2))))</f>
      </c>
      <c r="AM335" s="33">
        <f>IF(AC335&lt;=0,0,MAX(0,MIN(AC335,ROUND($AZ335-SUMPRODUCT($V335:$AE335*($V335:$AE335&gt;0)*(($V$3:$AE$3&gt;AC$3)+($V$3:$AE$3=AC$3)*($V335:$AE335&lt;AC335)+($V$3:$AE$3=AC$3)*($V335:$AE335=AC335)*($V$2:$AE$2&lt;AC$2))),2))))</f>
      </c>
      <c r="AN335" s="33">
        <f>IF(AD335&lt;=0,0,MAX(0,MIN(AD335,ROUND($AZ335-SUMPRODUCT($V335:$AE335*($V335:$AE335&gt;0)*(($V$3:$AE$3&gt;AD$3)+($V$3:$AE$3=AD$3)*($V335:$AE335&lt;AD335)+($V$3:$AE$3=AD$3)*($V335:$AE335=AD335)*($V$2:$AE$2&lt;AD$2))),2))))</f>
      </c>
      <c r="AO335" s="33">
        <f>IF(AE335&lt;=0,0,MAX(0,MIN(AE335,ROUND($AZ335-SUMPRODUCT($V335:$AE335*($V335:$AE335&gt;0)*(($V$3:$AE$3&gt;AE$3)+($V$3:$AE$3=AE$3)*($V335:$AE335&lt;AE335)+($V$3:$AE$3=AE$3)*($V335:$AE335=AE335)*($V$2:$AE$2&lt;AE$2))),2))))</f>
      </c>
      <c r="AP335" s="33">
        <f>ROUND(V335-AF335,2)</f>
      </c>
      <c r="AQ335" s="33">
        <f>ROUND(W335-AG335,2)</f>
      </c>
      <c r="AR335" s="33">
        <f>ROUND(X335-AH335,2)</f>
      </c>
      <c r="AS335" s="33">
        <f>ROUND(Y335-AI335,2)</f>
      </c>
      <c r="AT335" s="33">
        <f>ROUND(Z335-AJ335,2)</f>
      </c>
      <c r="AU335" s="33">
        <f>ROUND(AA335-AK335,2)</f>
      </c>
      <c r="AV335" s="33">
        <f>ROUND(AB335-AL335,2)</f>
      </c>
      <c r="AW335" s="33">
        <f>ROUND(AC335-AM335,2)</f>
      </c>
      <c r="AX335" s="33">
        <f>ROUND(AD335-AN335,2)</f>
      </c>
      <c r="AY335" s="33">
        <f>ROUND(AE335-AO335,2)</f>
      </c>
      <c r="AZ335" s="33">
        <f>ROUND(MAX(0,'Your debts'!$D$22-SUM($L335:$U335)),2)</f>
      </c>
      <c r="BA335" s="33">
        <f>ROUND(SUM($B335:$K335)-SUM($AP334:$AY334),2)</f>
      </c>
      <c r="BB335" s="33">
        <f>SUM($AP335:$AY335)</f>
      </c>
      <c r="BC335" s="33">
        <f>ROUND(SUM($L335:$U335)+SUM($AF335:$AO335),2)</f>
      </c>
    </row>
    <row r="336" spans="1:55" x14ac:dyDescent="0.25">
      <c r="A336">
        <v>329</v>
      </c>
      <c r="B336" s="33">
        <f>IF(AP335&lt;=0,0,ROUND(AP335+ROUND(AP335*V$3/12,2),2))</f>
      </c>
      <c r="C336" s="33">
        <f>IF(AQ335&lt;=0,0,ROUND(AQ335+ROUND(AQ335*W$3/12,2),2))</f>
      </c>
      <c r="D336" s="33">
        <f>IF(AR335&lt;=0,0,ROUND(AR335+ROUND(AR335*X$3/12,2),2))</f>
      </c>
      <c r="E336" s="33">
        <f>IF(AS335&lt;=0,0,ROUND(AS335+ROUND(AS335*Y$3/12,2),2))</f>
      </c>
      <c r="F336" s="33">
        <f>IF(AT335&lt;=0,0,ROUND(AT335+ROUND(AT335*Z$3/12,2),2))</f>
      </c>
      <c r="G336" s="33">
        <f>IF(AU335&lt;=0,0,ROUND(AU335+ROUND(AU335*AA$3/12,2),2))</f>
      </c>
      <c r="H336" s="33">
        <f>IF(AV335&lt;=0,0,ROUND(AV335+ROUND(AV335*AB$3/12,2),2))</f>
      </c>
      <c r="I336" s="33">
        <f>IF(AW335&lt;=0,0,ROUND(AW335+ROUND(AW335*AC$3/12,2),2))</f>
      </c>
      <c r="J336" s="33">
        <f>IF(AX335&lt;=0,0,ROUND(AX335+ROUND(AX335*AD$3/12,2),2))</f>
      </c>
      <c r="K336" s="33">
        <f>IF(AY335&lt;=0,0,ROUND(AY335+ROUND(AY335*AE$3/12,2),2))</f>
      </c>
      <c r="L336" s="33">
        <f>ROUND(MIN(MAX(0,N('Your debts'!$E$6)),B336),2)</f>
      </c>
      <c r="M336" s="33">
        <f>ROUND(MIN(MAX(0,N('Your debts'!$E$7)),C336),2)</f>
      </c>
      <c r="N336" s="33">
        <f>ROUND(MIN(MAX(0,N('Your debts'!$E$8)),D336),2)</f>
      </c>
      <c r="O336" s="33">
        <f>ROUND(MIN(MAX(0,N('Your debts'!$E$9)),E336),2)</f>
      </c>
      <c r="P336" s="33">
        <f>ROUND(MIN(MAX(0,N('Your debts'!$E$10)),F336),2)</f>
      </c>
      <c r="Q336" s="33">
        <f>ROUND(MIN(MAX(0,N('Your debts'!$E$11)),G336),2)</f>
      </c>
      <c r="R336" s="33">
        <f>ROUND(MIN(MAX(0,N('Your debts'!$E$12)),H336),2)</f>
      </c>
      <c r="S336" s="33">
        <f>ROUND(MIN(MAX(0,N('Your debts'!$E$13)),I336),2)</f>
      </c>
      <c r="T336" s="33">
        <f>ROUND(MIN(MAX(0,N('Your debts'!$E$14)),J336),2)</f>
      </c>
      <c r="U336" s="33">
        <f>ROUND(MIN(MAX(0,N('Your debts'!$E$15)),K336),2)</f>
      </c>
      <c r="V336" s="33">
        <f>ROUND(B336-L336,2)</f>
      </c>
      <c r="W336" s="33">
        <f>ROUND(C336-M336,2)</f>
      </c>
      <c r="X336" s="33">
        <f>ROUND(D336-N336,2)</f>
      </c>
      <c r="Y336" s="33">
        <f>ROUND(E336-O336,2)</f>
      </c>
      <c r="Z336" s="33">
        <f>ROUND(F336-P336,2)</f>
      </c>
      <c r="AA336" s="33">
        <f>ROUND(G336-Q336,2)</f>
      </c>
      <c r="AB336" s="33">
        <f>ROUND(H336-R336,2)</f>
      </c>
      <c r="AC336" s="33">
        <f>ROUND(I336-S336,2)</f>
      </c>
      <c r="AD336" s="33">
        <f>ROUND(J336-T336,2)</f>
      </c>
      <c r="AE336" s="33">
        <f>ROUND(K336-U336,2)</f>
      </c>
      <c r="AF336" s="33">
        <f>IF(V336&lt;=0,0,MAX(0,MIN(V336,ROUND($AZ336-SUMPRODUCT($V336:$AE336*($V336:$AE336&gt;0)*(($V$3:$AE$3&gt;V$3)+($V$3:$AE$3=V$3)*($V336:$AE336&lt;V336)+($V$3:$AE$3=V$3)*($V336:$AE336=V336)*($V$2:$AE$2&lt;V$2))),2))))</f>
      </c>
      <c r="AG336" s="33">
        <f>IF(W336&lt;=0,0,MAX(0,MIN(W336,ROUND($AZ336-SUMPRODUCT($V336:$AE336*($V336:$AE336&gt;0)*(($V$3:$AE$3&gt;W$3)+($V$3:$AE$3=W$3)*($V336:$AE336&lt;W336)+($V$3:$AE$3=W$3)*($V336:$AE336=W336)*($V$2:$AE$2&lt;W$2))),2))))</f>
      </c>
      <c r="AH336" s="33">
        <f>IF(X336&lt;=0,0,MAX(0,MIN(X336,ROUND($AZ336-SUMPRODUCT($V336:$AE336*($V336:$AE336&gt;0)*(($V$3:$AE$3&gt;X$3)+($V$3:$AE$3=X$3)*($V336:$AE336&lt;X336)+($V$3:$AE$3=X$3)*($V336:$AE336=X336)*($V$2:$AE$2&lt;X$2))),2))))</f>
      </c>
      <c r="AI336" s="33">
        <f>IF(Y336&lt;=0,0,MAX(0,MIN(Y336,ROUND($AZ336-SUMPRODUCT($V336:$AE336*($V336:$AE336&gt;0)*(($V$3:$AE$3&gt;Y$3)+($V$3:$AE$3=Y$3)*($V336:$AE336&lt;Y336)+($V$3:$AE$3=Y$3)*($V336:$AE336=Y336)*($V$2:$AE$2&lt;Y$2))),2))))</f>
      </c>
      <c r="AJ336" s="33">
        <f>IF(Z336&lt;=0,0,MAX(0,MIN(Z336,ROUND($AZ336-SUMPRODUCT($V336:$AE336*($V336:$AE336&gt;0)*(($V$3:$AE$3&gt;Z$3)+($V$3:$AE$3=Z$3)*($V336:$AE336&lt;Z336)+($V$3:$AE$3=Z$3)*($V336:$AE336=Z336)*($V$2:$AE$2&lt;Z$2))),2))))</f>
      </c>
      <c r="AK336" s="33">
        <f>IF(AA336&lt;=0,0,MAX(0,MIN(AA336,ROUND($AZ336-SUMPRODUCT($V336:$AE336*($V336:$AE336&gt;0)*(($V$3:$AE$3&gt;AA$3)+($V$3:$AE$3=AA$3)*($V336:$AE336&lt;AA336)+($V$3:$AE$3=AA$3)*($V336:$AE336=AA336)*($V$2:$AE$2&lt;AA$2))),2))))</f>
      </c>
      <c r="AL336" s="33">
        <f>IF(AB336&lt;=0,0,MAX(0,MIN(AB336,ROUND($AZ336-SUMPRODUCT($V336:$AE336*($V336:$AE336&gt;0)*(($V$3:$AE$3&gt;AB$3)+($V$3:$AE$3=AB$3)*($V336:$AE336&lt;AB336)+($V$3:$AE$3=AB$3)*($V336:$AE336=AB336)*($V$2:$AE$2&lt;AB$2))),2))))</f>
      </c>
      <c r="AM336" s="33">
        <f>IF(AC336&lt;=0,0,MAX(0,MIN(AC336,ROUND($AZ336-SUMPRODUCT($V336:$AE336*($V336:$AE336&gt;0)*(($V$3:$AE$3&gt;AC$3)+($V$3:$AE$3=AC$3)*($V336:$AE336&lt;AC336)+($V$3:$AE$3=AC$3)*($V336:$AE336=AC336)*($V$2:$AE$2&lt;AC$2))),2))))</f>
      </c>
      <c r="AN336" s="33">
        <f>IF(AD336&lt;=0,0,MAX(0,MIN(AD336,ROUND($AZ336-SUMPRODUCT($V336:$AE336*($V336:$AE336&gt;0)*(($V$3:$AE$3&gt;AD$3)+($V$3:$AE$3=AD$3)*($V336:$AE336&lt;AD336)+($V$3:$AE$3=AD$3)*($V336:$AE336=AD336)*($V$2:$AE$2&lt;AD$2))),2))))</f>
      </c>
      <c r="AO336" s="33">
        <f>IF(AE336&lt;=0,0,MAX(0,MIN(AE336,ROUND($AZ336-SUMPRODUCT($V336:$AE336*($V336:$AE336&gt;0)*(($V$3:$AE$3&gt;AE$3)+($V$3:$AE$3=AE$3)*($V336:$AE336&lt;AE336)+($V$3:$AE$3=AE$3)*($V336:$AE336=AE336)*($V$2:$AE$2&lt;AE$2))),2))))</f>
      </c>
      <c r="AP336" s="33">
        <f>ROUND(V336-AF336,2)</f>
      </c>
      <c r="AQ336" s="33">
        <f>ROUND(W336-AG336,2)</f>
      </c>
      <c r="AR336" s="33">
        <f>ROUND(X336-AH336,2)</f>
      </c>
      <c r="AS336" s="33">
        <f>ROUND(Y336-AI336,2)</f>
      </c>
      <c r="AT336" s="33">
        <f>ROUND(Z336-AJ336,2)</f>
      </c>
      <c r="AU336" s="33">
        <f>ROUND(AA336-AK336,2)</f>
      </c>
      <c r="AV336" s="33">
        <f>ROUND(AB336-AL336,2)</f>
      </c>
      <c r="AW336" s="33">
        <f>ROUND(AC336-AM336,2)</f>
      </c>
      <c r="AX336" s="33">
        <f>ROUND(AD336-AN336,2)</f>
      </c>
      <c r="AY336" s="33">
        <f>ROUND(AE336-AO336,2)</f>
      </c>
      <c r="AZ336" s="33">
        <f>ROUND(MAX(0,'Your debts'!$D$22-SUM($L336:$U336)),2)</f>
      </c>
      <c r="BA336" s="33">
        <f>ROUND(SUM($B336:$K336)-SUM($AP335:$AY335),2)</f>
      </c>
      <c r="BB336" s="33">
        <f>SUM($AP336:$AY336)</f>
      </c>
      <c r="BC336" s="33">
        <f>ROUND(SUM($L336:$U336)+SUM($AF336:$AO336),2)</f>
      </c>
    </row>
    <row r="337" spans="1:55" x14ac:dyDescent="0.25">
      <c r="A337">
        <v>330</v>
      </c>
      <c r="B337" s="33">
        <f>IF(AP336&lt;=0,0,ROUND(AP336+ROUND(AP336*V$3/12,2),2))</f>
      </c>
      <c r="C337" s="33">
        <f>IF(AQ336&lt;=0,0,ROUND(AQ336+ROUND(AQ336*W$3/12,2),2))</f>
      </c>
      <c r="D337" s="33">
        <f>IF(AR336&lt;=0,0,ROUND(AR336+ROUND(AR336*X$3/12,2),2))</f>
      </c>
      <c r="E337" s="33">
        <f>IF(AS336&lt;=0,0,ROUND(AS336+ROUND(AS336*Y$3/12,2),2))</f>
      </c>
      <c r="F337" s="33">
        <f>IF(AT336&lt;=0,0,ROUND(AT336+ROUND(AT336*Z$3/12,2),2))</f>
      </c>
      <c r="G337" s="33">
        <f>IF(AU336&lt;=0,0,ROUND(AU336+ROUND(AU336*AA$3/12,2),2))</f>
      </c>
      <c r="H337" s="33">
        <f>IF(AV336&lt;=0,0,ROUND(AV336+ROUND(AV336*AB$3/12,2),2))</f>
      </c>
      <c r="I337" s="33">
        <f>IF(AW336&lt;=0,0,ROUND(AW336+ROUND(AW336*AC$3/12,2),2))</f>
      </c>
      <c r="J337" s="33">
        <f>IF(AX336&lt;=0,0,ROUND(AX336+ROUND(AX336*AD$3/12,2),2))</f>
      </c>
      <c r="K337" s="33">
        <f>IF(AY336&lt;=0,0,ROUND(AY336+ROUND(AY336*AE$3/12,2),2))</f>
      </c>
      <c r="L337" s="33">
        <f>ROUND(MIN(MAX(0,N('Your debts'!$E$6)),B337),2)</f>
      </c>
      <c r="M337" s="33">
        <f>ROUND(MIN(MAX(0,N('Your debts'!$E$7)),C337),2)</f>
      </c>
      <c r="N337" s="33">
        <f>ROUND(MIN(MAX(0,N('Your debts'!$E$8)),D337),2)</f>
      </c>
      <c r="O337" s="33">
        <f>ROUND(MIN(MAX(0,N('Your debts'!$E$9)),E337),2)</f>
      </c>
      <c r="P337" s="33">
        <f>ROUND(MIN(MAX(0,N('Your debts'!$E$10)),F337),2)</f>
      </c>
      <c r="Q337" s="33">
        <f>ROUND(MIN(MAX(0,N('Your debts'!$E$11)),G337),2)</f>
      </c>
      <c r="R337" s="33">
        <f>ROUND(MIN(MAX(0,N('Your debts'!$E$12)),H337),2)</f>
      </c>
      <c r="S337" s="33">
        <f>ROUND(MIN(MAX(0,N('Your debts'!$E$13)),I337),2)</f>
      </c>
      <c r="T337" s="33">
        <f>ROUND(MIN(MAX(0,N('Your debts'!$E$14)),J337),2)</f>
      </c>
      <c r="U337" s="33">
        <f>ROUND(MIN(MAX(0,N('Your debts'!$E$15)),K337),2)</f>
      </c>
      <c r="V337" s="33">
        <f>ROUND(B337-L337,2)</f>
      </c>
      <c r="W337" s="33">
        <f>ROUND(C337-M337,2)</f>
      </c>
      <c r="X337" s="33">
        <f>ROUND(D337-N337,2)</f>
      </c>
      <c r="Y337" s="33">
        <f>ROUND(E337-O337,2)</f>
      </c>
      <c r="Z337" s="33">
        <f>ROUND(F337-P337,2)</f>
      </c>
      <c r="AA337" s="33">
        <f>ROUND(G337-Q337,2)</f>
      </c>
      <c r="AB337" s="33">
        <f>ROUND(H337-R337,2)</f>
      </c>
      <c r="AC337" s="33">
        <f>ROUND(I337-S337,2)</f>
      </c>
      <c r="AD337" s="33">
        <f>ROUND(J337-T337,2)</f>
      </c>
      <c r="AE337" s="33">
        <f>ROUND(K337-U337,2)</f>
      </c>
      <c r="AF337" s="33">
        <f>IF(V337&lt;=0,0,MAX(0,MIN(V337,ROUND($AZ337-SUMPRODUCT($V337:$AE337*($V337:$AE337&gt;0)*(($V$3:$AE$3&gt;V$3)+($V$3:$AE$3=V$3)*($V337:$AE337&lt;V337)+($V$3:$AE$3=V$3)*($V337:$AE337=V337)*($V$2:$AE$2&lt;V$2))),2))))</f>
      </c>
      <c r="AG337" s="33">
        <f>IF(W337&lt;=0,0,MAX(0,MIN(W337,ROUND($AZ337-SUMPRODUCT($V337:$AE337*($V337:$AE337&gt;0)*(($V$3:$AE$3&gt;W$3)+($V$3:$AE$3=W$3)*($V337:$AE337&lt;W337)+($V$3:$AE$3=W$3)*($V337:$AE337=W337)*($V$2:$AE$2&lt;W$2))),2))))</f>
      </c>
      <c r="AH337" s="33">
        <f>IF(X337&lt;=0,0,MAX(0,MIN(X337,ROUND($AZ337-SUMPRODUCT($V337:$AE337*($V337:$AE337&gt;0)*(($V$3:$AE$3&gt;X$3)+($V$3:$AE$3=X$3)*($V337:$AE337&lt;X337)+($V$3:$AE$3=X$3)*($V337:$AE337=X337)*($V$2:$AE$2&lt;X$2))),2))))</f>
      </c>
      <c r="AI337" s="33">
        <f>IF(Y337&lt;=0,0,MAX(0,MIN(Y337,ROUND($AZ337-SUMPRODUCT($V337:$AE337*($V337:$AE337&gt;0)*(($V$3:$AE$3&gt;Y$3)+($V$3:$AE$3=Y$3)*($V337:$AE337&lt;Y337)+($V$3:$AE$3=Y$3)*($V337:$AE337=Y337)*($V$2:$AE$2&lt;Y$2))),2))))</f>
      </c>
      <c r="AJ337" s="33">
        <f>IF(Z337&lt;=0,0,MAX(0,MIN(Z337,ROUND($AZ337-SUMPRODUCT($V337:$AE337*($V337:$AE337&gt;0)*(($V$3:$AE$3&gt;Z$3)+($V$3:$AE$3=Z$3)*($V337:$AE337&lt;Z337)+($V$3:$AE$3=Z$3)*($V337:$AE337=Z337)*($V$2:$AE$2&lt;Z$2))),2))))</f>
      </c>
      <c r="AK337" s="33">
        <f>IF(AA337&lt;=0,0,MAX(0,MIN(AA337,ROUND($AZ337-SUMPRODUCT($V337:$AE337*($V337:$AE337&gt;0)*(($V$3:$AE$3&gt;AA$3)+($V$3:$AE$3=AA$3)*($V337:$AE337&lt;AA337)+($V$3:$AE$3=AA$3)*($V337:$AE337=AA337)*($V$2:$AE$2&lt;AA$2))),2))))</f>
      </c>
      <c r="AL337" s="33">
        <f>IF(AB337&lt;=0,0,MAX(0,MIN(AB337,ROUND($AZ337-SUMPRODUCT($V337:$AE337*($V337:$AE337&gt;0)*(($V$3:$AE$3&gt;AB$3)+($V$3:$AE$3=AB$3)*($V337:$AE337&lt;AB337)+($V$3:$AE$3=AB$3)*($V337:$AE337=AB337)*($V$2:$AE$2&lt;AB$2))),2))))</f>
      </c>
      <c r="AM337" s="33">
        <f>IF(AC337&lt;=0,0,MAX(0,MIN(AC337,ROUND($AZ337-SUMPRODUCT($V337:$AE337*($V337:$AE337&gt;0)*(($V$3:$AE$3&gt;AC$3)+($V$3:$AE$3=AC$3)*($V337:$AE337&lt;AC337)+($V$3:$AE$3=AC$3)*($V337:$AE337=AC337)*($V$2:$AE$2&lt;AC$2))),2))))</f>
      </c>
      <c r="AN337" s="33">
        <f>IF(AD337&lt;=0,0,MAX(0,MIN(AD337,ROUND($AZ337-SUMPRODUCT($V337:$AE337*($V337:$AE337&gt;0)*(($V$3:$AE$3&gt;AD$3)+($V$3:$AE$3=AD$3)*($V337:$AE337&lt;AD337)+($V$3:$AE$3=AD$3)*($V337:$AE337=AD337)*($V$2:$AE$2&lt;AD$2))),2))))</f>
      </c>
      <c r="AO337" s="33">
        <f>IF(AE337&lt;=0,0,MAX(0,MIN(AE337,ROUND($AZ337-SUMPRODUCT($V337:$AE337*($V337:$AE337&gt;0)*(($V$3:$AE$3&gt;AE$3)+($V$3:$AE$3=AE$3)*($V337:$AE337&lt;AE337)+($V$3:$AE$3=AE$3)*($V337:$AE337=AE337)*($V$2:$AE$2&lt;AE$2))),2))))</f>
      </c>
      <c r="AP337" s="33">
        <f>ROUND(V337-AF337,2)</f>
      </c>
      <c r="AQ337" s="33">
        <f>ROUND(W337-AG337,2)</f>
      </c>
      <c r="AR337" s="33">
        <f>ROUND(X337-AH337,2)</f>
      </c>
      <c r="AS337" s="33">
        <f>ROUND(Y337-AI337,2)</f>
      </c>
      <c r="AT337" s="33">
        <f>ROUND(Z337-AJ337,2)</f>
      </c>
      <c r="AU337" s="33">
        <f>ROUND(AA337-AK337,2)</f>
      </c>
      <c r="AV337" s="33">
        <f>ROUND(AB337-AL337,2)</f>
      </c>
      <c r="AW337" s="33">
        <f>ROUND(AC337-AM337,2)</f>
      </c>
      <c r="AX337" s="33">
        <f>ROUND(AD337-AN337,2)</f>
      </c>
      <c r="AY337" s="33">
        <f>ROUND(AE337-AO337,2)</f>
      </c>
      <c r="AZ337" s="33">
        <f>ROUND(MAX(0,'Your debts'!$D$22-SUM($L337:$U337)),2)</f>
      </c>
      <c r="BA337" s="33">
        <f>ROUND(SUM($B337:$K337)-SUM($AP336:$AY336),2)</f>
      </c>
      <c r="BB337" s="33">
        <f>SUM($AP337:$AY337)</f>
      </c>
      <c r="BC337" s="33">
        <f>ROUND(SUM($L337:$U337)+SUM($AF337:$AO337),2)</f>
      </c>
    </row>
    <row r="338" spans="1:55" x14ac:dyDescent="0.25">
      <c r="A338">
        <v>331</v>
      </c>
      <c r="B338" s="33">
        <f>IF(AP337&lt;=0,0,ROUND(AP337+ROUND(AP337*V$3/12,2),2))</f>
      </c>
      <c r="C338" s="33">
        <f>IF(AQ337&lt;=0,0,ROUND(AQ337+ROUND(AQ337*W$3/12,2),2))</f>
      </c>
      <c r="D338" s="33">
        <f>IF(AR337&lt;=0,0,ROUND(AR337+ROUND(AR337*X$3/12,2),2))</f>
      </c>
      <c r="E338" s="33">
        <f>IF(AS337&lt;=0,0,ROUND(AS337+ROUND(AS337*Y$3/12,2),2))</f>
      </c>
      <c r="F338" s="33">
        <f>IF(AT337&lt;=0,0,ROUND(AT337+ROUND(AT337*Z$3/12,2),2))</f>
      </c>
      <c r="G338" s="33">
        <f>IF(AU337&lt;=0,0,ROUND(AU337+ROUND(AU337*AA$3/12,2),2))</f>
      </c>
      <c r="H338" s="33">
        <f>IF(AV337&lt;=0,0,ROUND(AV337+ROUND(AV337*AB$3/12,2),2))</f>
      </c>
      <c r="I338" s="33">
        <f>IF(AW337&lt;=0,0,ROUND(AW337+ROUND(AW337*AC$3/12,2),2))</f>
      </c>
      <c r="J338" s="33">
        <f>IF(AX337&lt;=0,0,ROUND(AX337+ROUND(AX337*AD$3/12,2),2))</f>
      </c>
      <c r="K338" s="33">
        <f>IF(AY337&lt;=0,0,ROUND(AY337+ROUND(AY337*AE$3/12,2),2))</f>
      </c>
      <c r="L338" s="33">
        <f>ROUND(MIN(MAX(0,N('Your debts'!$E$6)),B338),2)</f>
      </c>
      <c r="M338" s="33">
        <f>ROUND(MIN(MAX(0,N('Your debts'!$E$7)),C338),2)</f>
      </c>
      <c r="N338" s="33">
        <f>ROUND(MIN(MAX(0,N('Your debts'!$E$8)),D338),2)</f>
      </c>
      <c r="O338" s="33">
        <f>ROUND(MIN(MAX(0,N('Your debts'!$E$9)),E338),2)</f>
      </c>
      <c r="P338" s="33">
        <f>ROUND(MIN(MAX(0,N('Your debts'!$E$10)),F338),2)</f>
      </c>
      <c r="Q338" s="33">
        <f>ROUND(MIN(MAX(0,N('Your debts'!$E$11)),G338),2)</f>
      </c>
      <c r="R338" s="33">
        <f>ROUND(MIN(MAX(0,N('Your debts'!$E$12)),H338),2)</f>
      </c>
      <c r="S338" s="33">
        <f>ROUND(MIN(MAX(0,N('Your debts'!$E$13)),I338),2)</f>
      </c>
      <c r="T338" s="33">
        <f>ROUND(MIN(MAX(0,N('Your debts'!$E$14)),J338),2)</f>
      </c>
      <c r="U338" s="33">
        <f>ROUND(MIN(MAX(0,N('Your debts'!$E$15)),K338),2)</f>
      </c>
      <c r="V338" s="33">
        <f>ROUND(B338-L338,2)</f>
      </c>
      <c r="W338" s="33">
        <f>ROUND(C338-M338,2)</f>
      </c>
      <c r="X338" s="33">
        <f>ROUND(D338-N338,2)</f>
      </c>
      <c r="Y338" s="33">
        <f>ROUND(E338-O338,2)</f>
      </c>
      <c r="Z338" s="33">
        <f>ROUND(F338-P338,2)</f>
      </c>
      <c r="AA338" s="33">
        <f>ROUND(G338-Q338,2)</f>
      </c>
      <c r="AB338" s="33">
        <f>ROUND(H338-R338,2)</f>
      </c>
      <c r="AC338" s="33">
        <f>ROUND(I338-S338,2)</f>
      </c>
      <c r="AD338" s="33">
        <f>ROUND(J338-T338,2)</f>
      </c>
      <c r="AE338" s="33">
        <f>ROUND(K338-U338,2)</f>
      </c>
      <c r="AF338" s="33">
        <f>IF(V338&lt;=0,0,MAX(0,MIN(V338,ROUND($AZ338-SUMPRODUCT($V338:$AE338*($V338:$AE338&gt;0)*(($V$3:$AE$3&gt;V$3)+($V$3:$AE$3=V$3)*($V338:$AE338&lt;V338)+($V$3:$AE$3=V$3)*($V338:$AE338=V338)*($V$2:$AE$2&lt;V$2))),2))))</f>
      </c>
      <c r="AG338" s="33">
        <f>IF(W338&lt;=0,0,MAX(0,MIN(W338,ROUND($AZ338-SUMPRODUCT($V338:$AE338*($V338:$AE338&gt;0)*(($V$3:$AE$3&gt;W$3)+($V$3:$AE$3=W$3)*($V338:$AE338&lt;W338)+($V$3:$AE$3=W$3)*($V338:$AE338=W338)*($V$2:$AE$2&lt;W$2))),2))))</f>
      </c>
      <c r="AH338" s="33">
        <f>IF(X338&lt;=0,0,MAX(0,MIN(X338,ROUND($AZ338-SUMPRODUCT($V338:$AE338*($V338:$AE338&gt;0)*(($V$3:$AE$3&gt;X$3)+($V$3:$AE$3=X$3)*($V338:$AE338&lt;X338)+($V$3:$AE$3=X$3)*($V338:$AE338=X338)*($V$2:$AE$2&lt;X$2))),2))))</f>
      </c>
      <c r="AI338" s="33">
        <f>IF(Y338&lt;=0,0,MAX(0,MIN(Y338,ROUND($AZ338-SUMPRODUCT($V338:$AE338*($V338:$AE338&gt;0)*(($V$3:$AE$3&gt;Y$3)+($V$3:$AE$3=Y$3)*($V338:$AE338&lt;Y338)+($V$3:$AE$3=Y$3)*($V338:$AE338=Y338)*($V$2:$AE$2&lt;Y$2))),2))))</f>
      </c>
      <c r="AJ338" s="33">
        <f>IF(Z338&lt;=0,0,MAX(0,MIN(Z338,ROUND($AZ338-SUMPRODUCT($V338:$AE338*($V338:$AE338&gt;0)*(($V$3:$AE$3&gt;Z$3)+($V$3:$AE$3=Z$3)*($V338:$AE338&lt;Z338)+($V$3:$AE$3=Z$3)*($V338:$AE338=Z338)*($V$2:$AE$2&lt;Z$2))),2))))</f>
      </c>
      <c r="AK338" s="33">
        <f>IF(AA338&lt;=0,0,MAX(0,MIN(AA338,ROUND($AZ338-SUMPRODUCT($V338:$AE338*($V338:$AE338&gt;0)*(($V$3:$AE$3&gt;AA$3)+($V$3:$AE$3=AA$3)*($V338:$AE338&lt;AA338)+($V$3:$AE$3=AA$3)*($V338:$AE338=AA338)*($V$2:$AE$2&lt;AA$2))),2))))</f>
      </c>
      <c r="AL338" s="33">
        <f>IF(AB338&lt;=0,0,MAX(0,MIN(AB338,ROUND($AZ338-SUMPRODUCT($V338:$AE338*($V338:$AE338&gt;0)*(($V$3:$AE$3&gt;AB$3)+($V$3:$AE$3=AB$3)*($V338:$AE338&lt;AB338)+($V$3:$AE$3=AB$3)*($V338:$AE338=AB338)*($V$2:$AE$2&lt;AB$2))),2))))</f>
      </c>
      <c r="AM338" s="33">
        <f>IF(AC338&lt;=0,0,MAX(0,MIN(AC338,ROUND($AZ338-SUMPRODUCT($V338:$AE338*($V338:$AE338&gt;0)*(($V$3:$AE$3&gt;AC$3)+($V$3:$AE$3=AC$3)*($V338:$AE338&lt;AC338)+($V$3:$AE$3=AC$3)*($V338:$AE338=AC338)*($V$2:$AE$2&lt;AC$2))),2))))</f>
      </c>
      <c r="AN338" s="33">
        <f>IF(AD338&lt;=0,0,MAX(0,MIN(AD338,ROUND($AZ338-SUMPRODUCT($V338:$AE338*($V338:$AE338&gt;0)*(($V$3:$AE$3&gt;AD$3)+($V$3:$AE$3=AD$3)*($V338:$AE338&lt;AD338)+($V$3:$AE$3=AD$3)*($V338:$AE338=AD338)*($V$2:$AE$2&lt;AD$2))),2))))</f>
      </c>
      <c r="AO338" s="33">
        <f>IF(AE338&lt;=0,0,MAX(0,MIN(AE338,ROUND($AZ338-SUMPRODUCT($V338:$AE338*($V338:$AE338&gt;0)*(($V$3:$AE$3&gt;AE$3)+($V$3:$AE$3=AE$3)*($V338:$AE338&lt;AE338)+($V$3:$AE$3=AE$3)*($V338:$AE338=AE338)*($V$2:$AE$2&lt;AE$2))),2))))</f>
      </c>
      <c r="AP338" s="33">
        <f>ROUND(V338-AF338,2)</f>
      </c>
      <c r="AQ338" s="33">
        <f>ROUND(W338-AG338,2)</f>
      </c>
      <c r="AR338" s="33">
        <f>ROUND(X338-AH338,2)</f>
      </c>
      <c r="AS338" s="33">
        <f>ROUND(Y338-AI338,2)</f>
      </c>
      <c r="AT338" s="33">
        <f>ROUND(Z338-AJ338,2)</f>
      </c>
      <c r="AU338" s="33">
        <f>ROUND(AA338-AK338,2)</f>
      </c>
      <c r="AV338" s="33">
        <f>ROUND(AB338-AL338,2)</f>
      </c>
      <c r="AW338" s="33">
        <f>ROUND(AC338-AM338,2)</f>
      </c>
      <c r="AX338" s="33">
        <f>ROUND(AD338-AN338,2)</f>
      </c>
      <c r="AY338" s="33">
        <f>ROUND(AE338-AO338,2)</f>
      </c>
      <c r="AZ338" s="33">
        <f>ROUND(MAX(0,'Your debts'!$D$22-SUM($L338:$U338)),2)</f>
      </c>
      <c r="BA338" s="33">
        <f>ROUND(SUM($B338:$K338)-SUM($AP337:$AY337),2)</f>
      </c>
      <c r="BB338" s="33">
        <f>SUM($AP338:$AY338)</f>
      </c>
      <c r="BC338" s="33">
        <f>ROUND(SUM($L338:$U338)+SUM($AF338:$AO338),2)</f>
      </c>
    </row>
    <row r="339" spans="1:55" x14ac:dyDescent="0.25">
      <c r="A339">
        <v>332</v>
      </c>
      <c r="B339" s="33">
        <f>IF(AP338&lt;=0,0,ROUND(AP338+ROUND(AP338*V$3/12,2),2))</f>
      </c>
      <c r="C339" s="33">
        <f>IF(AQ338&lt;=0,0,ROUND(AQ338+ROUND(AQ338*W$3/12,2),2))</f>
      </c>
      <c r="D339" s="33">
        <f>IF(AR338&lt;=0,0,ROUND(AR338+ROUND(AR338*X$3/12,2),2))</f>
      </c>
      <c r="E339" s="33">
        <f>IF(AS338&lt;=0,0,ROUND(AS338+ROUND(AS338*Y$3/12,2),2))</f>
      </c>
      <c r="F339" s="33">
        <f>IF(AT338&lt;=0,0,ROUND(AT338+ROUND(AT338*Z$3/12,2),2))</f>
      </c>
      <c r="G339" s="33">
        <f>IF(AU338&lt;=0,0,ROUND(AU338+ROUND(AU338*AA$3/12,2),2))</f>
      </c>
      <c r="H339" s="33">
        <f>IF(AV338&lt;=0,0,ROUND(AV338+ROUND(AV338*AB$3/12,2),2))</f>
      </c>
      <c r="I339" s="33">
        <f>IF(AW338&lt;=0,0,ROUND(AW338+ROUND(AW338*AC$3/12,2),2))</f>
      </c>
      <c r="J339" s="33">
        <f>IF(AX338&lt;=0,0,ROUND(AX338+ROUND(AX338*AD$3/12,2),2))</f>
      </c>
      <c r="K339" s="33">
        <f>IF(AY338&lt;=0,0,ROUND(AY338+ROUND(AY338*AE$3/12,2),2))</f>
      </c>
      <c r="L339" s="33">
        <f>ROUND(MIN(MAX(0,N('Your debts'!$E$6)),B339),2)</f>
      </c>
      <c r="M339" s="33">
        <f>ROUND(MIN(MAX(0,N('Your debts'!$E$7)),C339),2)</f>
      </c>
      <c r="N339" s="33">
        <f>ROUND(MIN(MAX(0,N('Your debts'!$E$8)),D339),2)</f>
      </c>
      <c r="O339" s="33">
        <f>ROUND(MIN(MAX(0,N('Your debts'!$E$9)),E339),2)</f>
      </c>
      <c r="P339" s="33">
        <f>ROUND(MIN(MAX(0,N('Your debts'!$E$10)),F339),2)</f>
      </c>
      <c r="Q339" s="33">
        <f>ROUND(MIN(MAX(0,N('Your debts'!$E$11)),G339),2)</f>
      </c>
      <c r="R339" s="33">
        <f>ROUND(MIN(MAX(0,N('Your debts'!$E$12)),H339),2)</f>
      </c>
      <c r="S339" s="33">
        <f>ROUND(MIN(MAX(0,N('Your debts'!$E$13)),I339),2)</f>
      </c>
      <c r="T339" s="33">
        <f>ROUND(MIN(MAX(0,N('Your debts'!$E$14)),J339),2)</f>
      </c>
      <c r="U339" s="33">
        <f>ROUND(MIN(MAX(0,N('Your debts'!$E$15)),K339),2)</f>
      </c>
      <c r="V339" s="33">
        <f>ROUND(B339-L339,2)</f>
      </c>
      <c r="W339" s="33">
        <f>ROUND(C339-M339,2)</f>
      </c>
      <c r="X339" s="33">
        <f>ROUND(D339-N339,2)</f>
      </c>
      <c r="Y339" s="33">
        <f>ROUND(E339-O339,2)</f>
      </c>
      <c r="Z339" s="33">
        <f>ROUND(F339-P339,2)</f>
      </c>
      <c r="AA339" s="33">
        <f>ROUND(G339-Q339,2)</f>
      </c>
      <c r="AB339" s="33">
        <f>ROUND(H339-R339,2)</f>
      </c>
      <c r="AC339" s="33">
        <f>ROUND(I339-S339,2)</f>
      </c>
      <c r="AD339" s="33">
        <f>ROUND(J339-T339,2)</f>
      </c>
      <c r="AE339" s="33">
        <f>ROUND(K339-U339,2)</f>
      </c>
      <c r="AF339" s="33">
        <f>IF(V339&lt;=0,0,MAX(0,MIN(V339,ROUND($AZ339-SUMPRODUCT($V339:$AE339*($V339:$AE339&gt;0)*(($V$3:$AE$3&gt;V$3)+($V$3:$AE$3=V$3)*($V339:$AE339&lt;V339)+($V$3:$AE$3=V$3)*($V339:$AE339=V339)*($V$2:$AE$2&lt;V$2))),2))))</f>
      </c>
      <c r="AG339" s="33">
        <f>IF(W339&lt;=0,0,MAX(0,MIN(W339,ROUND($AZ339-SUMPRODUCT($V339:$AE339*($V339:$AE339&gt;0)*(($V$3:$AE$3&gt;W$3)+($V$3:$AE$3=W$3)*($V339:$AE339&lt;W339)+($V$3:$AE$3=W$3)*($V339:$AE339=W339)*($V$2:$AE$2&lt;W$2))),2))))</f>
      </c>
      <c r="AH339" s="33">
        <f>IF(X339&lt;=0,0,MAX(0,MIN(X339,ROUND($AZ339-SUMPRODUCT($V339:$AE339*($V339:$AE339&gt;0)*(($V$3:$AE$3&gt;X$3)+($V$3:$AE$3=X$3)*($V339:$AE339&lt;X339)+($V$3:$AE$3=X$3)*($V339:$AE339=X339)*($V$2:$AE$2&lt;X$2))),2))))</f>
      </c>
      <c r="AI339" s="33">
        <f>IF(Y339&lt;=0,0,MAX(0,MIN(Y339,ROUND($AZ339-SUMPRODUCT($V339:$AE339*($V339:$AE339&gt;0)*(($V$3:$AE$3&gt;Y$3)+($V$3:$AE$3=Y$3)*($V339:$AE339&lt;Y339)+($V$3:$AE$3=Y$3)*($V339:$AE339=Y339)*($V$2:$AE$2&lt;Y$2))),2))))</f>
      </c>
      <c r="AJ339" s="33">
        <f>IF(Z339&lt;=0,0,MAX(0,MIN(Z339,ROUND($AZ339-SUMPRODUCT($V339:$AE339*($V339:$AE339&gt;0)*(($V$3:$AE$3&gt;Z$3)+($V$3:$AE$3=Z$3)*($V339:$AE339&lt;Z339)+($V$3:$AE$3=Z$3)*($V339:$AE339=Z339)*($V$2:$AE$2&lt;Z$2))),2))))</f>
      </c>
      <c r="AK339" s="33">
        <f>IF(AA339&lt;=0,0,MAX(0,MIN(AA339,ROUND($AZ339-SUMPRODUCT($V339:$AE339*($V339:$AE339&gt;0)*(($V$3:$AE$3&gt;AA$3)+($V$3:$AE$3=AA$3)*($V339:$AE339&lt;AA339)+($V$3:$AE$3=AA$3)*($V339:$AE339=AA339)*($V$2:$AE$2&lt;AA$2))),2))))</f>
      </c>
      <c r="AL339" s="33">
        <f>IF(AB339&lt;=0,0,MAX(0,MIN(AB339,ROUND($AZ339-SUMPRODUCT($V339:$AE339*($V339:$AE339&gt;0)*(($V$3:$AE$3&gt;AB$3)+($V$3:$AE$3=AB$3)*($V339:$AE339&lt;AB339)+($V$3:$AE$3=AB$3)*($V339:$AE339=AB339)*($V$2:$AE$2&lt;AB$2))),2))))</f>
      </c>
      <c r="AM339" s="33">
        <f>IF(AC339&lt;=0,0,MAX(0,MIN(AC339,ROUND($AZ339-SUMPRODUCT($V339:$AE339*($V339:$AE339&gt;0)*(($V$3:$AE$3&gt;AC$3)+($V$3:$AE$3=AC$3)*($V339:$AE339&lt;AC339)+($V$3:$AE$3=AC$3)*($V339:$AE339=AC339)*($V$2:$AE$2&lt;AC$2))),2))))</f>
      </c>
      <c r="AN339" s="33">
        <f>IF(AD339&lt;=0,0,MAX(0,MIN(AD339,ROUND($AZ339-SUMPRODUCT($V339:$AE339*($V339:$AE339&gt;0)*(($V$3:$AE$3&gt;AD$3)+($V$3:$AE$3=AD$3)*($V339:$AE339&lt;AD339)+($V$3:$AE$3=AD$3)*($V339:$AE339=AD339)*($V$2:$AE$2&lt;AD$2))),2))))</f>
      </c>
      <c r="AO339" s="33">
        <f>IF(AE339&lt;=0,0,MAX(0,MIN(AE339,ROUND($AZ339-SUMPRODUCT($V339:$AE339*($V339:$AE339&gt;0)*(($V$3:$AE$3&gt;AE$3)+($V$3:$AE$3=AE$3)*($V339:$AE339&lt;AE339)+($V$3:$AE$3=AE$3)*($V339:$AE339=AE339)*($V$2:$AE$2&lt;AE$2))),2))))</f>
      </c>
      <c r="AP339" s="33">
        <f>ROUND(V339-AF339,2)</f>
      </c>
      <c r="AQ339" s="33">
        <f>ROUND(W339-AG339,2)</f>
      </c>
      <c r="AR339" s="33">
        <f>ROUND(X339-AH339,2)</f>
      </c>
      <c r="AS339" s="33">
        <f>ROUND(Y339-AI339,2)</f>
      </c>
      <c r="AT339" s="33">
        <f>ROUND(Z339-AJ339,2)</f>
      </c>
      <c r="AU339" s="33">
        <f>ROUND(AA339-AK339,2)</f>
      </c>
      <c r="AV339" s="33">
        <f>ROUND(AB339-AL339,2)</f>
      </c>
      <c r="AW339" s="33">
        <f>ROUND(AC339-AM339,2)</f>
      </c>
      <c r="AX339" s="33">
        <f>ROUND(AD339-AN339,2)</f>
      </c>
      <c r="AY339" s="33">
        <f>ROUND(AE339-AO339,2)</f>
      </c>
      <c r="AZ339" s="33">
        <f>ROUND(MAX(0,'Your debts'!$D$22-SUM($L339:$U339)),2)</f>
      </c>
      <c r="BA339" s="33">
        <f>ROUND(SUM($B339:$K339)-SUM($AP338:$AY338),2)</f>
      </c>
      <c r="BB339" s="33">
        <f>SUM($AP339:$AY339)</f>
      </c>
      <c r="BC339" s="33">
        <f>ROUND(SUM($L339:$U339)+SUM($AF339:$AO339),2)</f>
      </c>
    </row>
    <row r="340" spans="1:55" x14ac:dyDescent="0.25">
      <c r="A340">
        <v>333</v>
      </c>
      <c r="B340" s="33">
        <f>IF(AP339&lt;=0,0,ROUND(AP339+ROUND(AP339*V$3/12,2),2))</f>
      </c>
      <c r="C340" s="33">
        <f>IF(AQ339&lt;=0,0,ROUND(AQ339+ROUND(AQ339*W$3/12,2),2))</f>
      </c>
      <c r="D340" s="33">
        <f>IF(AR339&lt;=0,0,ROUND(AR339+ROUND(AR339*X$3/12,2),2))</f>
      </c>
      <c r="E340" s="33">
        <f>IF(AS339&lt;=0,0,ROUND(AS339+ROUND(AS339*Y$3/12,2),2))</f>
      </c>
      <c r="F340" s="33">
        <f>IF(AT339&lt;=0,0,ROUND(AT339+ROUND(AT339*Z$3/12,2),2))</f>
      </c>
      <c r="G340" s="33">
        <f>IF(AU339&lt;=0,0,ROUND(AU339+ROUND(AU339*AA$3/12,2),2))</f>
      </c>
      <c r="H340" s="33">
        <f>IF(AV339&lt;=0,0,ROUND(AV339+ROUND(AV339*AB$3/12,2),2))</f>
      </c>
      <c r="I340" s="33">
        <f>IF(AW339&lt;=0,0,ROUND(AW339+ROUND(AW339*AC$3/12,2),2))</f>
      </c>
      <c r="J340" s="33">
        <f>IF(AX339&lt;=0,0,ROUND(AX339+ROUND(AX339*AD$3/12,2),2))</f>
      </c>
      <c r="K340" s="33">
        <f>IF(AY339&lt;=0,0,ROUND(AY339+ROUND(AY339*AE$3/12,2),2))</f>
      </c>
      <c r="L340" s="33">
        <f>ROUND(MIN(MAX(0,N('Your debts'!$E$6)),B340),2)</f>
      </c>
      <c r="M340" s="33">
        <f>ROUND(MIN(MAX(0,N('Your debts'!$E$7)),C340),2)</f>
      </c>
      <c r="N340" s="33">
        <f>ROUND(MIN(MAX(0,N('Your debts'!$E$8)),D340),2)</f>
      </c>
      <c r="O340" s="33">
        <f>ROUND(MIN(MAX(0,N('Your debts'!$E$9)),E340),2)</f>
      </c>
      <c r="P340" s="33">
        <f>ROUND(MIN(MAX(0,N('Your debts'!$E$10)),F340),2)</f>
      </c>
      <c r="Q340" s="33">
        <f>ROUND(MIN(MAX(0,N('Your debts'!$E$11)),G340),2)</f>
      </c>
      <c r="R340" s="33">
        <f>ROUND(MIN(MAX(0,N('Your debts'!$E$12)),H340),2)</f>
      </c>
      <c r="S340" s="33">
        <f>ROUND(MIN(MAX(0,N('Your debts'!$E$13)),I340),2)</f>
      </c>
      <c r="T340" s="33">
        <f>ROUND(MIN(MAX(0,N('Your debts'!$E$14)),J340),2)</f>
      </c>
      <c r="U340" s="33">
        <f>ROUND(MIN(MAX(0,N('Your debts'!$E$15)),K340),2)</f>
      </c>
      <c r="V340" s="33">
        <f>ROUND(B340-L340,2)</f>
      </c>
      <c r="W340" s="33">
        <f>ROUND(C340-M340,2)</f>
      </c>
      <c r="X340" s="33">
        <f>ROUND(D340-N340,2)</f>
      </c>
      <c r="Y340" s="33">
        <f>ROUND(E340-O340,2)</f>
      </c>
      <c r="Z340" s="33">
        <f>ROUND(F340-P340,2)</f>
      </c>
      <c r="AA340" s="33">
        <f>ROUND(G340-Q340,2)</f>
      </c>
      <c r="AB340" s="33">
        <f>ROUND(H340-R340,2)</f>
      </c>
      <c r="AC340" s="33">
        <f>ROUND(I340-S340,2)</f>
      </c>
      <c r="AD340" s="33">
        <f>ROUND(J340-T340,2)</f>
      </c>
      <c r="AE340" s="33">
        <f>ROUND(K340-U340,2)</f>
      </c>
      <c r="AF340" s="33">
        <f>IF(V340&lt;=0,0,MAX(0,MIN(V340,ROUND($AZ340-SUMPRODUCT($V340:$AE340*($V340:$AE340&gt;0)*(($V$3:$AE$3&gt;V$3)+($V$3:$AE$3=V$3)*($V340:$AE340&lt;V340)+($V$3:$AE$3=V$3)*($V340:$AE340=V340)*($V$2:$AE$2&lt;V$2))),2))))</f>
      </c>
      <c r="AG340" s="33">
        <f>IF(W340&lt;=0,0,MAX(0,MIN(W340,ROUND($AZ340-SUMPRODUCT($V340:$AE340*($V340:$AE340&gt;0)*(($V$3:$AE$3&gt;W$3)+($V$3:$AE$3=W$3)*($V340:$AE340&lt;W340)+($V$3:$AE$3=W$3)*($V340:$AE340=W340)*($V$2:$AE$2&lt;W$2))),2))))</f>
      </c>
      <c r="AH340" s="33">
        <f>IF(X340&lt;=0,0,MAX(0,MIN(X340,ROUND($AZ340-SUMPRODUCT($V340:$AE340*($V340:$AE340&gt;0)*(($V$3:$AE$3&gt;X$3)+($V$3:$AE$3=X$3)*($V340:$AE340&lt;X340)+($V$3:$AE$3=X$3)*($V340:$AE340=X340)*($V$2:$AE$2&lt;X$2))),2))))</f>
      </c>
      <c r="AI340" s="33">
        <f>IF(Y340&lt;=0,0,MAX(0,MIN(Y340,ROUND($AZ340-SUMPRODUCT($V340:$AE340*($V340:$AE340&gt;0)*(($V$3:$AE$3&gt;Y$3)+($V$3:$AE$3=Y$3)*($V340:$AE340&lt;Y340)+($V$3:$AE$3=Y$3)*($V340:$AE340=Y340)*($V$2:$AE$2&lt;Y$2))),2))))</f>
      </c>
      <c r="AJ340" s="33">
        <f>IF(Z340&lt;=0,0,MAX(0,MIN(Z340,ROUND($AZ340-SUMPRODUCT($V340:$AE340*($V340:$AE340&gt;0)*(($V$3:$AE$3&gt;Z$3)+($V$3:$AE$3=Z$3)*($V340:$AE340&lt;Z340)+($V$3:$AE$3=Z$3)*($V340:$AE340=Z340)*($V$2:$AE$2&lt;Z$2))),2))))</f>
      </c>
      <c r="AK340" s="33">
        <f>IF(AA340&lt;=0,0,MAX(0,MIN(AA340,ROUND($AZ340-SUMPRODUCT($V340:$AE340*($V340:$AE340&gt;0)*(($V$3:$AE$3&gt;AA$3)+($V$3:$AE$3=AA$3)*($V340:$AE340&lt;AA340)+($V$3:$AE$3=AA$3)*($V340:$AE340=AA340)*($V$2:$AE$2&lt;AA$2))),2))))</f>
      </c>
      <c r="AL340" s="33">
        <f>IF(AB340&lt;=0,0,MAX(0,MIN(AB340,ROUND($AZ340-SUMPRODUCT($V340:$AE340*($V340:$AE340&gt;0)*(($V$3:$AE$3&gt;AB$3)+($V$3:$AE$3=AB$3)*($V340:$AE340&lt;AB340)+($V$3:$AE$3=AB$3)*($V340:$AE340=AB340)*($V$2:$AE$2&lt;AB$2))),2))))</f>
      </c>
      <c r="AM340" s="33">
        <f>IF(AC340&lt;=0,0,MAX(0,MIN(AC340,ROUND($AZ340-SUMPRODUCT($V340:$AE340*($V340:$AE340&gt;0)*(($V$3:$AE$3&gt;AC$3)+($V$3:$AE$3=AC$3)*($V340:$AE340&lt;AC340)+($V$3:$AE$3=AC$3)*($V340:$AE340=AC340)*($V$2:$AE$2&lt;AC$2))),2))))</f>
      </c>
      <c r="AN340" s="33">
        <f>IF(AD340&lt;=0,0,MAX(0,MIN(AD340,ROUND($AZ340-SUMPRODUCT($V340:$AE340*($V340:$AE340&gt;0)*(($V$3:$AE$3&gt;AD$3)+($V$3:$AE$3=AD$3)*($V340:$AE340&lt;AD340)+($V$3:$AE$3=AD$3)*($V340:$AE340=AD340)*($V$2:$AE$2&lt;AD$2))),2))))</f>
      </c>
      <c r="AO340" s="33">
        <f>IF(AE340&lt;=0,0,MAX(0,MIN(AE340,ROUND($AZ340-SUMPRODUCT($V340:$AE340*($V340:$AE340&gt;0)*(($V$3:$AE$3&gt;AE$3)+($V$3:$AE$3=AE$3)*($V340:$AE340&lt;AE340)+($V$3:$AE$3=AE$3)*($V340:$AE340=AE340)*($V$2:$AE$2&lt;AE$2))),2))))</f>
      </c>
      <c r="AP340" s="33">
        <f>ROUND(V340-AF340,2)</f>
      </c>
      <c r="AQ340" s="33">
        <f>ROUND(W340-AG340,2)</f>
      </c>
      <c r="AR340" s="33">
        <f>ROUND(X340-AH340,2)</f>
      </c>
      <c r="AS340" s="33">
        <f>ROUND(Y340-AI340,2)</f>
      </c>
      <c r="AT340" s="33">
        <f>ROUND(Z340-AJ340,2)</f>
      </c>
      <c r="AU340" s="33">
        <f>ROUND(AA340-AK340,2)</f>
      </c>
      <c r="AV340" s="33">
        <f>ROUND(AB340-AL340,2)</f>
      </c>
      <c r="AW340" s="33">
        <f>ROUND(AC340-AM340,2)</f>
      </c>
      <c r="AX340" s="33">
        <f>ROUND(AD340-AN340,2)</f>
      </c>
      <c r="AY340" s="33">
        <f>ROUND(AE340-AO340,2)</f>
      </c>
      <c r="AZ340" s="33">
        <f>ROUND(MAX(0,'Your debts'!$D$22-SUM($L340:$U340)),2)</f>
      </c>
      <c r="BA340" s="33">
        <f>ROUND(SUM($B340:$K340)-SUM($AP339:$AY339),2)</f>
      </c>
      <c r="BB340" s="33">
        <f>SUM($AP340:$AY340)</f>
      </c>
      <c r="BC340" s="33">
        <f>ROUND(SUM($L340:$U340)+SUM($AF340:$AO340),2)</f>
      </c>
    </row>
    <row r="341" spans="1:55" x14ac:dyDescent="0.25">
      <c r="A341">
        <v>334</v>
      </c>
      <c r="B341" s="33">
        <f>IF(AP340&lt;=0,0,ROUND(AP340+ROUND(AP340*V$3/12,2),2))</f>
      </c>
      <c r="C341" s="33">
        <f>IF(AQ340&lt;=0,0,ROUND(AQ340+ROUND(AQ340*W$3/12,2),2))</f>
      </c>
      <c r="D341" s="33">
        <f>IF(AR340&lt;=0,0,ROUND(AR340+ROUND(AR340*X$3/12,2),2))</f>
      </c>
      <c r="E341" s="33">
        <f>IF(AS340&lt;=0,0,ROUND(AS340+ROUND(AS340*Y$3/12,2),2))</f>
      </c>
      <c r="F341" s="33">
        <f>IF(AT340&lt;=0,0,ROUND(AT340+ROUND(AT340*Z$3/12,2),2))</f>
      </c>
      <c r="G341" s="33">
        <f>IF(AU340&lt;=0,0,ROUND(AU340+ROUND(AU340*AA$3/12,2),2))</f>
      </c>
      <c r="H341" s="33">
        <f>IF(AV340&lt;=0,0,ROUND(AV340+ROUND(AV340*AB$3/12,2),2))</f>
      </c>
      <c r="I341" s="33">
        <f>IF(AW340&lt;=0,0,ROUND(AW340+ROUND(AW340*AC$3/12,2),2))</f>
      </c>
      <c r="J341" s="33">
        <f>IF(AX340&lt;=0,0,ROUND(AX340+ROUND(AX340*AD$3/12,2),2))</f>
      </c>
      <c r="K341" s="33">
        <f>IF(AY340&lt;=0,0,ROUND(AY340+ROUND(AY340*AE$3/12,2),2))</f>
      </c>
      <c r="L341" s="33">
        <f>ROUND(MIN(MAX(0,N('Your debts'!$E$6)),B341),2)</f>
      </c>
      <c r="M341" s="33">
        <f>ROUND(MIN(MAX(0,N('Your debts'!$E$7)),C341),2)</f>
      </c>
      <c r="N341" s="33">
        <f>ROUND(MIN(MAX(0,N('Your debts'!$E$8)),D341),2)</f>
      </c>
      <c r="O341" s="33">
        <f>ROUND(MIN(MAX(0,N('Your debts'!$E$9)),E341),2)</f>
      </c>
      <c r="P341" s="33">
        <f>ROUND(MIN(MAX(0,N('Your debts'!$E$10)),F341),2)</f>
      </c>
      <c r="Q341" s="33">
        <f>ROUND(MIN(MAX(0,N('Your debts'!$E$11)),G341),2)</f>
      </c>
      <c r="R341" s="33">
        <f>ROUND(MIN(MAX(0,N('Your debts'!$E$12)),H341),2)</f>
      </c>
      <c r="S341" s="33">
        <f>ROUND(MIN(MAX(0,N('Your debts'!$E$13)),I341),2)</f>
      </c>
      <c r="T341" s="33">
        <f>ROUND(MIN(MAX(0,N('Your debts'!$E$14)),J341),2)</f>
      </c>
      <c r="U341" s="33">
        <f>ROUND(MIN(MAX(0,N('Your debts'!$E$15)),K341),2)</f>
      </c>
      <c r="V341" s="33">
        <f>ROUND(B341-L341,2)</f>
      </c>
      <c r="W341" s="33">
        <f>ROUND(C341-M341,2)</f>
      </c>
      <c r="X341" s="33">
        <f>ROUND(D341-N341,2)</f>
      </c>
      <c r="Y341" s="33">
        <f>ROUND(E341-O341,2)</f>
      </c>
      <c r="Z341" s="33">
        <f>ROUND(F341-P341,2)</f>
      </c>
      <c r="AA341" s="33">
        <f>ROUND(G341-Q341,2)</f>
      </c>
      <c r="AB341" s="33">
        <f>ROUND(H341-R341,2)</f>
      </c>
      <c r="AC341" s="33">
        <f>ROUND(I341-S341,2)</f>
      </c>
      <c r="AD341" s="33">
        <f>ROUND(J341-T341,2)</f>
      </c>
      <c r="AE341" s="33">
        <f>ROUND(K341-U341,2)</f>
      </c>
      <c r="AF341" s="33">
        <f>IF(V341&lt;=0,0,MAX(0,MIN(V341,ROUND($AZ341-SUMPRODUCT($V341:$AE341*($V341:$AE341&gt;0)*(($V$3:$AE$3&gt;V$3)+($V$3:$AE$3=V$3)*($V341:$AE341&lt;V341)+($V$3:$AE$3=V$3)*($V341:$AE341=V341)*($V$2:$AE$2&lt;V$2))),2))))</f>
      </c>
      <c r="AG341" s="33">
        <f>IF(W341&lt;=0,0,MAX(0,MIN(W341,ROUND($AZ341-SUMPRODUCT($V341:$AE341*($V341:$AE341&gt;0)*(($V$3:$AE$3&gt;W$3)+($V$3:$AE$3=W$3)*($V341:$AE341&lt;W341)+($V$3:$AE$3=W$3)*($V341:$AE341=W341)*($V$2:$AE$2&lt;W$2))),2))))</f>
      </c>
      <c r="AH341" s="33">
        <f>IF(X341&lt;=0,0,MAX(0,MIN(X341,ROUND($AZ341-SUMPRODUCT($V341:$AE341*($V341:$AE341&gt;0)*(($V$3:$AE$3&gt;X$3)+($V$3:$AE$3=X$3)*($V341:$AE341&lt;X341)+($V$3:$AE$3=X$3)*($V341:$AE341=X341)*($V$2:$AE$2&lt;X$2))),2))))</f>
      </c>
      <c r="AI341" s="33">
        <f>IF(Y341&lt;=0,0,MAX(0,MIN(Y341,ROUND($AZ341-SUMPRODUCT($V341:$AE341*($V341:$AE341&gt;0)*(($V$3:$AE$3&gt;Y$3)+($V$3:$AE$3=Y$3)*($V341:$AE341&lt;Y341)+($V$3:$AE$3=Y$3)*($V341:$AE341=Y341)*($V$2:$AE$2&lt;Y$2))),2))))</f>
      </c>
      <c r="AJ341" s="33">
        <f>IF(Z341&lt;=0,0,MAX(0,MIN(Z341,ROUND($AZ341-SUMPRODUCT($V341:$AE341*($V341:$AE341&gt;0)*(($V$3:$AE$3&gt;Z$3)+($V$3:$AE$3=Z$3)*($V341:$AE341&lt;Z341)+($V$3:$AE$3=Z$3)*($V341:$AE341=Z341)*($V$2:$AE$2&lt;Z$2))),2))))</f>
      </c>
      <c r="AK341" s="33">
        <f>IF(AA341&lt;=0,0,MAX(0,MIN(AA341,ROUND($AZ341-SUMPRODUCT($V341:$AE341*($V341:$AE341&gt;0)*(($V$3:$AE$3&gt;AA$3)+($V$3:$AE$3=AA$3)*($V341:$AE341&lt;AA341)+($V$3:$AE$3=AA$3)*($V341:$AE341=AA341)*($V$2:$AE$2&lt;AA$2))),2))))</f>
      </c>
      <c r="AL341" s="33">
        <f>IF(AB341&lt;=0,0,MAX(0,MIN(AB341,ROUND($AZ341-SUMPRODUCT($V341:$AE341*($V341:$AE341&gt;0)*(($V$3:$AE$3&gt;AB$3)+($V$3:$AE$3=AB$3)*($V341:$AE341&lt;AB341)+($V$3:$AE$3=AB$3)*($V341:$AE341=AB341)*($V$2:$AE$2&lt;AB$2))),2))))</f>
      </c>
      <c r="AM341" s="33">
        <f>IF(AC341&lt;=0,0,MAX(0,MIN(AC341,ROUND($AZ341-SUMPRODUCT($V341:$AE341*($V341:$AE341&gt;0)*(($V$3:$AE$3&gt;AC$3)+($V$3:$AE$3=AC$3)*($V341:$AE341&lt;AC341)+($V$3:$AE$3=AC$3)*($V341:$AE341=AC341)*($V$2:$AE$2&lt;AC$2))),2))))</f>
      </c>
      <c r="AN341" s="33">
        <f>IF(AD341&lt;=0,0,MAX(0,MIN(AD341,ROUND($AZ341-SUMPRODUCT($V341:$AE341*($V341:$AE341&gt;0)*(($V$3:$AE$3&gt;AD$3)+($V$3:$AE$3=AD$3)*($V341:$AE341&lt;AD341)+($V$3:$AE$3=AD$3)*($V341:$AE341=AD341)*($V$2:$AE$2&lt;AD$2))),2))))</f>
      </c>
      <c r="AO341" s="33">
        <f>IF(AE341&lt;=0,0,MAX(0,MIN(AE341,ROUND($AZ341-SUMPRODUCT($V341:$AE341*($V341:$AE341&gt;0)*(($V$3:$AE$3&gt;AE$3)+($V$3:$AE$3=AE$3)*($V341:$AE341&lt;AE341)+($V$3:$AE$3=AE$3)*($V341:$AE341=AE341)*($V$2:$AE$2&lt;AE$2))),2))))</f>
      </c>
      <c r="AP341" s="33">
        <f>ROUND(V341-AF341,2)</f>
      </c>
      <c r="AQ341" s="33">
        <f>ROUND(W341-AG341,2)</f>
      </c>
      <c r="AR341" s="33">
        <f>ROUND(X341-AH341,2)</f>
      </c>
      <c r="AS341" s="33">
        <f>ROUND(Y341-AI341,2)</f>
      </c>
      <c r="AT341" s="33">
        <f>ROUND(Z341-AJ341,2)</f>
      </c>
      <c r="AU341" s="33">
        <f>ROUND(AA341-AK341,2)</f>
      </c>
      <c r="AV341" s="33">
        <f>ROUND(AB341-AL341,2)</f>
      </c>
      <c r="AW341" s="33">
        <f>ROUND(AC341-AM341,2)</f>
      </c>
      <c r="AX341" s="33">
        <f>ROUND(AD341-AN341,2)</f>
      </c>
      <c r="AY341" s="33">
        <f>ROUND(AE341-AO341,2)</f>
      </c>
      <c r="AZ341" s="33">
        <f>ROUND(MAX(0,'Your debts'!$D$22-SUM($L341:$U341)),2)</f>
      </c>
      <c r="BA341" s="33">
        <f>ROUND(SUM($B341:$K341)-SUM($AP340:$AY340),2)</f>
      </c>
      <c r="BB341" s="33">
        <f>SUM($AP341:$AY341)</f>
      </c>
      <c r="BC341" s="33">
        <f>ROUND(SUM($L341:$U341)+SUM($AF341:$AO341),2)</f>
      </c>
    </row>
    <row r="342" spans="1:55" x14ac:dyDescent="0.25">
      <c r="A342">
        <v>335</v>
      </c>
      <c r="B342" s="33">
        <f>IF(AP341&lt;=0,0,ROUND(AP341+ROUND(AP341*V$3/12,2),2))</f>
      </c>
      <c r="C342" s="33">
        <f>IF(AQ341&lt;=0,0,ROUND(AQ341+ROUND(AQ341*W$3/12,2),2))</f>
      </c>
      <c r="D342" s="33">
        <f>IF(AR341&lt;=0,0,ROUND(AR341+ROUND(AR341*X$3/12,2),2))</f>
      </c>
      <c r="E342" s="33">
        <f>IF(AS341&lt;=0,0,ROUND(AS341+ROUND(AS341*Y$3/12,2),2))</f>
      </c>
      <c r="F342" s="33">
        <f>IF(AT341&lt;=0,0,ROUND(AT341+ROUND(AT341*Z$3/12,2),2))</f>
      </c>
      <c r="G342" s="33">
        <f>IF(AU341&lt;=0,0,ROUND(AU341+ROUND(AU341*AA$3/12,2),2))</f>
      </c>
      <c r="H342" s="33">
        <f>IF(AV341&lt;=0,0,ROUND(AV341+ROUND(AV341*AB$3/12,2),2))</f>
      </c>
      <c r="I342" s="33">
        <f>IF(AW341&lt;=0,0,ROUND(AW341+ROUND(AW341*AC$3/12,2),2))</f>
      </c>
      <c r="J342" s="33">
        <f>IF(AX341&lt;=0,0,ROUND(AX341+ROUND(AX341*AD$3/12,2),2))</f>
      </c>
      <c r="K342" s="33">
        <f>IF(AY341&lt;=0,0,ROUND(AY341+ROUND(AY341*AE$3/12,2),2))</f>
      </c>
      <c r="L342" s="33">
        <f>ROUND(MIN(MAX(0,N('Your debts'!$E$6)),B342),2)</f>
      </c>
      <c r="M342" s="33">
        <f>ROUND(MIN(MAX(0,N('Your debts'!$E$7)),C342),2)</f>
      </c>
      <c r="N342" s="33">
        <f>ROUND(MIN(MAX(0,N('Your debts'!$E$8)),D342),2)</f>
      </c>
      <c r="O342" s="33">
        <f>ROUND(MIN(MAX(0,N('Your debts'!$E$9)),E342),2)</f>
      </c>
      <c r="P342" s="33">
        <f>ROUND(MIN(MAX(0,N('Your debts'!$E$10)),F342),2)</f>
      </c>
      <c r="Q342" s="33">
        <f>ROUND(MIN(MAX(0,N('Your debts'!$E$11)),G342),2)</f>
      </c>
      <c r="R342" s="33">
        <f>ROUND(MIN(MAX(0,N('Your debts'!$E$12)),H342),2)</f>
      </c>
      <c r="S342" s="33">
        <f>ROUND(MIN(MAX(0,N('Your debts'!$E$13)),I342),2)</f>
      </c>
      <c r="T342" s="33">
        <f>ROUND(MIN(MAX(0,N('Your debts'!$E$14)),J342),2)</f>
      </c>
      <c r="U342" s="33">
        <f>ROUND(MIN(MAX(0,N('Your debts'!$E$15)),K342),2)</f>
      </c>
      <c r="V342" s="33">
        <f>ROUND(B342-L342,2)</f>
      </c>
      <c r="W342" s="33">
        <f>ROUND(C342-M342,2)</f>
      </c>
      <c r="X342" s="33">
        <f>ROUND(D342-N342,2)</f>
      </c>
      <c r="Y342" s="33">
        <f>ROUND(E342-O342,2)</f>
      </c>
      <c r="Z342" s="33">
        <f>ROUND(F342-P342,2)</f>
      </c>
      <c r="AA342" s="33">
        <f>ROUND(G342-Q342,2)</f>
      </c>
      <c r="AB342" s="33">
        <f>ROUND(H342-R342,2)</f>
      </c>
      <c r="AC342" s="33">
        <f>ROUND(I342-S342,2)</f>
      </c>
      <c r="AD342" s="33">
        <f>ROUND(J342-T342,2)</f>
      </c>
      <c r="AE342" s="33">
        <f>ROUND(K342-U342,2)</f>
      </c>
      <c r="AF342" s="33">
        <f>IF(V342&lt;=0,0,MAX(0,MIN(V342,ROUND($AZ342-SUMPRODUCT($V342:$AE342*($V342:$AE342&gt;0)*(($V$3:$AE$3&gt;V$3)+($V$3:$AE$3=V$3)*($V342:$AE342&lt;V342)+($V$3:$AE$3=V$3)*($V342:$AE342=V342)*($V$2:$AE$2&lt;V$2))),2))))</f>
      </c>
      <c r="AG342" s="33">
        <f>IF(W342&lt;=0,0,MAX(0,MIN(W342,ROUND($AZ342-SUMPRODUCT($V342:$AE342*($V342:$AE342&gt;0)*(($V$3:$AE$3&gt;W$3)+($V$3:$AE$3=W$3)*($V342:$AE342&lt;W342)+($V$3:$AE$3=W$3)*($V342:$AE342=W342)*($V$2:$AE$2&lt;W$2))),2))))</f>
      </c>
      <c r="AH342" s="33">
        <f>IF(X342&lt;=0,0,MAX(0,MIN(X342,ROUND($AZ342-SUMPRODUCT($V342:$AE342*($V342:$AE342&gt;0)*(($V$3:$AE$3&gt;X$3)+($V$3:$AE$3=X$3)*($V342:$AE342&lt;X342)+($V$3:$AE$3=X$3)*($V342:$AE342=X342)*($V$2:$AE$2&lt;X$2))),2))))</f>
      </c>
      <c r="AI342" s="33">
        <f>IF(Y342&lt;=0,0,MAX(0,MIN(Y342,ROUND($AZ342-SUMPRODUCT($V342:$AE342*($V342:$AE342&gt;0)*(($V$3:$AE$3&gt;Y$3)+($V$3:$AE$3=Y$3)*($V342:$AE342&lt;Y342)+($V$3:$AE$3=Y$3)*($V342:$AE342=Y342)*($V$2:$AE$2&lt;Y$2))),2))))</f>
      </c>
      <c r="AJ342" s="33">
        <f>IF(Z342&lt;=0,0,MAX(0,MIN(Z342,ROUND($AZ342-SUMPRODUCT($V342:$AE342*($V342:$AE342&gt;0)*(($V$3:$AE$3&gt;Z$3)+($V$3:$AE$3=Z$3)*($V342:$AE342&lt;Z342)+($V$3:$AE$3=Z$3)*($V342:$AE342=Z342)*($V$2:$AE$2&lt;Z$2))),2))))</f>
      </c>
      <c r="AK342" s="33">
        <f>IF(AA342&lt;=0,0,MAX(0,MIN(AA342,ROUND($AZ342-SUMPRODUCT($V342:$AE342*($V342:$AE342&gt;0)*(($V$3:$AE$3&gt;AA$3)+($V$3:$AE$3=AA$3)*($V342:$AE342&lt;AA342)+($V$3:$AE$3=AA$3)*($V342:$AE342=AA342)*($V$2:$AE$2&lt;AA$2))),2))))</f>
      </c>
      <c r="AL342" s="33">
        <f>IF(AB342&lt;=0,0,MAX(0,MIN(AB342,ROUND($AZ342-SUMPRODUCT($V342:$AE342*($V342:$AE342&gt;0)*(($V$3:$AE$3&gt;AB$3)+($V$3:$AE$3=AB$3)*($V342:$AE342&lt;AB342)+($V$3:$AE$3=AB$3)*($V342:$AE342=AB342)*($V$2:$AE$2&lt;AB$2))),2))))</f>
      </c>
      <c r="AM342" s="33">
        <f>IF(AC342&lt;=0,0,MAX(0,MIN(AC342,ROUND($AZ342-SUMPRODUCT($V342:$AE342*($V342:$AE342&gt;0)*(($V$3:$AE$3&gt;AC$3)+($V$3:$AE$3=AC$3)*($V342:$AE342&lt;AC342)+($V$3:$AE$3=AC$3)*($V342:$AE342=AC342)*($V$2:$AE$2&lt;AC$2))),2))))</f>
      </c>
      <c r="AN342" s="33">
        <f>IF(AD342&lt;=0,0,MAX(0,MIN(AD342,ROUND($AZ342-SUMPRODUCT($V342:$AE342*($V342:$AE342&gt;0)*(($V$3:$AE$3&gt;AD$3)+($V$3:$AE$3=AD$3)*($V342:$AE342&lt;AD342)+($V$3:$AE$3=AD$3)*($V342:$AE342=AD342)*($V$2:$AE$2&lt;AD$2))),2))))</f>
      </c>
      <c r="AO342" s="33">
        <f>IF(AE342&lt;=0,0,MAX(0,MIN(AE342,ROUND($AZ342-SUMPRODUCT($V342:$AE342*($V342:$AE342&gt;0)*(($V$3:$AE$3&gt;AE$3)+($V$3:$AE$3=AE$3)*($V342:$AE342&lt;AE342)+($V$3:$AE$3=AE$3)*($V342:$AE342=AE342)*($V$2:$AE$2&lt;AE$2))),2))))</f>
      </c>
      <c r="AP342" s="33">
        <f>ROUND(V342-AF342,2)</f>
      </c>
      <c r="AQ342" s="33">
        <f>ROUND(W342-AG342,2)</f>
      </c>
      <c r="AR342" s="33">
        <f>ROUND(X342-AH342,2)</f>
      </c>
      <c r="AS342" s="33">
        <f>ROUND(Y342-AI342,2)</f>
      </c>
      <c r="AT342" s="33">
        <f>ROUND(Z342-AJ342,2)</f>
      </c>
      <c r="AU342" s="33">
        <f>ROUND(AA342-AK342,2)</f>
      </c>
      <c r="AV342" s="33">
        <f>ROUND(AB342-AL342,2)</f>
      </c>
      <c r="AW342" s="33">
        <f>ROUND(AC342-AM342,2)</f>
      </c>
      <c r="AX342" s="33">
        <f>ROUND(AD342-AN342,2)</f>
      </c>
      <c r="AY342" s="33">
        <f>ROUND(AE342-AO342,2)</f>
      </c>
      <c r="AZ342" s="33">
        <f>ROUND(MAX(0,'Your debts'!$D$22-SUM($L342:$U342)),2)</f>
      </c>
      <c r="BA342" s="33">
        <f>ROUND(SUM($B342:$K342)-SUM($AP341:$AY341),2)</f>
      </c>
      <c r="BB342" s="33">
        <f>SUM($AP342:$AY342)</f>
      </c>
      <c r="BC342" s="33">
        <f>ROUND(SUM($L342:$U342)+SUM($AF342:$AO342),2)</f>
      </c>
    </row>
    <row r="343" spans="1:55" x14ac:dyDescent="0.25">
      <c r="A343">
        <v>336</v>
      </c>
      <c r="B343" s="33">
        <f>IF(AP342&lt;=0,0,ROUND(AP342+ROUND(AP342*V$3/12,2),2))</f>
      </c>
      <c r="C343" s="33">
        <f>IF(AQ342&lt;=0,0,ROUND(AQ342+ROUND(AQ342*W$3/12,2),2))</f>
      </c>
      <c r="D343" s="33">
        <f>IF(AR342&lt;=0,0,ROUND(AR342+ROUND(AR342*X$3/12,2),2))</f>
      </c>
      <c r="E343" s="33">
        <f>IF(AS342&lt;=0,0,ROUND(AS342+ROUND(AS342*Y$3/12,2),2))</f>
      </c>
      <c r="F343" s="33">
        <f>IF(AT342&lt;=0,0,ROUND(AT342+ROUND(AT342*Z$3/12,2),2))</f>
      </c>
      <c r="G343" s="33">
        <f>IF(AU342&lt;=0,0,ROUND(AU342+ROUND(AU342*AA$3/12,2),2))</f>
      </c>
      <c r="H343" s="33">
        <f>IF(AV342&lt;=0,0,ROUND(AV342+ROUND(AV342*AB$3/12,2),2))</f>
      </c>
      <c r="I343" s="33">
        <f>IF(AW342&lt;=0,0,ROUND(AW342+ROUND(AW342*AC$3/12,2),2))</f>
      </c>
      <c r="J343" s="33">
        <f>IF(AX342&lt;=0,0,ROUND(AX342+ROUND(AX342*AD$3/12,2),2))</f>
      </c>
      <c r="K343" s="33">
        <f>IF(AY342&lt;=0,0,ROUND(AY342+ROUND(AY342*AE$3/12,2),2))</f>
      </c>
      <c r="L343" s="33">
        <f>ROUND(MIN(MAX(0,N('Your debts'!$E$6)),B343),2)</f>
      </c>
      <c r="M343" s="33">
        <f>ROUND(MIN(MAX(0,N('Your debts'!$E$7)),C343),2)</f>
      </c>
      <c r="N343" s="33">
        <f>ROUND(MIN(MAX(0,N('Your debts'!$E$8)),D343),2)</f>
      </c>
      <c r="O343" s="33">
        <f>ROUND(MIN(MAX(0,N('Your debts'!$E$9)),E343),2)</f>
      </c>
      <c r="P343" s="33">
        <f>ROUND(MIN(MAX(0,N('Your debts'!$E$10)),F343),2)</f>
      </c>
      <c r="Q343" s="33">
        <f>ROUND(MIN(MAX(0,N('Your debts'!$E$11)),G343),2)</f>
      </c>
      <c r="R343" s="33">
        <f>ROUND(MIN(MAX(0,N('Your debts'!$E$12)),H343),2)</f>
      </c>
      <c r="S343" s="33">
        <f>ROUND(MIN(MAX(0,N('Your debts'!$E$13)),I343),2)</f>
      </c>
      <c r="T343" s="33">
        <f>ROUND(MIN(MAX(0,N('Your debts'!$E$14)),J343),2)</f>
      </c>
      <c r="U343" s="33">
        <f>ROUND(MIN(MAX(0,N('Your debts'!$E$15)),K343),2)</f>
      </c>
      <c r="V343" s="33">
        <f>ROUND(B343-L343,2)</f>
      </c>
      <c r="W343" s="33">
        <f>ROUND(C343-M343,2)</f>
      </c>
      <c r="X343" s="33">
        <f>ROUND(D343-N343,2)</f>
      </c>
      <c r="Y343" s="33">
        <f>ROUND(E343-O343,2)</f>
      </c>
      <c r="Z343" s="33">
        <f>ROUND(F343-P343,2)</f>
      </c>
      <c r="AA343" s="33">
        <f>ROUND(G343-Q343,2)</f>
      </c>
      <c r="AB343" s="33">
        <f>ROUND(H343-R343,2)</f>
      </c>
      <c r="AC343" s="33">
        <f>ROUND(I343-S343,2)</f>
      </c>
      <c r="AD343" s="33">
        <f>ROUND(J343-T343,2)</f>
      </c>
      <c r="AE343" s="33">
        <f>ROUND(K343-U343,2)</f>
      </c>
      <c r="AF343" s="33">
        <f>IF(V343&lt;=0,0,MAX(0,MIN(V343,ROUND($AZ343-SUMPRODUCT($V343:$AE343*($V343:$AE343&gt;0)*(($V$3:$AE$3&gt;V$3)+($V$3:$AE$3=V$3)*($V343:$AE343&lt;V343)+($V$3:$AE$3=V$3)*($V343:$AE343=V343)*($V$2:$AE$2&lt;V$2))),2))))</f>
      </c>
      <c r="AG343" s="33">
        <f>IF(W343&lt;=0,0,MAX(0,MIN(W343,ROUND($AZ343-SUMPRODUCT($V343:$AE343*($V343:$AE343&gt;0)*(($V$3:$AE$3&gt;W$3)+($V$3:$AE$3=W$3)*($V343:$AE343&lt;W343)+($V$3:$AE$3=W$3)*($V343:$AE343=W343)*($V$2:$AE$2&lt;W$2))),2))))</f>
      </c>
      <c r="AH343" s="33">
        <f>IF(X343&lt;=0,0,MAX(0,MIN(X343,ROUND($AZ343-SUMPRODUCT($V343:$AE343*($V343:$AE343&gt;0)*(($V$3:$AE$3&gt;X$3)+($V$3:$AE$3=X$3)*($V343:$AE343&lt;X343)+($V$3:$AE$3=X$3)*($V343:$AE343=X343)*($V$2:$AE$2&lt;X$2))),2))))</f>
      </c>
      <c r="AI343" s="33">
        <f>IF(Y343&lt;=0,0,MAX(0,MIN(Y343,ROUND($AZ343-SUMPRODUCT($V343:$AE343*($V343:$AE343&gt;0)*(($V$3:$AE$3&gt;Y$3)+($V$3:$AE$3=Y$3)*($V343:$AE343&lt;Y343)+($V$3:$AE$3=Y$3)*($V343:$AE343=Y343)*($V$2:$AE$2&lt;Y$2))),2))))</f>
      </c>
      <c r="AJ343" s="33">
        <f>IF(Z343&lt;=0,0,MAX(0,MIN(Z343,ROUND($AZ343-SUMPRODUCT($V343:$AE343*($V343:$AE343&gt;0)*(($V$3:$AE$3&gt;Z$3)+($V$3:$AE$3=Z$3)*($V343:$AE343&lt;Z343)+($V$3:$AE$3=Z$3)*($V343:$AE343=Z343)*($V$2:$AE$2&lt;Z$2))),2))))</f>
      </c>
      <c r="AK343" s="33">
        <f>IF(AA343&lt;=0,0,MAX(0,MIN(AA343,ROUND($AZ343-SUMPRODUCT($V343:$AE343*($V343:$AE343&gt;0)*(($V$3:$AE$3&gt;AA$3)+($V$3:$AE$3=AA$3)*($V343:$AE343&lt;AA343)+($V$3:$AE$3=AA$3)*($V343:$AE343=AA343)*($V$2:$AE$2&lt;AA$2))),2))))</f>
      </c>
      <c r="AL343" s="33">
        <f>IF(AB343&lt;=0,0,MAX(0,MIN(AB343,ROUND($AZ343-SUMPRODUCT($V343:$AE343*($V343:$AE343&gt;0)*(($V$3:$AE$3&gt;AB$3)+($V$3:$AE$3=AB$3)*($V343:$AE343&lt;AB343)+($V$3:$AE$3=AB$3)*($V343:$AE343=AB343)*($V$2:$AE$2&lt;AB$2))),2))))</f>
      </c>
      <c r="AM343" s="33">
        <f>IF(AC343&lt;=0,0,MAX(0,MIN(AC343,ROUND($AZ343-SUMPRODUCT($V343:$AE343*($V343:$AE343&gt;0)*(($V$3:$AE$3&gt;AC$3)+($V$3:$AE$3=AC$3)*($V343:$AE343&lt;AC343)+($V$3:$AE$3=AC$3)*($V343:$AE343=AC343)*($V$2:$AE$2&lt;AC$2))),2))))</f>
      </c>
      <c r="AN343" s="33">
        <f>IF(AD343&lt;=0,0,MAX(0,MIN(AD343,ROUND($AZ343-SUMPRODUCT($V343:$AE343*($V343:$AE343&gt;0)*(($V$3:$AE$3&gt;AD$3)+($V$3:$AE$3=AD$3)*($V343:$AE343&lt;AD343)+($V$3:$AE$3=AD$3)*($V343:$AE343=AD343)*($V$2:$AE$2&lt;AD$2))),2))))</f>
      </c>
      <c r="AO343" s="33">
        <f>IF(AE343&lt;=0,0,MAX(0,MIN(AE343,ROUND($AZ343-SUMPRODUCT($V343:$AE343*($V343:$AE343&gt;0)*(($V$3:$AE$3&gt;AE$3)+($V$3:$AE$3=AE$3)*($V343:$AE343&lt;AE343)+($V$3:$AE$3=AE$3)*($V343:$AE343=AE343)*($V$2:$AE$2&lt;AE$2))),2))))</f>
      </c>
      <c r="AP343" s="33">
        <f>ROUND(V343-AF343,2)</f>
      </c>
      <c r="AQ343" s="33">
        <f>ROUND(W343-AG343,2)</f>
      </c>
      <c r="AR343" s="33">
        <f>ROUND(X343-AH343,2)</f>
      </c>
      <c r="AS343" s="33">
        <f>ROUND(Y343-AI343,2)</f>
      </c>
      <c r="AT343" s="33">
        <f>ROUND(Z343-AJ343,2)</f>
      </c>
      <c r="AU343" s="33">
        <f>ROUND(AA343-AK343,2)</f>
      </c>
      <c r="AV343" s="33">
        <f>ROUND(AB343-AL343,2)</f>
      </c>
      <c r="AW343" s="33">
        <f>ROUND(AC343-AM343,2)</f>
      </c>
      <c r="AX343" s="33">
        <f>ROUND(AD343-AN343,2)</f>
      </c>
      <c r="AY343" s="33">
        <f>ROUND(AE343-AO343,2)</f>
      </c>
      <c r="AZ343" s="33">
        <f>ROUND(MAX(0,'Your debts'!$D$22-SUM($L343:$U343)),2)</f>
      </c>
      <c r="BA343" s="33">
        <f>ROUND(SUM($B343:$K343)-SUM($AP342:$AY342),2)</f>
      </c>
      <c r="BB343" s="33">
        <f>SUM($AP343:$AY343)</f>
      </c>
      <c r="BC343" s="33">
        <f>ROUND(SUM($L343:$U343)+SUM($AF343:$AO343),2)</f>
      </c>
    </row>
    <row r="344" spans="1:55" x14ac:dyDescent="0.25">
      <c r="A344">
        <v>337</v>
      </c>
      <c r="B344" s="33">
        <f>IF(AP343&lt;=0,0,ROUND(AP343+ROUND(AP343*V$3/12,2),2))</f>
      </c>
      <c r="C344" s="33">
        <f>IF(AQ343&lt;=0,0,ROUND(AQ343+ROUND(AQ343*W$3/12,2),2))</f>
      </c>
      <c r="D344" s="33">
        <f>IF(AR343&lt;=0,0,ROUND(AR343+ROUND(AR343*X$3/12,2),2))</f>
      </c>
      <c r="E344" s="33">
        <f>IF(AS343&lt;=0,0,ROUND(AS343+ROUND(AS343*Y$3/12,2),2))</f>
      </c>
      <c r="F344" s="33">
        <f>IF(AT343&lt;=0,0,ROUND(AT343+ROUND(AT343*Z$3/12,2),2))</f>
      </c>
      <c r="G344" s="33">
        <f>IF(AU343&lt;=0,0,ROUND(AU343+ROUND(AU343*AA$3/12,2),2))</f>
      </c>
      <c r="H344" s="33">
        <f>IF(AV343&lt;=0,0,ROUND(AV343+ROUND(AV343*AB$3/12,2),2))</f>
      </c>
      <c r="I344" s="33">
        <f>IF(AW343&lt;=0,0,ROUND(AW343+ROUND(AW343*AC$3/12,2),2))</f>
      </c>
      <c r="J344" s="33">
        <f>IF(AX343&lt;=0,0,ROUND(AX343+ROUND(AX343*AD$3/12,2),2))</f>
      </c>
      <c r="K344" s="33">
        <f>IF(AY343&lt;=0,0,ROUND(AY343+ROUND(AY343*AE$3/12,2),2))</f>
      </c>
      <c r="L344" s="33">
        <f>ROUND(MIN(MAX(0,N('Your debts'!$E$6)),B344),2)</f>
      </c>
      <c r="M344" s="33">
        <f>ROUND(MIN(MAX(0,N('Your debts'!$E$7)),C344),2)</f>
      </c>
      <c r="N344" s="33">
        <f>ROUND(MIN(MAX(0,N('Your debts'!$E$8)),D344),2)</f>
      </c>
      <c r="O344" s="33">
        <f>ROUND(MIN(MAX(0,N('Your debts'!$E$9)),E344),2)</f>
      </c>
      <c r="P344" s="33">
        <f>ROUND(MIN(MAX(0,N('Your debts'!$E$10)),F344),2)</f>
      </c>
      <c r="Q344" s="33">
        <f>ROUND(MIN(MAX(0,N('Your debts'!$E$11)),G344),2)</f>
      </c>
      <c r="R344" s="33">
        <f>ROUND(MIN(MAX(0,N('Your debts'!$E$12)),H344),2)</f>
      </c>
      <c r="S344" s="33">
        <f>ROUND(MIN(MAX(0,N('Your debts'!$E$13)),I344),2)</f>
      </c>
      <c r="T344" s="33">
        <f>ROUND(MIN(MAX(0,N('Your debts'!$E$14)),J344),2)</f>
      </c>
      <c r="U344" s="33">
        <f>ROUND(MIN(MAX(0,N('Your debts'!$E$15)),K344),2)</f>
      </c>
      <c r="V344" s="33">
        <f>ROUND(B344-L344,2)</f>
      </c>
      <c r="W344" s="33">
        <f>ROUND(C344-M344,2)</f>
      </c>
      <c r="X344" s="33">
        <f>ROUND(D344-N344,2)</f>
      </c>
      <c r="Y344" s="33">
        <f>ROUND(E344-O344,2)</f>
      </c>
      <c r="Z344" s="33">
        <f>ROUND(F344-P344,2)</f>
      </c>
      <c r="AA344" s="33">
        <f>ROUND(G344-Q344,2)</f>
      </c>
      <c r="AB344" s="33">
        <f>ROUND(H344-R344,2)</f>
      </c>
      <c r="AC344" s="33">
        <f>ROUND(I344-S344,2)</f>
      </c>
      <c r="AD344" s="33">
        <f>ROUND(J344-T344,2)</f>
      </c>
      <c r="AE344" s="33">
        <f>ROUND(K344-U344,2)</f>
      </c>
      <c r="AF344" s="33">
        <f>IF(V344&lt;=0,0,MAX(0,MIN(V344,ROUND($AZ344-SUMPRODUCT($V344:$AE344*($V344:$AE344&gt;0)*(($V$3:$AE$3&gt;V$3)+($V$3:$AE$3=V$3)*($V344:$AE344&lt;V344)+($V$3:$AE$3=V$3)*($V344:$AE344=V344)*($V$2:$AE$2&lt;V$2))),2))))</f>
      </c>
      <c r="AG344" s="33">
        <f>IF(W344&lt;=0,0,MAX(0,MIN(W344,ROUND($AZ344-SUMPRODUCT($V344:$AE344*($V344:$AE344&gt;0)*(($V$3:$AE$3&gt;W$3)+($V$3:$AE$3=W$3)*($V344:$AE344&lt;W344)+($V$3:$AE$3=W$3)*($V344:$AE344=W344)*($V$2:$AE$2&lt;W$2))),2))))</f>
      </c>
      <c r="AH344" s="33">
        <f>IF(X344&lt;=0,0,MAX(0,MIN(X344,ROUND($AZ344-SUMPRODUCT($V344:$AE344*($V344:$AE344&gt;0)*(($V$3:$AE$3&gt;X$3)+($V$3:$AE$3=X$3)*($V344:$AE344&lt;X344)+($V$3:$AE$3=X$3)*($V344:$AE344=X344)*($V$2:$AE$2&lt;X$2))),2))))</f>
      </c>
      <c r="AI344" s="33">
        <f>IF(Y344&lt;=0,0,MAX(0,MIN(Y344,ROUND($AZ344-SUMPRODUCT($V344:$AE344*($V344:$AE344&gt;0)*(($V$3:$AE$3&gt;Y$3)+($V$3:$AE$3=Y$3)*($V344:$AE344&lt;Y344)+($V$3:$AE$3=Y$3)*($V344:$AE344=Y344)*($V$2:$AE$2&lt;Y$2))),2))))</f>
      </c>
      <c r="AJ344" s="33">
        <f>IF(Z344&lt;=0,0,MAX(0,MIN(Z344,ROUND($AZ344-SUMPRODUCT($V344:$AE344*($V344:$AE344&gt;0)*(($V$3:$AE$3&gt;Z$3)+($V$3:$AE$3=Z$3)*($V344:$AE344&lt;Z344)+($V$3:$AE$3=Z$3)*($V344:$AE344=Z344)*($V$2:$AE$2&lt;Z$2))),2))))</f>
      </c>
      <c r="AK344" s="33">
        <f>IF(AA344&lt;=0,0,MAX(0,MIN(AA344,ROUND($AZ344-SUMPRODUCT($V344:$AE344*($V344:$AE344&gt;0)*(($V$3:$AE$3&gt;AA$3)+($V$3:$AE$3=AA$3)*($V344:$AE344&lt;AA344)+($V$3:$AE$3=AA$3)*($V344:$AE344=AA344)*($V$2:$AE$2&lt;AA$2))),2))))</f>
      </c>
      <c r="AL344" s="33">
        <f>IF(AB344&lt;=0,0,MAX(0,MIN(AB344,ROUND($AZ344-SUMPRODUCT($V344:$AE344*($V344:$AE344&gt;0)*(($V$3:$AE$3&gt;AB$3)+($V$3:$AE$3=AB$3)*($V344:$AE344&lt;AB344)+($V$3:$AE$3=AB$3)*($V344:$AE344=AB344)*($V$2:$AE$2&lt;AB$2))),2))))</f>
      </c>
      <c r="AM344" s="33">
        <f>IF(AC344&lt;=0,0,MAX(0,MIN(AC344,ROUND($AZ344-SUMPRODUCT($V344:$AE344*($V344:$AE344&gt;0)*(($V$3:$AE$3&gt;AC$3)+($V$3:$AE$3=AC$3)*($V344:$AE344&lt;AC344)+($V$3:$AE$3=AC$3)*($V344:$AE344=AC344)*($V$2:$AE$2&lt;AC$2))),2))))</f>
      </c>
      <c r="AN344" s="33">
        <f>IF(AD344&lt;=0,0,MAX(0,MIN(AD344,ROUND($AZ344-SUMPRODUCT($V344:$AE344*($V344:$AE344&gt;0)*(($V$3:$AE$3&gt;AD$3)+($V$3:$AE$3=AD$3)*($V344:$AE344&lt;AD344)+($V$3:$AE$3=AD$3)*($V344:$AE344=AD344)*($V$2:$AE$2&lt;AD$2))),2))))</f>
      </c>
      <c r="AO344" s="33">
        <f>IF(AE344&lt;=0,0,MAX(0,MIN(AE344,ROUND($AZ344-SUMPRODUCT($V344:$AE344*($V344:$AE344&gt;0)*(($V$3:$AE$3&gt;AE$3)+($V$3:$AE$3=AE$3)*($V344:$AE344&lt;AE344)+($V$3:$AE$3=AE$3)*($V344:$AE344=AE344)*($V$2:$AE$2&lt;AE$2))),2))))</f>
      </c>
      <c r="AP344" s="33">
        <f>ROUND(V344-AF344,2)</f>
      </c>
      <c r="AQ344" s="33">
        <f>ROUND(W344-AG344,2)</f>
      </c>
      <c r="AR344" s="33">
        <f>ROUND(X344-AH344,2)</f>
      </c>
      <c r="AS344" s="33">
        <f>ROUND(Y344-AI344,2)</f>
      </c>
      <c r="AT344" s="33">
        <f>ROUND(Z344-AJ344,2)</f>
      </c>
      <c r="AU344" s="33">
        <f>ROUND(AA344-AK344,2)</f>
      </c>
      <c r="AV344" s="33">
        <f>ROUND(AB344-AL344,2)</f>
      </c>
      <c r="AW344" s="33">
        <f>ROUND(AC344-AM344,2)</f>
      </c>
      <c r="AX344" s="33">
        <f>ROUND(AD344-AN344,2)</f>
      </c>
      <c r="AY344" s="33">
        <f>ROUND(AE344-AO344,2)</f>
      </c>
      <c r="AZ344" s="33">
        <f>ROUND(MAX(0,'Your debts'!$D$22-SUM($L344:$U344)),2)</f>
      </c>
      <c r="BA344" s="33">
        <f>ROUND(SUM($B344:$K344)-SUM($AP343:$AY343),2)</f>
      </c>
      <c r="BB344" s="33">
        <f>SUM($AP344:$AY344)</f>
      </c>
      <c r="BC344" s="33">
        <f>ROUND(SUM($L344:$U344)+SUM($AF344:$AO344),2)</f>
      </c>
    </row>
    <row r="345" spans="1:55" x14ac:dyDescent="0.25">
      <c r="A345">
        <v>338</v>
      </c>
      <c r="B345" s="33">
        <f>IF(AP344&lt;=0,0,ROUND(AP344+ROUND(AP344*V$3/12,2),2))</f>
      </c>
      <c r="C345" s="33">
        <f>IF(AQ344&lt;=0,0,ROUND(AQ344+ROUND(AQ344*W$3/12,2),2))</f>
      </c>
      <c r="D345" s="33">
        <f>IF(AR344&lt;=0,0,ROUND(AR344+ROUND(AR344*X$3/12,2),2))</f>
      </c>
      <c r="E345" s="33">
        <f>IF(AS344&lt;=0,0,ROUND(AS344+ROUND(AS344*Y$3/12,2),2))</f>
      </c>
      <c r="F345" s="33">
        <f>IF(AT344&lt;=0,0,ROUND(AT344+ROUND(AT344*Z$3/12,2),2))</f>
      </c>
      <c r="G345" s="33">
        <f>IF(AU344&lt;=0,0,ROUND(AU344+ROUND(AU344*AA$3/12,2),2))</f>
      </c>
      <c r="H345" s="33">
        <f>IF(AV344&lt;=0,0,ROUND(AV344+ROUND(AV344*AB$3/12,2),2))</f>
      </c>
      <c r="I345" s="33">
        <f>IF(AW344&lt;=0,0,ROUND(AW344+ROUND(AW344*AC$3/12,2),2))</f>
      </c>
      <c r="J345" s="33">
        <f>IF(AX344&lt;=0,0,ROUND(AX344+ROUND(AX344*AD$3/12,2),2))</f>
      </c>
      <c r="K345" s="33">
        <f>IF(AY344&lt;=0,0,ROUND(AY344+ROUND(AY344*AE$3/12,2),2))</f>
      </c>
      <c r="L345" s="33">
        <f>ROUND(MIN(MAX(0,N('Your debts'!$E$6)),B345),2)</f>
      </c>
      <c r="M345" s="33">
        <f>ROUND(MIN(MAX(0,N('Your debts'!$E$7)),C345),2)</f>
      </c>
      <c r="N345" s="33">
        <f>ROUND(MIN(MAX(0,N('Your debts'!$E$8)),D345),2)</f>
      </c>
      <c r="O345" s="33">
        <f>ROUND(MIN(MAX(0,N('Your debts'!$E$9)),E345),2)</f>
      </c>
      <c r="P345" s="33">
        <f>ROUND(MIN(MAX(0,N('Your debts'!$E$10)),F345),2)</f>
      </c>
      <c r="Q345" s="33">
        <f>ROUND(MIN(MAX(0,N('Your debts'!$E$11)),G345),2)</f>
      </c>
      <c r="R345" s="33">
        <f>ROUND(MIN(MAX(0,N('Your debts'!$E$12)),H345),2)</f>
      </c>
      <c r="S345" s="33">
        <f>ROUND(MIN(MAX(0,N('Your debts'!$E$13)),I345),2)</f>
      </c>
      <c r="T345" s="33">
        <f>ROUND(MIN(MAX(0,N('Your debts'!$E$14)),J345),2)</f>
      </c>
      <c r="U345" s="33">
        <f>ROUND(MIN(MAX(0,N('Your debts'!$E$15)),K345),2)</f>
      </c>
      <c r="V345" s="33">
        <f>ROUND(B345-L345,2)</f>
      </c>
      <c r="W345" s="33">
        <f>ROUND(C345-M345,2)</f>
      </c>
      <c r="X345" s="33">
        <f>ROUND(D345-N345,2)</f>
      </c>
      <c r="Y345" s="33">
        <f>ROUND(E345-O345,2)</f>
      </c>
      <c r="Z345" s="33">
        <f>ROUND(F345-P345,2)</f>
      </c>
      <c r="AA345" s="33">
        <f>ROUND(G345-Q345,2)</f>
      </c>
      <c r="AB345" s="33">
        <f>ROUND(H345-R345,2)</f>
      </c>
      <c r="AC345" s="33">
        <f>ROUND(I345-S345,2)</f>
      </c>
      <c r="AD345" s="33">
        <f>ROUND(J345-T345,2)</f>
      </c>
      <c r="AE345" s="33">
        <f>ROUND(K345-U345,2)</f>
      </c>
      <c r="AF345" s="33">
        <f>IF(V345&lt;=0,0,MAX(0,MIN(V345,ROUND($AZ345-SUMPRODUCT($V345:$AE345*($V345:$AE345&gt;0)*(($V$3:$AE$3&gt;V$3)+($V$3:$AE$3=V$3)*($V345:$AE345&lt;V345)+($V$3:$AE$3=V$3)*($V345:$AE345=V345)*($V$2:$AE$2&lt;V$2))),2))))</f>
      </c>
      <c r="AG345" s="33">
        <f>IF(W345&lt;=0,0,MAX(0,MIN(W345,ROUND($AZ345-SUMPRODUCT($V345:$AE345*($V345:$AE345&gt;0)*(($V$3:$AE$3&gt;W$3)+($V$3:$AE$3=W$3)*($V345:$AE345&lt;W345)+($V$3:$AE$3=W$3)*($V345:$AE345=W345)*($V$2:$AE$2&lt;W$2))),2))))</f>
      </c>
      <c r="AH345" s="33">
        <f>IF(X345&lt;=0,0,MAX(0,MIN(X345,ROUND($AZ345-SUMPRODUCT($V345:$AE345*($V345:$AE345&gt;0)*(($V$3:$AE$3&gt;X$3)+($V$3:$AE$3=X$3)*($V345:$AE345&lt;X345)+($V$3:$AE$3=X$3)*($V345:$AE345=X345)*($V$2:$AE$2&lt;X$2))),2))))</f>
      </c>
      <c r="AI345" s="33">
        <f>IF(Y345&lt;=0,0,MAX(0,MIN(Y345,ROUND($AZ345-SUMPRODUCT($V345:$AE345*($V345:$AE345&gt;0)*(($V$3:$AE$3&gt;Y$3)+($V$3:$AE$3=Y$3)*($V345:$AE345&lt;Y345)+($V$3:$AE$3=Y$3)*($V345:$AE345=Y345)*($V$2:$AE$2&lt;Y$2))),2))))</f>
      </c>
      <c r="AJ345" s="33">
        <f>IF(Z345&lt;=0,0,MAX(0,MIN(Z345,ROUND($AZ345-SUMPRODUCT($V345:$AE345*($V345:$AE345&gt;0)*(($V$3:$AE$3&gt;Z$3)+($V$3:$AE$3=Z$3)*($V345:$AE345&lt;Z345)+($V$3:$AE$3=Z$3)*($V345:$AE345=Z345)*($V$2:$AE$2&lt;Z$2))),2))))</f>
      </c>
      <c r="AK345" s="33">
        <f>IF(AA345&lt;=0,0,MAX(0,MIN(AA345,ROUND($AZ345-SUMPRODUCT($V345:$AE345*($V345:$AE345&gt;0)*(($V$3:$AE$3&gt;AA$3)+($V$3:$AE$3=AA$3)*($V345:$AE345&lt;AA345)+($V$3:$AE$3=AA$3)*($V345:$AE345=AA345)*($V$2:$AE$2&lt;AA$2))),2))))</f>
      </c>
      <c r="AL345" s="33">
        <f>IF(AB345&lt;=0,0,MAX(0,MIN(AB345,ROUND($AZ345-SUMPRODUCT($V345:$AE345*($V345:$AE345&gt;0)*(($V$3:$AE$3&gt;AB$3)+($V$3:$AE$3=AB$3)*($V345:$AE345&lt;AB345)+($V$3:$AE$3=AB$3)*($V345:$AE345=AB345)*($V$2:$AE$2&lt;AB$2))),2))))</f>
      </c>
      <c r="AM345" s="33">
        <f>IF(AC345&lt;=0,0,MAX(0,MIN(AC345,ROUND($AZ345-SUMPRODUCT($V345:$AE345*($V345:$AE345&gt;0)*(($V$3:$AE$3&gt;AC$3)+($V$3:$AE$3=AC$3)*($V345:$AE345&lt;AC345)+($V$3:$AE$3=AC$3)*($V345:$AE345=AC345)*($V$2:$AE$2&lt;AC$2))),2))))</f>
      </c>
      <c r="AN345" s="33">
        <f>IF(AD345&lt;=0,0,MAX(0,MIN(AD345,ROUND($AZ345-SUMPRODUCT($V345:$AE345*($V345:$AE345&gt;0)*(($V$3:$AE$3&gt;AD$3)+($V$3:$AE$3=AD$3)*($V345:$AE345&lt;AD345)+($V$3:$AE$3=AD$3)*($V345:$AE345=AD345)*($V$2:$AE$2&lt;AD$2))),2))))</f>
      </c>
      <c r="AO345" s="33">
        <f>IF(AE345&lt;=0,0,MAX(0,MIN(AE345,ROUND($AZ345-SUMPRODUCT($V345:$AE345*($V345:$AE345&gt;0)*(($V$3:$AE$3&gt;AE$3)+($V$3:$AE$3=AE$3)*($V345:$AE345&lt;AE345)+($V$3:$AE$3=AE$3)*($V345:$AE345=AE345)*($V$2:$AE$2&lt;AE$2))),2))))</f>
      </c>
      <c r="AP345" s="33">
        <f>ROUND(V345-AF345,2)</f>
      </c>
      <c r="AQ345" s="33">
        <f>ROUND(W345-AG345,2)</f>
      </c>
      <c r="AR345" s="33">
        <f>ROUND(X345-AH345,2)</f>
      </c>
      <c r="AS345" s="33">
        <f>ROUND(Y345-AI345,2)</f>
      </c>
      <c r="AT345" s="33">
        <f>ROUND(Z345-AJ345,2)</f>
      </c>
      <c r="AU345" s="33">
        <f>ROUND(AA345-AK345,2)</f>
      </c>
      <c r="AV345" s="33">
        <f>ROUND(AB345-AL345,2)</f>
      </c>
      <c r="AW345" s="33">
        <f>ROUND(AC345-AM345,2)</f>
      </c>
      <c r="AX345" s="33">
        <f>ROUND(AD345-AN345,2)</f>
      </c>
      <c r="AY345" s="33">
        <f>ROUND(AE345-AO345,2)</f>
      </c>
      <c r="AZ345" s="33">
        <f>ROUND(MAX(0,'Your debts'!$D$22-SUM($L345:$U345)),2)</f>
      </c>
      <c r="BA345" s="33">
        <f>ROUND(SUM($B345:$K345)-SUM($AP344:$AY344),2)</f>
      </c>
      <c r="BB345" s="33">
        <f>SUM($AP345:$AY345)</f>
      </c>
      <c r="BC345" s="33">
        <f>ROUND(SUM($L345:$U345)+SUM($AF345:$AO345),2)</f>
      </c>
    </row>
    <row r="346" spans="1:55" x14ac:dyDescent="0.25">
      <c r="A346">
        <v>339</v>
      </c>
      <c r="B346" s="33">
        <f>IF(AP345&lt;=0,0,ROUND(AP345+ROUND(AP345*V$3/12,2),2))</f>
      </c>
      <c r="C346" s="33">
        <f>IF(AQ345&lt;=0,0,ROUND(AQ345+ROUND(AQ345*W$3/12,2),2))</f>
      </c>
      <c r="D346" s="33">
        <f>IF(AR345&lt;=0,0,ROUND(AR345+ROUND(AR345*X$3/12,2),2))</f>
      </c>
      <c r="E346" s="33">
        <f>IF(AS345&lt;=0,0,ROUND(AS345+ROUND(AS345*Y$3/12,2),2))</f>
      </c>
      <c r="F346" s="33">
        <f>IF(AT345&lt;=0,0,ROUND(AT345+ROUND(AT345*Z$3/12,2),2))</f>
      </c>
      <c r="G346" s="33">
        <f>IF(AU345&lt;=0,0,ROUND(AU345+ROUND(AU345*AA$3/12,2),2))</f>
      </c>
      <c r="H346" s="33">
        <f>IF(AV345&lt;=0,0,ROUND(AV345+ROUND(AV345*AB$3/12,2),2))</f>
      </c>
      <c r="I346" s="33">
        <f>IF(AW345&lt;=0,0,ROUND(AW345+ROUND(AW345*AC$3/12,2),2))</f>
      </c>
      <c r="J346" s="33">
        <f>IF(AX345&lt;=0,0,ROUND(AX345+ROUND(AX345*AD$3/12,2),2))</f>
      </c>
      <c r="K346" s="33">
        <f>IF(AY345&lt;=0,0,ROUND(AY345+ROUND(AY345*AE$3/12,2),2))</f>
      </c>
      <c r="L346" s="33">
        <f>ROUND(MIN(MAX(0,N('Your debts'!$E$6)),B346),2)</f>
      </c>
      <c r="M346" s="33">
        <f>ROUND(MIN(MAX(0,N('Your debts'!$E$7)),C346),2)</f>
      </c>
      <c r="N346" s="33">
        <f>ROUND(MIN(MAX(0,N('Your debts'!$E$8)),D346),2)</f>
      </c>
      <c r="O346" s="33">
        <f>ROUND(MIN(MAX(0,N('Your debts'!$E$9)),E346),2)</f>
      </c>
      <c r="P346" s="33">
        <f>ROUND(MIN(MAX(0,N('Your debts'!$E$10)),F346),2)</f>
      </c>
      <c r="Q346" s="33">
        <f>ROUND(MIN(MAX(0,N('Your debts'!$E$11)),G346),2)</f>
      </c>
      <c r="R346" s="33">
        <f>ROUND(MIN(MAX(0,N('Your debts'!$E$12)),H346),2)</f>
      </c>
      <c r="S346" s="33">
        <f>ROUND(MIN(MAX(0,N('Your debts'!$E$13)),I346),2)</f>
      </c>
      <c r="T346" s="33">
        <f>ROUND(MIN(MAX(0,N('Your debts'!$E$14)),J346),2)</f>
      </c>
      <c r="U346" s="33">
        <f>ROUND(MIN(MAX(0,N('Your debts'!$E$15)),K346),2)</f>
      </c>
      <c r="V346" s="33">
        <f>ROUND(B346-L346,2)</f>
      </c>
      <c r="W346" s="33">
        <f>ROUND(C346-M346,2)</f>
      </c>
      <c r="X346" s="33">
        <f>ROUND(D346-N346,2)</f>
      </c>
      <c r="Y346" s="33">
        <f>ROUND(E346-O346,2)</f>
      </c>
      <c r="Z346" s="33">
        <f>ROUND(F346-P346,2)</f>
      </c>
      <c r="AA346" s="33">
        <f>ROUND(G346-Q346,2)</f>
      </c>
      <c r="AB346" s="33">
        <f>ROUND(H346-R346,2)</f>
      </c>
      <c r="AC346" s="33">
        <f>ROUND(I346-S346,2)</f>
      </c>
      <c r="AD346" s="33">
        <f>ROUND(J346-T346,2)</f>
      </c>
      <c r="AE346" s="33">
        <f>ROUND(K346-U346,2)</f>
      </c>
      <c r="AF346" s="33">
        <f>IF(V346&lt;=0,0,MAX(0,MIN(V346,ROUND($AZ346-SUMPRODUCT($V346:$AE346*($V346:$AE346&gt;0)*(($V$3:$AE$3&gt;V$3)+($V$3:$AE$3=V$3)*($V346:$AE346&lt;V346)+($V$3:$AE$3=V$3)*($V346:$AE346=V346)*($V$2:$AE$2&lt;V$2))),2))))</f>
      </c>
      <c r="AG346" s="33">
        <f>IF(W346&lt;=0,0,MAX(0,MIN(W346,ROUND($AZ346-SUMPRODUCT($V346:$AE346*($V346:$AE346&gt;0)*(($V$3:$AE$3&gt;W$3)+($V$3:$AE$3=W$3)*($V346:$AE346&lt;W346)+($V$3:$AE$3=W$3)*($V346:$AE346=W346)*($V$2:$AE$2&lt;W$2))),2))))</f>
      </c>
      <c r="AH346" s="33">
        <f>IF(X346&lt;=0,0,MAX(0,MIN(X346,ROUND($AZ346-SUMPRODUCT($V346:$AE346*($V346:$AE346&gt;0)*(($V$3:$AE$3&gt;X$3)+($V$3:$AE$3=X$3)*($V346:$AE346&lt;X346)+($V$3:$AE$3=X$3)*($V346:$AE346=X346)*($V$2:$AE$2&lt;X$2))),2))))</f>
      </c>
      <c r="AI346" s="33">
        <f>IF(Y346&lt;=0,0,MAX(0,MIN(Y346,ROUND($AZ346-SUMPRODUCT($V346:$AE346*($V346:$AE346&gt;0)*(($V$3:$AE$3&gt;Y$3)+($V$3:$AE$3=Y$3)*($V346:$AE346&lt;Y346)+($V$3:$AE$3=Y$3)*($V346:$AE346=Y346)*($V$2:$AE$2&lt;Y$2))),2))))</f>
      </c>
      <c r="AJ346" s="33">
        <f>IF(Z346&lt;=0,0,MAX(0,MIN(Z346,ROUND($AZ346-SUMPRODUCT($V346:$AE346*($V346:$AE346&gt;0)*(($V$3:$AE$3&gt;Z$3)+($V$3:$AE$3=Z$3)*($V346:$AE346&lt;Z346)+($V$3:$AE$3=Z$3)*($V346:$AE346=Z346)*($V$2:$AE$2&lt;Z$2))),2))))</f>
      </c>
      <c r="AK346" s="33">
        <f>IF(AA346&lt;=0,0,MAX(0,MIN(AA346,ROUND($AZ346-SUMPRODUCT($V346:$AE346*($V346:$AE346&gt;0)*(($V$3:$AE$3&gt;AA$3)+($V$3:$AE$3=AA$3)*($V346:$AE346&lt;AA346)+($V$3:$AE$3=AA$3)*($V346:$AE346=AA346)*($V$2:$AE$2&lt;AA$2))),2))))</f>
      </c>
      <c r="AL346" s="33">
        <f>IF(AB346&lt;=0,0,MAX(0,MIN(AB346,ROUND($AZ346-SUMPRODUCT($V346:$AE346*($V346:$AE346&gt;0)*(($V$3:$AE$3&gt;AB$3)+($V$3:$AE$3=AB$3)*($V346:$AE346&lt;AB346)+($V$3:$AE$3=AB$3)*($V346:$AE346=AB346)*($V$2:$AE$2&lt;AB$2))),2))))</f>
      </c>
      <c r="AM346" s="33">
        <f>IF(AC346&lt;=0,0,MAX(0,MIN(AC346,ROUND($AZ346-SUMPRODUCT($V346:$AE346*($V346:$AE346&gt;0)*(($V$3:$AE$3&gt;AC$3)+($V$3:$AE$3=AC$3)*($V346:$AE346&lt;AC346)+($V$3:$AE$3=AC$3)*($V346:$AE346=AC346)*($V$2:$AE$2&lt;AC$2))),2))))</f>
      </c>
      <c r="AN346" s="33">
        <f>IF(AD346&lt;=0,0,MAX(0,MIN(AD346,ROUND($AZ346-SUMPRODUCT($V346:$AE346*($V346:$AE346&gt;0)*(($V$3:$AE$3&gt;AD$3)+($V$3:$AE$3=AD$3)*($V346:$AE346&lt;AD346)+($V$3:$AE$3=AD$3)*($V346:$AE346=AD346)*($V$2:$AE$2&lt;AD$2))),2))))</f>
      </c>
      <c r="AO346" s="33">
        <f>IF(AE346&lt;=0,0,MAX(0,MIN(AE346,ROUND($AZ346-SUMPRODUCT($V346:$AE346*($V346:$AE346&gt;0)*(($V$3:$AE$3&gt;AE$3)+($V$3:$AE$3=AE$3)*($V346:$AE346&lt;AE346)+($V$3:$AE$3=AE$3)*($V346:$AE346=AE346)*($V$2:$AE$2&lt;AE$2))),2))))</f>
      </c>
      <c r="AP346" s="33">
        <f>ROUND(V346-AF346,2)</f>
      </c>
      <c r="AQ346" s="33">
        <f>ROUND(W346-AG346,2)</f>
      </c>
      <c r="AR346" s="33">
        <f>ROUND(X346-AH346,2)</f>
      </c>
      <c r="AS346" s="33">
        <f>ROUND(Y346-AI346,2)</f>
      </c>
      <c r="AT346" s="33">
        <f>ROUND(Z346-AJ346,2)</f>
      </c>
      <c r="AU346" s="33">
        <f>ROUND(AA346-AK346,2)</f>
      </c>
      <c r="AV346" s="33">
        <f>ROUND(AB346-AL346,2)</f>
      </c>
      <c r="AW346" s="33">
        <f>ROUND(AC346-AM346,2)</f>
      </c>
      <c r="AX346" s="33">
        <f>ROUND(AD346-AN346,2)</f>
      </c>
      <c r="AY346" s="33">
        <f>ROUND(AE346-AO346,2)</f>
      </c>
      <c r="AZ346" s="33">
        <f>ROUND(MAX(0,'Your debts'!$D$22-SUM($L346:$U346)),2)</f>
      </c>
      <c r="BA346" s="33">
        <f>ROUND(SUM($B346:$K346)-SUM($AP345:$AY345),2)</f>
      </c>
      <c r="BB346" s="33">
        <f>SUM($AP346:$AY346)</f>
      </c>
      <c r="BC346" s="33">
        <f>ROUND(SUM($L346:$U346)+SUM($AF346:$AO346),2)</f>
      </c>
    </row>
    <row r="347" spans="1:55" x14ac:dyDescent="0.25">
      <c r="A347">
        <v>340</v>
      </c>
      <c r="B347" s="33">
        <f>IF(AP346&lt;=0,0,ROUND(AP346+ROUND(AP346*V$3/12,2),2))</f>
      </c>
      <c r="C347" s="33">
        <f>IF(AQ346&lt;=0,0,ROUND(AQ346+ROUND(AQ346*W$3/12,2),2))</f>
      </c>
      <c r="D347" s="33">
        <f>IF(AR346&lt;=0,0,ROUND(AR346+ROUND(AR346*X$3/12,2),2))</f>
      </c>
      <c r="E347" s="33">
        <f>IF(AS346&lt;=0,0,ROUND(AS346+ROUND(AS346*Y$3/12,2),2))</f>
      </c>
      <c r="F347" s="33">
        <f>IF(AT346&lt;=0,0,ROUND(AT346+ROUND(AT346*Z$3/12,2),2))</f>
      </c>
      <c r="G347" s="33">
        <f>IF(AU346&lt;=0,0,ROUND(AU346+ROUND(AU346*AA$3/12,2),2))</f>
      </c>
      <c r="H347" s="33">
        <f>IF(AV346&lt;=0,0,ROUND(AV346+ROUND(AV346*AB$3/12,2),2))</f>
      </c>
      <c r="I347" s="33">
        <f>IF(AW346&lt;=0,0,ROUND(AW346+ROUND(AW346*AC$3/12,2),2))</f>
      </c>
      <c r="J347" s="33">
        <f>IF(AX346&lt;=0,0,ROUND(AX346+ROUND(AX346*AD$3/12,2),2))</f>
      </c>
      <c r="K347" s="33">
        <f>IF(AY346&lt;=0,0,ROUND(AY346+ROUND(AY346*AE$3/12,2),2))</f>
      </c>
      <c r="L347" s="33">
        <f>ROUND(MIN(MAX(0,N('Your debts'!$E$6)),B347),2)</f>
      </c>
      <c r="M347" s="33">
        <f>ROUND(MIN(MAX(0,N('Your debts'!$E$7)),C347),2)</f>
      </c>
      <c r="N347" s="33">
        <f>ROUND(MIN(MAX(0,N('Your debts'!$E$8)),D347),2)</f>
      </c>
      <c r="O347" s="33">
        <f>ROUND(MIN(MAX(0,N('Your debts'!$E$9)),E347),2)</f>
      </c>
      <c r="P347" s="33">
        <f>ROUND(MIN(MAX(0,N('Your debts'!$E$10)),F347),2)</f>
      </c>
      <c r="Q347" s="33">
        <f>ROUND(MIN(MAX(0,N('Your debts'!$E$11)),G347),2)</f>
      </c>
      <c r="R347" s="33">
        <f>ROUND(MIN(MAX(0,N('Your debts'!$E$12)),H347),2)</f>
      </c>
      <c r="S347" s="33">
        <f>ROUND(MIN(MAX(0,N('Your debts'!$E$13)),I347),2)</f>
      </c>
      <c r="T347" s="33">
        <f>ROUND(MIN(MAX(0,N('Your debts'!$E$14)),J347),2)</f>
      </c>
      <c r="U347" s="33">
        <f>ROUND(MIN(MAX(0,N('Your debts'!$E$15)),K347),2)</f>
      </c>
      <c r="V347" s="33">
        <f>ROUND(B347-L347,2)</f>
      </c>
      <c r="W347" s="33">
        <f>ROUND(C347-M347,2)</f>
      </c>
      <c r="X347" s="33">
        <f>ROUND(D347-N347,2)</f>
      </c>
      <c r="Y347" s="33">
        <f>ROUND(E347-O347,2)</f>
      </c>
      <c r="Z347" s="33">
        <f>ROUND(F347-P347,2)</f>
      </c>
      <c r="AA347" s="33">
        <f>ROUND(G347-Q347,2)</f>
      </c>
      <c r="AB347" s="33">
        <f>ROUND(H347-R347,2)</f>
      </c>
      <c r="AC347" s="33">
        <f>ROUND(I347-S347,2)</f>
      </c>
      <c r="AD347" s="33">
        <f>ROUND(J347-T347,2)</f>
      </c>
      <c r="AE347" s="33">
        <f>ROUND(K347-U347,2)</f>
      </c>
      <c r="AF347" s="33">
        <f>IF(V347&lt;=0,0,MAX(0,MIN(V347,ROUND($AZ347-SUMPRODUCT($V347:$AE347*($V347:$AE347&gt;0)*(($V$3:$AE$3&gt;V$3)+($V$3:$AE$3=V$3)*($V347:$AE347&lt;V347)+($V$3:$AE$3=V$3)*($V347:$AE347=V347)*($V$2:$AE$2&lt;V$2))),2))))</f>
      </c>
      <c r="AG347" s="33">
        <f>IF(W347&lt;=0,0,MAX(0,MIN(W347,ROUND($AZ347-SUMPRODUCT($V347:$AE347*($V347:$AE347&gt;0)*(($V$3:$AE$3&gt;W$3)+($V$3:$AE$3=W$3)*($V347:$AE347&lt;W347)+($V$3:$AE$3=W$3)*($V347:$AE347=W347)*($V$2:$AE$2&lt;W$2))),2))))</f>
      </c>
      <c r="AH347" s="33">
        <f>IF(X347&lt;=0,0,MAX(0,MIN(X347,ROUND($AZ347-SUMPRODUCT($V347:$AE347*($V347:$AE347&gt;0)*(($V$3:$AE$3&gt;X$3)+($V$3:$AE$3=X$3)*($V347:$AE347&lt;X347)+($V$3:$AE$3=X$3)*($V347:$AE347=X347)*($V$2:$AE$2&lt;X$2))),2))))</f>
      </c>
      <c r="AI347" s="33">
        <f>IF(Y347&lt;=0,0,MAX(0,MIN(Y347,ROUND($AZ347-SUMPRODUCT($V347:$AE347*($V347:$AE347&gt;0)*(($V$3:$AE$3&gt;Y$3)+($V$3:$AE$3=Y$3)*($V347:$AE347&lt;Y347)+($V$3:$AE$3=Y$3)*($V347:$AE347=Y347)*($V$2:$AE$2&lt;Y$2))),2))))</f>
      </c>
      <c r="AJ347" s="33">
        <f>IF(Z347&lt;=0,0,MAX(0,MIN(Z347,ROUND($AZ347-SUMPRODUCT($V347:$AE347*($V347:$AE347&gt;0)*(($V$3:$AE$3&gt;Z$3)+($V$3:$AE$3=Z$3)*($V347:$AE347&lt;Z347)+($V$3:$AE$3=Z$3)*($V347:$AE347=Z347)*($V$2:$AE$2&lt;Z$2))),2))))</f>
      </c>
      <c r="AK347" s="33">
        <f>IF(AA347&lt;=0,0,MAX(0,MIN(AA347,ROUND($AZ347-SUMPRODUCT($V347:$AE347*($V347:$AE347&gt;0)*(($V$3:$AE$3&gt;AA$3)+($V$3:$AE$3=AA$3)*($V347:$AE347&lt;AA347)+($V$3:$AE$3=AA$3)*($V347:$AE347=AA347)*($V$2:$AE$2&lt;AA$2))),2))))</f>
      </c>
      <c r="AL347" s="33">
        <f>IF(AB347&lt;=0,0,MAX(0,MIN(AB347,ROUND($AZ347-SUMPRODUCT($V347:$AE347*($V347:$AE347&gt;0)*(($V$3:$AE$3&gt;AB$3)+($V$3:$AE$3=AB$3)*($V347:$AE347&lt;AB347)+($V$3:$AE$3=AB$3)*($V347:$AE347=AB347)*($V$2:$AE$2&lt;AB$2))),2))))</f>
      </c>
      <c r="AM347" s="33">
        <f>IF(AC347&lt;=0,0,MAX(0,MIN(AC347,ROUND($AZ347-SUMPRODUCT($V347:$AE347*($V347:$AE347&gt;0)*(($V$3:$AE$3&gt;AC$3)+($V$3:$AE$3=AC$3)*($V347:$AE347&lt;AC347)+($V$3:$AE$3=AC$3)*($V347:$AE347=AC347)*($V$2:$AE$2&lt;AC$2))),2))))</f>
      </c>
      <c r="AN347" s="33">
        <f>IF(AD347&lt;=0,0,MAX(0,MIN(AD347,ROUND($AZ347-SUMPRODUCT($V347:$AE347*($V347:$AE347&gt;0)*(($V$3:$AE$3&gt;AD$3)+($V$3:$AE$3=AD$3)*($V347:$AE347&lt;AD347)+($V$3:$AE$3=AD$3)*($V347:$AE347=AD347)*($V$2:$AE$2&lt;AD$2))),2))))</f>
      </c>
      <c r="AO347" s="33">
        <f>IF(AE347&lt;=0,0,MAX(0,MIN(AE347,ROUND($AZ347-SUMPRODUCT($V347:$AE347*($V347:$AE347&gt;0)*(($V$3:$AE$3&gt;AE$3)+($V$3:$AE$3=AE$3)*($V347:$AE347&lt;AE347)+($V$3:$AE$3=AE$3)*($V347:$AE347=AE347)*($V$2:$AE$2&lt;AE$2))),2))))</f>
      </c>
      <c r="AP347" s="33">
        <f>ROUND(V347-AF347,2)</f>
      </c>
      <c r="AQ347" s="33">
        <f>ROUND(W347-AG347,2)</f>
      </c>
      <c r="AR347" s="33">
        <f>ROUND(X347-AH347,2)</f>
      </c>
      <c r="AS347" s="33">
        <f>ROUND(Y347-AI347,2)</f>
      </c>
      <c r="AT347" s="33">
        <f>ROUND(Z347-AJ347,2)</f>
      </c>
      <c r="AU347" s="33">
        <f>ROUND(AA347-AK347,2)</f>
      </c>
      <c r="AV347" s="33">
        <f>ROUND(AB347-AL347,2)</f>
      </c>
      <c r="AW347" s="33">
        <f>ROUND(AC347-AM347,2)</f>
      </c>
      <c r="AX347" s="33">
        <f>ROUND(AD347-AN347,2)</f>
      </c>
      <c r="AY347" s="33">
        <f>ROUND(AE347-AO347,2)</f>
      </c>
      <c r="AZ347" s="33">
        <f>ROUND(MAX(0,'Your debts'!$D$22-SUM($L347:$U347)),2)</f>
      </c>
      <c r="BA347" s="33">
        <f>ROUND(SUM($B347:$K347)-SUM($AP346:$AY346),2)</f>
      </c>
      <c r="BB347" s="33">
        <f>SUM($AP347:$AY347)</f>
      </c>
      <c r="BC347" s="33">
        <f>ROUND(SUM($L347:$U347)+SUM($AF347:$AO347),2)</f>
      </c>
    </row>
    <row r="348" spans="1:55" x14ac:dyDescent="0.25">
      <c r="A348">
        <v>341</v>
      </c>
      <c r="B348" s="33">
        <f>IF(AP347&lt;=0,0,ROUND(AP347+ROUND(AP347*V$3/12,2),2))</f>
      </c>
      <c r="C348" s="33">
        <f>IF(AQ347&lt;=0,0,ROUND(AQ347+ROUND(AQ347*W$3/12,2),2))</f>
      </c>
      <c r="D348" s="33">
        <f>IF(AR347&lt;=0,0,ROUND(AR347+ROUND(AR347*X$3/12,2),2))</f>
      </c>
      <c r="E348" s="33">
        <f>IF(AS347&lt;=0,0,ROUND(AS347+ROUND(AS347*Y$3/12,2),2))</f>
      </c>
      <c r="F348" s="33">
        <f>IF(AT347&lt;=0,0,ROUND(AT347+ROUND(AT347*Z$3/12,2),2))</f>
      </c>
      <c r="G348" s="33">
        <f>IF(AU347&lt;=0,0,ROUND(AU347+ROUND(AU347*AA$3/12,2),2))</f>
      </c>
      <c r="H348" s="33">
        <f>IF(AV347&lt;=0,0,ROUND(AV347+ROUND(AV347*AB$3/12,2),2))</f>
      </c>
      <c r="I348" s="33">
        <f>IF(AW347&lt;=0,0,ROUND(AW347+ROUND(AW347*AC$3/12,2),2))</f>
      </c>
      <c r="J348" s="33">
        <f>IF(AX347&lt;=0,0,ROUND(AX347+ROUND(AX347*AD$3/12,2),2))</f>
      </c>
      <c r="K348" s="33">
        <f>IF(AY347&lt;=0,0,ROUND(AY347+ROUND(AY347*AE$3/12,2),2))</f>
      </c>
      <c r="L348" s="33">
        <f>ROUND(MIN(MAX(0,N('Your debts'!$E$6)),B348),2)</f>
      </c>
      <c r="M348" s="33">
        <f>ROUND(MIN(MAX(0,N('Your debts'!$E$7)),C348),2)</f>
      </c>
      <c r="N348" s="33">
        <f>ROUND(MIN(MAX(0,N('Your debts'!$E$8)),D348),2)</f>
      </c>
      <c r="O348" s="33">
        <f>ROUND(MIN(MAX(0,N('Your debts'!$E$9)),E348),2)</f>
      </c>
      <c r="P348" s="33">
        <f>ROUND(MIN(MAX(0,N('Your debts'!$E$10)),F348),2)</f>
      </c>
      <c r="Q348" s="33">
        <f>ROUND(MIN(MAX(0,N('Your debts'!$E$11)),G348),2)</f>
      </c>
      <c r="R348" s="33">
        <f>ROUND(MIN(MAX(0,N('Your debts'!$E$12)),H348),2)</f>
      </c>
      <c r="S348" s="33">
        <f>ROUND(MIN(MAX(0,N('Your debts'!$E$13)),I348),2)</f>
      </c>
      <c r="T348" s="33">
        <f>ROUND(MIN(MAX(0,N('Your debts'!$E$14)),J348),2)</f>
      </c>
      <c r="U348" s="33">
        <f>ROUND(MIN(MAX(0,N('Your debts'!$E$15)),K348),2)</f>
      </c>
      <c r="V348" s="33">
        <f>ROUND(B348-L348,2)</f>
      </c>
      <c r="W348" s="33">
        <f>ROUND(C348-M348,2)</f>
      </c>
      <c r="X348" s="33">
        <f>ROUND(D348-N348,2)</f>
      </c>
      <c r="Y348" s="33">
        <f>ROUND(E348-O348,2)</f>
      </c>
      <c r="Z348" s="33">
        <f>ROUND(F348-P348,2)</f>
      </c>
      <c r="AA348" s="33">
        <f>ROUND(G348-Q348,2)</f>
      </c>
      <c r="AB348" s="33">
        <f>ROUND(H348-R348,2)</f>
      </c>
      <c r="AC348" s="33">
        <f>ROUND(I348-S348,2)</f>
      </c>
      <c r="AD348" s="33">
        <f>ROUND(J348-T348,2)</f>
      </c>
      <c r="AE348" s="33">
        <f>ROUND(K348-U348,2)</f>
      </c>
      <c r="AF348" s="33">
        <f>IF(V348&lt;=0,0,MAX(0,MIN(V348,ROUND($AZ348-SUMPRODUCT($V348:$AE348*($V348:$AE348&gt;0)*(($V$3:$AE$3&gt;V$3)+($V$3:$AE$3=V$3)*($V348:$AE348&lt;V348)+($V$3:$AE$3=V$3)*($V348:$AE348=V348)*($V$2:$AE$2&lt;V$2))),2))))</f>
      </c>
      <c r="AG348" s="33">
        <f>IF(W348&lt;=0,0,MAX(0,MIN(W348,ROUND($AZ348-SUMPRODUCT($V348:$AE348*($V348:$AE348&gt;0)*(($V$3:$AE$3&gt;W$3)+($V$3:$AE$3=W$3)*($V348:$AE348&lt;W348)+($V$3:$AE$3=W$3)*($V348:$AE348=W348)*($V$2:$AE$2&lt;W$2))),2))))</f>
      </c>
      <c r="AH348" s="33">
        <f>IF(X348&lt;=0,0,MAX(0,MIN(X348,ROUND($AZ348-SUMPRODUCT($V348:$AE348*($V348:$AE348&gt;0)*(($V$3:$AE$3&gt;X$3)+($V$3:$AE$3=X$3)*($V348:$AE348&lt;X348)+($V$3:$AE$3=X$3)*($V348:$AE348=X348)*($V$2:$AE$2&lt;X$2))),2))))</f>
      </c>
      <c r="AI348" s="33">
        <f>IF(Y348&lt;=0,0,MAX(0,MIN(Y348,ROUND($AZ348-SUMPRODUCT($V348:$AE348*($V348:$AE348&gt;0)*(($V$3:$AE$3&gt;Y$3)+($V$3:$AE$3=Y$3)*($V348:$AE348&lt;Y348)+($V$3:$AE$3=Y$3)*($V348:$AE348=Y348)*($V$2:$AE$2&lt;Y$2))),2))))</f>
      </c>
      <c r="AJ348" s="33">
        <f>IF(Z348&lt;=0,0,MAX(0,MIN(Z348,ROUND($AZ348-SUMPRODUCT($V348:$AE348*($V348:$AE348&gt;0)*(($V$3:$AE$3&gt;Z$3)+($V$3:$AE$3=Z$3)*($V348:$AE348&lt;Z348)+($V$3:$AE$3=Z$3)*($V348:$AE348=Z348)*($V$2:$AE$2&lt;Z$2))),2))))</f>
      </c>
      <c r="AK348" s="33">
        <f>IF(AA348&lt;=0,0,MAX(0,MIN(AA348,ROUND($AZ348-SUMPRODUCT($V348:$AE348*($V348:$AE348&gt;0)*(($V$3:$AE$3&gt;AA$3)+($V$3:$AE$3=AA$3)*($V348:$AE348&lt;AA348)+($V$3:$AE$3=AA$3)*($V348:$AE348=AA348)*($V$2:$AE$2&lt;AA$2))),2))))</f>
      </c>
      <c r="AL348" s="33">
        <f>IF(AB348&lt;=0,0,MAX(0,MIN(AB348,ROUND($AZ348-SUMPRODUCT($V348:$AE348*($V348:$AE348&gt;0)*(($V$3:$AE$3&gt;AB$3)+($V$3:$AE$3=AB$3)*($V348:$AE348&lt;AB348)+($V$3:$AE$3=AB$3)*($V348:$AE348=AB348)*($V$2:$AE$2&lt;AB$2))),2))))</f>
      </c>
      <c r="AM348" s="33">
        <f>IF(AC348&lt;=0,0,MAX(0,MIN(AC348,ROUND($AZ348-SUMPRODUCT($V348:$AE348*($V348:$AE348&gt;0)*(($V$3:$AE$3&gt;AC$3)+($V$3:$AE$3=AC$3)*($V348:$AE348&lt;AC348)+($V$3:$AE$3=AC$3)*($V348:$AE348=AC348)*($V$2:$AE$2&lt;AC$2))),2))))</f>
      </c>
      <c r="AN348" s="33">
        <f>IF(AD348&lt;=0,0,MAX(0,MIN(AD348,ROUND($AZ348-SUMPRODUCT($V348:$AE348*($V348:$AE348&gt;0)*(($V$3:$AE$3&gt;AD$3)+($V$3:$AE$3=AD$3)*($V348:$AE348&lt;AD348)+($V$3:$AE$3=AD$3)*($V348:$AE348=AD348)*($V$2:$AE$2&lt;AD$2))),2))))</f>
      </c>
      <c r="AO348" s="33">
        <f>IF(AE348&lt;=0,0,MAX(0,MIN(AE348,ROUND($AZ348-SUMPRODUCT($V348:$AE348*($V348:$AE348&gt;0)*(($V$3:$AE$3&gt;AE$3)+($V$3:$AE$3=AE$3)*($V348:$AE348&lt;AE348)+($V$3:$AE$3=AE$3)*($V348:$AE348=AE348)*($V$2:$AE$2&lt;AE$2))),2))))</f>
      </c>
      <c r="AP348" s="33">
        <f>ROUND(V348-AF348,2)</f>
      </c>
      <c r="AQ348" s="33">
        <f>ROUND(W348-AG348,2)</f>
      </c>
      <c r="AR348" s="33">
        <f>ROUND(X348-AH348,2)</f>
      </c>
      <c r="AS348" s="33">
        <f>ROUND(Y348-AI348,2)</f>
      </c>
      <c r="AT348" s="33">
        <f>ROUND(Z348-AJ348,2)</f>
      </c>
      <c r="AU348" s="33">
        <f>ROUND(AA348-AK348,2)</f>
      </c>
      <c r="AV348" s="33">
        <f>ROUND(AB348-AL348,2)</f>
      </c>
      <c r="AW348" s="33">
        <f>ROUND(AC348-AM348,2)</f>
      </c>
      <c r="AX348" s="33">
        <f>ROUND(AD348-AN348,2)</f>
      </c>
      <c r="AY348" s="33">
        <f>ROUND(AE348-AO348,2)</f>
      </c>
      <c r="AZ348" s="33">
        <f>ROUND(MAX(0,'Your debts'!$D$22-SUM($L348:$U348)),2)</f>
      </c>
      <c r="BA348" s="33">
        <f>ROUND(SUM($B348:$K348)-SUM($AP347:$AY347),2)</f>
      </c>
      <c r="BB348" s="33">
        <f>SUM($AP348:$AY348)</f>
      </c>
      <c r="BC348" s="33">
        <f>ROUND(SUM($L348:$U348)+SUM($AF348:$AO348),2)</f>
      </c>
    </row>
    <row r="349" spans="1:55" x14ac:dyDescent="0.25">
      <c r="A349">
        <v>342</v>
      </c>
      <c r="B349" s="33">
        <f>IF(AP348&lt;=0,0,ROUND(AP348+ROUND(AP348*V$3/12,2),2))</f>
      </c>
      <c r="C349" s="33">
        <f>IF(AQ348&lt;=0,0,ROUND(AQ348+ROUND(AQ348*W$3/12,2),2))</f>
      </c>
      <c r="D349" s="33">
        <f>IF(AR348&lt;=0,0,ROUND(AR348+ROUND(AR348*X$3/12,2),2))</f>
      </c>
      <c r="E349" s="33">
        <f>IF(AS348&lt;=0,0,ROUND(AS348+ROUND(AS348*Y$3/12,2),2))</f>
      </c>
      <c r="F349" s="33">
        <f>IF(AT348&lt;=0,0,ROUND(AT348+ROUND(AT348*Z$3/12,2),2))</f>
      </c>
      <c r="G349" s="33">
        <f>IF(AU348&lt;=0,0,ROUND(AU348+ROUND(AU348*AA$3/12,2),2))</f>
      </c>
      <c r="H349" s="33">
        <f>IF(AV348&lt;=0,0,ROUND(AV348+ROUND(AV348*AB$3/12,2),2))</f>
      </c>
      <c r="I349" s="33">
        <f>IF(AW348&lt;=0,0,ROUND(AW348+ROUND(AW348*AC$3/12,2),2))</f>
      </c>
      <c r="J349" s="33">
        <f>IF(AX348&lt;=0,0,ROUND(AX348+ROUND(AX348*AD$3/12,2),2))</f>
      </c>
      <c r="K349" s="33">
        <f>IF(AY348&lt;=0,0,ROUND(AY348+ROUND(AY348*AE$3/12,2),2))</f>
      </c>
      <c r="L349" s="33">
        <f>ROUND(MIN(MAX(0,N('Your debts'!$E$6)),B349),2)</f>
      </c>
      <c r="M349" s="33">
        <f>ROUND(MIN(MAX(0,N('Your debts'!$E$7)),C349),2)</f>
      </c>
      <c r="N349" s="33">
        <f>ROUND(MIN(MAX(0,N('Your debts'!$E$8)),D349),2)</f>
      </c>
      <c r="O349" s="33">
        <f>ROUND(MIN(MAX(0,N('Your debts'!$E$9)),E349),2)</f>
      </c>
      <c r="P349" s="33">
        <f>ROUND(MIN(MAX(0,N('Your debts'!$E$10)),F349),2)</f>
      </c>
      <c r="Q349" s="33">
        <f>ROUND(MIN(MAX(0,N('Your debts'!$E$11)),G349),2)</f>
      </c>
      <c r="R349" s="33">
        <f>ROUND(MIN(MAX(0,N('Your debts'!$E$12)),H349),2)</f>
      </c>
      <c r="S349" s="33">
        <f>ROUND(MIN(MAX(0,N('Your debts'!$E$13)),I349),2)</f>
      </c>
      <c r="T349" s="33">
        <f>ROUND(MIN(MAX(0,N('Your debts'!$E$14)),J349),2)</f>
      </c>
      <c r="U349" s="33">
        <f>ROUND(MIN(MAX(0,N('Your debts'!$E$15)),K349),2)</f>
      </c>
      <c r="V349" s="33">
        <f>ROUND(B349-L349,2)</f>
      </c>
      <c r="W349" s="33">
        <f>ROUND(C349-M349,2)</f>
      </c>
      <c r="X349" s="33">
        <f>ROUND(D349-N349,2)</f>
      </c>
      <c r="Y349" s="33">
        <f>ROUND(E349-O349,2)</f>
      </c>
      <c r="Z349" s="33">
        <f>ROUND(F349-P349,2)</f>
      </c>
      <c r="AA349" s="33">
        <f>ROUND(G349-Q349,2)</f>
      </c>
      <c r="AB349" s="33">
        <f>ROUND(H349-R349,2)</f>
      </c>
      <c r="AC349" s="33">
        <f>ROUND(I349-S349,2)</f>
      </c>
      <c r="AD349" s="33">
        <f>ROUND(J349-T349,2)</f>
      </c>
      <c r="AE349" s="33">
        <f>ROUND(K349-U349,2)</f>
      </c>
      <c r="AF349" s="33">
        <f>IF(V349&lt;=0,0,MAX(0,MIN(V349,ROUND($AZ349-SUMPRODUCT($V349:$AE349*($V349:$AE349&gt;0)*(($V$3:$AE$3&gt;V$3)+($V$3:$AE$3=V$3)*($V349:$AE349&lt;V349)+($V$3:$AE$3=V$3)*($V349:$AE349=V349)*($V$2:$AE$2&lt;V$2))),2))))</f>
      </c>
      <c r="AG349" s="33">
        <f>IF(W349&lt;=0,0,MAX(0,MIN(W349,ROUND($AZ349-SUMPRODUCT($V349:$AE349*($V349:$AE349&gt;0)*(($V$3:$AE$3&gt;W$3)+($V$3:$AE$3=W$3)*($V349:$AE349&lt;W349)+($V$3:$AE$3=W$3)*($V349:$AE349=W349)*($V$2:$AE$2&lt;W$2))),2))))</f>
      </c>
      <c r="AH349" s="33">
        <f>IF(X349&lt;=0,0,MAX(0,MIN(X349,ROUND($AZ349-SUMPRODUCT($V349:$AE349*($V349:$AE349&gt;0)*(($V$3:$AE$3&gt;X$3)+($V$3:$AE$3=X$3)*($V349:$AE349&lt;X349)+($V$3:$AE$3=X$3)*($V349:$AE349=X349)*($V$2:$AE$2&lt;X$2))),2))))</f>
      </c>
      <c r="AI349" s="33">
        <f>IF(Y349&lt;=0,0,MAX(0,MIN(Y349,ROUND($AZ349-SUMPRODUCT($V349:$AE349*($V349:$AE349&gt;0)*(($V$3:$AE$3&gt;Y$3)+($V$3:$AE$3=Y$3)*($V349:$AE349&lt;Y349)+($V$3:$AE$3=Y$3)*($V349:$AE349=Y349)*($V$2:$AE$2&lt;Y$2))),2))))</f>
      </c>
      <c r="AJ349" s="33">
        <f>IF(Z349&lt;=0,0,MAX(0,MIN(Z349,ROUND($AZ349-SUMPRODUCT($V349:$AE349*($V349:$AE349&gt;0)*(($V$3:$AE$3&gt;Z$3)+($V$3:$AE$3=Z$3)*($V349:$AE349&lt;Z349)+($V$3:$AE$3=Z$3)*($V349:$AE349=Z349)*($V$2:$AE$2&lt;Z$2))),2))))</f>
      </c>
      <c r="AK349" s="33">
        <f>IF(AA349&lt;=0,0,MAX(0,MIN(AA349,ROUND($AZ349-SUMPRODUCT($V349:$AE349*($V349:$AE349&gt;0)*(($V$3:$AE$3&gt;AA$3)+($V$3:$AE$3=AA$3)*($V349:$AE349&lt;AA349)+($V$3:$AE$3=AA$3)*($V349:$AE349=AA349)*($V$2:$AE$2&lt;AA$2))),2))))</f>
      </c>
      <c r="AL349" s="33">
        <f>IF(AB349&lt;=0,0,MAX(0,MIN(AB349,ROUND($AZ349-SUMPRODUCT($V349:$AE349*($V349:$AE349&gt;0)*(($V$3:$AE$3&gt;AB$3)+($V$3:$AE$3=AB$3)*($V349:$AE349&lt;AB349)+($V$3:$AE$3=AB$3)*($V349:$AE349=AB349)*($V$2:$AE$2&lt;AB$2))),2))))</f>
      </c>
      <c r="AM349" s="33">
        <f>IF(AC349&lt;=0,0,MAX(0,MIN(AC349,ROUND($AZ349-SUMPRODUCT($V349:$AE349*($V349:$AE349&gt;0)*(($V$3:$AE$3&gt;AC$3)+($V$3:$AE$3=AC$3)*($V349:$AE349&lt;AC349)+($V$3:$AE$3=AC$3)*($V349:$AE349=AC349)*($V$2:$AE$2&lt;AC$2))),2))))</f>
      </c>
      <c r="AN349" s="33">
        <f>IF(AD349&lt;=0,0,MAX(0,MIN(AD349,ROUND($AZ349-SUMPRODUCT($V349:$AE349*($V349:$AE349&gt;0)*(($V$3:$AE$3&gt;AD$3)+($V$3:$AE$3=AD$3)*($V349:$AE349&lt;AD349)+($V$3:$AE$3=AD$3)*($V349:$AE349=AD349)*($V$2:$AE$2&lt;AD$2))),2))))</f>
      </c>
      <c r="AO349" s="33">
        <f>IF(AE349&lt;=0,0,MAX(0,MIN(AE349,ROUND($AZ349-SUMPRODUCT($V349:$AE349*($V349:$AE349&gt;0)*(($V$3:$AE$3&gt;AE$3)+($V$3:$AE$3=AE$3)*($V349:$AE349&lt;AE349)+($V$3:$AE$3=AE$3)*($V349:$AE349=AE349)*($V$2:$AE$2&lt;AE$2))),2))))</f>
      </c>
      <c r="AP349" s="33">
        <f>ROUND(V349-AF349,2)</f>
      </c>
      <c r="AQ349" s="33">
        <f>ROUND(W349-AG349,2)</f>
      </c>
      <c r="AR349" s="33">
        <f>ROUND(X349-AH349,2)</f>
      </c>
      <c r="AS349" s="33">
        <f>ROUND(Y349-AI349,2)</f>
      </c>
      <c r="AT349" s="33">
        <f>ROUND(Z349-AJ349,2)</f>
      </c>
      <c r="AU349" s="33">
        <f>ROUND(AA349-AK349,2)</f>
      </c>
      <c r="AV349" s="33">
        <f>ROUND(AB349-AL349,2)</f>
      </c>
      <c r="AW349" s="33">
        <f>ROUND(AC349-AM349,2)</f>
      </c>
      <c r="AX349" s="33">
        <f>ROUND(AD349-AN349,2)</f>
      </c>
      <c r="AY349" s="33">
        <f>ROUND(AE349-AO349,2)</f>
      </c>
      <c r="AZ349" s="33">
        <f>ROUND(MAX(0,'Your debts'!$D$22-SUM($L349:$U349)),2)</f>
      </c>
      <c r="BA349" s="33">
        <f>ROUND(SUM($B349:$K349)-SUM($AP348:$AY348),2)</f>
      </c>
      <c r="BB349" s="33">
        <f>SUM($AP349:$AY349)</f>
      </c>
      <c r="BC349" s="33">
        <f>ROUND(SUM($L349:$U349)+SUM($AF349:$AO349),2)</f>
      </c>
    </row>
    <row r="350" spans="1:55" x14ac:dyDescent="0.25">
      <c r="A350">
        <v>343</v>
      </c>
      <c r="B350" s="33">
        <f>IF(AP349&lt;=0,0,ROUND(AP349+ROUND(AP349*V$3/12,2),2))</f>
      </c>
      <c r="C350" s="33">
        <f>IF(AQ349&lt;=0,0,ROUND(AQ349+ROUND(AQ349*W$3/12,2),2))</f>
      </c>
      <c r="D350" s="33">
        <f>IF(AR349&lt;=0,0,ROUND(AR349+ROUND(AR349*X$3/12,2),2))</f>
      </c>
      <c r="E350" s="33">
        <f>IF(AS349&lt;=0,0,ROUND(AS349+ROUND(AS349*Y$3/12,2),2))</f>
      </c>
      <c r="F350" s="33">
        <f>IF(AT349&lt;=0,0,ROUND(AT349+ROUND(AT349*Z$3/12,2),2))</f>
      </c>
      <c r="G350" s="33">
        <f>IF(AU349&lt;=0,0,ROUND(AU349+ROUND(AU349*AA$3/12,2),2))</f>
      </c>
      <c r="H350" s="33">
        <f>IF(AV349&lt;=0,0,ROUND(AV349+ROUND(AV349*AB$3/12,2),2))</f>
      </c>
      <c r="I350" s="33">
        <f>IF(AW349&lt;=0,0,ROUND(AW349+ROUND(AW349*AC$3/12,2),2))</f>
      </c>
      <c r="J350" s="33">
        <f>IF(AX349&lt;=0,0,ROUND(AX349+ROUND(AX349*AD$3/12,2),2))</f>
      </c>
      <c r="K350" s="33">
        <f>IF(AY349&lt;=0,0,ROUND(AY349+ROUND(AY349*AE$3/12,2),2))</f>
      </c>
      <c r="L350" s="33">
        <f>ROUND(MIN(MAX(0,N('Your debts'!$E$6)),B350),2)</f>
      </c>
      <c r="M350" s="33">
        <f>ROUND(MIN(MAX(0,N('Your debts'!$E$7)),C350),2)</f>
      </c>
      <c r="N350" s="33">
        <f>ROUND(MIN(MAX(0,N('Your debts'!$E$8)),D350),2)</f>
      </c>
      <c r="O350" s="33">
        <f>ROUND(MIN(MAX(0,N('Your debts'!$E$9)),E350),2)</f>
      </c>
      <c r="P350" s="33">
        <f>ROUND(MIN(MAX(0,N('Your debts'!$E$10)),F350),2)</f>
      </c>
      <c r="Q350" s="33">
        <f>ROUND(MIN(MAX(0,N('Your debts'!$E$11)),G350),2)</f>
      </c>
      <c r="R350" s="33">
        <f>ROUND(MIN(MAX(0,N('Your debts'!$E$12)),H350),2)</f>
      </c>
      <c r="S350" s="33">
        <f>ROUND(MIN(MAX(0,N('Your debts'!$E$13)),I350),2)</f>
      </c>
      <c r="T350" s="33">
        <f>ROUND(MIN(MAX(0,N('Your debts'!$E$14)),J350),2)</f>
      </c>
      <c r="U350" s="33">
        <f>ROUND(MIN(MAX(0,N('Your debts'!$E$15)),K350),2)</f>
      </c>
      <c r="V350" s="33">
        <f>ROUND(B350-L350,2)</f>
      </c>
      <c r="W350" s="33">
        <f>ROUND(C350-M350,2)</f>
      </c>
      <c r="X350" s="33">
        <f>ROUND(D350-N350,2)</f>
      </c>
      <c r="Y350" s="33">
        <f>ROUND(E350-O350,2)</f>
      </c>
      <c r="Z350" s="33">
        <f>ROUND(F350-P350,2)</f>
      </c>
      <c r="AA350" s="33">
        <f>ROUND(G350-Q350,2)</f>
      </c>
      <c r="AB350" s="33">
        <f>ROUND(H350-R350,2)</f>
      </c>
      <c r="AC350" s="33">
        <f>ROUND(I350-S350,2)</f>
      </c>
      <c r="AD350" s="33">
        <f>ROUND(J350-T350,2)</f>
      </c>
      <c r="AE350" s="33">
        <f>ROUND(K350-U350,2)</f>
      </c>
      <c r="AF350" s="33">
        <f>IF(V350&lt;=0,0,MAX(0,MIN(V350,ROUND($AZ350-SUMPRODUCT($V350:$AE350*($V350:$AE350&gt;0)*(($V$3:$AE$3&gt;V$3)+($V$3:$AE$3=V$3)*($V350:$AE350&lt;V350)+($V$3:$AE$3=V$3)*($V350:$AE350=V350)*($V$2:$AE$2&lt;V$2))),2))))</f>
      </c>
      <c r="AG350" s="33">
        <f>IF(W350&lt;=0,0,MAX(0,MIN(W350,ROUND($AZ350-SUMPRODUCT($V350:$AE350*($V350:$AE350&gt;0)*(($V$3:$AE$3&gt;W$3)+($V$3:$AE$3=W$3)*($V350:$AE350&lt;W350)+($V$3:$AE$3=W$3)*($V350:$AE350=W350)*($V$2:$AE$2&lt;W$2))),2))))</f>
      </c>
      <c r="AH350" s="33">
        <f>IF(X350&lt;=0,0,MAX(0,MIN(X350,ROUND($AZ350-SUMPRODUCT($V350:$AE350*($V350:$AE350&gt;0)*(($V$3:$AE$3&gt;X$3)+($V$3:$AE$3=X$3)*($V350:$AE350&lt;X350)+($V$3:$AE$3=X$3)*($V350:$AE350=X350)*($V$2:$AE$2&lt;X$2))),2))))</f>
      </c>
      <c r="AI350" s="33">
        <f>IF(Y350&lt;=0,0,MAX(0,MIN(Y350,ROUND($AZ350-SUMPRODUCT($V350:$AE350*($V350:$AE350&gt;0)*(($V$3:$AE$3&gt;Y$3)+($V$3:$AE$3=Y$3)*($V350:$AE350&lt;Y350)+($V$3:$AE$3=Y$3)*($V350:$AE350=Y350)*($V$2:$AE$2&lt;Y$2))),2))))</f>
      </c>
      <c r="AJ350" s="33">
        <f>IF(Z350&lt;=0,0,MAX(0,MIN(Z350,ROUND($AZ350-SUMPRODUCT($V350:$AE350*($V350:$AE350&gt;0)*(($V$3:$AE$3&gt;Z$3)+($V$3:$AE$3=Z$3)*($V350:$AE350&lt;Z350)+($V$3:$AE$3=Z$3)*($V350:$AE350=Z350)*($V$2:$AE$2&lt;Z$2))),2))))</f>
      </c>
      <c r="AK350" s="33">
        <f>IF(AA350&lt;=0,0,MAX(0,MIN(AA350,ROUND($AZ350-SUMPRODUCT($V350:$AE350*($V350:$AE350&gt;0)*(($V$3:$AE$3&gt;AA$3)+($V$3:$AE$3=AA$3)*($V350:$AE350&lt;AA350)+($V$3:$AE$3=AA$3)*($V350:$AE350=AA350)*($V$2:$AE$2&lt;AA$2))),2))))</f>
      </c>
      <c r="AL350" s="33">
        <f>IF(AB350&lt;=0,0,MAX(0,MIN(AB350,ROUND($AZ350-SUMPRODUCT($V350:$AE350*($V350:$AE350&gt;0)*(($V$3:$AE$3&gt;AB$3)+($V$3:$AE$3=AB$3)*($V350:$AE350&lt;AB350)+($V$3:$AE$3=AB$3)*($V350:$AE350=AB350)*($V$2:$AE$2&lt;AB$2))),2))))</f>
      </c>
      <c r="AM350" s="33">
        <f>IF(AC350&lt;=0,0,MAX(0,MIN(AC350,ROUND($AZ350-SUMPRODUCT($V350:$AE350*($V350:$AE350&gt;0)*(($V$3:$AE$3&gt;AC$3)+($V$3:$AE$3=AC$3)*($V350:$AE350&lt;AC350)+($V$3:$AE$3=AC$3)*($V350:$AE350=AC350)*($V$2:$AE$2&lt;AC$2))),2))))</f>
      </c>
      <c r="AN350" s="33">
        <f>IF(AD350&lt;=0,0,MAX(0,MIN(AD350,ROUND($AZ350-SUMPRODUCT($V350:$AE350*($V350:$AE350&gt;0)*(($V$3:$AE$3&gt;AD$3)+($V$3:$AE$3=AD$3)*($V350:$AE350&lt;AD350)+($V$3:$AE$3=AD$3)*($V350:$AE350=AD350)*($V$2:$AE$2&lt;AD$2))),2))))</f>
      </c>
      <c r="AO350" s="33">
        <f>IF(AE350&lt;=0,0,MAX(0,MIN(AE350,ROUND($AZ350-SUMPRODUCT($V350:$AE350*($V350:$AE350&gt;0)*(($V$3:$AE$3&gt;AE$3)+($V$3:$AE$3=AE$3)*($V350:$AE350&lt;AE350)+($V$3:$AE$3=AE$3)*($V350:$AE350=AE350)*($V$2:$AE$2&lt;AE$2))),2))))</f>
      </c>
      <c r="AP350" s="33">
        <f>ROUND(V350-AF350,2)</f>
      </c>
      <c r="AQ350" s="33">
        <f>ROUND(W350-AG350,2)</f>
      </c>
      <c r="AR350" s="33">
        <f>ROUND(X350-AH350,2)</f>
      </c>
      <c r="AS350" s="33">
        <f>ROUND(Y350-AI350,2)</f>
      </c>
      <c r="AT350" s="33">
        <f>ROUND(Z350-AJ350,2)</f>
      </c>
      <c r="AU350" s="33">
        <f>ROUND(AA350-AK350,2)</f>
      </c>
      <c r="AV350" s="33">
        <f>ROUND(AB350-AL350,2)</f>
      </c>
      <c r="AW350" s="33">
        <f>ROUND(AC350-AM350,2)</f>
      </c>
      <c r="AX350" s="33">
        <f>ROUND(AD350-AN350,2)</f>
      </c>
      <c r="AY350" s="33">
        <f>ROUND(AE350-AO350,2)</f>
      </c>
      <c r="AZ350" s="33">
        <f>ROUND(MAX(0,'Your debts'!$D$22-SUM($L350:$U350)),2)</f>
      </c>
      <c r="BA350" s="33">
        <f>ROUND(SUM($B350:$K350)-SUM($AP349:$AY349),2)</f>
      </c>
      <c r="BB350" s="33">
        <f>SUM($AP350:$AY350)</f>
      </c>
      <c r="BC350" s="33">
        <f>ROUND(SUM($L350:$U350)+SUM($AF350:$AO350),2)</f>
      </c>
    </row>
    <row r="351" spans="1:55" x14ac:dyDescent="0.25">
      <c r="A351">
        <v>344</v>
      </c>
      <c r="B351" s="33">
        <f>IF(AP350&lt;=0,0,ROUND(AP350+ROUND(AP350*V$3/12,2),2))</f>
      </c>
      <c r="C351" s="33">
        <f>IF(AQ350&lt;=0,0,ROUND(AQ350+ROUND(AQ350*W$3/12,2),2))</f>
      </c>
      <c r="D351" s="33">
        <f>IF(AR350&lt;=0,0,ROUND(AR350+ROUND(AR350*X$3/12,2),2))</f>
      </c>
      <c r="E351" s="33">
        <f>IF(AS350&lt;=0,0,ROUND(AS350+ROUND(AS350*Y$3/12,2),2))</f>
      </c>
      <c r="F351" s="33">
        <f>IF(AT350&lt;=0,0,ROUND(AT350+ROUND(AT350*Z$3/12,2),2))</f>
      </c>
      <c r="G351" s="33">
        <f>IF(AU350&lt;=0,0,ROUND(AU350+ROUND(AU350*AA$3/12,2),2))</f>
      </c>
      <c r="H351" s="33">
        <f>IF(AV350&lt;=0,0,ROUND(AV350+ROUND(AV350*AB$3/12,2),2))</f>
      </c>
      <c r="I351" s="33">
        <f>IF(AW350&lt;=0,0,ROUND(AW350+ROUND(AW350*AC$3/12,2),2))</f>
      </c>
      <c r="J351" s="33">
        <f>IF(AX350&lt;=0,0,ROUND(AX350+ROUND(AX350*AD$3/12,2),2))</f>
      </c>
      <c r="K351" s="33">
        <f>IF(AY350&lt;=0,0,ROUND(AY350+ROUND(AY350*AE$3/12,2),2))</f>
      </c>
      <c r="L351" s="33">
        <f>ROUND(MIN(MAX(0,N('Your debts'!$E$6)),B351),2)</f>
      </c>
      <c r="M351" s="33">
        <f>ROUND(MIN(MAX(0,N('Your debts'!$E$7)),C351),2)</f>
      </c>
      <c r="N351" s="33">
        <f>ROUND(MIN(MAX(0,N('Your debts'!$E$8)),D351),2)</f>
      </c>
      <c r="O351" s="33">
        <f>ROUND(MIN(MAX(0,N('Your debts'!$E$9)),E351),2)</f>
      </c>
      <c r="P351" s="33">
        <f>ROUND(MIN(MAX(0,N('Your debts'!$E$10)),F351),2)</f>
      </c>
      <c r="Q351" s="33">
        <f>ROUND(MIN(MAX(0,N('Your debts'!$E$11)),G351),2)</f>
      </c>
      <c r="R351" s="33">
        <f>ROUND(MIN(MAX(0,N('Your debts'!$E$12)),H351),2)</f>
      </c>
      <c r="S351" s="33">
        <f>ROUND(MIN(MAX(0,N('Your debts'!$E$13)),I351),2)</f>
      </c>
      <c r="T351" s="33">
        <f>ROUND(MIN(MAX(0,N('Your debts'!$E$14)),J351),2)</f>
      </c>
      <c r="U351" s="33">
        <f>ROUND(MIN(MAX(0,N('Your debts'!$E$15)),K351),2)</f>
      </c>
      <c r="V351" s="33">
        <f>ROUND(B351-L351,2)</f>
      </c>
      <c r="W351" s="33">
        <f>ROUND(C351-M351,2)</f>
      </c>
      <c r="X351" s="33">
        <f>ROUND(D351-N351,2)</f>
      </c>
      <c r="Y351" s="33">
        <f>ROUND(E351-O351,2)</f>
      </c>
      <c r="Z351" s="33">
        <f>ROUND(F351-P351,2)</f>
      </c>
      <c r="AA351" s="33">
        <f>ROUND(G351-Q351,2)</f>
      </c>
      <c r="AB351" s="33">
        <f>ROUND(H351-R351,2)</f>
      </c>
      <c r="AC351" s="33">
        <f>ROUND(I351-S351,2)</f>
      </c>
      <c r="AD351" s="33">
        <f>ROUND(J351-T351,2)</f>
      </c>
      <c r="AE351" s="33">
        <f>ROUND(K351-U351,2)</f>
      </c>
      <c r="AF351" s="33">
        <f>IF(V351&lt;=0,0,MAX(0,MIN(V351,ROUND($AZ351-SUMPRODUCT($V351:$AE351*($V351:$AE351&gt;0)*(($V$3:$AE$3&gt;V$3)+($V$3:$AE$3=V$3)*($V351:$AE351&lt;V351)+($V$3:$AE$3=V$3)*($V351:$AE351=V351)*($V$2:$AE$2&lt;V$2))),2))))</f>
      </c>
      <c r="AG351" s="33">
        <f>IF(W351&lt;=0,0,MAX(0,MIN(W351,ROUND($AZ351-SUMPRODUCT($V351:$AE351*($V351:$AE351&gt;0)*(($V$3:$AE$3&gt;W$3)+($V$3:$AE$3=W$3)*($V351:$AE351&lt;W351)+($V$3:$AE$3=W$3)*($V351:$AE351=W351)*($V$2:$AE$2&lt;W$2))),2))))</f>
      </c>
      <c r="AH351" s="33">
        <f>IF(X351&lt;=0,0,MAX(0,MIN(X351,ROUND($AZ351-SUMPRODUCT($V351:$AE351*($V351:$AE351&gt;0)*(($V$3:$AE$3&gt;X$3)+($V$3:$AE$3=X$3)*($V351:$AE351&lt;X351)+($V$3:$AE$3=X$3)*($V351:$AE351=X351)*($V$2:$AE$2&lt;X$2))),2))))</f>
      </c>
      <c r="AI351" s="33">
        <f>IF(Y351&lt;=0,0,MAX(0,MIN(Y351,ROUND($AZ351-SUMPRODUCT($V351:$AE351*($V351:$AE351&gt;0)*(($V$3:$AE$3&gt;Y$3)+($V$3:$AE$3=Y$3)*($V351:$AE351&lt;Y351)+($V$3:$AE$3=Y$3)*($V351:$AE351=Y351)*($V$2:$AE$2&lt;Y$2))),2))))</f>
      </c>
      <c r="AJ351" s="33">
        <f>IF(Z351&lt;=0,0,MAX(0,MIN(Z351,ROUND($AZ351-SUMPRODUCT($V351:$AE351*($V351:$AE351&gt;0)*(($V$3:$AE$3&gt;Z$3)+($V$3:$AE$3=Z$3)*($V351:$AE351&lt;Z351)+($V$3:$AE$3=Z$3)*($V351:$AE351=Z351)*($V$2:$AE$2&lt;Z$2))),2))))</f>
      </c>
      <c r="AK351" s="33">
        <f>IF(AA351&lt;=0,0,MAX(0,MIN(AA351,ROUND($AZ351-SUMPRODUCT($V351:$AE351*($V351:$AE351&gt;0)*(($V$3:$AE$3&gt;AA$3)+($V$3:$AE$3=AA$3)*($V351:$AE351&lt;AA351)+($V$3:$AE$3=AA$3)*($V351:$AE351=AA351)*($V$2:$AE$2&lt;AA$2))),2))))</f>
      </c>
      <c r="AL351" s="33">
        <f>IF(AB351&lt;=0,0,MAX(0,MIN(AB351,ROUND($AZ351-SUMPRODUCT($V351:$AE351*($V351:$AE351&gt;0)*(($V$3:$AE$3&gt;AB$3)+($V$3:$AE$3=AB$3)*($V351:$AE351&lt;AB351)+($V$3:$AE$3=AB$3)*($V351:$AE351=AB351)*($V$2:$AE$2&lt;AB$2))),2))))</f>
      </c>
      <c r="AM351" s="33">
        <f>IF(AC351&lt;=0,0,MAX(0,MIN(AC351,ROUND($AZ351-SUMPRODUCT($V351:$AE351*($V351:$AE351&gt;0)*(($V$3:$AE$3&gt;AC$3)+($V$3:$AE$3=AC$3)*($V351:$AE351&lt;AC351)+($V$3:$AE$3=AC$3)*($V351:$AE351=AC351)*($V$2:$AE$2&lt;AC$2))),2))))</f>
      </c>
      <c r="AN351" s="33">
        <f>IF(AD351&lt;=0,0,MAX(0,MIN(AD351,ROUND($AZ351-SUMPRODUCT($V351:$AE351*($V351:$AE351&gt;0)*(($V$3:$AE$3&gt;AD$3)+($V$3:$AE$3=AD$3)*($V351:$AE351&lt;AD351)+($V$3:$AE$3=AD$3)*($V351:$AE351=AD351)*($V$2:$AE$2&lt;AD$2))),2))))</f>
      </c>
      <c r="AO351" s="33">
        <f>IF(AE351&lt;=0,0,MAX(0,MIN(AE351,ROUND($AZ351-SUMPRODUCT($V351:$AE351*($V351:$AE351&gt;0)*(($V$3:$AE$3&gt;AE$3)+($V$3:$AE$3=AE$3)*($V351:$AE351&lt;AE351)+($V$3:$AE$3=AE$3)*($V351:$AE351=AE351)*($V$2:$AE$2&lt;AE$2))),2))))</f>
      </c>
      <c r="AP351" s="33">
        <f>ROUND(V351-AF351,2)</f>
      </c>
      <c r="AQ351" s="33">
        <f>ROUND(W351-AG351,2)</f>
      </c>
      <c r="AR351" s="33">
        <f>ROUND(X351-AH351,2)</f>
      </c>
      <c r="AS351" s="33">
        <f>ROUND(Y351-AI351,2)</f>
      </c>
      <c r="AT351" s="33">
        <f>ROUND(Z351-AJ351,2)</f>
      </c>
      <c r="AU351" s="33">
        <f>ROUND(AA351-AK351,2)</f>
      </c>
      <c r="AV351" s="33">
        <f>ROUND(AB351-AL351,2)</f>
      </c>
      <c r="AW351" s="33">
        <f>ROUND(AC351-AM351,2)</f>
      </c>
      <c r="AX351" s="33">
        <f>ROUND(AD351-AN351,2)</f>
      </c>
      <c r="AY351" s="33">
        <f>ROUND(AE351-AO351,2)</f>
      </c>
      <c r="AZ351" s="33">
        <f>ROUND(MAX(0,'Your debts'!$D$22-SUM($L351:$U351)),2)</f>
      </c>
      <c r="BA351" s="33">
        <f>ROUND(SUM($B351:$K351)-SUM($AP350:$AY350),2)</f>
      </c>
      <c r="BB351" s="33">
        <f>SUM($AP351:$AY351)</f>
      </c>
      <c r="BC351" s="33">
        <f>ROUND(SUM($L351:$U351)+SUM($AF351:$AO351),2)</f>
      </c>
    </row>
    <row r="352" spans="1:55" x14ac:dyDescent="0.25">
      <c r="A352">
        <v>345</v>
      </c>
      <c r="B352" s="33">
        <f>IF(AP351&lt;=0,0,ROUND(AP351+ROUND(AP351*V$3/12,2),2))</f>
      </c>
      <c r="C352" s="33">
        <f>IF(AQ351&lt;=0,0,ROUND(AQ351+ROUND(AQ351*W$3/12,2),2))</f>
      </c>
      <c r="D352" s="33">
        <f>IF(AR351&lt;=0,0,ROUND(AR351+ROUND(AR351*X$3/12,2),2))</f>
      </c>
      <c r="E352" s="33">
        <f>IF(AS351&lt;=0,0,ROUND(AS351+ROUND(AS351*Y$3/12,2),2))</f>
      </c>
      <c r="F352" s="33">
        <f>IF(AT351&lt;=0,0,ROUND(AT351+ROUND(AT351*Z$3/12,2),2))</f>
      </c>
      <c r="G352" s="33">
        <f>IF(AU351&lt;=0,0,ROUND(AU351+ROUND(AU351*AA$3/12,2),2))</f>
      </c>
      <c r="H352" s="33">
        <f>IF(AV351&lt;=0,0,ROUND(AV351+ROUND(AV351*AB$3/12,2),2))</f>
      </c>
      <c r="I352" s="33">
        <f>IF(AW351&lt;=0,0,ROUND(AW351+ROUND(AW351*AC$3/12,2),2))</f>
      </c>
      <c r="J352" s="33">
        <f>IF(AX351&lt;=0,0,ROUND(AX351+ROUND(AX351*AD$3/12,2),2))</f>
      </c>
      <c r="K352" s="33">
        <f>IF(AY351&lt;=0,0,ROUND(AY351+ROUND(AY351*AE$3/12,2),2))</f>
      </c>
      <c r="L352" s="33">
        <f>ROUND(MIN(MAX(0,N('Your debts'!$E$6)),B352),2)</f>
      </c>
      <c r="M352" s="33">
        <f>ROUND(MIN(MAX(0,N('Your debts'!$E$7)),C352),2)</f>
      </c>
      <c r="N352" s="33">
        <f>ROUND(MIN(MAX(0,N('Your debts'!$E$8)),D352),2)</f>
      </c>
      <c r="O352" s="33">
        <f>ROUND(MIN(MAX(0,N('Your debts'!$E$9)),E352),2)</f>
      </c>
      <c r="P352" s="33">
        <f>ROUND(MIN(MAX(0,N('Your debts'!$E$10)),F352),2)</f>
      </c>
      <c r="Q352" s="33">
        <f>ROUND(MIN(MAX(0,N('Your debts'!$E$11)),G352),2)</f>
      </c>
      <c r="R352" s="33">
        <f>ROUND(MIN(MAX(0,N('Your debts'!$E$12)),H352),2)</f>
      </c>
      <c r="S352" s="33">
        <f>ROUND(MIN(MAX(0,N('Your debts'!$E$13)),I352),2)</f>
      </c>
      <c r="T352" s="33">
        <f>ROUND(MIN(MAX(0,N('Your debts'!$E$14)),J352),2)</f>
      </c>
      <c r="U352" s="33">
        <f>ROUND(MIN(MAX(0,N('Your debts'!$E$15)),K352),2)</f>
      </c>
      <c r="V352" s="33">
        <f>ROUND(B352-L352,2)</f>
      </c>
      <c r="W352" s="33">
        <f>ROUND(C352-M352,2)</f>
      </c>
      <c r="X352" s="33">
        <f>ROUND(D352-N352,2)</f>
      </c>
      <c r="Y352" s="33">
        <f>ROUND(E352-O352,2)</f>
      </c>
      <c r="Z352" s="33">
        <f>ROUND(F352-P352,2)</f>
      </c>
      <c r="AA352" s="33">
        <f>ROUND(G352-Q352,2)</f>
      </c>
      <c r="AB352" s="33">
        <f>ROUND(H352-R352,2)</f>
      </c>
      <c r="AC352" s="33">
        <f>ROUND(I352-S352,2)</f>
      </c>
      <c r="AD352" s="33">
        <f>ROUND(J352-T352,2)</f>
      </c>
      <c r="AE352" s="33">
        <f>ROUND(K352-U352,2)</f>
      </c>
      <c r="AF352" s="33">
        <f>IF(V352&lt;=0,0,MAX(0,MIN(V352,ROUND($AZ352-SUMPRODUCT($V352:$AE352*($V352:$AE352&gt;0)*(($V$3:$AE$3&gt;V$3)+($V$3:$AE$3=V$3)*($V352:$AE352&lt;V352)+($V$3:$AE$3=V$3)*($V352:$AE352=V352)*($V$2:$AE$2&lt;V$2))),2))))</f>
      </c>
      <c r="AG352" s="33">
        <f>IF(W352&lt;=0,0,MAX(0,MIN(W352,ROUND($AZ352-SUMPRODUCT($V352:$AE352*($V352:$AE352&gt;0)*(($V$3:$AE$3&gt;W$3)+($V$3:$AE$3=W$3)*($V352:$AE352&lt;W352)+($V$3:$AE$3=W$3)*($V352:$AE352=W352)*($V$2:$AE$2&lt;W$2))),2))))</f>
      </c>
      <c r="AH352" s="33">
        <f>IF(X352&lt;=0,0,MAX(0,MIN(X352,ROUND($AZ352-SUMPRODUCT($V352:$AE352*($V352:$AE352&gt;0)*(($V$3:$AE$3&gt;X$3)+($V$3:$AE$3=X$3)*($V352:$AE352&lt;X352)+($V$3:$AE$3=X$3)*($V352:$AE352=X352)*($V$2:$AE$2&lt;X$2))),2))))</f>
      </c>
      <c r="AI352" s="33">
        <f>IF(Y352&lt;=0,0,MAX(0,MIN(Y352,ROUND($AZ352-SUMPRODUCT($V352:$AE352*($V352:$AE352&gt;0)*(($V$3:$AE$3&gt;Y$3)+($V$3:$AE$3=Y$3)*($V352:$AE352&lt;Y352)+($V$3:$AE$3=Y$3)*($V352:$AE352=Y352)*($V$2:$AE$2&lt;Y$2))),2))))</f>
      </c>
      <c r="AJ352" s="33">
        <f>IF(Z352&lt;=0,0,MAX(0,MIN(Z352,ROUND($AZ352-SUMPRODUCT($V352:$AE352*($V352:$AE352&gt;0)*(($V$3:$AE$3&gt;Z$3)+($V$3:$AE$3=Z$3)*($V352:$AE352&lt;Z352)+($V$3:$AE$3=Z$3)*($V352:$AE352=Z352)*($V$2:$AE$2&lt;Z$2))),2))))</f>
      </c>
      <c r="AK352" s="33">
        <f>IF(AA352&lt;=0,0,MAX(0,MIN(AA352,ROUND($AZ352-SUMPRODUCT($V352:$AE352*($V352:$AE352&gt;0)*(($V$3:$AE$3&gt;AA$3)+($V$3:$AE$3=AA$3)*($V352:$AE352&lt;AA352)+($V$3:$AE$3=AA$3)*($V352:$AE352=AA352)*($V$2:$AE$2&lt;AA$2))),2))))</f>
      </c>
      <c r="AL352" s="33">
        <f>IF(AB352&lt;=0,0,MAX(0,MIN(AB352,ROUND($AZ352-SUMPRODUCT($V352:$AE352*($V352:$AE352&gt;0)*(($V$3:$AE$3&gt;AB$3)+($V$3:$AE$3=AB$3)*($V352:$AE352&lt;AB352)+($V$3:$AE$3=AB$3)*($V352:$AE352=AB352)*($V$2:$AE$2&lt;AB$2))),2))))</f>
      </c>
      <c r="AM352" s="33">
        <f>IF(AC352&lt;=0,0,MAX(0,MIN(AC352,ROUND($AZ352-SUMPRODUCT($V352:$AE352*($V352:$AE352&gt;0)*(($V$3:$AE$3&gt;AC$3)+($V$3:$AE$3=AC$3)*($V352:$AE352&lt;AC352)+($V$3:$AE$3=AC$3)*($V352:$AE352=AC352)*($V$2:$AE$2&lt;AC$2))),2))))</f>
      </c>
      <c r="AN352" s="33">
        <f>IF(AD352&lt;=0,0,MAX(0,MIN(AD352,ROUND($AZ352-SUMPRODUCT($V352:$AE352*($V352:$AE352&gt;0)*(($V$3:$AE$3&gt;AD$3)+($V$3:$AE$3=AD$3)*($V352:$AE352&lt;AD352)+($V$3:$AE$3=AD$3)*($V352:$AE352=AD352)*($V$2:$AE$2&lt;AD$2))),2))))</f>
      </c>
      <c r="AO352" s="33">
        <f>IF(AE352&lt;=0,0,MAX(0,MIN(AE352,ROUND($AZ352-SUMPRODUCT($V352:$AE352*($V352:$AE352&gt;0)*(($V$3:$AE$3&gt;AE$3)+($V$3:$AE$3=AE$3)*($V352:$AE352&lt;AE352)+($V$3:$AE$3=AE$3)*($V352:$AE352=AE352)*($V$2:$AE$2&lt;AE$2))),2))))</f>
      </c>
      <c r="AP352" s="33">
        <f>ROUND(V352-AF352,2)</f>
      </c>
      <c r="AQ352" s="33">
        <f>ROUND(W352-AG352,2)</f>
      </c>
      <c r="AR352" s="33">
        <f>ROUND(X352-AH352,2)</f>
      </c>
      <c r="AS352" s="33">
        <f>ROUND(Y352-AI352,2)</f>
      </c>
      <c r="AT352" s="33">
        <f>ROUND(Z352-AJ352,2)</f>
      </c>
      <c r="AU352" s="33">
        <f>ROUND(AA352-AK352,2)</f>
      </c>
      <c r="AV352" s="33">
        <f>ROUND(AB352-AL352,2)</f>
      </c>
      <c r="AW352" s="33">
        <f>ROUND(AC352-AM352,2)</f>
      </c>
      <c r="AX352" s="33">
        <f>ROUND(AD352-AN352,2)</f>
      </c>
      <c r="AY352" s="33">
        <f>ROUND(AE352-AO352,2)</f>
      </c>
      <c r="AZ352" s="33">
        <f>ROUND(MAX(0,'Your debts'!$D$22-SUM($L352:$U352)),2)</f>
      </c>
      <c r="BA352" s="33">
        <f>ROUND(SUM($B352:$K352)-SUM($AP351:$AY351),2)</f>
      </c>
      <c r="BB352" s="33">
        <f>SUM($AP352:$AY352)</f>
      </c>
      <c r="BC352" s="33">
        <f>ROUND(SUM($L352:$U352)+SUM($AF352:$AO352),2)</f>
      </c>
    </row>
    <row r="353" spans="1:55" x14ac:dyDescent="0.25">
      <c r="A353">
        <v>346</v>
      </c>
      <c r="B353" s="33">
        <f>IF(AP352&lt;=0,0,ROUND(AP352+ROUND(AP352*V$3/12,2),2))</f>
      </c>
      <c r="C353" s="33">
        <f>IF(AQ352&lt;=0,0,ROUND(AQ352+ROUND(AQ352*W$3/12,2),2))</f>
      </c>
      <c r="D353" s="33">
        <f>IF(AR352&lt;=0,0,ROUND(AR352+ROUND(AR352*X$3/12,2),2))</f>
      </c>
      <c r="E353" s="33">
        <f>IF(AS352&lt;=0,0,ROUND(AS352+ROUND(AS352*Y$3/12,2),2))</f>
      </c>
      <c r="F353" s="33">
        <f>IF(AT352&lt;=0,0,ROUND(AT352+ROUND(AT352*Z$3/12,2),2))</f>
      </c>
      <c r="G353" s="33">
        <f>IF(AU352&lt;=0,0,ROUND(AU352+ROUND(AU352*AA$3/12,2),2))</f>
      </c>
      <c r="H353" s="33">
        <f>IF(AV352&lt;=0,0,ROUND(AV352+ROUND(AV352*AB$3/12,2),2))</f>
      </c>
      <c r="I353" s="33">
        <f>IF(AW352&lt;=0,0,ROUND(AW352+ROUND(AW352*AC$3/12,2),2))</f>
      </c>
      <c r="J353" s="33">
        <f>IF(AX352&lt;=0,0,ROUND(AX352+ROUND(AX352*AD$3/12,2),2))</f>
      </c>
      <c r="K353" s="33">
        <f>IF(AY352&lt;=0,0,ROUND(AY352+ROUND(AY352*AE$3/12,2),2))</f>
      </c>
      <c r="L353" s="33">
        <f>ROUND(MIN(MAX(0,N('Your debts'!$E$6)),B353),2)</f>
      </c>
      <c r="M353" s="33">
        <f>ROUND(MIN(MAX(0,N('Your debts'!$E$7)),C353),2)</f>
      </c>
      <c r="N353" s="33">
        <f>ROUND(MIN(MAX(0,N('Your debts'!$E$8)),D353),2)</f>
      </c>
      <c r="O353" s="33">
        <f>ROUND(MIN(MAX(0,N('Your debts'!$E$9)),E353),2)</f>
      </c>
      <c r="P353" s="33">
        <f>ROUND(MIN(MAX(0,N('Your debts'!$E$10)),F353),2)</f>
      </c>
      <c r="Q353" s="33">
        <f>ROUND(MIN(MAX(0,N('Your debts'!$E$11)),G353),2)</f>
      </c>
      <c r="R353" s="33">
        <f>ROUND(MIN(MAX(0,N('Your debts'!$E$12)),H353),2)</f>
      </c>
      <c r="S353" s="33">
        <f>ROUND(MIN(MAX(0,N('Your debts'!$E$13)),I353),2)</f>
      </c>
      <c r="T353" s="33">
        <f>ROUND(MIN(MAX(0,N('Your debts'!$E$14)),J353),2)</f>
      </c>
      <c r="U353" s="33">
        <f>ROUND(MIN(MAX(0,N('Your debts'!$E$15)),K353),2)</f>
      </c>
      <c r="V353" s="33">
        <f>ROUND(B353-L353,2)</f>
      </c>
      <c r="W353" s="33">
        <f>ROUND(C353-M353,2)</f>
      </c>
      <c r="X353" s="33">
        <f>ROUND(D353-N353,2)</f>
      </c>
      <c r="Y353" s="33">
        <f>ROUND(E353-O353,2)</f>
      </c>
      <c r="Z353" s="33">
        <f>ROUND(F353-P353,2)</f>
      </c>
      <c r="AA353" s="33">
        <f>ROUND(G353-Q353,2)</f>
      </c>
      <c r="AB353" s="33">
        <f>ROUND(H353-R353,2)</f>
      </c>
      <c r="AC353" s="33">
        <f>ROUND(I353-S353,2)</f>
      </c>
      <c r="AD353" s="33">
        <f>ROUND(J353-T353,2)</f>
      </c>
      <c r="AE353" s="33">
        <f>ROUND(K353-U353,2)</f>
      </c>
      <c r="AF353" s="33">
        <f>IF(V353&lt;=0,0,MAX(0,MIN(V353,ROUND($AZ353-SUMPRODUCT($V353:$AE353*($V353:$AE353&gt;0)*(($V$3:$AE$3&gt;V$3)+($V$3:$AE$3=V$3)*($V353:$AE353&lt;V353)+($V$3:$AE$3=V$3)*($V353:$AE353=V353)*($V$2:$AE$2&lt;V$2))),2))))</f>
      </c>
      <c r="AG353" s="33">
        <f>IF(W353&lt;=0,0,MAX(0,MIN(W353,ROUND($AZ353-SUMPRODUCT($V353:$AE353*($V353:$AE353&gt;0)*(($V$3:$AE$3&gt;W$3)+($V$3:$AE$3=W$3)*($V353:$AE353&lt;W353)+($V$3:$AE$3=W$3)*($V353:$AE353=W353)*($V$2:$AE$2&lt;W$2))),2))))</f>
      </c>
      <c r="AH353" s="33">
        <f>IF(X353&lt;=0,0,MAX(0,MIN(X353,ROUND($AZ353-SUMPRODUCT($V353:$AE353*($V353:$AE353&gt;0)*(($V$3:$AE$3&gt;X$3)+($V$3:$AE$3=X$3)*($V353:$AE353&lt;X353)+($V$3:$AE$3=X$3)*($V353:$AE353=X353)*($V$2:$AE$2&lt;X$2))),2))))</f>
      </c>
      <c r="AI353" s="33">
        <f>IF(Y353&lt;=0,0,MAX(0,MIN(Y353,ROUND($AZ353-SUMPRODUCT($V353:$AE353*($V353:$AE353&gt;0)*(($V$3:$AE$3&gt;Y$3)+($V$3:$AE$3=Y$3)*($V353:$AE353&lt;Y353)+($V$3:$AE$3=Y$3)*($V353:$AE353=Y353)*($V$2:$AE$2&lt;Y$2))),2))))</f>
      </c>
      <c r="AJ353" s="33">
        <f>IF(Z353&lt;=0,0,MAX(0,MIN(Z353,ROUND($AZ353-SUMPRODUCT($V353:$AE353*($V353:$AE353&gt;0)*(($V$3:$AE$3&gt;Z$3)+($V$3:$AE$3=Z$3)*($V353:$AE353&lt;Z353)+($V$3:$AE$3=Z$3)*($V353:$AE353=Z353)*($V$2:$AE$2&lt;Z$2))),2))))</f>
      </c>
      <c r="AK353" s="33">
        <f>IF(AA353&lt;=0,0,MAX(0,MIN(AA353,ROUND($AZ353-SUMPRODUCT($V353:$AE353*($V353:$AE353&gt;0)*(($V$3:$AE$3&gt;AA$3)+($V$3:$AE$3=AA$3)*($V353:$AE353&lt;AA353)+($V$3:$AE$3=AA$3)*($V353:$AE353=AA353)*($V$2:$AE$2&lt;AA$2))),2))))</f>
      </c>
      <c r="AL353" s="33">
        <f>IF(AB353&lt;=0,0,MAX(0,MIN(AB353,ROUND($AZ353-SUMPRODUCT($V353:$AE353*($V353:$AE353&gt;0)*(($V$3:$AE$3&gt;AB$3)+($V$3:$AE$3=AB$3)*($V353:$AE353&lt;AB353)+($V$3:$AE$3=AB$3)*($V353:$AE353=AB353)*($V$2:$AE$2&lt;AB$2))),2))))</f>
      </c>
      <c r="AM353" s="33">
        <f>IF(AC353&lt;=0,0,MAX(0,MIN(AC353,ROUND($AZ353-SUMPRODUCT($V353:$AE353*($V353:$AE353&gt;0)*(($V$3:$AE$3&gt;AC$3)+($V$3:$AE$3=AC$3)*($V353:$AE353&lt;AC353)+($V$3:$AE$3=AC$3)*($V353:$AE353=AC353)*($V$2:$AE$2&lt;AC$2))),2))))</f>
      </c>
      <c r="AN353" s="33">
        <f>IF(AD353&lt;=0,0,MAX(0,MIN(AD353,ROUND($AZ353-SUMPRODUCT($V353:$AE353*($V353:$AE353&gt;0)*(($V$3:$AE$3&gt;AD$3)+($V$3:$AE$3=AD$3)*($V353:$AE353&lt;AD353)+($V$3:$AE$3=AD$3)*($V353:$AE353=AD353)*($V$2:$AE$2&lt;AD$2))),2))))</f>
      </c>
      <c r="AO353" s="33">
        <f>IF(AE353&lt;=0,0,MAX(0,MIN(AE353,ROUND($AZ353-SUMPRODUCT($V353:$AE353*($V353:$AE353&gt;0)*(($V$3:$AE$3&gt;AE$3)+($V$3:$AE$3=AE$3)*($V353:$AE353&lt;AE353)+($V$3:$AE$3=AE$3)*($V353:$AE353=AE353)*($V$2:$AE$2&lt;AE$2))),2))))</f>
      </c>
      <c r="AP353" s="33">
        <f>ROUND(V353-AF353,2)</f>
      </c>
      <c r="AQ353" s="33">
        <f>ROUND(W353-AG353,2)</f>
      </c>
      <c r="AR353" s="33">
        <f>ROUND(X353-AH353,2)</f>
      </c>
      <c r="AS353" s="33">
        <f>ROUND(Y353-AI353,2)</f>
      </c>
      <c r="AT353" s="33">
        <f>ROUND(Z353-AJ353,2)</f>
      </c>
      <c r="AU353" s="33">
        <f>ROUND(AA353-AK353,2)</f>
      </c>
      <c r="AV353" s="33">
        <f>ROUND(AB353-AL353,2)</f>
      </c>
      <c r="AW353" s="33">
        <f>ROUND(AC353-AM353,2)</f>
      </c>
      <c r="AX353" s="33">
        <f>ROUND(AD353-AN353,2)</f>
      </c>
      <c r="AY353" s="33">
        <f>ROUND(AE353-AO353,2)</f>
      </c>
      <c r="AZ353" s="33">
        <f>ROUND(MAX(0,'Your debts'!$D$22-SUM($L353:$U353)),2)</f>
      </c>
      <c r="BA353" s="33">
        <f>ROUND(SUM($B353:$K353)-SUM($AP352:$AY352),2)</f>
      </c>
      <c r="BB353" s="33">
        <f>SUM($AP353:$AY353)</f>
      </c>
      <c r="BC353" s="33">
        <f>ROUND(SUM($L353:$U353)+SUM($AF353:$AO353),2)</f>
      </c>
    </row>
    <row r="354" spans="1:55" x14ac:dyDescent="0.25">
      <c r="A354">
        <v>347</v>
      </c>
      <c r="B354" s="33">
        <f>IF(AP353&lt;=0,0,ROUND(AP353+ROUND(AP353*V$3/12,2),2))</f>
      </c>
      <c r="C354" s="33">
        <f>IF(AQ353&lt;=0,0,ROUND(AQ353+ROUND(AQ353*W$3/12,2),2))</f>
      </c>
      <c r="D354" s="33">
        <f>IF(AR353&lt;=0,0,ROUND(AR353+ROUND(AR353*X$3/12,2),2))</f>
      </c>
      <c r="E354" s="33">
        <f>IF(AS353&lt;=0,0,ROUND(AS353+ROUND(AS353*Y$3/12,2),2))</f>
      </c>
      <c r="F354" s="33">
        <f>IF(AT353&lt;=0,0,ROUND(AT353+ROUND(AT353*Z$3/12,2),2))</f>
      </c>
      <c r="G354" s="33">
        <f>IF(AU353&lt;=0,0,ROUND(AU353+ROUND(AU353*AA$3/12,2),2))</f>
      </c>
      <c r="H354" s="33">
        <f>IF(AV353&lt;=0,0,ROUND(AV353+ROUND(AV353*AB$3/12,2),2))</f>
      </c>
      <c r="I354" s="33">
        <f>IF(AW353&lt;=0,0,ROUND(AW353+ROUND(AW353*AC$3/12,2),2))</f>
      </c>
      <c r="J354" s="33">
        <f>IF(AX353&lt;=0,0,ROUND(AX353+ROUND(AX353*AD$3/12,2),2))</f>
      </c>
      <c r="K354" s="33">
        <f>IF(AY353&lt;=0,0,ROUND(AY353+ROUND(AY353*AE$3/12,2),2))</f>
      </c>
      <c r="L354" s="33">
        <f>ROUND(MIN(MAX(0,N('Your debts'!$E$6)),B354),2)</f>
      </c>
      <c r="M354" s="33">
        <f>ROUND(MIN(MAX(0,N('Your debts'!$E$7)),C354),2)</f>
      </c>
      <c r="N354" s="33">
        <f>ROUND(MIN(MAX(0,N('Your debts'!$E$8)),D354),2)</f>
      </c>
      <c r="O354" s="33">
        <f>ROUND(MIN(MAX(0,N('Your debts'!$E$9)),E354),2)</f>
      </c>
      <c r="P354" s="33">
        <f>ROUND(MIN(MAX(0,N('Your debts'!$E$10)),F354),2)</f>
      </c>
      <c r="Q354" s="33">
        <f>ROUND(MIN(MAX(0,N('Your debts'!$E$11)),G354),2)</f>
      </c>
      <c r="R354" s="33">
        <f>ROUND(MIN(MAX(0,N('Your debts'!$E$12)),H354),2)</f>
      </c>
      <c r="S354" s="33">
        <f>ROUND(MIN(MAX(0,N('Your debts'!$E$13)),I354),2)</f>
      </c>
      <c r="T354" s="33">
        <f>ROUND(MIN(MAX(0,N('Your debts'!$E$14)),J354),2)</f>
      </c>
      <c r="U354" s="33">
        <f>ROUND(MIN(MAX(0,N('Your debts'!$E$15)),K354),2)</f>
      </c>
      <c r="V354" s="33">
        <f>ROUND(B354-L354,2)</f>
      </c>
      <c r="W354" s="33">
        <f>ROUND(C354-M354,2)</f>
      </c>
      <c r="X354" s="33">
        <f>ROUND(D354-N354,2)</f>
      </c>
      <c r="Y354" s="33">
        <f>ROUND(E354-O354,2)</f>
      </c>
      <c r="Z354" s="33">
        <f>ROUND(F354-P354,2)</f>
      </c>
      <c r="AA354" s="33">
        <f>ROUND(G354-Q354,2)</f>
      </c>
      <c r="AB354" s="33">
        <f>ROUND(H354-R354,2)</f>
      </c>
      <c r="AC354" s="33">
        <f>ROUND(I354-S354,2)</f>
      </c>
      <c r="AD354" s="33">
        <f>ROUND(J354-T354,2)</f>
      </c>
      <c r="AE354" s="33">
        <f>ROUND(K354-U354,2)</f>
      </c>
      <c r="AF354" s="33">
        <f>IF(V354&lt;=0,0,MAX(0,MIN(V354,ROUND($AZ354-SUMPRODUCT($V354:$AE354*($V354:$AE354&gt;0)*(($V$3:$AE$3&gt;V$3)+($V$3:$AE$3=V$3)*($V354:$AE354&lt;V354)+($V$3:$AE$3=V$3)*($V354:$AE354=V354)*($V$2:$AE$2&lt;V$2))),2))))</f>
      </c>
      <c r="AG354" s="33">
        <f>IF(W354&lt;=0,0,MAX(0,MIN(W354,ROUND($AZ354-SUMPRODUCT($V354:$AE354*($V354:$AE354&gt;0)*(($V$3:$AE$3&gt;W$3)+($V$3:$AE$3=W$3)*($V354:$AE354&lt;W354)+($V$3:$AE$3=W$3)*($V354:$AE354=W354)*($V$2:$AE$2&lt;W$2))),2))))</f>
      </c>
      <c r="AH354" s="33">
        <f>IF(X354&lt;=0,0,MAX(0,MIN(X354,ROUND($AZ354-SUMPRODUCT($V354:$AE354*($V354:$AE354&gt;0)*(($V$3:$AE$3&gt;X$3)+($V$3:$AE$3=X$3)*($V354:$AE354&lt;X354)+($V$3:$AE$3=X$3)*($V354:$AE354=X354)*($V$2:$AE$2&lt;X$2))),2))))</f>
      </c>
      <c r="AI354" s="33">
        <f>IF(Y354&lt;=0,0,MAX(0,MIN(Y354,ROUND($AZ354-SUMPRODUCT($V354:$AE354*($V354:$AE354&gt;0)*(($V$3:$AE$3&gt;Y$3)+($V$3:$AE$3=Y$3)*($V354:$AE354&lt;Y354)+($V$3:$AE$3=Y$3)*($V354:$AE354=Y354)*($V$2:$AE$2&lt;Y$2))),2))))</f>
      </c>
      <c r="AJ354" s="33">
        <f>IF(Z354&lt;=0,0,MAX(0,MIN(Z354,ROUND($AZ354-SUMPRODUCT($V354:$AE354*($V354:$AE354&gt;0)*(($V$3:$AE$3&gt;Z$3)+($V$3:$AE$3=Z$3)*($V354:$AE354&lt;Z354)+($V$3:$AE$3=Z$3)*($V354:$AE354=Z354)*($V$2:$AE$2&lt;Z$2))),2))))</f>
      </c>
      <c r="AK354" s="33">
        <f>IF(AA354&lt;=0,0,MAX(0,MIN(AA354,ROUND($AZ354-SUMPRODUCT($V354:$AE354*($V354:$AE354&gt;0)*(($V$3:$AE$3&gt;AA$3)+($V$3:$AE$3=AA$3)*($V354:$AE354&lt;AA354)+($V$3:$AE$3=AA$3)*($V354:$AE354=AA354)*($V$2:$AE$2&lt;AA$2))),2))))</f>
      </c>
      <c r="AL354" s="33">
        <f>IF(AB354&lt;=0,0,MAX(0,MIN(AB354,ROUND($AZ354-SUMPRODUCT($V354:$AE354*($V354:$AE354&gt;0)*(($V$3:$AE$3&gt;AB$3)+($V$3:$AE$3=AB$3)*($V354:$AE354&lt;AB354)+($V$3:$AE$3=AB$3)*($V354:$AE354=AB354)*($V$2:$AE$2&lt;AB$2))),2))))</f>
      </c>
      <c r="AM354" s="33">
        <f>IF(AC354&lt;=0,0,MAX(0,MIN(AC354,ROUND($AZ354-SUMPRODUCT($V354:$AE354*($V354:$AE354&gt;0)*(($V$3:$AE$3&gt;AC$3)+($V$3:$AE$3=AC$3)*($V354:$AE354&lt;AC354)+($V$3:$AE$3=AC$3)*($V354:$AE354=AC354)*($V$2:$AE$2&lt;AC$2))),2))))</f>
      </c>
      <c r="AN354" s="33">
        <f>IF(AD354&lt;=0,0,MAX(0,MIN(AD354,ROUND($AZ354-SUMPRODUCT($V354:$AE354*($V354:$AE354&gt;0)*(($V$3:$AE$3&gt;AD$3)+($V$3:$AE$3=AD$3)*($V354:$AE354&lt;AD354)+($V$3:$AE$3=AD$3)*($V354:$AE354=AD354)*($V$2:$AE$2&lt;AD$2))),2))))</f>
      </c>
      <c r="AO354" s="33">
        <f>IF(AE354&lt;=0,0,MAX(0,MIN(AE354,ROUND($AZ354-SUMPRODUCT($V354:$AE354*($V354:$AE354&gt;0)*(($V$3:$AE$3&gt;AE$3)+($V$3:$AE$3=AE$3)*($V354:$AE354&lt;AE354)+($V$3:$AE$3=AE$3)*($V354:$AE354=AE354)*($V$2:$AE$2&lt;AE$2))),2))))</f>
      </c>
      <c r="AP354" s="33">
        <f>ROUND(V354-AF354,2)</f>
      </c>
      <c r="AQ354" s="33">
        <f>ROUND(W354-AG354,2)</f>
      </c>
      <c r="AR354" s="33">
        <f>ROUND(X354-AH354,2)</f>
      </c>
      <c r="AS354" s="33">
        <f>ROUND(Y354-AI354,2)</f>
      </c>
      <c r="AT354" s="33">
        <f>ROUND(Z354-AJ354,2)</f>
      </c>
      <c r="AU354" s="33">
        <f>ROUND(AA354-AK354,2)</f>
      </c>
      <c r="AV354" s="33">
        <f>ROUND(AB354-AL354,2)</f>
      </c>
      <c r="AW354" s="33">
        <f>ROUND(AC354-AM354,2)</f>
      </c>
      <c r="AX354" s="33">
        <f>ROUND(AD354-AN354,2)</f>
      </c>
      <c r="AY354" s="33">
        <f>ROUND(AE354-AO354,2)</f>
      </c>
      <c r="AZ354" s="33">
        <f>ROUND(MAX(0,'Your debts'!$D$22-SUM($L354:$U354)),2)</f>
      </c>
      <c r="BA354" s="33">
        <f>ROUND(SUM($B354:$K354)-SUM($AP353:$AY353),2)</f>
      </c>
      <c r="BB354" s="33">
        <f>SUM($AP354:$AY354)</f>
      </c>
      <c r="BC354" s="33">
        <f>ROUND(SUM($L354:$U354)+SUM($AF354:$AO354),2)</f>
      </c>
    </row>
    <row r="355" spans="1:55" x14ac:dyDescent="0.25">
      <c r="A355">
        <v>348</v>
      </c>
      <c r="B355" s="33">
        <f>IF(AP354&lt;=0,0,ROUND(AP354+ROUND(AP354*V$3/12,2),2))</f>
      </c>
      <c r="C355" s="33">
        <f>IF(AQ354&lt;=0,0,ROUND(AQ354+ROUND(AQ354*W$3/12,2),2))</f>
      </c>
      <c r="D355" s="33">
        <f>IF(AR354&lt;=0,0,ROUND(AR354+ROUND(AR354*X$3/12,2),2))</f>
      </c>
      <c r="E355" s="33">
        <f>IF(AS354&lt;=0,0,ROUND(AS354+ROUND(AS354*Y$3/12,2),2))</f>
      </c>
      <c r="F355" s="33">
        <f>IF(AT354&lt;=0,0,ROUND(AT354+ROUND(AT354*Z$3/12,2),2))</f>
      </c>
      <c r="G355" s="33">
        <f>IF(AU354&lt;=0,0,ROUND(AU354+ROUND(AU354*AA$3/12,2),2))</f>
      </c>
      <c r="H355" s="33">
        <f>IF(AV354&lt;=0,0,ROUND(AV354+ROUND(AV354*AB$3/12,2),2))</f>
      </c>
      <c r="I355" s="33">
        <f>IF(AW354&lt;=0,0,ROUND(AW354+ROUND(AW354*AC$3/12,2),2))</f>
      </c>
      <c r="J355" s="33">
        <f>IF(AX354&lt;=0,0,ROUND(AX354+ROUND(AX354*AD$3/12,2),2))</f>
      </c>
      <c r="K355" s="33">
        <f>IF(AY354&lt;=0,0,ROUND(AY354+ROUND(AY354*AE$3/12,2),2))</f>
      </c>
      <c r="L355" s="33">
        <f>ROUND(MIN(MAX(0,N('Your debts'!$E$6)),B355),2)</f>
      </c>
      <c r="M355" s="33">
        <f>ROUND(MIN(MAX(0,N('Your debts'!$E$7)),C355),2)</f>
      </c>
      <c r="N355" s="33">
        <f>ROUND(MIN(MAX(0,N('Your debts'!$E$8)),D355),2)</f>
      </c>
      <c r="O355" s="33">
        <f>ROUND(MIN(MAX(0,N('Your debts'!$E$9)),E355),2)</f>
      </c>
      <c r="P355" s="33">
        <f>ROUND(MIN(MAX(0,N('Your debts'!$E$10)),F355),2)</f>
      </c>
      <c r="Q355" s="33">
        <f>ROUND(MIN(MAX(0,N('Your debts'!$E$11)),G355),2)</f>
      </c>
      <c r="R355" s="33">
        <f>ROUND(MIN(MAX(0,N('Your debts'!$E$12)),H355),2)</f>
      </c>
      <c r="S355" s="33">
        <f>ROUND(MIN(MAX(0,N('Your debts'!$E$13)),I355),2)</f>
      </c>
      <c r="T355" s="33">
        <f>ROUND(MIN(MAX(0,N('Your debts'!$E$14)),J355),2)</f>
      </c>
      <c r="U355" s="33">
        <f>ROUND(MIN(MAX(0,N('Your debts'!$E$15)),K355),2)</f>
      </c>
      <c r="V355" s="33">
        <f>ROUND(B355-L355,2)</f>
      </c>
      <c r="W355" s="33">
        <f>ROUND(C355-M355,2)</f>
      </c>
      <c r="X355" s="33">
        <f>ROUND(D355-N355,2)</f>
      </c>
      <c r="Y355" s="33">
        <f>ROUND(E355-O355,2)</f>
      </c>
      <c r="Z355" s="33">
        <f>ROUND(F355-P355,2)</f>
      </c>
      <c r="AA355" s="33">
        <f>ROUND(G355-Q355,2)</f>
      </c>
      <c r="AB355" s="33">
        <f>ROUND(H355-R355,2)</f>
      </c>
      <c r="AC355" s="33">
        <f>ROUND(I355-S355,2)</f>
      </c>
      <c r="AD355" s="33">
        <f>ROUND(J355-T355,2)</f>
      </c>
      <c r="AE355" s="33">
        <f>ROUND(K355-U355,2)</f>
      </c>
      <c r="AF355" s="33">
        <f>IF(V355&lt;=0,0,MAX(0,MIN(V355,ROUND($AZ355-SUMPRODUCT($V355:$AE355*($V355:$AE355&gt;0)*(($V$3:$AE$3&gt;V$3)+($V$3:$AE$3=V$3)*($V355:$AE355&lt;V355)+($V$3:$AE$3=V$3)*($V355:$AE355=V355)*($V$2:$AE$2&lt;V$2))),2))))</f>
      </c>
      <c r="AG355" s="33">
        <f>IF(W355&lt;=0,0,MAX(0,MIN(W355,ROUND($AZ355-SUMPRODUCT($V355:$AE355*($V355:$AE355&gt;0)*(($V$3:$AE$3&gt;W$3)+($V$3:$AE$3=W$3)*($V355:$AE355&lt;W355)+($V$3:$AE$3=W$3)*($V355:$AE355=W355)*($V$2:$AE$2&lt;W$2))),2))))</f>
      </c>
      <c r="AH355" s="33">
        <f>IF(X355&lt;=0,0,MAX(0,MIN(X355,ROUND($AZ355-SUMPRODUCT($V355:$AE355*($V355:$AE355&gt;0)*(($V$3:$AE$3&gt;X$3)+($V$3:$AE$3=X$3)*($V355:$AE355&lt;X355)+($V$3:$AE$3=X$3)*($V355:$AE355=X355)*($V$2:$AE$2&lt;X$2))),2))))</f>
      </c>
      <c r="AI355" s="33">
        <f>IF(Y355&lt;=0,0,MAX(0,MIN(Y355,ROUND($AZ355-SUMPRODUCT($V355:$AE355*($V355:$AE355&gt;0)*(($V$3:$AE$3&gt;Y$3)+($V$3:$AE$3=Y$3)*($V355:$AE355&lt;Y355)+($V$3:$AE$3=Y$3)*($V355:$AE355=Y355)*($V$2:$AE$2&lt;Y$2))),2))))</f>
      </c>
      <c r="AJ355" s="33">
        <f>IF(Z355&lt;=0,0,MAX(0,MIN(Z355,ROUND($AZ355-SUMPRODUCT($V355:$AE355*($V355:$AE355&gt;0)*(($V$3:$AE$3&gt;Z$3)+($V$3:$AE$3=Z$3)*($V355:$AE355&lt;Z355)+($V$3:$AE$3=Z$3)*($V355:$AE355=Z355)*($V$2:$AE$2&lt;Z$2))),2))))</f>
      </c>
      <c r="AK355" s="33">
        <f>IF(AA355&lt;=0,0,MAX(0,MIN(AA355,ROUND($AZ355-SUMPRODUCT($V355:$AE355*($V355:$AE355&gt;0)*(($V$3:$AE$3&gt;AA$3)+($V$3:$AE$3=AA$3)*($V355:$AE355&lt;AA355)+($V$3:$AE$3=AA$3)*($V355:$AE355=AA355)*($V$2:$AE$2&lt;AA$2))),2))))</f>
      </c>
      <c r="AL355" s="33">
        <f>IF(AB355&lt;=0,0,MAX(0,MIN(AB355,ROUND($AZ355-SUMPRODUCT($V355:$AE355*($V355:$AE355&gt;0)*(($V$3:$AE$3&gt;AB$3)+($V$3:$AE$3=AB$3)*($V355:$AE355&lt;AB355)+($V$3:$AE$3=AB$3)*($V355:$AE355=AB355)*($V$2:$AE$2&lt;AB$2))),2))))</f>
      </c>
      <c r="AM355" s="33">
        <f>IF(AC355&lt;=0,0,MAX(0,MIN(AC355,ROUND($AZ355-SUMPRODUCT($V355:$AE355*($V355:$AE355&gt;0)*(($V$3:$AE$3&gt;AC$3)+($V$3:$AE$3=AC$3)*($V355:$AE355&lt;AC355)+($V$3:$AE$3=AC$3)*($V355:$AE355=AC355)*($V$2:$AE$2&lt;AC$2))),2))))</f>
      </c>
      <c r="AN355" s="33">
        <f>IF(AD355&lt;=0,0,MAX(0,MIN(AD355,ROUND($AZ355-SUMPRODUCT($V355:$AE355*($V355:$AE355&gt;0)*(($V$3:$AE$3&gt;AD$3)+($V$3:$AE$3=AD$3)*($V355:$AE355&lt;AD355)+($V$3:$AE$3=AD$3)*($V355:$AE355=AD355)*($V$2:$AE$2&lt;AD$2))),2))))</f>
      </c>
      <c r="AO355" s="33">
        <f>IF(AE355&lt;=0,0,MAX(0,MIN(AE355,ROUND($AZ355-SUMPRODUCT($V355:$AE355*($V355:$AE355&gt;0)*(($V$3:$AE$3&gt;AE$3)+($V$3:$AE$3=AE$3)*($V355:$AE355&lt;AE355)+($V$3:$AE$3=AE$3)*($V355:$AE355=AE355)*($V$2:$AE$2&lt;AE$2))),2))))</f>
      </c>
      <c r="AP355" s="33">
        <f>ROUND(V355-AF355,2)</f>
      </c>
      <c r="AQ355" s="33">
        <f>ROUND(W355-AG355,2)</f>
      </c>
      <c r="AR355" s="33">
        <f>ROUND(X355-AH355,2)</f>
      </c>
      <c r="AS355" s="33">
        <f>ROUND(Y355-AI355,2)</f>
      </c>
      <c r="AT355" s="33">
        <f>ROUND(Z355-AJ355,2)</f>
      </c>
      <c r="AU355" s="33">
        <f>ROUND(AA355-AK355,2)</f>
      </c>
      <c r="AV355" s="33">
        <f>ROUND(AB355-AL355,2)</f>
      </c>
      <c r="AW355" s="33">
        <f>ROUND(AC355-AM355,2)</f>
      </c>
      <c r="AX355" s="33">
        <f>ROUND(AD355-AN355,2)</f>
      </c>
      <c r="AY355" s="33">
        <f>ROUND(AE355-AO355,2)</f>
      </c>
      <c r="AZ355" s="33">
        <f>ROUND(MAX(0,'Your debts'!$D$22-SUM($L355:$U355)),2)</f>
      </c>
      <c r="BA355" s="33">
        <f>ROUND(SUM($B355:$K355)-SUM($AP354:$AY354),2)</f>
      </c>
      <c r="BB355" s="33">
        <f>SUM($AP355:$AY355)</f>
      </c>
      <c r="BC355" s="33">
        <f>ROUND(SUM($L355:$U355)+SUM($AF355:$AO355),2)</f>
      </c>
    </row>
    <row r="356" spans="1:55" x14ac:dyDescent="0.25">
      <c r="A356">
        <v>349</v>
      </c>
      <c r="B356" s="33">
        <f>IF(AP355&lt;=0,0,ROUND(AP355+ROUND(AP355*V$3/12,2),2))</f>
      </c>
      <c r="C356" s="33">
        <f>IF(AQ355&lt;=0,0,ROUND(AQ355+ROUND(AQ355*W$3/12,2),2))</f>
      </c>
      <c r="D356" s="33">
        <f>IF(AR355&lt;=0,0,ROUND(AR355+ROUND(AR355*X$3/12,2),2))</f>
      </c>
      <c r="E356" s="33">
        <f>IF(AS355&lt;=0,0,ROUND(AS355+ROUND(AS355*Y$3/12,2),2))</f>
      </c>
      <c r="F356" s="33">
        <f>IF(AT355&lt;=0,0,ROUND(AT355+ROUND(AT355*Z$3/12,2),2))</f>
      </c>
      <c r="G356" s="33">
        <f>IF(AU355&lt;=0,0,ROUND(AU355+ROUND(AU355*AA$3/12,2),2))</f>
      </c>
      <c r="H356" s="33">
        <f>IF(AV355&lt;=0,0,ROUND(AV355+ROUND(AV355*AB$3/12,2),2))</f>
      </c>
      <c r="I356" s="33">
        <f>IF(AW355&lt;=0,0,ROUND(AW355+ROUND(AW355*AC$3/12,2),2))</f>
      </c>
      <c r="J356" s="33">
        <f>IF(AX355&lt;=0,0,ROUND(AX355+ROUND(AX355*AD$3/12,2),2))</f>
      </c>
      <c r="K356" s="33">
        <f>IF(AY355&lt;=0,0,ROUND(AY355+ROUND(AY355*AE$3/12,2),2))</f>
      </c>
      <c r="L356" s="33">
        <f>ROUND(MIN(MAX(0,N('Your debts'!$E$6)),B356),2)</f>
      </c>
      <c r="M356" s="33">
        <f>ROUND(MIN(MAX(0,N('Your debts'!$E$7)),C356),2)</f>
      </c>
      <c r="N356" s="33">
        <f>ROUND(MIN(MAX(0,N('Your debts'!$E$8)),D356),2)</f>
      </c>
      <c r="O356" s="33">
        <f>ROUND(MIN(MAX(0,N('Your debts'!$E$9)),E356),2)</f>
      </c>
      <c r="P356" s="33">
        <f>ROUND(MIN(MAX(0,N('Your debts'!$E$10)),F356),2)</f>
      </c>
      <c r="Q356" s="33">
        <f>ROUND(MIN(MAX(0,N('Your debts'!$E$11)),G356),2)</f>
      </c>
      <c r="R356" s="33">
        <f>ROUND(MIN(MAX(0,N('Your debts'!$E$12)),H356),2)</f>
      </c>
      <c r="S356" s="33">
        <f>ROUND(MIN(MAX(0,N('Your debts'!$E$13)),I356),2)</f>
      </c>
      <c r="T356" s="33">
        <f>ROUND(MIN(MAX(0,N('Your debts'!$E$14)),J356),2)</f>
      </c>
      <c r="U356" s="33">
        <f>ROUND(MIN(MAX(0,N('Your debts'!$E$15)),K356),2)</f>
      </c>
      <c r="V356" s="33">
        <f>ROUND(B356-L356,2)</f>
      </c>
      <c r="W356" s="33">
        <f>ROUND(C356-M356,2)</f>
      </c>
      <c r="X356" s="33">
        <f>ROUND(D356-N356,2)</f>
      </c>
      <c r="Y356" s="33">
        <f>ROUND(E356-O356,2)</f>
      </c>
      <c r="Z356" s="33">
        <f>ROUND(F356-P356,2)</f>
      </c>
      <c r="AA356" s="33">
        <f>ROUND(G356-Q356,2)</f>
      </c>
      <c r="AB356" s="33">
        <f>ROUND(H356-R356,2)</f>
      </c>
      <c r="AC356" s="33">
        <f>ROUND(I356-S356,2)</f>
      </c>
      <c r="AD356" s="33">
        <f>ROUND(J356-T356,2)</f>
      </c>
      <c r="AE356" s="33">
        <f>ROUND(K356-U356,2)</f>
      </c>
      <c r="AF356" s="33">
        <f>IF(V356&lt;=0,0,MAX(0,MIN(V356,ROUND($AZ356-SUMPRODUCT($V356:$AE356*($V356:$AE356&gt;0)*(($V$3:$AE$3&gt;V$3)+($V$3:$AE$3=V$3)*($V356:$AE356&lt;V356)+($V$3:$AE$3=V$3)*($V356:$AE356=V356)*($V$2:$AE$2&lt;V$2))),2))))</f>
      </c>
      <c r="AG356" s="33">
        <f>IF(W356&lt;=0,0,MAX(0,MIN(W356,ROUND($AZ356-SUMPRODUCT($V356:$AE356*($V356:$AE356&gt;0)*(($V$3:$AE$3&gt;W$3)+($V$3:$AE$3=W$3)*($V356:$AE356&lt;W356)+($V$3:$AE$3=W$3)*($V356:$AE356=W356)*($V$2:$AE$2&lt;W$2))),2))))</f>
      </c>
      <c r="AH356" s="33">
        <f>IF(X356&lt;=0,0,MAX(0,MIN(X356,ROUND($AZ356-SUMPRODUCT($V356:$AE356*($V356:$AE356&gt;0)*(($V$3:$AE$3&gt;X$3)+($V$3:$AE$3=X$3)*($V356:$AE356&lt;X356)+($V$3:$AE$3=X$3)*($V356:$AE356=X356)*($V$2:$AE$2&lt;X$2))),2))))</f>
      </c>
      <c r="AI356" s="33">
        <f>IF(Y356&lt;=0,0,MAX(0,MIN(Y356,ROUND($AZ356-SUMPRODUCT($V356:$AE356*($V356:$AE356&gt;0)*(($V$3:$AE$3&gt;Y$3)+($V$3:$AE$3=Y$3)*($V356:$AE356&lt;Y356)+($V$3:$AE$3=Y$3)*($V356:$AE356=Y356)*($V$2:$AE$2&lt;Y$2))),2))))</f>
      </c>
      <c r="AJ356" s="33">
        <f>IF(Z356&lt;=0,0,MAX(0,MIN(Z356,ROUND($AZ356-SUMPRODUCT($V356:$AE356*($V356:$AE356&gt;0)*(($V$3:$AE$3&gt;Z$3)+($V$3:$AE$3=Z$3)*($V356:$AE356&lt;Z356)+($V$3:$AE$3=Z$3)*($V356:$AE356=Z356)*($V$2:$AE$2&lt;Z$2))),2))))</f>
      </c>
      <c r="AK356" s="33">
        <f>IF(AA356&lt;=0,0,MAX(0,MIN(AA356,ROUND($AZ356-SUMPRODUCT($V356:$AE356*($V356:$AE356&gt;0)*(($V$3:$AE$3&gt;AA$3)+($V$3:$AE$3=AA$3)*($V356:$AE356&lt;AA356)+($V$3:$AE$3=AA$3)*($V356:$AE356=AA356)*($V$2:$AE$2&lt;AA$2))),2))))</f>
      </c>
      <c r="AL356" s="33">
        <f>IF(AB356&lt;=0,0,MAX(0,MIN(AB356,ROUND($AZ356-SUMPRODUCT($V356:$AE356*($V356:$AE356&gt;0)*(($V$3:$AE$3&gt;AB$3)+($V$3:$AE$3=AB$3)*($V356:$AE356&lt;AB356)+($V$3:$AE$3=AB$3)*($V356:$AE356=AB356)*($V$2:$AE$2&lt;AB$2))),2))))</f>
      </c>
      <c r="AM356" s="33">
        <f>IF(AC356&lt;=0,0,MAX(0,MIN(AC356,ROUND($AZ356-SUMPRODUCT($V356:$AE356*($V356:$AE356&gt;0)*(($V$3:$AE$3&gt;AC$3)+($V$3:$AE$3=AC$3)*($V356:$AE356&lt;AC356)+($V$3:$AE$3=AC$3)*($V356:$AE356=AC356)*($V$2:$AE$2&lt;AC$2))),2))))</f>
      </c>
      <c r="AN356" s="33">
        <f>IF(AD356&lt;=0,0,MAX(0,MIN(AD356,ROUND($AZ356-SUMPRODUCT($V356:$AE356*($V356:$AE356&gt;0)*(($V$3:$AE$3&gt;AD$3)+($V$3:$AE$3=AD$3)*($V356:$AE356&lt;AD356)+($V$3:$AE$3=AD$3)*($V356:$AE356=AD356)*($V$2:$AE$2&lt;AD$2))),2))))</f>
      </c>
      <c r="AO356" s="33">
        <f>IF(AE356&lt;=0,0,MAX(0,MIN(AE356,ROUND($AZ356-SUMPRODUCT($V356:$AE356*($V356:$AE356&gt;0)*(($V$3:$AE$3&gt;AE$3)+($V$3:$AE$3=AE$3)*($V356:$AE356&lt;AE356)+($V$3:$AE$3=AE$3)*($V356:$AE356=AE356)*($V$2:$AE$2&lt;AE$2))),2))))</f>
      </c>
      <c r="AP356" s="33">
        <f>ROUND(V356-AF356,2)</f>
      </c>
      <c r="AQ356" s="33">
        <f>ROUND(W356-AG356,2)</f>
      </c>
      <c r="AR356" s="33">
        <f>ROUND(X356-AH356,2)</f>
      </c>
      <c r="AS356" s="33">
        <f>ROUND(Y356-AI356,2)</f>
      </c>
      <c r="AT356" s="33">
        <f>ROUND(Z356-AJ356,2)</f>
      </c>
      <c r="AU356" s="33">
        <f>ROUND(AA356-AK356,2)</f>
      </c>
      <c r="AV356" s="33">
        <f>ROUND(AB356-AL356,2)</f>
      </c>
      <c r="AW356" s="33">
        <f>ROUND(AC356-AM356,2)</f>
      </c>
      <c r="AX356" s="33">
        <f>ROUND(AD356-AN356,2)</f>
      </c>
      <c r="AY356" s="33">
        <f>ROUND(AE356-AO356,2)</f>
      </c>
      <c r="AZ356" s="33">
        <f>ROUND(MAX(0,'Your debts'!$D$22-SUM($L356:$U356)),2)</f>
      </c>
      <c r="BA356" s="33">
        <f>ROUND(SUM($B356:$K356)-SUM($AP355:$AY355),2)</f>
      </c>
      <c r="BB356" s="33">
        <f>SUM($AP356:$AY356)</f>
      </c>
      <c r="BC356" s="33">
        <f>ROUND(SUM($L356:$U356)+SUM($AF356:$AO356),2)</f>
      </c>
    </row>
    <row r="357" spans="1:55" x14ac:dyDescent="0.25">
      <c r="A357">
        <v>350</v>
      </c>
      <c r="B357" s="33">
        <f>IF(AP356&lt;=0,0,ROUND(AP356+ROUND(AP356*V$3/12,2),2))</f>
      </c>
      <c r="C357" s="33">
        <f>IF(AQ356&lt;=0,0,ROUND(AQ356+ROUND(AQ356*W$3/12,2),2))</f>
      </c>
      <c r="D357" s="33">
        <f>IF(AR356&lt;=0,0,ROUND(AR356+ROUND(AR356*X$3/12,2),2))</f>
      </c>
      <c r="E357" s="33">
        <f>IF(AS356&lt;=0,0,ROUND(AS356+ROUND(AS356*Y$3/12,2),2))</f>
      </c>
      <c r="F357" s="33">
        <f>IF(AT356&lt;=0,0,ROUND(AT356+ROUND(AT356*Z$3/12,2),2))</f>
      </c>
      <c r="G357" s="33">
        <f>IF(AU356&lt;=0,0,ROUND(AU356+ROUND(AU356*AA$3/12,2),2))</f>
      </c>
      <c r="H357" s="33">
        <f>IF(AV356&lt;=0,0,ROUND(AV356+ROUND(AV356*AB$3/12,2),2))</f>
      </c>
      <c r="I357" s="33">
        <f>IF(AW356&lt;=0,0,ROUND(AW356+ROUND(AW356*AC$3/12,2),2))</f>
      </c>
      <c r="J357" s="33">
        <f>IF(AX356&lt;=0,0,ROUND(AX356+ROUND(AX356*AD$3/12,2),2))</f>
      </c>
      <c r="K357" s="33">
        <f>IF(AY356&lt;=0,0,ROUND(AY356+ROUND(AY356*AE$3/12,2),2))</f>
      </c>
      <c r="L357" s="33">
        <f>ROUND(MIN(MAX(0,N('Your debts'!$E$6)),B357),2)</f>
      </c>
      <c r="M357" s="33">
        <f>ROUND(MIN(MAX(0,N('Your debts'!$E$7)),C357),2)</f>
      </c>
      <c r="N357" s="33">
        <f>ROUND(MIN(MAX(0,N('Your debts'!$E$8)),D357),2)</f>
      </c>
      <c r="O357" s="33">
        <f>ROUND(MIN(MAX(0,N('Your debts'!$E$9)),E357),2)</f>
      </c>
      <c r="P357" s="33">
        <f>ROUND(MIN(MAX(0,N('Your debts'!$E$10)),F357),2)</f>
      </c>
      <c r="Q357" s="33">
        <f>ROUND(MIN(MAX(0,N('Your debts'!$E$11)),G357),2)</f>
      </c>
      <c r="R357" s="33">
        <f>ROUND(MIN(MAX(0,N('Your debts'!$E$12)),H357),2)</f>
      </c>
      <c r="S357" s="33">
        <f>ROUND(MIN(MAX(0,N('Your debts'!$E$13)),I357),2)</f>
      </c>
      <c r="T357" s="33">
        <f>ROUND(MIN(MAX(0,N('Your debts'!$E$14)),J357),2)</f>
      </c>
      <c r="U357" s="33">
        <f>ROUND(MIN(MAX(0,N('Your debts'!$E$15)),K357),2)</f>
      </c>
      <c r="V357" s="33">
        <f>ROUND(B357-L357,2)</f>
      </c>
      <c r="W357" s="33">
        <f>ROUND(C357-M357,2)</f>
      </c>
      <c r="X357" s="33">
        <f>ROUND(D357-N357,2)</f>
      </c>
      <c r="Y357" s="33">
        <f>ROUND(E357-O357,2)</f>
      </c>
      <c r="Z357" s="33">
        <f>ROUND(F357-P357,2)</f>
      </c>
      <c r="AA357" s="33">
        <f>ROUND(G357-Q357,2)</f>
      </c>
      <c r="AB357" s="33">
        <f>ROUND(H357-R357,2)</f>
      </c>
      <c r="AC357" s="33">
        <f>ROUND(I357-S357,2)</f>
      </c>
      <c r="AD357" s="33">
        <f>ROUND(J357-T357,2)</f>
      </c>
      <c r="AE357" s="33">
        <f>ROUND(K357-U357,2)</f>
      </c>
      <c r="AF357" s="33">
        <f>IF(V357&lt;=0,0,MAX(0,MIN(V357,ROUND($AZ357-SUMPRODUCT($V357:$AE357*($V357:$AE357&gt;0)*(($V$3:$AE$3&gt;V$3)+($V$3:$AE$3=V$3)*($V357:$AE357&lt;V357)+($V$3:$AE$3=V$3)*($V357:$AE357=V357)*($V$2:$AE$2&lt;V$2))),2))))</f>
      </c>
      <c r="AG357" s="33">
        <f>IF(W357&lt;=0,0,MAX(0,MIN(W357,ROUND($AZ357-SUMPRODUCT($V357:$AE357*($V357:$AE357&gt;0)*(($V$3:$AE$3&gt;W$3)+($V$3:$AE$3=W$3)*($V357:$AE357&lt;W357)+($V$3:$AE$3=W$3)*($V357:$AE357=W357)*($V$2:$AE$2&lt;W$2))),2))))</f>
      </c>
      <c r="AH357" s="33">
        <f>IF(X357&lt;=0,0,MAX(0,MIN(X357,ROUND($AZ357-SUMPRODUCT($V357:$AE357*($V357:$AE357&gt;0)*(($V$3:$AE$3&gt;X$3)+($V$3:$AE$3=X$3)*($V357:$AE357&lt;X357)+($V$3:$AE$3=X$3)*($V357:$AE357=X357)*($V$2:$AE$2&lt;X$2))),2))))</f>
      </c>
      <c r="AI357" s="33">
        <f>IF(Y357&lt;=0,0,MAX(0,MIN(Y357,ROUND($AZ357-SUMPRODUCT($V357:$AE357*($V357:$AE357&gt;0)*(($V$3:$AE$3&gt;Y$3)+($V$3:$AE$3=Y$3)*($V357:$AE357&lt;Y357)+($V$3:$AE$3=Y$3)*($V357:$AE357=Y357)*($V$2:$AE$2&lt;Y$2))),2))))</f>
      </c>
      <c r="AJ357" s="33">
        <f>IF(Z357&lt;=0,0,MAX(0,MIN(Z357,ROUND($AZ357-SUMPRODUCT($V357:$AE357*($V357:$AE357&gt;0)*(($V$3:$AE$3&gt;Z$3)+($V$3:$AE$3=Z$3)*($V357:$AE357&lt;Z357)+($V$3:$AE$3=Z$3)*($V357:$AE357=Z357)*($V$2:$AE$2&lt;Z$2))),2))))</f>
      </c>
      <c r="AK357" s="33">
        <f>IF(AA357&lt;=0,0,MAX(0,MIN(AA357,ROUND($AZ357-SUMPRODUCT($V357:$AE357*($V357:$AE357&gt;0)*(($V$3:$AE$3&gt;AA$3)+($V$3:$AE$3=AA$3)*($V357:$AE357&lt;AA357)+($V$3:$AE$3=AA$3)*($V357:$AE357=AA357)*($V$2:$AE$2&lt;AA$2))),2))))</f>
      </c>
      <c r="AL357" s="33">
        <f>IF(AB357&lt;=0,0,MAX(0,MIN(AB357,ROUND($AZ357-SUMPRODUCT($V357:$AE357*($V357:$AE357&gt;0)*(($V$3:$AE$3&gt;AB$3)+($V$3:$AE$3=AB$3)*($V357:$AE357&lt;AB357)+($V$3:$AE$3=AB$3)*($V357:$AE357=AB357)*($V$2:$AE$2&lt;AB$2))),2))))</f>
      </c>
      <c r="AM357" s="33">
        <f>IF(AC357&lt;=0,0,MAX(0,MIN(AC357,ROUND($AZ357-SUMPRODUCT($V357:$AE357*($V357:$AE357&gt;0)*(($V$3:$AE$3&gt;AC$3)+($V$3:$AE$3=AC$3)*($V357:$AE357&lt;AC357)+($V$3:$AE$3=AC$3)*($V357:$AE357=AC357)*($V$2:$AE$2&lt;AC$2))),2))))</f>
      </c>
      <c r="AN357" s="33">
        <f>IF(AD357&lt;=0,0,MAX(0,MIN(AD357,ROUND($AZ357-SUMPRODUCT($V357:$AE357*($V357:$AE357&gt;0)*(($V$3:$AE$3&gt;AD$3)+($V$3:$AE$3=AD$3)*($V357:$AE357&lt;AD357)+($V$3:$AE$3=AD$3)*($V357:$AE357=AD357)*($V$2:$AE$2&lt;AD$2))),2))))</f>
      </c>
      <c r="AO357" s="33">
        <f>IF(AE357&lt;=0,0,MAX(0,MIN(AE357,ROUND($AZ357-SUMPRODUCT($V357:$AE357*($V357:$AE357&gt;0)*(($V$3:$AE$3&gt;AE$3)+($V$3:$AE$3=AE$3)*($V357:$AE357&lt;AE357)+($V$3:$AE$3=AE$3)*($V357:$AE357=AE357)*($V$2:$AE$2&lt;AE$2))),2))))</f>
      </c>
      <c r="AP357" s="33">
        <f>ROUND(V357-AF357,2)</f>
      </c>
      <c r="AQ357" s="33">
        <f>ROUND(W357-AG357,2)</f>
      </c>
      <c r="AR357" s="33">
        <f>ROUND(X357-AH357,2)</f>
      </c>
      <c r="AS357" s="33">
        <f>ROUND(Y357-AI357,2)</f>
      </c>
      <c r="AT357" s="33">
        <f>ROUND(Z357-AJ357,2)</f>
      </c>
      <c r="AU357" s="33">
        <f>ROUND(AA357-AK357,2)</f>
      </c>
      <c r="AV357" s="33">
        <f>ROUND(AB357-AL357,2)</f>
      </c>
      <c r="AW357" s="33">
        <f>ROUND(AC357-AM357,2)</f>
      </c>
      <c r="AX357" s="33">
        <f>ROUND(AD357-AN357,2)</f>
      </c>
      <c r="AY357" s="33">
        <f>ROUND(AE357-AO357,2)</f>
      </c>
      <c r="AZ357" s="33">
        <f>ROUND(MAX(0,'Your debts'!$D$22-SUM($L357:$U357)),2)</f>
      </c>
      <c r="BA357" s="33">
        <f>ROUND(SUM($B357:$K357)-SUM($AP356:$AY356),2)</f>
      </c>
      <c r="BB357" s="33">
        <f>SUM($AP357:$AY357)</f>
      </c>
      <c r="BC357" s="33">
        <f>ROUND(SUM($L357:$U357)+SUM($AF357:$AO357),2)</f>
      </c>
    </row>
    <row r="358" spans="1:55" x14ac:dyDescent="0.25">
      <c r="A358">
        <v>351</v>
      </c>
      <c r="B358" s="33">
        <f>IF(AP357&lt;=0,0,ROUND(AP357+ROUND(AP357*V$3/12,2),2))</f>
      </c>
      <c r="C358" s="33">
        <f>IF(AQ357&lt;=0,0,ROUND(AQ357+ROUND(AQ357*W$3/12,2),2))</f>
      </c>
      <c r="D358" s="33">
        <f>IF(AR357&lt;=0,0,ROUND(AR357+ROUND(AR357*X$3/12,2),2))</f>
      </c>
      <c r="E358" s="33">
        <f>IF(AS357&lt;=0,0,ROUND(AS357+ROUND(AS357*Y$3/12,2),2))</f>
      </c>
      <c r="F358" s="33">
        <f>IF(AT357&lt;=0,0,ROUND(AT357+ROUND(AT357*Z$3/12,2),2))</f>
      </c>
      <c r="G358" s="33">
        <f>IF(AU357&lt;=0,0,ROUND(AU357+ROUND(AU357*AA$3/12,2),2))</f>
      </c>
      <c r="H358" s="33">
        <f>IF(AV357&lt;=0,0,ROUND(AV357+ROUND(AV357*AB$3/12,2),2))</f>
      </c>
      <c r="I358" s="33">
        <f>IF(AW357&lt;=0,0,ROUND(AW357+ROUND(AW357*AC$3/12,2),2))</f>
      </c>
      <c r="J358" s="33">
        <f>IF(AX357&lt;=0,0,ROUND(AX357+ROUND(AX357*AD$3/12,2),2))</f>
      </c>
      <c r="K358" s="33">
        <f>IF(AY357&lt;=0,0,ROUND(AY357+ROUND(AY357*AE$3/12,2),2))</f>
      </c>
      <c r="L358" s="33">
        <f>ROUND(MIN(MAX(0,N('Your debts'!$E$6)),B358),2)</f>
      </c>
      <c r="M358" s="33">
        <f>ROUND(MIN(MAX(0,N('Your debts'!$E$7)),C358),2)</f>
      </c>
      <c r="N358" s="33">
        <f>ROUND(MIN(MAX(0,N('Your debts'!$E$8)),D358),2)</f>
      </c>
      <c r="O358" s="33">
        <f>ROUND(MIN(MAX(0,N('Your debts'!$E$9)),E358),2)</f>
      </c>
      <c r="P358" s="33">
        <f>ROUND(MIN(MAX(0,N('Your debts'!$E$10)),F358),2)</f>
      </c>
      <c r="Q358" s="33">
        <f>ROUND(MIN(MAX(0,N('Your debts'!$E$11)),G358),2)</f>
      </c>
      <c r="R358" s="33">
        <f>ROUND(MIN(MAX(0,N('Your debts'!$E$12)),H358),2)</f>
      </c>
      <c r="S358" s="33">
        <f>ROUND(MIN(MAX(0,N('Your debts'!$E$13)),I358),2)</f>
      </c>
      <c r="T358" s="33">
        <f>ROUND(MIN(MAX(0,N('Your debts'!$E$14)),J358),2)</f>
      </c>
      <c r="U358" s="33">
        <f>ROUND(MIN(MAX(0,N('Your debts'!$E$15)),K358),2)</f>
      </c>
      <c r="V358" s="33">
        <f>ROUND(B358-L358,2)</f>
      </c>
      <c r="W358" s="33">
        <f>ROUND(C358-M358,2)</f>
      </c>
      <c r="X358" s="33">
        <f>ROUND(D358-N358,2)</f>
      </c>
      <c r="Y358" s="33">
        <f>ROUND(E358-O358,2)</f>
      </c>
      <c r="Z358" s="33">
        <f>ROUND(F358-P358,2)</f>
      </c>
      <c r="AA358" s="33">
        <f>ROUND(G358-Q358,2)</f>
      </c>
      <c r="AB358" s="33">
        <f>ROUND(H358-R358,2)</f>
      </c>
      <c r="AC358" s="33">
        <f>ROUND(I358-S358,2)</f>
      </c>
      <c r="AD358" s="33">
        <f>ROUND(J358-T358,2)</f>
      </c>
      <c r="AE358" s="33">
        <f>ROUND(K358-U358,2)</f>
      </c>
      <c r="AF358" s="33">
        <f>IF(V358&lt;=0,0,MAX(0,MIN(V358,ROUND($AZ358-SUMPRODUCT($V358:$AE358*($V358:$AE358&gt;0)*(($V$3:$AE$3&gt;V$3)+($V$3:$AE$3=V$3)*($V358:$AE358&lt;V358)+($V$3:$AE$3=V$3)*($V358:$AE358=V358)*($V$2:$AE$2&lt;V$2))),2))))</f>
      </c>
      <c r="AG358" s="33">
        <f>IF(W358&lt;=0,0,MAX(0,MIN(W358,ROUND($AZ358-SUMPRODUCT($V358:$AE358*($V358:$AE358&gt;0)*(($V$3:$AE$3&gt;W$3)+($V$3:$AE$3=W$3)*($V358:$AE358&lt;W358)+($V$3:$AE$3=W$3)*($V358:$AE358=W358)*($V$2:$AE$2&lt;W$2))),2))))</f>
      </c>
      <c r="AH358" s="33">
        <f>IF(X358&lt;=0,0,MAX(0,MIN(X358,ROUND($AZ358-SUMPRODUCT($V358:$AE358*($V358:$AE358&gt;0)*(($V$3:$AE$3&gt;X$3)+($V$3:$AE$3=X$3)*($V358:$AE358&lt;X358)+($V$3:$AE$3=X$3)*($V358:$AE358=X358)*($V$2:$AE$2&lt;X$2))),2))))</f>
      </c>
      <c r="AI358" s="33">
        <f>IF(Y358&lt;=0,0,MAX(0,MIN(Y358,ROUND($AZ358-SUMPRODUCT($V358:$AE358*($V358:$AE358&gt;0)*(($V$3:$AE$3&gt;Y$3)+($V$3:$AE$3=Y$3)*($V358:$AE358&lt;Y358)+($V$3:$AE$3=Y$3)*($V358:$AE358=Y358)*($V$2:$AE$2&lt;Y$2))),2))))</f>
      </c>
      <c r="AJ358" s="33">
        <f>IF(Z358&lt;=0,0,MAX(0,MIN(Z358,ROUND($AZ358-SUMPRODUCT($V358:$AE358*($V358:$AE358&gt;0)*(($V$3:$AE$3&gt;Z$3)+($V$3:$AE$3=Z$3)*($V358:$AE358&lt;Z358)+($V$3:$AE$3=Z$3)*($V358:$AE358=Z358)*($V$2:$AE$2&lt;Z$2))),2))))</f>
      </c>
      <c r="AK358" s="33">
        <f>IF(AA358&lt;=0,0,MAX(0,MIN(AA358,ROUND($AZ358-SUMPRODUCT($V358:$AE358*($V358:$AE358&gt;0)*(($V$3:$AE$3&gt;AA$3)+($V$3:$AE$3=AA$3)*($V358:$AE358&lt;AA358)+($V$3:$AE$3=AA$3)*($V358:$AE358=AA358)*($V$2:$AE$2&lt;AA$2))),2))))</f>
      </c>
      <c r="AL358" s="33">
        <f>IF(AB358&lt;=0,0,MAX(0,MIN(AB358,ROUND($AZ358-SUMPRODUCT($V358:$AE358*($V358:$AE358&gt;0)*(($V$3:$AE$3&gt;AB$3)+($V$3:$AE$3=AB$3)*($V358:$AE358&lt;AB358)+($V$3:$AE$3=AB$3)*($V358:$AE358=AB358)*($V$2:$AE$2&lt;AB$2))),2))))</f>
      </c>
      <c r="AM358" s="33">
        <f>IF(AC358&lt;=0,0,MAX(0,MIN(AC358,ROUND($AZ358-SUMPRODUCT($V358:$AE358*($V358:$AE358&gt;0)*(($V$3:$AE$3&gt;AC$3)+($V$3:$AE$3=AC$3)*($V358:$AE358&lt;AC358)+($V$3:$AE$3=AC$3)*($V358:$AE358=AC358)*($V$2:$AE$2&lt;AC$2))),2))))</f>
      </c>
      <c r="AN358" s="33">
        <f>IF(AD358&lt;=0,0,MAX(0,MIN(AD358,ROUND($AZ358-SUMPRODUCT($V358:$AE358*($V358:$AE358&gt;0)*(($V$3:$AE$3&gt;AD$3)+($V$3:$AE$3=AD$3)*($V358:$AE358&lt;AD358)+($V$3:$AE$3=AD$3)*($V358:$AE358=AD358)*($V$2:$AE$2&lt;AD$2))),2))))</f>
      </c>
      <c r="AO358" s="33">
        <f>IF(AE358&lt;=0,0,MAX(0,MIN(AE358,ROUND($AZ358-SUMPRODUCT($V358:$AE358*($V358:$AE358&gt;0)*(($V$3:$AE$3&gt;AE$3)+($V$3:$AE$3=AE$3)*($V358:$AE358&lt;AE358)+($V$3:$AE$3=AE$3)*($V358:$AE358=AE358)*($V$2:$AE$2&lt;AE$2))),2))))</f>
      </c>
      <c r="AP358" s="33">
        <f>ROUND(V358-AF358,2)</f>
      </c>
      <c r="AQ358" s="33">
        <f>ROUND(W358-AG358,2)</f>
      </c>
      <c r="AR358" s="33">
        <f>ROUND(X358-AH358,2)</f>
      </c>
      <c r="AS358" s="33">
        <f>ROUND(Y358-AI358,2)</f>
      </c>
      <c r="AT358" s="33">
        <f>ROUND(Z358-AJ358,2)</f>
      </c>
      <c r="AU358" s="33">
        <f>ROUND(AA358-AK358,2)</f>
      </c>
      <c r="AV358" s="33">
        <f>ROUND(AB358-AL358,2)</f>
      </c>
      <c r="AW358" s="33">
        <f>ROUND(AC358-AM358,2)</f>
      </c>
      <c r="AX358" s="33">
        <f>ROUND(AD358-AN358,2)</f>
      </c>
      <c r="AY358" s="33">
        <f>ROUND(AE358-AO358,2)</f>
      </c>
      <c r="AZ358" s="33">
        <f>ROUND(MAX(0,'Your debts'!$D$22-SUM($L358:$U358)),2)</f>
      </c>
      <c r="BA358" s="33">
        <f>ROUND(SUM($B358:$K358)-SUM($AP357:$AY357),2)</f>
      </c>
      <c r="BB358" s="33">
        <f>SUM($AP358:$AY358)</f>
      </c>
      <c r="BC358" s="33">
        <f>ROUND(SUM($L358:$U358)+SUM($AF358:$AO358),2)</f>
      </c>
    </row>
    <row r="359" spans="1:55" x14ac:dyDescent="0.25">
      <c r="A359">
        <v>352</v>
      </c>
      <c r="B359" s="33">
        <f>IF(AP358&lt;=0,0,ROUND(AP358+ROUND(AP358*V$3/12,2),2))</f>
      </c>
      <c r="C359" s="33">
        <f>IF(AQ358&lt;=0,0,ROUND(AQ358+ROUND(AQ358*W$3/12,2),2))</f>
      </c>
      <c r="D359" s="33">
        <f>IF(AR358&lt;=0,0,ROUND(AR358+ROUND(AR358*X$3/12,2),2))</f>
      </c>
      <c r="E359" s="33">
        <f>IF(AS358&lt;=0,0,ROUND(AS358+ROUND(AS358*Y$3/12,2),2))</f>
      </c>
      <c r="F359" s="33">
        <f>IF(AT358&lt;=0,0,ROUND(AT358+ROUND(AT358*Z$3/12,2),2))</f>
      </c>
      <c r="G359" s="33">
        <f>IF(AU358&lt;=0,0,ROUND(AU358+ROUND(AU358*AA$3/12,2),2))</f>
      </c>
      <c r="H359" s="33">
        <f>IF(AV358&lt;=0,0,ROUND(AV358+ROUND(AV358*AB$3/12,2),2))</f>
      </c>
      <c r="I359" s="33">
        <f>IF(AW358&lt;=0,0,ROUND(AW358+ROUND(AW358*AC$3/12,2),2))</f>
      </c>
      <c r="J359" s="33">
        <f>IF(AX358&lt;=0,0,ROUND(AX358+ROUND(AX358*AD$3/12,2),2))</f>
      </c>
      <c r="K359" s="33">
        <f>IF(AY358&lt;=0,0,ROUND(AY358+ROUND(AY358*AE$3/12,2),2))</f>
      </c>
      <c r="L359" s="33">
        <f>ROUND(MIN(MAX(0,N('Your debts'!$E$6)),B359),2)</f>
      </c>
      <c r="M359" s="33">
        <f>ROUND(MIN(MAX(0,N('Your debts'!$E$7)),C359),2)</f>
      </c>
      <c r="N359" s="33">
        <f>ROUND(MIN(MAX(0,N('Your debts'!$E$8)),D359),2)</f>
      </c>
      <c r="O359" s="33">
        <f>ROUND(MIN(MAX(0,N('Your debts'!$E$9)),E359),2)</f>
      </c>
      <c r="P359" s="33">
        <f>ROUND(MIN(MAX(0,N('Your debts'!$E$10)),F359),2)</f>
      </c>
      <c r="Q359" s="33">
        <f>ROUND(MIN(MAX(0,N('Your debts'!$E$11)),G359),2)</f>
      </c>
      <c r="R359" s="33">
        <f>ROUND(MIN(MAX(0,N('Your debts'!$E$12)),H359),2)</f>
      </c>
      <c r="S359" s="33">
        <f>ROUND(MIN(MAX(0,N('Your debts'!$E$13)),I359),2)</f>
      </c>
      <c r="T359" s="33">
        <f>ROUND(MIN(MAX(0,N('Your debts'!$E$14)),J359),2)</f>
      </c>
      <c r="U359" s="33">
        <f>ROUND(MIN(MAX(0,N('Your debts'!$E$15)),K359),2)</f>
      </c>
      <c r="V359" s="33">
        <f>ROUND(B359-L359,2)</f>
      </c>
      <c r="W359" s="33">
        <f>ROUND(C359-M359,2)</f>
      </c>
      <c r="X359" s="33">
        <f>ROUND(D359-N359,2)</f>
      </c>
      <c r="Y359" s="33">
        <f>ROUND(E359-O359,2)</f>
      </c>
      <c r="Z359" s="33">
        <f>ROUND(F359-P359,2)</f>
      </c>
      <c r="AA359" s="33">
        <f>ROUND(G359-Q359,2)</f>
      </c>
      <c r="AB359" s="33">
        <f>ROUND(H359-R359,2)</f>
      </c>
      <c r="AC359" s="33">
        <f>ROUND(I359-S359,2)</f>
      </c>
      <c r="AD359" s="33">
        <f>ROUND(J359-T359,2)</f>
      </c>
      <c r="AE359" s="33">
        <f>ROUND(K359-U359,2)</f>
      </c>
      <c r="AF359" s="33">
        <f>IF(V359&lt;=0,0,MAX(0,MIN(V359,ROUND($AZ359-SUMPRODUCT($V359:$AE359*($V359:$AE359&gt;0)*(($V$3:$AE$3&gt;V$3)+($V$3:$AE$3=V$3)*($V359:$AE359&lt;V359)+($V$3:$AE$3=V$3)*($V359:$AE359=V359)*($V$2:$AE$2&lt;V$2))),2))))</f>
      </c>
      <c r="AG359" s="33">
        <f>IF(W359&lt;=0,0,MAX(0,MIN(W359,ROUND($AZ359-SUMPRODUCT($V359:$AE359*($V359:$AE359&gt;0)*(($V$3:$AE$3&gt;W$3)+($V$3:$AE$3=W$3)*($V359:$AE359&lt;W359)+($V$3:$AE$3=W$3)*($V359:$AE359=W359)*($V$2:$AE$2&lt;W$2))),2))))</f>
      </c>
      <c r="AH359" s="33">
        <f>IF(X359&lt;=0,0,MAX(0,MIN(X359,ROUND($AZ359-SUMPRODUCT($V359:$AE359*($V359:$AE359&gt;0)*(($V$3:$AE$3&gt;X$3)+($V$3:$AE$3=X$3)*($V359:$AE359&lt;X359)+($V$3:$AE$3=X$3)*($V359:$AE359=X359)*($V$2:$AE$2&lt;X$2))),2))))</f>
      </c>
      <c r="AI359" s="33">
        <f>IF(Y359&lt;=0,0,MAX(0,MIN(Y359,ROUND($AZ359-SUMPRODUCT($V359:$AE359*($V359:$AE359&gt;0)*(($V$3:$AE$3&gt;Y$3)+($V$3:$AE$3=Y$3)*($V359:$AE359&lt;Y359)+($V$3:$AE$3=Y$3)*($V359:$AE359=Y359)*($V$2:$AE$2&lt;Y$2))),2))))</f>
      </c>
      <c r="AJ359" s="33">
        <f>IF(Z359&lt;=0,0,MAX(0,MIN(Z359,ROUND($AZ359-SUMPRODUCT($V359:$AE359*($V359:$AE359&gt;0)*(($V$3:$AE$3&gt;Z$3)+($V$3:$AE$3=Z$3)*($V359:$AE359&lt;Z359)+($V$3:$AE$3=Z$3)*($V359:$AE359=Z359)*($V$2:$AE$2&lt;Z$2))),2))))</f>
      </c>
      <c r="AK359" s="33">
        <f>IF(AA359&lt;=0,0,MAX(0,MIN(AA359,ROUND($AZ359-SUMPRODUCT($V359:$AE359*($V359:$AE359&gt;0)*(($V$3:$AE$3&gt;AA$3)+($V$3:$AE$3=AA$3)*($V359:$AE359&lt;AA359)+($V$3:$AE$3=AA$3)*($V359:$AE359=AA359)*($V$2:$AE$2&lt;AA$2))),2))))</f>
      </c>
      <c r="AL359" s="33">
        <f>IF(AB359&lt;=0,0,MAX(0,MIN(AB359,ROUND($AZ359-SUMPRODUCT($V359:$AE359*($V359:$AE359&gt;0)*(($V$3:$AE$3&gt;AB$3)+($V$3:$AE$3=AB$3)*($V359:$AE359&lt;AB359)+($V$3:$AE$3=AB$3)*($V359:$AE359=AB359)*($V$2:$AE$2&lt;AB$2))),2))))</f>
      </c>
      <c r="AM359" s="33">
        <f>IF(AC359&lt;=0,0,MAX(0,MIN(AC359,ROUND($AZ359-SUMPRODUCT($V359:$AE359*($V359:$AE359&gt;0)*(($V$3:$AE$3&gt;AC$3)+($V$3:$AE$3=AC$3)*($V359:$AE359&lt;AC359)+($V$3:$AE$3=AC$3)*($V359:$AE359=AC359)*($V$2:$AE$2&lt;AC$2))),2))))</f>
      </c>
      <c r="AN359" s="33">
        <f>IF(AD359&lt;=0,0,MAX(0,MIN(AD359,ROUND($AZ359-SUMPRODUCT($V359:$AE359*($V359:$AE359&gt;0)*(($V$3:$AE$3&gt;AD$3)+($V$3:$AE$3=AD$3)*($V359:$AE359&lt;AD359)+($V$3:$AE$3=AD$3)*($V359:$AE359=AD359)*($V$2:$AE$2&lt;AD$2))),2))))</f>
      </c>
      <c r="AO359" s="33">
        <f>IF(AE359&lt;=0,0,MAX(0,MIN(AE359,ROUND($AZ359-SUMPRODUCT($V359:$AE359*($V359:$AE359&gt;0)*(($V$3:$AE$3&gt;AE$3)+($V$3:$AE$3=AE$3)*($V359:$AE359&lt;AE359)+($V$3:$AE$3=AE$3)*($V359:$AE359=AE359)*($V$2:$AE$2&lt;AE$2))),2))))</f>
      </c>
      <c r="AP359" s="33">
        <f>ROUND(V359-AF359,2)</f>
      </c>
      <c r="AQ359" s="33">
        <f>ROUND(W359-AG359,2)</f>
      </c>
      <c r="AR359" s="33">
        <f>ROUND(X359-AH359,2)</f>
      </c>
      <c r="AS359" s="33">
        <f>ROUND(Y359-AI359,2)</f>
      </c>
      <c r="AT359" s="33">
        <f>ROUND(Z359-AJ359,2)</f>
      </c>
      <c r="AU359" s="33">
        <f>ROUND(AA359-AK359,2)</f>
      </c>
      <c r="AV359" s="33">
        <f>ROUND(AB359-AL359,2)</f>
      </c>
      <c r="AW359" s="33">
        <f>ROUND(AC359-AM359,2)</f>
      </c>
      <c r="AX359" s="33">
        <f>ROUND(AD359-AN359,2)</f>
      </c>
      <c r="AY359" s="33">
        <f>ROUND(AE359-AO359,2)</f>
      </c>
      <c r="AZ359" s="33">
        <f>ROUND(MAX(0,'Your debts'!$D$22-SUM($L359:$U359)),2)</f>
      </c>
      <c r="BA359" s="33">
        <f>ROUND(SUM($B359:$K359)-SUM($AP358:$AY358),2)</f>
      </c>
      <c r="BB359" s="33">
        <f>SUM($AP359:$AY359)</f>
      </c>
      <c r="BC359" s="33">
        <f>ROUND(SUM($L359:$U359)+SUM($AF359:$AO359),2)</f>
      </c>
    </row>
    <row r="360" spans="1:55" x14ac:dyDescent="0.25">
      <c r="A360">
        <v>353</v>
      </c>
      <c r="B360" s="33">
        <f>IF(AP359&lt;=0,0,ROUND(AP359+ROUND(AP359*V$3/12,2),2))</f>
      </c>
      <c r="C360" s="33">
        <f>IF(AQ359&lt;=0,0,ROUND(AQ359+ROUND(AQ359*W$3/12,2),2))</f>
      </c>
      <c r="D360" s="33">
        <f>IF(AR359&lt;=0,0,ROUND(AR359+ROUND(AR359*X$3/12,2),2))</f>
      </c>
      <c r="E360" s="33">
        <f>IF(AS359&lt;=0,0,ROUND(AS359+ROUND(AS359*Y$3/12,2),2))</f>
      </c>
      <c r="F360" s="33">
        <f>IF(AT359&lt;=0,0,ROUND(AT359+ROUND(AT359*Z$3/12,2),2))</f>
      </c>
      <c r="G360" s="33">
        <f>IF(AU359&lt;=0,0,ROUND(AU359+ROUND(AU359*AA$3/12,2),2))</f>
      </c>
      <c r="H360" s="33">
        <f>IF(AV359&lt;=0,0,ROUND(AV359+ROUND(AV359*AB$3/12,2),2))</f>
      </c>
      <c r="I360" s="33">
        <f>IF(AW359&lt;=0,0,ROUND(AW359+ROUND(AW359*AC$3/12,2),2))</f>
      </c>
      <c r="J360" s="33">
        <f>IF(AX359&lt;=0,0,ROUND(AX359+ROUND(AX359*AD$3/12,2),2))</f>
      </c>
      <c r="K360" s="33">
        <f>IF(AY359&lt;=0,0,ROUND(AY359+ROUND(AY359*AE$3/12,2),2))</f>
      </c>
      <c r="L360" s="33">
        <f>ROUND(MIN(MAX(0,N('Your debts'!$E$6)),B360),2)</f>
      </c>
      <c r="M360" s="33">
        <f>ROUND(MIN(MAX(0,N('Your debts'!$E$7)),C360),2)</f>
      </c>
      <c r="N360" s="33">
        <f>ROUND(MIN(MAX(0,N('Your debts'!$E$8)),D360),2)</f>
      </c>
      <c r="O360" s="33">
        <f>ROUND(MIN(MAX(0,N('Your debts'!$E$9)),E360),2)</f>
      </c>
      <c r="P360" s="33">
        <f>ROUND(MIN(MAX(0,N('Your debts'!$E$10)),F360),2)</f>
      </c>
      <c r="Q360" s="33">
        <f>ROUND(MIN(MAX(0,N('Your debts'!$E$11)),G360),2)</f>
      </c>
      <c r="R360" s="33">
        <f>ROUND(MIN(MAX(0,N('Your debts'!$E$12)),H360),2)</f>
      </c>
      <c r="S360" s="33">
        <f>ROUND(MIN(MAX(0,N('Your debts'!$E$13)),I360),2)</f>
      </c>
      <c r="T360" s="33">
        <f>ROUND(MIN(MAX(0,N('Your debts'!$E$14)),J360),2)</f>
      </c>
      <c r="U360" s="33">
        <f>ROUND(MIN(MAX(0,N('Your debts'!$E$15)),K360),2)</f>
      </c>
      <c r="V360" s="33">
        <f>ROUND(B360-L360,2)</f>
      </c>
      <c r="W360" s="33">
        <f>ROUND(C360-M360,2)</f>
      </c>
      <c r="X360" s="33">
        <f>ROUND(D360-N360,2)</f>
      </c>
      <c r="Y360" s="33">
        <f>ROUND(E360-O360,2)</f>
      </c>
      <c r="Z360" s="33">
        <f>ROUND(F360-P360,2)</f>
      </c>
      <c r="AA360" s="33">
        <f>ROUND(G360-Q360,2)</f>
      </c>
      <c r="AB360" s="33">
        <f>ROUND(H360-R360,2)</f>
      </c>
      <c r="AC360" s="33">
        <f>ROUND(I360-S360,2)</f>
      </c>
      <c r="AD360" s="33">
        <f>ROUND(J360-T360,2)</f>
      </c>
      <c r="AE360" s="33">
        <f>ROUND(K360-U360,2)</f>
      </c>
      <c r="AF360" s="33">
        <f>IF(V360&lt;=0,0,MAX(0,MIN(V360,ROUND($AZ360-SUMPRODUCT($V360:$AE360*($V360:$AE360&gt;0)*(($V$3:$AE$3&gt;V$3)+($V$3:$AE$3=V$3)*($V360:$AE360&lt;V360)+($V$3:$AE$3=V$3)*($V360:$AE360=V360)*($V$2:$AE$2&lt;V$2))),2))))</f>
      </c>
      <c r="AG360" s="33">
        <f>IF(W360&lt;=0,0,MAX(0,MIN(W360,ROUND($AZ360-SUMPRODUCT($V360:$AE360*($V360:$AE360&gt;0)*(($V$3:$AE$3&gt;W$3)+($V$3:$AE$3=W$3)*($V360:$AE360&lt;W360)+($V$3:$AE$3=W$3)*($V360:$AE360=W360)*($V$2:$AE$2&lt;W$2))),2))))</f>
      </c>
      <c r="AH360" s="33">
        <f>IF(X360&lt;=0,0,MAX(0,MIN(X360,ROUND($AZ360-SUMPRODUCT($V360:$AE360*($V360:$AE360&gt;0)*(($V$3:$AE$3&gt;X$3)+($V$3:$AE$3=X$3)*($V360:$AE360&lt;X360)+($V$3:$AE$3=X$3)*($V360:$AE360=X360)*($V$2:$AE$2&lt;X$2))),2))))</f>
      </c>
      <c r="AI360" s="33">
        <f>IF(Y360&lt;=0,0,MAX(0,MIN(Y360,ROUND($AZ360-SUMPRODUCT($V360:$AE360*($V360:$AE360&gt;0)*(($V$3:$AE$3&gt;Y$3)+($V$3:$AE$3=Y$3)*($V360:$AE360&lt;Y360)+($V$3:$AE$3=Y$3)*($V360:$AE360=Y360)*($V$2:$AE$2&lt;Y$2))),2))))</f>
      </c>
      <c r="AJ360" s="33">
        <f>IF(Z360&lt;=0,0,MAX(0,MIN(Z360,ROUND($AZ360-SUMPRODUCT($V360:$AE360*($V360:$AE360&gt;0)*(($V$3:$AE$3&gt;Z$3)+($V$3:$AE$3=Z$3)*($V360:$AE360&lt;Z360)+($V$3:$AE$3=Z$3)*($V360:$AE360=Z360)*($V$2:$AE$2&lt;Z$2))),2))))</f>
      </c>
      <c r="AK360" s="33">
        <f>IF(AA360&lt;=0,0,MAX(0,MIN(AA360,ROUND($AZ360-SUMPRODUCT($V360:$AE360*($V360:$AE360&gt;0)*(($V$3:$AE$3&gt;AA$3)+($V$3:$AE$3=AA$3)*($V360:$AE360&lt;AA360)+($V$3:$AE$3=AA$3)*($V360:$AE360=AA360)*($V$2:$AE$2&lt;AA$2))),2))))</f>
      </c>
      <c r="AL360" s="33">
        <f>IF(AB360&lt;=0,0,MAX(0,MIN(AB360,ROUND($AZ360-SUMPRODUCT($V360:$AE360*($V360:$AE360&gt;0)*(($V$3:$AE$3&gt;AB$3)+($V$3:$AE$3=AB$3)*($V360:$AE360&lt;AB360)+($V$3:$AE$3=AB$3)*($V360:$AE360=AB360)*($V$2:$AE$2&lt;AB$2))),2))))</f>
      </c>
      <c r="AM360" s="33">
        <f>IF(AC360&lt;=0,0,MAX(0,MIN(AC360,ROUND($AZ360-SUMPRODUCT($V360:$AE360*($V360:$AE360&gt;0)*(($V$3:$AE$3&gt;AC$3)+($V$3:$AE$3=AC$3)*($V360:$AE360&lt;AC360)+($V$3:$AE$3=AC$3)*($V360:$AE360=AC360)*($V$2:$AE$2&lt;AC$2))),2))))</f>
      </c>
      <c r="AN360" s="33">
        <f>IF(AD360&lt;=0,0,MAX(0,MIN(AD360,ROUND($AZ360-SUMPRODUCT($V360:$AE360*($V360:$AE360&gt;0)*(($V$3:$AE$3&gt;AD$3)+($V$3:$AE$3=AD$3)*($V360:$AE360&lt;AD360)+($V$3:$AE$3=AD$3)*($V360:$AE360=AD360)*($V$2:$AE$2&lt;AD$2))),2))))</f>
      </c>
      <c r="AO360" s="33">
        <f>IF(AE360&lt;=0,0,MAX(0,MIN(AE360,ROUND($AZ360-SUMPRODUCT($V360:$AE360*($V360:$AE360&gt;0)*(($V$3:$AE$3&gt;AE$3)+($V$3:$AE$3=AE$3)*($V360:$AE360&lt;AE360)+($V$3:$AE$3=AE$3)*($V360:$AE360=AE360)*($V$2:$AE$2&lt;AE$2))),2))))</f>
      </c>
      <c r="AP360" s="33">
        <f>ROUND(V360-AF360,2)</f>
      </c>
      <c r="AQ360" s="33">
        <f>ROUND(W360-AG360,2)</f>
      </c>
      <c r="AR360" s="33">
        <f>ROUND(X360-AH360,2)</f>
      </c>
      <c r="AS360" s="33">
        <f>ROUND(Y360-AI360,2)</f>
      </c>
      <c r="AT360" s="33">
        <f>ROUND(Z360-AJ360,2)</f>
      </c>
      <c r="AU360" s="33">
        <f>ROUND(AA360-AK360,2)</f>
      </c>
      <c r="AV360" s="33">
        <f>ROUND(AB360-AL360,2)</f>
      </c>
      <c r="AW360" s="33">
        <f>ROUND(AC360-AM360,2)</f>
      </c>
      <c r="AX360" s="33">
        <f>ROUND(AD360-AN360,2)</f>
      </c>
      <c r="AY360" s="33">
        <f>ROUND(AE360-AO360,2)</f>
      </c>
      <c r="AZ360" s="33">
        <f>ROUND(MAX(0,'Your debts'!$D$22-SUM($L360:$U360)),2)</f>
      </c>
      <c r="BA360" s="33">
        <f>ROUND(SUM($B360:$K360)-SUM($AP359:$AY359),2)</f>
      </c>
      <c r="BB360" s="33">
        <f>SUM($AP360:$AY360)</f>
      </c>
      <c r="BC360" s="33">
        <f>ROUND(SUM($L360:$U360)+SUM($AF360:$AO360),2)</f>
      </c>
    </row>
    <row r="361" spans="1:55" x14ac:dyDescent="0.25">
      <c r="A361">
        <v>354</v>
      </c>
      <c r="B361" s="33">
        <f>IF(AP360&lt;=0,0,ROUND(AP360+ROUND(AP360*V$3/12,2),2))</f>
      </c>
      <c r="C361" s="33">
        <f>IF(AQ360&lt;=0,0,ROUND(AQ360+ROUND(AQ360*W$3/12,2),2))</f>
      </c>
      <c r="D361" s="33">
        <f>IF(AR360&lt;=0,0,ROUND(AR360+ROUND(AR360*X$3/12,2),2))</f>
      </c>
      <c r="E361" s="33">
        <f>IF(AS360&lt;=0,0,ROUND(AS360+ROUND(AS360*Y$3/12,2),2))</f>
      </c>
      <c r="F361" s="33">
        <f>IF(AT360&lt;=0,0,ROUND(AT360+ROUND(AT360*Z$3/12,2),2))</f>
      </c>
      <c r="G361" s="33">
        <f>IF(AU360&lt;=0,0,ROUND(AU360+ROUND(AU360*AA$3/12,2),2))</f>
      </c>
      <c r="H361" s="33">
        <f>IF(AV360&lt;=0,0,ROUND(AV360+ROUND(AV360*AB$3/12,2),2))</f>
      </c>
      <c r="I361" s="33">
        <f>IF(AW360&lt;=0,0,ROUND(AW360+ROUND(AW360*AC$3/12,2),2))</f>
      </c>
      <c r="J361" s="33">
        <f>IF(AX360&lt;=0,0,ROUND(AX360+ROUND(AX360*AD$3/12,2),2))</f>
      </c>
      <c r="K361" s="33">
        <f>IF(AY360&lt;=0,0,ROUND(AY360+ROUND(AY360*AE$3/12,2),2))</f>
      </c>
      <c r="L361" s="33">
        <f>ROUND(MIN(MAX(0,N('Your debts'!$E$6)),B361),2)</f>
      </c>
      <c r="M361" s="33">
        <f>ROUND(MIN(MAX(0,N('Your debts'!$E$7)),C361),2)</f>
      </c>
      <c r="N361" s="33">
        <f>ROUND(MIN(MAX(0,N('Your debts'!$E$8)),D361),2)</f>
      </c>
      <c r="O361" s="33">
        <f>ROUND(MIN(MAX(0,N('Your debts'!$E$9)),E361),2)</f>
      </c>
      <c r="P361" s="33">
        <f>ROUND(MIN(MAX(0,N('Your debts'!$E$10)),F361),2)</f>
      </c>
      <c r="Q361" s="33">
        <f>ROUND(MIN(MAX(0,N('Your debts'!$E$11)),G361),2)</f>
      </c>
      <c r="R361" s="33">
        <f>ROUND(MIN(MAX(0,N('Your debts'!$E$12)),H361),2)</f>
      </c>
      <c r="S361" s="33">
        <f>ROUND(MIN(MAX(0,N('Your debts'!$E$13)),I361),2)</f>
      </c>
      <c r="T361" s="33">
        <f>ROUND(MIN(MAX(0,N('Your debts'!$E$14)),J361),2)</f>
      </c>
      <c r="U361" s="33">
        <f>ROUND(MIN(MAX(0,N('Your debts'!$E$15)),K361),2)</f>
      </c>
      <c r="V361" s="33">
        <f>ROUND(B361-L361,2)</f>
      </c>
      <c r="W361" s="33">
        <f>ROUND(C361-M361,2)</f>
      </c>
      <c r="X361" s="33">
        <f>ROUND(D361-N361,2)</f>
      </c>
      <c r="Y361" s="33">
        <f>ROUND(E361-O361,2)</f>
      </c>
      <c r="Z361" s="33">
        <f>ROUND(F361-P361,2)</f>
      </c>
      <c r="AA361" s="33">
        <f>ROUND(G361-Q361,2)</f>
      </c>
      <c r="AB361" s="33">
        <f>ROUND(H361-R361,2)</f>
      </c>
      <c r="AC361" s="33">
        <f>ROUND(I361-S361,2)</f>
      </c>
      <c r="AD361" s="33">
        <f>ROUND(J361-T361,2)</f>
      </c>
      <c r="AE361" s="33">
        <f>ROUND(K361-U361,2)</f>
      </c>
      <c r="AF361" s="33">
        <f>IF(V361&lt;=0,0,MAX(0,MIN(V361,ROUND($AZ361-SUMPRODUCT($V361:$AE361*($V361:$AE361&gt;0)*(($V$3:$AE$3&gt;V$3)+($V$3:$AE$3=V$3)*($V361:$AE361&lt;V361)+($V$3:$AE$3=V$3)*($V361:$AE361=V361)*($V$2:$AE$2&lt;V$2))),2))))</f>
      </c>
      <c r="AG361" s="33">
        <f>IF(W361&lt;=0,0,MAX(0,MIN(W361,ROUND($AZ361-SUMPRODUCT($V361:$AE361*($V361:$AE361&gt;0)*(($V$3:$AE$3&gt;W$3)+($V$3:$AE$3=W$3)*($V361:$AE361&lt;W361)+($V$3:$AE$3=W$3)*($V361:$AE361=W361)*($V$2:$AE$2&lt;W$2))),2))))</f>
      </c>
      <c r="AH361" s="33">
        <f>IF(X361&lt;=0,0,MAX(0,MIN(X361,ROUND($AZ361-SUMPRODUCT($V361:$AE361*($V361:$AE361&gt;0)*(($V$3:$AE$3&gt;X$3)+($V$3:$AE$3=X$3)*($V361:$AE361&lt;X361)+($V$3:$AE$3=X$3)*($V361:$AE361=X361)*($V$2:$AE$2&lt;X$2))),2))))</f>
      </c>
      <c r="AI361" s="33">
        <f>IF(Y361&lt;=0,0,MAX(0,MIN(Y361,ROUND($AZ361-SUMPRODUCT($V361:$AE361*($V361:$AE361&gt;0)*(($V$3:$AE$3&gt;Y$3)+($V$3:$AE$3=Y$3)*($V361:$AE361&lt;Y361)+($V$3:$AE$3=Y$3)*($V361:$AE361=Y361)*($V$2:$AE$2&lt;Y$2))),2))))</f>
      </c>
      <c r="AJ361" s="33">
        <f>IF(Z361&lt;=0,0,MAX(0,MIN(Z361,ROUND($AZ361-SUMPRODUCT($V361:$AE361*($V361:$AE361&gt;0)*(($V$3:$AE$3&gt;Z$3)+($V$3:$AE$3=Z$3)*($V361:$AE361&lt;Z361)+($V$3:$AE$3=Z$3)*($V361:$AE361=Z361)*($V$2:$AE$2&lt;Z$2))),2))))</f>
      </c>
      <c r="AK361" s="33">
        <f>IF(AA361&lt;=0,0,MAX(0,MIN(AA361,ROUND($AZ361-SUMPRODUCT($V361:$AE361*($V361:$AE361&gt;0)*(($V$3:$AE$3&gt;AA$3)+($V$3:$AE$3=AA$3)*($V361:$AE361&lt;AA361)+($V$3:$AE$3=AA$3)*($V361:$AE361=AA361)*($V$2:$AE$2&lt;AA$2))),2))))</f>
      </c>
      <c r="AL361" s="33">
        <f>IF(AB361&lt;=0,0,MAX(0,MIN(AB361,ROUND($AZ361-SUMPRODUCT($V361:$AE361*($V361:$AE361&gt;0)*(($V$3:$AE$3&gt;AB$3)+($V$3:$AE$3=AB$3)*($V361:$AE361&lt;AB361)+($V$3:$AE$3=AB$3)*($V361:$AE361=AB361)*($V$2:$AE$2&lt;AB$2))),2))))</f>
      </c>
      <c r="AM361" s="33">
        <f>IF(AC361&lt;=0,0,MAX(0,MIN(AC361,ROUND($AZ361-SUMPRODUCT($V361:$AE361*($V361:$AE361&gt;0)*(($V$3:$AE$3&gt;AC$3)+($V$3:$AE$3=AC$3)*($V361:$AE361&lt;AC361)+($V$3:$AE$3=AC$3)*($V361:$AE361=AC361)*($V$2:$AE$2&lt;AC$2))),2))))</f>
      </c>
      <c r="AN361" s="33">
        <f>IF(AD361&lt;=0,0,MAX(0,MIN(AD361,ROUND($AZ361-SUMPRODUCT($V361:$AE361*($V361:$AE361&gt;0)*(($V$3:$AE$3&gt;AD$3)+($V$3:$AE$3=AD$3)*($V361:$AE361&lt;AD361)+($V$3:$AE$3=AD$3)*($V361:$AE361=AD361)*($V$2:$AE$2&lt;AD$2))),2))))</f>
      </c>
      <c r="AO361" s="33">
        <f>IF(AE361&lt;=0,0,MAX(0,MIN(AE361,ROUND($AZ361-SUMPRODUCT($V361:$AE361*($V361:$AE361&gt;0)*(($V$3:$AE$3&gt;AE$3)+($V$3:$AE$3=AE$3)*($V361:$AE361&lt;AE361)+($V$3:$AE$3=AE$3)*($V361:$AE361=AE361)*($V$2:$AE$2&lt;AE$2))),2))))</f>
      </c>
      <c r="AP361" s="33">
        <f>ROUND(V361-AF361,2)</f>
      </c>
      <c r="AQ361" s="33">
        <f>ROUND(W361-AG361,2)</f>
      </c>
      <c r="AR361" s="33">
        <f>ROUND(X361-AH361,2)</f>
      </c>
      <c r="AS361" s="33">
        <f>ROUND(Y361-AI361,2)</f>
      </c>
      <c r="AT361" s="33">
        <f>ROUND(Z361-AJ361,2)</f>
      </c>
      <c r="AU361" s="33">
        <f>ROUND(AA361-AK361,2)</f>
      </c>
      <c r="AV361" s="33">
        <f>ROUND(AB361-AL361,2)</f>
      </c>
      <c r="AW361" s="33">
        <f>ROUND(AC361-AM361,2)</f>
      </c>
      <c r="AX361" s="33">
        <f>ROUND(AD361-AN361,2)</f>
      </c>
      <c r="AY361" s="33">
        <f>ROUND(AE361-AO361,2)</f>
      </c>
      <c r="AZ361" s="33">
        <f>ROUND(MAX(0,'Your debts'!$D$22-SUM($L361:$U361)),2)</f>
      </c>
      <c r="BA361" s="33">
        <f>ROUND(SUM($B361:$K361)-SUM($AP360:$AY360),2)</f>
      </c>
      <c r="BB361" s="33">
        <f>SUM($AP361:$AY361)</f>
      </c>
      <c r="BC361" s="33">
        <f>ROUND(SUM($L361:$U361)+SUM($AF361:$AO361),2)</f>
      </c>
    </row>
    <row r="362" spans="1:55" x14ac:dyDescent="0.25">
      <c r="A362">
        <v>355</v>
      </c>
      <c r="B362" s="33">
        <f>IF(AP361&lt;=0,0,ROUND(AP361+ROUND(AP361*V$3/12,2),2))</f>
      </c>
      <c r="C362" s="33">
        <f>IF(AQ361&lt;=0,0,ROUND(AQ361+ROUND(AQ361*W$3/12,2),2))</f>
      </c>
      <c r="D362" s="33">
        <f>IF(AR361&lt;=0,0,ROUND(AR361+ROUND(AR361*X$3/12,2),2))</f>
      </c>
      <c r="E362" s="33">
        <f>IF(AS361&lt;=0,0,ROUND(AS361+ROUND(AS361*Y$3/12,2),2))</f>
      </c>
      <c r="F362" s="33">
        <f>IF(AT361&lt;=0,0,ROUND(AT361+ROUND(AT361*Z$3/12,2),2))</f>
      </c>
      <c r="G362" s="33">
        <f>IF(AU361&lt;=0,0,ROUND(AU361+ROUND(AU361*AA$3/12,2),2))</f>
      </c>
      <c r="H362" s="33">
        <f>IF(AV361&lt;=0,0,ROUND(AV361+ROUND(AV361*AB$3/12,2),2))</f>
      </c>
      <c r="I362" s="33">
        <f>IF(AW361&lt;=0,0,ROUND(AW361+ROUND(AW361*AC$3/12,2),2))</f>
      </c>
      <c r="J362" s="33">
        <f>IF(AX361&lt;=0,0,ROUND(AX361+ROUND(AX361*AD$3/12,2),2))</f>
      </c>
      <c r="K362" s="33">
        <f>IF(AY361&lt;=0,0,ROUND(AY361+ROUND(AY361*AE$3/12,2),2))</f>
      </c>
      <c r="L362" s="33">
        <f>ROUND(MIN(MAX(0,N('Your debts'!$E$6)),B362),2)</f>
      </c>
      <c r="M362" s="33">
        <f>ROUND(MIN(MAX(0,N('Your debts'!$E$7)),C362),2)</f>
      </c>
      <c r="N362" s="33">
        <f>ROUND(MIN(MAX(0,N('Your debts'!$E$8)),D362),2)</f>
      </c>
      <c r="O362" s="33">
        <f>ROUND(MIN(MAX(0,N('Your debts'!$E$9)),E362),2)</f>
      </c>
      <c r="P362" s="33">
        <f>ROUND(MIN(MAX(0,N('Your debts'!$E$10)),F362),2)</f>
      </c>
      <c r="Q362" s="33">
        <f>ROUND(MIN(MAX(0,N('Your debts'!$E$11)),G362),2)</f>
      </c>
      <c r="R362" s="33">
        <f>ROUND(MIN(MAX(0,N('Your debts'!$E$12)),H362),2)</f>
      </c>
      <c r="S362" s="33">
        <f>ROUND(MIN(MAX(0,N('Your debts'!$E$13)),I362),2)</f>
      </c>
      <c r="T362" s="33">
        <f>ROUND(MIN(MAX(0,N('Your debts'!$E$14)),J362),2)</f>
      </c>
      <c r="U362" s="33">
        <f>ROUND(MIN(MAX(0,N('Your debts'!$E$15)),K362),2)</f>
      </c>
      <c r="V362" s="33">
        <f>ROUND(B362-L362,2)</f>
      </c>
      <c r="W362" s="33">
        <f>ROUND(C362-M362,2)</f>
      </c>
      <c r="X362" s="33">
        <f>ROUND(D362-N362,2)</f>
      </c>
      <c r="Y362" s="33">
        <f>ROUND(E362-O362,2)</f>
      </c>
      <c r="Z362" s="33">
        <f>ROUND(F362-P362,2)</f>
      </c>
      <c r="AA362" s="33">
        <f>ROUND(G362-Q362,2)</f>
      </c>
      <c r="AB362" s="33">
        <f>ROUND(H362-R362,2)</f>
      </c>
      <c r="AC362" s="33">
        <f>ROUND(I362-S362,2)</f>
      </c>
      <c r="AD362" s="33">
        <f>ROUND(J362-T362,2)</f>
      </c>
      <c r="AE362" s="33">
        <f>ROUND(K362-U362,2)</f>
      </c>
      <c r="AF362" s="33">
        <f>IF(V362&lt;=0,0,MAX(0,MIN(V362,ROUND($AZ362-SUMPRODUCT($V362:$AE362*($V362:$AE362&gt;0)*(($V$3:$AE$3&gt;V$3)+($V$3:$AE$3=V$3)*($V362:$AE362&lt;V362)+($V$3:$AE$3=V$3)*($V362:$AE362=V362)*($V$2:$AE$2&lt;V$2))),2))))</f>
      </c>
      <c r="AG362" s="33">
        <f>IF(W362&lt;=0,0,MAX(0,MIN(W362,ROUND($AZ362-SUMPRODUCT($V362:$AE362*($V362:$AE362&gt;0)*(($V$3:$AE$3&gt;W$3)+($V$3:$AE$3=W$3)*($V362:$AE362&lt;W362)+($V$3:$AE$3=W$3)*($V362:$AE362=W362)*($V$2:$AE$2&lt;W$2))),2))))</f>
      </c>
      <c r="AH362" s="33">
        <f>IF(X362&lt;=0,0,MAX(0,MIN(X362,ROUND($AZ362-SUMPRODUCT($V362:$AE362*($V362:$AE362&gt;0)*(($V$3:$AE$3&gt;X$3)+($V$3:$AE$3=X$3)*($V362:$AE362&lt;X362)+($V$3:$AE$3=X$3)*($V362:$AE362=X362)*($V$2:$AE$2&lt;X$2))),2))))</f>
      </c>
      <c r="AI362" s="33">
        <f>IF(Y362&lt;=0,0,MAX(0,MIN(Y362,ROUND($AZ362-SUMPRODUCT($V362:$AE362*($V362:$AE362&gt;0)*(($V$3:$AE$3&gt;Y$3)+($V$3:$AE$3=Y$3)*($V362:$AE362&lt;Y362)+($V$3:$AE$3=Y$3)*($V362:$AE362=Y362)*($V$2:$AE$2&lt;Y$2))),2))))</f>
      </c>
      <c r="AJ362" s="33">
        <f>IF(Z362&lt;=0,0,MAX(0,MIN(Z362,ROUND($AZ362-SUMPRODUCT($V362:$AE362*($V362:$AE362&gt;0)*(($V$3:$AE$3&gt;Z$3)+($V$3:$AE$3=Z$3)*($V362:$AE362&lt;Z362)+($V$3:$AE$3=Z$3)*($V362:$AE362=Z362)*($V$2:$AE$2&lt;Z$2))),2))))</f>
      </c>
      <c r="AK362" s="33">
        <f>IF(AA362&lt;=0,0,MAX(0,MIN(AA362,ROUND($AZ362-SUMPRODUCT($V362:$AE362*($V362:$AE362&gt;0)*(($V$3:$AE$3&gt;AA$3)+($V$3:$AE$3=AA$3)*($V362:$AE362&lt;AA362)+($V$3:$AE$3=AA$3)*($V362:$AE362=AA362)*($V$2:$AE$2&lt;AA$2))),2))))</f>
      </c>
      <c r="AL362" s="33">
        <f>IF(AB362&lt;=0,0,MAX(0,MIN(AB362,ROUND($AZ362-SUMPRODUCT($V362:$AE362*($V362:$AE362&gt;0)*(($V$3:$AE$3&gt;AB$3)+($V$3:$AE$3=AB$3)*($V362:$AE362&lt;AB362)+($V$3:$AE$3=AB$3)*($V362:$AE362=AB362)*($V$2:$AE$2&lt;AB$2))),2))))</f>
      </c>
      <c r="AM362" s="33">
        <f>IF(AC362&lt;=0,0,MAX(0,MIN(AC362,ROUND($AZ362-SUMPRODUCT($V362:$AE362*($V362:$AE362&gt;0)*(($V$3:$AE$3&gt;AC$3)+($V$3:$AE$3=AC$3)*($V362:$AE362&lt;AC362)+($V$3:$AE$3=AC$3)*($V362:$AE362=AC362)*($V$2:$AE$2&lt;AC$2))),2))))</f>
      </c>
      <c r="AN362" s="33">
        <f>IF(AD362&lt;=0,0,MAX(0,MIN(AD362,ROUND($AZ362-SUMPRODUCT($V362:$AE362*($V362:$AE362&gt;0)*(($V$3:$AE$3&gt;AD$3)+($V$3:$AE$3=AD$3)*($V362:$AE362&lt;AD362)+($V$3:$AE$3=AD$3)*($V362:$AE362=AD362)*($V$2:$AE$2&lt;AD$2))),2))))</f>
      </c>
      <c r="AO362" s="33">
        <f>IF(AE362&lt;=0,0,MAX(0,MIN(AE362,ROUND($AZ362-SUMPRODUCT($V362:$AE362*($V362:$AE362&gt;0)*(($V$3:$AE$3&gt;AE$3)+($V$3:$AE$3=AE$3)*($V362:$AE362&lt;AE362)+($V$3:$AE$3=AE$3)*($V362:$AE362=AE362)*($V$2:$AE$2&lt;AE$2))),2))))</f>
      </c>
      <c r="AP362" s="33">
        <f>ROUND(V362-AF362,2)</f>
      </c>
      <c r="AQ362" s="33">
        <f>ROUND(W362-AG362,2)</f>
      </c>
      <c r="AR362" s="33">
        <f>ROUND(X362-AH362,2)</f>
      </c>
      <c r="AS362" s="33">
        <f>ROUND(Y362-AI362,2)</f>
      </c>
      <c r="AT362" s="33">
        <f>ROUND(Z362-AJ362,2)</f>
      </c>
      <c r="AU362" s="33">
        <f>ROUND(AA362-AK362,2)</f>
      </c>
      <c r="AV362" s="33">
        <f>ROUND(AB362-AL362,2)</f>
      </c>
      <c r="AW362" s="33">
        <f>ROUND(AC362-AM362,2)</f>
      </c>
      <c r="AX362" s="33">
        <f>ROUND(AD362-AN362,2)</f>
      </c>
      <c r="AY362" s="33">
        <f>ROUND(AE362-AO362,2)</f>
      </c>
      <c r="AZ362" s="33">
        <f>ROUND(MAX(0,'Your debts'!$D$22-SUM($L362:$U362)),2)</f>
      </c>
      <c r="BA362" s="33">
        <f>ROUND(SUM($B362:$K362)-SUM($AP361:$AY361),2)</f>
      </c>
      <c r="BB362" s="33">
        <f>SUM($AP362:$AY362)</f>
      </c>
      <c r="BC362" s="33">
        <f>ROUND(SUM($L362:$U362)+SUM($AF362:$AO362),2)</f>
      </c>
    </row>
    <row r="363" spans="1:55" x14ac:dyDescent="0.25">
      <c r="A363">
        <v>356</v>
      </c>
      <c r="B363" s="33">
        <f>IF(AP362&lt;=0,0,ROUND(AP362+ROUND(AP362*V$3/12,2),2))</f>
      </c>
      <c r="C363" s="33">
        <f>IF(AQ362&lt;=0,0,ROUND(AQ362+ROUND(AQ362*W$3/12,2),2))</f>
      </c>
      <c r="D363" s="33">
        <f>IF(AR362&lt;=0,0,ROUND(AR362+ROUND(AR362*X$3/12,2),2))</f>
      </c>
      <c r="E363" s="33">
        <f>IF(AS362&lt;=0,0,ROUND(AS362+ROUND(AS362*Y$3/12,2),2))</f>
      </c>
      <c r="F363" s="33">
        <f>IF(AT362&lt;=0,0,ROUND(AT362+ROUND(AT362*Z$3/12,2),2))</f>
      </c>
      <c r="G363" s="33">
        <f>IF(AU362&lt;=0,0,ROUND(AU362+ROUND(AU362*AA$3/12,2),2))</f>
      </c>
      <c r="H363" s="33">
        <f>IF(AV362&lt;=0,0,ROUND(AV362+ROUND(AV362*AB$3/12,2),2))</f>
      </c>
      <c r="I363" s="33">
        <f>IF(AW362&lt;=0,0,ROUND(AW362+ROUND(AW362*AC$3/12,2),2))</f>
      </c>
      <c r="J363" s="33">
        <f>IF(AX362&lt;=0,0,ROUND(AX362+ROUND(AX362*AD$3/12,2),2))</f>
      </c>
      <c r="K363" s="33">
        <f>IF(AY362&lt;=0,0,ROUND(AY362+ROUND(AY362*AE$3/12,2),2))</f>
      </c>
      <c r="L363" s="33">
        <f>ROUND(MIN(MAX(0,N('Your debts'!$E$6)),B363),2)</f>
      </c>
      <c r="M363" s="33">
        <f>ROUND(MIN(MAX(0,N('Your debts'!$E$7)),C363),2)</f>
      </c>
      <c r="N363" s="33">
        <f>ROUND(MIN(MAX(0,N('Your debts'!$E$8)),D363),2)</f>
      </c>
      <c r="O363" s="33">
        <f>ROUND(MIN(MAX(0,N('Your debts'!$E$9)),E363),2)</f>
      </c>
      <c r="P363" s="33">
        <f>ROUND(MIN(MAX(0,N('Your debts'!$E$10)),F363),2)</f>
      </c>
      <c r="Q363" s="33">
        <f>ROUND(MIN(MAX(0,N('Your debts'!$E$11)),G363),2)</f>
      </c>
      <c r="R363" s="33">
        <f>ROUND(MIN(MAX(0,N('Your debts'!$E$12)),H363),2)</f>
      </c>
      <c r="S363" s="33">
        <f>ROUND(MIN(MAX(0,N('Your debts'!$E$13)),I363),2)</f>
      </c>
      <c r="T363" s="33">
        <f>ROUND(MIN(MAX(0,N('Your debts'!$E$14)),J363),2)</f>
      </c>
      <c r="U363" s="33">
        <f>ROUND(MIN(MAX(0,N('Your debts'!$E$15)),K363),2)</f>
      </c>
      <c r="V363" s="33">
        <f>ROUND(B363-L363,2)</f>
      </c>
      <c r="W363" s="33">
        <f>ROUND(C363-M363,2)</f>
      </c>
      <c r="X363" s="33">
        <f>ROUND(D363-N363,2)</f>
      </c>
      <c r="Y363" s="33">
        <f>ROUND(E363-O363,2)</f>
      </c>
      <c r="Z363" s="33">
        <f>ROUND(F363-P363,2)</f>
      </c>
      <c r="AA363" s="33">
        <f>ROUND(G363-Q363,2)</f>
      </c>
      <c r="AB363" s="33">
        <f>ROUND(H363-R363,2)</f>
      </c>
      <c r="AC363" s="33">
        <f>ROUND(I363-S363,2)</f>
      </c>
      <c r="AD363" s="33">
        <f>ROUND(J363-T363,2)</f>
      </c>
      <c r="AE363" s="33">
        <f>ROUND(K363-U363,2)</f>
      </c>
      <c r="AF363" s="33">
        <f>IF(V363&lt;=0,0,MAX(0,MIN(V363,ROUND($AZ363-SUMPRODUCT($V363:$AE363*($V363:$AE363&gt;0)*(($V$3:$AE$3&gt;V$3)+($V$3:$AE$3=V$3)*($V363:$AE363&lt;V363)+($V$3:$AE$3=V$3)*($V363:$AE363=V363)*($V$2:$AE$2&lt;V$2))),2))))</f>
      </c>
      <c r="AG363" s="33">
        <f>IF(W363&lt;=0,0,MAX(0,MIN(W363,ROUND($AZ363-SUMPRODUCT($V363:$AE363*($V363:$AE363&gt;0)*(($V$3:$AE$3&gt;W$3)+($V$3:$AE$3=W$3)*($V363:$AE363&lt;W363)+($V$3:$AE$3=W$3)*($V363:$AE363=W363)*($V$2:$AE$2&lt;W$2))),2))))</f>
      </c>
      <c r="AH363" s="33">
        <f>IF(X363&lt;=0,0,MAX(0,MIN(X363,ROUND($AZ363-SUMPRODUCT($V363:$AE363*($V363:$AE363&gt;0)*(($V$3:$AE$3&gt;X$3)+($V$3:$AE$3=X$3)*($V363:$AE363&lt;X363)+($V$3:$AE$3=X$3)*($V363:$AE363=X363)*($V$2:$AE$2&lt;X$2))),2))))</f>
      </c>
      <c r="AI363" s="33">
        <f>IF(Y363&lt;=0,0,MAX(0,MIN(Y363,ROUND($AZ363-SUMPRODUCT($V363:$AE363*($V363:$AE363&gt;0)*(($V$3:$AE$3&gt;Y$3)+($V$3:$AE$3=Y$3)*($V363:$AE363&lt;Y363)+($V$3:$AE$3=Y$3)*($V363:$AE363=Y363)*($V$2:$AE$2&lt;Y$2))),2))))</f>
      </c>
      <c r="AJ363" s="33">
        <f>IF(Z363&lt;=0,0,MAX(0,MIN(Z363,ROUND($AZ363-SUMPRODUCT($V363:$AE363*($V363:$AE363&gt;0)*(($V$3:$AE$3&gt;Z$3)+($V$3:$AE$3=Z$3)*($V363:$AE363&lt;Z363)+($V$3:$AE$3=Z$3)*($V363:$AE363=Z363)*($V$2:$AE$2&lt;Z$2))),2))))</f>
      </c>
      <c r="AK363" s="33">
        <f>IF(AA363&lt;=0,0,MAX(0,MIN(AA363,ROUND($AZ363-SUMPRODUCT($V363:$AE363*($V363:$AE363&gt;0)*(($V$3:$AE$3&gt;AA$3)+($V$3:$AE$3=AA$3)*($V363:$AE363&lt;AA363)+($V$3:$AE$3=AA$3)*($V363:$AE363=AA363)*($V$2:$AE$2&lt;AA$2))),2))))</f>
      </c>
      <c r="AL363" s="33">
        <f>IF(AB363&lt;=0,0,MAX(0,MIN(AB363,ROUND($AZ363-SUMPRODUCT($V363:$AE363*($V363:$AE363&gt;0)*(($V$3:$AE$3&gt;AB$3)+($V$3:$AE$3=AB$3)*($V363:$AE363&lt;AB363)+($V$3:$AE$3=AB$3)*($V363:$AE363=AB363)*($V$2:$AE$2&lt;AB$2))),2))))</f>
      </c>
      <c r="AM363" s="33">
        <f>IF(AC363&lt;=0,0,MAX(0,MIN(AC363,ROUND($AZ363-SUMPRODUCT($V363:$AE363*($V363:$AE363&gt;0)*(($V$3:$AE$3&gt;AC$3)+($V$3:$AE$3=AC$3)*($V363:$AE363&lt;AC363)+($V$3:$AE$3=AC$3)*($V363:$AE363=AC363)*($V$2:$AE$2&lt;AC$2))),2))))</f>
      </c>
      <c r="AN363" s="33">
        <f>IF(AD363&lt;=0,0,MAX(0,MIN(AD363,ROUND($AZ363-SUMPRODUCT($V363:$AE363*($V363:$AE363&gt;0)*(($V$3:$AE$3&gt;AD$3)+($V$3:$AE$3=AD$3)*($V363:$AE363&lt;AD363)+($V$3:$AE$3=AD$3)*($V363:$AE363=AD363)*($V$2:$AE$2&lt;AD$2))),2))))</f>
      </c>
      <c r="AO363" s="33">
        <f>IF(AE363&lt;=0,0,MAX(0,MIN(AE363,ROUND($AZ363-SUMPRODUCT($V363:$AE363*($V363:$AE363&gt;0)*(($V$3:$AE$3&gt;AE$3)+($V$3:$AE$3=AE$3)*($V363:$AE363&lt;AE363)+($V$3:$AE$3=AE$3)*($V363:$AE363=AE363)*($V$2:$AE$2&lt;AE$2))),2))))</f>
      </c>
      <c r="AP363" s="33">
        <f>ROUND(V363-AF363,2)</f>
      </c>
      <c r="AQ363" s="33">
        <f>ROUND(W363-AG363,2)</f>
      </c>
      <c r="AR363" s="33">
        <f>ROUND(X363-AH363,2)</f>
      </c>
      <c r="AS363" s="33">
        <f>ROUND(Y363-AI363,2)</f>
      </c>
      <c r="AT363" s="33">
        <f>ROUND(Z363-AJ363,2)</f>
      </c>
      <c r="AU363" s="33">
        <f>ROUND(AA363-AK363,2)</f>
      </c>
      <c r="AV363" s="33">
        <f>ROUND(AB363-AL363,2)</f>
      </c>
      <c r="AW363" s="33">
        <f>ROUND(AC363-AM363,2)</f>
      </c>
      <c r="AX363" s="33">
        <f>ROUND(AD363-AN363,2)</f>
      </c>
      <c r="AY363" s="33">
        <f>ROUND(AE363-AO363,2)</f>
      </c>
      <c r="AZ363" s="33">
        <f>ROUND(MAX(0,'Your debts'!$D$22-SUM($L363:$U363)),2)</f>
      </c>
      <c r="BA363" s="33">
        <f>ROUND(SUM($B363:$K363)-SUM($AP362:$AY362),2)</f>
      </c>
      <c r="BB363" s="33">
        <f>SUM($AP363:$AY363)</f>
      </c>
      <c r="BC363" s="33">
        <f>ROUND(SUM($L363:$U363)+SUM($AF363:$AO363),2)</f>
      </c>
    </row>
    <row r="364" spans="1:55" x14ac:dyDescent="0.25">
      <c r="A364">
        <v>357</v>
      </c>
      <c r="B364" s="33">
        <f>IF(AP363&lt;=0,0,ROUND(AP363+ROUND(AP363*V$3/12,2),2))</f>
      </c>
      <c r="C364" s="33">
        <f>IF(AQ363&lt;=0,0,ROUND(AQ363+ROUND(AQ363*W$3/12,2),2))</f>
      </c>
      <c r="D364" s="33">
        <f>IF(AR363&lt;=0,0,ROUND(AR363+ROUND(AR363*X$3/12,2),2))</f>
      </c>
      <c r="E364" s="33">
        <f>IF(AS363&lt;=0,0,ROUND(AS363+ROUND(AS363*Y$3/12,2),2))</f>
      </c>
      <c r="F364" s="33">
        <f>IF(AT363&lt;=0,0,ROUND(AT363+ROUND(AT363*Z$3/12,2),2))</f>
      </c>
      <c r="G364" s="33">
        <f>IF(AU363&lt;=0,0,ROUND(AU363+ROUND(AU363*AA$3/12,2),2))</f>
      </c>
      <c r="H364" s="33">
        <f>IF(AV363&lt;=0,0,ROUND(AV363+ROUND(AV363*AB$3/12,2),2))</f>
      </c>
      <c r="I364" s="33">
        <f>IF(AW363&lt;=0,0,ROUND(AW363+ROUND(AW363*AC$3/12,2),2))</f>
      </c>
      <c r="J364" s="33">
        <f>IF(AX363&lt;=0,0,ROUND(AX363+ROUND(AX363*AD$3/12,2),2))</f>
      </c>
      <c r="K364" s="33">
        <f>IF(AY363&lt;=0,0,ROUND(AY363+ROUND(AY363*AE$3/12,2),2))</f>
      </c>
      <c r="L364" s="33">
        <f>ROUND(MIN(MAX(0,N('Your debts'!$E$6)),B364),2)</f>
      </c>
      <c r="M364" s="33">
        <f>ROUND(MIN(MAX(0,N('Your debts'!$E$7)),C364),2)</f>
      </c>
      <c r="N364" s="33">
        <f>ROUND(MIN(MAX(0,N('Your debts'!$E$8)),D364),2)</f>
      </c>
      <c r="O364" s="33">
        <f>ROUND(MIN(MAX(0,N('Your debts'!$E$9)),E364),2)</f>
      </c>
      <c r="P364" s="33">
        <f>ROUND(MIN(MAX(0,N('Your debts'!$E$10)),F364),2)</f>
      </c>
      <c r="Q364" s="33">
        <f>ROUND(MIN(MAX(0,N('Your debts'!$E$11)),G364),2)</f>
      </c>
      <c r="R364" s="33">
        <f>ROUND(MIN(MAX(0,N('Your debts'!$E$12)),H364),2)</f>
      </c>
      <c r="S364" s="33">
        <f>ROUND(MIN(MAX(0,N('Your debts'!$E$13)),I364),2)</f>
      </c>
      <c r="T364" s="33">
        <f>ROUND(MIN(MAX(0,N('Your debts'!$E$14)),J364),2)</f>
      </c>
      <c r="U364" s="33">
        <f>ROUND(MIN(MAX(0,N('Your debts'!$E$15)),K364),2)</f>
      </c>
      <c r="V364" s="33">
        <f>ROUND(B364-L364,2)</f>
      </c>
      <c r="W364" s="33">
        <f>ROUND(C364-M364,2)</f>
      </c>
      <c r="X364" s="33">
        <f>ROUND(D364-N364,2)</f>
      </c>
      <c r="Y364" s="33">
        <f>ROUND(E364-O364,2)</f>
      </c>
      <c r="Z364" s="33">
        <f>ROUND(F364-P364,2)</f>
      </c>
      <c r="AA364" s="33">
        <f>ROUND(G364-Q364,2)</f>
      </c>
      <c r="AB364" s="33">
        <f>ROUND(H364-R364,2)</f>
      </c>
      <c r="AC364" s="33">
        <f>ROUND(I364-S364,2)</f>
      </c>
      <c r="AD364" s="33">
        <f>ROUND(J364-T364,2)</f>
      </c>
      <c r="AE364" s="33">
        <f>ROUND(K364-U364,2)</f>
      </c>
      <c r="AF364" s="33">
        <f>IF(V364&lt;=0,0,MAX(0,MIN(V364,ROUND($AZ364-SUMPRODUCT($V364:$AE364*($V364:$AE364&gt;0)*(($V$3:$AE$3&gt;V$3)+($V$3:$AE$3=V$3)*($V364:$AE364&lt;V364)+($V$3:$AE$3=V$3)*($V364:$AE364=V364)*($V$2:$AE$2&lt;V$2))),2))))</f>
      </c>
      <c r="AG364" s="33">
        <f>IF(W364&lt;=0,0,MAX(0,MIN(W364,ROUND($AZ364-SUMPRODUCT($V364:$AE364*($V364:$AE364&gt;0)*(($V$3:$AE$3&gt;W$3)+($V$3:$AE$3=W$3)*($V364:$AE364&lt;W364)+($V$3:$AE$3=W$3)*($V364:$AE364=W364)*($V$2:$AE$2&lt;W$2))),2))))</f>
      </c>
      <c r="AH364" s="33">
        <f>IF(X364&lt;=0,0,MAX(0,MIN(X364,ROUND($AZ364-SUMPRODUCT($V364:$AE364*($V364:$AE364&gt;0)*(($V$3:$AE$3&gt;X$3)+($V$3:$AE$3=X$3)*($V364:$AE364&lt;X364)+($V$3:$AE$3=X$3)*($V364:$AE364=X364)*($V$2:$AE$2&lt;X$2))),2))))</f>
      </c>
      <c r="AI364" s="33">
        <f>IF(Y364&lt;=0,0,MAX(0,MIN(Y364,ROUND($AZ364-SUMPRODUCT($V364:$AE364*($V364:$AE364&gt;0)*(($V$3:$AE$3&gt;Y$3)+($V$3:$AE$3=Y$3)*($V364:$AE364&lt;Y364)+($V$3:$AE$3=Y$3)*($V364:$AE364=Y364)*($V$2:$AE$2&lt;Y$2))),2))))</f>
      </c>
      <c r="AJ364" s="33">
        <f>IF(Z364&lt;=0,0,MAX(0,MIN(Z364,ROUND($AZ364-SUMPRODUCT($V364:$AE364*($V364:$AE364&gt;0)*(($V$3:$AE$3&gt;Z$3)+($V$3:$AE$3=Z$3)*($V364:$AE364&lt;Z364)+($V$3:$AE$3=Z$3)*($V364:$AE364=Z364)*($V$2:$AE$2&lt;Z$2))),2))))</f>
      </c>
      <c r="AK364" s="33">
        <f>IF(AA364&lt;=0,0,MAX(0,MIN(AA364,ROUND($AZ364-SUMPRODUCT($V364:$AE364*($V364:$AE364&gt;0)*(($V$3:$AE$3&gt;AA$3)+($V$3:$AE$3=AA$3)*($V364:$AE364&lt;AA364)+($V$3:$AE$3=AA$3)*($V364:$AE364=AA364)*($V$2:$AE$2&lt;AA$2))),2))))</f>
      </c>
      <c r="AL364" s="33">
        <f>IF(AB364&lt;=0,0,MAX(0,MIN(AB364,ROUND($AZ364-SUMPRODUCT($V364:$AE364*($V364:$AE364&gt;0)*(($V$3:$AE$3&gt;AB$3)+($V$3:$AE$3=AB$3)*($V364:$AE364&lt;AB364)+($V$3:$AE$3=AB$3)*($V364:$AE364=AB364)*($V$2:$AE$2&lt;AB$2))),2))))</f>
      </c>
      <c r="AM364" s="33">
        <f>IF(AC364&lt;=0,0,MAX(0,MIN(AC364,ROUND($AZ364-SUMPRODUCT($V364:$AE364*($V364:$AE364&gt;0)*(($V$3:$AE$3&gt;AC$3)+($V$3:$AE$3=AC$3)*($V364:$AE364&lt;AC364)+($V$3:$AE$3=AC$3)*($V364:$AE364=AC364)*($V$2:$AE$2&lt;AC$2))),2))))</f>
      </c>
      <c r="AN364" s="33">
        <f>IF(AD364&lt;=0,0,MAX(0,MIN(AD364,ROUND($AZ364-SUMPRODUCT($V364:$AE364*($V364:$AE364&gt;0)*(($V$3:$AE$3&gt;AD$3)+($V$3:$AE$3=AD$3)*($V364:$AE364&lt;AD364)+($V$3:$AE$3=AD$3)*($V364:$AE364=AD364)*($V$2:$AE$2&lt;AD$2))),2))))</f>
      </c>
      <c r="AO364" s="33">
        <f>IF(AE364&lt;=0,0,MAX(0,MIN(AE364,ROUND($AZ364-SUMPRODUCT($V364:$AE364*($V364:$AE364&gt;0)*(($V$3:$AE$3&gt;AE$3)+($V$3:$AE$3=AE$3)*($V364:$AE364&lt;AE364)+($V$3:$AE$3=AE$3)*($V364:$AE364=AE364)*($V$2:$AE$2&lt;AE$2))),2))))</f>
      </c>
      <c r="AP364" s="33">
        <f>ROUND(V364-AF364,2)</f>
      </c>
      <c r="AQ364" s="33">
        <f>ROUND(W364-AG364,2)</f>
      </c>
      <c r="AR364" s="33">
        <f>ROUND(X364-AH364,2)</f>
      </c>
      <c r="AS364" s="33">
        <f>ROUND(Y364-AI364,2)</f>
      </c>
      <c r="AT364" s="33">
        <f>ROUND(Z364-AJ364,2)</f>
      </c>
      <c r="AU364" s="33">
        <f>ROUND(AA364-AK364,2)</f>
      </c>
      <c r="AV364" s="33">
        <f>ROUND(AB364-AL364,2)</f>
      </c>
      <c r="AW364" s="33">
        <f>ROUND(AC364-AM364,2)</f>
      </c>
      <c r="AX364" s="33">
        <f>ROUND(AD364-AN364,2)</f>
      </c>
      <c r="AY364" s="33">
        <f>ROUND(AE364-AO364,2)</f>
      </c>
      <c r="AZ364" s="33">
        <f>ROUND(MAX(0,'Your debts'!$D$22-SUM($L364:$U364)),2)</f>
      </c>
      <c r="BA364" s="33">
        <f>ROUND(SUM($B364:$K364)-SUM($AP363:$AY363),2)</f>
      </c>
      <c r="BB364" s="33">
        <f>SUM($AP364:$AY364)</f>
      </c>
      <c r="BC364" s="33">
        <f>ROUND(SUM($L364:$U364)+SUM($AF364:$AO364),2)</f>
      </c>
    </row>
    <row r="365" spans="1:55" x14ac:dyDescent="0.25">
      <c r="A365">
        <v>358</v>
      </c>
      <c r="B365" s="33">
        <f>IF(AP364&lt;=0,0,ROUND(AP364+ROUND(AP364*V$3/12,2),2))</f>
      </c>
      <c r="C365" s="33">
        <f>IF(AQ364&lt;=0,0,ROUND(AQ364+ROUND(AQ364*W$3/12,2),2))</f>
      </c>
      <c r="D365" s="33">
        <f>IF(AR364&lt;=0,0,ROUND(AR364+ROUND(AR364*X$3/12,2),2))</f>
      </c>
      <c r="E365" s="33">
        <f>IF(AS364&lt;=0,0,ROUND(AS364+ROUND(AS364*Y$3/12,2),2))</f>
      </c>
      <c r="F365" s="33">
        <f>IF(AT364&lt;=0,0,ROUND(AT364+ROUND(AT364*Z$3/12,2),2))</f>
      </c>
      <c r="G365" s="33">
        <f>IF(AU364&lt;=0,0,ROUND(AU364+ROUND(AU364*AA$3/12,2),2))</f>
      </c>
      <c r="H365" s="33">
        <f>IF(AV364&lt;=0,0,ROUND(AV364+ROUND(AV364*AB$3/12,2),2))</f>
      </c>
      <c r="I365" s="33">
        <f>IF(AW364&lt;=0,0,ROUND(AW364+ROUND(AW364*AC$3/12,2),2))</f>
      </c>
      <c r="J365" s="33">
        <f>IF(AX364&lt;=0,0,ROUND(AX364+ROUND(AX364*AD$3/12,2),2))</f>
      </c>
      <c r="K365" s="33">
        <f>IF(AY364&lt;=0,0,ROUND(AY364+ROUND(AY364*AE$3/12,2),2))</f>
      </c>
      <c r="L365" s="33">
        <f>ROUND(MIN(MAX(0,N('Your debts'!$E$6)),B365),2)</f>
      </c>
      <c r="M365" s="33">
        <f>ROUND(MIN(MAX(0,N('Your debts'!$E$7)),C365),2)</f>
      </c>
      <c r="N365" s="33">
        <f>ROUND(MIN(MAX(0,N('Your debts'!$E$8)),D365),2)</f>
      </c>
      <c r="O365" s="33">
        <f>ROUND(MIN(MAX(0,N('Your debts'!$E$9)),E365),2)</f>
      </c>
      <c r="P365" s="33">
        <f>ROUND(MIN(MAX(0,N('Your debts'!$E$10)),F365),2)</f>
      </c>
      <c r="Q365" s="33">
        <f>ROUND(MIN(MAX(0,N('Your debts'!$E$11)),G365),2)</f>
      </c>
      <c r="R365" s="33">
        <f>ROUND(MIN(MAX(0,N('Your debts'!$E$12)),H365),2)</f>
      </c>
      <c r="S365" s="33">
        <f>ROUND(MIN(MAX(0,N('Your debts'!$E$13)),I365),2)</f>
      </c>
      <c r="T365" s="33">
        <f>ROUND(MIN(MAX(0,N('Your debts'!$E$14)),J365),2)</f>
      </c>
      <c r="U365" s="33">
        <f>ROUND(MIN(MAX(0,N('Your debts'!$E$15)),K365),2)</f>
      </c>
      <c r="V365" s="33">
        <f>ROUND(B365-L365,2)</f>
      </c>
      <c r="W365" s="33">
        <f>ROUND(C365-M365,2)</f>
      </c>
      <c r="X365" s="33">
        <f>ROUND(D365-N365,2)</f>
      </c>
      <c r="Y365" s="33">
        <f>ROUND(E365-O365,2)</f>
      </c>
      <c r="Z365" s="33">
        <f>ROUND(F365-P365,2)</f>
      </c>
      <c r="AA365" s="33">
        <f>ROUND(G365-Q365,2)</f>
      </c>
      <c r="AB365" s="33">
        <f>ROUND(H365-R365,2)</f>
      </c>
      <c r="AC365" s="33">
        <f>ROUND(I365-S365,2)</f>
      </c>
      <c r="AD365" s="33">
        <f>ROUND(J365-T365,2)</f>
      </c>
      <c r="AE365" s="33">
        <f>ROUND(K365-U365,2)</f>
      </c>
      <c r="AF365" s="33">
        <f>IF(V365&lt;=0,0,MAX(0,MIN(V365,ROUND($AZ365-SUMPRODUCT($V365:$AE365*($V365:$AE365&gt;0)*(($V$3:$AE$3&gt;V$3)+($V$3:$AE$3=V$3)*($V365:$AE365&lt;V365)+($V$3:$AE$3=V$3)*($V365:$AE365=V365)*($V$2:$AE$2&lt;V$2))),2))))</f>
      </c>
      <c r="AG365" s="33">
        <f>IF(W365&lt;=0,0,MAX(0,MIN(W365,ROUND($AZ365-SUMPRODUCT($V365:$AE365*($V365:$AE365&gt;0)*(($V$3:$AE$3&gt;W$3)+($V$3:$AE$3=W$3)*($V365:$AE365&lt;W365)+($V$3:$AE$3=W$3)*($V365:$AE365=W365)*($V$2:$AE$2&lt;W$2))),2))))</f>
      </c>
      <c r="AH365" s="33">
        <f>IF(X365&lt;=0,0,MAX(0,MIN(X365,ROUND($AZ365-SUMPRODUCT($V365:$AE365*($V365:$AE365&gt;0)*(($V$3:$AE$3&gt;X$3)+($V$3:$AE$3=X$3)*($V365:$AE365&lt;X365)+($V$3:$AE$3=X$3)*($V365:$AE365=X365)*($V$2:$AE$2&lt;X$2))),2))))</f>
      </c>
      <c r="AI365" s="33">
        <f>IF(Y365&lt;=0,0,MAX(0,MIN(Y365,ROUND($AZ365-SUMPRODUCT($V365:$AE365*($V365:$AE365&gt;0)*(($V$3:$AE$3&gt;Y$3)+($V$3:$AE$3=Y$3)*($V365:$AE365&lt;Y365)+($V$3:$AE$3=Y$3)*($V365:$AE365=Y365)*($V$2:$AE$2&lt;Y$2))),2))))</f>
      </c>
      <c r="AJ365" s="33">
        <f>IF(Z365&lt;=0,0,MAX(0,MIN(Z365,ROUND($AZ365-SUMPRODUCT($V365:$AE365*($V365:$AE365&gt;0)*(($V$3:$AE$3&gt;Z$3)+($V$3:$AE$3=Z$3)*($V365:$AE365&lt;Z365)+($V$3:$AE$3=Z$3)*($V365:$AE365=Z365)*($V$2:$AE$2&lt;Z$2))),2))))</f>
      </c>
      <c r="AK365" s="33">
        <f>IF(AA365&lt;=0,0,MAX(0,MIN(AA365,ROUND($AZ365-SUMPRODUCT($V365:$AE365*($V365:$AE365&gt;0)*(($V$3:$AE$3&gt;AA$3)+($V$3:$AE$3=AA$3)*($V365:$AE365&lt;AA365)+($V$3:$AE$3=AA$3)*($V365:$AE365=AA365)*($V$2:$AE$2&lt;AA$2))),2))))</f>
      </c>
      <c r="AL365" s="33">
        <f>IF(AB365&lt;=0,0,MAX(0,MIN(AB365,ROUND($AZ365-SUMPRODUCT($V365:$AE365*($V365:$AE365&gt;0)*(($V$3:$AE$3&gt;AB$3)+($V$3:$AE$3=AB$3)*($V365:$AE365&lt;AB365)+($V$3:$AE$3=AB$3)*($V365:$AE365=AB365)*($V$2:$AE$2&lt;AB$2))),2))))</f>
      </c>
      <c r="AM365" s="33">
        <f>IF(AC365&lt;=0,0,MAX(0,MIN(AC365,ROUND($AZ365-SUMPRODUCT($V365:$AE365*($V365:$AE365&gt;0)*(($V$3:$AE$3&gt;AC$3)+($V$3:$AE$3=AC$3)*($V365:$AE365&lt;AC365)+($V$3:$AE$3=AC$3)*($V365:$AE365=AC365)*($V$2:$AE$2&lt;AC$2))),2))))</f>
      </c>
      <c r="AN365" s="33">
        <f>IF(AD365&lt;=0,0,MAX(0,MIN(AD365,ROUND($AZ365-SUMPRODUCT($V365:$AE365*($V365:$AE365&gt;0)*(($V$3:$AE$3&gt;AD$3)+($V$3:$AE$3=AD$3)*($V365:$AE365&lt;AD365)+($V$3:$AE$3=AD$3)*($V365:$AE365=AD365)*($V$2:$AE$2&lt;AD$2))),2))))</f>
      </c>
      <c r="AO365" s="33">
        <f>IF(AE365&lt;=0,0,MAX(0,MIN(AE365,ROUND($AZ365-SUMPRODUCT($V365:$AE365*($V365:$AE365&gt;0)*(($V$3:$AE$3&gt;AE$3)+($V$3:$AE$3=AE$3)*($V365:$AE365&lt;AE365)+($V$3:$AE$3=AE$3)*($V365:$AE365=AE365)*($V$2:$AE$2&lt;AE$2))),2))))</f>
      </c>
      <c r="AP365" s="33">
        <f>ROUND(V365-AF365,2)</f>
      </c>
      <c r="AQ365" s="33">
        <f>ROUND(W365-AG365,2)</f>
      </c>
      <c r="AR365" s="33">
        <f>ROUND(X365-AH365,2)</f>
      </c>
      <c r="AS365" s="33">
        <f>ROUND(Y365-AI365,2)</f>
      </c>
      <c r="AT365" s="33">
        <f>ROUND(Z365-AJ365,2)</f>
      </c>
      <c r="AU365" s="33">
        <f>ROUND(AA365-AK365,2)</f>
      </c>
      <c r="AV365" s="33">
        <f>ROUND(AB365-AL365,2)</f>
      </c>
      <c r="AW365" s="33">
        <f>ROUND(AC365-AM365,2)</f>
      </c>
      <c r="AX365" s="33">
        <f>ROUND(AD365-AN365,2)</f>
      </c>
      <c r="AY365" s="33">
        <f>ROUND(AE365-AO365,2)</f>
      </c>
      <c r="AZ365" s="33">
        <f>ROUND(MAX(0,'Your debts'!$D$22-SUM($L365:$U365)),2)</f>
      </c>
      <c r="BA365" s="33">
        <f>ROUND(SUM($B365:$K365)-SUM($AP364:$AY364),2)</f>
      </c>
      <c r="BB365" s="33">
        <f>SUM($AP365:$AY365)</f>
      </c>
      <c r="BC365" s="33">
        <f>ROUND(SUM($L365:$U365)+SUM($AF365:$AO365),2)</f>
      </c>
    </row>
    <row r="366" spans="1:55" x14ac:dyDescent="0.25">
      <c r="A366">
        <v>359</v>
      </c>
      <c r="B366" s="33">
        <f>IF(AP365&lt;=0,0,ROUND(AP365+ROUND(AP365*V$3/12,2),2))</f>
      </c>
      <c r="C366" s="33">
        <f>IF(AQ365&lt;=0,0,ROUND(AQ365+ROUND(AQ365*W$3/12,2),2))</f>
      </c>
      <c r="D366" s="33">
        <f>IF(AR365&lt;=0,0,ROUND(AR365+ROUND(AR365*X$3/12,2),2))</f>
      </c>
      <c r="E366" s="33">
        <f>IF(AS365&lt;=0,0,ROUND(AS365+ROUND(AS365*Y$3/12,2),2))</f>
      </c>
      <c r="F366" s="33">
        <f>IF(AT365&lt;=0,0,ROUND(AT365+ROUND(AT365*Z$3/12,2),2))</f>
      </c>
      <c r="G366" s="33">
        <f>IF(AU365&lt;=0,0,ROUND(AU365+ROUND(AU365*AA$3/12,2),2))</f>
      </c>
      <c r="H366" s="33">
        <f>IF(AV365&lt;=0,0,ROUND(AV365+ROUND(AV365*AB$3/12,2),2))</f>
      </c>
      <c r="I366" s="33">
        <f>IF(AW365&lt;=0,0,ROUND(AW365+ROUND(AW365*AC$3/12,2),2))</f>
      </c>
      <c r="J366" s="33">
        <f>IF(AX365&lt;=0,0,ROUND(AX365+ROUND(AX365*AD$3/12,2),2))</f>
      </c>
      <c r="K366" s="33">
        <f>IF(AY365&lt;=0,0,ROUND(AY365+ROUND(AY365*AE$3/12,2),2))</f>
      </c>
      <c r="L366" s="33">
        <f>ROUND(MIN(MAX(0,N('Your debts'!$E$6)),B366),2)</f>
      </c>
      <c r="M366" s="33">
        <f>ROUND(MIN(MAX(0,N('Your debts'!$E$7)),C366),2)</f>
      </c>
      <c r="N366" s="33">
        <f>ROUND(MIN(MAX(0,N('Your debts'!$E$8)),D366),2)</f>
      </c>
      <c r="O366" s="33">
        <f>ROUND(MIN(MAX(0,N('Your debts'!$E$9)),E366),2)</f>
      </c>
      <c r="P366" s="33">
        <f>ROUND(MIN(MAX(0,N('Your debts'!$E$10)),F366),2)</f>
      </c>
      <c r="Q366" s="33">
        <f>ROUND(MIN(MAX(0,N('Your debts'!$E$11)),G366),2)</f>
      </c>
      <c r="R366" s="33">
        <f>ROUND(MIN(MAX(0,N('Your debts'!$E$12)),H366),2)</f>
      </c>
      <c r="S366" s="33">
        <f>ROUND(MIN(MAX(0,N('Your debts'!$E$13)),I366),2)</f>
      </c>
      <c r="T366" s="33">
        <f>ROUND(MIN(MAX(0,N('Your debts'!$E$14)),J366),2)</f>
      </c>
      <c r="U366" s="33">
        <f>ROUND(MIN(MAX(0,N('Your debts'!$E$15)),K366),2)</f>
      </c>
      <c r="V366" s="33">
        <f>ROUND(B366-L366,2)</f>
      </c>
      <c r="W366" s="33">
        <f>ROUND(C366-M366,2)</f>
      </c>
      <c r="X366" s="33">
        <f>ROUND(D366-N366,2)</f>
      </c>
      <c r="Y366" s="33">
        <f>ROUND(E366-O366,2)</f>
      </c>
      <c r="Z366" s="33">
        <f>ROUND(F366-P366,2)</f>
      </c>
      <c r="AA366" s="33">
        <f>ROUND(G366-Q366,2)</f>
      </c>
      <c r="AB366" s="33">
        <f>ROUND(H366-R366,2)</f>
      </c>
      <c r="AC366" s="33">
        <f>ROUND(I366-S366,2)</f>
      </c>
      <c r="AD366" s="33">
        <f>ROUND(J366-T366,2)</f>
      </c>
      <c r="AE366" s="33">
        <f>ROUND(K366-U366,2)</f>
      </c>
      <c r="AF366" s="33">
        <f>IF(V366&lt;=0,0,MAX(0,MIN(V366,ROUND($AZ366-SUMPRODUCT($V366:$AE366*($V366:$AE366&gt;0)*(($V$3:$AE$3&gt;V$3)+($V$3:$AE$3=V$3)*($V366:$AE366&lt;V366)+($V$3:$AE$3=V$3)*($V366:$AE366=V366)*($V$2:$AE$2&lt;V$2))),2))))</f>
      </c>
      <c r="AG366" s="33">
        <f>IF(W366&lt;=0,0,MAX(0,MIN(W366,ROUND($AZ366-SUMPRODUCT($V366:$AE366*($V366:$AE366&gt;0)*(($V$3:$AE$3&gt;W$3)+($V$3:$AE$3=W$3)*($V366:$AE366&lt;W366)+($V$3:$AE$3=W$3)*($V366:$AE366=W366)*($V$2:$AE$2&lt;W$2))),2))))</f>
      </c>
      <c r="AH366" s="33">
        <f>IF(X366&lt;=0,0,MAX(0,MIN(X366,ROUND($AZ366-SUMPRODUCT($V366:$AE366*($V366:$AE366&gt;0)*(($V$3:$AE$3&gt;X$3)+($V$3:$AE$3=X$3)*($V366:$AE366&lt;X366)+($V$3:$AE$3=X$3)*($V366:$AE366=X366)*($V$2:$AE$2&lt;X$2))),2))))</f>
      </c>
      <c r="AI366" s="33">
        <f>IF(Y366&lt;=0,0,MAX(0,MIN(Y366,ROUND($AZ366-SUMPRODUCT($V366:$AE366*($V366:$AE366&gt;0)*(($V$3:$AE$3&gt;Y$3)+($V$3:$AE$3=Y$3)*($V366:$AE366&lt;Y366)+($V$3:$AE$3=Y$3)*($V366:$AE366=Y366)*($V$2:$AE$2&lt;Y$2))),2))))</f>
      </c>
      <c r="AJ366" s="33">
        <f>IF(Z366&lt;=0,0,MAX(0,MIN(Z366,ROUND($AZ366-SUMPRODUCT($V366:$AE366*($V366:$AE366&gt;0)*(($V$3:$AE$3&gt;Z$3)+($V$3:$AE$3=Z$3)*($V366:$AE366&lt;Z366)+($V$3:$AE$3=Z$3)*($V366:$AE366=Z366)*($V$2:$AE$2&lt;Z$2))),2))))</f>
      </c>
      <c r="AK366" s="33">
        <f>IF(AA366&lt;=0,0,MAX(0,MIN(AA366,ROUND($AZ366-SUMPRODUCT($V366:$AE366*($V366:$AE366&gt;0)*(($V$3:$AE$3&gt;AA$3)+($V$3:$AE$3=AA$3)*($V366:$AE366&lt;AA366)+($V$3:$AE$3=AA$3)*($V366:$AE366=AA366)*($V$2:$AE$2&lt;AA$2))),2))))</f>
      </c>
      <c r="AL366" s="33">
        <f>IF(AB366&lt;=0,0,MAX(0,MIN(AB366,ROUND($AZ366-SUMPRODUCT($V366:$AE366*($V366:$AE366&gt;0)*(($V$3:$AE$3&gt;AB$3)+($V$3:$AE$3=AB$3)*($V366:$AE366&lt;AB366)+($V$3:$AE$3=AB$3)*($V366:$AE366=AB366)*($V$2:$AE$2&lt;AB$2))),2))))</f>
      </c>
      <c r="AM366" s="33">
        <f>IF(AC366&lt;=0,0,MAX(0,MIN(AC366,ROUND($AZ366-SUMPRODUCT($V366:$AE366*($V366:$AE366&gt;0)*(($V$3:$AE$3&gt;AC$3)+($V$3:$AE$3=AC$3)*($V366:$AE366&lt;AC366)+($V$3:$AE$3=AC$3)*($V366:$AE366=AC366)*($V$2:$AE$2&lt;AC$2))),2))))</f>
      </c>
      <c r="AN366" s="33">
        <f>IF(AD366&lt;=0,0,MAX(0,MIN(AD366,ROUND($AZ366-SUMPRODUCT($V366:$AE366*($V366:$AE366&gt;0)*(($V$3:$AE$3&gt;AD$3)+($V$3:$AE$3=AD$3)*($V366:$AE366&lt;AD366)+($V$3:$AE$3=AD$3)*($V366:$AE366=AD366)*($V$2:$AE$2&lt;AD$2))),2))))</f>
      </c>
      <c r="AO366" s="33">
        <f>IF(AE366&lt;=0,0,MAX(0,MIN(AE366,ROUND($AZ366-SUMPRODUCT($V366:$AE366*($V366:$AE366&gt;0)*(($V$3:$AE$3&gt;AE$3)+($V$3:$AE$3=AE$3)*($V366:$AE366&lt;AE366)+($V$3:$AE$3=AE$3)*($V366:$AE366=AE366)*($V$2:$AE$2&lt;AE$2))),2))))</f>
      </c>
      <c r="AP366" s="33">
        <f>ROUND(V366-AF366,2)</f>
      </c>
      <c r="AQ366" s="33">
        <f>ROUND(W366-AG366,2)</f>
      </c>
      <c r="AR366" s="33">
        <f>ROUND(X366-AH366,2)</f>
      </c>
      <c r="AS366" s="33">
        <f>ROUND(Y366-AI366,2)</f>
      </c>
      <c r="AT366" s="33">
        <f>ROUND(Z366-AJ366,2)</f>
      </c>
      <c r="AU366" s="33">
        <f>ROUND(AA366-AK366,2)</f>
      </c>
      <c r="AV366" s="33">
        <f>ROUND(AB366-AL366,2)</f>
      </c>
      <c r="AW366" s="33">
        <f>ROUND(AC366-AM366,2)</f>
      </c>
      <c r="AX366" s="33">
        <f>ROUND(AD366-AN366,2)</f>
      </c>
      <c r="AY366" s="33">
        <f>ROUND(AE366-AO366,2)</f>
      </c>
      <c r="AZ366" s="33">
        <f>ROUND(MAX(0,'Your debts'!$D$22-SUM($L366:$U366)),2)</f>
      </c>
      <c r="BA366" s="33">
        <f>ROUND(SUM($B366:$K366)-SUM($AP365:$AY365),2)</f>
      </c>
      <c r="BB366" s="33">
        <f>SUM($AP366:$AY366)</f>
      </c>
      <c r="BC366" s="33">
        <f>ROUND(SUM($L366:$U366)+SUM($AF366:$AO366),2)</f>
      </c>
    </row>
    <row r="367" spans="1:55" x14ac:dyDescent="0.25">
      <c r="A367">
        <v>360</v>
      </c>
      <c r="B367" s="33">
        <f>IF(AP366&lt;=0,0,ROUND(AP366+ROUND(AP366*V$3/12,2),2))</f>
      </c>
      <c r="C367" s="33">
        <f>IF(AQ366&lt;=0,0,ROUND(AQ366+ROUND(AQ366*W$3/12,2),2))</f>
      </c>
      <c r="D367" s="33">
        <f>IF(AR366&lt;=0,0,ROUND(AR366+ROUND(AR366*X$3/12,2),2))</f>
      </c>
      <c r="E367" s="33">
        <f>IF(AS366&lt;=0,0,ROUND(AS366+ROUND(AS366*Y$3/12,2),2))</f>
      </c>
      <c r="F367" s="33">
        <f>IF(AT366&lt;=0,0,ROUND(AT366+ROUND(AT366*Z$3/12,2),2))</f>
      </c>
      <c r="G367" s="33">
        <f>IF(AU366&lt;=0,0,ROUND(AU366+ROUND(AU366*AA$3/12,2),2))</f>
      </c>
      <c r="H367" s="33">
        <f>IF(AV366&lt;=0,0,ROUND(AV366+ROUND(AV366*AB$3/12,2),2))</f>
      </c>
      <c r="I367" s="33">
        <f>IF(AW366&lt;=0,0,ROUND(AW366+ROUND(AW366*AC$3/12,2),2))</f>
      </c>
      <c r="J367" s="33">
        <f>IF(AX366&lt;=0,0,ROUND(AX366+ROUND(AX366*AD$3/12,2),2))</f>
      </c>
      <c r="K367" s="33">
        <f>IF(AY366&lt;=0,0,ROUND(AY366+ROUND(AY366*AE$3/12,2),2))</f>
      </c>
      <c r="L367" s="33">
        <f>ROUND(MIN(MAX(0,N('Your debts'!$E$6)),B367),2)</f>
      </c>
      <c r="M367" s="33">
        <f>ROUND(MIN(MAX(0,N('Your debts'!$E$7)),C367),2)</f>
      </c>
      <c r="N367" s="33">
        <f>ROUND(MIN(MAX(0,N('Your debts'!$E$8)),D367),2)</f>
      </c>
      <c r="O367" s="33">
        <f>ROUND(MIN(MAX(0,N('Your debts'!$E$9)),E367),2)</f>
      </c>
      <c r="P367" s="33">
        <f>ROUND(MIN(MAX(0,N('Your debts'!$E$10)),F367),2)</f>
      </c>
      <c r="Q367" s="33">
        <f>ROUND(MIN(MAX(0,N('Your debts'!$E$11)),G367),2)</f>
      </c>
      <c r="R367" s="33">
        <f>ROUND(MIN(MAX(0,N('Your debts'!$E$12)),H367),2)</f>
      </c>
      <c r="S367" s="33">
        <f>ROUND(MIN(MAX(0,N('Your debts'!$E$13)),I367),2)</f>
      </c>
      <c r="T367" s="33">
        <f>ROUND(MIN(MAX(0,N('Your debts'!$E$14)),J367),2)</f>
      </c>
      <c r="U367" s="33">
        <f>ROUND(MIN(MAX(0,N('Your debts'!$E$15)),K367),2)</f>
      </c>
      <c r="V367" s="33">
        <f>ROUND(B367-L367,2)</f>
      </c>
      <c r="W367" s="33">
        <f>ROUND(C367-M367,2)</f>
      </c>
      <c r="X367" s="33">
        <f>ROUND(D367-N367,2)</f>
      </c>
      <c r="Y367" s="33">
        <f>ROUND(E367-O367,2)</f>
      </c>
      <c r="Z367" s="33">
        <f>ROUND(F367-P367,2)</f>
      </c>
      <c r="AA367" s="33">
        <f>ROUND(G367-Q367,2)</f>
      </c>
      <c r="AB367" s="33">
        <f>ROUND(H367-R367,2)</f>
      </c>
      <c r="AC367" s="33">
        <f>ROUND(I367-S367,2)</f>
      </c>
      <c r="AD367" s="33">
        <f>ROUND(J367-T367,2)</f>
      </c>
      <c r="AE367" s="33">
        <f>ROUND(K367-U367,2)</f>
      </c>
      <c r="AF367" s="33">
        <f>IF(V367&lt;=0,0,MAX(0,MIN(V367,ROUND($AZ367-SUMPRODUCT($V367:$AE367*($V367:$AE367&gt;0)*(($V$3:$AE$3&gt;V$3)+($V$3:$AE$3=V$3)*($V367:$AE367&lt;V367)+($V$3:$AE$3=V$3)*($V367:$AE367=V367)*($V$2:$AE$2&lt;V$2))),2))))</f>
      </c>
      <c r="AG367" s="33">
        <f>IF(W367&lt;=0,0,MAX(0,MIN(W367,ROUND($AZ367-SUMPRODUCT($V367:$AE367*($V367:$AE367&gt;0)*(($V$3:$AE$3&gt;W$3)+($V$3:$AE$3=W$3)*($V367:$AE367&lt;W367)+($V$3:$AE$3=W$3)*($V367:$AE367=W367)*($V$2:$AE$2&lt;W$2))),2))))</f>
      </c>
      <c r="AH367" s="33">
        <f>IF(X367&lt;=0,0,MAX(0,MIN(X367,ROUND($AZ367-SUMPRODUCT($V367:$AE367*($V367:$AE367&gt;0)*(($V$3:$AE$3&gt;X$3)+($V$3:$AE$3=X$3)*($V367:$AE367&lt;X367)+($V$3:$AE$3=X$3)*($V367:$AE367=X367)*($V$2:$AE$2&lt;X$2))),2))))</f>
      </c>
      <c r="AI367" s="33">
        <f>IF(Y367&lt;=0,0,MAX(0,MIN(Y367,ROUND($AZ367-SUMPRODUCT($V367:$AE367*($V367:$AE367&gt;0)*(($V$3:$AE$3&gt;Y$3)+($V$3:$AE$3=Y$3)*($V367:$AE367&lt;Y367)+($V$3:$AE$3=Y$3)*($V367:$AE367=Y367)*($V$2:$AE$2&lt;Y$2))),2))))</f>
      </c>
      <c r="AJ367" s="33">
        <f>IF(Z367&lt;=0,0,MAX(0,MIN(Z367,ROUND($AZ367-SUMPRODUCT($V367:$AE367*($V367:$AE367&gt;0)*(($V$3:$AE$3&gt;Z$3)+($V$3:$AE$3=Z$3)*($V367:$AE367&lt;Z367)+($V$3:$AE$3=Z$3)*($V367:$AE367=Z367)*($V$2:$AE$2&lt;Z$2))),2))))</f>
      </c>
      <c r="AK367" s="33">
        <f>IF(AA367&lt;=0,0,MAX(0,MIN(AA367,ROUND($AZ367-SUMPRODUCT($V367:$AE367*($V367:$AE367&gt;0)*(($V$3:$AE$3&gt;AA$3)+($V$3:$AE$3=AA$3)*($V367:$AE367&lt;AA367)+($V$3:$AE$3=AA$3)*($V367:$AE367=AA367)*($V$2:$AE$2&lt;AA$2))),2))))</f>
      </c>
      <c r="AL367" s="33">
        <f>IF(AB367&lt;=0,0,MAX(0,MIN(AB367,ROUND($AZ367-SUMPRODUCT($V367:$AE367*($V367:$AE367&gt;0)*(($V$3:$AE$3&gt;AB$3)+($V$3:$AE$3=AB$3)*($V367:$AE367&lt;AB367)+($V$3:$AE$3=AB$3)*($V367:$AE367=AB367)*($V$2:$AE$2&lt;AB$2))),2))))</f>
      </c>
      <c r="AM367" s="33">
        <f>IF(AC367&lt;=0,0,MAX(0,MIN(AC367,ROUND($AZ367-SUMPRODUCT($V367:$AE367*($V367:$AE367&gt;0)*(($V$3:$AE$3&gt;AC$3)+($V$3:$AE$3=AC$3)*($V367:$AE367&lt;AC367)+($V$3:$AE$3=AC$3)*($V367:$AE367=AC367)*($V$2:$AE$2&lt;AC$2))),2))))</f>
      </c>
      <c r="AN367" s="33">
        <f>IF(AD367&lt;=0,0,MAX(0,MIN(AD367,ROUND($AZ367-SUMPRODUCT($V367:$AE367*($V367:$AE367&gt;0)*(($V$3:$AE$3&gt;AD$3)+($V$3:$AE$3=AD$3)*($V367:$AE367&lt;AD367)+($V$3:$AE$3=AD$3)*($V367:$AE367=AD367)*($V$2:$AE$2&lt;AD$2))),2))))</f>
      </c>
      <c r="AO367" s="33">
        <f>IF(AE367&lt;=0,0,MAX(0,MIN(AE367,ROUND($AZ367-SUMPRODUCT($V367:$AE367*($V367:$AE367&gt;0)*(($V$3:$AE$3&gt;AE$3)+($V$3:$AE$3=AE$3)*($V367:$AE367&lt;AE367)+($V$3:$AE$3=AE$3)*($V367:$AE367=AE367)*($V$2:$AE$2&lt;AE$2))),2))))</f>
      </c>
      <c r="AP367" s="33">
        <f>ROUND(V367-AF367,2)</f>
      </c>
      <c r="AQ367" s="33">
        <f>ROUND(W367-AG367,2)</f>
      </c>
      <c r="AR367" s="33">
        <f>ROUND(X367-AH367,2)</f>
      </c>
      <c r="AS367" s="33">
        <f>ROUND(Y367-AI367,2)</f>
      </c>
      <c r="AT367" s="33">
        <f>ROUND(Z367-AJ367,2)</f>
      </c>
      <c r="AU367" s="33">
        <f>ROUND(AA367-AK367,2)</f>
      </c>
      <c r="AV367" s="33">
        <f>ROUND(AB367-AL367,2)</f>
      </c>
      <c r="AW367" s="33">
        <f>ROUND(AC367-AM367,2)</f>
      </c>
      <c r="AX367" s="33">
        <f>ROUND(AD367-AN367,2)</f>
      </c>
      <c r="AY367" s="33">
        <f>ROUND(AE367-AO367,2)</f>
      </c>
      <c r="AZ367" s="33">
        <f>ROUND(MAX(0,'Your debts'!$D$22-SUM($L367:$U367)),2)</f>
      </c>
      <c r="BA367" s="33">
        <f>ROUND(SUM($B367:$K367)-SUM($AP366:$AY366),2)</f>
      </c>
      <c r="BB367" s="33">
        <f>SUM($AP367:$AY367)</f>
      </c>
      <c r="BC367" s="33">
        <f>ROUND(SUM($L367:$U367)+SUM($AF367:$AO367),2)</f>
      </c>
    </row>
    <row r="368" spans="1:55" x14ac:dyDescent="0.25">
      <c r="A368">
        <v>361</v>
      </c>
      <c r="B368" s="33">
        <f>IF(AP367&lt;=0,0,ROUND(AP367+ROUND(AP367*V$3/12,2),2))</f>
      </c>
      <c r="C368" s="33">
        <f>IF(AQ367&lt;=0,0,ROUND(AQ367+ROUND(AQ367*W$3/12,2),2))</f>
      </c>
      <c r="D368" s="33">
        <f>IF(AR367&lt;=0,0,ROUND(AR367+ROUND(AR367*X$3/12,2),2))</f>
      </c>
      <c r="E368" s="33">
        <f>IF(AS367&lt;=0,0,ROUND(AS367+ROUND(AS367*Y$3/12,2),2))</f>
      </c>
      <c r="F368" s="33">
        <f>IF(AT367&lt;=0,0,ROUND(AT367+ROUND(AT367*Z$3/12,2),2))</f>
      </c>
      <c r="G368" s="33">
        <f>IF(AU367&lt;=0,0,ROUND(AU367+ROUND(AU367*AA$3/12,2),2))</f>
      </c>
      <c r="H368" s="33">
        <f>IF(AV367&lt;=0,0,ROUND(AV367+ROUND(AV367*AB$3/12,2),2))</f>
      </c>
      <c r="I368" s="33">
        <f>IF(AW367&lt;=0,0,ROUND(AW367+ROUND(AW367*AC$3/12,2),2))</f>
      </c>
      <c r="J368" s="33">
        <f>IF(AX367&lt;=0,0,ROUND(AX367+ROUND(AX367*AD$3/12,2),2))</f>
      </c>
      <c r="K368" s="33">
        <f>IF(AY367&lt;=0,0,ROUND(AY367+ROUND(AY367*AE$3/12,2),2))</f>
      </c>
      <c r="L368" s="33">
        <f>ROUND(MIN(MAX(0,N('Your debts'!$E$6)),B368),2)</f>
      </c>
      <c r="M368" s="33">
        <f>ROUND(MIN(MAX(0,N('Your debts'!$E$7)),C368),2)</f>
      </c>
      <c r="N368" s="33">
        <f>ROUND(MIN(MAX(0,N('Your debts'!$E$8)),D368),2)</f>
      </c>
      <c r="O368" s="33">
        <f>ROUND(MIN(MAX(0,N('Your debts'!$E$9)),E368),2)</f>
      </c>
      <c r="P368" s="33">
        <f>ROUND(MIN(MAX(0,N('Your debts'!$E$10)),F368),2)</f>
      </c>
      <c r="Q368" s="33">
        <f>ROUND(MIN(MAX(0,N('Your debts'!$E$11)),G368),2)</f>
      </c>
      <c r="R368" s="33">
        <f>ROUND(MIN(MAX(0,N('Your debts'!$E$12)),H368),2)</f>
      </c>
      <c r="S368" s="33">
        <f>ROUND(MIN(MAX(0,N('Your debts'!$E$13)),I368),2)</f>
      </c>
      <c r="T368" s="33">
        <f>ROUND(MIN(MAX(0,N('Your debts'!$E$14)),J368),2)</f>
      </c>
      <c r="U368" s="33">
        <f>ROUND(MIN(MAX(0,N('Your debts'!$E$15)),K368),2)</f>
      </c>
      <c r="V368" s="33">
        <f>ROUND(B368-L368,2)</f>
      </c>
      <c r="W368" s="33">
        <f>ROUND(C368-M368,2)</f>
      </c>
      <c r="X368" s="33">
        <f>ROUND(D368-N368,2)</f>
      </c>
      <c r="Y368" s="33">
        <f>ROUND(E368-O368,2)</f>
      </c>
      <c r="Z368" s="33">
        <f>ROUND(F368-P368,2)</f>
      </c>
      <c r="AA368" s="33">
        <f>ROUND(G368-Q368,2)</f>
      </c>
      <c r="AB368" s="33">
        <f>ROUND(H368-R368,2)</f>
      </c>
      <c r="AC368" s="33">
        <f>ROUND(I368-S368,2)</f>
      </c>
      <c r="AD368" s="33">
        <f>ROUND(J368-T368,2)</f>
      </c>
      <c r="AE368" s="33">
        <f>ROUND(K368-U368,2)</f>
      </c>
      <c r="AF368" s="33">
        <f>IF(V368&lt;=0,0,MAX(0,MIN(V368,ROUND($AZ368-SUMPRODUCT($V368:$AE368*($V368:$AE368&gt;0)*(($V$3:$AE$3&gt;V$3)+($V$3:$AE$3=V$3)*($V368:$AE368&lt;V368)+($V$3:$AE$3=V$3)*($V368:$AE368=V368)*($V$2:$AE$2&lt;V$2))),2))))</f>
      </c>
      <c r="AG368" s="33">
        <f>IF(W368&lt;=0,0,MAX(0,MIN(W368,ROUND($AZ368-SUMPRODUCT($V368:$AE368*($V368:$AE368&gt;0)*(($V$3:$AE$3&gt;W$3)+($V$3:$AE$3=W$3)*($V368:$AE368&lt;W368)+($V$3:$AE$3=W$3)*($V368:$AE368=W368)*($V$2:$AE$2&lt;W$2))),2))))</f>
      </c>
      <c r="AH368" s="33">
        <f>IF(X368&lt;=0,0,MAX(0,MIN(X368,ROUND($AZ368-SUMPRODUCT($V368:$AE368*($V368:$AE368&gt;0)*(($V$3:$AE$3&gt;X$3)+($V$3:$AE$3=X$3)*($V368:$AE368&lt;X368)+($V$3:$AE$3=X$3)*($V368:$AE368=X368)*($V$2:$AE$2&lt;X$2))),2))))</f>
      </c>
      <c r="AI368" s="33">
        <f>IF(Y368&lt;=0,0,MAX(0,MIN(Y368,ROUND($AZ368-SUMPRODUCT($V368:$AE368*($V368:$AE368&gt;0)*(($V$3:$AE$3&gt;Y$3)+($V$3:$AE$3=Y$3)*($V368:$AE368&lt;Y368)+($V$3:$AE$3=Y$3)*($V368:$AE368=Y368)*($V$2:$AE$2&lt;Y$2))),2))))</f>
      </c>
      <c r="AJ368" s="33">
        <f>IF(Z368&lt;=0,0,MAX(0,MIN(Z368,ROUND($AZ368-SUMPRODUCT($V368:$AE368*($V368:$AE368&gt;0)*(($V$3:$AE$3&gt;Z$3)+($V$3:$AE$3=Z$3)*($V368:$AE368&lt;Z368)+($V$3:$AE$3=Z$3)*($V368:$AE368=Z368)*($V$2:$AE$2&lt;Z$2))),2))))</f>
      </c>
      <c r="AK368" s="33">
        <f>IF(AA368&lt;=0,0,MAX(0,MIN(AA368,ROUND($AZ368-SUMPRODUCT($V368:$AE368*($V368:$AE368&gt;0)*(($V$3:$AE$3&gt;AA$3)+($V$3:$AE$3=AA$3)*($V368:$AE368&lt;AA368)+($V$3:$AE$3=AA$3)*($V368:$AE368=AA368)*($V$2:$AE$2&lt;AA$2))),2))))</f>
      </c>
      <c r="AL368" s="33">
        <f>IF(AB368&lt;=0,0,MAX(0,MIN(AB368,ROUND($AZ368-SUMPRODUCT($V368:$AE368*($V368:$AE368&gt;0)*(($V$3:$AE$3&gt;AB$3)+($V$3:$AE$3=AB$3)*($V368:$AE368&lt;AB368)+($V$3:$AE$3=AB$3)*($V368:$AE368=AB368)*($V$2:$AE$2&lt;AB$2))),2))))</f>
      </c>
      <c r="AM368" s="33">
        <f>IF(AC368&lt;=0,0,MAX(0,MIN(AC368,ROUND($AZ368-SUMPRODUCT($V368:$AE368*($V368:$AE368&gt;0)*(($V$3:$AE$3&gt;AC$3)+($V$3:$AE$3=AC$3)*($V368:$AE368&lt;AC368)+($V$3:$AE$3=AC$3)*($V368:$AE368=AC368)*($V$2:$AE$2&lt;AC$2))),2))))</f>
      </c>
      <c r="AN368" s="33">
        <f>IF(AD368&lt;=0,0,MAX(0,MIN(AD368,ROUND($AZ368-SUMPRODUCT($V368:$AE368*($V368:$AE368&gt;0)*(($V$3:$AE$3&gt;AD$3)+($V$3:$AE$3=AD$3)*($V368:$AE368&lt;AD368)+($V$3:$AE$3=AD$3)*($V368:$AE368=AD368)*($V$2:$AE$2&lt;AD$2))),2))))</f>
      </c>
      <c r="AO368" s="33">
        <f>IF(AE368&lt;=0,0,MAX(0,MIN(AE368,ROUND($AZ368-SUMPRODUCT($V368:$AE368*($V368:$AE368&gt;0)*(($V$3:$AE$3&gt;AE$3)+($V$3:$AE$3=AE$3)*($V368:$AE368&lt;AE368)+($V$3:$AE$3=AE$3)*($V368:$AE368=AE368)*($V$2:$AE$2&lt;AE$2))),2))))</f>
      </c>
      <c r="AP368" s="33">
        <f>ROUND(V368-AF368,2)</f>
      </c>
      <c r="AQ368" s="33">
        <f>ROUND(W368-AG368,2)</f>
      </c>
      <c r="AR368" s="33">
        <f>ROUND(X368-AH368,2)</f>
      </c>
      <c r="AS368" s="33">
        <f>ROUND(Y368-AI368,2)</f>
      </c>
      <c r="AT368" s="33">
        <f>ROUND(Z368-AJ368,2)</f>
      </c>
      <c r="AU368" s="33">
        <f>ROUND(AA368-AK368,2)</f>
      </c>
      <c r="AV368" s="33">
        <f>ROUND(AB368-AL368,2)</f>
      </c>
      <c r="AW368" s="33">
        <f>ROUND(AC368-AM368,2)</f>
      </c>
      <c r="AX368" s="33">
        <f>ROUND(AD368-AN368,2)</f>
      </c>
      <c r="AY368" s="33">
        <f>ROUND(AE368-AO368,2)</f>
      </c>
      <c r="AZ368" s="33">
        <f>ROUND(MAX(0,'Your debts'!$D$22-SUM($L368:$U368)),2)</f>
      </c>
      <c r="BA368" s="33">
        <f>ROUND(SUM($B368:$K368)-SUM($AP367:$AY367),2)</f>
      </c>
      <c r="BB368" s="33">
        <f>SUM($AP368:$AY368)</f>
      </c>
      <c r="BC368" s="33">
        <f>ROUND(SUM($L368:$U368)+SUM($AF368:$AO368),2)</f>
      </c>
    </row>
    <row r="369" spans="1:55" x14ac:dyDescent="0.25">
      <c r="A369">
        <v>362</v>
      </c>
      <c r="B369" s="33">
        <f>IF(AP368&lt;=0,0,ROUND(AP368+ROUND(AP368*V$3/12,2),2))</f>
      </c>
      <c r="C369" s="33">
        <f>IF(AQ368&lt;=0,0,ROUND(AQ368+ROUND(AQ368*W$3/12,2),2))</f>
      </c>
      <c r="D369" s="33">
        <f>IF(AR368&lt;=0,0,ROUND(AR368+ROUND(AR368*X$3/12,2),2))</f>
      </c>
      <c r="E369" s="33">
        <f>IF(AS368&lt;=0,0,ROUND(AS368+ROUND(AS368*Y$3/12,2),2))</f>
      </c>
      <c r="F369" s="33">
        <f>IF(AT368&lt;=0,0,ROUND(AT368+ROUND(AT368*Z$3/12,2),2))</f>
      </c>
      <c r="G369" s="33">
        <f>IF(AU368&lt;=0,0,ROUND(AU368+ROUND(AU368*AA$3/12,2),2))</f>
      </c>
      <c r="H369" s="33">
        <f>IF(AV368&lt;=0,0,ROUND(AV368+ROUND(AV368*AB$3/12,2),2))</f>
      </c>
      <c r="I369" s="33">
        <f>IF(AW368&lt;=0,0,ROUND(AW368+ROUND(AW368*AC$3/12,2),2))</f>
      </c>
      <c r="J369" s="33">
        <f>IF(AX368&lt;=0,0,ROUND(AX368+ROUND(AX368*AD$3/12,2),2))</f>
      </c>
      <c r="K369" s="33">
        <f>IF(AY368&lt;=0,0,ROUND(AY368+ROUND(AY368*AE$3/12,2),2))</f>
      </c>
      <c r="L369" s="33">
        <f>ROUND(MIN(MAX(0,N('Your debts'!$E$6)),B369),2)</f>
      </c>
      <c r="M369" s="33">
        <f>ROUND(MIN(MAX(0,N('Your debts'!$E$7)),C369),2)</f>
      </c>
      <c r="N369" s="33">
        <f>ROUND(MIN(MAX(0,N('Your debts'!$E$8)),D369),2)</f>
      </c>
      <c r="O369" s="33">
        <f>ROUND(MIN(MAX(0,N('Your debts'!$E$9)),E369),2)</f>
      </c>
      <c r="P369" s="33">
        <f>ROUND(MIN(MAX(0,N('Your debts'!$E$10)),F369),2)</f>
      </c>
      <c r="Q369" s="33">
        <f>ROUND(MIN(MAX(0,N('Your debts'!$E$11)),G369),2)</f>
      </c>
      <c r="R369" s="33">
        <f>ROUND(MIN(MAX(0,N('Your debts'!$E$12)),H369),2)</f>
      </c>
      <c r="S369" s="33">
        <f>ROUND(MIN(MAX(0,N('Your debts'!$E$13)),I369),2)</f>
      </c>
      <c r="T369" s="33">
        <f>ROUND(MIN(MAX(0,N('Your debts'!$E$14)),J369),2)</f>
      </c>
      <c r="U369" s="33">
        <f>ROUND(MIN(MAX(0,N('Your debts'!$E$15)),K369),2)</f>
      </c>
      <c r="V369" s="33">
        <f>ROUND(B369-L369,2)</f>
      </c>
      <c r="W369" s="33">
        <f>ROUND(C369-M369,2)</f>
      </c>
      <c r="X369" s="33">
        <f>ROUND(D369-N369,2)</f>
      </c>
      <c r="Y369" s="33">
        <f>ROUND(E369-O369,2)</f>
      </c>
      <c r="Z369" s="33">
        <f>ROUND(F369-P369,2)</f>
      </c>
      <c r="AA369" s="33">
        <f>ROUND(G369-Q369,2)</f>
      </c>
      <c r="AB369" s="33">
        <f>ROUND(H369-R369,2)</f>
      </c>
      <c r="AC369" s="33">
        <f>ROUND(I369-S369,2)</f>
      </c>
      <c r="AD369" s="33">
        <f>ROUND(J369-T369,2)</f>
      </c>
      <c r="AE369" s="33">
        <f>ROUND(K369-U369,2)</f>
      </c>
      <c r="AF369" s="33">
        <f>IF(V369&lt;=0,0,MAX(0,MIN(V369,ROUND($AZ369-SUMPRODUCT($V369:$AE369*($V369:$AE369&gt;0)*(($V$3:$AE$3&gt;V$3)+($V$3:$AE$3=V$3)*($V369:$AE369&lt;V369)+($V$3:$AE$3=V$3)*($V369:$AE369=V369)*($V$2:$AE$2&lt;V$2))),2))))</f>
      </c>
      <c r="AG369" s="33">
        <f>IF(W369&lt;=0,0,MAX(0,MIN(W369,ROUND($AZ369-SUMPRODUCT($V369:$AE369*($V369:$AE369&gt;0)*(($V$3:$AE$3&gt;W$3)+($V$3:$AE$3=W$3)*($V369:$AE369&lt;W369)+($V$3:$AE$3=W$3)*($V369:$AE369=W369)*($V$2:$AE$2&lt;W$2))),2))))</f>
      </c>
      <c r="AH369" s="33">
        <f>IF(X369&lt;=0,0,MAX(0,MIN(X369,ROUND($AZ369-SUMPRODUCT($V369:$AE369*($V369:$AE369&gt;0)*(($V$3:$AE$3&gt;X$3)+($V$3:$AE$3=X$3)*($V369:$AE369&lt;X369)+($V$3:$AE$3=X$3)*($V369:$AE369=X369)*($V$2:$AE$2&lt;X$2))),2))))</f>
      </c>
      <c r="AI369" s="33">
        <f>IF(Y369&lt;=0,0,MAX(0,MIN(Y369,ROUND($AZ369-SUMPRODUCT($V369:$AE369*($V369:$AE369&gt;0)*(($V$3:$AE$3&gt;Y$3)+($V$3:$AE$3=Y$3)*($V369:$AE369&lt;Y369)+($V$3:$AE$3=Y$3)*($V369:$AE369=Y369)*($V$2:$AE$2&lt;Y$2))),2))))</f>
      </c>
      <c r="AJ369" s="33">
        <f>IF(Z369&lt;=0,0,MAX(0,MIN(Z369,ROUND($AZ369-SUMPRODUCT($V369:$AE369*($V369:$AE369&gt;0)*(($V$3:$AE$3&gt;Z$3)+($V$3:$AE$3=Z$3)*($V369:$AE369&lt;Z369)+($V$3:$AE$3=Z$3)*($V369:$AE369=Z369)*($V$2:$AE$2&lt;Z$2))),2))))</f>
      </c>
      <c r="AK369" s="33">
        <f>IF(AA369&lt;=0,0,MAX(0,MIN(AA369,ROUND($AZ369-SUMPRODUCT($V369:$AE369*($V369:$AE369&gt;0)*(($V$3:$AE$3&gt;AA$3)+($V$3:$AE$3=AA$3)*($V369:$AE369&lt;AA369)+($V$3:$AE$3=AA$3)*($V369:$AE369=AA369)*($V$2:$AE$2&lt;AA$2))),2))))</f>
      </c>
      <c r="AL369" s="33">
        <f>IF(AB369&lt;=0,0,MAX(0,MIN(AB369,ROUND($AZ369-SUMPRODUCT($V369:$AE369*($V369:$AE369&gt;0)*(($V$3:$AE$3&gt;AB$3)+($V$3:$AE$3=AB$3)*($V369:$AE369&lt;AB369)+($V$3:$AE$3=AB$3)*($V369:$AE369=AB369)*($V$2:$AE$2&lt;AB$2))),2))))</f>
      </c>
      <c r="AM369" s="33">
        <f>IF(AC369&lt;=0,0,MAX(0,MIN(AC369,ROUND($AZ369-SUMPRODUCT($V369:$AE369*($V369:$AE369&gt;0)*(($V$3:$AE$3&gt;AC$3)+($V$3:$AE$3=AC$3)*($V369:$AE369&lt;AC369)+($V$3:$AE$3=AC$3)*($V369:$AE369=AC369)*($V$2:$AE$2&lt;AC$2))),2))))</f>
      </c>
      <c r="AN369" s="33">
        <f>IF(AD369&lt;=0,0,MAX(0,MIN(AD369,ROUND($AZ369-SUMPRODUCT($V369:$AE369*($V369:$AE369&gt;0)*(($V$3:$AE$3&gt;AD$3)+($V$3:$AE$3=AD$3)*($V369:$AE369&lt;AD369)+($V$3:$AE$3=AD$3)*($V369:$AE369=AD369)*($V$2:$AE$2&lt;AD$2))),2))))</f>
      </c>
      <c r="AO369" s="33">
        <f>IF(AE369&lt;=0,0,MAX(0,MIN(AE369,ROUND($AZ369-SUMPRODUCT($V369:$AE369*($V369:$AE369&gt;0)*(($V$3:$AE$3&gt;AE$3)+($V$3:$AE$3=AE$3)*($V369:$AE369&lt;AE369)+($V$3:$AE$3=AE$3)*($V369:$AE369=AE369)*($V$2:$AE$2&lt;AE$2))),2))))</f>
      </c>
      <c r="AP369" s="33">
        <f>ROUND(V369-AF369,2)</f>
      </c>
      <c r="AQ369" s="33">
        <f>ROUND(W369-AG369,2)</f>
      </c>
      <c r="AR369" s="33">
        <f>ROUND(X369-AH369,2)</f>
      </c>
      <c r="AS369" s="33">
        <f>ROUND(Y369-AI369,2)</f>
      </c>
      <c r="AT369" s="33">
        <f>ROUND(Z369-AJ369,2)</f>
      </c>
      <c r="AU369" s="33">
        <f>ROUND(AA369-AK369,2)</f>
      </c>
      <c r="AV369" s="33">
        <f>ROUND(AB369-AL369,2)</f>
      </c>
      <c r="AW369" s="33">
        <f>ROUND(AC369-AM369,2)</f>
      </c>
      <c r="AX369" s="33">
        <f>ROUND(AD369-AN369,2)</f>
      </c>
      <c r="AY369" s="33">
        <f>ROUND(AE369-AO369,2)</f>
      </c>
      <c r="AZ369" s="33">
        <f>ROUND(MAX(0,'Your debts'!$D$22-SUM($L369:$U369)),2)</f>
      </c>
      <c r="BA369" s="33">
        <f>ROUND(SUM($B369:$K369)-SUM($AP368:$AY368),2)</f>
      </c>
      <c r="BB369" s="33">
        <f>SUM($AP369:$AY369)</f>
      </c>
      <c r="BC369" s="33">
        <f>ROUND(SUM($L369:$U369)+SUM($AF369:$AO369),2)</f>
      </c>
    </row>
    <row r="370" spans="1:55" x14ac:dyDescent="0.25">
      <c r="A370">
        <v>363</v>
      </c>
      <c r="B370" s="33">
        <f>IF(AP369&lt;=0,0,ROUND(AP369+ROUND(AP369*V$3/12,2),2))</f>
      </c>
      <c r="C370" s="33">
        <f>IF(AQ369&lt;=0,0,ROUND(AQ369+ROUND(AQ369*W$3/12,2),2))</f>
      </c>
      <c r="D370" s="33">
        <f>IF(AR369&lt;=0,0,ROUND(AR369+ROUND(AR369*X$3/12,2),2))</f>
      </c>
      <c r="E370" s="33">
        <f>IF(AS369&lt;=0,0,ROUND(AS369+ROUND(AS369*Y$3/12,2),2))</f>
      </c>
      <c r="F370" s="33">
        <f>IF(AT369&lt;=0,0,ROUND(AT369+ROUND(AT369*Z$3/12,2),2))</f>
      </c>
      <c r="G370" s="33">
        <f>IF(AU369&lt;=0,0,ROUND(AU369+ROUND(AU369*AA$3/12,2),2))</f>
      </c>
      <c r="H370" s="33">
        <f>IF(AV369&lt;=0,0,ROUND(AV369+ROUND(AV369*AB$3/12,2),2))</f>
      </c>
      <c r="I370" s="33">
        <f>IF(AW369&lt;=0,0,ROUND(AW369+ROUND(AW369*AC$3/12,2),2))</f>
      </c>
      <c r="J370" s="33">
        <f>IF(AX369&lt;=0,0,ROUND(AX369+ROUND(AX369*AD$3/12,2),2))</f>
      </c>
      <c r="K370" s="33">
        <f>IF(AY369&lt;=0,0,ROUND(AY369+ROUND(AY369*AE$3/12,2),2))</f>
      </c>
      <c r="L370" s="33">
        <f>ROUND(MIN(MAX(0,N('Your debts'!$E$6)),B370),2)</f>
      </c>
      <c r="M370" s="33">
        <f>ROUND(MIN(MAX(0,N('Your debts'!$E$7)),C370),2)</f>
      </c>
      <c r="N370" s="33">
        <f>ROUND(MIN(MAX(0,N('Your debts'!$E$8)),D370),2)</f>
      </c>
      <c r="O370" s="33">
        <f>ROUND(MIN(MAX(0,N('Your debts'!$E$9)),E370),2)</f>
      </c>
      <c r="P370" s="33">
        <f>ROUND(MIN(MAX(0,N('Your debts'!$E$10)),F370),2)</f>
      </c>
      <c r="Q370" s="33">
        <f>ROUND(MIN(MAX(0,N('Your debts'!$E$11)),G370),2)</f>
      </c>
      <c r="R370" s="33">
        <f>ROUND(MIN(MAX(0,N('Your debts'!$E$12)),H370),2)</f>
      </c>
      <c r="S370" s="33">
        <f>ROUND(MIN(MAX(0,N('Your debts'!$E$13)),I370),2)</f>
      </c>
      <c r="T370" s="33">
        <f>ROUND(MIN(MAX(0,N('Your debts'!$E$14)),J370),2)</f>
      </c>
      <c r="U370" s="33">
        <f>ROUND(MIN(MAX(0,N('Your debts'!$E$15)),K370),2)</f>
      </c>
      <c r="V370" s="33">
        <f>ROUND(B370-L370,2)</f>
      </c>
      <c r="W370" s="33">
        <f>ROUND(C370-M370,2)</f>
      </c>
      <c r="X370" s="33">
        <f>ROUND(D370-N370,2)</f>
      </c>
      <c r="Y370" s="33">
        <f>ROUND(E370-O370,2)</f>
      </c>
      <c r="Z370" s="33">
        <f>ROUND(F370-P370,2)</f>
      </c>
      <c r="AA370" s="33">
        <f>ROUND(G370-Q370,2)</f>
      </c>
      <c r="AB370" s="33">
        <f>ROUND(H370-R370,2)</f>
      </c>
      <c r="AC370" s="33">
        <f>ROUND(I370-S370,2)</f>
      </c>
      <c r="AD370" s="33">
        <f>ROUND(J370-T370,2)</f>
      </c>
      <c r="AE370" s="33">
        <f>ROUND(K370-U370,2)</f>
      </c>
      <c r="AF370" s="33">
        <f>IF(V370&lt;=0,0,MAX(0,MIN(V370,ROUND($AZ370-SUMPRODUCT($V370:$AE370*($V370:$AE370&gt;0)*(($V$3:$AE$3&gt;V$3)+($V$3:$AE$3=V$3)*($V370:$AE370&lt;V370)+($V$3:$AE$3=V$3)*($V370:$AE370=V370)*($V$2:$AE$2&lt;V$2))),2))))</f>
      </c>
      <c r="AG370" s="33">
        <f>IF(W370&lt;=0,0,MAX(0,MIN(W370,ROUND($AZ370-SUMPRODUCT($V370:$AE370*($V370:$AE370&gt;0)*(($V$3:$AE$3&gt;W$3)+($V$3:$AE$3=W$3)*($V370:$AE370&lt;W370)+($V$3:$AE$3=W$3)*($V370:$AE370=W370)*($V$2:$AE$2&lt;W$2))),2))))</f>
      </c>
      <c r="AH370" s="33">
        <f>IF(X370&lt;=0,0,MAX(0,MIN(X370,ROUND($AZ370-SUMPRODUCT($V370:$AE370*($V370:$AE370&gt;0)*(($V$3:$AE$3&gt;X$3)+($V$3:$AE$3=X$3)*($V370:$AE370&lt;X370)+($V$3:$AE$3=X$3)*($V370:$AE370=X370)*($V$2:$AE$2&lt;X$2))),2))))</f>
      </c>
      <c r="AI370" s="33">
        <f>IF(Y370&lt;=0,0,MAX(0,MIN(Y370,ROUND($AZ370-SUMPRODUCT($V370:$AE370*($V370:$AE370&gt;0)*(($V$3:$AE$3&gt;Y$3)+($V$3:$AE$3=Y$3)*($V370:$AE370&lt;Y370)+($V$3:$AE$3=Y$3)*($V370:$AE370=Y370)*($V$2:$AE$2&lt;Y$2))),2))))</f>
      </c>
      <c r="AJ370" s="33">
        <f>IF(Z370&lt;=0,0,MAX(0,MIN(Z370,ROUND($AZ370-SUMPRODUCT($V370:$AE370*($V370:$AE370&gt;0)*(($V$3:$AE$3&gt;Z$3)+($V$3:$AE$3=Z$3)*($V370:$AE370&lt;Z370)+($V$3:$AE$3=Z$3)*($V370:$AE370=Z370)*($V$2:$AE$2&lt;Z$2))),2))))</f>
      </c>
      <c r="AK370" s="33">
        <f>IF(AA370&lt;=0,0,MAX(0,MIN(AA370,ROUND($AZ370-SUMPRODUCT($V370:$AE370*($V370:$AE370&gt;0)*(($V$3:$AE$3&gt;AA$3)+($V$3:$AE$3=AA$3)*($V370:$AE370&lt;AA370)+($V$3:$AE$3=AA$3)*($V370:$AE370=AA370)*($V$2:$AE$2&lt;AA$2))),2))))</f>
      </c>
      <c r="AL370" s="33">
        <f>IF(AB370&lt;=0,0,MAX(0,MIN(AB370,ROUND($AZ370-SUMPRODUCT($V370:$AE370*($V370:$AE370&gt;0)*(($V$3:$AE$3&gt;AB$3)+($V$3:$AE$3=AB$3)*($V370:$AE370&lt;AB370)+($V$3:$AE$3=AB$3)*($V370:$AE370=AB370)*($V$2:$AE$2&lt;AB$2))),2))))</f>
      </c>
      <c r="AM370" s="33">
        <f>IF(AC370&lt;=0,0,MAX(0,MIN(AC370,ROUND($AZ370-SUMPRODUCT($V370:$AE370*($V370:$AE370&gt;0)*(($V$3:$AE$3&gt;AC$3)+($V$3:$AE$3=AC$3)*($V370:$AE370&lt;AC370)+($V$3:$AE$3=AC$3)*($V370:$AE370=AC370)*($V$2:$AE$2&lt;AC$2))),2))))</f>
      </c>
      <c r="AN370" s="33">
        <f>IF(AD370&lt;=0,0,MAX(0,MIN(AD370,ROUND($AZ370-SUMPRODUCT($V370:$AE370*($V370:$AE370&gt;0)*(($V$3:$AE$3&gt;AD$3)+($V$3:$AE$3=AD$3)*($V370:$AE370&lt;AD370)+($V$3:$AE$3=AD$3)*($V370:$AE370=AD370)*($V$2:$AE$2&lt;AD$2))),2))))</f>
      </c>
      <c r="AO370" s="33">
        <f>IF(AE370&lt;=0,0,MAX(0,MIN(AE370,ROUND($AZ370-SUMPRODUCT($V370:$AE370*($V370:$AE370&gt;0)*(($V$3:$AE$3&gt;AE$3)+($V$3:$AE$3=AE$3)*($V370:$AE370&lt;AE370)+($V$3:$AE$3=AE$3)*($V370:$AE370=AE370)*($V$2:$AE$2&lt;AE$2))),2))))</f>
      </c>
      <c r="AP370" s="33">
        <f>ROUND(V370-AF370,2)</f>
      </c>
      <c r="AQ370" s="33">
        <f>ROUND(W370-AG370,2)</f>
      </c>
      <c r="AR370" s="33">
        <f>ROUND(X370-AH370,2)</f>
      </c>
      <c r="AS370" s="33">
        <f>ROUND(Y370-AI370,2)</f>
      </c>
      <c r="AT370" s="33">
        <f>ROUND(Z370-AJ370,2)</f>
      </c>
      <c r="AU370" s="33">
        <f>ROUND(AA370-AK370,2)</f>
      </c>
      <c r="AV370" s="33">
        <f>ROUND(AB370-AL370,2)</f>
      </c>
      <c r="AW370" s="33">
        <f>ROUND(AC370-AM370,2)</f>
      </c>
      <c r="AX370" s="33">
        <f>ROUND(AD370-AN370,2)</f>
      </c>
      <c r="AY370" s="33">
        <f>ROUND(AE370-AO370,2)</f>
      </c>
      <c r="AZ370" s="33">
        <f>ROUND(MAX(0,'Your debts'!$D$22-SUM($L370:$U370)),2)</f>
      </c>
      <c r="BA370" s="33">
        <f>ROUND(SUM($B370:$K370)-SUM($AP369:$AY369),2)</f>
      </c>
      <c r="BB370" s="33">
        <f>SUM($AP370:$AY370)</f>
      </c>
      <c r="BC370" s="33">
        <f>ROUND(SUM($L370:$U370)+SUM($AF370:$AO370),2)</f>
      </c>
    </row>
    <row r="371" spans="1:55" x14ac:dyDescent="0.25">
      <c r="A371">
        <v>364</v>
      </c>
      <c r="B371" s="33">
        <f>IF(AP370&lt;=0,0,ROUND(AP370+ROUND(AP370*V$3/12,2),2))</f>
      </c>
      <c r="C371" s="33">
        <f>IF(AQ370&lt;=0,0,ROUND(AQ370+ROUND(AQ370*W$3/12,2),2))</f>
      </c>
      <c r="D371" s="33">
        <f>IF(AR370&lt;=0,0,ROUND(AR370+ROUND(AR370*X$3/12,2),2))</f>
      </c>
      <c r="E371" s="33">
        <f>IF(AS370&lt;=0,0,ROUND(AS370+ROUND(AS370*Y$3/12,2),2))</f>
      </c>
      <c r="F371" s="33">
        <f>IF(AT370&lt;=0,0,ROUND(AT370+ROUND(AT370*Z$3/12,2),2))</f>
      </c>
      <c r="G371" s="33">
        <f>IF(AU370&lt;=0,0,ROUND(AU370+ROUND(AU370*AA$3/12,2),2))</f>
      </c>
      <c r="H371" s="33">
        <f>IF(AV370&lt;=0,0,ROUND(AV370+ROUND(AV370*AB$3/12,2),2))</f>
      </c>
      <c r="I371" s="33">
        <f>IF(AW370&lt;=0,0,ROUND(AW370+ROUND(AW370*AC$3/12,2),2))</f>
      </c>
      <c r="J371" s="33">
        <f>IF(AX370&lt;=0,0,ROUND(AX370+ROUND(AX370*AD$3/12,2),2))</f>
      </c>
      <c r="K371" s="33">
        <f>IF(AY370&lt;=0,0,ROUND(AY370+ROUND(AY370*AE$3/12,2),2))</f>
      </c>
      <c r="L371" s="33">
        <f>ROUND(MIN(MAX(0,N('Your debts'!$E$6)),B371),2)</f>
      </c>
      <c r="M371" s="33">
        <f>ROUND(MIN(MAX(0,N('Your debts'!$E$7)),C371),2)</f>
      </c>
      <c r="N371" s="33">
        <f>ROUND(MIN(MAX(0,N('Your debts'!$E$8)),D371),2)</f>
      </c>
      <c r="O371" s="33">
        <f>ROUND(MIN(MAX(0,N('Your debts'!$E$9)),E371),2)</f>
      </c>
      <c r="P371" s="33">
        <f>ROUND(MIN(MAX(0,N('Your debts'!$E$10)),F371),2)</f>
      </c>
      <c r="Q371" s="33">
        <f>ROUND(MIN(MAX(0,N('Your debts'!$E$11)),G371),2)</f>
      </c>
      <c r="R371" s="33">
        <f>ROUND(MIN(MAX(0,N('Your debts'!$E$12)),H371),2)</f>
      </c>
      <c r="S371" s="33">
        <f>ROUND(MIN(MAX(0,N('Your debts'!$E$13)),I371),2)</f>
      </c>
      <c r="T371" s="33">
        <f>ROUND(MIN(MAX(0,N('Your debts'!$E$14)),J371),2)</f>
      </c>
      <c r="U371" s="33">
        <f>ROUND(MIN(MAX(0,N('Your debts'!$E$15)),K371),2)</f>
      </c>
      <c r="V371" s="33">
        <f>ROUND(B371-L371,2)</f>
      </c>
      <c r="W371" s="33">
        <f>ROUND(C371-M371,2)</f>
      </c>
      <c r="X371" s="33">
        <f>ROUND(D371-N371,2)</f>
      </c>
      <c r="Y371" s="33">
        <f>ROUND(E371-O371,2)</f>
      </c>
      <c r="Z371" s="33">
        <f>ROUND(F371-P371,2)</f>
      </c>
      <c r="AA371" s="33">
        <f>ROUND(G371-Q371,2)</f>
      </c>
      <c r="AB371" s="33">
        <f>ROUND(H371-R371,2)</f>
      </c>
      <c r="AC371" s="33">
        <f>ROUND(I371-S371,2)</f>
      </c>
      <c r="AD371" s="33">
        <f>ROUND(J371-T371,2)</f>
      </c>
      <c r="AE371" s="33">
        <f>ROUND(K371-U371,2)</f>
      </c>
      <c r="AF371" s="33">
        <f>IF(V371&lt;=0,0,MAX(0,MIN(V371,ROUND($AZ371-SUMPRODUCT($V371:$AE371*($V371:$AE371&gt;0)*(($V$3:$AE$3&gt;V$3)+($V$3:$AE$3=V$3)*($V371:$AE371&lt;V371)+($V$3:$AE$3=V$3)*($V371:$AE371=V371)*($V$2:$AE$2&lt;V$2))),2))))</f>
      </c>
      <c r="AG371" s="33">
        <f>IF(W371&lt;=0,0,MAX(0,MIN(W371,ROUND($AZ371-SUMPRODUCT($V371:$AE371*($V371:$AE371&gt;0)*(($V$3:$AE$3&gt;W$3)+($V$3:$AE$3=W$3)*($V371:$AE371&lt;W371)+($V$3:$AE$3=W$3)*($V371:$AE371=W371)*($V$2:$AE$2&lt;W$2))),2))))</f>
      </c>
      <c r="AH371" s="33">
        <f>IF(X371&lt;=0,0,MAX(0,MIN(X371,ROUND($AZ371-SUMPRODUCT($V371:$AE371*($V371:$AE371&gt;0)*(($V$3:$AE$3&gt;X$3)+($V$3:$AE$3=X$3)*($V371:$AE371&lt;X371)+($V$3:$AE$3=X$3)*($V371:$AE371=X371)*($V$2:$AE$2&lt;X$2))),2))))</f>
      </c>
      <c r="AI371" s="33">
        <f>IF(Y371&lt;=0,0,MAX(0,MIN(Y371,ROUND($AZ371-SUMPRODUCT($V371:$AE371*($V371:$AE371&gt;0)*(($V$3:$AE$3&gt;Y$3)+($V$3:$AE$3=Y$3)*($V371:$AE371&lt;Y371)+($V$3:$AE$3=Y$3)*($V371:$AE371=Y371)*($V$2:$AE$2&lt;Y$2))),2))))</f>
      </c>
      <c r="AJ371" s="33">
        <f>IF(Z371&lt;=0,0,MAX(0,MIN(Z371,ROUND($AZ371-SUMPRODUCT($V371:$AE371*($V371:$AE371&gt;0)*(($V$3:$AE$3&gt;Z$3)+($V$3:$AE$3=Z$3)*($V371:$AE371&lt;Z371)+($V$3:$AE$3=Z$3)*($V371:$AE371=Z371)*($V$2:$AE$2&lt;Z$2))),2))))</f>
      </c>
      <c r="AK371" s="33">
        <f>IF(AA371&lt;=0,0,MAX(0,MIN(AA371,ROUND($AZ371-SUMPRODUCT($V371:$AE371*($V371:$AE371&gt;0)*(($V$3:$AE$3&gt;AA$3)+($V$3:$AE$3=AA$3)*($V371:$AE371&lt;AA371)+($V$3:$AE$3=AA$3)*($V371:$AE371=AA371)*($V$2:$AE$2&lt;AA$2))),2))))</f>
      </c>
      <c r="AL371" s="33">
        <f>IF(AB371&lt;=0,0,MAX(0,MIN(AB371,ROUND($AZ371-SUMPRODUCT($V371:$AE371*($V371:$AE371&gt;0)*(($V$3:$AE$3&gt;AB$3)+($V$3:$AE$3=AB$3)*($V371:$AE371&lt;AB371)+($V$3:$AE$3=AB$3)*($V371:$AE371=AB371)*($V$2:$AE$2&lt;AB$2))),2))))</f>
      </c>
      <c r="AM371" s="33">
        <f>IF(AC371&lt;=0,0,MAX(0,MIN(AC371,ROUND($AZ371-SUMPRODUCT($V371:$AE371*($V371:$AE371&gt;0)*(($V$3:$AE$3&gt;AC$3)+($V$3:$AE$3=AC$3)*($V371:$AE371&lt;AC371)+($V$3:$AE$3=AC$3)*($V371:$AE371=AC371)*($V$2:$AE$2&lt;AC$2))),2))))</f>
      </c>
      <c r="AN371" s="33">
        <f>IF(AD371&lt;=0,0,MAX(0,MIN(AD371,ROUND($AZ371-SUMPRODUCT($V371:$AE371*($V371:$AE371&gt;0)*(($V$3:$AE$3&gt;AD$3)+($V$3:$AE$3=AD$3)*($V371:$AE371&lt;AD371)+($V$3:$AE$3=AD$3)*($V371:$AE371=AD371)*($V$2:$AE$2&lt;AD$2))),2))))</f>
      </c>
      <c r="AO371" s="33">
        <f>IF(AE371&lt;=0,0,MAX(0,MIN(AE371,ROUND($AZ371-SUMPRODUCT($V371:$AE371*($V371:$AE371&gt;0)*(($V$3:$AE$3&gt;AE$3)+($V$3:$AE$3=AE$3)*($V371:$AE371&lt;AE371)+($V$3:$AE$3=AE$3)*($V371:$AE371=AE371)*($V$2:$AE$2&lt;AE$2))),2))))</f>
      </c>
      <c r="AP371" s="33">
        <f>ROUND(V371-AF371,2)</f>
      </c>
      <c r="AQ371" s="33">
        <f>ROUND(W371-AG371,2)</f>
      </c>
      <c r="AR371" s="33">
        <f>ROUND(X371-AH371,2)</f>
      </c>
      <c r="AS371" s="33">
        <f>ROUND(Y371-AI371,2)</f>
      </c>
      <c r="AT371" s="33">
        <f>ROUND(Z371-AJ371,2)</f>
      </c>
      <c r="AU371" s="33">
        <f>ROUND(AA371-AK371,2)</f>
      </c>
      <c r="AV371" s="33">
        <f>ROUND(AB371-AL371,2)</f>
      </c>
      <c r="AW371" s="33">
        <f>ROUND(AC371-AM371,2)</f>
      </c>
      <c r="AX371" s="33">
        <f>ROUND(AD371-AN371,2)</f>
      </c>
      <c r="AY371" s="33">
        <f>ROUND(AE371-AO371,2)</f>
      </c>
      <c r="AZ371" s="33">
        <f>ROUND(MAX(0,'Your debts'!$D$22-SUM($L371:$U371)),2)</f>
      </c>
      <c r="BA371" s="33">
        <f>ROUND(SUM($B371:$K371)-SUM($AP370:$AY370),2)</f>
      </c>
      <c r="BB371" s="33">
        <f>SUM($AP371:$AY371)</f>
      </c>
      <c r="BC371" s="33">
        <f>ROUND(SUM($L371:$U371)+SUM($AF371:$AO371),2)</f>
      </c>
    </row>
    <row r="372" spans="1:55" x14ac:dyDescent="0.25">
      <c r="A372">
        <v>365</v>
      </c>
      <c r="B372" s="33">
        <f>IF(AP371&lt;=0,0,ROUND(AP371+ROUND(AP371*V$3/12,2),2))</f>
      </c>
      <c r="C372" s="33">
        <f>IF(AQ371&lt;=0,0,ROUND(AQ371+ROUND(AQ371*W$3/12,2),2))</f>
      </c>
      <c r="D372" s="33">
        <f>IF(AR371&lt;=0,0,ROUND(AR371+ROUND(AR371*X$3/12,2),2))</f>
      </c>
      <c r="E372" s="33">
        <f>IF(AS371&lt;=0,0,ROUND(AS371+ROUND(AS371*Y$3/12,2),2))</f>
      </c>
      <c r="F372" s="33">
        <f>IF(AT371&lt;=0,0,ROUND(AT371+ROUND(AT371*Z$3/12,2),2))</f>
      </c>
      <c r="G372" s="33">
        <f>IF(AU371&lt;=0,0,ROUND(AU371+ROUND(AU371*AA$3/12,2),2))</f>
      </c>
      <c r="H372" s="33">
        <f>IF(AV371&lt;=0,0,ROUND(AV371+ROUND(AV371*AB$3/12,2),2))</f>
      </c>
      <c r="I372" s="33">
        <f>IF(AW371&lt;=0,0,ROUND(AW371+ROUND(AW371*AC$3/12,2),2))</f>
      </c>
      <c r="J372" s="33">
        <f>IF(AX371&lt;=0,0,ROUND(AX371+ROUND(AX371*AD$3/12,2),2))</f>
      </c>
      <c r="K372" s="33">
        <f>IF(AY371&lt;=0,0,ROUND(AY371+ROUND(AY371*AE$3/12,2),2))</f>
      </c>
      <c r="L372" s="33">
        <f>ROUND(MIN(MAX(0,N('Your debts'!$E$6)),B372),2)</f>
      </c>
      <c r="M372" s="33">
        <f>ROUND(MIN(MAX(0,N('Your debts'!$E$7)),C372),2)</f>
      </c>
      <c r="N372" s="33">
        <f>ROUND(MIN(MAX(0,N('Your debts'!$E$8)),D372),2)</f>
      </c>
      <c r="O372" s="33">
        <f>ROUND(MIN(MAX(0,N('Your debts'!$E$9)),E372),2)</f>
      </c>
      <c r="P372" s="33">
        <f>ROUND(MIN(MAX(0,N('Your debts'!$E$10)),F372),2)</f>
      </c>
      <c r="Q372" s="33">
        <f>ROUND(MIN(MAX(0,N('Your debts'!$E$11)),G372),2)</f>
      </c>
      <c r="R372" s="33">
        <f>ROUND(MIN(MAX(0,N('Your debts'!$E$12)),H372),2)</f>
      </c>
      <c r="S372" s="33">
        <f>ROUND(MIN(MAX(0,N('Your debts'!$E$13)),I372),2)</f>
      </c>
      <c r="T372" s="33">
        <f>ROUND(MIN(MAX(0,N('Your debts'!$E$14)),J372),2)</f>
      </c>
      <c r="U372" s="33">
        <f>ROUND(MIN(MAX(0,N('Your debts'!$E$15)),K372),2)</f>
      </c>
      <c r="V372" s="33">
        <f>ROUND(B372-L372,2)</f>
      </c>
      <c r="W372" s="33">
        <f>ROUND(C372-M372,2)</f>
      </c>
      <c r="X372" s="33">
        <f>ROUND(D372-N372,2)</f>
      </c>
      <c r="Y372" s="33">
        <f>ROUND(E372-O372,2)</f>
      </c>
      <c r="Z372" s="33">
        <f>ROUND(F372-P372,2)</f>
      </c>
      <c r="AA372" s="33">
        <f>ROUND(G372-Q372,2)</f>
      </c>
      <c r="AB372" s="33">
        <f>ROUND(H372-R372,2)</f>
      </c>
      <c r="AC372" s="33">
        <f>ROUND(I372-S372,2)</f>
      </c>
      <c r="AD372" s="33">
        <f>ROUND(J372-T372,2)</f>
      </c>
      <c r="AE372" s="33">
        <f>ROUND(K372-U372,2)</f>
      </c>
      <c r="AF372" s="33">
        <f>IF(V372&lt;=0,0,MAX(0,MIN(V372,ROUND($AZ372-SUMPRODUCT($V372:$AE372*($V372:$AE372&gt;0)*(($V$3:$AE$3&gt;V$3)+($V$3:$AE$3=V$3)*($V372:$AE372&lt;V372)+($V$3:$AE$3=V$3)*($V372:$AE372=V372)*($V$2:$AE$2&lt;V$2))),2))))</f>
      </c>
      <c r="AG372" s="33">
        <f>IF(W372&lt;=0,0,MAX(0,MIN(W372,ROUND($AZ372-SUMPRODUCT($V372:$AE372*($V372:$AE372&gt;0)*(($V$3:$AE$3&gt;W$3)+($V$3:$AE$3=W$3)*($V372:$AE372&lt;W372)+($V$3:$AE$3=W$3)*($V372:$AE372=W372)*($V$2:$AE$2&lt;W$2))),2))))</f>
      </c>
      <c r="AH372" s="33">
        <f>IF(X372&lt;=0,0,MAX(0,MIN(X372,ROUND($AZ372-SUMPRODUCT($V372:$AE372*($V372:$AE372&gt;0)*(($V$3:$AE$3&gt;X$3)+($V$3:$AE$3=X$3)*($V372:$AE372&lt;X372)+($V$3:$AE$3=X$3)*($V372:$AE372=X372)*($V$2:$AE$2&lt;X$2))),2))))</f>
      </c>
      <c r="AI372" s="33">
        <f>IF(Y372&lt;=0,0,MAX(0,MIN(Y372,ROUND($AZ372-SUMPRODUCT($V372:$AE372*($V372:$AE372&gt;0)*(($V$3:$AE$3&gt;Y$3)+($V$3:$AE$3=Y$3)*($V372:$AE372&lt;Y372)+($V$3:$AE$3=Y$3)*($V372:$AE372=Y372)*($V$2:$AE$2&lt;Y$2))),2))))</f>
      </c>
      <c r="AJ372" s="33">
        <f>IF(Z372&lt;=0,0,MAX(0,MIN(Z372,ROUND($AZ372-SUMPRODUCT($V372:$AE372*($V372:$AE372&gt;0)*(($V$3:$AE$3&gt;Z$3)+($V$3:$AE$3=Z$3)*($V372:$AE372&lt;Z372)+($V$3:$AE$3=Z$3)*($V372:$AE372=Z372)*($V$2:$AE$2&lt;Z$2))),2))))</f>
      </c>
      <c r="AK372" s="33">
        <f>IF(AA372&lt;=0,0,MAX(0,MIN(AA372,ROUND($AZ372-SUMPRODUCT($V372:$AE372*($V372:$AE372&gt;0)*(($V$3:$AE$3&gt;AA$3)+($V$3:$AE$3=AA$3)*($V372:$AE372&lt;AA372)+($V$3:$AE$3=AA$3)*($V372:$AE372=AA372)*($V$2:$AE$2&lt;AA$2))),2))))</f>
      </c>
      <c r="AL372" s="33">
        <f>IF(AB372&lt;=0,0,MAX(0,MIN(AB372,ROUND($AZ372-SUMPRODUCT($V372:$AE372*($V372:$AE372&gt;0)*(($V$3:$AE$3&gt;AB$3)+($V$3:$AE$3=AB$3)*($V372:$AE372&lt;AB372)+($V$3:$AE$3=AB$3)*($V372:$AE372=AB372)*($V$2:$AE$2&lt;AB$2))),2))))</f>
      </c>
      <c r="AM372" s="33">
        <f>IF(AC372&lt;=0,0,MAX(0,MIN(AC372,ROUND($AZ372-SUMPRODUCT($V372:$AE372*($V372:$AE372&gt;0)*(($V$3:$AE$3&gt;AC$3)+($V$3:$AE$3=AC$3)*($V372:$AE372&lt;AC372)+($V$3:$AE$3=AC$3)*($V372:$AE372=AC372)*($V$2:$AE$2&lt;AC$2))),2))))</f>
      </c>
      <c r="AN372" s="33">
        <f>IF(AD372&lt;=0,0,MAX(0,MIN(AD372,ROUND($AZ372-SUMPRODUCT($V372:$AE372*($V372:$AE372&gt;0)*(($V$3:$AE$3&gt;AD$3)+($V$3:$AE$3=AD$3)*($V372:$AE372&lt;AD372)+($V$3:$AE$3=AD$3)*($V372:$AE372=AD372)*($V$2:$AE$2&lt;AD$2))),2))))</f>
      </c>
      <c r="AO372" s="33">
        <f>IF(AE372&lt;=0,0,MAX(0,MIN(AE372,ROUND($AZ372-SUMPRODUCT($V372:$AE372*($V372:$AE372&gt;0)*(($V$3:$AE$3&gt;AE$3)+($V$3:$AE$3=AE$3)*($V372:$AE372&lt;AE372)+($V$3:$AE$3=AE$3)*($V372:$AE372=AE372)*($V$2:$AE$2&lt;AE$2))),2))))</f>
      </c>
      <c r="AP372" s="33">
        <f>ROUND(V372-AF372,2)</f>
      </c>
      <c r="AQ372" s="33">
        <f>ROUND(W372-AG372,2)</f>
      </c>
      <c r="AR372" s="33">
        <f>ROUND(X372-AH372,2)</f>
      </c>
      <c r="AS372" s="33">
        <f>ROUND(Y372-AI372,2)</f>
      </c>
      <c r="AT372" s="33">
        <f>ROUND(Z372-AJ372,2)</f>
      </c>
      <c r="AU372" s="33">
        <f>ROUND(AA372-AK372,2)</f>
      </c>
      <c r="AV372" s="33">
        <f>ROUND(AB372-AL372,2)</f>
      </c>
      <c r="AW372" s="33">
        <f>ROUND(AC372-AM372,2)</f>
      </c>
      <c r="AX372" s="33">
        <f>ROUND(AD372-AN372,2)</f>
      </c>
      <c r="AY372" s="33">
        <f>ROUND(AE372-AO372,2)</f>
      </c>
      <c r="AZ372" s="33">
        <f>ROUND(MAX(0,'Your debts'!$D$22-SUM($L372:$U372)),2)</f>
      </c>
      <c r="BA372" s="33">
        <f>ROUND(SUM($B372:$K372)-SUM($AP371:$AY371),2)</f>
      </c>
      <c r="BB372" s="33">
        <f>SUM($AP372:$AY372)</f>
      </c>
      <c r="BC372" s="33">
        <f>ROUND(SUM($L372:$U372)+SUM($AF372:$AO372),2)</f>
      </c>
    </row>
    <row r="373" spans="1:55" x14ac:dyDescent="0.25">
      <c r="A373">
        <v>366</v>
      </c>
      <c r="B373" s="33">
        <f>IF(AP372&lt;=0,0,ROUND(AP372+ROUND(AP372*V$3/12,2),2))</f>
      </c>
      <c r="C373" s="33">
        <f>IF(AQ372&lt;=0,0,ROUND(AQ372+ROUND(AQ372*W$3/12,2),2))</f>
      </c>
      <c r="D373" s="33">
        <f>IF(AR372&lt;=0,0,ROUND(AR372+ROUND(AR372*X$3/12,2),2))</f>
      </c>
      <c r="E373" s="33">
        <f>IF(AS372&lt;=0,0,ROUND(AS372+ROUND(AS372*Y$3/12,2),2))</f>
      </c>
      <c r="F373" s="33">
        <f>IF(AT372&lt;=0,0,ROUND(AT372+ROUND(AT372*Z$3/12,2),2))</f>
      </c>
      <c r="G373" s="33">
        <f>IF(AU372&lt;=0,0,ROUND(AU372+ROUND(AU372*AA$3/12,2),2))</f>
      </c>
      <c r="H373" s="33">
        <f>IF(AV372&lt;=0,0,ROUND(AV372+ROUND(AV372*AB$3/12,2),2))</f>
      </c>
      <c r="I373" s="33">
        <f>IF(AW372&lt;=0,0,ROUND(AW372+ROUND(AW372*AC$3/12,2),2))</f>
      </c>
      <c r="J373" s="33">
        <f>IF(AX372&lt;=0,0,ROUND(AX372+ROUND(AX372*AD$3/12,2),2))</f>
      </c>
      <c r="K373" s="33">
        <f>IF(AY372&lt;=0,0,ROUND(AY372+ROUND(AY372*AE$3/12,2),2))</f>
      </c>
      <c r="L373" s="33">
        <f>ROUND(MIN(MAX(0,N('Your debts'!$E$6)),B373),2)</f>
      </c>
      <c r="M373" s="33">
        <f>ROUND(MIN(MAX(0,N('Your debts'!$E$7)),C373),2)</f>
      </c>
      <c r="N373" s="33">
        <f>ROUND(MIN(MAX(0,N('Your debts'!$E$8)),D373),2)</f>
      </c>
      <c r="O373" s="33">
        <f>ROUND(MIN(MAX(0,N('Your debts'!$E$9)),E373),2)</f>
      </c>
      <c r="P373" s="33">
        <f>ROUND(MIN(MAX(0,N('Your debts'!$E$10)),F373),2)</f>
      </c>
      <c r="Q373" s="33">
        <f>ROUND(MIN(MAX(0,N('Your debts'!$E$11)),G373),2)</f>
      </c>
      <c r="R373" s="33">
        <f>ROUND(MIN(MAX(0,N('Your debts'!$E$12)),H373),2)</f>
      </c>
      <c r="S373" s="33">
        <f>ROUND(MIN(MAX(0,N('Your debts'!$E$13)),I373),2)</f>
      </c>
      <c r="T373" s="33">
        <f>ROUND(MIN(MAX(0,N('Your debts'!$E$14)),J373),2)</f>
      </c>
      <c r="U373" s="33">
        <f>ROUND(MIN(MAX(0,N('Your debts'!$E$15)),K373),2)</f>
      </c>
      <c r="V373" s="33">
        <f>ROUND(B373-L373,2)</f>
      </c>
      <c r="W373" s="33">
        <f>ROUND(C373-M373,2)</f>
      </c>
      <c r="X373" s="33">
        <f>ROUND(D373-N373,2)</f>
      </c>
      <c r="Y373" s="33">
        <f>ROUND(E373-O373,2)</f>
      </c>
      <c r="Z373" s="33">
        <f>ROUND(F373-P373,2)</f>
      </c>
      <c r="AA373" s="33">
        <f>ROUND(G373-Q373,2)</f>
      </c>
      <c r="AB373" s="33">
        <f>ROUND(H373-R373,2)</f>
      </c>
      <c r="AC373" s="33">
        <f>ROUND(I373-S373,2)</f>
      </c>
      <c r="AD373" s="33">
        <f>ROUND(J373-T373,2)</f>
      </c>
      <c r="AE373" s="33">
        <f>ROUND(K373-U373,2)</f>
      </c>
      <c r="AF373" s="33">
        <f>IF(V373&lt;=0,0,MAX(0,MIN(V373,ROUND($AZ373-SUMPRODUCT($V373:$AE373*($V373:$AE373&gt;0)*(($V$3:$AE$3&gt;V$3)+($V$3:$AE$3=V$3)*($V373:$AE373&lt;V373)+($V$3:$AE$3=V$3)*($V373:$AE373=V373)*($V$2:$AE$2&lt;V$2))),2))))</f>
      </c>
      <c r="AG373" s="33">
        <f>IF(W373&lt;=0,0,MAX(0,MIN(W373,ROUND($AZ373-SUMPRODUCT($V373:$AE373*($V373:$AE373&gt;0)*(($V$3:$AE$3&gt;W$3)+($V$3:$AE$3=W$3)*($V373:$AE373&lt;W373)+($V$3:$AE$3=W$3)*($V373:$AE373=W373)*($V$2:$AE$2&lt;W$2))),2))))</f>
      </c>
      <c r="AH373" s="33">
        <f>IF(X373&lt;=0,0,MAX(0,MIN(X373,ROUND($AZ373-SUMPRODUCT($V373:$AE373*($V373:$AE373&gt;0)*(($V$3:$AE$3&gt;X$3)+($V$3:$AE$3=X$3)*($V373:$AE373&lt;X373)+($V$3:$AE$3=X$3)*($V373:$AE373=X373)*($V$2:$AE$2&lt;X$2))),2))))</f>
      </c>
      <c r="AI373" s="33">
        <f>IF(Y373&lt;=0,0,MAX(0,MIN(Y373,ROUND($AZ373-SUMPRODUCT($V373:$AE373*($V373:$AE373&gt;0)*(($V$3:$AE$3&gt;Y$3)+($V$3:$AE$3=Y$3)*($V373:$AE373&lt;Y373)+($V$3:$AE$3=Y$3)*($V373:$AE373=Y373)*($V$2:$AE$2&lt;Y$2))),2))))</f>
      </c>
      <c r="AJ373" s="33">
        <f>IF(Z373&lt;=0,0,MAX(0,MIN(Z373,ROUND($AZ373-SUMPRODUCT($V373:$AE373*($V373:$AE373&gt;0)*(($V$3:$AE$3&gt;Z$3)+($V$3:$AE$3=Z$3)*($V373:$AE373&lt;Z373)+($V$3:$AE$3=Z$3)*($V373:$AE373=Z373)*($V$2:$AE$2&lt;Z$2))),2))))</f>
      </c>
      <c r="AK373" s="33">
        <f>IF(AA373&lt;=0,0,MAX(0,MIN(AA373,ROUND($AZ373-SUMPRODUCT($V373:$AE373*($V373:$AE373&gt;0)*(($V$3:$AE$3&gt;AA$3)+($V$3:$AE$3=AA$3)*($V373:$AE373&lt;AA373)+($V$3:$AE$3=AA$3)*($V373:$AE373=AA373)*($V$2:$AE$2&lt;AA$2))),2))))</f>
      </c>
      <c r="AL373" s="33">
        <f>IF(AB373&lt;=0,0,MAX(0,MIN(AB373,ROUND($AZ373-SUMPRODUCT($V373:$AE373*($V373:$AE373&gt;0)*(($V$3:$AE$3&gt;AB$3)+($V$3:$AE$3=AB$3)*($V373:$AE373&lt;AB373)+($V$3:$AE$3=AB$3)*($V373:$AE373=AB373)*($V$2:$AE$2&lt;AB$2))),2))))</f>
      </c>
      <c r="AM373" s="33">
        <f>IF(AC373&lt;=0,0,MAX(0,MIN(AC373,ROUND($AZ373-SUMPRODUCT($V373:$AE373*($V373:$AE373&gt;0)*(($V$3:$AE$3&gt;AC$3)+($V$3:$AE$3=AC$3)*($V373:$AE373&lt;AC373)+($V$3:$AE$3=AC$3)*($V373:$AE373=AC373)*($V$2:$AE$2&lt;AC$2))),2))))</f>
      </c>
      <c r="AN373" s="33">
        <f>IF(AD373&lt;=0,0,MAX(0,MIN(AD373,ROUND($AZ373-SUMPRODUCT($V373:$AE373*($V373:$AE373&gt;0)*(($V$3:$AE$3&gt;AD$3)+($V$3:$AE$3=AD$3)*($V373:$AE373&lt;AD373)+($V$3:$AE$3=AD$3)*($V373:$AE373=AD373)*($V$2:$AE$2&lt;AD$2))),2))))</f>
      </c>
      <c r="AO373" s="33">
        <f>IF(AE373&lt;=0,0,MAX(0,MIN(AE373,ROUND($AZ373-SUMPRODUCT($V373:$AE373*($V373:$AE373&gt;0)*(($V$3:$AE$3&gt;AE$3)+($V$3:$AE$3=AE$3)*($V373:$AE373&lt;AE373)+($V$3:$AE$3=AE$3)*($V373:$AE373=AE373)*($V$2:$AE$2&lt;AE$2))),2))))</f>
      </c>
      <c r="AP373" s="33">
        <f>ROUND(V373-AF373,2)</f>
      </c>
      <c r="AQ373" s="33">
        <f>ROUND(W373-AG373,2)</f>
      </c>
      <c r="AR373" s="33">
        <f>ROUND(X373-AH373,2)</f>
      </c>
      <c r="AS373" s="33">
        <f>ROUND(Y373-AI373,2)</f>
      </c>
      <c r="AT373" s="33">
        <f>ROUND(Z373-AJ373,2)</f>
      </c>
      <c r="AU373" s="33">
        <f>ROUND(AA373-AK373,2)</f>
      </c>
      <c r="AV373" s="33">
        <f>ROUND(AB373-AL373,2)</f>
      </c>
      <c r="AW373" s="33">
        <f>ROUND(AC373-AM373,2)</f>
      </c>
      <c r="AX373" s="33">
        <f>ROUND(AD373-AN373,2)</f>
      </c>
      <c r="AY373" s="33">
        <f>ROUND(AE373-AO373,2)</f>
      </c>
      <c r="AZ373" s="33">
        <f>ROUND(MAX(0,'Your debts'!$D$22-SUM($L373:$U373)),2)</f>
      </c>
      <c r="BA373" s="33">
        <f>ROUND(SUM($B373:$K373)-SUM($AP372:$AY372),2)</f>
      </c>
      <c r="BB373" s="33">
        <f>SUM($AP373:$AY373)</f>
      </c>
      <c r="BC373" s="33">
        <f>ROUND(SUM($L373:$U373)+SUM($AF373:$AO373),2)</f>
      </c>
    </row>
    <row r="374" spans="1:55" x14ac:dyDescent="0.25">
      <c r="A374">
        <v>367</v>
      </c>
      <c r="B374" s="33">
        <f>IF(AP373&lt;=0,0,ROUND(AP373+ROUND(AP373*V$3/12,2),2))</f>
      </c>
      <c r="C374" s="33">
        <f>IF(AQ373&lt;=0,0,ROUND(AQ373+ROUND(AQ373*W$3/12,2),2))</f>
      </c>
      <c r="D374" s="33">
        <f>IF(AR373&lt;=0,0,ROUND(AR373+ROUND(AR373*X$3/12,2),2))</f>
      </c>
      <c r="E374" s="33">
        <f>IF(AS373&lt;=0,0,ROUND(AS373+ROUND(AS373*Y$3/12,2),2))</f>
      </c>
      <c r="F374" s="33">
        <f>IF(AT373&lt;=0,0,ROUND(AT373+ROUND(AT373*Z$3/12,2),2))</f>
      </c>
      <c r="G374" s="33">
        <f>IF(AU373&lt;=0,0,ROUND(AU373+ROUND(AU373*AA$3/12,2),2))</f>
      </c>
      <c r="H374" s="33">
        <f>IF(AV373&lt;=0,0,ROUND(AV373+ROUND(AV373*AB$3/12,2),2))</f>
      </c>
      <c r="I374" s="33">
        <f>IF(AW373&lt;=0,0,ROUND(AW373+ROUND(AW373*AC$3/12,2),2))</f>
      </c>
      <c r="J374" s="33">
        <f>IF(AX373&lt;=0,0,ROUND(AX373+ROUND(AX373*AD$3/12,2),2))</f>
      </c>
      <c r="K374" s="33">
        <f>IF(AY373&lt;=0,0,ROUND(AY373+ROUND(AY373*AE$3/12,2),2))</f>
      </c>
      <c r="L374" s="33">
        <f>ROUND(MIN(MAX(0,N('Your debts'!$E$6)),B374),2)</f>
      </c>
      <c r="M374" s="33">
        <f>ROUND(MIN(MAX(0,N('Your debts'!$E$7)),C374),2)</f>
      </c>
      <c r="N374" s="33">
        <f>ROUND(MIN(MAX(0,N('Your debts'!$E$8)),D374),2)</f>
      </c>
      <c r="O374" s="33">
        <f>ROUND(MIN(MAX(0,N('Your debts'!$E$9)),E374),2)</f>
      </c>
      <c r="P374" s="33">
        <f>ROUND(MIN(MAX(0,N('Your debts'!$E$10)),F374),2)</f>
      </c>
      <c r="Q374" s="33">
        <f>ROUND(MIN(MAX(0,N('Your debts'!$E$11)),G374),2)</f>
      </c>
      <c r="R374" s="33">
        <f>ROUND(MIN(MAX(0,N('Your debts'!$E$12)),H374),2)</f>
      </c>
      <c r="S374" s="33">
        <f>ROUND(MIN(MAX(0,N('Your debts'!$E$13)),I374),2)</f>
      </c>
      <c r="T374" s="33">
        <f>ROUND(MIN(MAX(0,N('Your debts'!$E$14)),J374),2)</f>
      </c>
      <c r="U374" s="33">
        <f>ROUND(MIN(MAX(0,N('Your debts'!$E$15)),K374),2)</f>
      </c>
      <c r="V374" s="33">
        <f>ROUND(B374-L374,2)</f>
      </c>
      <c r="W374" s="33">
        <f>ROUND(C374-M374,2)</f>
      </c>
      <c r="X374" s="33">
        <f>ROUND(D374-N374,2)</f>
      </c>
      <c r="Y374" s="33">
        <f>ROUND(E374-O374,2)</f>
      </c>
      <c r="Z374" s="33">
        <f>ROUND(F374-P374,2)</f>
      </c>
      <c r="AA374" s="33">
        <f>ROUND(G374-Q374,2)</f>
      </c>
      <c r="AB374" s="33">
        <f>ROUND(H374-R374,2)</f>
      </c>
      <c r="AC374" s="33">
        <f>ROUND(I374-S374,2)</f>
      </c>
      <c r="AD374" s="33">
        <f>ROUND(J374-T374,2)</f>
      </c>
      <c r="AE374" s="33">
        <f>ROUND(K374-U374,2)</f>
      </c>
      <c r="AF374" s="33">
        <f>IF(V374&lt;=0,0,MAX(0,MIN(V374,ROUND($AZ374-SUMPRODUCT($V374:$AE374*($V374:$AE374&gt;0)*(($V$3:$AE$3&gt;V$3)+($V$3:$AE$3=V$3)*($V374:$AE374&lt;V374)+($V$3:$AE$3=V$3)*($V374:$AE374=V374)*($V$2:$AE$2&lt;V$2))),2))))</f>
      </c>
      <c r="AG374" s="33">
        <f>IF(W374&lt;=0,0,MAX(0,MIN(W374,ROUND($AZ374-SUMPRODUCT($V374:$AE374*($V374:$AE374&gt;0)*(($V$3:$AE$3&gt;W$3)+($V$3:$AE$3=W$3)*($V374:$AE374&lt;W374)+($V$3:$AE$3=W$3)*($V374:$AE374=W374)*($V$2:$AE$2&lt;W$2))),2))))</f>
      </c>
      <c r="AH374" s="33">
        <f>IF(X374&lt;=0,0,MAX(0,MIN(X374,ROUND($AZ374-SUMPRODUCT($V374:$AE374*($V374:$AE374&gt;0)*(($V$3:$AE$3&gt;X$3)+($V$3:$AE$3=X$3)*($V374:$AE374&lt;X374)+($V$3:$AE$3=X$3)*($V374:$AE374=X374)*($V$2:$AE$2&lt;X$2))),2))))</f>
      </c>
      <c r="AI374" s="33">
        <f>IF(Y374&lt;=0,0,MAX(0,MIN(Y374,ROUND($AZ374-SUMPRODUCT($V374:$AE374*($V374:$AE374&gt;0)*(($V$3:$AE$3&gt;Y$3)+($V$3:$AE$3=Y$3)*($V374:$AE374&lt;Y374)+($V$3:$AE$3=Y$3)*($V374:$AE374=Y374)*($V$2:$AE$2&lt;Y$2))),2))))</f>
      </c>
      <c r="AJ374" s="33">
        <f>IF(Z374&lt;=0,0,MAX(0,MIN(Z374,ROUND($AZ374-SUMPRODUCT($V374:$AE374*($V374:$AE374&gt;0)*(($V$3:$AE$3&gt;Z$3)+($V$3:$AE$3=Z$3)*($V374:$AE374&lt;Z374)+($V$3:$AE$3=Z$3)*($V374:$AE374=Z374)*($V$2:$AE$2&lt;Z$2))),2))))</f>
      </c>
      <c r="AK374" s="33">
        <f>IF(AA374&lt;=0,0,MAX(0,MIN(AA374,ROUND($AZ374-SUMPRODUCT($V374:$AE374*($V374:$AE374&gt;0)*(($V$3:$AE$3&gt;AA$3)+($V$3:$AE$3=AA$3)*($V374:$AE374&lt;AA374)+($V$3:$AE$3=AA$3)*($V374:$AE374=AA374)*($V$2:$AE$2&lt;AA$2))),2))))</f>
      </c>
      <c r="AL374" s="33">
        <f>IF(AB374&lt;=0,0,MAX(0,MIN(AB374,ROUND($AZ374-SUMPRODUCT($V374:$AE374*($V374:$AE374&gt;0)*(($V$3:$AE$3&gt;AB$3)+($V$3:$AE$3=AB$3)*($V374:$AE374&lt;AB374)+($V$3:$AE$3=AB$3)*($V374:$AE374=AB374)*($V$2:$AE$2&lt;AB$2))),2))))</f>
      </c>
      <c r="AM374" s="33">
        <f>IF(AC374&lt;=0,0,MAX(0,MIN(AC374,ROUND($AZ374-SUMPRODUCT($V374:$AE374*($V374:$AE374&gt;0)*(($V$3:$AE$3&gt;AC$3)+($V$3:$AE$3=AC$3)*($V374:$AE374&lt;AC374)+($V$3:$AE$3=AC$3)*($V374:$AE374=AC374)*($V$2:$AE$2&lt;AC$2))),2))))</f>
      </c>
      <c r="AN374" s="33">
        <f>IF(AD374&lt;=0,0,MAX(0,MIN(AD374,ROUND($AZ374-SUMPRODUCT($V374:$AE374*($V374:$AE374&gt;0)*(($V$3:$AE$3&gt;AD$3)+($V$3:$AE$3=AD$3)*($V374:$AE374&lt;AD374)+($V$3:$AE$3=AD$3)*($V374:$AE374=AD374)*($V$2:$AE$2&lt;AD$2))),2))))</f>
      </c>
      <c r="AO374" s="33">
        <f>IF(AE374&lt;=0,0,MAX(0,MIN(AE374,ROUND($AZ374-SUMPRODUCT($V374:$AE374*($V374:$AE374&gt;0)*(($V$3:$AE$3&gt;AE$3)+($V$3:$AE$3=AE$3)*($V374:$AE374&lt;AE374)+($V$3:$AE$3=AE$3)*($V374:$AE374=AE374)*($V$2:$AE$2&lt;AE$2))),2))))</f>
      </c>
      <c r="AP374" s="33">
        <f>ROUND(V374-AF374,2)</f>
      </c>
      <c r="AQ374" s="33">
        <f>ROUND(W374-AG374,2)</f>
      </c>
      <c r="AR374" s="33">
        <f>ROUND(X374-AH374,2)</f>
      </c>
      <c r="AS374" s="33">
        <f>ROUND(Y374-AI374,2)</f>
      </c>
      <c r="AT374" s="33">
        <f>ROUND(Z374-AJ374,2)</f>
      </c>
      <c r="AU374" s="33">
        <f>ROUND(AA374-AK374,2)</f>
      </c>
      <c r="AV374" s="33">
        <f>ROUND(AB374-AL374,2)</f>
      </c>
      <c r="AW374" s="33">
        <f>ROUND(AC374-AM374,2)</f>
      </c>
      <c r="AX374" s="33">
        <f>ROUND(AD374-AN374,2)</f>
      </c>
      <c r="AY374" s="33">
        <f>ROUND(AE374-AO374,2)</f>
      </c>
      <c r="AZ374" s="33">
        <f>ROUND(MAX(0,'Your debts'!$D$22-SUM($L374:$U374)),2)</f>
      </c>
      <c r="BA374" s="33">
        <f>ROUND(SUM($B374:$K374)-SUM($AP373:$AY373),2)</f>
      </c>
      <c r="BB374" s="33">
        <f>SUM($AP374:$AY374)</f>
      </c>
      <c r="BC374" s="33">
        <f>ROUND(SUM($L374:$U374)+SUM($AF374:$AO374),2)</f>
      </c>
    </row>
    <row r="375" spans="1:55" x14ac:dyDescent="0.25">
      <c r="A375">
        <v>368</v>
      </c>
      <c r="B375" s="33">
        <f>IF(AP374&lt;=0,0,ROUND(AP374+ROUND(AP374*V$3/12,2),2))</f>
      </c>
      <c r="C375" s="33">
        <f>IF(AQ374&lt;=0,0,ROUND(AQ374+ROUND(AQ374*W$3/12,2),2))</f>
      </c>
      <c r="D375" s="33">
        <f>IF(AR374&lt;=0,0,ROUND(AR374+ROUND(AR374*X$3/12,2),2))</f>
      </c>
      <c r="E375" s="33">
        <f>IF(AS374&lt;=0,0,ROUND(AS374+ROUND(AS374*Y$3/12,2),2))</f>
      </c>
      <c r="F375" s="33">
        <f>IF(AT374&lt;=0,0,ROUND(AT374+ROUND(AT374*Z$3/12,2),2))</f>
      </c>
      <c r="G375" s="33">
        <f>IF(AU374&lt;=0,0,ROUND(AU374+ROUND(AU374*AA$3/12,2),2))</f>
      </c>
      <c r="H375" s="33">
        <f>IF(AV374&lt;=0,0,ROUND(AV374+ROUND(AV374*AB$3/12,2),2))</f>
      </c>
      <c r="I375" s="33">
        <f>IF(AW374&lt;=0,0,ROUND(AW374+ROUND(AW374*AC$3/12,2),2))</f>
      </c>
      <c r="J375" s="33">
        <f>IF(AX374&lt;=0,0,ROUND(AX374+ROUND(AX374*AD$3/12,2),2))</f>
      </c>
      <c r="K375" s="33">
        <f>IF(AY374&lt;=0,0,ROUND(AY374+ROUND(AY374*AE$3/12,2),2))</f>
      </c>
      <c r="L375" s="33">
        <f>ROUND(MIN(MAX(0,N('Your debts'!$E$6)),B375),2)</f>
      </c>
      <c r="M375" s="33">
        <f>ROUND(MIN(MAX(0,N('Your debts'!$E$7)),C375),2)</f>
      </c>
      <c r="N375" s="33">
        <f>ROUND(MIN(MAX(0,N('Your debts'!$E$8)),D375),2)</f>
      </c>
      <c r="O375" s="33">
        <f>ROUND(MIN(MAX(0,N('Your debts'!$E$9)),E375),2)</f>
      </c>
      <c r="P375" s="33">
        <f>ROUND(MIN(MAX(0,N('Your debts'!$E$10)),F375),2)</f>
      </c>
      <c r="Q375" s="33">
        <f>ROUND(MIN(MAX(0,N('Your debts'!$E$11)),G375),2)</f>
      </c>
      <c r="R375" s="33">
        <f>ROUND(MIN(MAX(0,N('Your debts'!$E$12)),H375),2)</f>
      </c>
      <c r="S375" s="33">
        <f>ROUND(MIN(MAX(0,N('Your debts'!$E$13)),I375),2)</f>
      </c>
      <c r="T375" s="33">
        <f>ROUND(MIN(MAX(0,N('Your debts'!$E$14)),J375),2)</f>
      </c>
      <c r="U375" s="33">
        <f>ROUND(MIN(MAX(0,N('Your debts'!$E$15)),K375),2)</f>
      </c>
      <c r="V375" s="33">
        <f>ROUND(B375-L375,2)</f>
      </c>
      <c r="W375" s="33">
        <f>ROUND(C375-M375,2)</f>
      </c>
      <c r="X375" s="33">
        <f>ROUND(D375-N375,2)</f>
      </c>
      <c r="Y375" s="33">
        <f>ROUND(E375-O375,2)</f>
      </c>
      <c r="Z375" s="33">
        <f>ROUND(F375-P375,2)</f>
      </c>
      <c r="AA375" s="33">
        <f>ROUND(G375-Q375,2)</f>
      </c>
      <c r="AB375" s="33">
        <f>ROUND(H375-R375,2)</f>
      </c>
      <c r="AC375" s="33">
        <f>ROUND(I375-S375,2)</f>
      </c>
      <c r="AD375" s="33">
        <f>ROUND(J375-T375,2)</f>
      </c>
      <c r="AE375" s="33">
        <f>ROUND(K375-U375,2)</f>
      </c>
      <c r="AF375" s="33">
        <f>IF(V375&lt;=0,0,MAX(0,MIN(V375,ROUND($AZ375-SUMPRODUCT($V375:$AE375*($V375:$AE375&gt;0)*(($V$3:$AE$3&gt;V$3)+($V$3:$AE$3=V$3)*($V375:$AE375&lt;V375)+($V$3:$AE$3=V$3)*($V375:$AE375=V375)*($V$2:$AE$2&lt;V$2))),2))))</f>
      </c>
      <c r="AG375" s="33">
        <f>IF(W375&lt;=0,0,MAX(0,MIN(W375,ROUND($AZ375-SUMPRODUCT($V375:$AE375*($V375:$AE375&gt;0)*(($V$3:$AE$3&gt;W$3)+($V$3:$AE$3=W$3)*($V375:$AE375&lt;W375)+($V$3:$AE$3=W$3)*($V375:$AE375=W375)*($V$2:$AE$2&lt;W$2))),2))))</f>
      </c>
      <c r="AH375" s="33">
        <f>IF(X375&lt;=0,0,MAX(0,MIN(X375,ROUND($AZ375-SUMPRODUCT($V375:$AE375*($V375:$AE375&gt;0)*(($V$3:$AE$3&gt;X$3)+($V$3:$AE$3=X$3)*($V375:$AE375&lt;X375)+($V$3:$AE$3=X$3)*($V375:$AE375=X375)*($V$2:$AE$2&lt;X$2))),2))))</f>
      </c>
      <c r="AI375" s="33">
        <f>IF(Y375&lt;=0,0,MAX(0,MIN(Y375,ROUND($AZ375-SUMPRODUCT($V375:$AE375*($V375:$AE375&gt;0)*(($V$3:$AE$3&gt;Y$3)+($V$3:$AE$3=Y$3)*($V375:$AE375&lt;Y375)+($V$3:$AE$3=Y$3)*($V375:$AE375=Y375)*($V$2:$AE$2&lt;Y$2))),2))))</f>
      </c>
      <c r="AJ375" s="33">
        <f>IF(Z375&lt;=0,0,MAX(0,MIN(Z375,ROUND($AZ375-SUMPRODUCT($V375:$AE375*($V375:$AE375&gt;0)*(($V$3:$AE$3&gt;Z$3)+($V$3:$AE$3=Z$3)*($V375:$AE375&lt;Z375)+($V$3:$AE$3=Z$3)*($V375:$AE375=Z375)*($V$2:$AE$2&lt;Z$2))),2))))</f>
      </c>
      <c r="AK375" s="33">
        <f>IF(AA375&lt;=0,0,MAX(0,MIN(AA375,ROUND($AZ375-SUMPRODUCT($V375:$AE375*($V375:$AE375&gt;0)*(($V$3:$AE$3&gt;AA$3)+($V$3:$AE$3=AA$3)*($V375:$AE375&lt;AA375)+($V$3:$AE$3=AA$3)*($V375:$AE375=AA375)*($V$2:$AE$2&lt;AA$2))),2))))</f>
      </c>
      <c r="AL375" s="33">
        <f>IF(AB375&lt;=0,0,MAX(0,MIN(AB375,ROUND($AZ375-SUMPRODUCT($V375:$AE375*($V375:$AE375&gt;0)*(($V$3:$AE$3&gt;AB$3)+($V$3:$AE$3=AB$3)*($V375:$AE375&lt;AB375)+($V$3:$AE$3=AB$3)*($V375:$AE375=AB375)*($V$2:$AE$2&lt;AB$2))),2))))</f>
      </c>
      <c r="AM375" s="33">
        <f>IF(AC375&lt;=0,0,MAX(0,MIN(AC375,ROUND($AZ375-SUMPRODUCT($V375:$AE375*($V375:$AE375&gt;0)*(($V$3:$AE$3&gt;AC$3)+($V$3:$AE$3=AC$3)*($V375:$AE375&lt;AC375)+($V$3:$AE$3=AC$3)*($V375:$AE375=AC375)*($V$2:$AE$2&lt;AC$2))),2))))</f>
      </c>
      <c r="AN375" s="33">
        <f>IF(AD375&lt;=0,0,MAX(0,MIN(AD375,ROUND($AZ375-SUMPRODUCT($V375:$AE375*($V375:$AE375&gt;0)*(($V$3:$AE$3&gt;AD$3)+($V$3:$AE$3=AD$3)*($V375:$AE375&lt;AD375)+($V$3:$AE$3=AD$3)*($V375:$AE375=AD375)*($V$2:$AE$2&lt;AD$2))),2))))</f>
      </c>
      <c r="AO375" s="33">
        <f>IF(AE375&lt;=0,0,MAX(0,MIN(AE375,ROUND($AZ375-SUMPRODUCT($V375:$AE375*($V375:$AE375&gt;0)*(($V$3:$AE$3&gt;AE$3)+($V$3:$AE$3=AE$3)*($V375:$AE375&lt;AE375)+($V$3:$AE$3=AE$3)*($V375:$AE375=AE375)*($V$2:$AE$2&lt;AE$2))),2))))</f>
      </c>
      <c r="AP375" s="33">
        <f>ROUND(V375-AF375,2)</f>
      </c>
      <c r="AQ375" s="33">
        <f>ROUND(W375-AG375,2)</f>
      </c>
      <c r="AR375" s="33">
        <f>ROUND(X375-AH375,2)</f>
      </c>
      <c r="AS375" s="33">
        <f>ROUND(Y375-AI375,2)</f>
      </c>
      <c r="AT375" s="33">
        <f>ROUND(Z375-AJ375,2)</f>
      </c>
      <c r="AU375" s="33">
        <f>ROUND(AA375-AK375,2)</f>
      </c>
      <c r="AV375" s="33">
        <f>ROUND(AB375-AL375,2)</f>
      </c>
      <c r="AW375" s="33">
        <f>ROUND(AC375-AM375,2)</f>
      </c>
      <c r="AX375" s="33">
        <f>ROUND(AD375-AN375,2)</f>
      </c>
      <c r="AY375" s="33">
        <f>ROUND(AE375-AO375,2)</f>
      </c>
      <c r="AZ375" s="33">
        <f>ROUND(MAX(0,'Your debts'!$D$22-SUM($L375:$U375)),2)</f>
      </c>
      <c r="BA375" s="33">
        <f>ROUND(SUM($B375:$K375)-SUM($AP374:$AY374),2)</f>
      </c>
      <c r="BB375" s="33">
        <f>SUM($AP375:$AY375)</f>
      </c>
      <c r="BC375" s="33">
        <f>ROUND(SUM($L375:$U375)+SUM($AF375:$AO375),2)</f>
      </c>
    </row>
    <row r="376" spans="1:55" x14ac:dyDescent="0.25">
      <c r="A376">
        <v>369</v>
      </c>
      <c r="B376" s="33">
        <f>IF(AP375&lt;=0,0,ROUND(AP375+ROUND(AP375*V$3/12,2),2))</f>
      </c>
      <c r="C376" s="33">
        <f>IF(AQ375&lt;=0,0,ROUND(AQ375+ROUND(AQ375*W$3/12,2),2))</f>
      </c>
      <c r="D376" s="33">
        <f>IF(AR375&lt;=0,0,ROUND(AR375+ROUND(AR375*X$3/12,2),2))</f>
      </c>
      <c r="E376" s="33">
        <f>IF(AS375&lt;=0,0,ROUND(AS375+ROUND(AS375*Y$3/12,2),2))</f>
      </c>
      <c r="F376" s="33">
        <f>IF(AT375&lt;=0,0,ROUND(AT375+ROUND(AT375*Z$3/12,2),2))</f>
      </c>
      <c r="G376" s="33">
        <f>IF(AU375&lt;=0,0,ROUND(AU375+ROUND(AU375*AA$3/12,2),2))</f>
      </c>
      <c r="H376" s="33">
        <f>IF(AV375&lt;=0,0,ROUND(AV375+ROUND(AV375*AB$3/12,2),2))</f>
      </c>
      <c r="I376" s="33">
        <f>IF(AW375&lt;=0,0,ROUND(AW375+ROUND(AW375*AC$3/12,2),2))</f>
      </c>
      <c r="J376" s="33">
        <f>IF(AX375&lt;=0,0,ROUND(AX375+ROUND(AX375*AD$3/12,2),2))</f>
      </c>
      <c r="K376" s="33">
        <f>IF(AY375&lt;=0,0,ROUND(AY375+ROUND(AY375*AE$3/12,2),2))</f>
      </c>
      <c r="L376" s="33">
        <f>ROUND(MIN(MAX(0,N('Your debts'!$E$6)),B376),2)</f>
      </c>
      <c r="M376" s="33">
        <f>ROUND(MIN(MAX(0,N('Your debts'!$E$7)),C376),2)</f>
      </c>
      <c r="N376" s="33">
        <f>ROUND(MIN(MAX(0,N('Your debts'!$E$8)),D376),2)</f>
      </c>
      <c r="O376" s="33">
        <f>ROUND(MIN(MAX(0,N('Your debts'!$E$9)),E376),2)</f>
      </c>
      <c r="P376" s="33">
        <f>ROUND(MIN(MAX(0,N('Your debts'!$E$10)),F376),2)</f>
      </c>
      <c r="Q376" s="33">
        <f>ROUND(MIN(MAX(0,N('Your debts'!$E$11)),G376),2)</f>
      </c>
      <c r="R376" s="33">
        <f>ROUND(MIN(MAX(0,N('Your debts'!$E$12)),H376),2)</f>
      </c>
      <c r="S376" s="33">
        <f>ROUND(MIN(MAX(0,N('Your debts'!$E$13)),I376),2)</f>
      </c>
      <c r="T376" s="33">
        <f>ROUND(MIN(MAX(0,N('Your debts'!$E$14)),J376),2)</f>
      </c>
      <c r="U376" s="33">
        <f>ROUND(MIN(MAX(0,N('Your debts'!$E$15)),K376),2)</f>
      </c>
      <c r="V376" s="33">
        <f>ROUND(B376-L376,2)</f>
      </c>
      <c r="W376" s="33">
        <f>ROUND(C376-M376,2)</f>
      </c>
      <c r="X376" s="33">
        <f>ROUND(D376-N376,2)</f>
      </c>
      <c r="Y376" s="33">
        <f>ROUND(E376-O376,2)</f>
      </c>
      <c r="Z376" s="33">
        <f>ROUND(F376-P376,2)</f>
      </c>
      <c r="AA376" s="33">
        <f>ROUND(G376-Q376,2)</f>
      </c>
      <c r="AB376" s="33">
        <f>ROUND(H376-R376,2)</f>
      </c>
      <c r="AC376" s="33">
        <f>ROUND(I376-S376,2)</f>
      </c>
      <c r="AD376" s="33">
        <f>ROUND(J376-T376,2)</f>
      </c>
      <c r="AE376" s="33">
        <f>ROUND(K376-U376,2)</f>
      </c>
      <c r="AF376" s="33">
        <f>IF(V376&lt;=0,0,MAX(0,MIN(V376,ROUND($AZ376-SUMPRODUCT($V376:$AE376*($V376:$AE376&gt;0)*(($V$3:$AE$3&gt;V$3)+($V$3:$AE$3=V$3)*($V376:$AE376&lt;V376)+($V$3:$AE$3=V$3)*($V376:$AE376=V376)*($V$2:$AE$2&lt;V$2))),2))))</f>
      </c>
      <c r="AG376" s="33">
        <f>IF(W376&lt;=0,0,MAX(0,MIN(W376,ROUND($AZ376-SUMPRODUCT($V376:$AE376*($V376:$AE376&gt;0)*(($V$3:$AE$3&gt;W$3)+($V$3:$AE$3=W$3)*($V376:$AE376&lt;W376)+($V$3:$AE$3=W$3)*($V376:$AE376=W376)*($V$2:$AE$2&lt;W$2))),2))))</f>
      </c>
      <c r="AH376" s="33">
        <f>IF(X376&lt;=0,0,MAX(0,MIN(X376,ROUND($AZ376-SUMPRODUCT($V376:$AE376*($V376:$AE376&gt;0)*(($V$3:$AE$3&gt;X$3)+($V$3:$AE$3=X$3)*($V376:$AE376&lt;X376)+($V$3:$AE$3=X$3)*($V376:$AE376=X376)*($V$2:$AE$2&lt;X$2))),2))))</f>
      </c>
      <c r="AI376" s="33">
        <f>IF(Y376&lt;=0,0,MAX(0,MIN(Y376,ROUND($AZ376-SUMPRODUCT($V376:$AE376*($V376:$AE376&gt;0)*(($V$3:$AE$3&gt;Y$3)+($V$3:$AE$3=Y$3)*($V376:$AE376&lt;Y376)+($V$3:$AE$3=Y$3)*($V376:$AE376=Y376)*($V$2:$AE$2&lt;Y$2))),2))))</f>
      </c>
      <c r="AJ376" s="33">
        <f>IF(Z376&lt;=0,0,MAX(0,MIN(Z376,ROUND($AZ376-SUMPRODUCT($V376:$AE376*($V376:$AE376&gt;0)*(($V$3:$AE$3&gt;Z$3)+($V$3:$AE$3=Z$3)*($V376:$AE376&lt;Z376)+($V$3:$AE$3=Z$3)*($V376:$AE376=Z376)*($V$2:$AE$2&lt;Z$2))),2))))</f>
      </c>
      <c r="AK376" s="33">
        <f>IF(AA376&lt;=0,0,MAX(0,MIN(AA376,ROUND($AZ376-SUMPRODUCT($V376:$AE376*($V376:$AE376&gt;0)*(($V$3:$AE$3&gt;AA$3)+($V$3:$AE$3=AA$3)*($V376:$AE376&lt;AA376)+($V$3:$AE$3=AA$3)*($V376:$AE376=AA376)*($V$2:$AE$2&lt;AA$2))),2))))</f>
      </c>
      <c r="AL376" s="33">
        <f>IF(AB376&lt;=0,0,MAX(0,MIN(AB376,ROUND($AZ376-SUMPRODUCT($V376:$AE376*($V376:$AE376&gt;0)*(($V$3:$AE$3&gt;AB$3)+($V$3:$AE$3=AB$3)*($V376:$AE376&lt;AB376)+($V$3:$AE$3=AB$3)*($V376:$AE376=AB376)*($V$2:$AE$2&lt;AB$2))),2))))</f>
      </c>
      <c r="AM376" s="33">
        <f>IF(AC376&lt;=0,0,MAX(0,MIN(AC376,ROUND($AZ376-SUMPRODUCT($V376:$AE376*($V376:$AE376&gt;0)*(($V$3:$AE$3&gt;AC$3)+($V$3:$AE$3=AC$3)*($V376:$AE376&lt;AC376)+($V$3:$AE$3=AC$3)*($V376:$AE376=AC376)*($V$2:$AE$2&lt;AC$2))),2))))</f>
      </c>
      <c r="AN376" s="33">
        <f>IF(AD376&lt;=0,0,MAX(0,MIN(AD376,ROUND($AZ376-SUMPRODUCT($V376:$AE376*($V376:$AE376&gt;0)*(($V$3:$AE$3&gt;AD$3)+($V$3:$AE$3=AD$3)*($V376:$AE376&lt;AD376)+($V$3:$AE$3=AD$3)*($V376:$AE376=AD376)*($V$2:$AE$2&lt;AD$2))),2))))</f>
      </c>
      <c r="AO376" s="33">
        <f>IF(AE376&lt;=0,0,MAX(0,MIN(AE376,ROUND($AZ376-SUMPRODUCT($V376:$AE376*($V376:$AE376&gt;0)*(($V$3:$AE$3&gt;AE$3)+($V$3:$AE$3=AE$3)*($V376:$AE376&lt;AE376)+($V$3:$AE$3=AE$3)*($V376:$AE376=AE376)*($V$2:$AE$2&lt;AE$2))),2))))</f>
      </c>
      <c r="AP376" s="33">
        <f>ROUND(V376-AF376,2)</f>
      </c>
      <c r="AQ376" s="33">
        <f>ROUND(W376-AG376,2)</f>
      </c>
      <c r="AR376" s="33">
        <f>ROUND(X376-AH376,2)</f>
      </c>
      <c r="AS376" s="33">
        <f>ROUND(Y376-AI376,2)</f>
      </c>
      <c r="AT376" s="33">
        <f>ROUND(Z376-AJ376,2)</f>
      </c>
      <c r="AU376" s="33">
        <f>ROUND(AA376-AK376,2)</f>
      </c>
      <c r="AV376" s="33">
        <f>ROUND(AB376-AL376,2)</f>
      </c>
      <c r="AW376" s="33">
        <f>ROUND(AC376-AM376,2)</f>
      </c>
      <c r="AX376" s="33">
        <f>ROUND(AD376-AN376,2)</f>
      </c>
      <c r="AY376" s="33">
        <f>ROUND(AE376-AO376,2)</f>
      </c>
      <c r="AZ376" s="33">
        <f>ROUND(MAX(0,'Your debts'!$D$22-SUM($L376:$U376)),2)</f>
      </c>
      <c r="BA376" s="33">
        <f>ROUND(SUM($B376:$K376)-SUM($AP375:$AY375),2)</f>
      </c>
      <c r="BB376" s="33">
        <f>SUM($AP376:$AY376)</f>
      </c>
      <c r="BC376" s="33">
        <f>ROUND(SUM($L376:$U376)+SUM($AF376:$AO376),2)</f>
      </c>
    </row>
    <row r="377" spans="1:55" x14ac:dyDescent="0.25">
      <c r="A377">
        <v>370</v>
      </c>
      <c r="B377" s="33">
        <f>IF(AP376&lt;=0,0,ROUND(AP376+ROUND(AP376*V$3/12,2),2))</f>
      </c>
      <c r="C377" s="33">
        <f>IF(AQ376&lt;=0,0,ROUND(AQ376+ROUND(AQ376*W$3/12,2),2))</f>
      </c>
      <c r="D377" s="33">
        <f>IF(AR376&lt;=0,0,ROUND(AR376+ROUND(AR376*X$3/12,2),2))</f>
      </c>
      <c r="E377" s="33">
        <f>IF(AS376&lt;=0,0,ROUND(AS376+ROUND(AS376*Y$3/12,2),2))</f>
      </c>
      <c r="F377" s="33">
        <f>IF(AT376&lt;=0,0,ROUND(AT376+ROUND(AT376*Z$3/12,2),2))</f>
      </c>
      <c r="G377" s="33">
        <f>IF(AU376&lt;=0,0,ROUND(AU376+ROUND(AU376*AA$3/12,2),2))</f>
      </c>
      <c r="H377" s="33">
        <f>IF(AV376&lt;=0,0,ROUND(AV376+ROUND(AV376*AB$3/12,2),2))</f>
      </c>
      <c r="I377" s="33">
        <f>IF(AW376&lt;=0,0,ROUND(AW376+ROUND(AW376*AC$3/12,2),2))</f>
      </c>
      <c r="J377" s="33">
        <f>IF(AX376&lt;=0,0,ROUND(AX376+ROUND(AX376*AD$3/12,2),2))</f>
      </c>
      <c r="K377" s="33">
        <f>IF(AY376&lt;=0,0,ROUND(AY376+ROUND(AY376*AE$3/12,2),2))</f>
      </c>
      <c r="L377" s="33">
        <f>ROUND(MIN(MAX(0,N('Your debts'!$E$6)),B377),2)</f>
      </c>
      <c r="M377" s="33">
        <f>ROUND(MIN(MAX(0,N('Your debts'!$E$7)),C377),2)</f>
      </c>
      <c r="N377" s="33">
        <f>ROUND(MIN(MAX(0,N('Your debts'!$E$8)),D377),2)</f>
      </c>
      <c r="O377" s="33">
        <f>ROUND(MIN(MAX(0,N('Your debts'!$E$9)),E377),2)</f>
      </c>
      <c r="P377" s="33">
        <f>ROUND(MIN(MAX(0,N('Your debts'!$E$10)),F377),2)</f>
      </c>
      <c r="Q377" s="33">
        <f>ROUND(MIN(MAX(0,N('Your debts'!$E$11)),G377),2)</f>
      </c>
      <c r="R377" s="33">
        <f>ROUND(MIN(MAX(0,N('Your debts'!$E$12)),H377),2)</f>
      </c>
      <c r="S377" s="33">
        <f>ROUND(MIN(MAX(0,N('Your debts'!$E$13)),I377),2)</f>
      </c>
      <c r="T377" s="33">
        <f>ROUND(MIN(MAX(0,N('Your debts'!$E$14)),J377),2)</f>
      </c>
      <c r="U377" s="33">
        <f>ROUND(MIN(MAX(0,N('Your debts'!$E$15)),K377),2)</f>
      </c>
      <c r="V377" s="33">
        <f>ROUND(B377-L377,2)</f>
      </c>
      <c r="W377" s="33">
        <f>ROUND(C377-M377,2)</f>
      </c>
      <c r="X377" s="33">
        <f>ROUND(D377-N377,2)</f>
      </c>
      <c r="Y377" s="33">
        <f>ROUND(E377-O377,2)</f>
      </c>
      <c r="Z377" s="33">
        <f>ROUND(F377-P377,2)</f>
      </c>
      <c r="AA377" s="33">
        <f>ROUND(G377-Q377,2)</f>
      </c>
      <c r="AB377" s="33">
        <f>ROUND(H377-R377,2)</f>
      </c>
      <c r="AC377" s="33">
        <f>ROUND(I377-S377,2)</f>
      </c>
      <c r="AD377" s="33">
        <f>ROUND(J377-T377,2)</f>
      </c>
      <c r="AE377" s="33">
        <f>ROUND(K377-U377,2)</f>
      </c>
      <c r="AF377" s="33">
        <f>IF(V377&lt;=0,0,MAX(0,MIN(V377,ROUND($AZ377-SUMPRODUCT($V377:$AE377*($V377:$AE377&gt;0)*(($V$3:$AE$3&gt;V$3)+($V$3:$AE$3=V$3)*($V377:$AE377&lt;V377)+($V$3:$AE$3=V$3)*($V377:$AE377=V377)*($V$2:$AE$2&lt;V$2))),2))))</f>
      </c>
      <c r="AG377" s="33">
        <f>IF(W377&lt;=0,0,MAX(0,MIN(W377,ROUND($AZ377-SUMPRODUCT($V377:$AE377*($V377:$AE377&gt;0)*(($V$3:$AE$3&gt;W$3)+($V$3:$AE$3=W$3)*($V377:$AE377&lt;W377)+($V$3:$AE$3=W$3)*($V377:$AE377=W377)*($V$2:$AE$2&lt;W$2))),2))))</f>
      </c>
      <c r="AH377" s="33">
        <f>IF(X377&lt;=0,0,MAX(0,MIN(X377,ROUND($AZ377-SUMPRODUCT($V377:$AE377*($V377:$AE377&gt;0)*(($V$3:$AE$3&gt;X$3)+($V$3:$AE$3=X$3)*($V377:$AE377&lt;X377)+($V$3:$AE$3=X$3)*($V377:$AE377=X377)*($V$2:$AE$2&lt;X$2))),2))))</f>
      </c>
      <c r="AI377" s="33">
        <f>IF(Y377&lt;=0,0,MAX(0,MIN(Y377,ROUND($AZ377-SUMPRODUCT($V377:$AE377*($V377:$AE377&gt;0)*(($V$3:$AE$3&gt;Y$3)+($V$3:$AE$3=Y$3)*($V377:$AE377&lt;Y377)+($V$3:$AE$3=Y$3)*($V377:$AE377=Y377)*($V$2:$AE$2&lt;Y$2))),2))))</f>
      </c>
      <c r="AJ377" s="33">
        <f>IF(Z377&lt;=0,0,MAX(0,MIN(Z377,ROUND($AZ377-SUMPRODUCT($V377:$AE377*($V377:$AE377&gt;0)*(($V$3:$AE$3&gt;Z$3)+($V$3:$AE$3=Z$3)*($V377:$AE377&lt;Z377)+($V$3:$AE$3=Z$3)*($V377:$AE377=Z377)*($V$2:$AE$2&lt;Z$2))),2))))</f>
      </c>
      <c r="AK377" s="33">
        <f>IF(AA377&lt;=0,0,MAX(0,MIN(AA377,ROUND($AZ377-SUMPRODUCT($V377:$AE377*($V377:$AE377&gt;0)*(($V$3:$AE$3&gt;AA$3)+($V$3:$AE$3=AA$3)*($V377:$AE377&lt;AA377)+($V$3:$AE$3=AA$3)*($V377:$AE377=AA377)*($V$2:$AE$2&lt;AA$2))),2))))</f>
      </c>
      <c r="AL377" s="33">
        <f>IF(AB377&lt;=0,0,MAX(0,MIN(AB377,ROUND($AZ377-SUMPRODUCT($V377:$AE377*($V377:$AE377&gt;0)*(($V$3:$AE$3&gt;AB$3)+($V$3:$AE$3=AB$3)*($V377:$AE377&lt;AB377)+($V$3:$AE$3=AB$3)*($V377:$AE377=AB377)*($V$2:$AE$2&lt;AB$2))),2))))</f>
      </c>
      <c r="AM377" s="33">
        <f>IF(AC377&lt;=0,0,MAX(0,MIN(AC377,ROUND($AZ377-SUMPRODUCT($V377:$AE377*($V377:$AE377&gt;0)*(($V$3:$AE$3&gt;AC$3)+($V$3:$AE$3=AC$3)*($V377:$AE377&lt;AC377)+($V$3:$AE$3=AC$3)*($V377:$AE377=AC377)*($V$2:$AE$2&lt;AC$2))),2))))</f>
      </c>
      <c r="AN377" s="33">
        <f>IF(AD377&lt;=0,0,MAX(0,MIN(AD377,ROUND($AZ377-SUMPRODUCT($V377:$AE377*($V377:$AE377&gt;0)*(($V$3:$AE$3&gt;AD$3)+($V$3:$AE$3=AD$3)*($V377:$AE377&lt;AD377)+($V$3:$AE$3=AD$3)*($V377:$AE377=AD377)*($V$2:$AE$2&lt;AD$2))),2))))</f>
      </c>
      <c r="AO377" s="33">
        <f>IF(AE377&lt;=0,0,MAX(0,MIN(AE377,ROUND($AZ377-SUMPRODUCT($V377:$AE377*($V377:$AE377&gt;0)*(($V$3:$AE$3&gt;AE$3)+($V$3:$AE$3=AE$3)*($V377:$AE377&lt;AE377)+($V$3:$AE$3=AE$3)*($V377:$AE377=AE377)*($V$2:$AE$2&lt;AE$2))),2))))</f>
      </c>
      <c r="AP377" s="33">
        <f>ROUND(V377-AF377,2)</f>
      </c>
      <c r="AQ377" s="33">
        <f>ROUND(W377-AG377,2)</f>
      </c>
      <c r="AR377" s="33">
        <f>ROUND(X377-AH377,2)</f>
      </c>
      <c r="AS377" s="33">
        <f>ROUND(Y377-AI377,2)</f>
      </c>
      <c r="AT377" s="33">
        <f>ROUND(Z377-AJ377,2)</f>
      </c>
      <c r="AU377" s="33">
        <f>ROUND(AA377-AK377,2)</f>
      </c>
      <c r="AV377" s="33">
        <f>ROUND(AB377-AL377,2)</f>
      </c>
      <c r="AW377" s="33">
        <f>ROUND(AC377-AM377,2)</f>
      </c>
      <c r="AX377" s="33">
        <f>ROUND(AD377-AN377,2)</f>
      </c>
      <c r="AY377" s="33">
        <f>ROUND(AE377-AO377,2)</f>
      </c>
      <c r="AZ377" s="33">
        <f>ROUND(MAX(0,'Your debts'!$D$22-SUM($L377:$U377)),2)</f>
      </c>
      <c r="BA377" s="33">
        <f>ROUND(SUM($B377:$K377)-SUM($AP376:$AY376),2)</f>
      </c>
      <c r="BB377" s="33">
        <f>SUM($AP377:$AY377)</f>
      </c>
      <c r="BC377" s="33">
        <f>ROUND(SUM($L377:$U377)+SUM($AF377:$AO377),2)</f>
      </c>
    </row>
    <row r="378" spans="1:55" x14ac:dyDescent="0.25">
      <c r="A378">
        <v>371</v>
      </c>
      <c r="B378" s="33">
        <f>IF(AP377&lt;=0,0,ROUND(AP377+ROUND(AP377*V$3/12,2),2))</f>
      </c>
      <c r="C378" s="33">
        <f>IF(AQ377&lt;=0,0,ROUND(AQ377+ROUND(AQ377*W$3/12,2),2))</f>
      </c>
      <c r="D378" s="33">
        <f>IF(AR377&lt;=0,0,ROUND(AR377+ROUND(AR377*X$3/12,2),2))</f>
      </c>
      <c r="E378" s="33">
        <f>IF(AS377&lt;=0,0,ROUND(AS377+ROUND(AS377*Y$3/12,2),2))</f>
      </c>
      <c r="F378" s="33">
        <f>IF(AT377&lt;=0,0,ROUND(AT377+ROUND(AT377*Z$3/12,2),2))</f>
      </c>
      <c r="G378" s="33">
        <f>IF(AU377&lt;=0,0,ROUND(AU377+ROUND(AU377*AA$3/12,2),2))</f>
      </c>
      <c r="H378" s="33">
        <f>IF(AV377&lt;=0,0,ROUND(AV377+ROUND(AV377*AB$3/12,2),2))</f>
      </c>
      <c r="I378" s="33">
        <f>IF(AW377&lt;=0,0,ROUND(AW377+ROUND(AW377*AC$3/12,2),2))</f>
      </c>
      <c r="J378" s="33">
        <f>IF(AX377&lt;=0,0,ROUND(AX377+ROUND(AX377*AD$3/12,2),2))</f>
      </c>
      <c r="K378" s="33">
        <f>IF(AY377&lt;=0,0,ROUND(AY377+ROUND(AY377*AE$3/12,2),2))</f>
      </c>
      <c r="L378" s="33">
        <f>ROUND(MIN(MAX(0,N('Your debts'!$E$6)),B378),2)</f>
      </c>
      <c r="M378" s="33">
        <f>ROUND(MIN(MAX(0,N('Your debts'!$E$7)),C378),2)</f>
      </c>
      <c r="N378" s="33">
        <f>ROUND(MIN(MAX(0,N('Your debts'!$E$8)),D378),2)</f>
      </c>
      <c r="O378" s="33">
        <f>ROUND(MIN(MAX(0,N('Your debts'!$E$9)),E378),2)</f>
      </c>
      <c r="P378" s="33">
        <f>ROUND(MIN(MAX(0,N('Your debts'!$E$10)),F378),2)</f>
      </c>
      <c r="Q378" s="33">
        <f>ROUND(MIN(MAX(0,N('Your debts'!$E$11)),G378),2)</f>
      </c>
      <c r="R378" s="33">
        <f>ROUND(MIN(MAX(0,N('Your debts'!$E$12)),H378),2)</f>
      </c>
      <c r="S378" s="33">
        <f>ROUND(MIN(MAX(0,N('Your debts'!$E$13)),I378),2)</f>
      </c>
      <c r="T378" s="33">
        <f>ROUND(MIN(MAX(0,N('Your debts'!$E$14)),J378),2)</f>
      </c>
      <c r="U378" s="33">
        <f>ROUND(MIN(MAX(0,N('Your debts'!$E$15)),K378),2)</f>
      </c>
      <c r="V378" s="33">
        <f>ROUND(B378-L378,2)</f>
      </c>
      <c r="W378" s="33">
        <f>ROUND(C378-M378,2)</f>
      </c>
      <c r="X378" s="33">
        <f>ROUND(D378-N378,2)</f>
      </c>
      <c r="Y378" s="33">
        <f>ROUND(E378-O378,2)</f>
      </c>
      <c r="Z378" s="33">
        <f>ROUND(F378-P378,2)</f>
      </c>
      <c r="AA378" s="33">
        <f>ROUND(G378-Q378,2)</f>
      </c>
      <c r="AB378" s="33">
        <f>ROUND(H378-R378,2)</f>
      </c>
      <c r="AC378" s="33">
        <f>ROUND(I378-S378,2)</f>
      </c>
      <c r="AD378" s="33">
        <f>ROUND(J378-T378,2)</f>
      </c>
      <c r="AE378" s="33">
        <f>ROUND(K378-U378,2)</f>
      </c>
      <c r="AF378" s="33">
        <f>IF(V378&lt;=0,0,MAX(0,MIN(V378,ROUND($AZ378-SUMPRODUCT($V378:$AE378*($V378:$AE378&gt;0)*(($V$3:$AE$3&gt;V$3)+($V$3:$AE$3=V$3)*($V378:$AE378&lt;V378)+($V$3:$AE$3=V$3)*($V378:$AE378=V378)*($V$2:$AE$2&lt;V$2))),2))))</f>
      </c>
      <c r="AG378" s="33">
        <f>IF(W378&lt;=0,0,MAX(0,MIN(W378,ROUND($AZ378-SUMPRODUCT($V378:$AE378*($V378:$AE378&gt;0)*(($V$3:$AE$3&gt;W$3)+($V$3:$AE$3=W$3)*($V378:$AE378&lt;W378)+($V$3:$AE$3=W$3)*($V378:$AE378=W378)*($V$2:$AE$2&lt;W$2))),2))))</f>
      </c>
      <c r="AH378" s="33">
        <f>IF(X378&lt;=0,0,MAX(0,MIN(X378,ROUND($AZ378-SUMPRODUCT($V378:$AE378*($V378:$AE378&gt;0)*(($V$3:$AE$3&gt;X$3)+($V$3:$AE$3=X$3)*($V378:$AE378&lt;X378)+($V$3:$AE$3=X$3)*($V378:$AE378=X378)*($V$2:$AE$2&lt;X$2))),2))))</f>
      </c>
      <c r="AI378" s="33">
        <f>IF(Y378&lt;=0,0,MAX(0,MIN(Y378,ROUND($AZ378-SUMPRODUCT($V378:$AE378*($V378:$AE378&gt;0)*(($V$3:$AE$3&gt;Y$3)+($V$3:$AE$3=Y$3)*($V378:$AE378&lt;Y378)+($V$3:$AE$3=Y$3)*($V378:$AE378=Y378)*($V$2:$AE$2&lt;Y$2))),2))))</f>
      </c>
      <c r="AJ378" s="33">
        <f>IF(Z378&lt;=0,0,MAX(0,MIN(Z378,ROUND($AZ378-SUMPRODUCT($V378:$AE378*($V378:$AE378&gt;0)*(($V$3:$AE$3&gt;Z$3)+($V$3:$AE$3=Z$3)*($V378:$AE378&lt;Z378)+($V$3:$AE$3=Z$3)*($V378:$AE378=Z378)*($V$2:$AE$2&lt;Z$2))),2))))</f>
      </c>
      <c r="AK378" s="33">
        <f>IF(AA378&lt;=0,0,MAX(0,MIN(AA378,ROUND($AZ378-SUMPRODUCT($V378:$AE378*($V378:$AE378&gt;0)*(($V$3:$AE$3&gt;AA$3)+($V$3:$AE$3=AA$3)*($V378:$AE378&lt;AA378)+($V$3:$AE$3=AA$3)*($V378:$AE378=AA378)*($V$2:$AE$2&lt;AA$2))),2))))</f>
      </c>
      <c r="AL378" s="33">
        <f>IF(AB378&lt;=0,0,MAX(0,MIN(AB378,ROUND($AZ378-SUMPRODUCT($V378:$AE378*($V378:$AE378&gt;0)*(($V$3:$AE$3&gt;AB$3)+($V$3:$AE$3=AB$3)*($V378:$AE378&lt;AB378)+($V$3:$AE$3=AB$3)*($V378:$AE378=AB378)*($V$2:$AE$2&lt;AB$2))),2))))</f>
      </c>
      <c r="AM378" s="33">
        <f>IF(AC378&lt;=0,0,MAX(0,MIN(AC378,ROUND($AZ378-SUMPRODUCT($V378:$AE378*($V378:$AE378&gt;0)*(($V$3:$AE$3&gt;AC$3)+($V$3:$AE$3=AC$3)*($V378:$AE378&lt;AC378)+($V$3:$AE$3=AC$3)*($V378:$AE378=AC378)*($V$2:$AE$2&lt;AC$2))),2))))</f>
      </c>
      <c r="AN378" s="33">
        <f>IF(AD378&lt;=0,0,MAX(0,MIN(AD378,ROUND($AZ378-SUMPRODUCT($V378:$AE378*($V378:$AE378&gt;0)*(($V$3:$AE$3&gt;AD$3)+($V$3:$AE$3=AD$3)*($V378:$AE378&lt;AD378)+($V$3:$AE$3=AD$3)*($V378:$AE378=AD378)*($V$2:$AE$2&lt;AD$2))),2))))</f>
      </c>
      <c r="AO378" s="33">
        <f>IF(AE378&lt;=0,0,MAX(0,MIN(AE378,ROUND($AZ378-SUMPRODUCT($V378:$AE378*($V378:$AE378&gt;0)*(($V$3:$AE$3&gt;AE$3)+($V$3:$AE$3=AE$3)*($V378:$AE378&lt;AE378)+($V$3:$AE$3=AE$3)*($V378:$AE378=AE378)*($V$2:$AE$2&lt;AE$2))),2))))</f>
      </c>
      <c r="AP378" s="33">
        <f>ROUND(V378-AF378,2)</f>
      </c>
      <c r="AQ378" s="33">
        <f>ROUND(W378-AG378,2)</f>
      </c>
      <c r="AR378" s="33">
        <f>ROUND(X378-AH378,2)</f>
      </c>
      <c r="AS378" s="33">
        <f>ROUND(Y378-AI378,2)</f>
      </c>
      <c r="AT378" s="33">
        <f>ROUND(Z378-AJ378,2)</f>
      </c>
      <c r="AU378" s="33">
        <f>ROUND(AA378-AK378,2)</f>
      </c>
      <c r="AV378" s="33">
        <f>ROUND(AB378-AL378,2)</f>
      </c>
      <c r="AW378" s="33">
        <f>ROUND(AC378-AM378,2)</f>
      </c>
      <c r="AX378" s="33">
        <f>ROUND(AD378-AN378,2)</f>
      </c>
      <c r="AY378" s="33">
        <f>ROUND(AE378-AO378,2)</f>
      </c>
      <c r="AZ378" s="33">
        <f>ROUND(MAX(0,'Your debts'!$D$22-SUM($L378:$U378)),2)</f>
      </c>
      <c r="BA378" s="33">
        <f>ROUND(SUM($B378:$K378)-SUM($AP377:$AY377),2)</f>
      </c>
      <c r="BB378" s="33">
        <f>SUM($AP378:$AY378)</f>
      </c>
      <c r="BC378" s="33">
        <f>ROUND(SUM($L378:$U378)+SUM($AF378:$AO378),2)</f>
      </c>
    </row>
    <row r="379" spans="1:55" x14ac:dyDescent="0.25">
      <c r="A379">
        <v>372</v>
      </c>
      <c r="B379" s="33">
        <f>IF(AP378&lt;=0,0,ROUND(AP378+ROUND(AP378*V$3/12,2),2))</f>
      </c>
      <c r="C379" s="33">
        <f>IF(AQ378&lt;=0,0,ROUND(AQ378+ROUND(AQ378*W$3/12,2),2))</f>
      </c>
      <c r="D379" s="33">
        <f>IF(AR378&lt;=0,0,ROUND(AR378+ROUND(AR378*X$3/12,2),2))</f>
      </c>
      <c r="E379" s="33">
        <f>IF(AS378&lt;=0,0,ROUND(AS378+ROUND(AS378*Y$3/12,2),2))</f>
      </c>
      <c r="F379" s="33">
        <f>IF(AT378&lt;=0,0,ROUND(AT378+ROUND(AT378*Z$3/12,2),2))</f>
      </c>
      <c r="G379" s="33">
        <f>IF(AU378&lt;=0,0,ROUND(AU378+ROUND(AU378*AA$3/12,2),2))</f>
      </c>
      <c r="H379" s="33">
        <f>IF(AV378&lt;=0,0,ROUND(AV378+ROUND(AV378*AB$3/12,2),2))</f>
      </c>
      <c r="I379" s="33">
        <f>IF(AW378&lt;=0,0,ROUND(AW378+ROUND(AW378*AC$3/12,2),2))</f>
      </c>
      <c r="J379" s="33">
        <f>IF(AX378&lt;=0,0,ROUND(AX378+ROUND(AX378*AD$3/12,2),2))</f>
      </c>
      <c r="K379" s="33">
        <f>IF(AY378&lt;=0,0,ROUND(AY378+ROUND(AY378*AE$3/12,2),2))</f>
      </c>
      <c r="L379" s="33">
        <f>ROUND(MIN(MAX(0,N('Your debts'!$E$6)),B379),2)</f>
      </c>
      <c r="M379" s="33">
        <f>ROUND(MIN(MAX(0,N('Your debts'!$E$7)),C379),2)</f>
      </c>
      <c r="N379" s="33">
        <f>ROUND(MIN(MAX(0,N('Your debts'!$E$8)),D379),2)</f>
      </c>
      <c r="O379" s="33">
        <f>ROUND(MIN(MAX(0,N('Your debts'!$E$9)),E379),2)</f>
      </c>
      <c r="P379" s="33">
        <f>ROUND(MIN(MAX(0,N('Your debts'!$E$10)),F379),2)</f>
      </c>
      <c r="Q379" s="33">
        <f>ROUND(MIN(MAX(0,N('Your debts'!$E$11)),G379),2)</f>
      </c>
      <c r="R379" s="33">
        <f>ROUND(MIN(MAX(0,N('Your debts'!$E$12)),H379),2)</f>
      </c>
      <c r="S379" s="33">
        <f>ROUND(MIN(MAX(0,N('Your debts'!$E$13)),I379),2)</f>
      </c>
      <c r="T379" s="33">
        <f>ROUND(MIN(MAX(0,N('Your debts'!$E$14)),J379),2)</f>
      </c>
      <c r="U379" s="33">
        <f>ROUND(MIN(MAX(0,N('Your debts'!$E$15)),K379),2)</f>
      </c>
      <c r="V379" s="33">
        <f>ROUND(B379-L379,2)</f>
      </c>
      <c r="W379" s="33">
        <f>ROUND(C379-M379,2)</f>
      </c>
      <c r="X379" s="33">
        <f>ROUND(D379-N379,2)</f>
      </c>
      <c r="Y379" s="33">
        <f>ROUND(E379-O379,2)</f>
      </c>
      <c r="Z379" s="33">
        <f>ROUND(F379-P379,2)</f>
      </c>
      <c r="AA379" s="33">
        <f>ROUND(G379-Q379,2)</f>
      </c>
      <c r="AB379" s="33">
        <f>ROUND(H379-R379,2)</f>
      </c>
      <c r="AC379" s="33">
        <f>ROUND(I379-S379,2)</f>
      </c>
      <c r="AD379" s="33">
        <f>ROUND(J379-T379,2)</f>
      </c>
      <c r="AE379" s="33">
        <f>ROUND(K379-U379,2)</f>
      </c>
      <c r="AF379" s="33">
        <f>IF(V379&lt;=0,0,MAX(0,MIN(V379,ROUND($AZ379-SUMPRODUCT($V379:$AE379*($V379:$AE379&gt;0)*(($V$3:$AE$3&gt;V$3)+($V$3:$AE$3=V$3)*($V379:$AE379&lt;V379)+($V$3:$AE$3=V$3)*($V379:$AE379=V379)*($V$2:$AE$2&lt;V$2))),2))))</f>
      </c>
      <c r="AG379" s="33">
        <f>IF(W379&lt;=0,0,MAX(0,MIN(W379,ROUND($AZ379-SUMPRODUCT($V379:$AE379*($V379:$AE379&gt;0)*(($V$3:$AE$3&gt;W$3)+($V$3:$AE$3=W$3)*($V379:$AE379&lt;W379)+($V$3:$AE$3=W$3)*($V379:$AE379=W379)*($V$2:$AE$2&lt;W$2))),2))))</f>
      </c>
      <c r="AH379" s="33">
        <f>IF(X379&lt;=0,0,MAX(0,MIN(X379,ROUND($AZ379-SUMPRODUCT($V379:$AE379*($V379:$AE379&gt;0)*(($V$3:$AE$3&gt;X$3)+($V$3:$AE$3=X$3)*($V379:$AE379&lt;X379)+($V$3:$AE$3=X$3)*($V379:$AE379=X379)*($V$2:$AE$2&lt;X$2))),2))))</f>
      </c>
      <c r="AI379" s="33">
        <f>IF(Y379&lt;=0,0,MAX(0,MIN(Y379,ROUND($AZ379-SUMPRODUCT($V379:$AE379*($V379:$AE379&gt;0)*(($V$3:$AE$3&gt;Y$3)+($V$3:$AE$3=Y$3)*($V379:$AE379&lt;Y379)+($V$3:$AE$3=Y$3)*($V379:$AE379=Y379)*($V$2:$AE$2&lt;Y$2))),2))))</f>
      </c>
      <c r="AJ379" s="33">
        <f>IF(Z379&lt;=0,0,MAX(0,MIN(Z379,ROUND($AZ379-SUMPRODUCT($V379:$AE379*($V379:$AE379&gt;0)*(($V$3:$AE$3&gt;Z$3)+($V$3:$AE$3=Z$3)*($V379:$AE379&lt;Z379)+($V$3:$AE$3=Z$3)*($V379:$AE379=Z379)*($V$2:$AE$2&lt;Z$2))),2))))</f>
      </c>
      <c r="AK379" s="33">
        <f>IF(AA379&lt;=0,0,MAX(0,MIN(AA379,ROUND($AZ379-SUMPRODUCT($V379:$AE379*($V379:$AE379&gt;0)*(($V$3:$AE$3&gt;AA$3)+($V$3:$AE$3=AA$3)*($V379:$AE379&lt;AA379)+($V$3:$AE$3=AA$3)*($V379:$AE379=AA379)*($V$2:$AE$2&lt;AA$2))),2))))</f>
      </c>
      <c r="AL379" s="33">
        <f>IF(AB379&lt;=0,0,MAX(0,MIN(AB379,ROUND($AZ379-SUMPRODUCT($V379:$AE379*($V379:$AE379&gt;0)*(($V$3:$AE$3&gt;AB$3)+($V$3:$AE$3=AB$3)*($V379:$AE379&lt;AB379)+($V$3:$AE$3=AB$3)*($V379:$AE379=AB379)*($V$2:$AE$2&lt;AB$2))),2))))</f>
      </c>
      <c r="AM379" s="33">
        <f>IF(AC379&lt;=0,0,MAX(0,MIN(AC379,ROUND($AZ379-SUMPRODUCT($V379:$AE379*($V379:$AE379&gt;0)*(($V$3:$AE$3&gt;AC$3)+($V$3:$AE$3=AC$3)*($V379:$AE379&lt;AC379)+($V$3:$AE$3=AC$3)*($V379:$AE379=AC379)*($V$2:$AE$2&lt;AC$2))),2))))</f>
      </c>
      <c r="AN379" s="33">
        <f>IF(AD379&lt;=0,0,MAX(0,MIN(AD379,ROUND($AZ379-SUMPRODUCT($V379:$AE379*($V379:$AE379&gt;0)*(($V$3:$AE$3&gt;AD$3)+($V$3:$AE$3=AD$3)*($V379:$AE379&lt;AD379)+($V$3:$AE$3=AD$3)*($V379:$AE379=AD379)*($V$2:$AE$2&lt;AD$2))),2))))</f>
      </c>
      <c r="AO379" s="33">
        <f>IF(AE379&lt;=0,0,MAX(0,MIN(AE379,ROUND($AZ379-SUMPRODUCT($V379:$AE379*($V379:$AE379&gt;0)*(($V$3:$AE$3&gt;AE$3)+($V$3:$AE$3=AE$3)*($V379:$AE379&lt;AE379)+($V$3:$AE$3=AE$3)*($V379:$AE379=AE379)*($V$2:$AE$2&lt;AE$2))),2))))</f>
      </c>
      <c r="AP379" s="33">
        <f>ROUND(V379-AF379,2)</f>
      </c>
      <c r="AQ379" s="33">
        <f>ROUND(W379-AG379,2)</f>
      </c>
      <c r="AR379" s="33">
        <f>ROUND(X379-AH379,2)</f>
      </c>
      <c r="AS379" s="33">
        <f>ROUND(Y379-AI379,2)</f>
      </c>
      <c r="AT379" s="33">
        <f>ROUND(Z379-AJ379,2)</f>
      </c>
      <c r="AU379" s="33">
        <f>ROUND(AA379-AK379,2)</f>
      </c>
      <c r="AV379" s="33">
        <f>ROUND(AB379-AL379,2)</f>
      </c>
      <c r="AW379" s="33">
        <f>ROUND(AC379-AM379,2)</f>
      </c>
      <c r="AX379" s="33">
        <f>ROUND(AD379-AN379,2)</f>
      </c>
      <c r="AY379" s="33">
        <f>ROUND(AE379-AO379,2)</f>
      </c>
      <c r="AZ379" s="33">
        <f>ROUND(MAX(0,'Your debts'!$D$22-SUM($L379:$U379)),2)</f>
      </c>
      <c r="BA379" s="33">
        <f>ROUND(SUM($B379:$K379)-SUM($AP378:$AY378),2)</f>
      </c>
      <c r="BB379" s="33">
        <f>SUM($AP379:$AY379)</f>
      </c>
      <c r="BC379" s="33">
        <f>ROUND(SUM($L379:$U379)+SUM($AF379:$AO379),2)</f>
      </c>
    </row>
    <row r="380" spans="1:55" x14ac:dyDescent="0.25">
      <c r="A380">
        <v>373</v>
      </c>
      <c r="B380" s="33">
        <f>IF(AP379&lt;=0,0,ROUND(AP379+ROUND(AP379*V$3/12,2),2))</f>
      </c>
      <c r="C380" s="33">
        <f>IF(AQ379&lt;=0,0,ROUND(AQ379+ROUND(AQ379*W$3/12,2),2))</f>
      </c>
      <c r="D380" s="33">
        <f>IF(AR379&lt;=0,0,ROUND(AR379+ROUND(AR379*X$3/12,2),2))</f>
      </c>
      <c r="E380" s="33">
        <f>IF(AS379&lt;=0,0,ROUND(AS379+ROUND(AS379*Y$3/12,2),2))</f>
      </c>
      <c r="F380" s="33">
        <f>IF(AT379&lt;=0,0,ROUND(AT379+ROUND(AT379*Z$3/12,2),2))</f>
      </c>
      <c r="G380" s="33">
        <f>IF(AU379&lt;=0,0,ROUND(AU379+ROUND(AU379*AA$3/12,2),2))</f>
      </c>
      <c r="H380" s="33">
        <f>IF(AV379&lt;=0,0,ROUND(AV379+ROUND(AV379*AB$3/12,2),2))</f>
      </c>
      <c r="I380" s="33">
        <f>IF(AW379&lt;=0,0,ROUND(AW379+ROUND(AW379*AC$3/12,2),2))</f>
      </c>
      <c r="J380" s="33">
        <f>IF(AX379&lt;=0,0,ROUND(AX379+ROUND(AX379*AD$3/12,2),2))</f>
      </c>
      <c r="K380" s="33">
        <f>IF(AY379&lt;=0,0,ROUND(AY379+ROUND(AY379*AE$3/12,2),2))</f>
      </c>
      <c r="L380" s="33">
        <f>ROUND(MIN(MAX(0,N('Your debts'!$E$6)),B380),2)</f>
      </c>
      <c r="M380" s="33">
        <f>ROUND(MIN(MAX(0,N('Your debts'!$E$7)),C380),2)</f>
      </c>
      <c r="N380" s="33">
        <f>ROUND(MIN(MAX(0,N('Your debts'!$E$8)),D380),2)</f>
      </c>
      <c r="O380" s="33">
        <f>ROUND(MIN(MAX(0,N('Your debts'!$E$9)),E380),2)</f>
      </c>
      <c r="P380" s="33">
        <f>ROUND(MIN(MAX(0,N('Your debts'!$E$10)),F380),2)</f>
      </c>
      <c r="Q380" s="33">
        <f>ROUND(MIN(MAX(0,N('Your debts'!$E$11)),G380),2)</f>
      </c>
      <c r="R380" s="33">
        <f>ROUND(MIN(MAX(0,N('Your debts'!$E$12)),H380),2)</f>
      </c>
      <c r="S380" s="33">
        <f>ROUND(MIN(MAX(0,N('Your debts'!$E$13)),I380),2)</f>
      </c>
      <c r="T380" s="33">
        <f>ROUND(MIN(MAX(0,N('Your debts'!$E$14)),J380),2)</f>
      </c>
      <c r="U380" s="33">
        <f>ROUND(MIN(MAX(0,N('Your debts'!$E$15)),K380),2)</f>
      </c>
      <c r="V380" s="33">
        <f>ROUND(B380-L380,2)</f>
      </c>
      <c r="W380" s="33">
        <f>ROUND(C380-M380,2)</f>
      </c>
      <c r="X380" s="33">
        <f>ROUND(D380-N380,2)</f>
      </c>
      <c r="Y380" s="33">
        <f>ROUND(E380-O380,2)</f>
      </c>
      <c r="Z380" s="33">
        <f>ROUND(F380-P380,2)</f>
      </c>
      <c r="AA380" s="33">
        <f>ROUND(G380-Q380,2)</f>
      </c>
      <c r="AB380" s="33">
        <f>ROUND(H380-R380,2)</f>
      </c>
      <c r="AC380" s="33">
        <f>ROUND(I380-S380,2)</f>
      </c>
      <c r="AD380" s="33">
        <f>ROUND(J380-T380,2)</f>
      </c>
      <c r="AE380" s="33">
        <f>ROUND(K380-U380,2)</f>
      </c>
      <c r="AF380" s="33">
        <f>IF(V380&lt;=0,0,MAX(0,MIN(V380,ROUND($AZ380-SUMPRODUCT($V380:$AE380*($V380:$AE380&gt;0)*(($V$3:$AE$3&gt;V$3)+($V$3:$AE$3=V$3)*($V380:$AE380&lt;V380)+($V$3:$AE$3=V$3)*($V380:$AE380=V380)*($V$2:$AE$2&lt;V$2))),2))))</f>
      </c>
      <c r="AG380" s="33">
        <f>IF(W380&lt;=0,0,MAX(0,MIN(W380,ROUND($AZ380-SUMPRODUCT($V380:$AE380*($V380:$AE380&gt;0)*(($V$3:$AE$3&gt;W$3)+($V$3:$AE$3=W$3)*($V380:$AE380&lt;W380)+($V$3:$AE$3=W$3)*($V380:$AE380=W380)*($V$2:$AE$2&lt;W$2))),2))))</f>
      </c>
      <c r="AH380" s="33">
        <f>IF(X380&lt;=0,0,MAX(0,MIN(X380,ROUND($AZ380-SUMPRODUCT($V380:$AE380*($V380:$AE380&gt;0)*(($V$3:$AE$3&gt;X$3)+($V$3:$AE$3=X$3)*($V380:$AE380&lt;X380)+($V$3:$AE$3=X$3)*($V380:$AE380=X380)*($V$2:$AE$2&lt;X$2))),2))))</f>
      </c>
      <c r="AI380" s="33">
        <f>IF(Y380&lt;=0,0,MAX(0,MIN(Y380,ROUND($AZ380-SUMPRODUCT($V380:$AE380*($V380:$AE380&gt;0)*(($V$3:$AE$3&gt;Y$3)+($V$3:$AE$3=Y$3)*($V380:$AE380&lt;Y380)+($V$3:$AE$3=Y$3)*($V380:$AE380=Y380)*($V$2:$AE$2&lt;Y$2))),2))))</f>
      </c>
      <c r="AJ380" s="33">
        <f>IF(Z380&lt;=0,0,MAX(0,MIN(Z380,ROUND($AZ380-SUMPRODUCT($V380:$AE380*($V380:$AE380&gt;0)*(($V$3:$AE$3&gt;Z$3)+($V$3:$AE$3=Z$3)*($V380:$AE380&lt;Z380)+($V$3:$AE$3=Z$3)*($V380:$AE380=Z380)*($V$2:$AE$2&lt;Z$2))),2))))</f>
      </c>
      <c r="AK380" s="33">
        <f>IF(AA380&lt;=0,0,MAX(0,MIN(AA380,ROUND($AZ380-SUMPRODUCT($V380:$AE380*($V380:$AE380&gt;0)*(($V$3:$AE$3&gt;AA$3)+($V$3:$AE$3=AA$3)*($V380:$AE380&lt;AA380)+($V$3:$AE$3=AA$3)*($V380:$AE380=AA380)*($V$2:$AE$2&lt;AA$2))),2))))</f>
      </c>
      <c r="AL380" s="33">
        <f>IF(AB380&lt;=0,0,MAX(0,MIN(AB380,ROUND($AZ380-SUMPRODUCT($V380:$AE380*($V380:$AE380&gt;0)*(($V$3:$AE$3&gt;AB$3)+($V$3:$AE$3=AB$3)*($V380:$AE380&lt;AB380)+($V$3:$AE$3=AB$3)*($V380:$AE380=AB380)*($V$2:$AE$2&lt;AB$2))),2))))</f>
      </c>
      <c r="AM380" s="33">
        <f>IF(AC380&lt;=0,0,MAX(0,MIN(AC380,ROUND($AZ380-SUMPRODUCT($V380:$AE380*($V380:$AE380&gt;0)*(($V$3:$AE$3&gt;AC$3)+($V$3:$AE$3=AC$3)*($V380:$AE380&lt;AC380)+($V$3:$AE$3=AC$3)*($V380:$AE380=AC380)*($V$2:$AE$2&lt;AC$2))),2))))</f>
      </c>
      <c r="AN380" s="33">
        <f>IF(AD380&lt;=0,0,MAX(0,MIN(AD380,ROUND($AZ380-SUMPRODUCT($V380:$AE380*($V380:$AE380&gt;0)*(($V$3:$AE$3&gt;AD$3)+($V$3:$AE$3=AD$3)*($V380:$AE380&lt;AD380)+($V$3:$AE$3=AD$3)*($V380:$AE380=AD380)*($V$2:$AE$2&lt;AD$2))),2))))</f>
      </c>
      <c r="AO380" s="33">
        <f>IF(AE380&lt;=0,0,MAX(0,MIN(AE380,ROUND($AZ380-SUMPRODUCT($V380:$AE380*($V380:$AE380&gt;0)*(($V$3:$AE$3&gt;AE$3)+($V$3:$AE$3=AE$3)*($V380:$AE380&lt;AE380)+($V$3:$AE$3=AE$3)*($V380:$AE380=AE380)*($V$2:$AE$2&lt;AE$2))),2))))</f>
      </c>
      <c r="AP380" s="33">
        <f>ROUND(V380-AF380,2)</f>
      </c>
      <c r="AQ380" s="33">
        <f>ROUND(W380-AG380,2)</f>
      </c>
      <c r="AR380" s="33">
        <f>ROUND(X380-AH380,2)</f>
      </c>
      <c r="AS380" s="33">
        <f>ROUND(Y380-AI380,2)</f>
      </c>
      <c r="AT380" s="33">
        <f>ROUND(Z380-AJ380,2)</f>
      </c>
      <c r="AU380" s="33">
        <f>ROUND(AA380-AK380,2)</f>
      </c>
      <c r="AV380" s="33">
        <f>ROUND(AB380-AL380,2)</f>
      </c>
      <c r="AW380" s="33">
        <f>ROUND(AC380-AM380,2)</f>
      </c>
      <c r="AX380" s="33">
        <f>ROUND(AD380-AN380,2)</f>
      </c>
      <c r="AY380" s="33">
        <f>ROUND(AE380-AO380,2)</f>
      </c>
      <c r="AZ380" s="33">
        <f>ROUND(MAX(0,'Your debts'!$D$22-SUM($L380:$U380)),2)</f>
      </c>
      <c r="BA380" s="33">
        <f>ROUND(SUM($B380:$K380)-SUM($AP379:$AY379),2)</f>
      </c>
      <c r="BB380" s="33">
        <f>SUM($AP380:$AY380)</f>
      </c>
      <c r="BC380" s="33">
        <f>ROUND(SUM($L380:$U380)+SUM($AF380:$AO380),2)</f>
      </c>
    </row>
    <row r="381" spans="1:55" x14ac:dyDescent="0.25">
      <c r="A381">
        <v>374</v>
      </c>
      <c r="B381" s="33">
        <f>IF(AP380&lt;=0,0,ROUND(AP380+ROUND(AP380*V$3/12,2),2))</f>
      </c>
      <c r="C381" s="33">
        <f>IF(AQ380&lt;=0,0,ROUND(AQ380+ROUND(AQ380*W$3/12,2),2))</f>
      </c>
      <c r="D381" s="33">
        <f>IF(AR380&lt;=0,0,ROUND(AR380+ROUND(AR380*X$3/12,2),2))</f>
      </c>
      <c r="E381" s="33">
        <f>IF(AS380&lt;=0,0,ROUND(AS380+ROUND(AS380*Y$3/12,2),2))</f>
      </c>
      <c r="F381" s="33">
        <f>IF(AT380&lt;=0,0,ROUND(AT380+ROUND(AT380*Z$3/12,2),2))</f>
      </c>
      <c r="G381" s="33">
        <f>IF(AU380&lt;=0,0,ROUND(AU380+ROUND(AU380*AA$3/12,2),2))</f>
      </c>
      <c r="H381" s="33">
        <f>IF(AV380&lt;=0,0,ROUND(AV380+ROUND(AV380*AB$3/12,2),2))</f>
      </c>
      <c r="I381" s="33">
        <f>IF(AW380&lt;=0,0,ROUND(AW380+ROUND(AW380*AC$3/12,2),2))</f>
      </c>
      <c r="J381" s="33">
        <f>IF(AX380&lt;=0,0,ROUND(AX380+ROUND(AX380*AD$3/12,2),2))</f>
      </c>
      <c r="K381" s="33">
        <f>IF(AY380&lt;=0,0,ROUND(AY380+ROUND(AY380*AE$3/12,2),2))</f>
      </c>
      <c r="L381" s="33">
        <f>ROUND(MIN(MAX(0,N('Your debts'!$E$6)),B381),2)</f>
      </c>
      <c r="M381" s="33">
        <f>ROUND(MIN(MAX(0,N('Your debts'!$E$7)),C381),2)</f>
      </c>
      <c r="N381" s="33">
        <f>ROUND(MIN(MAX(0,N('Your debts'!$E$8)),D381),2)</f>
      </c>
      <c r="O381" s="33">
        <f>ROUND(MIN(MAX(0,N('Your debts'!$E$9)),E381),2)</f>
      </c>
      <c r="P381" s="33">
        <f>ROUND(MIN(MAX(0,N('Your debts'!$E$10)),F381),2)</f>
      </c>
      <c r="Q381" s="33">
        <f>ROUND(MIN(MAX(0,N('Your debts'!$E$11)),G381),2)</f>
      </c>
      <c r="R381" s="33">
        <f>ROUND(MIN(MAX(0,N('Your debts'!$E$12)),H381),2)</f>
      </c>
      <c r="S381" s="33">
        <f>ROUND(MIN(MAX(0,N('Your debts'!$E$13)),I381),2)</f>
      </c>
      <c r="T381" s="33">
        <f>ROUND(MIN(MAX(0,N('Your debts'!$E$14)),J381),2)</f>
      </c>
      <c r="U381" s="33">
        <f>ROUND(MIN(MAX(0,N('Your debts'!$E$15)),K381),2)</f>
      </c>
      <c r="V381" s="33">
        <f>ROUND(B381-L381,2)</f>
      </c>
      <c r="W381" s="33">
        <f>ROUND(C381-M381,2)</f>
      </c>
      <c r="X381" s="33">
        <f>ROUND(D381-N381,2)</f>
      </c>
      <c r="Y381" s="33">
        <f>ROUND(E381-O381,2)</f>
      </c>
      <c r="Z381" s="33">
        <f>ROUND(F381-P381,2)</f>
      </c>
      <c r="AA381" s="33">
        <f>ROUND(G381-Q381,2)</f>
      </c>
      <c r="AB381" s="33">
        <f>ROUND(H381-R381,2)</f>
      </c>
      <c r="AC381" s="33">
        <f>ROUND(I381-S381,2)</f>
      </c>
      <c r="AD381" s="33">
        <f>ROUND(J381-T381,2)</f>
      </c>
      <c r="AE381" s="33">
        <f>ROUND(K381-U381,2)</f>
      </c>
      <c r="AF381" s="33">
        <f>IF(V381&lt;=0,0,MAX(0,MIN(V381,ROUND($AZ381-SUMPRODUCT($V381:$AE381*($V381:$AE381&gt;0)*(($V$3:$AE$3&gt;V$3)+($V$3:$AE$3=V$3)*($V381:$AE381&lt;V381)+($V$3:$AE$3=V$3)*($V381:$AE381=V381)*($V$2:$AE$2&lt;V$2))),2))))</f>
      </c>
      <c r="AG381" s="33">
        <f>IF(W381&lt;=0,0,MAX(0,MIN(W381,ROUND($AZ381-SUMPRODUCT($V381:$AE381*($V381:$AE381&gt;0)*(($V$3:$AE$3&gt;W$3)+($V$3:$AE$3=W$3)*($V381:$AE381&lt;W381)+($V$3:$AE$3=W$3)*($V381:$AE381=W381)*($V$2:$AE$2&lt;W$2))),2))))</f>
      </c>
      <c r="AH381" s="33">
        <f>IF(X381&lt;=0,0,MAX(0,MIN(X381,ROUND($AZ381-SUMPRODUCT($V381:$AE381*($V381:$AE381&gt;0)*(($V$3:$AE$3&gt;X$3)+($V$3:$AE$3=X$3)*($V381:$AE381&lt;X381)+($V$3:$AE$3=X$3)*($V381:$AE381=X381)*($V$2:$AE$2&lt;X$2))),2))))</f>
      </c>
      <c r="AI381" s="33">
        <f>IF(Y381&lt;=0,0,MAX(0,MIN(Y381,ROUND($AZ381-SUMPRODUCT($V381:$AE381*($V381:$AE381&gt;0)*(($V$3:$AE$3&gt;Y$3)+($V$3:$AE$3=Y$3)*($V381:$AE381&lt;Y381)+($V$3:$AE$3=Y$3)*($V381:$AE381=Y381)*($V$2:$AE$2&lt;Y$2))),2))))</f>
      </c>
      <c r="AJ381" s="33">
        <f>IF(Z381&lt;=0,0,MAX(0,MIN(Z381,ROUND($AZ381-SUMPRODUCT($V381:$AE381*($V381:$AE381&gt;0)*(($V$3:$AE$3&gt;Z$3)+($V$3:$AE$3=Z$3)*($V381:$AE381&lt;Z381)+($V$3:$AE$3=Z$3)*($V381:$AE381=Z381)*($V$2:$AE$2&lt;Z$2))),2))))</f>
      </c>
      <c r="AK381" s="33">
        <f>IF(AA381&lt;=0,0,MAX(0,MIN(AA381,ROUND($AZ381-SUMPRODUCT($V381:$AE381*($V381:$AE381&gt;0)*(($V$3:$AE$3&gt;AA$3)+($V$3:$AE$3=AA$3)*($V381:$AE381&lt;AA381)+($V$3:$AE$3=AA$3)*($V381:$AE381=AA381)*($V$2:$AE$2&lt;AA$2))),2))))</f>
      </c>
      <c r="AL381" s="33">
        <f>IF(AB381&lt;=0,0,MAX(0,MIN(AB381,ROUND($AZ381-SUMPRODUCT($V381:$AE381*($V381:$AE381&gt;0)*(($V$3:$AE$3&gt;AB$3)+($V$3:$AE$3=AB$3)*($V381:$AE381&lt;AB381)+($V$3:$AE$3=AB$3)*($V381:$AE381=AB381)*($V$2:$AE$2&lt;AB$2))),2))))</f>
      </c>
      <c r="AM381" s="33">
        <f>IF(AC381&lt;=0,0,MAX(0,MIN(AC381,ROUND($AZ381-SUMPRODUCT($V381:$AE381*($V381:$AE381&gt;0)*(($V$3:$AE$3&gt;AC$3)+($V$3:$AE$3=AC$3)*($V381:$AE381&lt;AC381)+($V$3:$AE$3=AC$3)*($V381:$AE381=AC381)*($V$2:$AE$2&lt;AC$2))),2))))</f>
      </c>
      <c r="AN381" s="33">
        <f>IF(AD381&lt;=0,0,MAX(0,MIN(AD381,ROUND($AZ381-SUMPRODUCT($V381:$AE381*($V381:$AE381&gt;0)*(($V$3:$AE$3&gt;AD$3)+($V$3:$AE$3=AD$3)*($V381:$AE381&lt;AD381)+($V$3:$AE$3=AD$3)*($V381:$AE381=AD381)*($V$2:$AE$2&lt;AD$2))),2))))</f>
      </c>
      <c r="AO381" s="33">
        <f>IF(AE381&lt;=0,0,MAX(0,MIN(AE381,ROUND($AZ381-SUMPRODUCT($V381:$AE381*($V381:$AE381&gt;0)*(($V$3:$AE$3&gt;AE$3)+($V$3:$AE$3=AE$3)*($V381:$AE381&lt;AE381)+($V$3:$AE$3=AE$3)*($V381:$AE381=AE381)*($V$2:$AE$2&lt;AE$2))),2))))</f>
      </c>
      <c r="AP381" s="33">
        <f>ROUND(V381-AF381,2)</f>
      </c>
      <c r="AQ381" s="33">
        <f>ROUND(W381-AG381,2)</f>
      </c>
      <c r="AR381" s="33">
        <f>ROUND(X381-AH381,2)</f>
      </c>
      <c r="AS381" s="33">
        <f>ROUND(Y381-AI381,2)</f>
      </c>
      <c r="AT381" s="33">
        <f>ROUND(Z381-AJ381,2)</f>
      </c>
      <c r="AU381" s="33">
        <f>ROUND(AA381-AK381,2)</f>
      </c>
      <c r="AV381" s="33">
        <f>ROUND(AB381-AL381,2)</f>
      </c>
      <c r="AW381" s="33">
        <f>ROUND(AC381-AM381,2)</f>
      </c>
      <c r="AX381" s="33">
        <f>ROUND(AD381-AN381,2)</f>
      </c>
      <c r="AY381" s="33">
        <f>ROUND(AE381-AO381,2)</f>
      </c>
      <c r="AZ381" s="33">
        <f>ROUND(MAX(0,'Your debts'!$D$22-SUM($L381:$U381)),2)</f>
      </c>
      <c r="BA381" s="33">
        <f>ROUND(SUM($B381:$K381)-SUM($AP380:$AY380),2)</f>
      </c>
      <c r="BB381" s="33">
        <f>SUM($AP381:$AY381)</f>
      </c>
      <c r="BC381" s="33">
        <f>ROUND(SUM($L381:$U381)+SUM($AF381:$AO381),2)</f>
      </c>
    </row>
    <row r="382" spans="1:55" x14ac:dyDescent="0.25">
      <c r="A382">
        <v>375</v>
      </c>
      <c r="B382" s="33">
        <f>IF(AP381&lt;=0,0,ROUND(AP381+ROUND(AP381*V$3/12,2),2))</f>
      </c>
      <c r="C382" s="33">
        <f>IF(AQ381&lt;=0,0,ROUND(AQ381+ROUND(AQ381*W$3/12,2),2))</f>
      </c>
      <c r="D382" s="33">
        <f>IF(AR381&lt;=0,0,ROUND(AR381+ROUND(AR381*X$3/12,2),2))</f>
      </c>
      <c r="E382" s="33">
        <f>IF(AS381&lt;=0,0,ROUND(AS381+ROUND(AS381*Y$3/12,2),2))</f>
      </c>
      <c r="F382" s="33">
        <f>IF(AT381&lt;=0,0,ROUND(AT381+ROUND(AT381*Z$3/12,2),2))</f>
      </c>
      <c r="G382" s="33">
        <f>IF(AU381&lt;=0,0,ROUND(AU381+ROUND(AU381*AA$3/12,2),2))</f>
      </c>
      <c r="H382" s="33">
        <f>IF(AV381&lt;=0,0,ROUND(AV381+ROUND(AV381*AB$3/12,2),2))</f>
      </c>
      <c r="I382" s="33">
        <f>IF(AW381&lt;=0,0,ROUND(AW381+ROUND(AW381*AC$3/12,2),2))</f>
      </c>
      <c r="J382" s="33">
        <f>IF(AX381&lt;=0,0,ROUND(AX381+ROUND(AX381*AD$3/12,2),2))</f>
      </c>
      <c r="K382" s="33">
        <f>IF(AY381&lt;=0,0,ROUND(AY381+ROUND(AY381*AE$3/12,2),2))</f>
      </c>
      <c r="L382" s="33">
        <f>ROUND(MIN(MAX(0,N('Your debts'!$E$6)),B382),2)</f>
      </c>
      <c r="M382" s="33">
        <f>ROUND(MIN(MAX(0,N('Your debts'!$E$7)),C382),2)</f>
      </c>
      <c r="N382" s="33">
        <f>ROUND(MIN(MAX(0,N('Your debts'!$E$8)),D382),2)</f>
      </c>
      <c r="O382" s="33">
        <f>ROUND(MIN(MAX(0,N('Your debts'!$E$9)),E382),2)</f>
      </c>
      <c r="P382" s="33">
        <f>ROUND(MIN(MAX(0,N('Your debts'!$E$10)),F382),2)</f>
      </c>
      <c r="Q382" s="33">
        <f>ROUND(MIN(MAX(0,N('Your debts'!$E$11)),G382),2)</f>
      </c>
      <c r="R382" s="33">
        <f>ROUND(MIN(MAX(0,N('Your debts'!$E$12)),H382),2)</f>
      </c>
      <c r="S382" s="33">
        <f>ROUND(MIN(MAX(0,N('Your debts'!$E$13)),I382),2)</f>
      </c>
      <c r="T382" s="33">
        <f>ROUND(MIN(MAX(0,N('Your debts'!$E$14)),J382),2)</f>
      </c>
      <c r="U382" s="33">
        <f>ROUND(MIN(MAX(0,N('Your debts'!$E$15)),K382),2)</f>
      </c>
      <c r="V382" s="33">
        <f>ROUND(B382-L382,2)</f>
      </c>
      <c r="W382" s="33">
        <f>ROUND(C382-M382,2)</f>
      </c>
      <c r="X382" s="33">
        <f>ROUND(D382-N382,2)</f>
      </c>
      <c r="Y382" s="33">
        <f>ROUND(E382-O382,2)</f>
      </c>
      <c r="Z382" s="33">
        <f>ROUND(F382-P382,2)</f>
      </c>
      <c r="AA382" s="33">
        <f>ROUND(G382-Q382,2)</f>
      </c>
      <c r="AB382" s="33">
        <f>ROUND(H382-R382,2)</f>
      </c>
      <c r="AC382" s="33">
        <f>ROUND(I382-S382,2)</f>
      </c>
      <c r="AD382" s="33">
        <f>ROUND(J382-T382,2)</f>
      </c>
      <c r="AE382" s="33">
        <f>ROUND(K382-U382,2)</f>
      </c>
      <c r="AF382" s="33">
        <f>IF(V382&lt;=0,0,MAX(0,MIN(V382,ROUND($AZ382-SUMPRODUCT($V382:$AE382*($V382:$AE382&gt;0)*(($V$3:$AE$3&gt;V$3)+($V$3:$AE$3=V$3)*($V382:$AE382&lt;V382)+($V$3:$AE$3=V$3)*($V382:$AE382=V382)*($V$2:$AE$2&lt;V$2))),2))))</f>
      </c>
      <c r="AG382" s="33">
        <f>IF(W382&lt;=0,0,MAX(0,MIN(W382,ROUND($AZ382-SUMPRODUCT($V382:$AE382*($V382:$AE382&gt;0)*(($V$3:$AE$3&gt;W$3)+($V$3:$AE$3=W$3)*($V382:$AE382&lt;W382)+($V$3:$AE$3=W$3)*($V382:$AE382=W382)*($V$2:$AE$2&lt;W$2))),2))))</f>
      </c>
      <c r="AH382" s="33">
        <f>IF(X382&lt;=0,0,MAX(0,MIN(X382,ROUND($AZ382-SUMPRODUCT($V382:$AE382*($V382:$AE382&gt;0)*(($V$3:$AE$3&gt;X$3)+($V$3:$AE$3=X$3)*($V382:$AE382&lt;X382)+($V$3:$AE$3=X$3)*($V382:$AE382=X382)*($V$2:$AE$2&lt;X$2))),2))))</f>
      </c>
      <c r="AI382" s="33">
        <f>IF(Y382&lt;=0,0,MAX(0,MIN(Y382,ROUND($AZ382-SUMPRODUCT($V382:$AE382*($V382:$AE382&gt;0)*(($V$3:$AE$3&gt;Y$3)+($V$3:$AE$3=Y$3)*($V382:$AE382&lt;Y382)+($V$3:$AE$3=Y$3)*($V382:$AE382=Y382)*($V$2:$AE$2&lt;Y$2))),2))))</f>
      </c>
      <c r="AJ382" s="33">
        <f>IF(Z382&lt;=0,0,MAX(0,MIN(Z382,ROUND($AZ382-SUMPRODUCT($V382:$AE382*($V382:$AE382&gt;0)*(($V$3:$AE$3&gt;Z$3)+($V$3:$AE$3=Z$3)*($V382:$AE382&lt;Z382)+($V$3:$AE$3=Z$3)*($V382:$AE382=Z382)*($V$2:$AE$2&lt;Z$2))),2))))</f>
      </c>
      <c r="AK382" s="33">
        <f>IF(AA382&lt;=0,0,MAX(0,MIN(AA382,ROUND($AZ382-SUMPRODUCT($V382:$AE382*($V382:$AE382&gt;0)*(($V$3:$AE$3&gt;AA$3)+($V$3:$AE$3=AA$3)*($V382:$AE382&lt;AA382)+($V$3:$AE$3=AA$3)*($V382:$AE382=AA382)*($V$2:$AE$2&lt;AA$2))),2))))</f>
      </c>
      <c r="AL382" s="33">
        <f>IF(AB382&lt;=0,0,MAX(0,MIN(AB382,ROUND($AZ382-SUMPRODUCT($V382:$AE382*($V382:$AE382&gt;0)*(($V$3:$AE$3&gt;AB$3)+($V$3:$AE$3=AB$3)*($V382:$AE382&lt;AB382)+($V$3:$AE$3=AB$3)*($V382:$AE382=AB382)*($V$2:$AE$2&lt;AB$2))),2))))</f>
      </c>
      <c r="AM382" s="33">
        <f>IF(AC382&lt;=0,0,MAX(0,MIN(AC382,ROUND($AZ382-SUMPRODUCT($V382:$AE382*($V382:$AE382&gt;0)*(($V$3:$AE$3&gt;AC$3)+($V$3:$AE$3=AC$3)*($V382:$AE382&lt;AC382)+($V$3:$AE$3=AC$3)*($V382:$AE382=AC382)*($V$2:$AE$2&lt;AC$2))),2))))</f>
      </c>
      <c r="AN382" s="33">
        <f>IF(AD382&lt;=0,0,MAX(0,MIN(AD382,ROUND($AZ382-SUMPRODUCT($V382:$AE382*($V382:$AE382&gt;0)*(($V$3:$AE$3&gt;AD$3)+($V$3:$AE$3=AD$3)*($V382:$AE382&lt;AD382)+($V$3:$AE$3=AD$3)*($V382:$AE382=AD382)*($V$2:$AE$2&lt;AD$2))),2))))</f>
      </c>
      <c r="AO382" s="33">
        <f>IF(AE382&lt;=0,0,MAX(0,MIN(AE382,ROUND($AZ382-SUMPRODUCT($V382:$AE382*($V382:$AE382&gt;0)*(($V$3:$AE$3&gt;AE$3)+($V$3:$AE$3=AE$3)*($V382:$AE382&lt;AE382)+($V$3:$AE$3=AE$3)*($V382:$AE382=AE382)*($V$2:$AE$2&lt;AE$2))),2))))</f>
      </c>
      <c r="AP382" s="33">
        <f>ROUND(V382-AF382,2)</f>
      </c>
      <c r="AQ382" s="33">
        <f>ROUND(W382-AG382,2)</f>
      </c>
      <c r="AR382" s="33">
        <f>ROUND(X382-AH382,2)</f>
      </c>
      <c r="AS382" s="33">
        <f>ROUND(Y382-AI382,2)</f>
      </c>
      <c r="AT382" s="33">
        <f>ROUND(Z382-AJ382,2)</f>
      </c>
      <c r="AU382" s="33">
        <f>ROUND(AA382-AK382,2)</f>
      </c>
      <c r="AV382" s="33">
        <f>ROUND(AB382-AL382,2)</f>
      </c>
      <c r="AW382" s="33">
        <f>ROUND(AC382-AM382,2)</f>
      </c>
      <c r="AX382" s="33">
        <f>ROUND(AD382-AN382,2)</f>
      </c>
      <c r="AY382" s="33">
        <f>ROUND(AE382-AO382,2)</f>
      </c>
      <c r="AZ382" s="33">
        <f>ROUND(MAX(0,'Your debts'!$D$22-SUM($L382:$U382)),2)</f>
      </c>
      <c r="BA382" s="33">
        <f>ROUND(SUM($B382:$K382)-SUM($AP381:$AY381),2)</f>
      </c>
      <c r="BB382" s="33">
        <f>SUM($AP382:$AY382)</f>
      </c>
      <c r="BC382" s="33">
        <f>ROUND(SUM($L382:$U382)+SUM($AF382:$AO382),2)</f>
      </c>
    </row>
    <row r="383" spans="1:55" x14ac:dyDescent="0.25">
      <c r="A383">
        <v>376</v>
      </c>
      <c r="B383" s="33">
        <f>IF(AP382&lt;=0,0,ROUND(AP382+ROUND(AP382*V$3/12,2),2))</f>
      </c>
      <c r="C383" s="33">
        <f>IF(AQ382&lt;=0,0,ROUND(AQ382+ROUND(AQ382*W$3/12,2),2))</f>
      </c>
      <c r="D383" s="33">
        <f>IF(AR382&lt;=0,0,ROUND(AR382+ROUND(AR382*X$3/12,2),2))</f>
      </c>
      <c r="E383" s="33">
        <f>IF(AS382&lt;=0,0,ROUND(AS382+ROUND(AS382*Y$3/12,2),2))</f>
      </c>
      <c r="F383" s="33">
        <f>IF(AT382&lt;=0,0,ROUND(AT382+ROUND(AT382*Z$3/12,2),2))</f>
      </c>
      <c r="G383" s="33">
        <f>IF(AU382&lt;=0,0,ROUND(AU382+ROUND(AU382*AA$3/12,2),2))</f>
      </c>
      <c r="H383" s="33">
        <f>IF(AV382&lt;=0,0,ROUND(AV382+ROUND(AV382*AB$3/12,2),2))</f>
      </c>
      <c r="I383" s="33">
        <f>IF(AW382&lt;=0,0,ROUND(AW382+ROUND(AW382*AC$3/12,2),2))</f>
      </c>
      <c r="J383" s="33">
        <f>IF(AX382&lt;=0,0,ROUND(AX382+ROUND(AX382*AD$3/12,2),2))</f>
      </c>
      <c r="K383" s="33">
        <f>IF(AY382&lt;=0,0,ROUND(AY382+ROUND(AY382*AE$3/12,2),2))</f>
      </c>
      <c r="L383" s="33">
        <f>ROUND(MIN(MAX(0,N('Your debts'!$E$6)),B383),2)</f>
      </c>
      <c r="M383" s="33">
        <f>ROUND(MIN(MAX(0,N('Your debts'!$E$7)),C383),2)</f>
      </c>
      <c r="N383" s="33">
        <f>ROUND(MIN(MAX(0,N('Your debts'!$E$8)),D383),2)</f>
      </c>
      <c r="O383" s="33">
        <f>ROUND(MIN(MAX(0,N('Your debts'!$E$9)),E383),2)</f>
      </c>
      <c r="P383" s="33">
        <f>ROUND(MIN(MAX(0,N('Your debts'!$E$10)),F383),2)</f>
      </c>
      <c r="Q383" s="33">
        <f>ROUND(MIN(MAX(0,N('Your debts'!$E$11)),G383),2)</f>
      </c>
      <c r="R383" s="33">
        <f>ROUND(MIN(MAX(0,N('Your debts'!$E$12)),H383),2)</f>
      </c>
      <c r="S383" s="33">
        <f>ROUND(MIN(MAX(0,N('Your debts'!$E$13)),I383),2)</f>
      </c>
      <c r="T383" s="33">
        <f>ROUND(MIN(MAX(0,N('Your debts'!$E$14)),J383),2)</f>
      </c>
      <c r="U383" s="33">
        <f>ROUND(MIN(MAX(0,N('Your debts'!$E$15)),K383),2)</f>
      </c>
      <c r="V383" s="33">
        <f>ROUND(B383-L383,2)</f>
      </c>
      <c r="W383" s="33">
        <f>ROUND(C383-M383,2)</f>
      </c>
      <c r="X383" s="33">
        <f>ROUND(D383-N383,2)</f>
      </c>
      <c r="Y383" s="33">
        <f>ROUND(E383-O383,2)</f>
      </c>
      <c r="Z383" s="33">
        <f>ROUND(F383-P383,2)</f>
      </c>
      <c r="AA383" s="33">
        <f>ROUND(G383-Q383,2)</f>
      </c>
      <c r="AB383" s="33">
        <f>ROUND(H383-R383,2)</f>
      </c>
      <c r="AC383" s="33">
        <f>ROUND(I383-S383,2)</f>
      </c>
      <c r="AD383" s="33">
        <f>ROUND(J383-T383,2)</f>
      </c>
      <c r="AE383" s="33">
        <f>ROUND(K383-U383,2)</f>
      </c>
      <c r="AF383" s="33">
        <f>IF(V383&lt;=0,0,MAX(0,MIN(V383,ROUND($AZ383-SUMPRODUCT($V383:$AE383*($V383:$AE383&gt;0)*(($V$3:$AE$3&gt;V$3)+($V$3:$AE$3=V$3)*($V383:$AE383&lt;V383)+($V$3:$AE$3=V$3)*($V383:$AE383=V383)*($V$2:$AE$2&lt;V$2))),2))))</f>
      </c>
      <c r="AG383" s="33">
        <f>IF(W383&lt;=0,0,MAX(0,MIN(W383,ROUND($AZ383-SUMPRODUCT($V383:$AE383*($V383:$AE383&gt;0)*(($V$3:$AE$3&gt;W$3)+($V$3:$AE$3=W$3)*($V383:$AE383&lt;W383)+($V$3:$AE$3=W$3)*($V383:$AE383=W383)*($V$2:$AE$2&lt;W$2))),2))))</f>
      </c>
      <c r="AH383" s="33">
        <f>IF(X383&lt;=0,0,MAX(0,MIN(X383,ROUND($AZ383-SUMPRODUCT($V383:$AE383*($V383:$AE383&gt;0)*(($V$3:$AE$3&gt;X$3)+($V$3:$AE$3=X$3)*($V383:$AE383&lt;X383)+($V$3:$AE$3=X$3)*($V383:$AE383=X383)*($V$2:$AE$2&lt;X$2))),2))))</f>
      </c>
      <c r="AI383" s="33">
        <f>IF(Y383&lt;=0,0,MAX(0,MIN(Y383,ROUND($AZ383-SUMPRODUCT($V383:$AE383*($V383:$AE383&gt;0)*(($V$3:$AE$3&gt;Y$3)+($V$3:$AE$3=Y$3)*($V383:$AE383&lt;Y383)+($V$3:$AE$3=Y$3)*($V383:$AE383=Y383)*($V$2:$AE$2&lt;Y$2))),2))))</f>
      </c>
      <c r="AJ383" s="33">
        <f>IF(Z383&lt;=0,0,MAX(0,MIN(Z383,ROUND($AZ383-SUMPRODUCT($V383:$AE383*($V383:$AE383&gt;0)*(($V$3:$AE$3&gt;Z$3)+($V$3:$AE$3=Z$3)*($V383:$AE383&lt;Z383)+($V$3:$AE$3=Z$3)*($V383:$AE383=Z383)*($V$2:$AE$2&lt;Z$2))),2))))</f>
      </c>
      <c r="AK383" s="33">
        <f>IF(AA383&lt;=0,0,MAX(0,MIN(AA383,ROUND($AZ383-SUMPRODUCT($V383:$AE383*($V383:$AE383&gt;0)*(($V$3:$AE$3&gt;AA$3)+($V$3:$AE$3=AA$3)*($V383:$AE383&lt;AA383)+($V$3:$AE$3=AA$3)*($V383:$AE383=AA383)*($V$2:$AE$2&lt;AA$2))),2))))</f>
      </c>
      <c r="AL383" s="33">
        <f>IF(AB383&lt;=0,0,MAX(0,MIN(AB383,ROUND($AZ383-SUMPRODUCT($V383:$AE383*($V383:$AE383&gt;0)*(($V$3:$AE$3&gt;AB$3)+($V$3:$AE$3=AB$3)*($V383:$AE383&lt;AB383)+($V$3:$AE$3=AB$3)*($V383:$AE383=AB383)*($V$2:$AE$2&lt;AB$2))),2))))</f>
      </c>
      <c r="AM383" s="33">
        <f>IF(AC383&lt;=0,0,MAX(0,MIN(AC383,ROUND($AZ383-SUMPRODUCT($V383:$AE383*($V383:$AE383&gt;0)*(($V$3:$AE$3&gt;AC$3)+($V$3:$AE$3=AC$3)*($V383:$AE383&lt;AC383)+($V$3:$AE$3=AC$3)*($V383:$AE383=AC383)*($V$2:$AE$2&lt;AC$2))),2))))</f>
      </c>
      <c r="AN383" s="33">
        <f>IF(AD383&lt;=0,0,MAX(0,MIN(AD383,ROUND($AZ383-SUMPRODUCT($V383:$AE383*($V383:$AE383&gt;0)*(($V$3:$AE$3&gt;AD$3)+($V$3:$AE$3=AD$3)*($V383:$AE383&lt;AD383)+($V$3:$AE$3=AD$3)*($V383:$AE383=AD383)*($V$2:$AE$2&lt;AD$2))),2))))</f>
      </c>
      <c r="AO383" s="33">
        <f>IF(AE383&lt;=0,0,MAX(0,MIN(AE383,ROUND($AZ383-SUMPRODUCT($V383:$AE383*($V383:$AE383&gt;0)*(($V$3:$AE$3&gt;AE$3)+($V$3:$AE$3=AE$3)*($V383:$AE383&lt;AE383)+($V$3:$AE$3=AE$3)*($V383:$AE383=AE383)*($V$2:$AE$2&lt;AE$2))),2))))</f>
      </c>
      <c r="AP383" s="33">
        <f>ROUND(V383-AF383,2)</f>
      </c>
      <c r="AQ383" s="33">
        <f>ROUND(W383-AG383,2)</f>
      </c>
      <c r="AR383" s="33">
        <f>ROUND(X383-AH383,2)</f>
      </c>
      <c r="AS383" s="33">
        <f>ROUND(Y383-AI383,2)</f>
      </c>
      <c r="AT383" s="33">
        <f>ROUND(Z383-AJ383,2)</f>
      </c>
      <c r="AU383" s="33">
        <f>ROUND(AA383-AK383,2)</f>
      </c>
      <c r="AV383" s="33">
        <f>ROUND(AB383-AL383,2)</f>
      </c>
      <c r="AW383" s="33">
        <f>ROUND(AC383-AM383,2)</f>
      </c>
      <c r="AX383" s="33">
        <f>ROUND(AD383-AN383,2)</f>
      </c>
      <c r="AY383" s="33">
        <f>ROUND(AE383-AO383,2)</f>
      </c>
      <c r="AZ383" s="33">
        <f>ROUND(MAX(0,'Your debts'!$D$22-SUM($L383:$U383)),2)</f>
      </c>
      <c r="BA383" s="33">
        <f>ROUND(SUM($B383:$K383)-SUM($AP382:$AY382),2)</f>
      </c>
      <c r="BB383" s="33">
        <f>SUM($AP383:$AY383)</f>
      </c>
      <c r="BC383" s="33">
        <f>ROUND(SUM($L383:$U383)+SUM($AF383:$AO383),2)</f>
      </c>
    </row>
    <row r="384" spans="1:55" x14ac:dyDescent="0.25">
      <c r="A384">
        <v>377</v>
      </c>
      <c r="B384" s="33">
        <f>IF(AP383&lt;=0,0,ROUND(AP383+ROUND(AP383*V$3/12,2),2))</f>
      </c>
      <c r="C384" s="33">
        <f>IF(AQ383&lt;=0,0,ROUND(AQ383+ROUND(AQ383*W$3/12,2),2))</f>
      </c>
      <c r="D384" s="33">
        <f>IF(AR383&lt;=0,0,ROUND(AR383+ROUND(AR383*X$3/12,2),2))</f>
      </c>
      <c r="E384" s="33">
        <f>IF(AS383&lt;=0,0,ROUND(AS383+ROUND(AS383*Y$3/12,2),2))</f>
      </c>
      <c r="F384" s="33">
        <f>IF(AT383&lt;=0,0,ROUND(AT383+ROUND(AT383*Z$3/12,2),2))</f>
      </c>
      <c r="G384" s="33">
        <f>IF(AU383&lt;=0,0,ROUND(AU383+ROUND(AU383*AA$3/12,2),2))</f>
      </c>
      <c r="H384" s="33">
        <f>IF(AV383&lt;=0,0,ROUND(AV383+ROUND(AV383*AB$3/12,2),2))</f>
      </c>
      <c r="I384" s="33">
        <f>IF(AW383&lt;=0,0,ROUND(AW383+ROUND(AW383*AC$3/12,2),2))</f>
      </c>
      <c r="J384" s="33">
        <f>IF(AX383&lt;=0,0,ROUND(AX383+ROUND(AX383*AD$3/12,2),2))</f>
      </c>
      <c r="K384" s="33">
        <f>IF(AY383&lt;=0,0,ROUND(AY383+ROUND(AY383*AE$3/12,2),2))</f>
      </c>
      <c r="L384" s="33">
        <f>ROUND(MIN(MAX(0,N('Your debts'!$E$6)),B384),2)</f>
      </c>
      <c r="M384" s="33">
        <f>ROUND(MIN(MAX(0,N('Your debts'!$E$7)),C384),2)</f>
      </c>
      <c r="N384" s="33">
        <f>ROUND(MIN(MAX(0,N('Your debts'!$E$8)),D384),2)</f>
      </c>
      <c r="O384" s="33">
        <f>ROUND(MIN(MAX(0,N('Your debts'!$E$9)),E384),2)</f>
      </c>
      <c r="P384" s="33">
        <f>ROUND(MIN(MAX(0,N('Your debts'!$E$10)),F384),2)</f>
      </c>
      <c r="Q384" s="33">
        <f>ROUND(MIN(MAX(0,N('Your debts'!$E$11)),G384),2)</f>
      </c>
      <c r="R384" s="33">
        <f>ROUND(MIN(MAX(0,N('Your debts'!$E$12)),H384),2)</f>
      </c>
      <c r="S384" s="33">
        <f>ROUND(MIN(MAX(0,N('Your debts'!$E$13)),I384),2)</f>
      </c>
      <c r="T384" s="33">
        <f>ROUND(MIN(MAX(0,N('Your debts'!$E$14)),J384),2)</f>
      </c>
      <c r="U384" s="33">
        <f>ROUND(MIN(MAX(0,N('Your debts'!$E$15)),K384),2)</f>
      </c>
      <c r="V384" s="33">
        <f>ROUND(B384-L384,2)</f>
      </c>
      <c r="W384" s="33">
        <f>ROUND(C384-M384,2)</f>
      </c>
      <c r="X384" s="33">
        <f>ROUND(D384-N384,2)</f>
      </c>
      <c r="Y384" s="33">
        <f>ROUND(E384-O384,2)</f>
      </c>
      <c r="Z384" s="33">
        <f>ROUND(F384-P384,2)</f>
      </c>
      <c r="AA384" s="33">
        <f>ROUND(G384-Q384,2)</f>
      </c>
      <c r="AB384" s="33">
        <f>ROUND(H384-R384,2)</f>
      </c>
      <c r="AC384" s="33">
        <f>ROUND(I384-S384,2)</f>
      </c>
      <c r="AD384" s="33">
        <f>ROUND(J384-T384,2)</f>
      </c>
      <c r="AE384" s="33">
        <f>ROUND(K384-U384,2)</f>
      </c>
      <c r="AF384" s="33">
        <f>IF(V384&lt;=0,0,MAX(0,MIN(V384,ROUND($AZ384-SUMPRODUCT($V384:$AE384*($V384:$AE384&gt;0)*(($V$3:$AE$3&gt;V$3)+($V$3:$AE$3=V$3)*($V384:$AE384&lt;V384)+($V$3:$AE$3=V$3)*($V384:$AE384=V384)*($V$2:$AE$2&lt;V$2))),2))))</f>
      </c>
      <c r="AG384" s="33">
        <f>IF(W384&lt;=0,0,MAX(0,MIN(W384,ROUND($AZ384-SUMPRODUCT($V384:$AE384*($V384:$AE384&gt;0)*(($V$3:$AE$3&gt;W$3)+($V$3:$AE$3=W$3)*($V384:$AE384&lt;W384)+($V$3:$AE$3=W$3)*($V384:$AE384=W384)*($V$2:$AE$2&lt;W$2))),2))))</f>
      </c>
      <c r="AH384" s="33">
        <f>IF(X384&lt;=0,0,MAX(0,MIN(X384,ROUND($AZ384-SUMPRODUCT($V384:$AE384*($V384:$AE384&gt;0)*(($V$3:$AE$3&gt;X$3)+($V$3:$AE$3=X$3)*($V384:$AE384&lt;X384)+($V$3:$AE$3=X$3)*($V384:$AE384=X384)*($V$2:$AE$2&lt;X$2))),2))))</f>
      </c>
      <c r="AI384" s="33">
        <f>IF(Y384&lt;=0,0,MAX(0,MIN(Y384,ROUND($AZ384-SUMPRODUCT($V384:$AE384*($V384:$AE384&gt;0)*(($V$3:$AE$3&gt;Y$3)+($V$3:$AE$3=Y$3)*($V384:$AE384&lt;Y384)+($V$3:$AE$3=Y$3)*($V384:$AE384=Y384)*($V$2:$AE$2&lt;Y$2))),2))))</f>
      </c>
      <c r="AJ384" s="33">
        <f>IF(Z384&lt;=0,0,MAX(0,MIN(Z384,ROUND($AZ384-SUMPRODUCT($V384:$AE384*($V384:$AE384&gt;0)*(($V$3:$AE$3&gt;Z$3)+($V$3:$AE$3=Z$3)*($V384:$AE384&lt;Z384)+($V$3:$AE$3=Z$3)*($V384:$AE384=Z384)*($V$2:$AE$2&lt;Z$2))),2))))</f>
      </c>
      <c r="AK384" s="33">
        <f>IF(AA384&lt;=0,0,MAX(0,MIN(AA384,ROUND($AZ384-SUMPRODUCT($V384:$AE384*($V384:$AE384&gt;0)*(($V$3:$AE$3&gt;AA$3)+($V$3:$AE$3=AA$3)*($V384:$AE384&lt;AA384)+($V$3:$AE$3=AA$3)*($V384:$AE384=AA384)*($V$2:$AE$2&lt;AA$2))),2))))</f>
      </c>
      <c r="AL384" s="33">
        <f>IF(AB384&lt;=0,0,MAX(0,MIN(AB384,ROUND($AZ384-SUMPRODUCT($V384:$AE384*($V384:$AE384&gt;0)*(($V$3:$AE$3&gt;AB$3)+($V$3:$AE$3=AB$3)*($V384:$AE384&lt;AB384)+($V$3:$AE$3=AB$3)*($V384:$AE384=AB384)*($V$2:$AE$2&lt;AB$2))),2))))</f>
      </c>
      <c r="AM384" s="33">
        <f>IF(AC384&lt;=0,0,MAX(0,MIN(AC384,ROUND($AZ384-SUMPRODUCT($V384:$AE384*($V384:$AE384&gt;0)*(($V$3:$AE$3&gt;AC$3)+($V$3:$AE$3=AC$3)*($V384:$AE384&lt;AC384)+($V$3:$AE$3=AC$3)*($V384:$AE384=AC384)*($V$2:$AE$2&lt;AC$2))),2))))</f>
      </c>
      <c r="AN384" s="33">
        <f>IF(AD384&lt;=0,0,MAX(0,MIN(AD384,ROUND($AZ384-SUMPRODUCT($V384:$AE384*($V384:$AE384&gt;0)*(($V$3:$AE$3&gt;AD$3)+($V$3:$AE$3=AD$3)*($V384:$AE384&lt;AD384)+($V$3:$AE$3=AD$3)*($V384:$AE384=AD384)*($V$2:$AE$2&lt;AD$2))),2))))</f>
      </c>
      <c r="AO384" s="33">
        <f>IF(AE384&lt;=0,0,MAX(0,MIN(AE384,ROUND($AZ384-SUMPRODUCT($V384:$AE384*($V384:$AE384&gt;0)*(($V$3:$AE$3&gt;AE$3)+($V$3:$AE$3=AE$3)*($V384:$AE384&lt;AE384)+($V$3:$AE$3=AE$3)*($V384:$AE384=AE384)*($V$2:$AE$2&lt;AE$2))),2))))</f>
      </c>
      <c r="AP384" s="33">
        <f>ROUND(V384-AF384,2)</f>
      </c>
      <c r="AQ384" s="33">
        <f>ROUND(W384-AG384,2)</f>
      </c>
      <c r="AR384" s="33">
        <f>ROUND(X384-AH384,2)</f>
      </c>
      <c r="AS384" s="33">
        <f>ROUND(Y384-AI384,2)</f>
      </c>
      <c r="AT384" s="33">
        <f>ROUND(Z384-AJ384,2)</f>
      </c>
      <c r="AU384" s="33">
        <f>ROUND(AA384-AK384,2)</f>
      </c>
      <c r="AV384" s="33">
        <f>ROUND(AB384-AL384,2)</f>
      </c>
      <c r="AW384" s="33">
        <f>ROUND(AC384-AM384,2)</f>
      </c>
      <c r="AX384" s="33">
        <f>ROUND(AD384-AN384,2)</f>
      </c>
      <c r="AY384" s="33">
        <f>ROUND(AE384-AO384,2)</f>
      </c>
      <c r="AZ384" s="33">
        <f>ROUND(MAX(0,'Your debts'!$D$22-SUM($L384:$U384)),2)</f>
      </c>
      <c r="BA384" s="33">
        <f>ROUND(SUM($B384:$K384)-SUM($AP383:$AY383),2)</f>
      </c>
      <c r="BB384" s="33">
        <f>SUM($AP384:$AY384)</f>
      </c>
      <c r="BC384" s="33">
        <f>ROUND(SUM($L384:$U384)+SUM($AF384:$AO384),2)</f>
      </c>
    </row>
    <row r="385" spans="1:55" x14ac:dyDescent="0.25">
      <c r="A385">
        <v>378</v>
      </c>
      <c r="B385" s="33">
        <f>IF(AP384&lt;=0,0,ROUND(AP384+ROUND(AP384*V$3/12,2),2))</f>
      </c>
      <c r="C385" s="33">
        <f>IF(AQ384&lt;=0,0,ROUND(AQ384+ROUND(AQ384*W$3/12,2),2))</f>
      </c>
      <c r="D385" s="33">
        <f>IF(AR384&lt;=0,0,ROUND(AR384+ROUND(AR384*X$3/12,2),2))</f>
      </c>
      <c r="E385" s="33">
        <f>IF(AS384&lt;=0,0,ROUND(AS384+ROUND(AS384*Y$3/12,2),2))</f>
      </c>
      <c r="F385" s="33">
        <f>IF(AT384&lt;=0,0,ROUND(AT384+ROUND(AT384*Z$3/12,2),2))</f>
      </c>
      <c r="G385" s="33">
        <f>IF(AU384&lt;=0,0,ROUND(AU384+ROUND(AU384*AA$3/12,2),2))</f>
      </c>
      <c r="H385" s="33">
        <f>IF(AV384&lt;=0,0,ROUND(AV384+ROUND(AV384*AB$3/12,2),2))</f>
      </c>
      <c r="I385" s="33">
        <f>IF(AW384&lt;=0,0,ROUND(AW384+ROUND(AW384*AC$3/12,2),2))</f>
      </c>
      <c r="J385" s="33">
        <f>IF(AX384&lt;=0,0,ROUND(AX384+ROUND(AX384*AD$3/12,2),2))</f>
      </c>
      <c r="K385" s="33">
        <f>IF(AY384&lt;=0,0,ROUND(AY384+ROUND(AY384*AE$3/12,2),2))</f>
      </c>
      <c r="L385" s="33">
        <f>ROUND(MIN(MAX(0,N('Your debts'!$E$6)),B385),2)</f>
      </c>
      <c r="M385" s="33">
        <f>ROUND(MIN(MAX(0,N('Your debts'!$E$7)),C385),2)</f>
      </c>
      <c r="N385" s="33">
        <f>ROUND(MIN(MAX(0,N('Your debts'!$E$8)),D385),2)</f>
      </c>
      <c r="O385" s="33">
        <f>ROUND(MIN(MAX(0,N('Your debts'!$E$9)),E385),2)</f>
      </c>
      <c r="P385" s="33">
        <f>ROUND(MIN(MAX(0,N('Your debts'!$E$10)),F385),2)</f>
      </c>
      <c r="Q385" s="33">
        <f>ROUND(MIN(MAX(0,N('Your debts'!$E$11)),G385),2)</f>
      </c>
      <c r="R385" s="33">
        <f>ROUND(MIN(MAX(0,N('Your debts'!$E$12)),H385),2)</f>
      </c>
      <c r="S385" s="33">
        <f>ROUND(MIN(MAX(0,N('Your debts'!$E$13)),I385),2)</f>
      </c>
      <c r="T385" s="33">
        <f>ROUND(MIN(MAX(0,N('Your debts'!$E$14)),J385),2)</f>
      </c>
      <c r="U385" s="33">
        <f>ROUND(MIN(MAX(0,N('Your debts'!$E$15)),K385),2)</f>
      </c>
      <c r="V385" s="33">
        <f>ROUND(B385-L385,2)</f>
      </c>
      <c r="W385" s="33">
        <f>ROUND(C385-M385,2)</f>
      </c>
      <c r="X385" s="33">
        <f>ROUND(D385-N385,2)</f>
      </c>
      <c r="Y385" s="33">
        <f>ROUND(E385-O385,2)</f>
      </c>
      <c r="Z385" s="33">
        <f>ROUND(F385-P385,2)</f>
      </c>
      <c r="AA385" s="33">
        <f>ROUND(G385-Q385,2)</f>
      </c>
      <c r="AB385" s="33">
        <f>ROUND(H385-R385,2)</f>
      </c>
      <c r="AC385" s="33">
        <f>ROUND(I385-S385,2)</f>
      </c>
      <c r="AD385" s="33">
        <f>ROUND(J385-T385,2)</f>
      </c>
      <c r="AE385" s="33">
        <f>ROUND(K385-U385,2)</f>
      </c>
      <c r="AF385" s="33">
        <f>IF(V385&lt;=0,0,MAX(0,MIN(V385,ROUND($AZ385-SUMPRODUCT($V385:$AE385*($V385:$AE385&gt;0)*(($V$3:$AE$3&gt;V$3)+($V$3:$AE$3=V$3)*($V385:$AE385&lt;V385)+($V$3:$AE$3=V$3)*($V385:$AE385=V385)*($V$2:$AE$2&lt;V$2))),2))))</f>
      </c>
      <c r="AG385" s="33">
        <f>IF(W385&lt;=0,0,MAX(0,MIN(W385,ROUND($AZ385-SUMPRODUCT($V385:$AE385*($V385:$AE385&gt;0)*(($V$3:$AE$3&gt;W$3)+($V$3:$AE$3=W$3)*($V385:$AE385&lt;W385)+($V$3:$AE$3=W$3)*($V385:$AE385=W385)*($V$2:$AE$2&lt;W$2))),2))))</f>
      </c>
      <c r="AH385" s="33">
        <f>IF(X385&lt;=0,0,MAX(0,MIN(X385,ROUND($AZ385-SUMPRODUCT($V385:$AE385*($V385:$AE385&gt;0)*(($V$3:$AE$3&gt;X$3)+($V$3:$AE$3=X$3)*($V385:$AE385&lt;X385)+($V$3:$AE$3=X$3)*($V385:$AE385=X385)*($V$2:$AE$2&lt;X$2))),2))))</f>
      </c>
      <c r="AI385" s="33">
        <f>IF(Y385&lt;=0,0,MAX(0,MIN(Y385,ROUND($AZ385-SUMPRODUCT($V385:$AE385*($V385:$AE385&gt;0)*(($V$3:$AE$3&gt;Y$3)+($V$3:$AE$3=Y$3)*($V385:$AE385&lt;Y385)+($V$3:$AE$3=Y$3)*($V385:$AE385=Y385)*($V$2:$AE$2&lt;Y$2))),2))))</f>
      </c>
      <c r="AJ385" s="33">
        <f>IF(Z385&lt;=0,0,MAX(0,MIN(Z385,ROUND($AZ385-SUMPRODUCT($V385:$AE385*($V385:$AE385&gt;0)*(($V$3:$AE$3&gt;Z$3)+($V$3:$AE$3=Z$3)*($V385:$AE385&lt;Z385)+($V$3:$AE$3=Z$3)*($V385:$AE385=Z385)*($V$2:$AE$2&lt;Z$2))),2))))</f>
      </c>
      <c r="AK385" s="33">
        <f>IF(AA385&lt;=0,0,MAX(0,MIN(AA385,ROUND($AZ385-SUMPRODUCT($V385:$AE385*($V385:$AE385&gt;0)*(($V$3:$AE$3&gt;AA$3)+($V$3:$AE$3=AA$3)*($V385:$AE385&lt;AA385)+($V$3:$AE$3=AA$3)*($V385:$AE385=AA385)*($V$2:$AE$2&lt;AA$2))),2))))</f>
      </c>
      <c r="AL385" s="33">
        <f>IF(AB385&lt;=0,0,MAX(0,MIN(AB385,ROUND($AZ385-SUMPRODUCT($V385:$AE385*($V385:$AE385&gt;0)*(($V$3:$AE$3&gt;AB$3)+($V$3:$AE$3=AB$3)*($V385:$AE385&lt;AB385)+($V$3:$AE$3=AB$3)*($V385:$AE385=AB385)*($V$2:$AE$2&lt;AB$2))),2))))</f>
      </c>
      <c r="AM385" s="33">
        <f>IF(AC385&lt;=0,0,MAX(0,MIN(AC385,ROUND($AZ385-SUMPRODUCT($V385:$AE385*($V385:$AE385&gt;0)*(($V$3:$AE$3&gt;AC$3)+($V$3:$AE$3=AC$3)*($V385:$AE385&lt;AC385)+($V$3:$AE$3=AC$3)*($V385:$AE385=AC385)*($V$2:$AE$2&lt;AC$2))),2))))</f>
      </c>
      <c r="AN385" s="33">
        <f>IF(AD385&lt;=0,0,MAX(0,MIN(AD385,ROUND($AZ385-SUMPRODUCT($V385:$AE385*($V385:$AE385&gt;0)*(($V$3:$AE$3&gt;AD$3)+($V$3:$AE$3=AD$3)*($V385:$AE385&lt;AD385)+($V$3:$AE$3=AD$3)*($V385:$AE385=AD385)*($V$2:$AE$2&lt;AD$2))),2))))</f>
      </c>
      <c r="AO385" s="33">
        <f>IF(AE385&lt;=0,0,MAX(0,MIN(AE385,ROUND($AZ385-SUMPRODUCT($V385:$AE385*($V385:$AE385&gt;0)*(($V$3:$AE$3&gt;AE$3)+($V$3:$AE$3=AE$3)*($V385:$AE385&lt;AE385)+($V$3:$AE$3=AE$3)*($V385:$AE385=AE385)*($V$2:$AE$2&lt;AE$2))),2))))</f>
      </c>
      <c r="AP385" s="33">
        <f>ROUND(V385-AF385,2)</f>
      </c>
      <c r="AQ385" s="33">
        <f>ROUND(W385-AG385,2)</f>
      </c>
      <c r="AR385" s="33">
        <f>ROUND(X385-AH385,2)</f>
      </c>
      <c r="AS385" s="33">
        <f>ROUND(Y385-AI385,2)</f>
      </c>
      <c r="AT385" s="33">
        <f>ROUND(Z385-AJ385,2)</f>
      </c>
      <c r="AU385" s="33">
        <f>ROUND(AA385-AK385,2)</f>
      </c>
      <c r="AV385" s="33">
        <f>ROUND(AB385-AL385,2)</f>
      </c>
      <c r="AW385" s="33">
        <f>ROUND(AC385-AM385,2)</f>
      </c>
      <c r="AX385" s="33">
        <f>ROUND(AD385-AN385,2)</f>
      </c>
      <c r="AY385" s="33">
        <f>ROUND(AE385-AO385,2)</f>
      </c>
      <c r="AZ385" s="33">
        <f>ROUND(MAX(0,'Your debts'!$D$22-SUM($L385:$U385)),2)</f>
      </c>
      <c r="BA385" s="33">
        <f>ROUND(SUM($B385:$K385)-SUM($AP384:$AY384),2)</f>
      </c>
      <c r="BB385" s="33">
        <f>SUM($AP385:$AY385)</f>
      </c>
      <c r="BC385" s="33">
        <f>ROUND(SUM($L385:$U385)+SUM($AF385:$AO385),2)</f>
      </c>
    </row>
    <row r="386" spans="1:55" x14ac:dyDescent="0.25">
      <c r="A386">
        <v>379</v>
      </c>
      <c r="B386" s="33">
        <f>IF(AP385&lt;=0,0,ROUND(AP385+ROUND(AP385*V$3/12,2),2))</f>
      </c>
      <c r="C386" s="33">
        <f>IF(AQ385&lt;=0,0,ROUND(AQ385+ROUND(AQ385*W$3/12,2),2))</f>
      </c>
      <c r="D386" s="33">
        <f>IF(AR385&lt;=0,0,ROUND(AR385+ROUND(AR385*X$3/12,2),2))</f>
      </c>
      <c r="E386" s="33">
        <f>IF(AS385&lt;=0,0,ROUND(AS385+ROUND(AS385*Y$3/12,2),2))</f>
      </c>
      <c r="F386" s="33">
        <f>IF(AT385&lt;=0,0,ROUND(AT385+ROUND(AT385*Z$3/12,2),2))</f>
      </c>
      <c r="G386" s="33">
        <f>IF(AU385&lt;=0,0,ROUND(AU385+ROUND(AU385*AA$3/12,2),2))</f>
      </c>
      <c r="H386" s="33">
        <f>IF(AV385&lt;=0,0,ROUND(AV385+ROUND(AV385*AB$3/12,2),2))</f>
      </c>
      <c r="I386" s="33">
        <f>IF(AW385&lt;=0,0,ROUND(AW385+ROUND(AW385*AC$3/12,2),2))</f>
      </c>
      <c r="J386" s="33">
        <f>IF(AX385&lt;=0,0,ROUND(AX385+ROUND(AX385*AD$3/12,2),2))</f>
      </c>
      <c r="K386" s="33">
        <f>IF(AY385&lt;=0,0,ROUND(AY385+ROUND(AY385*AE$3/12,2),2))</f>
      </c>
      <c r="L386" s="33">
        <f>ROUND(MIN(MAX(0,N('Your debts'!$E$6)),B386),2)</f>
      </c>
      <c r="M386" s="33">
        <f>ROUND(MIN(MAX(0,N('Your debts'!$E$7)),C386),2)</f>
      </c>
      <c r="N386" s="33">
        <f>ROUND(MIN(MAX(0,N('Your debts'!$E$8)),D386),2)</f>
      </c>
      <c r="O386" s="33">
        <f>ROUND(MIN(MAX(0,N('Your debts'!$E$9)),E386),2)</f>
      </c>
      <c r="P386" s="33">
        <f>ROUND(MIN(MAX(0,N('Your debts'!$E$10)),F386),2)</f>
      </c>
      <c r="Q386" s="33">
        <f>ROUND(MIN(MAX(0,N('Your debts'!$E$11)),G386),2)</f>
      </c>
      <c r="R386" s="33">
        <f>ROUND(MIN(MAX(0,N('Your debts'!$E$12)),H386),2)</f>
      </c>
      <c r="S386" s="33">
        <f>ROUND(MIN(MAX(0,N('Your debts'!$E$13)),I386),2)</f>
      </c>
      <c r="T386" s="33">
        <f>ROUND(MIN(MAX(0,N('Your debts'!$E$14)),J386),2)</f>
      </c>
      <c r="U386" s="33">
        <f>ROUND(MIN(MAX(0,N('Your debts'!$E$15)),K386),2)</f>
      </c>
      <c r="V386" s="33">
        <f>ROUND(B386-L386,2)</f>
      </c>
      <c r="W386" s="33">
        <f>ROUND(C386-M386,2)</f>
      </c>
      <c r="X386" s="33">
        <f>ROUND(D386-N386,2)</f>
      </c>
      <c r="Y386" s="33">
        <f>ROUND(E386-O386,2)</f>
      </c>
      <c r="Z386" s="33">
        <f>ROUND(F386-P386,2)</f>
      </c>
      <c r="AA386" s="33">
        <f>ROUND(G386-Q386,2)</f>
      </c>
      <c r="AB386" s="33">
        <f>ROUND(H386-R386,2)</f>
      </c>
      <c r="AC386" s="33">
        <f>ROUND(I386-S386,2)</f>
      </c>
      <c r="AD386" s="33">
        <f>ROUND(J386-T386,2)</f>
      </c>
      <c r="AE386" s="33">
        <f>ROUND(K386-U386,2)</f>
      </c>
      <c r="AF386" s="33">
        <f>IF(V386&lt;=0,0,MAX(0,MIN(V386,ROUND($AZ386-SUMPRODUCT($V386:$AE386*($V386:$AE386&gt;0)*(($V$3:$AE$3&gt;V$3)+($V$3:$AE$3=V$3)*($V386:$AE386&lt;V386)+($V$3:$AE$3=V$3)*($V386:$AE386=V386)*($V$2:$AE$2&lt;V$2))),2))))</f>
      </c>
      <c r="AG386" s="33">
        <f>IF(W386&lt;=0,0,MAX(0,MIN(W386,ROUND($AZ386-SUMPRODUCT($V386:$AE386*($V386:$AE386&gt;0)*(($V$3:$AE$3&gt;W$3)+($V$3:$AE$3=W$3)*($V386:$AE386&lt;W386)+($V$3:$AE$3=W$3)*($V386:$AE386=W386)*($V$2:$AE$2&lt;W$2))),2))))</f>
      </c>
      <c r="AH386" s="33">
        <f>IF(X386&lt;=0,0,MAX(0,MIN(X386,ROUND($AZ386-SUMPRODUCT($V386:$AE386*($V386:$AE386&gt;0)*(($V$3:$AE$3&gt;X$3)+($V$3:$AE$3=X$3)*($V386:$AE386&lt;X386)+($V$3:$AE$3=X$3)*($V386:$AE386=X386)*($V$2:$AE$2&lt;X$2))),2))))</f>
      </c>
      <c r="AI386" s="33">
        <f>IF(Y386&lt;=0,0,MAX(0,MIN(Y386,ROUND($AZ386-SUMPRODUCT($V386:$AE386*($V386:$AE386&gt;0)*(($V$3:$AE$3&gt;Y$3)+($V$3:$AE$3=Y$3)*($V386:$AE386&lt;Y386)+($V$3:$AE$3=Y$3)*($V386:$AE386=Y386)*($V$2:$AE$2&lt;Y$2))),2))))</f>
      </c>
      <c r="AJ386" s="33">
        <f>IF(Z386&lt;=0,0,MAX(0,MIN(Z386,ROUND($AZ386-SUMPRODUCT($V386:$AE386*($V386:$AE386&gt;0)*(($V$3:$AE$3&gt;Z$3)+($V$3:$AE$3=Z$3)*($V386:$AE386&lt;Z386)+($V$3:$AE$3=Z$3)*($V386:$AE386=Z386)*($V$2:$AE$2&lt;Z$2))),2))))</f>
      </c>
      <c r="AK386" s="33">
        <f>IF(AA386&lt;=0,0,MAX(0,MIN(AA386,ROUND($AZ386-SUMPRODUCT($V386:$AE386*($V386:$AE386&gt;0)*(($V$3:$AE$3&gt;AA$3)+($V$3:$AE$3=AA$3)*($V386:$AE386&lt;AA386)+($V$3:$AE$3=AA$3)*($V386:$AE386=AA386)*($V$2:$AE$2&lt;AA$2))),2))))</f>
      </c>
      <c r="AL386" s="33">
        <f>IF(AB386&lt;=0,0,MAX(0,MIN(AB386,ROUND($AZ386-SUMPRODUCT($V386:$AE386*($V386:$AE386&gt;0)*(($V$3:$AE$3&gt;AB$3)+($V$3:$AE$3=AB$3)*($V386:$AE386&lt;AB386)+($V$3:$AE$3=AB$3)*($V386:$AE386=AB386)*($V$2:$AE$2&lt;AB$2))),2))))</f>
      </c>
      <c r="AM386" s="33">
        <f>IF(AC386&lt;=0,0,MAX(0,MIN(AC386,ROUND($AZ386-SUMPRODUCT($V386:$AE386*($V386:$AE386&gt;0)*(($V$3:$AE$3&gt;AC$3)+($V$3:$AE$3=AC$3)*($V386:$AE386&lt;AC386)+($V$3:$AE$3=AC$3)*($V386:$AE386=AC386)*($V$2:$AE$2&lt;AC$2))),2))))</f>
      </c>
      <c r="AN386" s="33">
        <f>IF(AD386&lt;=0,0,MAX(0,MIN(AD386,ROUND($AZ386-SUMPRODUCT($V386:$AE386*($V386:$AE386&gt;0)*(($V$3:$AE$3&gt;AD$3)+($V$3:$AE$3=AD$3)*($V386:$AE386&lt;AD386)+($V$3:$AE$3=AD$3)*($V386:$AE386=AD386)*($V$2:$AE$2&lt;AD$2))),2))))</f>
      </c>
      <c r="AO386" s="33">
        <f>IF(AE386&lt;=0,0,MAX(0,MIN(AE386,ROUND($AZ386-SUMPRODUCT($V386:$AE386*($V386:$AE386&gt;0)*(($V$3:$AE$3&gt;AE$3)+($V$3:$AE$3=AE$3)*($V386:$AE386&lt;AE386)+($V$3:$AE$3=AE$3)*($V386:$AE386=AE386)*($V$2:$AE$2&lt;AE$2))),2))))</f>
      </c>
      <c r="AP386" s="33">
        <f>ROUND(V386-AF386,2)</f>
      </c>
      <c r="AQ386" s="33">
        <f>ROUND(W386-AG386,2)</f>
      </c>
      <c r="AR386" s="33">
        <f>ROUND(X386-AH386,2)</f>
      </c>
      <c r="AS386" s="33">
        <f>ROUND(Y386-AI386,2)</f>
      </c>
      <c r="AT386" s="33">
        <f>ROUND(Z386-AJ386,2)</f>
      </c>
      <c r="AU386" s="33">
        <f>ROUND(AA386-AK386,2)</f>
      </c>
      <c r="AV386" s="33">
        <f>ROUND(AB386-AL386,2)</f>
      </c>
      <c r="AW386" s="33">
        <f>ROUND(AC386-AM386,2)</f>
      </c>
      <c r="AX386" s="33">
        <f>ROUND(AD386-AN386,2)</f>
      </c>
      <c r="AY386" s="33">
        <f>ROUND(AE386-AO386,2)</f>
      </c>
      <c r="AZ386" s="33">
        <f>ROUND(MAX(0,'Your debts'!$D$22-SUM($L386:$U386)),2)</f>
      </c>
      <c r="BA386" s="33">
        <f>ROUND(SUM($B386:$K386)-SUM($AP385:$AY385),2)</f>
      </c>
      <c r="BB386" s="33">
        <f>SUM($AP386:$AY386)</f>
      </c>
      <c r="BC386" s="33">
        <f>ROUND(SUM($L386:$U386)+SUM($AF386:$AO386),2)</f>
      </c>
    </row>
    <row r="387" spans="1:55" x14ac:dyDescent="0.25">
      <c r="A387">
        <v>380</v>
      </c>
      <c r="B387" s="33">
        <f>IF(AP386&lt;=0,0,ROUND(AP386+ROUND(AP386*V$3/12,2),2))</f>
      </c>
      <c r="C387" s="33">
        <f>IF(AQ386&lt;=0,0,ROUND(AQ386+ROUND(AQ386*W$3/12,2),2))</f>
      </c>
      <c r="D387" s="33">
        <f>IF(AR386&lt;=0,0,ROUND(AR386+ROUND(AR386*X$3/12,2),2))</f>
      </c>
      <c r="E387" s="33">
        <f>IF(AS386&lt;=0,0,ROUND(AS386+ROUND(AS386*Y$3/12,2),2))</f>
      </c>
      <c r="F387" s="33">
        <f>IF(AT386&lt;=0,0,ROUND(AT386+ROUND(AT386*Z$3/12,2),2))</f>
      </c>
      <c r="G387" s="33">
        <f>IF(AU386&lt;=0,0,ROUND(AU386+ROUND(AU386*AA$3/12,2),2))</f>
      </c>
      <c r="H387" s="33">
        <f>IF(AV386&lt;=0,0,ROUND(AV386+ROUND(AV386*AB$3/12,2),2))</f>
      </c>
      <c r="I387" s="33">
        <f>IF(AW386&lt;=0,0,ROUND(AW386+ROUND(AW386*AC$3/12,2),2))</f>
      </c>
      <c r="J387" s="33">
        <f>IF(AX386&lt;=0,0,ROUND(AX386+ROUND(AX386*AD$3/12,2),2))</f>
      </c>
      <c r="K387" s="33">
        <f>IF(AY386&lt;=0,0,ROUND(AY386+ROUND(AY386*AE$3/12,2),2))</f>
      </c>
      <c r="L387" s="33">
        <f>ROUND(MIN(MAX(0,N('Your debts'!$E$6)),B387),2)</f>
      </c>
      <c r="M387" s="33">
        <f>ROUND(MIN(MAX(0,N('Your debts'!$E$7)),C387),2)</f>
      </c>
      <c r="N387" s="33">
        <f>ROUND(MIN(MAX(0,N('Your debts'!$E$8)),D387),2)</f>
      </c>
      <c r="O387" s="33">
        <f>ROUND(MIN(MAX(0,N('Your debts'!$E$9)),E387),2)</f>
      </c>
      <c r="P387" s="33">
        <f>ROUND(MIN(MAX(0,N('Your debts'!$E$10)),F387),2)</f>
      </c>
      <c r="Q387" s="33">
        <f>ROUND(MIN(MAX(0,N('Your debts'!$E$11)),G387),2)</f>
      </c>
      <c r="R387" s="33">
        <f>ROUND(MIN(MAX(0,N('Your debts'!$E$12)),H387),2)</f>
      </c>
      <c r="S387" s="33">
        <f>ROUND(MIN(MAX(0,N('Your debts'!$E$13)),I387),2)</f>
      </c>
      <c r="T387" s="33">
        <f>ROUND(MIN(MAX(0,N('Your debts'!$E$14)),J387),2)</f>
      </c>
      <c r="U387" s="33">
        <f>ROUND(MIN(MAX(0,N('Your debts'!$E$15)),K387),2)</f>
      </c>
      <c r="V387" s="33">
        <f>ROUND(B387-L387,2)</f>
      </c>
      <c r="W387" s="33">
        <f>ROUND(C387-M387,2)</f>
      </c>
      <c r="X387" s="33">
        <f>ROUND(D387-N387,2)</f>
      </c>
      <c r="Y387" s="33">
        <f>ROUND(E387-O387,2)</f>
      </c>
      <c r="Z387" s="33">
        <f>ROUND(F387-P387,2)</f>
      </c>
      <c r="AA387" s="33">
        <f>ROUND(G387-Q387,2)</f>
      </c>
      <c r="AB387" s="33">
        <f>ROUND(H387-R387,2)</f>
      </c>
      <c r="AC387" s="33">
        <f>ROUND(I387-S387,2)</f>
      </c>
      <c r="AD387" s="33">
        <f>ROUND(J387-T387,2)</f>
      </c>
      <c r="AE387" s="33">
        <f>ROUND(K387-U387,2)</f>
      </c>
      <c r="AF387" s="33">
        <f>IF(V387&lt;=0,0,MAX(0,MIN(V387,ROUND($AZ387-SUMPRODUCT($V387:$AE387*($V387:$AE387&gt;0)*(($V$3:$AE$3&gt;V$3)+($V$3:$AE$3=V$3)*($V387:$AE387&lt;V387)+($V$3:$AE$3=V$3)*($V387:$AE387=V387)*($V$2:$AE$2&lt;V$2))),2))))</f>
      </c>
      <c r="AG387" s="33">
        <f>IF(W387&lt;=0,0,MAX(0,MIN(W387,ROUND($AZ387-SUMPRODUCT($V387:$AE387*($V387:$AE387&gt;0)*(($V$3:$AE$3&gt;W$3)+($V$3:$AE$3=W$3)*($V387:$AE387&lt;W387)+($V$3:$AE$3=W$3)*($V387:$AE387=W387)*($V$2:$AE$2&lt;W$2))),2))))</f>
      </c>
      <c r="AH387" s="33">
        <f>IF(X387&lt;=0,0,MAX(0,MIN(X387,ROUND($AZ387-SUMPRODUCT($V387:$AE387*($V387:$AE387&gt;0)*(($V$3:$AE$3&gt;X$3)+($V$3:$AE$3=X$3)*($V387:$AE387&lt;X387)+($V$3:$AE$3=X$3)*($V387:$AE387=X387)*($V$2:$AE$2&lt;X$2))),2))))</f>
      </c>
      <c r="AI387" s="33">
        <f>IF(Y387&lt;=0,0,MAX(0,MIN(Y387,ROUND($AZ387-SUMPRODUCT($V387:$AE387*($V387:$AE387&gt;0)*(($V$3:$AE$3&gt;Y$3)+($V$3:$AE$3=Y$3)*($V387:$AE387&lt;Y387)+($V$3:$AE$3=Y$3)*($V387:$AE387=Y387)*($V$2:$AE$2&lt;Y$2))),2))))</f>
      </c>
      <c r="AJ387" s="33">
        <f>IF(Z387&lt;=0,0,MAX(0,MIN(Z387,ROUND($AZ387-SUMPRODUCT($V387:$AE387*($V387:$AE387&gt;0)*(($V$3:$AE$3&gt;Z$3)+($V$3:$AE$3=Z$3)*($V387:$AE387&lt;Z387)+($V$3:$AE$3=Z$3)*($V387:$AE387=Z387)*($V$2:$AE$2&lt;Z$2))),2))))</f>
      </c>
      <c r="AK387" s="33">
        <f>IF(AA387&lt;=0,0,MAX(0,MIN(AA387,ROUND($AZ387-SUMPRODUCT($V387:$AE387*($V387:$AE387&gt;0)*(($V$3:$AE$3&gt;AA$3)+($V$3:$AE$3=AA$3)*($V387:$AE387&lt;AA387)+($V$3:$AE$3=AA$3)*($V387:$AE387=AA387)*($V$2:$AE$2&lt;AA$2))),2))))</f>
      </c>
      <c r="AL387" s="33">
        <f>IF(AB387&lt;=0,0,MAX(0,MIN(AB387,ROUND($AZ387-SUMPRODUCT($V387:$AE387*($V387:$AE387&gt;0)*(($V$3:$AE$3&gt;AB$3)+($V$3:$AE$3=AB$3)*($V387:$AE387&lt;AB387)+($V$3:$AE$3=AB$3)*($V387:$AE387=AB387)*($V$2:$AE$2&lt;AB$2))),2))))</f>
      </c>
      <c r="AM387" s="33">
        <f>IF(AC387&lt;=0,0,MAX(0,MIN(AC387,ROUND($AZ387-SUMPRODUCT($V387:$AE387*($V387:$AE387&gt;0)*(($V$3:$AE$3&gt;AC$3)+($V$3:$AE$3=AC$3)*($V387:$AE387&lt;AC387)+($V$3:$AE$3=AC$3)*($V387:$AE387=AC387)*($V$2:$AE$2&lt;AC$2))),2))))</f>
      </c>
      <c r="AN387" s="33">
        <f>IF(AD387&lt;=0,0,MAX(0,MIN(AD387,ROUND($AZ387-SUMPRODUCT($V387:$AE387*($V387:$AE387&gt;0)*(($V$3:$AE$3&gt;AD$3)+($V$3:$AE$3=AD$3)*($V387:$AE387&lt;AD387)+($V$3:$AE$3=AD$3)*($V387:$AE387=AD387)*($V$2:$AE$2&lt;AD$2))),2))))</f>
      </c>
      <c r="AO387" s="33">
        <f>IF(AE387&lt;=0,0,MAX(0,MIN(AE387,ROUND($AZ387-SUMPRODUCT($V387:$AE387*($V387:$AE387&gt;0)*(($V$3:$AE$3&gt;AE$3)+($V$3:$AE$3=AE$3)*($V387:$AE387&lt;AE387)+($V$3:$AE$3=AE$3)*($V387:$AE387=AE387)*($V$2:$AE$2&lt;AE$2))),2))))</f>
      </c>
      <c r="AP387" s="33">
        <f>ROUND(V387-AF387,2)</f>
      </c>
      <c r="AQ387" s="33">
        <f>ROUND(W387-AG387,2)</f>
      </c>
      <c r="AR387" s="33">
        <f>ROUND(X387-AH387,2)</f>
      </c>
      <c r="AS387" s="33">
        <f>ROUND(Y387-AI387,2)</f>
      </c>
      <c r="AT387" s="33">
        <f>ROUND(Z387-AJ387,2)</f>
      </c>
      <c r="AU387" s="33">
        <f>ROUND(AA387-AK387,2)</f>
      </c>
      <c r="AV387" s="33">
        <f>ROUND(AB387-AL387,2)</f>
      </c>
      <c r="AW387" s="33">
        <f>ROUND(AC387-AM387,2)</f>
      </c>
      <c r="AX387" s="33">
        <f>ROUND(AD387-AN387,2)</f>
      </c>
      <c r="AY387" s="33">
        <f>ROUND(AE387-AO387,2)</f>
      </c>
      <c r="AZ387" s="33">
        <f>ROUND(MAX(0,'Your debts'!$D$22-SUM($L387:$U387)),2)</f>
      </c>
      <c r="BA387" s="33">
        <f>ROUND(SUM($B387:$K387)-SUM($AP386:$AY386),2)</f>
      </c>
      <c r="BB387" s="33">
        <f>SUM($AP387:$AY387)</f>
      </c>
      <c r="BC387" s="33">
        <f>ROUND(SUM($L387:$U387)+SUM($AF387:$AO387),2)</f>
      </c>
    </row>
    <row r="388" spans="1:55" x14ac:dyDescent="0.25">
      <c r="A388">
        <v>381</v>
      </c>
      <c r="B388" s="33">
        <f>IF(AP387&lt;=0,0,ROUND(AP387+ROUND(AP387*V$3/12,2),2))</f>
      </c>
      <c r="C388" s="33">
        <f>IF(AQ387&lt;=0,0,ROUND(AQ387+ROUND(AQ387*W$3/12,2),2))</f>
      </c>
      <c r="D388" s="33">
        <f>IF(AR387&lt;=0,0,ROUND(AR387+ROUND(AR387*X$3/12,2),2))</f>
      </c>
      <c r="E388" s="33">
        <f>IF(AS387&lt;=0,0,ROUND(AS387+ROUND(AS387*Y$3/12,2),2))</f>
      </c>
      <c r="F388" s="33">
        <f>IF(AT387&lt;=0,0,ROUND(AT387+ROUND(AT387*Z$3/12,2),2))</f>
      </c>
      <c r="G388" s="33">
        <f>IF(AU387&lt;=0,0,ROUND(AU387+ROUND(AU387*AA$3/12,2),2))</f>
      </c>
      <c r="H388" s="33">
        <f>IF(AV387&lt;=0,0,ROUND(AV387+ROUND(AV387*AB$3/12,2),2))</f>
      </c>
      <c r="I388" s="33">
        <f>IF(AW387&lt;=0,0,ROUND(AW387+ROUND(AW387*AC$3/12,2),2))</f>
      </c>
      <c r="J388" s="33">
        <f>IF(AX387&lt;=0,0,ROUND(AX387+ROUND(AX387*AD$3/12,2),2))</f>
      </c>
      <c r="K388" s="33">
        <f>IF(AY387&lt;=0,0,ROUND(AY387+ROUND(AY387*AE$3/12,2),2))</f>
      </c>
      <c r="L388" s="33">
        <f>ROUND(MIN(MAX(0,N('Your debts'!$E$6)),B388),2)</f>
      </c>
      <c r="M388" s="33">
        <f>ROUND(MIN(MAX(0,N('Your debts'!$E$7)),C388),2)</f>
      </c>
      <c r="N388" s="33">
        <f>ROUND(MIN(MAX(0,N('Your debts'!$E$8)),D388),2)</f>
      </c>
      <c r="O388" s="33">
        <f>ROUND(MIN(MAX(0,N('Your debts'!$E$9)),E388),2)</f>
      </c>
      <c r="P388" s="33">
        <f>ROUND(MIN(MAX(0,N('Your debts'!$E$10)),F388),2)</f>
      </c>
      <c r="Q388" s="33">
        <f>ROUND(MIN(MAX(0,N('Your debts'!$E$11)),G388),2)</f>
      </c>
      <c r="R388" s="33">
        <f>ROUND(MIN(MAX(0,N('Your debts'!$E$12)),H388),2)</f>
      </c>
      <c r="S388" s="33">
        <f>ROUND(MIN(MAX(0,N('Your debts'!$E$13)),I388),2)</f>
      </c>
      <c r="T388" s="33">
        <f>ROUND(MIN(MAX(0,N('Your debts'!$E$14)),J388),2)</f>
      </c>
      <c r="U388" s="33">
        <f>ROUND(MIN(MAX(0,N('Your debts'!$E$15)),K388),2)</f>
      </c>
      <c r="V388" s="33">
        <f>ROUND(B388-L388,2)</f>
      </c>
      <c r="W388" s="33">
        <f>ROUND(C388-M388,2)</f>
      </c>
      <c r="X388" s="33">
        <f>ROUND(D388-N388,2)</f>
      </c>
      <c r="Y388" s="33">
        <f>ROUND(E388-O388,2)</f>
      </c>
      <c r="Z388" s="33">
        <f>ROUND(F388-P388,2)</f>
      </c>
      <c r="AA388" s="33">
        <f>ROUND(G388-Q388,2)</f>
      </c>
      <c r="AB388" s="33">
        <f>ROUND(H388-R388,2)</f>
      </c>
      <c r="AC388" s="33">
        <f>ROUND(I388-S388,2)</f>
      </c>
      <c r="AD388" s="33">
        <f>ROUND(J388-T388,2)</f>
      </c>
      <c r="AE388" s="33">
        <f>ROUND(K388-U388,2)</f>
      </c>
      <c r="AF388" s="33">
        <f>IF(V388&lt;=0,0,MAX(0,MIN(V388,ROUND($AZ388-SUMPRODUCT($V388:$AE388*($V388:$AE388&gt;0)*(($V$3:$AE$3&gt;V$3)+($V$3:$AE$3=V$3)*($V388:$AE388&lt;V388)+($V$3:$AE$3=V$3)*($V388:$AE388=V388)*($V$2:$AE$2&lt;V$2))),2))))</f>
      </c>
      <c r="AG388" s="33">
        <f>IF(W388&lt;=0,0,MAX(0,MIN(W388,ROUND($AZ388-SUMPRODUCT($V388:$AE388*($V388:$AE388&gt;0)*(($V$3:$AE$3&gt;W$3)+($V$3:$AE$3=W$3)*($V388:$AE388&lt;W388)+($V$3:$AE$3=W$3)*($V388:$AE388=W388)*($V$2:$AE$2&lt;W$2))),2))))</f>
      </c>
      <c r="AH388" s="33">
        <f>IF(X388&lt;=0,0,MAX(0,MIN(X388,ROUND($AZ388-SUMPRODUCT($V388:$AE388*($V388:$AE388&gt;0)*(($V$3:$AE$3&gt;X$3)+($V$3:$AE$3=X$3)*($V388:$AE388&lt;X388)+($V$3:$AE$3=X$3)*($V388:$AE388=X388)*($V$2:$AE$2&lt;X$2))),2))))</f>
      </c>
      <c r="AI388" s="33">
        <f>IF(Y388&lt;=0,0,MAX(0,MIN(Y388,ROUND($AZ388-SUMPRODUCT($V388:$AE388*($V388:$AE388&gt;0)*(($V$3:$AE$3&gt;Y$3)+($V$3:$AE$3=Y$3)*($V388:$AE388&lt;Y388)+($V$3:$AE$3=Y$3)*($V388:$AE388=Y388)*($V$2:$AE$2&lt;Y$2))),2))))</f>
      </c>
      <c r="AJ388" s="33">
        <f>IF(Z388&lt;=0,0,MAX(0,MIN(Z388,ROUND($AZ388-SUMPRODUCT($V388:$AE388*($V388:$AE388&gt;0)*(($V$3:$AE$3&gt;Z$3)+($V$3:$AE$3=Z$3)*($V388:$AE388&lt;Z388)+($V$3:$AE$3=Z$3)*($V388:$AE388=Z388)*($V$2:$AE$2&lt;Z$2))),2))))</f>
      </c>
      <c r="AK388" s="33">
        <f>IF(AA388&lt;=0,0,MAX(0,MIN(AA388,ROUND($AZ388-SUMPRODUCT($V388:$AE388*($V388:$AE388&gt;0)*(($V$3:$AE$3&gt;AA$3)+($V$3:$AE$3=AA$3)*($V388:$AE388&lt;AA388)+($V$3:$AE$3=AA$3)*($V388:$AE388=AA388)*($V$2:$AE$2&lt;AA$2))),2))))</f>
      </c>
      <c r="AL388" s="33">
        <f>IF(AB388&lt;=0,0,MAX(0,MIN(AB388,ROUND($AZ388-SUMPRODUCT($V388:$AE388*($V388:$AE388&gt;0)*(($V$3:$AE$3&gt;AB$3)+($V$3:$AE$3=AB$3)*($V388:$AE388&lt;AB388)+($V$3:$AE$3=AB$3)*($V388:$AE388=AB388)*($V$2:$AE$2&lt;AB$2))),2))))</f>
      </c>
      <c r="AM388" s="33">
        <f>IF(AC388&lt;=0,0,MAX(0,MIN(AC388,ROUND($AZ388-SUMPRODUCT($V388:$AE388*($V388:$AE388&gt;0)*(($V$3:$AE$3&gt;AC$3)+($V$3:$AE$3=AC$3)*($V388:$AE388&lt;AC388)+($V$3:$AE$3=AC$3)*($V388:$AE388=AC388)*($V$2:$AE$2&lt;AC$2))),2))))</f>
      </c>
      <c r="AN388" s="33">
        <f>IF(AD388&lt;=0,0,MAX(0,MIN(AD388,ROUND($AZ388-SUMPRODUCT($V388:$AE388*($V388:$AE388&gt;0)*(($V$3:$AE$3&gt;AD$3)+($V$3:$AE$3=AD$3)*($V388:$AE388&lt;AD388)+($V$3:$AE$3=AD$3)*($V388:$AE388=AD388)*($V$2:$AE$2&lt;AD$2))),2))))</f>
      </c>
      <c r="AO388" s="33">
        <f>IF(AE388&lt;=0,0,MAX(0,MIN(AE388,ROUND($AZ388-SUMPRODUCT($V388:$AE388*($V388:$AE388&gt;0)*(($V$3:$AE$3&gt;AE$3)+($V$3:$AE$3=AE$3)*($V388:$AE388&lt;AE388)+($V$3:$AE$3=AE$3)*($V388:$AE388=AE388)*($V$2:$AE$2&lt;AE$2))),2))))</f>
      </c>
      <c r="AP388" s="33">
        <f>ROUND(V388-AF388,2)</f>
      </c>
      <c r="AQ388" s="33">
        <f>ROUND(W388-AG388,2)</f>
      </c>
      <c r="AR388" s="33">
        <f>ROUND(X388-AH388,2)</f>
      </c>
      <c r="AS388" s="33">
        <f>ROUND(Y388-AI388,2)</f>
      </c>
      <c r="AT388" s="33">
        <f>ROUND(Z388-AJ388,2)</f>
      </c>
      <c r="AU388" s="33">
        <f>ROUND(AA388-AK388,2)</f>
      </c>
      <c r="AV388" s="33">
        <f>ROUND(AB388-AL388,2)</f>
      </c>
      <c r="AW388" s="33">
        <f>ROUND(AC388-AM388,2)</f>
      </c>
      <c r="AX388" s="33">
        <f>ROUND(AD388-AN388,2)</f>
      </c>
      <c r="AY388" s="33">
        <f>ROUND(AE388-AO388,2)</f>
      </c>
      <c r="AZ388" s="33">
        <f>ROUND(MAX(0,'Your debts'!$D$22-SUM($L388:$U388)),2)</f>
      </c>
      <c r="BA388" s="33">
        <f>ROUND(SUM($B388:$K388)-SUM($AP387:$AY387),2)</f>
      </c>
      <c r="BB388" s="33">
        <f>SUM($AP388:$AY388)</f>
      </c>
      <c r="BC388" s="33">
        <f>ROUND(SUM($L388:$U388)+SUM($AF388:$AO388),2)</f>
      </c>
    </row>
    <row r="389" spans="1:55" x14ac:dyDescent="0.25">
      <c r="A389">
        <v>382</v>
      </c>
      <c r="B389" s="33">
        <f>IF(AP388&lt;=0,0,ROUND(AP388+ROUND(AP388*V$3/12,2),2))</f>
      </c>
      <c r="C389" s="33">
        <f>IF(AQ388&lt;=0,0,ROUND(AQ388+ROUND(AQ388*W$3/12,2),2))</f>
      </c>
      <c r="D389" s="33">
        <f>IF(AR388&lt;=0,0,ROUND(AR388+ROUND(AR388*X$3/12,2),2))</f>
      </c>
      <c r="E389" s="33">
        <f>IF(AS388&lt;=0,0,ROUND(AS388+ROUND(AS388*Y$3/12,2),2))</f>
      </c>
      <c r="F389" s="33">
        <f>IF(AT388&lt;=0,0,ROUND(AT388+ROUND(AT388*Z$3/12,2),2))</f>
      </c>
      <c r="G389" s="33">
        <f>IF(AU388&lt;=0,0,ROUND(AU388+ROUND(AU388*AA$3/12,2),2))</f>
      </c>
      <c r="H389" s="33">
        <f>IF(AV388&lt;=0,0,ROUND(AV388+ROUND(AV388*AB$3/12,2),2))</f>
      </c>
      <c r="I389" s="33">
        <f>IF(AW388&lt;=0,0,ROUND(AW388+ROUND(AW388*AC$3/12,2),2))</f>
      </c>
      <c r="J389" s="33">
        <f>IF(AX388&lt;=0,0,ROUND(AX388+ROUND(AX388*AD$3/12,2),2))</f>
      </c>
      <c r="K389" s="33">
        <f>IF(AY388&lt;=0,0,ROUND(AY388+ROUND(AY388*AE$3/12,2),2))</f>
      </c>
      <c r="L389" s="33">
        <f>ROUND(MIN(MAX(0,N('Your debts'!$E$6)),B389),2)</f>
      </c>
      <c r="M389" s="33">
        <f>ROUND(MIN(MAX(0,N('Your debts'!$E$7)),C389),2)</f>
      </c>
      <c r="N389" s="33">
        <f>ROUND(MIN(MAX(0,N('Your debts'!$E$8)),D389),2)</f>
      </c>
      <c r="O389" s="33">
        <f>ROUND(MIN(MAX(0,N('Your debts'!$E$9)),E389),2)</f>
      </c>
      <c r="P389" s="33">
        <f>ROUND(MIN(MAX(0,N('Your debts'!$E$10)),F389),2)</f>
      </c>
      <c r="Q389" s="33">
        <f>ROUND(MIN(MAX(0,N('Your debts'!$E$11)),G389),2)</f>
      </c>
      <c r="R389" s="33">
        <f>ROUND(MIN(MAX(0,N('Your debts'!$E$12)),H389),2)</f>
      </c>
      <c r="S389" s="33">
        <f>ROUND(MIN(MAX(0,N('Your debts'!$E$13)),I389),2)</f>
      </c>
      <c r="T389" s="33">
        <f>ROUND(MIN(MAX(0,N('Your debts'!$E$14)),J389),2)</f>
      </c>
      <c r="U389" s="33">
        <f>ROUND(MIN(MAX(0,N('Your debts'!$E$15)),K389),2)</f>
      </c>
      <c r="V389" s="33">
        <f>ROUND(B389-L389,2)</f>
      </c>
      <c r="W389" s="33">
        <f>ROUND(C389-M389,2)</f>
      </c>
      <c r="X389" s="33">
        <f>ROUND(D389-N389,2)</f>
      </c>
      <c r="Y389" s="33">
        <f>ROUND(E389-O389,2)</f>
      </c>
      <c r="Z389" s="33">
        <f>ROUND(F389-P389,2)</f>
      </c>
      <c r="AA389" s="33">
        <f>ROUND(G389-Q389,2)</f>
      </c>
      <c r="AB389" s="33">
        <f>ROUND(H389-R389,2)</f>
      </c>
      <c r="AC389" s="33">
        <f>ROUND(I389-S389,2)</f>
      </c>
      <c r="AD389" s="33">
        <f>ROUND(J389-T389,2)</f>
      </c>
      <c r="AE389" s="33">
        <f>ROUND(K389-U389,2)</f>
      </c>
      <c r="AF389" s="33">
        <f>IF(V389&lt;=0,0,MAX(0,MIN(V389,ROUND($AZ389-SUMPRODUCT($V389:$AE389*($V389:$AE389&gt;0)*(($V$3:$AE$3&gt;V$3)+($V$3:$AE$3=V$3)*($V389:$AE389&lt;V389)+($V$3:$AE$3=V$3)*($V389:$AE389=V389)*($V$2:$AE$2&lt;V$2))),2))))</f>
      </c>
      <c r="AG389" s="33">
        <f>IF(W389&lt;=0,0,MAX(0,MIN(W389,ROUND($AZ389-SUMPRODUCT($V389:$AE389*($V389:$AE389&gt;0)*(($V$3:$AE$3&gt;W$3)+($V$3:$AE$3=W$3)*($V389:$AE389&lt;W389)+($V$3:$AE$3=W$3)*($V389:$AE389=W389)*($V$2:$AE$2&lt;W$2))),2))))</f>
      </c>
      <c r="AH389" s="33">
        <f>IF(X389&lt;=0,0,MAX(0,MIN(X389,ROUND($AZ389-SUMPRODUCT($V389:$AE389*($V389:$AE389&gt;0)*(($V$3:$AE$3&gt;X$3)+($V$3:$AE$3=X$3)*($V389:$AE389&lt;X389)+($V$3:$AE$3=X$3)*($V389:$AE389=X389)*($V$2:$AE$2&lt;X$2))),2))))</f>
      </c>
      <c r="AI389" s="33">
        <f>IF(Y389&lt;=0,0,MAX(0,MIN(Y389,ROUND($AZ389-SUMPRODUCT($V389:$AE389*($V389:$AE389&gt;0)*(($V$3:$AE$3&gt;Y$3)+($V$3:$AE$3=Y$3)*($V389:$AE389&lt;Y389)+($V$3:$AE$3=Y$3)*($V389:$AE389=Y389)*($V$2:$AE$2&lt;Y$2))),2))))</f>
      </c>
      <c r="AJ389" s="33">
        <f>IF(Z389&lt;=0,0,MAX(0,MIN(Z389,ROUND($AZ389-SUMPRODUCT($V389:$AE389*($V389:$AE389&gt;0)*(($V$3:$AE$3&gt;Z$3)+($V$3:$AE$3=Z$3)*($V389:$AE389&lt;Z389)+($V$3:$AE$3=Z$3)*($V389:$AE389=Z389)*($V$2:$AE$2&lt;Z$2))),2))))</f>
      </c>
      <c r="AK389" s="33">
        <f>IF(AA389&lt;=0,0,MAX(0,MIN(AA389,ROUND($AZ389-SUMPRODUCT($V389:$AE389*($V389:$AE389&gt;0)*(($V$3:$AE$3&gt;AA$3)+($V$3:$AE$3=AA$3)*($V389:$AE389&lt;AA389)+($V$3:$AE$3=AA$3)*($V389:$AE389=AA389)*($V$2:$AE$2&lt;AA$2))),2))))</f>
      </c>
      <c r="AL389" s="33">
        <f>IF(AB389&lt;=0,0,MAX(0,MIN(AB389,ROUND($AZ389-SUMPRODUCT($V389:$AE389*($V389:$AE389&gt;0)*(($V$3:$AE$3&gt;AB$3)+($V$3:$AE$3=AB$3)*($V389:$AE389&lt;AB389)+($V$3:$AE$3=AB$3)*($V389:$AE389=AB389)*($V$2:$AE$2&lt;AB$2))),2))))</f>
      </c>
      <c r="AM389" s="33">
        <f>IF(AC389&lt;=0,0,MAX(0,MIN(AC389,ROUND($AZ389-SUMPRODUCT($V389:$AE389*($V389:$AE389&gt;0)*(($V$3:$AE$3&gt;AC$3)+($V$3:$AE$3=AC$3)*($V389:$AE389&lt;AC389)+($V$3:$AE$3=AC$3)*($V389:$AE389=AC389)*($V$2:$AE$2&lt;AC$2))),2))))</f>
      </c>
      <c r="AN389" s="33">
        <f>IF(AD389&lt;=0,0,MAX(0,MIN(AD389,ROUND($AZ389-SUMPRODUCT($V389:$AE389*($V389:$AE389&gt;0)*(($V$3:$AE$3&gt;AD$3)+($V$3:$AE$3=AD$3)*($V389:$AE389&lt;AD389)+($V$3:$AE$3=AD$3)*($V389:$AE389=AD389)*($V$2:$AE$2&lt;AD$2))),2))))</f>
      </c>
      <c r="AO389" s="33">
        <f>IF(AE389&lt;=0,0,MAX(0,MIN(AE389,ROUND($AZ389-SUMPRODUCT($V389:$AE389*($V389:$AE389&gt;0)*(($V$3:$AE$3&gt;AE$3)+($V$3:$AE$3=AE$3)*($V389:$AE389&lt;AE389)+($V$3:$AE$3=AE$3)*($V389:$AE389=AE389)*($V$2:$AE$2&lt;AE$2))),2))))</f>
      </c>
      <c r="AP389" s="33">
        <f>ROUND(V389-AF389,2)</f>
      </c>
      <c r="AQ389" s="33">
        <f>ROUND(W389-AG389,2)</f>
      </c>
      <c r="AR389" s="33">
        <f>ROUND(X389-AH389,2)</f>
      </c>
      <c r="AS389" s="33">
        <f>ROUND(Y389-AI389,2)</f>
      </c>
      <c r="AT389" s="33">
        <f>ROUND(Z389-AJ389,2)</f>
      </c>
      <c r="AU389" s="33">
        <f>ROUND(AA389-AK389,2)</f>
      </c>
      <c r="AV389" s="33">
        <f>ROUND(AB389-AL389,2)</f>
      </c>
      <c r="AW389" s="33">
        <f>ROUND(AC389-AM389,2)</f>
      </c>
      <c r="AX389" s="33">
        <f>ROUND(AD389-AN389,2)</f>
      </c>
      <c r="AY389" s="33">
        <f>ROUND(AE389-AO389,2)</f>
      </c>
      <c r="AZ389" s="33">
        <f>ROUND(MAX(0,'Your debts'!$D$22-SUM($L389:$U389)),2)</f>
      </c>
      <c r="BA389" s="33">
        <f>ROUND(SUM($B389:$K389)-SUM($AP388:$AY388),2)</f>
      </c>
      <c r="BB389" s="33">
        <f>SUM($AP389:$AY389)</f>
      </c>
      <c r="BC389" s="33">
        <f>ROUND(SUM($L389:$U389)+SUM($AF389:$AO389),2)</f>
      </c>
    </row>
    <row r="390" spans="1:55" x14ac:dyDescent="0.25">
      <c r="A390">
        <v>383</v>
      </c>
      <c r="B390" s="33">
        <f>IF(AP389&lt;=0,0,ROUND(AP389+ROUND(AP389*V$3/12,2),2))</f>
      </c>
      <c r="C390" s="33">
        <f>IF(AQ389&lt;=0,0,ROUND(AQ389+ROUND(AQ389*W$3/12,2),2))</f>
      </c>
      <c r="D390" s="33">
        <f>IF(AR389&lt;=0,0,ROUND(AR389+ROUND(AR389*X$3/12,2),2))</f>
      </c>
      <c r="E390" s="33">
        <f>IF(AS389&lt;=0,0,ROUND(AS389+ROUND(AS389*Y$3/12,2),2))</f>
      </c>
      <c r="F390" s="33">
        <f>IF(AT389&lt;=0,0,ROUND(AT389+ROUND(AT389*Z$3/12,2),2))</f>
      </c>
      <c r="G390" s="33">
        <f>IF(AU389&lt;=0,0,ROUND(AU389+ROUND(AU389*AA$3/12,2),2))</f>
      </c>
      <c r="H390" s="33">
        <f>IF(AV389&lt;=0,0,ROUND(AV389+ROUND(AV389*AB$3/12,2),2))</f>
      </c>
      <c r="I390" s="33">
        <f>IF(AW389&lt;=0,0,ROUND(AW389+ROUND(AW389*AC$3/12,2),2))</f>
      </c>
      <c r="J390" s="33">
        <f>IF(AX389&lt;=0,0,ROUND(AX389+ROUND(AX389*AD$3/12,2),2))</f>
      </c>
      <c r="K390" s="33">
        <f>IF(AY389&lt;=0,0,ROUND(AY389+ROUND(AY389*AE$3/12,2),2))</f>
      </c>
      <c r="L390" s="33">
        <f>ROUND(MIN(MAX(0,N('Your debts'!$E$6)),B390),2)</f>
      </c>
      <c r="M390" s="33">
        <f>ROUND(MIN(MAX(0,N('Your debts'!$E$7)),C390),2)</f>
      </c>
      <c r="N390" s="33">
        <f>ROUND(MIN(MAX(0,N('Your debts'!$E$8)),D390),2)</f>
      </c>
      <c r="O390" s="33">
        <f>ROUND(MIN(MAX(0,N('Your debts'!$E$9)),E390),2)</f>
      </c>
      <c r="P390" s="33">
        <f>ROUND(MIN(MAX(0,N('Your debts'!$E$10)),F390),2)</f>
      </c>
      <c r="Q390" s="33">
        <f>ROUND(MIN(MAX(0,N('Your debts'!$E$11)),G390),2)</f>
      </c>
      <c r="R390" s="33">
        <f>ROUND(MIN(MAX(0,N('Your debts'!$E$12)),H390),2)</f>
      </c>
      <c r="S390" s="33">
        <f>ROUND(MIN(MAX(0,N('Your debts'!$E$13)),I390),2)</f>
      </c>
      <c r="T390" s="33">
        <f>ROUND(MIN(MAX(0,N('Your debts'!$E$14)),J390),2)</f>
      </c>
      <c r="U390" s="33">
        <f>ROUND(MIN(MAX(0,N('Your debts'!$E$15)),K390),2)</f>
      </c>
      <c r="V390" s="33">
        <f>ROUND(B390-L390,2)</f>
      </c>
      <c r="W390" s="33">
        <f>ROUND(C390-M390,2)</f>
      </c>
      <c r="X390" s="33">
        <f>ROUND(D390-N390,2)</f>
      </c>
      <c r="Y390" s="33">
        <f>ROUND(E390-O390,2)</f>
      </c>
      <c r="Z390" s="33">
        <f>ROUND(F390-P390,2)</f>
      </c>
      <c r="AA390" s="33">
        <f>ROUND(G390-Q390,2)</f>
      </c>
      <c r="AB390" s="33">
        <f>ROUND(H390-R390,2)</f>
      </c>
      <c r="AC390" s="33">
        <f>ROUND(I390-S390,2)</f>
      </c>
      <c r="AD390" s="33">
        <f>ROUND(J390-T390,2)</f>
      </c>
      <c r="AE390" s="33">
        <f>ROUND(K390-U390,2)</f>
      </c>
      <c r="AF390" s="33">
        <f>IF(V390&lt;=0,0,MAX(0,MIN(V390,ROUND($AZ390-SUMPRODUCT($V390:$AE390*($V390:$AE390&gt;0)*(($V$3:$AE$3&gt;V$3)+($V$3:$AE$3=V$3)*($V390:$AE390&lt;V390)+($V$3:$AE$3=V$3)*($V390:$AE390=V390)*($V$2:$AE$2&lt;V$2))),2))))</f>
      </c>
      <c r="AG390" s="33">
        <f>IF(W390&lt;=0,0,MAX(0,MIN(W390,ROUND($AZ390-SUMPRODUCT($V390:$AE390*($V390:$AE390&gt;0)*(($V$3:$AE$3&gt;W$3)+($V$3:$AE$3=W$3)*($V390:$AE390&lt;W390)+($V$3:$AE$3=W$3)*($V390:$AE390=W390)*($V$2:$AE$2&lt;W$2))),2))))</f>
      </c>
      <c r="AH390" s="33">
        <f>IF(X390&lt;=0,0,MAX(0,MIN(X390,ROUND($AZ390-SUMPRODUCT($V390:$AE390*($V390:$AE390&gt;0)*(($V$3:$AE$3&gt;X$3)+($V$3:$AE$3=X$3)*($V390:$AE390&lt;X390)+($V$3:$AE$3=X$3)*($V390:$AE390=X390)*($V$2:$AE$2&lt;X$2))),2))))</f>
      </c>
      <c r="AI390" s="33">
        <f>IF(Y390&lt;=0,0,MAX(0,MIN(Y390,ROUND($AZ390-SUMPRODUCT($V390:$AE390*($V390:$AE390&gt;0)*(($V$3:$AE$3&gt;Y$3)+($V$3:$AE$3=Y$3)*($V390:$AE390&lt;Y390)+($V$3:$AE$3=Y$3)*($V390:$AE390=Y390)*($V$2:$AE$2&lt;Y$2))),2))))</f>
      </c>
      <c r="AJ390" s="33">
        <f>IF(Z390&lt;=0,0,MAX(0,MIN(Z390,ROUND($AZ390-SUMPRODUCT($V390:$AE390*($V390:$AE390&gt;0)*(($V$3:$AE$3&gt;Z$3)+($V$3:$AE$3=Z$3)*($V390:$AE390&lt;Z390)+($V$3:$AE$3=Z$3)*($V390:$AE390=Z390)*($V$2:$AE$2&lt;Z$2))),2))))</f>
      </c>
      <c r="AK390" s="33">
        <f>IF(AA390&lt;=0,0,MAX(0,MIN(AA390,ROUND($AZ390-SUMPRODUCT($V390:$AE390*($V390:$AE390&gt;0)*(($V$3:$AE$3&gt;AA$3)+($V$3:$AE$3=AA$3)*($V390:$AE390&lt;AA390)+($V$3:$AE$3=AA$3)*($V390:$AE390=AA390)*($V$2:$AE$2&lt;AA$2))),2))))</f>
      </c>
      <c r="AL390" s="33">
        <f>IF(AB390&lt;=0,0,MAX(0,MIN(AB390,ROUND($AZ390-SUMPRODUCT($V390:$AE390*($V390:$AE390&gt;0)*(($V$3:$AE$3&gt;AB$3)+($V$3:$AE$3=AB$3)*($V390:$AE390&lt;AB390)+($V$3:$AE$3=AB$3)*($V390:$AE390=AB390)*($V$2:$AE$2&lt;AB$2))),2))))</f>
      </c>
      <c r="AM390" s="33">
        <f>IF(AC390&lt;=0,0,MAX(0,MIN(AC390,ROUND($AZ390-SUMPRODUCT($V390:$AE390*($V390:$AE390&gt;0)*(($V$3:$AE$3&gt;AC$3)+($V$3:$AE$3=AC$3)*($V390:$AE390&lt;AC390)+($V$3:$AE$3=AC$3)*($V390:$AE390=AC390)*($V$2:$AE$2&lt;AC$2))),2))))</f>
      </c>
      <c r="AN390" s="33">
        <f>IF(AD390&lt;=0,0,MAX(0,MIN(AD390,ROUND($AZ390-SUMPRODUCT($V390:$AE390*($V390:$AE390&gt;0)*(($V$3:$AE$3&gt;AD$3)+($V$3:$AE$3=AD$3)*($V390:$AE390&lt;AD390)+($V$3:$AE$3=AD$3)*($V390:$AE390=AD390)*($V$2:$AE$2&lt;AD$2))),2))))</f>
      </c>
      <c r="AO390" s="33">
        <f>IF(AE390&lt;=0,0,MAX(0,MIN(AE390,ROUND($AZ390-SUMPRODUCT($V390:$AE390*($V390:$AE390&gt;0)*(($V$3:$AE$3&gt;AE$3)+($V$3:$AE$3=AE$3)*($V390:$AE390&lt;AE390)+($V$3:$AE$3=AE$3)*($V390:$AE390=AE390)*($V$2:$AE$2&lt;AE$2))),2))))</f>
      </c>
      <c r="AP390" s="33">
        <f>ROUND(V390-AF390,2)</f>
      </c>
      <c r="AQ390" s="33">
        <f>ROUND(W390-AG390,2)</f>
      </c>
      <c r="AR390" s="33">
        <f>ROUND(X390-AH390,2)</f>
      </c>
      <c r="AS390" s="33">
        <f>ROUND(Y390-AI390,2)</f>
      </c>
      <c r="AT390" s="33">
        <f>ROUND(Z390-AJ390,2)</f>
      </c>
      <c r="AU390" s="33">
        <f>ROUND(AA390-AK390,2)</f>
      </c>
      <c r="AV390" s="33">
        <f>ROUND(AB390-AL390,2)</f>
      </c>
      <c r="AW390" s="33">
        <f>ROUND(AC390-AM390,2)</f>
      </c>
      <c r="AX390" s="33">
        <f>ROUND(AD390-AN390,2)</f>
      </c>
      <c r="AY390" s="33">
        <f>ROUND(AE390-AO390,2)</f>
      </c>
      <c r="AZ390" s="33">
        <f>ROUND(MAX(0,'Your debts'!$D$22-SUM($L390:$U390)),2)</f>
      </c>
      <c r="BA390" s="33">
        <f>ROUND(SUM($B390:$K390)-SUM($AP389:$AY389),2)</f>
      </c>
      <c r="BB390" s="33">
        <f>SUM($AP390:$AY390)</f>
      </c>
      <c r="BC390" s="33">
        <f>ROUND(SUM($L390:$U390)+SUM($AF390:$AO390),2)</f>
      </c>
    </row>
    <row r="391" spans="1:55" x14ac:dyDescent="0.25">
      <c r="A391">
        <v>384</v>
      </c>
      <c r="B391" s="33">
        <f>IF(AP390&lt;=0,0,ROUND(AP390+ROUND(AP390*V$3/12,2),2))</f>
      </c>
      <c r="C391" s="33">
        <f>IF(AQ390&lt;=0,0,ROUND(AQ390+ROUND(AQ390*W$3/12,2),2))</f>
      </c>
      <c r="D391" s="33">
        <f>IF(AR390&lt;=0,0,ROUND(AR390+ROUND(AR390*X$3/12,2),2))</f>
      </c>
      <c r="E391" s="33">
        <f>IF(AS390&lt;=0,0,ROUND(AS390+ROUND(AS390*Y$3/12,2),2))</f>
      </c>
      <c r="F391" s="33">
        <f>IF(AT390&lt;=0,0,ROUND(AT390+ROUND(AT390*Z$3/12,2),2))</f>
      </c>
      <c r="G391" s="33">
        <f>IF(AU390&lt;=0,0,ROUND(AU390+ROUND(AU390*AA$3/12,2),2))</f>
      </c>
      <c r="H391" s="33">
        <f>IF(AV390&lt;=0,0,ROUND(AV390+ROUND(AV390*AB$3/12,2),2))</f>
      </c>
      <c r="I391" s="33">
        <f>IF(AW390&lt;=0,0,ROUND(AW390+ROUND(AW390*AC$3/12,2),2))</f>
      </c>
      <c r="J391" s="33">
        <f>IF(AX390&lt;=0,0,ROUND(AX390+ROUND(AX390*AD$3/12,2),2))</f>
      </c>
      <c r="K391" s="33">
        <f>IF(AY390&lt;=0,0,ROUND(AY390+ROUND(AY390*AE$3/12,2),2))</f>
      </c>
      <c r="L391" s="33">
        <f>ROUND(MIN(MAX(0,N('Your debts'!$E$6)),B391),2)</f>
      </c>
      <c r="M391" s="33">
        <f>ROUND(MIN(MAX(0,N('Your debts'!$E$7)),C391),2)</f>
      </c>
      <c r="N391" s="33">
        <f>ROUND(MIN(MAX(0,N('Your debts'!$E$8)),D391),2)</f>
      </c>
      <c r="O391" s="33">
        <f>ROUND(MIN(MAX(0,N('Your debts'!$E$9)),E391),2)</f>
      </c>
      <c r="P391" s="33">
        <f>ROUND(MIN(MAX(0,N('Your debts'!$E$10)),F391),2)</f>
      </c>
      <c r="Q391" s="33">
        <f>ROUND(MIN(MAX(0,N('Your debts'!$E$11)),G391),2)</f>
      </c>
      <c r="R391" s="33">
        <f>ROUND(MIN(MAX(0,N('Your debts'!$E$12)),H391),2)</f>
      </c>
      <c r="S391" s="33">
        <f>ROUND(MIN(MAX(0,N('Your debts'!$E$13)),I391),2)</f>
      </c>
      <c r="T391" s="33">
        <f>ROUND(MIN(MAX(0,N('Your debts'!$E$14)),J391),2)</f>
      </c>
      <c r="U391" s="33">
        <f>ROUND(MIN(MAX(0,N('Your debts'!$E$15)),K391),2)</f>
      </c>
      <c r="V391" s="33">
        <f>ROUND(B391-L391,2)</f>
      </c>
      <c r="W391" s="33">
        <f>ROUND(C391-M391,2)</f>
      </c>
      <c r="X391" s="33">
        <f>ROUND(D391-N391,2)</f>
      </c>
      <c r="Y391" s="33">
        <f>ROUND(E391-O391,2)</f>
      </c>
      <c r="Z391" s="33">
        <f>ROUND(F391-P391,2)</f>
      </c>
      <c r="AA391" s="33">
        <f>ROUND(G391-Q391,2)</f>
      </c>
      <c r="AB391" s="33">
        <f>ROUND(H391-R391,2)</f>
      </c>
      <c r="AC391" s="33">
        <f>ROUND(I391-S391,2)</f>
      </c>
      <c r="AD391" s="33">
        <f>ROUND(J391-T391,2)</f>
      </c>
      <c r="AE391" s="33">
        <f>ROUND(K391-U391,2)</f>
      </c>
      <c r="AF391" s="33">
        <f>IF(V391&lt;=0,0,MAX(0,MIN(V391,ROUND($AZ391-SUMPRODUCT($V391:$AE391*($V391:$AE391&gt;0)*(($V$3:$AE$3&gt;V$3)+($V$3:$AE$3=V$3)*($V391:$AE391&lt;V391)+($V$3:$AE$3=V$3)*($V391:$AE391=V391)*($V$2:$AE$2&lt;V$2))),2))))</f>
      </c>
      <c r="AG391" s="33">
        <f>IF(W391&lt;=0,0,MAX(0,MIN(W391,ROUND($AZ391-SUMPRODUCT($V391:$AE391*($V391:$AE391&gt;0)*(($V$3:$AE$3&gt;W$3)+($V$3:$AE$3=W$3)*($V391:$AE391&lt;W391)+($V$3:$AE$3=W$3)*($V391:$AE391=W391)*($V$2:$AE$2&lt;W$2))),2))))</f>
      </c>
      <c r="AH391" s="33">
        <f>IF(X391&lt;=0,0,MAX(0,MIN(X391,ROUND($AZ391-SUMPRODUCT($V391:$AE391*($V391:$AE391&gt;0)*(($V$3:$AE$3&gt;X$3)+($V$3:$AE$3=X$3)*($V391:$AE391&lt;X391)+($V$3:$AE$3=X$3)*($V391:$AE391=X391)*($V$2:$AE$2&lt;X$2))),2))))</f>
      </c>
      <c r="AI391" s="33">
        <f>IF(Y391&lt;=0,0,MAX(0,MIN(Y391,ROUND($AZ391-SUMPRODUCT($V391:$AE391*($V391:$AE391&gt;0)*(($V$3:$AE$3&gt;Y$3)+($V$3:$AE$3=Y$3)*($V391:$AE391&lt;Y391)+($V$3:$AE$3=Y$3)*($V391:$AE391=Y391)*($V$2:$AE$2&lt;Y$2))),2))))</f>
      </c>
      <c r="AJ391" s="33">
        <f>IF(Z391&lt;=0,0,MAX(0,MIN(Z391,ROUND($AZ391-SUMPRODUCT($V391:$AE391*($V391:$AE391&gt;0)*(($V$3:$AE$3&gt;Z$3)+($V$3:$AE$3=Z$3)*($V391:$AE391&lt;Z391)+($V$3:$AE$3=Z$3)*($V391:$AE391=Z391)*($V$2:$AE$2&lt;Z$2))),2))))</f>
      </c>
      <c r="AK391" s="33">
        <f>IF(AA391&lt;=0,0,MAX(0,MIN(AA391,ROUND($AZ391-SUMPRODUCT($V391:$AE391*($V391:$AE391&gt;0)*(($V$3:$AE$3&gt;AA$3)+($V$3:$AE$3=AA$3)*($V391:$AE391&lt;AA391)+($V$3:$AE$3=AA$3)*($V391:$AE391=AA391)*($V$2:$AE$2&lt;AA$2))),2))))</f>
      </c>
      <c r="AL391" s="33">
        <f>IF(AB391&lt;=0,0,MAX(0,MIN(AB391,ROUND($AZ391-SUMPRODUCT($V391:$AE391*($V391:$AE391&gt;0)*(($V$3:$AE$3&gt;AB$3)+($V$3:$AE$3=AB$3)*($V391:$AE391&lt;AB391)+($V$3:$AE$3=AB$3)*($V391:$AE391=AB391)*($V$2:$AE$2&lt;AB$2))),2))))</f>
      </c>
      <c r="AM391" s="33">
        <f>IF(AC391&lt;=0,0,MAX(0,MIN(AC391,ROUND($AZ391-SUMPRODUCT($V391:$AE391*($V391:$AE391&gt;0)*(($V$3:$AE$3&gt;AC$3)+($V$3:$AE$3=AC$3)*($V391:$AE391&lt;AC391)+($V$3:$AE$3=AC$3)*($V391:$AE391=AC391)*($V$2:$AE$2&lt;AC$2))),2))))</f>
      </c>
      <c r="AN391" s="33">
        <f>IF(AD391&lt;=0,0,MAX(0,MIN(AD391,ROUND($AZ391-SUMPRODUCT($V391:$AE391*($V391:$AE391&gt;0)*(($V$3:$AE$3&gt;AD$3)+($V$3:$AE$3=AD$3)*($V391:$AE391&lt;AD391)+($V$3:$AE$3=AD$3)*($V391:$AE391=AD391)*($V$2:$AE$2&lt;AD$2))),2))))</f>
      </c>
      <c r="AO391" s="33">
        <f>IF(AE391&lt;=0,0,MAX(0,MIN(AE391,ROUND($AZ391-SUMPRODUCT($V391:$AE391*($V391:$AE391&gt;0)*(($V$3:$AE$3&gt;AE$3)+($V$3:$AE$3=AE$3)*($V391:$AE391&lt;AE391)+($V$3:$AE$3=AE$3)*($V391:$AE391=AE391)*($V$2:$AE$2&lt;AE$2))),2))))</f>
      </c>
      <c r="AP391" s="33">
        <f>ROUND(V391-AF391,2)</f>
      </c>
      <c r="AQ391" s="33">
        <f>ROUND(W391-AG391,2)</f>
      </c>
      <c r="AR391" s="33">
        <f>ROUND(X391-AH391,2)</f>
      </c>
      <c r="AS391" s="33">
        <f>ROUND(Y391-AI391,2)</f>
      </c>
      <c r="AT391" s="33">
        <f>ROUND(Z391-AJ391,2)</f>
      </c>
      <c r="AU391" s="33">
        <f>ROUND(AA391-AK391,2)</f>
      </c>
      <c r="AV391" s="33">
        <f>ROUND(AB391-AL391,2)</f>
      </c>
      <c r="AW391" s="33">
        <f>ROUND(AC391-AM391,2)</f>
      </c>
      <c r="AX391" s="33">
        <f>ROUND(AD391-AN391,2)</f>
      </c>
      <c r="AY391" s="33">
        <f>ROUND(AE391-AO391,2)</f>
      </c>
      <c r="AZ391" s="33">
        <f>ROUND(MAX(0,'Your debts'!$D$22-SUM($L391:$U391)),2)</f>
      </c>
      <c r="BA391" s="33">
        <f>ROUND(SUM($B391:$K391)-SUM($AP390:$AY390),2)</f>
      </c>
      <c r="BB391" s="33">
        <f>SUM($AP391:$AY391)</f>
      </c>
      <c r="BC391" s="33">
        <f>ROUND(SUM($L391:$U391)+SUM($AF391:$AO391),2)</f>
      </c>
    </row>
    <row r="392" spans="1:55" x14ac:dyDescent="0.25">
      <c r="A392">
        <v>385</v>
      </c>
      <c r="B392" s="33">
        <f>IF(AP391&lt;=0,0,ROUND(AP391+ROUND(AP391*V$3/12,2),2))</f>
      </c>
      <c r="C392" s="33">
        <f>IF(AQ391&lt;=0,0,ROUND(AQ391+ROUND(AQ391*W$3/12,2),2))</f>
      </c>
      <c r="D392" s="33">
        <f>IF(AR391&lt;=0,0,ROUND(AR391+ROUND(AR391*X$3/12,2),2))</f>
      </c>
      <c r="E392" s="33">
        <f>IF(AS391&lt;=0,0,ROUND(AS391+ROUND(AS391*Y$3/12,2),2))</f>
      </c>
      <c r="F392" s="33">
        <f>IF(AT391&lt;=0,0,ROUND(AT391+ROUND(AT391*Z$3/12,2),2))</f>
      </c>
      <c r="G392" s="33">
        <f>IF(AU391&lt;=0,0,ROUND(AU391+ROUND(AU391*AA$3/12,2),2))</f>
      </c>
      <c r="H392" s="33">
        <f>IF(AV391&lt;=0,0,ROUND(AV391+ROUND(AV391*AB$3/12,2),2))</f>
      </c>
      <c r="I392" s="33">
        <f>IF(AW391&lt;=0,0,ROUND(AW391+ROUND(AW391*AC$3/12,2),2))</f>
      </c>
      <c r="J392" s="33">
        <f>IF(AX391&lt;=0,0,ROUND(AX391+ROUND(AX391*AD$3/12,2),2))</f>
      </c>
      <c r="K392" s="33">
        <f>IF(AY391&lt;=0,0,ROUND(AY391+ROUND(AY391*AE$3/12,2),2))</f>
      </c>
      <c r="L392" s="33">
        <f>ROUND(MIN(MAX(0,N('Your debts'!$E$6)),B392),2)</f>
      </c>
      <c r="M392" s="33">
        <f>ROUND(MIN(MAX(0,N('Your debts'!$E$7)),C392),2)</f>
      </c>
      <c r="N392" s="33">
        <f>ROUND(MIN(MAX(0,N('Your debts'!$E$8)),D392),2)</f>
      </c>
      <c r="O392" s="33">
        <f>ROUND(MIN(MAX(0,N('Your debts'!$E$9)),E392),2)</f>
      </c>
      <c r="P392" s="33">
        <f>ROUND(MIN(MAX(0,N('Your debts'!$E$10)),F392),2)</f>
      </c>
      <c r="Q392" s="33">
        <f>ROUND(MIN(MAX(0,N('Your debts'!$E$11)),G392),2)</f>
      </c>
      <c r="R392" s="33">
        <f>ROUND(MIN(MAX(0,N('Your debts'!$E$12)),H392),2)</f>
      </c>
      <c r="S392" s="33">
        <f>ROUND(MIN(MAX(0,N('Your debts'!$E$13)),I392),2)</f>
      </c>
      <c r="T392" s="33">
        <f>ROUND(MIN(MAX(0,N('Your debts'!$E$14)),J392),2)</f>
      </c>
      <c r="U392" s="33">
        <f>ROUND(MIN(MAX(0,N('Your debts'!$E$15)),K392),2)</f>
      </c>
      <c r="V392" s="33">
        <f>ROUND(B392-L392,2)</f>
      </c>
      <c r="W392" s="33">
        <f>ROUND(C392-M392,2)</f>
      </c>
      <c r="X392" s="33">
        <f>ROUND(D392-N392,2)</f>
      </c>
      <c r="Y392" s="33">
        <f>ROUND(E392-O392,2)</f>
      </c>
      <c r="Z392" s="33">
        <f>ROUND(F392-P392,2)</f>
      </c>
      <c r="AA392" s="33">
        <f>ROUND(G392-Q392,2)</f>
      </c>
      <c r="AB392" s="33">
        <f>ROUND(H392-R392,2)</f>
      </c>
      <c r="AC392" s="33">
        <f>ROUND(I392-S392,2)</f>
      </c>
      <c r="AD392" s="33">
        <f>ROUND(J392-T392,2)</f>
      </c>
      <c r="AE392" s="33">
        <f>ROUND(K392-U392,2)</f>
      </c>
      <c r="AF392" s="33">
        <f>IF(V392&lt;=0,0,MAX(0,MIN(V392,ROUND($AZ392-SUMPRODUCT($V392:$AE392*($V392:$AE392&gt;0)*(($V$3:$AE$3&gt;V$3)+($V$3:$AE$3=V$3)*($V392:$AE392&lt;V392)+($V$3:$AE$3=V$3)*($V392:$AE392=V392)*($V$2:$AE$2&lt;V$2))),2))))</f>
      </c>
      <c r="AG392" s="33">
        <f>IF(W392&lt;=0,0,MAX(0,MIN(W392,ROUND($AZ392-SUMPRODUCT($V392:$AE392*($V392:$AE392&gt;0)*(($V$3:$AE$3&gt;W$3)+($V$3:$AE$3=W$3)*($V392:$AE392&lt;W392)+($V$3:$AE$3=W$3)*($V392:$AE392=W392)*($V$2:$AE$2&lt;W$2))),2))))</f>
      </c>
      <c r="AH392" s="33">
        <f>IF(X392&lt;=0,0,MAX(0,MIN(X392,ROUND($AZ392-SUMPRODUCT($V392:$AE392*($V392:$AE392&gt;0)*(($V$3:$AE$3&gt;X$3)+($V$3:$AE$3=X$3)*($V392:$AE392&lt;X392)+($V$3:$AE$3=X$3)*($V392:$AE392=X392)*($V$2:$AE$2&lt;X$2))),2))))</f>
      </c>
      <c r="AI392" s="33">
        <f>IF(Y392&lt;=0,0,MAX(0,MIN(Y392,ROUND($AZ392-SUMPRODUCT($V392:$AE392*($V392:$AE392&gt;0)*(($V$3:$AE$3&gt;Y$3)+($V$3:$AE$3=Y$3)*($V392:$AE392&lt;Y392)+($V$3:$AE$3=Y$3)*($V392:$AE392=Y392)*($V$2:$AE$2&lt;Y$2))),2))))</f>
      </c>
      <c r="AJ392" s="33">
        <f>IF(Z392&lt;=0,0,MAX(0,MIN(Z392,ROUND($AZ392-SUMPRODUCT($V392:$AE392*($V392:$AE392&gt;0)*(($V$3:$AE$3&gt;Z$3)+($V$3:$AE$3=Z$3)*($V392:$AE392&lt;Z392)+($V$3:$AE$3=Z$3)*($V392:$AE392=Z392)*($V$2:$AE$2&lt;Z$2))),2))))</f>
      </c>
      <c r="AK392" s="33">
        <f>IF(AA392&lt;=0,0,MAX(0,MIN(AA392,ROUND($AZ392-SUMPRODUCT($V392:$AE392*($V392:$AE392&gt;0)*(($V$3:$AE$3&gt;AA$3)+($V$3:$AE$3=AA$3)*($V392:$AE392&lt;AA392)+($V$3:$AE$3=AA$3)*($V392:$AE392=AA392)*($V$2:$AE$2&lt;AA$2))),2))))</f>
      </c>
      <c r="AL392" s="33">
        <f>IF(AB392&lt;=0,0,MAX(0,MIN(AB392,ROUND($AZ392-SUMPRODUCT($V392:$AE392*($V392:$AE392&gt;0)*(($V$3:$AE$3&gt;AB$3)+($V$3:$AE$3=AB$3)*($V392:$AE392&lt;AB392)+($V$3:$AE$3=AB$3)*($V392:$AE392=AB392)*($V$2:$AE$2&lt;AB$2))),2))))</f>
      </c>
      <c r="AM392" s="33">
        <f>IF(AC392&lt;=0,0,MAX(0,MIN(AC392,ROUND($AZ392-SUMPRODUCT($V392:$AE392*($V392:$AE392&gt;0)*(($V$3:$AE$3&gt;AC$3)+($V$3:$AE$3=AC$3)*($V392:$AE392&lt;AC392)+($V$3:$AE$3=AC$3)*($V392:$AE392=AC392)*($V$2:$AE$2&lt;AC$2))),2))))</f>
      </c>
      <c r="AN392" s="33">
        <f>IF(AD392&lt;=0,0,MAX(0,MIN(AD392,ROUND($AZ392-SUMPRODUCT($V392:$AE392*($V392:$AE392&gt;0)*(($V$3:$AE$3&gt;AD$3)+($V$3:$AE$3=AD$3)*($V392:$AE392&lt;AD392)+($V$3:$AE$3=AD$3)*($V392:$AE392=AD392)*($V$2:$AE$2&lt;AD$2))),2))))</f>
      </c>
      <c r="AO392" s="33">
        <f>IF(AE392&lt;=0,0,MAX(0,MIN(AE392,ROUND($AZ392-SUMPRODUCT($V392:$AE392*($V392:$AE392&gt;0)*(($V$3:$AE$3&gt;AE$3)+($V$3:$AE$3=AE$3)*($V392:$AE392&lt;AE392)+($V$3:$AE$3=AE$3)*($V392:$AE392=AE392)*($V$2:$AE$2&lt;AE$2))),2))))</f>
      </c>
      <c r="AP392" s="33">
        <f>ROUND(V392-AF392,2)</f>
      </c>
      <c r="AQ392" s="33">
        <f>ROUND(W392-AG392,2)</f>
      </c>
      <c r="AR392" s="33">
        <f>ROUND(X392-AH392,2)</f>
      </c>
      <c r="AS392" s="33">
        <f>ROUND(Y392-AI392,2)</f>
      </c>
      <c r="AT392" s="33">
        <f>ROUND(Z392-AJ392,2)</f>
      </c>
      <c r="AU392" s="33">
        <f>ROUND(AA392-AK392,2)</f>
      </c>
      <c r="AV392" s="33">
        <f>ROUND(AB392-AL392,2)</f>
      </c>
      <c r="AW392" s="33">
        <f>ROUND(AC392-AM392,2)</f>
      </c>
      <c r="AX392" s="33">
        <f>ROUND(AD392-AN392,2)</f>
      </c>
      <c r="AY392" s="33">
        <f>ROUND(AE392-AO392,2)</f>
      </c>
      <c r="AZ392" s="33">
        <f>ROUND(MAX(0,'Your debts'!$D$22-SUM($L392:$U392)),2)</f>
      </c>
      <c r="BA392" s="33">
        <f>ROUND(SUM($B392:$K392)-SUM($AP391:$AY391),2)</f>
      </c>
      <c r="BB392" s="33">
        <f>SUM($AP392:$AY392)</f>
      </c>
      <c r="BC392" s="33">
        <f>ROUND(SUM($L392:$U392)+SUM($AF392:$AO392),2)</f>
      </c>
    </row>
    <row r="393" spans="1:55" x14ac:dyDescent="0.25">
      <c r="A393">
        <v>386</v>
      </c>
      <c r="B393" s="33">
        <f>IF(AP392&lt;=0,0,ROUND(AP392+ROUND(AP392*V$3/12,2),2))</f>
      </c>
      <c r="C393" s="33">
        <f>IF(AQ392&lt;=0,0,ROUND(AQ392+ROUND(AQ392*W$3/12,2),2))</f>
      </c>
      <c r="D393" s="33">
        <f>IF(AR392&lt;=0,0,ROUND(AR392+ROUND(AR392*X$3/12,2),2))</f>
      </c>
      <c r="E393" s="33">
        <f>IF(AS392&lt;=0,0,ROUND(AS392+ROUND(AS392*Y$3/12,2),2))</f>
      </c>
      <c r="F393" s="33">
        <f>IF(AT392&lt;=0,0,ROUND(AT392+ROUND(AT392*Z$3/12,2),2))</f>
      </c>
      <c r="G393" s="33">
        <f>IF(AU392&lt;=0,0,ROUND(AU392+ROUND(AU392*AA$3/12,2),2))</f>
      </c>
      <c r="H393" s="33">
        <f>IF(AV392&lt;=0,0,ROUND(AV392+ROUND(AV392*AB$3/12,2),2))</f>
      </c>
      <c r="I393" s="33">
        <f>IF(AW392&lt;=0,0,ROUND(AW392+ROUND(AW392*AC$3/12,2),2))</f>
      </c>
      <c r="J393" s="33">
        <f>IF(AX392&lt;=0,0,ROUND(AX392+ROUND(AX392*AD$3/12,2),2))</f>
      </c>
      <c r="K393" s="33">
        <f>IF(AY392&lt;=0,0,ROUND(AY392+ROUND(AY392*AE$3/12,2),2))</f>
      </c>
      <c r="L393" s="33">
        <f>ROUND(MIN(MAX(0,N('Your debts'!$E$6)),B393),2)</f>
      </c>
      <c r="M393" s="33">
        <f>ROUND(MIN(MAX(0,N('Your debts'!$E$7)),C393),2)</f>
      </c>
      <c r="N393" s="33">
        <f>ROUND(MIN(MAX(0,N('Your debts'!$E$8)),D393),2)</f>
      </c>
      <c r="O393" s="33">
        <f>ROUND(MIN(MAX(0,N('Your debts'!$E$9)),E393),2)</f>
      </c>
      <c r="P393" s="33">
        <f>ROUND(MIN(MAX(0,N('Your debts'!$E$10)),F393),2)</f>
      </c>
      <c r="Q393" s="33">
        <f>ROUND(MIN(MAX(0,N('Your debts'!$E$11)),G393),2)</f>
      </c>
      <c r="R393" s="33">
        <f>ROUND(MIN(MAX(0,N('Your debts'!$E$12)),H393),2)</f>
      </c>
      <c r="S393" s="33">
        <f>ROUND(MIN(MAX(0,N('Your debts'!$E$13)),I393),2)</f>
      </c>
      <c r="T393" s="33">
        <f>ROUND(MIN(MAX(0,N('Your debts'!$E$14)),J393),2)</f>
      </c>
      <c r="U393" s="33">
        <f>ROUND(MIN(MAX(0,N('Your debts'!$E$15)),K393),2)</f>
      </c>
      <c r="V393" s="33">
        <f>ROUND(B393-L393,2)</f>
      </c>
      <c r="W393" s="33">
        <f>ROUND(C393-M393,2)</f>
      </c>
      <c r="X393" s="33">
        <f>ROUND(D393-N393,2)</f>
      </c>
      <c r="Y393" s="33">
        <f>ROUND(E393-O393,2)</f>
      </c>
      <c r="Z393" s="33">
        <f>ROUND(F393-P393,2)</f>
      </c>
      <c r="AA393" s="33">
        <f>ROUND(G393-Q393,2)</f>
      </c>
      <c r="AB393" s="33">
        <f>ROUND(H393-R393,2)</f>
      </c>
      <c r="AC393" s="33">
        <f>ROUND(I393-S393,2)</f>
      </c>
      <c r="AD393" s="33">
        <f>ROUND(J393-T393,2)</f>
      </c>
      <c r="AE393" s="33">
        <f>ROUND(K393-U393,2)</f>
      </c>
      <c r="AF393" s="33">
        <f>IF(V393&lt;=0,0,MAX(0,MIN(V393,ROUND($AZ393-SUMPRODUCT($V393:$AE393*($V393:$AE393&gt;0)*(($V$3:$AE$3&gt;V$3)+($V$3:$AE$3=V$3)*($V393:$AE393&lt;V393)+($V$3:$AE$3=V$3)*($V393:$AE393=V393)*($V$2:$AE$2&lt;V$2))),2))))</f>
      </c>
      <c r="AG393" s="33">
        <f>IF(W393&lt;=0,0,MAX(0,MIN(W393,ROUND($AZ393-SUMPRODUCT($V393:$AE393*($V393:$AE393&gt;0)*(($V$3:$AE$3&gt;W$3)+($V$3:$AE$3=W$3)*($V393:$AE393&lt;W393)+($V$3:$AE$3=W$3)*($V393:$AE393=W393)*($V$2:$AE$2&lt;W$2))),2))))</f>
      </c>
      <c r="AH393" s="33">
        <f>IF(X393&lt;=0,0,MAX(0,MIN(X393,ROUND($AZ393-SUMPRODUCT($V393:$AE393*($V393:$AE393&gt;0)*(($V$3:$AE$3&gt;X$3)+($V$3:$AE$3=X$3)*($V393:$AE393&lt;X393)+($V$3:$AE$3=X$3)*($V393:$AE393=X393)*($V$2:$AE$2&lt;X$2))),2))))</f>
      </c>
      <c r="AI393" s="33">
        <f>IF(Y393&lt;=0,0,MAX(0,MIN(Y393,ROUND($AZ393-SUMPRODUCT($V393:$AE393*($V393:$AE393&gt;0)*(($V$3:$AE$3&gt;Y$3)+($V$3:$AE$3=Y$3)*($V393:$AE393&lt;Y393)+($V$3:$AE$3=Y$3)*($V393:$AE393=Y393)*($V$2:$AE$2&lt;Y$2))),2))))</f>
      </c>
      <c r="AJ393" s="33">
        <f>IF(Z393&lt;=0,0,MAX(0,MIN(Z393,ROUND($AZ393-SUMPRODUCT($V393:$AE393*($V393:$AE393&gt;0)*(($V$3:$AE$3&gt;Z$3)+($V$3:$AE$3=Z$3)*($V393:$AE393&lt;Z393)+($V$3:$AE$3=Z$3)*($V393:$AE393=Z393)*($V$2:$AE$2&lt;Z$2))),2))))</f>
      </c>
      <c r="AK393" s="33">
        <f>IF(AA393&lt;=0,0,MAX(0,MIN(AA393,ROUND($AZ393-SUMPRODUCT($V393:$AE393*($V393:$AE393&gt;0)*(($V$3:$AE$3&gt;AA$3)+($V$3:$AE$3=AA$3)*($V393:$AE393&lt;AA393)+($V$3:$AE$3=AA$3)*($V393:$AE393=AA393)*($V$2:$AE$2&lt;AA$2))),2))))</f>
      </c>
      <c r="AL393" s="33">
        <f>IF(AB393&lt;=0,0,MAX(0,MIN(AB393,ROUND($AZ393-SUMPRODUCT($V393:$AE393*($V393:$AE393&gt;0)*(($V$3:$AE$3&gt;AB$3)+($V$3:$AE$3=AB$3)*($V393:$AE393&lt;AB393)+($V$3:$AE$3=AB$3)*($V393:$AE393=AB393)*($V$2:$AE$2&lt;AB$2))),2))))</f>
      </c>
      <c r="AM393" s="33">
        <f>IF(AC393&lt;=0,0,MAX(0,MIN(AC393,ROUND($AZ393-SUMPRODUCT($V393:$AE393*($V393:$AE393&gt;0)*(($V$3:$AE$3&gt;AC$3)+($V$3:$AE$3=AC$3)*($V393:$AE393&lt;AC393)+($V$3:$AE$3=AC$3)*($V393:$AE393=AC393)*($V$2:$AE$2&lt;AC$2))),2))))</f>
      </c>
      <c r="AN393" s="33">
        <f>IF(AD393&lt;=0,0,MAX(0,MIN(AD393,ROUND($AZ393-SUMPRODUCT($V393:$AE393*($V393:$AE393&gt;0)*(($V$3:$AE$3&gt;AD$3)+($V$3:$AE$3=AD$3)*($V393:$AE393&lt;AD393)+($V$3:$AE$3=AD$3)*($V393:$AE393=AD393)*($V$2:$AE$2&lt;AD$2))),2))))</f>
      </c>
      <c r="AO393" s="33">
        <f>IF(AE393&lt;=0,0,MAX(0,MIN(AE393,ROUND($AZ393-SUMPRODUCT($V393:$AE393*($V393:$AE393&gt;0)*(($V$3:$AE$3&gt;AE$3)+($V$3:$AE$3=AE$3)*($V393:$AE393&lt;AE393)+($V$3:$AE$3=AE$3)*($V393:$AE393=AE393)*($V$2:$AE$2&lt;AE$2))),2))))</f>
      </c>
      <c r="AP393" s="33">
        <f>ROUND(V393-AF393,2)</f>
      </c>
      <c r="AQ393" s="33">
        <f>ROUND(W393-AG393,2)</f>
      </c>
      <c r="AR393" s="33">
        <f>ROUND(X393-AH393,2)</f>
      </c>
      <c r="AS393" s="33">
        <f>ROUND(Y393-AI393,2)</f>
      </c>
      <c r="AT393" s="33">
        <f>ROUND(Z393-AJ393,2)</f>
      </c>
      <c r="AU393" s="33">
        <f>ROUND(AA393-AK393,2)</f>
      </c>
      <c r="AV393" s="33">
        <f>ROUND(AB393-AL393,2)</f>
      </c>
      <c r="AW393" s="33">
        <f>ROUND(AC393-AM393,2)</f>
      </c>
      <c r="AX393" s="33">
        <f>ROUND(AD393-AN393,2)</f>
      </c>
      <c r="AY393" s="33">
        <f>ROUND(AE393-AO393,2)</f>
      </c>
      <c r="AZ393" s="33">
        <f>ROUND(MAX(0,'Your debts'!$D$22-SUM($L393:$U393)),2)</f>
      </c>
      <c r="BA393" s="33">
        <f>ROUND(SUM($B393:$K393)-SUM($AP392:$AY392),2)</f>
      </c>
      <c r="BB393" s="33">
        <f>SUM($AP393:$AY393)</f>
      </c>
      <c r="BC393" s="33">
        <f>ROUND(SUM($L393:$U393)+SUM($AF393:$AO393),2)</f>
      </c>
    </row>
    <row r="394" spans="1:55" x14ac:dyDescent="0.25">
      <c r="A394">
        <v>387</v>
      </c>
      <c r="B394" s="33">
        <f>IF(AP393&lt;=0,0,ROUND(AP393+ROUND(AP393*V$3/12,2),2))</f>
      </c>
      <c r="C394" s="33">
        <f>IF(AQ393&lt;=0,0,ROUND(AQ393+ROUND(AQ393*W$3/12,2),2))</f>
      </c>
      <c r="D394" s="33">
        <f>IF(AR393&lt;=0,0,ROUND(AR393+ROUND(AR393*X$3/12,2),2))</f>
      </c>
      <c r="E394" s="33">
        <f>IF(AS393&lt;=0,0,ROUND(AS393+ROUND(AS393*Y$3/12,2),2))</f>
      </c>
      <c r="F394" s="33">
        <f>IF(AT393&lt;=0,0,ROUND(AT393+ROUND(AT393*Z$3/12,2),2))</f>
      </c>
      <c r="G394" s="33">
        <f>IF(AU393&lt;=0,0,ROUND(AU393+ROUND(AU393*AA$3/12,2),2))</f>
      </c>
      <c r="H394" s="33">
        <f>IF(AV393&lt;=0,0,ROUND(AV393+ROUND(AV393*AB$3/12,2),2))</f>
      </c>
      <c r="I394" s="33">
        <f>IF(AW393&lt;=0,0,ROUND(AW393+ROUND(AW393*AC$3/12,2),2))</f>
      </c>
      <c r="J394" s="33">
        <f>IF(AX393&lt;=0,0,ROUND(AX393+ROUND(AX393*AD$3/12,2),2))</f>
      </c>
      <c r="K394" s="33">
        <f>IF(AY393&lt;=0,0,ROUND(AY393+ROUND(AY393*AE$3/12,2),2))</f>
      </c>
      <c r="L394" s="33">
        <f>ROUND(MIN(MAX(0,N('Your debts'!$E$6)),B394),2)</f>
      </c>
      <c r="M394" s="33">
        <f>ROUND(MIN(MAX(0,N('Your debts'!$E$7)),C394),2)</f>
      </c>
      <c r="N394" s="33">
        <f>ROUND(MIN(MAX(0,N('Your debts'!$E$8)),D394),2)</f>
      </c>
      <c r="O394" s="33">
        <f>ROUND(MIN(MAX(0,N('Your debts'!$E$9)),E394),2)</f>
      </c>
      <c r="P394" s="33">
        <f>ROUND(MIN(MAX(0,N('Your debts'!$E$10)),F394),2)</f>
      </c>
      <c r="Q394" s="33">
        <f>ROUND(MIN(MAX(0,N('Your debts'!$E$11)),G394),2)</f>
      </c>
      <c r="R394" s="33">
        <f>ROUND(MIN(MAX(0,N('Your debts'!$E$12)),H394),2)</f>
      </c>
      <c r="S394" s="33">
        <f>ROUND(MIN(MAX(0,N('Your debts'!$E$13)),I394),2)</f>
      </c>
      <c r="T394" s="33">
        <f>ROUND(MIN(MAX(0,N('Your debts'!$E$14)),J394),2)</f>
      </c>
      <c r="U394" s="33">
        <f>ROUND(MIN(MAX(0,N('Your debts'!$E$15)),K394),2)</f>
      </c>
      <c r="V394" s="33">
        <f>ROUND(B394-L394,2)</f>
      </c>
      <c r="W394" s="33">
        <f>ROUND(C394-M394,2)</f>
      </c>
      <c r="X394" s="33">
        <f>ROUND(D394-N394,2)</f>
      </c>
      <c r="Y394" s="33">
        <f>ROUND(E394-O394,2)</f>
      </c>
      <c r="Z394" s="33">
        <f>ROUND(F394-P394,2)</f>
      </c>
      <c r="AA394" s="33">
        <f>ROUND(G394-Q394,2)</f>
      </c>
      <c r="AB394" s="33">
        <f>ROUND(H394-R394,2)</f>
      </c>
      <c r="AC394" s="33">
        <f>ROUND(I394-S394,2)</f>
      </c>
      <c r="AD394" s="33">
        <f>ROUND(J394-T394,2)</f>
      </c>
      <c r="AE394" s="33">
        <f>ROUND(K394-U394,2)</f>
      </c>
      <c r="AF394" s="33">
        <f>IF(V394&lt;=0,0,MAX(0,MIN(V394,ROUND($AZ394-SUMPRODUCT($V394:$AE394*($V394:$AE394&gt;0)*(($V$3:$AE$3&gt;V$3)+($V$3:$AE$3=V$3)*($V394:$AE394&lt;V394)+($V$3:$AE$3=V$3)*($V394:$AE394=V394)*($V$2:$AE$2&lt;V$2))),2))))</f>
      </c>
      <c r="AG394" s="33">
        <f>IF(W394&lt;=0,0,MAX(0,MIN(W394,ROUND($AZ394-SUMPRODUCT($V394:$AE394*($V394:$AE394&gt;0)*(($V$3:$AE$3&gt;W$3)+($V$3:$AE$3=W$3)*($V394:$AE394&lt;W394)+($V$3:$AE$3=W$3)*($V394:$AE394=W394)*($V$2:$AE$2&lt;W$2))),2))))</f>
      </c>
      <c r="AH394" s="33">
        <f>IF(X394&lt;=0,0,MAX(0,MIN(X394,ROUND($AZ394-SUMPRODUCT($V394:$AE394*($V394:$AE394&gt;0)*(($V$3:$AE$3&gt;X$3)+($V$3:$AE$3=X$3)*($V394:$AE394&lt;X394)+($V$3:$AE$3=X$3)*($V394:$AE394=X394)*($V$2:$AE$2&lt;X$2))),2))))</f>
      </c>
      <c r="AI394" s="33">
        <f>IF(Y394&lt;=0,0,MAX(0,MIN(Y394,ROUND($AZ394-SUMPRODUCT($V394:$AE394*($V394:$AE394&gt;0)*(($V$3:$AE$3&gt;Y$3)+($V$3:$AE$3=Y$3)*($V394:$AE394&lt;Y394)+($V$3:$AE$3=Y$3)*($V394:$AE394=Y394)*($V$2:$AE$2&lt;Y$2))),2))))</f>
      </c>
      <c r="AJ394" s="33">
        <f>IF(Z394&lt;=0,0,MAX(0,MIN(Z394,ROUND($AZ394-SUMPRODUCT($V394:$AE394*($V394:$AE394&gt;0)*(($V$3:$AE$3&gt;Z$3)+($V$3:$AE$3=Z$3)*($V394:$AE394&lt;Z394)+($V$3:$AE$3=Z$3)*($V394:$AE394=Z394)*($V$2:$AE$2&lt;Z$2))),2))))</f>
      </c>
      <c r="AK394" s="33">
        <f>IF(AA394&lt;=0,0,MAX(0,MIN(AA394,ROUND($AZ394-SUMPRODUCT($V394:$AE394*($V394:$AE394&gt;0)*(($V$3:$AE$3&gt;AA$3)+($V$3:$AE$3=AA$3)*($V394:$AE394&lt;AA394)+($V$3:$AE$3=AA$3)*($V394:$AE394=AA394)*($V$2:$AE$2&lt;AA$2))),2))))</f>
      </c>
      <c r="AL394" s="33">
        <f>IF(AB394&lt;=0,0,MAX(0,MIN(AB394,ROUND($AZ394-SUMPRODUCT($V394:$AE394*($V394:$AE394&gt;0)*(($V$3:$AE$3&gt;AB$3)+($V$3:$AE$3=AB$3)*($V394:$AE394&lt;AB394)+($V$3:$AE$3=AB$3)*($V394:$AE394=AB394)*($V$2:$AE$2&lt;AB$2))),2))))</f>
      </c>
      <c r="AM394" s="33">
        <f>IF(AC394&lt;=0,0,MAX(0,MIN(AC394,ROUND($AZ394-SUMPRODUCT($V394:$AE394*($V394:$AE394&gt;0)*(($V$3:$AE$3&gt;AC$3)+($V$3:$AE$3=AC$3)*($V394:$AE394&lt;AC394)+($V$3:$AE$3=AC$3)*($V394:$AE394=AC394)*($V$2:$AE$2&lt;AC$2))),2))))</f>
      </c>
      <c r="AN394" s="33">
        <f>IF(AD394&lt;=0,0,MAX(0,MIN(AD394,ROUND($AZ394-SUMPRODUCT($V394:$AE394*($V394:$AE394&gt;0)*(($V$3:$AE$3&gt;AD$3)+($V$3:$AE$3=AD$3)*($V394:$AE394&lt;AD394)+($V$3:$AE$3=AD$3)*($V394:$AE394=AD394)*($V$2:$AE$2&lt;AD$2))),2))))</f>
      </c>
      <c r="AO394" s="33">
        <f>IF(AE394&lt;=0,0,MAX(0,MIN(AE394,ROUND($AZ394-SUMPRODUCT($V394:$AE394*($V394:$AE394&gt;0)*(($V$3:$AE$3&gt;AE$3)+($V$3:$AE$3=AE$3)*($V394:$AE394&lt;AE394)+($V$3:$AE$3=AE$3)*($V394:$AE394=AE394)*($V$2:$AE$2&lt;AE$2))),2))))</f>
      </c>
      <c r="AP394" s="33">
        <f>ROUND(V394-AF394,2)</f>
      </c>
      <c r="AQ394" s="33">
        <f>ROUND(W394-AG394,2)</f>
      </c>
      <c r="AR394" s="33">
        <f>ROUND(X394-AH394,2)</f>
      </c>
      <c r="AS394" s="33">
        <f>ROUND(Y394-AI394,2)</f>
      </c>
      <c r="AT394" s="33">
        <f>ROUND(Z394-AJ394,2)</f>
      </c>
      <c r="AU394" s="33">
        <f>ROUND(AA394-AK394,2)</f>
      </c>
      <c r="AV394" s="33">
        <f>ROUND(AB394-AL394,2)</f>
      </c>
      <c r="AW394" s="33">
        <f>ROUND(AC394-AM394,2)</f>
      </c>
      <c r="AX394" s="33">
        <f>ROUND(AD394-AN394,2)</f>
      </c>
      <c r="AY394" s="33">
        <f>ROUND(AE394-AO394,2)</f>
      </c>
      <c r="AZ394" s="33">
        <f>ROUND(MAX(0,'Your debts'!$D$22-SUM($L394:$U394)),2)</f>
      </c>
      <c r="BA394" s="33">
        <f>ROUND(SUM($B394:$K394)-SUM($AP393:$AY393),2)</f>
      </c>
      <c r="BB394" s="33">
        <f>SUM($AP394:$AY394)</f>
      </c>
      <c r="BC394" s="33">
        <f>ROUND(SUM($L394:$U394)+SUM($AF394:$AO394),2)</f>
      </c>
    </row>
    <row r="395" spans="1:55" x14ac:dyDescent="0.25">
      <c r="A395">
        <v>388</v>
      </c>
      <c r="B395" s="33">
        <f>IF(AP394&lt;=0,0,ROUND(AP394+ROUND(AP394*V$3/12,2),2))</f>
      </c>
      <c r="C395" s="33">
        <f>IF(AQ394&lt;=0,0,ROUND(AQ394+ROUND(AQ394*W$3/12,2),2))</f>
      </c>
      <c r="D395" s="33">
        <f>IF(AR394&lt;=0,0,ROUND(AR394+ROUND(AR394*X$3/12,2),2))</f>
      </c>
      <c r="E395" s="33">
        <f>IF(AS394&lt;=0,0,ROUND(AS394+ROUND(AS394*Y$3/12,2),2))</f>
      </c>
      <c r="F395" s="33">
        <f>IF(AT394&lt;=0,0,ROUND(AT394+ROUND(AT394*Z$3/12,2),2))</f>
      </c>
      <c r="G395" s="33">
        <f>IF(AU394&lt;=0,0,ROUND(AU394+ROUND(AU394*AA$3/12,2),2))</f>
      </c>
      <c r="H395" s="33">
        <f>IF(AV394&lt;=0,0,ROUND(AV394+ROUND(AV394*AB$3/12,2),2))</f>
      </c>
      <c r="I395" s="33">
        <f>IF(AW394&lt;=0,0,ROUND(AW394+ROUND(AW394*AC$3/12,2),2))</f>
      </c>
      <c r="J395" s="33">
        <f>IF(AX394&lt;=0,0,ROUND(AX394+ROUND(AX394*AD$3/12,2),2))</f>
      </c>
      <c r="K395" s="33">
        <f>IF(AY394&lt;=0,0,ROUND(AY394+ROUND(AY394*AE$3/12,2),2))</f>
      </c>
      <c r="L395" s="33">
        <f>ROUND(MIN(MAX(0,N('Your debts'!$E$6)),B395),2)</f>
      </c>
      <c r="M395" s="33">
        <f>ROUND(MIN(MAX(0,N('Your debts'!$E$7)),C395),2)</f>
      </c>
      <c r="N395" s="33">
        <f>ROUND(MIN(MAX(0,N('Your debts'!$E$8)),D395),2)</f>
      </c>
      <c r="O395" s="33">
        <f>ROUND(MIN(MAX(0,N('Your debts'!$E$9)),E395),2)</f>
      </c>
      <c r="P395" s="33">
        <f>ROUND(MIN(MAX(0,N('Your debts'!$E$10)),F395),2)</f>
      </c>
      <c r="Q395" s="33">
        <f>ROUND(MIN(MAX(0,N('Your debts'!$E$11)),G395),2)</f>
      </c>
      <c r="R395" s="33">
        <f>ROUND(MIN(MAX(0,N('Your debts'!$E$12)),H395),2)</f>
      </c>
      <c r="S395" s="33">
        <f>ROUND(MIN(MAX(0,N('Your debts'!$E$13)),I395),2)</f>
      </c>
      <c r="T395" s="33">
        <f>ROUND(MIN(MAX(0,N('Your debts'!$E$14)),J395),2)</f>
      </c>
      <c r="U395" s="33">
        <f>ROUND(MIN(MAX(0,N('Your debts'!$E$15)),K395),2)</f>
      </c>
      <c r="V395" s="33">
        <f>ROUND(B395-L395,2)</f>
      </c>
      <c r="W395" s="33">
        <f>ROUND(C395-M395,2)</f>
      </c>
      <c r="X395" s="33">
        <f>ROUND(D395-N395,2)</f>
      </c>
      <c r="Y395" s="33">
        <f>ROUND(E395-O395,2)</f>
      </c>
      <c r="Z395" s="33">
        <f>ROUND(F395-P395,2)</f>
      </c>
      <c r="AA395" s="33">
        <f>ROUND(G395-Q395,2)</f>
      </c>
      <c r="AB395" s="33">
        <f>ROUND(H395-R395,2)</f>
      </c>
      <c r="AC395" s="33">
        <f>ROUND(I395-S395,2)</f>
      </c>
      <c r="AD395" s="33">
        <f>ROUND(J395-T395,2)</f>
      </c>
      <c r="AE395" s="33">
        <f>ROUND(K395-U395,2)</f>
      </c>
      <c r="AF395" s="33">
        <f>IF(V395&lt;=0,0,MAX(0,MIN(V395,ROUND($AZ395-SUMPRODUCT($V395:$AE395*($V395:$AE395&gt;0)*(($V$3:$AE$3&gt;V$3)+($V$3:$AE$3=V$3)*($V395:$AE395&lt;V395)+($V$3:$AE$3=V$3)*($V395:$AE395=V395)*($V$2:$AE$2&lt;V$2))),2))))</f>
      </c>
      <c r="AG395" s="33">
        <f>IF(W395&lt;=0,0,MAX(0,MIN(W395,ROUND($AZ395-SUMPRODUCT($V395:$AE395*($V395:$AE395&gt;0)*(($V$3:$AE$3&gt;W$3)+($V$3:$AE$3=W$3)*($V395:$AE395&lt;W395)+($V$3:$AE$3=W$3)*($V395:$AE395=W395)*($V$2:$AE$2&lt;W$2))),2))))</f>
      </c>
      <c r="AH395" s="33">
        <f>IF(X395&lt;=0,0,MAX(0,MIN(X395,ROUND($AZ395-SUMPRODUCT($V395:$AE395*($V395:$AE395&gt;0)*(($V$3:$AE$3&gt;X$3)+($V$3:$AE$3=X$3)*($V395:$AE395&lt;X395)+($V$3:$AE$3=X$3)*($V395:$AE395=X395)*($V$2:$AE$2&lt;X$2))),2))))</f>
      </c>
      <c r="AI395" s="33">
        <f>IF(Y395&lt;=0,0,MAX(0,MIN(Y395,ROUND($AZ395-SUMPRODUCT($V395:$AE395*($V395:$AE395&gt;0)*(($V$3:$AE$3&gt;Y$3)+($V$3:$AE$3=Y$3)*($V395:$AE395&lt;Y395)+($V$3:$AE$3=Y$3)*($V395:$AE395=Y395)*($V$2:$AE$2&lt;Y$2))),2))))</f>
      </c>
      <c r="AJ395" s="33">
        <f>IF(Z395&lt;=0,0,MAX(0,MIN(Z395,ROUND($AZ395-SUMPRODUCT($V395:$AE395*($V395:$AE395&gt;0)*(($V$3:$AE$3&gt;Z$3)+($V$3:$AE$3=Z$3)*($V395:$AE395&lt;Z395)+($V$3:$AE$3=Z$3)*($V395:$AE395=Z395)*($V$2:$AE$2&lt;Z$2))),2))))</f>
      </c>
      <c r="AK395" s="33">
        <f>IF(AA395&lt;=0,0,MAX(0,MIN(AA395,ROUND($AZ395-SUMPRODUCT($V395:$AE395*($V395:$AE395&gt;0)*(($V$3:$AE$3&gt;AA$3)+($V$3:$AE$3=AA$3)*($V395:$AE395&lt;AA395)+($V$3:$AE$3=AA$3)*($V395:$AE395=AA395)*($V$2:$AE$2&lt;AA$2))),2))))</f>
      </c>
      <c r="AL395" s="33">
        <f>IF(AB395&lt;=0,0,MAX(0,MIN(AB395,ROUND($AZ395-SUMPRODUCT($V395:$AE395*($V395:$AE395&gt;0)*(($V$3:$AE$3&gt;AB$3)+($V$3:$AE$3=AB$3)*($V395:$AE395&lt;AB395)+($V$3:$AE$3=AB$3)*($V395:$AE395=AB395)*($V$2:$AE$2&lt;AB$2))),2))))</f>
      </c>
      <c r="AM395" s="33">
        <f>IF(AC395&lt;=0,0,MAX(0,MIN(AC395,ROUND($AZ395-SUMPRODUCT($V395:$AE395*($V395:$AE395&gt;0)*(($V$3:$AE$3&gt;AC$3)+($V$3:$AE$3=AC$3)*($V395:$AE395&lt;AC395)+($V$3:$AE$3=AC$3)*($V395:$AE395=AC395)*($V$2:$AE$2&lt;AC$2))),2))))</f>
      </c>
      <c r="AN395" s="33">
        <f>IF(AD395&lt;=0,0,MAX(0,MIN(AD395,ROUND($AZ395-SUMPRODUCT($V395:$AE395*($V395:$AE395&gt;0)*(($V$3:$AE$3&gt;AD$3)+($V$3:$AE$3=AD$3)*($V395:$AE395&lt;AD395)+($V$3:$AE$3=AD$3)*($V395:$AE395=AD395)*($V$2:$AE$2&lt;AD$2))),2))))</f>
      </c>
      <c r="AO395" s="33">
        <f>IF(AE395&lt;=0,0,MAX(0,MIN(AE395,ROUND($AZ395-SUMPRODUCT($V395:$AE395*($V395:$AE395&gt;0)*(($V$3:$AE$3&gt;AE$3)+($V$3:$AE$3=AE$3)*($V395:$AE395&lt;AE395)+($V$3:$AE$3=AE$3)*($V395:$AE395=AE395)*($V$2:$AE$2&lt;AE$2))),2))))</f>
      </c>
      <c r="AP395" s="33">
        <f>ROUND(V395-AF395,2)</f>
      </c>
      <c r="AQ395" s="33">
        <f>ROUND(W395-AG395,2)</f>
      </c>
      <c r="AR395" s="33">
        <f>ROUND(X395-AH395,2)</f>
      </c>
      <c r="AS395" s="33">
        <f>ROUND(Y395-AI395,2)</f>
      </c>
      <c r="AT395" s="33">
        <f>ROUND(Z395-AJ395,2)</f>
      </c>
      <c r="AU395" s="33">
        <f>ROUND(AA395-AK395,2)</f>
      </c>
      <c r="AV395" s="33">
        <f>ROUND(AB395-AL395,2)</f>
      </c>
      <c r="AW395" s="33">
        <f>ROUND(AC395-AM395,2)</f>
      </c>
      <c r="AX395" s="33">
        <f>ROUND(AD395-AN395,2)</f>
      </c>
      <c r="AY395" s="33">
        <f>ROUND(AE395-AO395,2)</f>
      </c>
      <c r="AZ395" s="33">
        <f>ROUND(MAX(0,'Your debts'!$D$22-SUM($L395:$U395)),2)</f>
      </c>
      <c r="BA395" s="33">
        <f>ROUND(SUM($B395:$K395)-SUM($AP394:$AY394),2)</f>
      </c>
      <c r="BB395" s="33">
        <f>SUM($AP395:$AY395)</f>
      </c>
      <c r="BC395" s="33">
        <f>ROUND(SUM($L395:$U395)+SUM($AF395:$AO395),2)</f>
      </c>
    </row>
    <row r="396" spans="1:55" x14ac:dyDescent="0.25">
      <c r="A396">
        <v>389</v>
      </c>
      <c r="B396" s="33">
        <f>IF(AP395&lt;=0,0,ROUND(AP395+ROUND(AP395*V$3/12,2),2))</f>
      </c>
      <c r="C396" s="33">
        <f>IF(AQ395&lt;=0,0,ROUND(AQ395+ROUND(AQ395*W$3/12,2),2))</f>
      </c>
      <c r="D396" s="33">
        <f>IF(AR395&lt;=0,0,ROUND(AR395+ROUND(AR395*X$3/12,2),2))</f>
      </c>
      <c r="E396" s="33">
        <f>IF(AS395&lt;=0,0,ROUND(AS395+ROUND(AS395*Y$3/12,2),2))</f>
      </c>
      <c r="F396" s="33">
        <f>IF(AT395&lt;=0,0,ROUND(AT395+ROUND(AT395*Z$3/12,2),2))</f>
      </c>
      <c r="G396" s="33">
        <f>IF(AU395&lt;=0,0,ROUND(AU395+ROUND(AU395*AA$3/12,2),2))</f>
      </c>
      <c r="H396" s="33">
        <f>IF(AV395&lt;=0,0,ROUND(AV395+ROUND(AV395*AB$3/12,2),2))</f>
      </c>
      <c r="I396" s="33">
        <f>IF(AW395&lt;=0,0,ROUND(AW395+ROUND(AW395*AC$3/12,2),2))</f>
      </c>
      <c r="J396" s="33">
        <f>IF(AX395&lt;=0,0,ROUND(AX395+ROUND(AX395*AD$3/12,2),2))</f>
      </c>
      <c r="K396" s="33">
        <f>IF(AY395&lt;=0,0,ROUND(AY395+ROUND(AY395*AE$3/12,2),2))</f>
      </c>
      <c r="L396" s="33">
        <f>ROUND(MIN(MAX(0,N('Your debts'!$E$6)),B396),2)</f>
      </c>
      <c r="M396" s="33">
        <f>ROUND(MIN(MAX(0,N('Your debts'!$E$7)),C396),2)</f>
      </c>
      <c r="N396" s="33">
        <f>ROUND(MIN(MAX(0,N('Your debts'!$E$8)),D396),2)</f>
      </c>
      <c r="O396" s="33">
        <f>ROUND(MIN(MAX(0,N('Your debts'!$E$9)),E396),2)</f>
      </c>
      <c r="P396" s="33">
        <f>ROUND(MIN(MAX(0,N('Your debts'!$E$10)),F396),2)</f>
      </c>
      <c r="Q396" s="33">
        <f>ROUND(MIN(MAX(0,N('Your debts'!$E$11)),G396),2)</f>
      </c>
      <c r="R396" s="33">
        <f>ROUND(MIN(MAX(0,N('Your debts'!$E$12)),H396),2)</f>
      </c>
      <c r="S396" s="33">
        <f>ROUND(MIN(MAX(0,N('Your debts'!$E$13)),I396),2)</f>
      </c>
      <c r="T396" s="33">
        <f>ROUND(MIN(MAX(0,N('Your debts'!$E$14)),J396),2)</f>
      </c>
      <c r="U396" s="33">
        <f>ROUND(MIN(MAX(0,N('Your debts'!$E$15)),K396),2)</f>
      </c>
      <c r="V396" s="33">
        <f>ROUND(B396-L396,2)</f>
      </c>
      <c r="W396" s="33">
        <f>ROUND(C396-M396,2)</f>
      </c>
      <c r="X396" s="33">
        <f>ROUND(D396-N396,2)</f>
      </c>
      <c r="Y396" s="33">
        <f>ROUND(E396-O396,2)</f>
      </c>
      <c r="Z396" s="33">
        <f>ROUND(F396-P396,2)</f>
      </c>
      <c r="AA396" s="33">
        <f>ROUND(G396-Q396,2)</f>
      </c>
      <c r="AB396" s="33">
        <f>ROUND(H396-R396,2)</f>
      </c>
      <c r="AC396" s="33">
        <f>ROUND(I396-S396,2)</f>
      </c>
      <c r="AD396" s="33">
        <f>ROUND(J396-T396,2)</f>
      </c>
      <c r="AE396" s="33">
        <f>ROUND(K396-U396,2)</f>
      </c>
      <c r="AF396" s="33">
        <f>IF(V396&lt;=0,0,MAX(0,MIN(V396,ROUND($AZ396-SUMPRODUCT($V396:$AE396*($V396:$AE396&gt;0)*(($V$3:$AE$3&gt;V$3)+($V$3:$AE$3=V$3)*($V396:$AE396&lt;V396)+($V$3:$AE$3=V$3)*($V396:$AE396=V396)*($V$2:$AE$2&lt;V$2))),2))))</f>
      </c>
      <c r="AG396" s="33">
        <f>IF(W396&lt;=0,0,MAX(0,MIN(W396,ROUND($AZ396-SUMPRODUCT($V396:$AE396*($V396:$AE396&gt;0)*(($V$3:$AE$3&gt;W$3)+($V$3:$AE$3=W$3)*($V396:$AE396&lt;W396)+($V$3:$AE$3=W$3)*($V396:$AE396=W396)*($V$2:$AE$2&lt;W$2))),2))))</f>
      </c>
      <c r="AH396" s="33">
        <f>IF(X396&lt;=0,0,MAX(0,MIN(X396,ROUND($AZ396-SUMPRODUCT($V396:$AE396*($V396:$AE396&gt;0)*(($V$3:$AE$3&gt;X$3)+($V$3:$AE$3=X$3)*($V396:$AE396&lt;X396)+($V$3:$AE$3=X$3)*($V396:$AE396=X396)*($V$2:$AE$2&lt;X$2))),2))))</f>
      </c>
      <c r="AI396" s="33">
        <f>IF(Y396&lt;=0,0,MAX(0,MIN(Y396,ROUND($AZ396-SUMPRODUCT($V396:$AE396*($V396:$AE396&gt;0)*(($V$3:$AE$3&gt;Y$3)+($V$3:$AE$3=Y$3)*($V396:$AE396&lt;Y396)+($V$3:$AE$3=Y$3)*($V396:$AE396=Y396)*($V$2:$AE$2&lt;Y$2))),2))))</f>
      </c>
      <c r="AJ396" s="33">
        <f>IF(Z396&lt;=0,0,MAX(0,MIN(Z396,ROUND($AZ396-SUMPRODUCT($V396:$AE396*($V396:$AE396&gt;0)*(($V$3:$AE$3&gt;Z$3)+($V$3:$AE$3=Z$3)*($V396:$AE396&lt;Z396)+($V$3:$AE$3=Z$3)*($V396:$AE396=Z396)*($V$2:$AE$2&lt;Z$2))),2))))</f>
      </c>
      <c r="AK396" s="33">
        <f>IF(AA396&lt;=0,0,MAX(0,MIN(AA396,ROUND($AZ396-SUMPRODUCT($V396:$AE396*($V396:$AE396&gt;0)*(($V$3:$AE$3&gt;AA$3)+($V$3:$AE$3=AA$3)*($V396:$AE396&lt;AA396)+($V$3:$AE$3=AA$3)*($V396:$AE396=AA396)*($V$2:$AE$2&lt;AA$2))),2))))</f>
      </c>
      <c r="AL396" s="33">
        <f>IF(AB396&lt;=0,0,MAX(0,MIN(AB396,ROUND($AZ396-SUMPRODUCT($V396:$AE396*($V396:$AE396&gt;0)*(($V$3:$AE$3&gt;AB$3)+($V$3:$AE$3=AB$3)*($V396:$AE396&lt;AB396)+($V$3:$AE$3=AB$3)*($V396:$AE396=AB396)*($V$2:$AE$2&lt;AB$2))),2))))</f>
      </c>
      <c r="AM396" s="33">
        <f>IF(AC396&lt;=0,0,MAX(0,MIN(AC396,ROUND($AZ396-SUMPRODUCT($V396:$AE396*($V396:$AE396&gt;0)*(($V$3:$AE$3&gt;AC$3)+($V$3:$AE$3=AC$3)*($V396:$AE396&lt;AC396)+($V$3:$AE$3=AC$3)*($V396:$AE396=AC396)*($V$2:$AE$2&lt;AC$2))),2))))</f>
      </c>
      <c r="AN396" s="33">
        <f>IF(AD396&lt;=0,0,MAX(0,MIN(AD396,ROUND($AZ396-SUMPRODUCT($V396:$AE396*($V396:$AE396&gt;0)*(($V$3:$AE$3&gt;AD$3)+($V$3:$AE$3=AD$3)*($V396:$AE396&lt;AD396)+($V$3:$AE$3=AD$3)*($V396:$AE396=AD396)*($V$2:$AE$2&lt;AD$2))),2))))</f>
      </c>
      <c r="AO396" s="33">
        <f>IF(AE396&lt;=0,0,MAX(0,MIN(AE396,ROUND($AZ396-SUMPRODUCT($V396:$AE396*($V396:$AE396&gt;0)*(($V$3:$AE$3&gt;AE$3)+($V$3:$AE$3=AE$3)*($V396:$AE396&lt;AE396)+($V$3:$AE$3=AE$3)*($V396:$AE396=AE396)*($V$2:$AE$2&lt;AE$2))),2))))</f>
      </c>
      <c r="AP396" s="33">
        <f>ROUND(V396-AF396,2)</f>
      </c>
      <c r="AQ396" s="33">
        <f>ROUND(W396-AG396,2)</f>
      </c>
      <c r="AR396" s="33">
        <f>ROUND(X396-AH396,2)</f>
      </c>
      <c r="AS396" s="33">
        <f>ROUND(Y396-AI396,2)</f>
      </c>
      <c r="AT396" s="33">
        <f>ROUND(Z396-AJ396,2)</f>
      </c>
      <c r="AU396" s="33">
        <f>ROUND(AA396-AK396,2)</f>
      </c>
      <c r="AV396" s="33">
        <f>ROUND(AB396-AL396,2)</f>
      </c>
      <c r="AW396" s="33">
        <f>ROUND(AC396-AM396,2)</f>
      </c>
      <c r="AX396" s="33">
        <f>ROUND(AD396-AN396,2)</f>
      </c>
      <c r="AY396" s="33">
        <f>ROUND(AE396-AO396,2)</f>
      </c>
      <c r="AZ396" s="33">
        <f>ROUND(MAX(0,'Your debts'!$D$22-SUM($L396:$U396)),2)</f>
      </c>
      <c r="BA396" s="33">
        <f>ROUND(SUM($B396:$K396)-SUM($AP395:$AY395),2)</f>
      </c>
      <c r="BB396" s="33">
        <f>SUM($AP396:$AY396)</f>
      </c>
      <c r="BC396" s="33">
        <f>ROUND(SUM($L396:$U396)+SUM($AF396:$AO396),2)</f>
      </c>
    </row>
    <row r="397" spans="1:55" x14ac:dyDescent="0.25">
      <c r="A397">
        <v>390</v>
      </c>
      <c r="B397" s="33">
        <f>IF(AP396&lt;=0,0,ROUND(AP396+ROUND(AP396*V$3/12,2),2))</f>
      </c>
      <c r="C397" s="33">
        <f>IF(AQ396&lt;=0,0,ROUND(AQ396+ROUND(AQ396*W$3/12,2),2))</f>
      </c>
      <c r="D397" s="33">
        <f>IF(AR396&lt;=0,0,ROUND(AR396+ROUND(AR396*X$3/12,2),2))</f>
      </c>
      <c r="E397" s="33">
        <f>IF(AS396&lt;=0,0,ROUND(AS396+ROUND(AS396*Y$3/12,2),2))</f>
      </c>
      <c r="F397" s="33">
        <f>IF(AT396&lt;=0,0,ROUND(AT396+ROUND(AT396*Z$3/12,2),2))</f>
      </c>
      <c r="G397" s="33">
        <f>IF(AU396&lt;=0,0,ROUND(AU396+ROUND(AU396*AA$3/12,2),2))</f>
      </c>
      <c r="H397" s="33">
        <f>IF(AV396&lt;=0,0,ROUND(AV396+ROUND(AV396*AB$3/12,2),2))</f>
      </c>
      <c r="I397" s="33">
        <f>IF(AW396&lt;=0,0,ROUND(AW396+ROUND(AW396*AC$3/12,2),2))</f>
      </c>
      <c r="J397" s="33">
        <f>IF(AX396&lt;=0,0,ROUND(AX396+ROUND(AX396*AD$3/12,2),2))</f>
      </c>
      <c r="K397" s="33">
        <f>IF(AY396&lt;=0,0,ROUND(AY396+ROUND(AY396*AE$3/12,2),2))</f>
      </c>
      <c r="L397" s="33">
        <f>ROUND(MIN(MAX(0,N('Your debts'!$E$6)),B397),2)</f>
      </c>
      <c r="M397" s="33">
        <f>ROUND(MIN(MAX(0,N('Your debts'!$E$7)),C397),2)</f>
      </c>
      <c r="N397" s="33">
        <f>ROUND(MIN(MAX(0,N('Your debts'!$E$8)),D397),2)</f>
      </c>
      <c r="O397" s="33">
        <f>ROUND(MIN(MAX(0,N('Your debts'!$E$9)),E397),2)</f>
      </c>
      <c r="P397" s="33">
        <f>ROUND(MIN(MAX(0,N('Your debts'!$E$10)),F397),2)</f>
      </c>
      <c r="Q397" s="33">
        <f>ROUND(MIN(MAX(0,N('Your debts'!$E$11)),G397),2)</f>
      </c>
      <c r="R397" s="33">
        <f>ROUND(MIN(MAX(0,N('Your debts'!$E$12)),H397),2)</f>
      </c>
      <c r="S397" s="33">
        <f>ROUND(MIN(MAX(0,N('Your debts'!$E$13)),I397),2)</f>
      </c>
      <c r="T397" s="33">
        <f>ROUND(MIN(MAX(0,N('Your debts'!$E$14)),J397),2)</f>
      </c>
      <c r="U397" s="33">
        <f>ROUND(MIN(MAX(0,N('Your debts'!$E$15)),K397),2)</f>
      </c>
      <c r="V397" s="33">
        <f>ROUND(B397-L397,2)</f>
      </c>
      <c r="W397" s="33">
        <f>ROUND(C397-M397,2)</f>
      </c>
      <c r="X397" s="33">
        <f>ROUND(D397-N397,2)</f>
      </c>
      <c r="Y397" s="33">
        <f>ROUND(E397-O397,2)</f>
      </c>
      <c r="Z397" s="33">
        <f>ROUND(F397-P397,2)</f>
      </c>
      <c r="AA397" s="33">
        <f>ROUND(G397-Q397,2)</f>
      </c>
      <c r="AB397" s="33">
        <f>ROUND(H397-R397,2)</f>
      </c>
      <c r="AC397" s="33">
        <f>ROUND(I397-S397,2)</f>
      </c>
      <c r="AD397" s="33">
        <f>ROUND(J397-T397,2)</f>
      </c>
      <c r="AE397" s="33">
        <f>ROUND(K397-U397,2)</f>
      </c>
      <c r="AF397" s="33">
        <f>IF(V397&lt;=0,0,MAX(0,MIN(V397,ROUND($AZ397-SUMPRODUCT($V397:$AE397*($V397:$AE397&gt;0)*(($V$3:$AE$3&gt;V$3)+($V$3:$AE$3=V$3)*($V397:$AE397&lt;V397)+($V$3:$AE$3=V$3)*($V397:$AE397=V397)*($V$2:$AE$2&lt;V$2))),2))))</f>
      </c>
      <c r="AG397" s="33">
        <f>IF(W397&lt;=0,0,MAX(0,MIN(W397,ROUND($AZ397-SUMPRODUCT($V397:$AE397*($V397:$AE397&gt;0)*(($V$3:$AE$3&gt;W$3)+($V$3:$AE$3=W$3)*($V397:$AE397&lt;W397)+($V$3:$AE$3=W$3)*($V397:$AE397=W397)*($V$2:$AE$2&lt;W$2))),2))))</f>
      </c>
      <c r="AH397" s="33">
        <f>IF(X397&lt;=0,0,MAX(0,MIN(X397,ROUND($AZ397-SUMPRODUCT($V397:$AE397*($V397:$AE397&gt;0)*(($V$3:$AE$3&gt;X$3)+($V$3:$AE$3=X$3)*($V397:$AE397&lt;X397)+($V$3:$AE$3=X$3)*($V397:$AE397=X397)*($V$2:$AE$2&lt;X$2))),2))))</f>
      </c>
      <c r="AI397" s="33">
        <f>IF(Y397&lt;=0,0,MAX(0,MIN(Y397,ROUND($AZ397-SUMPRODUCT($V397:$AE397*($V397:$AE397&gt;0)*(($V$3:$AE$3&gt;Y$3)+($V$3:$AE$3=Y$3)*($V397:$AE397&lt;Y397)+($V$3:$AE$3=Y$3)*($V397:$AE397=Y397)*($V$2:$AE$2&lt;Y$2))),2))))</f>
      </c>
      <c r="AJ397" s="33">
        <f>IF(Z397&lt;=0,0,MAX(0,MIN(Z397,ROUND($AZ397-SUMPRODUCT($V397:$AE397*($V397:$AE397&gt;0)*(($V$3:$AE$3&gt;Z$3)+($V$3:$AE$3=Z$3)*($V397:$AE397&lt;Z397)+($V$3:$AE$3=Z$3)*($V397:$AE397=Z397)*($V$2:$AE$2&lt;Z$2))),2))))</f>
      </c>
      <c r="AK397" s="33">
        <f>IF(AA397&lt;=0,0,MAX(0,MIN(AA397,ROUND($AZ397-SUMPRODUCT($V397:$AE397*($V397:$AE397&gt;0)*(($V$3:$AE$3&gt;AA$3)+($V$3:$AE$3=AA$3)*($V397:$AE397&lt;AA397)+($V$3:$AE$3=AA$3)*($V397:$AE397=AA397)*($V$2:$AE$2&lt;AA$2))),2))))</f>
      </c>
      <c r="AL397" s="33">
        <f>IF(AB397&lt;=0,0,MAX(0,MIN(AB397,ROUND($AZ397-SUMPRODUCT($V397:$AE397*($V397:$AE397&gt;0)*(($V$3:$AE$3&gt;AB$3)+($V$3:$AE$3=AB$3)*($V397:$AE397&lt;AB397)+($V$3:$AE$3=AB$3)*($V397:$AE397=AB397)*($V$2:$AE$2&lt;AB$2))),2))))</f>
      </c>
      <c r="AM397" s="33">
        <f>IF(AC397&lt;=0,0,MAX(0,MIN(AC397,ROUND($AZ397-SUMPRODUCT($V397:$AE397*($V397:$AE397&gt;0)*(($V$3:$AE$3&gt;AC$3)+($V$3:$AE$3=AC$3)*($V397:$AE397&lt;AC397)+($V$3:$AE$3=AC$3)*($V397:$AE397=AC397)*($V$2:$AE$2&lt;AC$2))),2))))</f>
      </c>
      <c r="AN397" s="33">
        <f>IF(AD397&lt;=0,0,MAX(0,MIN(AD397,ROUND($AZ397-SUMPRODUCT($V397:$AE397*($V397:$AE397&gt;0)*(($V$3:$AE$3&gt;AD$3)+($V$3:$AE$3=AD$3)*($V397:$AE397&lt;AD397)+($V$3:$AE$3=AD$3)*($V397:$AE397=AD397)*($V$2:$AE$2&lt;AD$2))),2))))</f>
      </c>
      <c r="AO397" s="33">
        <f>IF(AE397&lt;=0,0,MAX(0,MIN(AE397,ROUND($AZ397-SUMPRODUCT($V397:$AE397*($V397:$AE397&gt;0)*(($V$3:$AE$3&gt;AE$3)+($V$3:$AE$3=AE$3)*($V397:$AE397&lt;AE397)+($V$3:$AE$3=AE$3)*($V397:$AE397=AE397)*($V$2:$AE$2&lt;AE$2))),2))))</f>
      </c>
      <c r="AP397" s="33">
        <f>ROUND(V397-AF397,2)</f>
      </c>
      <c r="AQ397" s="33">
        <f>ROUND(W397-AG397,2)</f>
      </c>
      <c r="AR397" s="33">
        <f>ROUND(X397-AH397,2)</f>
      </c>
      <c r="AS397" s="33">
        <f>ROUND(Y397-AI397,2)</f>
      </c>
      <c r="AT397" s="33">
        <f>ROUND(Z397-AJ397,2)</f>
      </c>
      <c r="AU397" s="33">
        <f>ROUND(AA397-AK397,2)</f>
      </c>
      <c r="AV397" s="33">
        <f>ROUND(AB397-AL397,2)</f>
      </c>
      <c r="AW397" s="33">
        <f>ROUND(AC397-AM397,2)</f>
      </c>
      <c r="AX397" s="33">
        <f>ROUND(AD397-AN397,2)</f>
      </c>
      <c r="AY397" s="33">
        <f>ROUND(AE397-AO397,2)</f>
      </c>
      <c r="AZ397" s="33">
        <f>ROUND(MAX(0,'Your debts'!$D$22-SUM($L397:$U397)),2)</f>
      </c>
      <c r="BA397" s="33">
        <f>ROUND(SUM($B397:$K397)-SUM($AP396:$AY396),2)</f>
      </c>
      <c r="BB397" s="33">
        <f>SUM($AP397:$AY397)</f>
      </c>
      <c r="BC397" s="33">
        <f>ROUND(SUM($L397:$U397)+SUM($AF397:$AO397),2)</f>
      </c>
    </row>
    <row r="398" spans="1:55" x14ac:dyDescent="0.25">
      <c r="A398">
        <v>391</v>
      </c>
      <c r="B398" s="33">
        <f>IF(AP397&lt;=0,0,ROUND(AP397+ROUND(AP397*V$3/12,2),2))</f>
      </c>
      <c r="C398" s="33">
        <f>IF(AQ397&lt;=0,0,ROUND(AQ397+ROUND(AQ397*W$3/12,2),2))</f>
      </c>
      <c r="D398" s="33">
        <f>IF(AR397&lt;=0,0,ROUND(AR397+ROUND(AR397*X$3/12,2),2))</f>
      </c>
      <c r="E398" s="33">
        <f>IF(AS397&lt;=0,0,ROUND(AS397+ROUND(AS397*Y$3/12,2),2))</f>
      </c>
      <c r="F398" s="33">
        <f>IF(AT397&lt;=0,0,ROUND(AT397+ROUND(AT397*Z$3/12,2),2))</f>
      </c>
      <c r="G398" s="33">
        <f>IF(AU397&lt;=0,0,ROUND(AU397+ROUND(AU397*AA$3/12,2),2))</f>
      </c>
      <c r="H398" s="33">
        <f>IF(AV397&lt;=0,0,ROUND(AV397+ROUND(AV397*AB$3/12,2),2))</f>
      </c>
      <c r="I398" s="33">
        <f>IF(AW397&lt;=0,0,ROUND(AW397+ROUND(AW397*AC$3/12,2),2))</f>
      </c>
      <c r="J398" s="33">
        <f>IF(AX397&lt;=0,0,ROUND(AX397+ROUND(AX397*AD$3/12,2),2))</f>
      </c>
      <c r="K398" s="33">
        <f>IF(AY397&lt;=0,0,ROUND(AY397+ROUND(AY397*AE$3/12,2),2))</f>
      </c>
      <c r="L398" s="33">
        <f>ROUND(MIN(MAX(0,N('Your debts'!$E$6)),B398),2)</f>
      </c>
      <c r="M398" s="33">
        <f>ROUND(MIN(MAX(0,N('Your debts'!$E$7)),C398),2)</f>
      </c>
      <c r="N398" s="33">
        <f>ROUND(MIN(MAX(0,N('Your debts'!$E$8)),D398),2)</f>
      </c>
      <c r="O398" s="33">
        <f>ROUND(MIN(MAX(0,N('Your debts'!$E$9)),E398),2)</f>
      </c>
      <c r="P398" s="33">
        <f>ROUND(MIN(MAX(0,N('Your debts'!$E$10)),F398),2)</f>
      </c>
      <c r="Q398" s="33">
        <f>ROUND(MIN(MAX(0,N('Your debts'!$E$11)),G398),2)</f>
      </c>
      <c r="R398" s="33">
        <f>ROUND(MIN(MAX(0,N('Your debts'!$E$12)),H398),2)</f>
      </c>
      <c r="S398" s="33">
        <f>ROUND(MIN(MAX(0,N('Your debts'!$E$13)),I398),2)</f>
      </c>
      <c r="T398" s="33">
        <f>ROUND(MIN(MAX(0,N('Your debts'!$E$14)),J398),2)</f>
      </c>
      <c r="U398" s="33">
        <f>ROUND(MIN(MAX(0,N('Your debts'!$E$15)),K398),2)</f>
      </c>
      <c r="V398" s="33">
        <f>ROUND(B398-L398,2)</f>
      </c>
      <c r="W398" s="33">
        <f>ROUND(C398-M398,2)</f>
      </c>
      <c r="X398" s="33">
        <f>ROUND(D398-N398,2)</f>
      </c>
      <c r="Y398" s="33">
        <f>ROUND(E398-O398,2)</f>
      </c>
      <c r="Z398" s="33">
        <f>ROUND(F398-P398,2)</f>
      </c>
      <c r="AA398" s="33">
        <f>ROUND(G398-Q398,2)</f>
      </c>
      <c r="AB398" s="33">
        <f>ROUND(H398-R398,2)</f>
      </c>
      <c r="AC398" s="33">
        <f>ROUND(I398-S398,2)</f>
      </c>
      <c r="AD398" s="33">
        <f>ROUND(J398-T398,2)</f>
      </c>
      <c r="AE398" s="33">
        <f>ROUND(K398-U398,2)</f>
      </c>
      <c r="AF398" s="33">
        <f>IF(V398&lt;=0,0,MAX(0,MIN(V398,ROUND($AZ398-SUMPRODUCT($V398:$AE398*($V398:$AE398&gt;0)*(($V$3:$AE$3&gt;V$3)+($V$3:$AE$3=V$3)*($V398:$AE398&lt;V398)+($V$3:$AE$3=V$3)*($V398:$AE398=V398)*($V$2:$AE$2&lt;V$2))),2))))</f>
      </c>
      <c r="AG398" s="33">
        <f>IF(W398&lt;=0,0,MAX(0,MIN(W398,ROUND($AZ398-SUMPRODUCT($V398:$AE398*($V398:$AE398&gt;0)*(($V$3:$AE$3&gt;W$3)+($V$3:$AE$3=W$3)*($V398:$AE398&lt;W398)+($V$3:$AE$3=W$3)*($V398:$AE398=W398)*($V$2:$AE$2&lt;W$2))),2))))</f>
      </c>
      <c r="AH398" s="33">
        <f>IF(X398&lt;=0,0,MAX(0,MIN(X398,ROUND($AZ398-SUMPRODUCT($V398:$AE398*($V398:$AE398&gt;0)*(($V$3:$AE$3&gt;X$3)+($V$3:$AE$3=X$3)*($V398:$AE398&lt;X398)+($V$3:$AE$3=X$3)*($V398:$AE398=X398)*($V$2:$AE$2&lt;X$2))),2))))</f>
      </c>
      <c r="AI398" s="33">
        <f>IF(Y398&lt;=0,0,MAX(0,MIN(Y398,ROUND($AZ398-SUMPRODUCT($V398:$AE398*($V398:$AE398&gt;0)*(($V$3:$AE$3&gt;Y$3)+($V$3:$AE$3=Y$3)*($V398:$AE398&lt;Y398)+($V$3:$AE$3=Y$3)*($V398:$AE398=Y398)*($V$2:$AE$2&lt;Y$2))),2))))</f>
      </c>
      <c r="AJ398" s="33">
        <f>IF(Z398&lt;=0,0,MAX(0,MIN(Z398,ROUND($AZ398-SUMPRODUCT($V398:$AE398*($V398:$AE398&gt;0)*(($V$3:$AE$3&gt;Z$3)+($V$3:$AE$3=Z$3)*($V398:$AE398&lt;Z398)+($V$3:$AE$3=Z$3)*($V398:$AE398=Z398)*($V$2:$AE$2&lt;Z$2))),2))))</f>
      </c>
      <c r="AK398" s="33">
        <f>IF(AA398&lt;=0,0,MAX(0,MIN(AA398,ROUND($AZ398-SUMPRODUCT($V398:$AE398*($V398:$AE398&gt;0)*(($V$3:$AE$3&gt;AA$3)+($V$3:$AE$3=AA$3)*($V398:$AE398&lt;AA398)+($V$3:$AE$3=AA$3)*($V398:$AE398=AA398)*($V$2:$AE$2&lt;AA$2))),2))))</f>
      </c>
      <c r="AL398" s="33">
        <f>IF(AB398&lt;=0,0,MAX(0,MIN(AB398,ROUND($AZ398-SUMPRODUCT($V398:$AE398*($V398:$AE398&gt;0)*(($V$3:$AE$3&gt;AB$3)+($V$3:$AE$3=AB$3)*($V398:$AE398&lt;AB398)+($V$3:$AE$3=AB$3)*($V398:$AE398=AB398)*($V$2:$AE$2&lt;AB$2))),2))))</f>
      </c>
      <c r="AM398" s="33">
        <f>IF(AC398&lt;=0,0,MAX(0,MIN(AC398,ROUND($AZ398-SUMPRODUCT($V398:$AE398*($V398:$AE398&gt;0)*(($V$3:$AE$3&gt;AC$3)+($V$3:$AE$3=AC$3)*($V398:$AE398&lt;AC398)+($V$3:$AE$3=AC$3)*($V398:$AE398=AC398)*($V$2:$AE$2&lt;AC$2))),2))))</f>
      </c>
      <c r="AN398" s="33">
        <f>IF(AD398&lt;=0,0,MAX(0,MIN(AD398,ROUND($AZ398-SUMPRODUCT($V398:$AE398*($V398:$AE398&gt;0)*(($V$3:$AE$3&gt;AD$3)+($V$3:$AE$3=AD$3)*($V398:$AE398&lt;AD398)+($V$3:$AE$3=AD$3)*($V398:$AE398=AD398)*($V$2:$AE$2&lt;AD$2))),2))))</f>
      </c>
      <c r="AO398" s="33">
        <f>IF(AE398&lt;=0,0,MAX(0,MIN(AE398,ROUND($AZ398-SUMPRODUCT($V398:$AE398*($V398:$AE398&gt;0)*(($V$3:$AE$3&gt;AE$3)+($V$3:$AE$3=AE$3)*($V398:$AE398&lt;AE398)+($V$3:$AE$3=AE$3)*($V398:$AE398=AE398)*($V$2:$AE$2&lt;AE$2))),2))))</f>
      </c>
      <c r="AP398" s="33">
        <f>ROUND(V398-AF398,2)</f>
      </c>
      <c r="AQ398" s="33">
        <f>ROUND(W398-AG398,2)</f>
      </c>
      <c r="AR398" s="33">
        <f>ROUND(X398-AH398,2)</f>
      </c>
      <c r="AS398" s="33">
        <f>ROUND(Y398-AI398,2)</f>
      </c>
      <c r="AT398" s="33">
        <f>ROUND(Z398-AJ398,2)</f>
      </c>
      <c r="AU398" s="33">
        <f>ROUND(AA398-AK398,2)</f>
      </c>
      <c r="AV398" s="33">
        <f>ROUND(AB398-AL398,2)</f>
      </c>
      <c r="AW398" s="33">
        <f>ROUND(AC398-AM398,2)</f>
      </c>
      <c r="AX398" s="33">
        <f>ROUND(AD398-AN398,2)</f>
      </c>
      <c r="AY398" s="33">
        <f>ROUND(AE398-AO398,2)</f>
      </c>
      <c r="AZ398" s="33">
        <f>ROUND(MAX(0,'Your debts'!$D$22-SUM($L398:$U398)),2)</f>
      </c>
      <c r="BA398" s="33">
        <f>ROUND(SUM($B398:$K398)-SUM($AP397:$AY397),2)</f>
      </c>
      <c r="BB398" s="33">
        <f>SUM($AP398:$AY398)</f>
      </c>
      <c r="BC398" s="33">
        <f>ROUND(SUM($L398:$U398)+SUM($AF398:$AO398),2)</f>
      </c>
    </row>
    <row r="399" spans="1:55" x14ac:dyDescent="0.25">
      <c r="A399">
        <v>392</v>
      </c>
      <c r="B399" s="33">
        <f>IF(AP398&lt;=0,0,ROUND(AP398+ROUND(AP398*V$3/12,2),2))</f>
      </c>
      <c r="C399" s="33">
        <f>IF(AQ398&lt;=0,0,ROUND(AQ398+ROUND(AQ398*W$3/12,2),2))</f>
      </c>
      <c r="D399" s="33">
        <f>IF(AR398&lt;=0,0,ROUND(AR398+ROUND(AR398*X$3/12,2),2))</f>
      </c>
      <c r="E399" s="33">
        <f>IF(AS398&lt;=0,0,ROUND(AS398+ROUND(AS398*Y$3/12,2),2))</f>
      </c>
      <c r="F399" s="33">
        <f>IF(AT398&lt;=0,0,ROUND(AT398+ROUND(AT398*Z$3/12,2),2))</f>
      </c>
      <c r="G399" s="33">
        <f>IF(AU398&lt;=0,0,ROUND(AU398+ROUND(AU398*AA$3/12,2),2))</f>
      </c>
      <c r="H399" s="33">
        <f>IF(AV398&lt;=0,0,ROUND(AV398+ROUND(AV398*AB$3/12,2),2))</f>
      </c>
      <c r="I399" s="33">
        <f>IF(AW398&lt;=0,0,ROUND(AW398+ROUND(AW398*AC$3/12,2),2))</f>
      </c>
      <c r="J399" s="33">
        <f>IF(AX398&lt;=0,0,ROUND(AX398+ROUND(AX398*AD$3/12,2),2))</f>
      </c>
      <c r="K399" s="33">
        <f>IF(AY398&lt;=0,0,ROUND(AY398+ROUND(AY398*AE$3/12,2),2))</f>
      </c>
      <c r="L399" s="33">
        <f>ROUND(MIN(MAX(0,N('Your debts'!$E$6)),B399),2)</f>
      </c>
      <c r="M399" s="33">
        <f>ROUND(MIN(MAX(0,N('Your debts'!$E$7)),C399),2)</f>
      </c>
      <c r="N399" s="33">
        <f>ROUND(MIN(MAX(0,N('Your debts'!$E$8)),D399),2)</f>
      </c>
      <c r="O399" s="33">
        <f>ROUND(MIN(MAX(0,N('Your debts'!$E$9)),E399),2)</f>
      </c>
      <c r="P399" s="33">
        <f>ROUND(MIN(MAX(0,N('Your debts'!$E$10)),F399),2)</f>
      </c>
      <c r="Q399" s="33">
        <f>ROUND(MIN(MAX(0,N('Your debts'!$E$11)),G399),2)</f>
      </c>
      <c r="R399" s="33">
        <f>ROUND(MIN(MAX(0,N('Your debts'!$E$12)),H399),2)</f>
      </c>
      <c r="S399" s="33">
        <f>ROUND(MIN(MAX(0,N('Your debts'!$E$13)),I399),2)</f>
      </c>
      <c r="T399" s="33">
        <f>ROUND(MIN(MAX(0,N('Your debts'!$E$14)),J399),2)</f>
      </c>
      <c r="U399" s="33">
        <f>ROUND(MIN(MAX(0,N('Your debts'!$E$15)),K399),2)</f>
      </c>
      <c r="V399" s="33">
        <f>ROUND(B399-L399,2)</f>
      </c>
      <c r="W399" s="33">
        <f>ROUND(C399-M399,2)</f>
      </c>
      <c r="X399" s="33">
        <f>ROUND(D399-N399,2)</f>
      </c>
      <c r="Y399" s="33">
        <f>ROUND(E399-O399,2)</f>
      </c>
      <c r="Z399" s="33">
        <f>ROUND(F399-P399,2)</f>
      </c>
      <c r="AA399" s="33">
        <f>ROUND(G399-Q399,2)</f>
      </c>
      <c r="AB399" s="33">
        <f>ROUND(H399-R399,2)</f>
      </c>
      <c r="AC399" s="33">
        <f>ROUND(I399-S399,2)</f>
      </c>
      <c r="AD399" s="33">
        <f>ROUND(J399-T399,2)</f>
      </c>
      <c r="AE399" s="33">
        <f>ROUND(K399-U399,2)</f>
      </c>
      <c r="AF399" s="33">
        <f>IF(V399&lt;=0,0,MAX(0,MIN(V399,ROUND($AZ399-SUMPRODUCT($V399:$AE399*($V399:$AE399&gt;0)*(($V$3:$AE$3&gt;V$3)+($V$3:$AE$3=V$3)*($V399:$AE399&lt;V399)+($V$3:$AE$3=V$3)*($V399:$AE399=V399)*($V$2:$AE$2&lt;V$2))),2))))</f>
      </c>
      <c r="AG399" s="33">
        <f>IF(W399&lt;=0,0,MAX(0,MIN(W399,ROUND($AZ399-SUMPRODUCT($V399:$AE399*($V399:$AE399&gt;0)*(($V$3:$AE$3&gt;W$3)+($V$3:$AE$3=W$3)*($V399:$AE399&lt;W399)+($V$3:$AE$3=W$3)*($V399:$AE399=W399)*($V$2:$AE$2&lt;W$2))),2))))</f>
      </c>
      <c r="AH399" s="33">
        <f>IF(X399&lt;=0,0,MAX(0,MIN(X399,ROUND($AZ399-SUMPRODUCT($V399:$AE399*($V399:$AE399&gt;0)*(($V$3:$AE$3&gt;X$3)+($V$3:$AE$3=X$3)*($V399:$AE399&lt;X399)+($V$3:$AE$3=X$3)*($V399:$AE399=X399)*($V$2:$AE$2&lt;X$2))),2))))</f>
      </c>
      <c r="AI399" s="33">
        <f>IF(Y399&lt;=0,0,MAX(0,MIN(Y399,ROUND($AZ399-SUMPRODUCT($V399:$AE399*($V399:$AE399&gt;0)*(($V$3:$AE$3&gt;Y$3)+($V$3:$AE$3=Y$3)*($V399:$AE399&lt;Y399)+($V$3:$AE$3=Y$3)*($V399:$AE399=Y399)*($V$2:$AE$2&lt;Y$2))),2))))</f>
      </c>
      <c r="AJ399" s="33">
        <f>IF(Z399&lt;=0,0,MAX(0,MIN(Z399,ROUND($AZ399-SUMPRODUCT($V399:$AE399*($V399:$AE399&gt;0)*(($V$3:$AE$3&gt;Z$3)+($V$3:$AE$3=Z$3)*($V399:$AE399&lt;Z399)+($V$3:$AE$3=Z$3)*($V399:$AE399=Z399)*($V$2:$AE$2&lt;Z$2))),2))))</f>
      </c>
      <c r="AK399" s="33">
        <f>IF(AA399&lt;=0,0,MAX(0,MIN(AA399,ROUND($AZ399-SUMPRODUCT($V399:$AE399*($V399:$AE399&gt;0)*(($V$3:$AE$3&gt;AA$3)+($V$3:$AE$3=AA$3)*($V399:$AE399&lt;AA399)+($V$3:$AE$3=AA$3)*($V399:$AE399=AA399)*($V$2:$AE$2&lt;AA$2))),2))))</f>
      </c>
      <c r="AL399" s="33">
        <f>IF(AB399&lt;=0,0,MAX(0,MIN(AB399,ROUND($AZ399-SUMPRODUCT($V399:$AE399*($V399:$AE399&gt;0)*(($V$3:$AE$3&gt;AB$3)+($V$3:$AE$3=AB$3)*($V399:$AE399&lt;AB399)+($V$3:$AE$3=AB$3)*($V399:$AE399=AB399)*($V$2:$AE$2&lt;AB$2))),2))))</f>
      </c>
      <c r="AM399" s="33">
        <f>IF(AC399&lt;=0,0,MAX(0,MIN(AC399,ROUND($AZ399-SUMPRODUCT($V399:$AE399*($V399:$AE399&gt;0)*(($V$3:$AE$3&gt;AC$3)+($V$3:$AE$3=AC$3)*($V399:$AE399&lt;AC399)+($V$3:$AE$3=AC$3)*($V399:$AE399=AC399)*($V$2:$AE$2&lt;AC$2))),2))))</f>
      </c>
      <c r="AN399" s="33">
        <f>IF(AD399&lt;=0,0,MAX(0,MIN(AD399,ROUND($AZ399-SUMPRODUCT($V399:$AE399*($V399:$AE399&gt;0)*(($V$3:$AE$3&gt;AD$3)+($V$3:$AE$3=AD$3)*($V399:$AE399&lt;AD399)+($V$3:$AE$3=AD$3)*($V399:$AE399=AD399)*($V$2:$AE$2&lt;AD$2))),2))))</f>
      </c>
      <c r="AO399" s="33">
        <f>IF(AE399&lt;=0,0,MAX(0,MIN(AE399,ROUND($AZ399-SUMPRODUCT($V399:$AE399*($V399:$AE399&gt;0)*(($V$3:$AE$3&gt;AE$3)+($V$3:$AE$3=AE$3)*($V399:$AE399&lt;AE399)+($V$3:$AE$3=AE$3)*($V399:$AE399=AE399)*($V$2:$AE$2&lt;AE$2))),2))))</f>
      </c>
      <c r="AP399" s="33">
        <f>ROUND(V399-AF399,2)</f>
      </c>
      <c r="AQ399" s="33">
        <f>ROUND(W399-AG399,2)</f>
      </c>
      <c r="AR399" s="33">
        <f>ROUND(X399-AH399,2)</f>
      </c>
      <c r="AS399" s="33">
        <f>ROUND(Y399-AI399,2)</f>
      </c>
      <c r="AT399" s="33">
        <f>ROUND(Z399-AJ399,2)</f>
      </c>
      <c r="AU399" s="33">
        <f>ROUND(AA399-AK399,2)</f>
      </c>
      <c r="AV399" s="33">
        <f>ROUND(AB399-AL399,2)</f>
      </c>
      <c r="AW399" s="33">
        <f>ROUND(AC399-AM399,2)</f>
      </c>
      <c r="AX399" s="33">
        <f>ROUND(AD399-AN399,2)</f>
      </c>
      <c r="AY399" s="33">
        <f>ROUND(AE399-AO399,2)</f>
      </c>
      <c r="AZ399" s="33">
        <f>ROUND(MAX(0,'Your debts'!$D$22-SUM($L399:$U399)),2)</f>
      </c>
      <c r="BA399" s="33">
        <f>ROUND(SUM($B399:$K399)-SUM($AP398:$AY398),2)</f>
      </c>
      <c r="BB399" s="33">
        <f>SUM($AP399:$AY399)</f>
      </c>
      <c r="BC399" s="33">
        <f>ROUND(SUM($L399:$U399)+SUM($AF399:$AO399),2)</f>
      </c>
    </row>
    <row r="400" spans="1:55" x14ac:dyDescent="0.25">
      <c r="A400">
        <v>393</v>
      </c>
      <c r="B400" s="33">
        <f>IF(AP399&lt;=0,0,ROUND(AP399+ROUND(AP399*V$3/12,2),2))</f>
      </c>
      <c r="C400" s="33">
        <f>IF(AQ399&lt;=0,0,ROUND(AQ399+ROUND(AQ399*W$3/12,2),2))</f>
      </c>
      <c r="D400" s="33">
        <f>IF(AR399&lt;=0,0,ROUND(AR399+ROUND(AR399*X$3/12,2),2))</f>
      </c>
      <c r="E400" s="33">
        <f>IF(AS399&lt;=0,0,ROUND(AS399+ROUND(AS399*Y$3/12,2),2))</f>
      </c>
      <c r="F400" s="33">
        <f>IF(AT399&lt;=0,0,ROUND(AT399+ROUND(AT399*Z$3/12,2),2))</f>
      </c>
      <c r="G400" s="33">
        <f>IF(AU399&lt;=0,0,ROUND(AU399+ROUND(AU399*AA$3/12,2),2))</f>
      </c>
      <c r="H400" s="33">
        <f>IF(AV399&lt;=0,0,ROUND(AV399+ROUND(AV399*AB$3/12,2),2))</f>
      </c>
      <c r="I400" s="33">
        <f>IF(AW399&lt;=0,0,ROUND(AW399+ROUND(AW399*AC$3/12,2),2))</f>
      </c>
      <c r="J400" s="33">
        <f>IF(AX399&lt;=0,0,ROUND(AX399+ROUND(AX399*AD$3/12,2),2))</f>
      </c>
      <c r="K400" s="33">
        <f>IF(AY399&lt;=0,0,ROUND(AY399+ROUND(AY399*AE$3/12,2),2))</f>
      </c>
      <c r="L400" s="33">
        <f>ROUND(MIN(MAX(0,N('Your debts'!$E$6)),B400),2)</f>
      </c>
      <c r="M400" s="33">
        <f>ROUND(MIN(MAX(0,N('Your debts'!$E$7)),C400),2)</f>
      </c>
      <c r="N400" s="33">
        <f>ROUND(MIN(MAX(0,N('Your debts'!$E$8)),D400),2)</f>
      </c>
      <c r="O400" s="33">
        <f>ROUND(MIN(MAX(0,N('Your debts'!$E$9)),E400),2)</f>
      </c>
      <c r="P400" s="33">
        <f>ROUND(MIN(MAX(0,N('Your debts'!$E$10)),F400),2)</f>
      </c>
      <c r="Q400" s="33">
        <f>ROUND(MIN(MAX(0,N('Your debts'!$E$11)),G400),2)</f>
      </c>
      <c r="R400" s="33">
        <f>ROUND(MIN(MAX(0,N('Your debts'!$E$12)),H400),2)</f>
      </c>
      <c r="S400" s="33">
        <f>ROUND(MIN(MAX(0,N('Your debts'!$E$13)),I400),2)</f>
      </c>
      <c r="T400" s="33">
        <f>ROUND(MIN(MAX(0,N('Your debts'!$E$14)),J400),2)</f>
      </c>
      <c r="U400" s="33">
        <f>ROUND(MIN(MAX(0,N('Your debts'!$E$15)),K400),2)</f>
      </c>
      <c r="V400" s="33">
        <f>ROUND(B400-L400,2)</f>
      </c>
      <c r="W400" s="33">
        <f>ROUND(C400-M400,2)</f>
      </c>
      <c r="X400" s="33">
        <f>ROUND(D400-N400,2)</f>
      </c>
      <c r="Y400" s="33">
        <f>ROUND(E400-O400,2)</f>
      </c>
      <c r="Z400" s="33">
        <f>ROUND(F400-P400,2)</f>
      </c>
      <c r="AA400" s="33">
        <f>ROUND(G400-Q400,2)</f>
      </c>
      <c r="AB400" s="33">
        <f>ROUND(H400-R400,2)</f>
      </c>
      <c r="AC400" s="33">
        <f>ROUND(I400-S400,2)</f>
      </c>
      <c r="AD400" s="33">
        <f>ROUND(J400-T400,2)</f>
      </c>
      <c r="AE400" s="33">
        <f>ROUND(K400-U400,2)</f>
      </c>
      <c r="AF400" s="33">
        <f>IF(V400&lt;=0,0,MAX(0,MIN(V400,ROUND($AZ400-SUMPRODUCT($V400:$AE400*($V400:$AE400&gt;0)*(($V$3:$AE$3&gt;V$3)+($V$3:$AE$3=V$3)*($V400:$AE400&lt;V400)+($V$3:$AE$3=V$3)*($V400:$AE400=V400)*($V$2:$AE$2&lt;V$2))),2))))</f>
      </c>
      <c r="AG400" s="33">
        <f>IF(W400&lt;=0,0,MAX(0,MIN(W400,ROUND($AZ400-SUMPRODUCT($V400:$AE400*($V400:$AE400&gt;0)*(($V$3:$AE$3&gt;W$3)+($V$3:$AE$3=W$3)*($V400:$AE400&lt;W400)+($V$3:$AE$3=W$3)*($V400:$AE400=W400)*($V$2:$AE$2&lt;W$2))),2))))</f>
      </c>
      <c r="AH400" s="33">
        <f>IF(X400&lt;=0,0,MAX(0,MIN(X400,ROUND($AZ400-SUMPRODUCT($V400:$AE400*($V400:$AE400&gt;0)*(($V$3:$AE$3&gt;X$3)+($V$3:$AE$3=X$3)*($V400:$AE400&lt;X400)+($V$3:$AE$3=X$3)*($V400:$AE400=X400)*($V$2:$AE$2&lt;X$2))),2))))</f>
      </c>
      <c r="AI400" s="33">
        <f>IF(Y400&lt;=0,0,MAX(0,MIN(Y400,ROUND($AZ400-SUMPRODUCT($V400:$AE400*($V400:$AE400&gt;0)*(($V$3:$AE$3&gt;Y$3)+($V$3:$AE$3=Y$3)*($V400:$AE400&lt;Y400)+($V$3:$AE$3=Y$3)*($V400:$AE400=Y400)*($V$2:$AE$2&lt;Y$2))),2))))</f>
      </c>
      <c r="AJ400" s="33">
        <f>IF(Z400&lt;=0,0,MAX(0,MIN(Z400,ROUND($AZ400-SUMPRODUCT($V400:$AE400*($V400:$AE400&gt;0)*(($V$3:$AE$3&gt;Z$3)+($V$3:$AE$3=Z$3)*($V400:$AE400&lt;Z400)+($V$3:$AE$3=Z$3)*($V400:$AE400=Z400)*($V$2:$AE$2&lt;Z$2))),2))))</f>
      </c>
      <c r="AK400" s="33">
        <f>IF(AA400&lt;=0,0,MAX(0,MIN(AA400,ROUND($AZ400-SUMPRODUCT($V400:$AE400*($V400:$AE400&gt;0)*(($V$3:$AE$3&gt;AA$3)+($V$3:$AE$3=AA$3)*($V400:$AE400&lt;AA400)+($V$3:$AE$3=AA$3)*($V400:$AE400=AA400)*($V$2:$AE$2&lt;AA$2))),2))))</f>
      </c>
      <c r="AL400" s="33">
        <f>IF(AB400&lt;=0,0,MAX(0,MIN(AB400,ROUND($AZ400-SUMPRODUCT($V400:$AE400*($V400:$AE400&gt;0)*(($V$3:$AE$3&gt;AB$3)+($V$3:$AE$3=AB$3)*($V400:$AE400&lt;AB400)+($V$3:$AE$3=AB$3)*($V400:$AE400=AB400)*($V$2:$AE$2&lt;AB$2))),2))))</f>
      </c>
      <c r="AM400" s="33">
        <f>IF(AC400&lt;=0,0,MAX(0,MIN(AC400,ROUND($AZ400-SUMPRODUCT($V400:$AE400*($V400:$AE400&gt;0)*(($V$3:$AE$3&gt;AC$3)+($V$3:$AE$3=AC$3)*($V400:$AE400&lt;AC400)+($V$3:$AE$3=AC$3)*($V400:$AE400=AC400)*($V$2:$AE$2&lt;AC$2))),2))))</f>
      </c>
      <c r="AN400" s="33">
        <f>IF(AD400&lt;=0,0,MAX(0,MIN(AD400,ROUND($AZ400-SUMPRODUCT($V400:$AE400*($V400:$AE400&gt;0)*(($V$3:$AE$3&gt;AD$3)+($V$3:$AE$3=AD$3)*($V400:$AE400&lt;AD400)+($V$3:$AE$3=AD$3)*($V400:$AE400=AD400)*($V$2:$AE$2&lt;AD$2))),2))))</f>
      </c>
      <c r="AO400" s="33">
        <f>IF(AE400&lt;=0,0,MAX(0,MIN(AE400,ROUND($AZ400-SUMPRODUCT($V400:$AE400*($V400:$AE400&gt;0)*(($V$3:$AE$3&gt;AE$3)+($V$3:$AE$3=AE$3)*($V400:$AE400&lt;AE400)+($V$3:$AE$3=AE$3)*($V400:$AE400=AE400)*($V$2:$AE$2&lt;AE$2))),2))))</f>
      </c>
      <c r="AP400" s="33">
        <f>ROUND(V400-AF400,2)</f>
      </c>
      <c r="AQ400" s="33">
        <f>ROUND(W400-AG400,2)</f>
      </c>
      <c r="AR400" s="33">
        <f>ROUND(X400-AH400,2)</f>
      </c>
      <c r="AS400" s="33">
        <f>ROUND(Y400-AI400,2)</f>
      </c>
      <c r="AT400" s="33">
        <f>ROUND(Z400-AJ400,2)</f>
      </c>
      <c r="AU400" s="33">
        <f>ROUND(AA400-AK400,2)</f>
      </c>
      <c r="AV400" s="33">
        <f>ROUND(AB400-AL400,2)</f>
      </c>
      <c r="AW400" s="33">
        <f>ROUND(AC400-AM400,2)</f>
      </c>
      <c r="AX400" s="33">
        <f>ROUND(AD400-AN400,2)</f>
      </c>
      <c r="AY400" s="33">
        <f>ROUND(AE400-AO400,2)</f>
      </c>
      <c r="AZ400" s="33">
        <f>ROUND(MAX(0,'Your debts'!$D$22-SUM($L400:$U400)),2)</f>
      </c>
      <c r="BA400" s="33">
        <f>ROUND(SUM($B400:$K400)-SUM($AP399:$AY399),2)</f>
      </c>
      <c r="BB400" s="33">
        <f>SUM($AP400:$AY400)</f>
      </c>
      <c r="BC400" s="33">
        <f>ROUND(SUM($L400:$U400)+SUM($AF400:$AO400),2)</f>
      </c>
    </row>
    <row r="401" spans="1:55" x14ac:dyDescent="0.25">
      <c r="A401">
        <v>394</v>
      </c>
      <c r="B401" s="33">
        <f>IF(AP400&lt;=0,0,ROUND(AP400+ROUND(AP400*V$3/12,2),2))</f>
      </c>
      <c r="C401" s="33">
        <f>IF(AQ400&lt;=0,0,ROUND(AQ400+ROUND(AQ400*W$3/12,2),2))</f>
      </c>
      <c r="D401" s="33">
        <f>IF(AR400&lt;=0,0,ROUND(AR400+ROUND(AR400*X$3/12,2),2))</f>
      </c>
      <c r="E401" s="33">
        <f>IF(AS400&lt;=0,0,ROUND(AS400+ROUND(AS400*Y$3/12,2),2))</f>
      </c>
      <c r="F401" s="33">
        <f>IF(AT400&lt;=0,0,ROUND(AT400+ROUND(AT400*Z$3/12,2),2))</f>
      </c>
      <c r="G401" s="33">
        <f>IF(AU400&lt;=0,0,ROUND(AU400+ROUND(AU400*AA$3/12,2),2))</f>
      </c>
      <c r="H401" s="33">
        <f>IF(AV400&lt;=0,0,ROUND(AV400+ROUND(AV400*AB$3/12,2),2))</f>
      </c>
      <c r="I401" s="33">
        <f>IF(AW400&lt;=0,0,ROUND(AW400+ROUND(AW400*AC$3/12,2),2))</f>
      </c>
      <c r="J401" s="33">
        <f>IF(AX400&lt;=0,0,ROUND(AX400+ROUND(AX400*AD$3/12,2),2))</f>
      </c>
      <c r="K401" s="33">
        <f>IF(AY400&lt;=0,0,ROUND(AY400+ROUND(AY400*AE$3/12,2),2))</f>
      </c>
      <c r="L401" s="33">
        <f>ROUND(MIN(MAX(0,N('Your debts'!$E$6)),B401),2)</f>
      </c>
      <c r="M401" s="33">
        <f>ROUND(MIN(MAX(0,N('Your debts'!$E$7)),C401),2)</f>
      </c>
      <c r="N401" s="33">
        <f>ROUND(MIN(MAX(0,N('Your debts'!$E$8)),D401),2)</f>
      </c>
      <c r="O401" s="33">
        <f>ROUND(MIN(MAX(0,N('Your debts'!$E$9)),E401),2)</f>
      </c>
      <c r="P401" s="33">
        <f>ROUND(MIN(MAX(0,N('Your debts'!$E$10)),F401),2)</f>
      </c>
      <c r="Q401" s="33">
        <f>ROUND(MIN(MAX(0,N('Your debts'!$E$11)),G401),2)</f>
      </c>
      <c r="R401" s="33">
        <f>ROUND(MIN(MAX(0,N('Your debts'!$E$12)),H401),2)</f>
      </c>
      <c r="S401" s="33">
        <f>ROUND(MIN(MAX(0,N('Your debts'!$E$13)),I401),2)</f>
      </c>
      <c r="T401" s="33">
        <f>ROUND(MIN(MAX(0,N('Your debts'!$E$14)),J401),2)</f>
      </c>
      <c r="U401" s="33">
        <f>ROUND(MIN(MAX(0,N('Your debts'!$E$15)),K401),2)</f>
      </c>
      <c r="V401" s="33">
        <f>ROUND(B401-L401,2)</f>
      </c>
      <c r="W401" s="33">
        <f>ROUND(C401-M401,2)</f>
      </c>
      <c r="X401" s="33">
        <f>ROUND(D401-N401,2)</f>
      </c>
      <c r="Y401" s="33">
        <f>ROUND(E401-O401,2)</f>
      </c>
      <c r="Z401" s="33">
        <f>ROUND(F401-P401,2)</f>
      </c>
      <c r="AA401" s="33">
        <f>ROUND(G401-Q401,2)</f>
      </c>
      <c r="AB401" s="33">
        <f>ROUND(H401-R401,2)</f>
      </c>
      <c r="AC401" s="33">
        <f>ROUND(I401-S401,2)</f>
      </c>
      <c r="AD401" s="33">
        <f>ROUND(J401-T401,2)</f>
      </c>
      <c r="AE401" s="33">
        <f>ROUND(K401-U401,2)</f>
      </c>
      <c r="AF401" s="33">
        <f>IF(V401&lt;=0,0,MAX(0,MIN(V401,ROUND($AZ401-SUMPRODUCT($V401:$AE401*($V401:$AE401&gt;0)*(($V$3:$AE$3&gt;V$3)+($V$3:$AE$3=V$3)*($V401:$AE401&lt;V401)+($V$3:$AE$3=V$3)*($V401:$AE401=V401)*($V$2:$AE$2&lt;V$2))),2))))</f>
      </c>
      <c r="AG401" s="33">
        <f>IF(W401&lt;=0,0,MAX(0,MIN(W401,ROUND($AZ401-SUMPRODUCT($V401:$AE401*($V401:$AE401&gt;0)*(($V$3:$AE$3&gt;W$3)+($V$3:$AE$3=W$3)*($V401:$AE401&lt;W401)+($V$3:$AE$3=W$3)*($V401:$AE401=W401)*($V$2:$AE$2&lt;W$2))),2))))</f>
      </c>
      <c r="AH401" s="33">
        <f>IF(X401&lt;=0,0,MAX(0,MIN(X401,ROUND($AZ401-SUMPRODUCT($V401:$AE401*($V401:$AE401&gt;0)*(($V$3:$AE$3&gt;X$3)+($V$3:$AE$3=X$3)*($V401:$AE401&lt;X401)+($V$3:$AE$3=X$3)*($V401:$AE401=X401)*($V$2:$AE$2&lt;X$2))),2))))</f>
      </c>
      <c r="AI401" s="33">
        <f>IF(Y401&lt;=0,0,MAX(0,MIN(Y401,ROUND($AZ401-SUMPRODUCT($V401:$AE401*($V401:$AE401&gt;0)*(($V$3:$AE$3&gt;Y$3)+($V$3:$AE$3=Y$3)*($V401:$AE401&lt;Y401)+($V$3:$AE$3=Y$3)*($V401:$AE401=Y401)*($V$2:$AE$2&lt;Y$2))),2))))</f>
      </c>
      <c r="AJ401" s="33">
        <f>IF(Z401&lt;=0,0,MAX(0,MIN(Z401,ROUND($AZ401-SUMPRODUCT($V401:$AE401*($V401:$AE401&gt;0)*(($V$3:$AE$3&gt;Z$3)+($V$3:$AE$3=Z$3)*($V401:$AE401&lt;Z401)+($V$3:$AE$3=Z$3)*($V401:$AE401=Z401)*($V$2:$AE$2&lt;Z$2))),2))))</f>
      </c>
      <c r="AK401" s="33">
        <f>IF(AA401&lt;=0,0,MAX(0,MIN(AA401,ROUND($AZ401-SUMPRODUCT($V401:$AE401*($V401:$AE401&gt;0)*(($V$3:$AE$3&gt;AA$3)+($V$3:$AE$3=AA$3)*($V401:$AE401&lt;AA401)+($V$3:$AE$3=AA$3)*($V401:$AE401=AA401)*($V$2:$AE$2&lt;AA$2))),2))))</f>
      </c>
      <c r="AL401" s="33">
        <f>IF(AB401&lt;=0,0,MAX(0,MIN(AB401,ROUND($AZ401-SUMPRODUCT($V401:$AE401*($V401:$AE401&gt;0)*(($V$3:$AE$3&gt;AB$3)+($V$3:$AE$3=AB$3)*($V401:$AE401&lt;AB401)+($V$3:$AE$3=AB$3)*($V401:$AE401=AB401)*($V$2:$AE$2&lt;AB$2))),2))))</f>
      </c>
      <c r="AM401" s="33">
        <f>IF(AC401&lt;=0,0,MAX(0,MIN(AC401,ROUND($AZ401-SUMPRODUCT($V401:$AE401*($V401:$AE401&gt;0)*(($V$3:$AE$3&gt;AC$3)+($V$3:$AE$3=AC$3)*($V401:$AE401&lt;AC401)+($V$3:$AE$3=AC$3)*($V401:$AE401=AC401)*($V$2:$AE$2&lt;AC$2))),2))))</f>
      </c>
      <c r="AN401" s="33">
        <f>IF(AD401&lt;=0,0,MAX(0,MIN(AD401,ROUND($AZ401-SUMPRODUCT($V401:$AE401*($V401:$AE401&gt;0)*(($V$3:$AE$3&gt;AD$3)+($V$3:$AE$3=AD$3)*($V401:$AE401&lt;AD401)+($V$3:$AE$3=AD$3)*($V401:$AE401=AD401)*($V$2:$AE$2&lt;AD$2))),2))))</f>
      </c>
      <c r="AO401" s="33">
        <f>IF(AE401&lt;=0,0,MAX(0,MIN(AE401,ROUND($AZ401-SUMPRODUCT($V401:$AE401*($V401:$AE401&gt;0)*(($V$3:$AE$3&gt;AE$3)+($V$3:$AE$3=AE$3)*($V401:$AE401&lt;AE401)+($V$3:$AE$3=AE$3)*($V401:$AE401=AE401)*($V$2:$AE$2&lt;AE$2))),2))))</f>
      </c>
      <c r="AP401" s="33">
        <f>ROUND(V401-AF401,2)</f>
      </c>
      <c r="AQ401" s="33">
        <f>ROUND(W401-AG401,2)</f>
      </c>
      <c r="AR401" s="33">
        <f>ROUND(X401-AH401,2)</f>
      </c>
      <c r="AS401" s="33">
        <f>ROUND(Y401-AI401,2)</f>
      </c>
      <c r="AT401" s="33">
        <f>ROUND(Z401-AJ401,2)</f>
      </c>
      <c r="AU401" s="33">
        <f>ROUND(AA401-AK401,2)</f>
      </c>
      <c r="AV401" s="33">
        <f>ROUND(AB401-AL401,2)</f>
      </c>
      <c r="AW401" s="33">
        <f>ROUND(AC401-AM401,2)</f>
      </c>
      <c r="AX401" s="33">
        <f>ROUND(AD401-AN401,2)</f>
      </c>
      <c r="AY401" s="33">
        <f>ROUND(AE401-AO401,2)</f>
      </c>
      <c r="AZ401" s="33">
        <f>ROUND(MAX(0,'Your debts'!$D$22-SUM($L401:$U401)),2)</f>
      </c>
      <c r="BA401" s="33">
        <f>ROUND(SUM($B401:$K401)-SUM($AP400:$AY400),2)</f>
      </c>
      <c r="BB401" s="33">
        <f>SUM($AP401:$AY401)</f>
      </c>
      <c r="BC401" s="33">
        <f>ROUND(SUM($L401:$U401)+SUM($AF401:$AO401),2)</f>
      </c>
    </row>
    <row r="402" spans="1:55" x14ac:dyDescent="0.25">
      <c r="A402">
        <v>395</v>
      </c>
      <c r="B402" s="33">
        <f>IF(AP401&lt;=0,0,ROUND(AP401+ROUND(AP401*V$3/12,2),2))</f>
      </c>
      <c r="C402" s="33">
        <f>IF(AQ401&lt;=0,0,ROUND(AQ401+ROUND(AQ401*W$3/12,2),2))</f>
      </c>
      <c r="D402" s="33">
        <f>IF(AR401&lt;=0,0,ROUND(AR401+ROUND(AR401*X$3/12,2),2))</f>
      </c>
      <c r="E402" s="33">
        <f>IF(AS401&lt;=0,0,ROUND(AS401+ROUND(AS401*Y$3/12,2),2))</f>
      </c>
      <c r="F402" s="33">
        <f>IF(AT401&lt;=0,0,ROUND(AT401+ROUND(AT401*Z$3/12,2),2))</f>
      </c>
      <c r="G402" s="33">
        <f>IF(AU401&lt;=0,0,ROUND(AU401+ROUND(AU401*AA$3/12,2),2))</f>
      </c>
      <c r="H402" s="33">
        <f>IF(AV401&lt;=0,0,ROUND(AV401+ROUND(AV401*AB$3/12,2),2))</f>
      </c>
      <c r="I402" s="33">
        <f>IF(AW401&lt;=0,0,ROUND(AW401+ROUND(AW401*AC$3/12,2),2))</f>
      </c>
      <c r="J402" s="33">
        <f>IF(AX401&lt;=0,0,ROUND(AX401+ROUND(AX401*AD$3/12,2),2))</f>
      </c>
      <c r="K402" s="33">
        <f>IF(AY401&lt;=0,0,ROUND(AY401+ROUND(AY401*AE$3/12,2),2))</f>
      </c>
      <c r="L402" s="33">
        <f>ROUND(MIN(MAX(0,N('Your debts'!$E$6)),B402),2)</f>
      </c>
      <c r="M402" s="33">
        <f>ROUND(MIN(MAX(0,N('Your debts'!$E$7)),C402),2)</f>
      </c>
      <c r="N402" s="33">
        <f>ROUND(MIN(MAX(0,N('Your debts'!$E$8)),D402),2)</f>
      </c>
      <c r="O402" s="33">
        <f>ROUND(MIN(MAX(0,N('Your debts'!$E$9)),E402),2)</f>
      </c>
      <c r="P402" s="33">
        <f>ROUND(MIN(MAX(0,N('Your debts'!$E$10)),F402),2)</f>
      </c>
      <c r="Q402" s="33">
        <f>ROUND(MIN(MAX(0,N('Your debts'!$E$11)),G402),2)</f>
      </c>
      <c r="R402" s="33">
        <f>ROUND(MIN(MAX(0,N('Your debts'!$E$12)),H402),2)</f>
      </c>
      <c r="S402" s="33">
        <f>ROUND(MIN(MAX(0,N('Your debts'!$E$13)),I402),2)</f>
      </c>
      <c r="T402" s="33">
        <f>ROUND(MIN(MAX(0,N('Your debts'!$E$14)),J402),2)</f>
      </c>
      <c r="U402" s="33">
        <f>ROUND(MIN(MAX(0,N('Your debts'!$E$15)),K402),2)</f>
      </c>
      <c r="V402" s="33">
        <f>ROUND(B402-L402,2)</f>
      </c>
      <c r="W402" s="33">
        <f>ROUND(C402-M402,2)</f>
      </c>
      <c r="X402" s="33">
        <f>ROUND(D402-N402,2)</f>
      </c>
      <c r="Y402" s="33">
        <f>ROUND(E402-O402,2)</f>
      </c>
      <c r="Z402" s="33">
        <f>ROUND(F402-P402,2)</f>
      </c>
      <c r="AA402" s="33">
        <f>ROUND(G402-Q402,2)</f>
      </c>
      <c r="AB402" s="33">
        <f>ROUND(H402-R402,2)</f>
      </c>
      <c r="AC402" s="33">
        <f>ROUND(I402-S402,2)</f>
      </c>
      <c r="AD402" s="33">
        <f>ROUND(J402-T402,2)</f>
      </c>
      <c r="AE402" s="33">
        <f>ROUND(K402-U402,2)</f>
      </c>
      <c r="AF402" s="33">
        <f>IF(V402&lt;=0,0,MAX(0,MIN(V402,ROUND($AZ402-SUMPRODUCT($V402:$AE402*($V402:$AE402&gt;0)*(($V$3:$AE$3&gt;V$3)+($V$3:$AE$3=V$3)*($V402:$AE402&lt;V402)+($V$3:$AE$3=V$3)*($V402:$AE402=V402)*($V$2:$AE$2&lt;V$2))),2))))</f>
      </c>
      <c r="AG402" s="33">
        <f>IF(W402&lt;=0,0,MAX(0,MIN(W402,ROUND($AZ402-SUMPRODUCT($V402:$AE402*($V402:$AE402&gt;0)*(($V$3:$AE$3&gt;W$3)+($V$3:$AE$3=W$3)*($V402:$AE402&lt;W402)+($V$3:$AE$3=W$3)*($V402:$AE402=W402)*($V$2:$AE$2&lt;W$2))),2))))</f>
      </c>
      <c r="AH402" s="33">
        <f>IF(X402&lt;=0,0,MAX(0,MIN(X402,ROUND($AZ402-SUMPRODUCT($V402:$AE402*($V402:$AE402&gt;0)*(($V$3:$AE$3&gt;X$3)+($V$3:$AE$3=X$3)*($V402:$AE402&lt;X402)+($V$3:$AE$3=X$3)*($V402:$AE402=X402)*($V$2:$AE$2&lt;X$2))),2))))</f>
      </c>
      <c r="AI402" s="33">
        <f>IF(Y402&lt;=0,0,MAX(0,MIN(Y402,ROUND($AZ402-SUMPRODUCT($V402:$AE402*($V402:$AE402&gt;0)*(($V$3:$AE$3&gt;Y$3)+($V$3:$AE$3=Y$3)*($V402:$AE402&lt;Y402)+($V$3:$AE$3=Y$3)*($V402:$AE402=Y402)*($V$2:$AE$2&lt;Y$2))),2))))</f>
      </c>
      <c r="AJ402" s="33">
        <f>IF(Z402&lt;=0,0,MAX(0,MIN(Z402,ROUND($AZ402-SUMPRODUCT($V402:$AE402*($V402:$AE402&gt;0)*(($V$3:$AE$3&gt;Z$3)+($V$3:$AE$3=Z$3)*($V402:$AE402&lt;Z402)+($V$3:$AE$3=Z$3)*($V402:$AE402=Z402)*($V$2:$AE$2&lt;Z$2))),2))))</f>
      </c>
      <c r="AK402" s="33">
        <f>IF(AA402&lt;=0,0,MAX(0,MIN(AA402,ROUND($AZ402-SUMPRODUCT($V402:$AE402*($V402:$AE402&gt;0)*(($V$3:$AE$3&gt;AA$3)+($V$3:$AE$3=AA$3)*($V402:$AE402&lt;AA402)+($V$3:$AE$3=AA$3)*($V402:$AE402=AA402)*($V$2:$AE$2&lt;AA$2))),2))))</f>
      </c>
      <c r="AL402" s="33">
        <f>IF(AB402&lt;=0,0,MAX(0,MIN(AB402,ROUND($AZ402-SUMPRODUCT($V402:$AE402*($V402:$AE402&gt;0)*(($V$3:$AE$3&gt;AB$3)+($V$3:$AE$3=AB$3)*($V402:$AE402&lt;AB402)+($V$3:$AE$3=AB$3)*($V402:$AE402=AB402)*($V$2:$AE$2&lt;AB$2))),2))))</f>
      </c>
      <c r="AM402" s="33">
        <f>IF(AC402&lt;=0,0,MAX(0,MIN(AC402,ROUND($AZ402-SUMPRODUCT($V402:$AE402*($V402:$AE402&gt;0)*(($V$3:$AE$3&gt;AC$3)+($V$3:$AE$3=AC$3)*($V402:$AE402&lt;AC402)+($V$3:$AE$3=AC$3)*($V402:$AE402=AC402)*($V$2:$AE$2&lt;AC$2))),2))))</f>
      </c>
      <c r="AN402" s="33">
        <f>IF(AD402&lt;=0,0,MAX(0,MIN(AD402,ROUND($AZ402-SUMPRODUCT($V402:$AE402*($V402:$AE402&gt;0)*(($V$3:$AE$3&gt;AD$3)+($V$3:$AE$3=AD$3)*($V402:$AE402&lt;AD402)+($V$3:$AE$3=AD$3)*($V402:$AE402=AD402)*($V$2:$AE$2&lt;AD$2))),2))))</f>
      </c>
      <c r="AO402" s="33">
        <f>IF(AE402&lt;=0,0,MAX(0,MIN(AE402,ROUND($AZ402-SUMPRODUCT($V402:$AE402*($V402:$AE402&gt;0)*(($V$3:$AE$3&gt;AE$3)+($V$3:$AE$3=AE$3)*($V402:$AE402&lt;AE402)+($V$3:$AE$3=AE$3)*($V402:$AE402=AE402)*($V$2:$AE$2&lt;AE$2))),2))))</f>
      </c>
      <c r="AP402" s="33">
        <f>ROUND(V402-AF402,2)</f>
      </c>
      <c r="AQ402" s="33">
        <f>ROUND(W402-AG402,2)</f>
      </c>
      <c r="AR402" s="33">
        <f>ROUND(X402-AH402,2)</f>
      </c>
      <c r="AS402" s="33">
        <f>ROUND(Y402-AI402,2)</f>
      </c>
      <c r="AT402" s="33">
        <f>ROUND(Z402-AJ402,2)</f>
      </c>
      <c r="AU402" s="33">
        <f>ROUND(AA402-AK402,2)</f>
      </c>
      <c r="AV402" s="33">
        <f>ROUND(AB402-AL402,2)</f>
      </c>
      <c r="AW402" s="33">
        <f>ROUND(AC402-AM402,2)</f>
      </c>
      <c r="AX402" s="33">
        <f>ROUND(AD402-AN402,2)</f>
      </c>
      <c r="AY402" s="33">
        <f>ROUND(AE402-AO402,2)</f>
      </c>
      <c r="AZ402" s="33">
        <f>ROUND(MAX(0,'Your debts'!$D$22-SUM($L402:$U402)),2)</f>
      </c>
      <c r="BA402" s="33">
        <f>ROUND(SUM($B402:$K402)-SUM($AP401:$AY401),2)</f>
      </c>
      <c r="BB402" s="33">
        <f>SUM($AP402:$AY402)</f>
      </c>
      <c r="BC402" s="33">
        <f>ROUND(SUM($L402:$U402)+SUM($AF402:$AO402),2)</f>
      </c>
    </row>
    <row r="403" spans="1:55" x14ac:dyDescent="0.25">
      <c r="A403">
        <v>396</v>
      </c>
      <c r="B403" s="33">
        <f>IF(AP402&lt;=0,0,ROUND(AP402+ROUND(AP402*V$3/12,2),2))</f>
      </c>
      <c r="C403" s="33">
        <f>IF(AQ402&lt;=0,0,ROUND(AQ402+ROUND(AQ402*W$3/12,2),2))</f>
      </c>
      <c r="D403" s="33">
        <f>IF(AR402&lt;=0,0,ROUND(AR402+ROUND(AR402*X$3/12,2),2))</f>
      </c>
      <c r="E403" s="33">
        <f>IF(AS402&lt;=0,0,ROUND(AS402+ROUND(AS402*Y$3/12,2),2))</f>
      </c>
      <c r="F403" s="33">
        <f>IF(AT402&lt;=0,0,ROUND(AT402+ROUND(AT402*Z$3/12,2),2))</f>
      </c>
      <c r="G403" s="33">
        <f>IF(AU402&lt;=0,0,ROUND(AU402+ROUND(AU402*AA$3/12,2),2))</f>
      </c>
      <c r="H403" s="33">
        <f>IF(AV402&lt;=0,0,ROUND(AV402+ROUND(AV402*AB$3/12,2),2))</f>
      </c>
      <c r="I403" s="33">
        <f>IF(AW402&lt;=0,0,ROUND(AW402+ROUND(AW402*AC$3/12,2),2))</f>
      </c>
      <c r="J403" s="33">
        <f>IF(AX402&lt;=0,0,ROUND(AX402+ROUND(AX402*AD$3/12,2),2))</f>
      </c>
      <c r="K403" s="33">
        <f>IF(AY402&lt;=0,0,ROUND(AY402+ROUND(AY402*AE$3/12,2),2))</f>
      </c>
      <c r="L403" s="33">
        <f>ROUND(MIN(MAX(0,N('Your debts'!$E$6)),B403),2)</f>
      </c>
      <c r="M403" s="33">
        <f>ROUND(MIN(MAX(0,N('Your debts'!$E$7)),C403),2)</f>
      </c>
      <c r="N403" s="33">
        <f>ROUND(MIN(MAX(0,N('Your debts'!$E$8)),D403),2)</f>
      </c>
      <c r="O403" s="33">
        <f>ROUND(MIN(MAX(0,N('Your debts'!$E$9)),E403),2)</f>
      </c>
      <c r="P403" s="33">
        <f>ROUND(MIN(MAX(0,N('Your debts'!$E$10)),F403),2)</f>
      </c>
      <c r="Q403" s="33">
        <f>ROUND(MIN(MAX(0,N('Your debts'!$E$11)),G403),2)</f>
      </c>
      <c r="R403" s="33">
        <f>ROUND(MIN(MAX(0,N('Your debts'!$E$12)),H403),2)</f>
      </c>
      <c r="S403" s="33">
        <f>ROUND(MIN(MAX(0,N('Your debts'!$E$13)),I403),2)</f>
      </c>
      <c r="T403" s="33">
        <f>ROUND(MIN(MAX(0,N('Your debts'!$E$14)),J403),2)</f>
      </c>
      <c r="U403" s="33">
        <f>ROUND(MIN(MAX(0,N('Your debts'!$E$15)),K403),2)</f>
      </c>
      <c r="V403" s="33">
        <f>ROUND(B403-L403,2)</f>
      </c>
      <c r="W403" s="33">
        <f>ROUND(C403-M403,2)</f>
      </c>
      <c r="X403" s="33">
        <f>ROUND(D403-N403,2)</f>
      </c>
      <c r="Y403" s="33">
        <f>ROUND(E403-O403,2)</f>
      </c>
      <c r="Z403" s="33">
        <f>ROUND(F403-P403,2)</f>
      </c>
      <c r="AA403" s="33">
        <f>ROUND(G403-Q403,2)</f>
      </c>
      <c r="AB403" s="33">
        <f>ROUND(H403-R403,2)</f>
      </c>
      <c r="AC403" s="33">
        <f>ROUND(I403-S403,2)</f>
      </c>
      <c r="AD403" s="33">
        <f>ROUND(J403-T403,2)</f>
      </c>
      <c r="AE403" s="33">
        <f>ROUND(K403-U403,2)</f>
      </c>
      <c r="AF403" s="33">
        <f>IF(V403&lt;=0,0,MAX(0,MIN(V403,ROUND($AZ403-SUMPRODUCT($V403:$AE403*($V403:$AE403&gt;0)*(($V$3:$AE$3&gt;V$3)+($V$3:$AE$3=V$3)*($V403:$AE403&lt;V403)+($V$3:$AE$3=V$3)*($V403:$AE403=V403)*($V$2:$AE$2&lt;V$2))),2))))</f>
      </c>
      <c r="AG403" s="33">
        <f>IF(W403&lt;=0,0,MAX(0,MIN(W403,ROUND($AZ403-SUMPRODUCT($V403:$AE403*($V403:$AE403&gt;0)*(($V$3:$AE$3&gt;W$3)+($V$3:$AE$3=W$3)*($V403:$AE403&lt;W403)+($V$3:$AE$3=W$3)*($V403:$AE403=W403)*($V$2:$AE$2&lt;W$2))),2))))</f>
      </c>
      <c r="AH403" s="33">
        <f>IF(X403&lt;=0,0,MAX(0,MIN(X403,ROUND($AZ403-SUMPRODUCT($V403:$AE403*($V403:$AE403&gt;0)*(($V$3:$AE$3&gt;X$3)+($V$3:$AE$3=X$3)*($V403:$AE403&lt;X403)+($V$3:$AE$3=X$3)*($V403:$AE403=X403)*($V$2:$AE$2&lt;X$2))),2))))</f>
      </c>
      <c r="AI403" s="33">
        <f>IF(Y403&lt;=0,0,MAX(0,MIN(Y403,ROUND($AZ403-SUMPRODUCT($V403:$AE403*($V403:$AE403&gt;0)*(($V$3:$AE$3&gt;Y$3)+($V$3:$AE$3=Y$3)*($V403:$AE403&lt;Y403)+($V$3:$AE$3=Y$3)*($V403:$AE403=Y403)*($V$2:$AE$2&lt;Y$2))),2))))</f>
      </c>
      <c r="AJ403" s="33">
        <f>IF(Z403&lt;=0,0,MAX(0,MIN(Z403,ROUND($AZ403-SUMPRODUCT($V403:$AE403*($V403:$AE403&gt;0)*(($V$3:$AE$3&gt;Z$3)+($V$3:$AE$3=Z$3)*($V403:$AE403&lt;Z403)+($V$3:$AE$3=Z$3)*($V403:$AE403=Z403)*($V$2:$AE$2&lt;Z$2))),2))))</f>
      </c>
      <c r="AK403" s="33">
        <f>IF(AA403&lt;=0,0,MAX(0,MIN(AA403,ROUND($AZ403-SUMPRODUCT($V403:$AE403*($V403:$AE403&gt;0)*(($V$3:$AE$3&gt;AA$3)+($V$3:$AE$3=AA$3)*($V403:$AE403&lt;AA403)+($V$3:$AE$3=AA$3)*($V403:$AE403=AA403)*($V$2:$AE$2&lt;AA$2))),2))))</f>
      </c>
      <c r="AL403" s="33">
        <f>IF(AB403&lt;=0,0,MAX(0,MIN(AB403,ROUND($AZ403-SUMPRODUCT($V403:$AE403*($V403:$AE403&gt;0)*(($V$3:$AE$3&gt;AB$3)+($V$3:$AE$3=AB$3)*($V403:$AE403&lt;AB403)+($V$3:$AE$3=AB$3)*($V403:$AE403=AB403)*($V$2:$AE$2&lt;AB$2))),2))))</f>
      </c>
      <c r="AM403" s="33">
        <f>IF(AC403&lt;=0,0,MAX(0,MIN(AC403,ROUND($AZ403-SUMPRODUCT($V403:$AE403*($V403:$AE403&gt;0)*(($V$3:$AE$3&gt;AC$3)+($V$3:$AE$3=AC$3)*($V403:$AE403&lt;AC403)+($V$3:$AE$3=AC$3)*($V403:$AE403=AC403)*($V$2:$AE$2&lt;AC$2))),2))))</f>
      </c>
      <c r="AN403" s="33">
        <f>IF(AD403&lt;=0,0,MAX(0,MIN(AD403,ROUND($AZ403-SUMPRODUCT($V403:$AE403*($V403:$AE403&gt;0)*(($V$3:$AE$3&gt;AD$3)+($V$3:$AE$3=AD$3)*($V403:$AE403&lt;AD403)+($V$3:$AE$3=AD$3)*($V403:$AE403=AD403)*($V$2:$AE$2&lt;AD$2))),2))))</f>
      </c>
      <c r="AO403" s="33">
        <f>IF(AE403&lt;=0,0,MAX(0,MIN(AE403,ROUND($AZ403-SUMPRODUCT($V403:$AE403*($V403:$AE403&gt;0)*(($V$3:$AE$3&gt;AE$3)+($V$3:$AE$3=AE$3)*($V403:$AE403&lt;AE403)+($V$3:$AE$3=AE$3)*($V403:$AE403=AE403)*($V$2:$AE$2&lt;AE$2))),2))))</f>
      </c>
      <c r="AP403" s="33">
        <f>ROUND(V403-AF403,2)</f>
      </c>
      <c r="AQ403" s="33">
        <f>ROUND(W403-AG403,2)</f>
      </c>
      <c r="AR403" s="33">
        <f>ROUND(X403-AH403,2)</f>
      </c>
      <c r="AS403" s="33">
        <f>ROUND(Y403-AI403,2)</f>
      </c>
      <c r="AT403" s="33">
        <f>ROUND(Z403-AJ403,2)</f>
      </c>
      <c r="AU403" s="33">
        <f>ROUND(AA403-AK403,2)</f>
      </c>
      <c r="AV403" s="33">
        <f>ROUND(AB403-AL403,2)</f>
      </c>
      <c r="AW403" s="33">
        <f>ROUND(AC403-AM403,2)</f>
      </c>
      <c r="AX403" s="33">
        <f>ROUND(AD403-AN403,2)</f>
      </c>
      <c r="AY403" s="33">
        <f>ROUND(AE403-AO403,2)</f>
      </c>
      <c r="AZ403" s="33">
        <f>ROUND(MAX(0,'Your debts'!$D$22-SUM($L403:$U403)),2)</f>
      </c>
      <c r="BA403" s="33">
        <f>ROUND(SUM($B403:$K403)-SUM($AP402:$AY402),2)</f>
      </c>
      <c r="BB403" s="33">
        <f>SUM($AP403:$AY403)</f>
      </c>
      <c r="BC403" s="33">
        <f>ROUND(SUM($L403:$U403)+SUM($AF403:$AO403),2)</f>
      </c>
    </row>
    <row r="404" spans="1:55" x14ac:dyDescent="0.25">
      <c r="A404">
        <v>397</v>
      </c>
      <c r="B404" s="33">
        <f>IF(AP403&lt;=0,0,ROUND(AP403+ROUND(AP403*V$3/12,2),2))</f>
      </c>
      <c r="C404" s="33">
        <f>IF(AQ403&lt;=0,0,ROUND(AQ403+ROUND(AQ403*W$3/12,2),2))</f>
      </c>
      <c r="D404" s="33">
        <f>IF(AR403&lt;=0,0,ROUND(AR403+ROUND(AR403*X$3/12,2),2))</f>
      </c>
      <c r="E404" s="33">
        <f>IF(AS403&lt;=0,0,ROUND(AS403+ROUND(AS403*Y$3/12,2),2))</f>
      </c>
      <c r="F404" s="33">
        <f>IF(AT403&lt;=0,0,ROUND(AT403+ROUND(AT403*Z$3/12,2),2))</f>
      </c>
      <c r="G404" s="33">
        <f>IF(AU403&lt;=0,0,ROUND(AU403+ROUND(AU403*AA$3/12,2),2))</f>
      </c>
      <c r="H404" s="33">
        <f>IF(AV403&lt;=0,0,ROUND(AV403+ROUND(AV403*AB$3/12,2),2))</f>
      </c>
      <c r="I404" s="33">
        <f>IF(AW403&lt;=0,0,ROUND(AW403+ROUND(AW403*AC$3/12,2),2))</f>
      </c>
      <c r="J404" s="33">
        <f>IF(AX403&lt;=0,0,ROUND(AX403+ROUND(AX403*AD$3/12,2),2))</f>
      </c>
      <c r="K404" s="33">
        <f>IF(AY403&lt;=0,0,ROUND(AY403+ROUND(AY403*AE$3/12,2),2))</f>
      </c>
      <c r="L404" s="33">
        <f>ROUND(MIN(MAX(0,N('Your debts'!$E$6)),B404),2)</f>
      </c>
      <c r="M404" s="33">
        <f>ROUND(MIN(MAX(0,N('Your debts'!$E$7)),C404),2)</f>
      </c>
      <c r="N404" s="33">
        <f>ROUND(MIN(MAX(0,N('Your debts'!$E$8)),D404),2)</f>
      </c>
      <c r="O404" s="33">
        <f>ROUND(MIN(MAX(0,N('Your debts'!$E$9)),E404),2)</f>
      </c>
      <c r="P404" s="33">
        <f>ROUND(MIN(MAX(0,N('Your debts'!$E$10)),F404),2)</f>
      </c>
      <c r="Q404" s="33">
        <f>ROUND(MIN(MAX(0,N('Your debts'!$E$11)),G404),2)</f>
      </c>
      <c r="R404" s="33">
        <f>ROUND(MIN(MAX(0,N('Your debts'!$E$12)),H404),2)</f>
      </c>
      <c r="S404" s="33">
        <f>ROUND(MIN(MAX(0,N('Your debts'!$E$13)),I404),2)</f>
      </c>
      <c r="T404" s="33">
        <f>ROUND(MIN(MAX(0,N('Your debts'!$E$14)),J404),2)</f>
      </c>
      <c r="U404" s="33">
        <f>ROUND(MIN(MAX(0,N('Your debts'!$E$15)),K404),2)</f>
      </c>
      <c r="V404" s="33">
        <f>ROUND(B404-L404,2)</f>
      </c>
      <c r="W404" s="33">
        <f>ROUND(C404-M404,2)</f>
      </c>
      <c r="X404" s="33">
        <f>ROUND(D404-N404,2)</f>
      </c>
      <c r="Y404" s="33">
        <f>ROUND(E404-O404,2)</f>
      </c>
      <c r="Z404" s="33">
        <f>ROUND(F404-P404,2)</f>
      </c>
      <c r="AA404" s="33">
        <f>ROUND(G404-Q404,2)</f>
      </c>
      <c r="AB404" s="33">
        <f>ROUND(H404-R404,2)</f>
      </c>
      <c r="AC404" s="33">
        <f>ROUND(I404-S404,2)</f>
      </c>
      <c r="AD404" s="33">
        <f>ROUND(J404-T404,2)</f>
      </c>
      <c r="AE404" s="33">
        <f>ROUND(K404-U404,2)</f>
      </c>
      <c r="AF404" s="33">
        <f>IF(V404&lt;=0,0,MAX(0,MIN(V404,ROUND($AZ404-SUMPRODUCT($V404:$AE404*($V404:$AE404&gt;0)*(($V$3:$AE$3&gt;V$3)+($V$3:$AE$3=V$3)*($V404:$AE404&lt;V404)+($V$3:$AE$3=V$3)*($V404:$AE404=V404)*($V$2:$AE$2&lt;V$2))),2))))</f>
      </c>
      <c r="AG404" s="33">
        <f>IF(W404&lt;=0,0,MAX(0,MIN(W404,ROUND($AZ404-SUMPRODUCT($V404:$AE404*($V404:$AE404&gt;0)*(($V$3:$AE$3&gt;W$3)+($V$3:$AE$3=W$3)*($V404:$AE404&lt;W404)+($V$3:$AE$3=W$3)*($V404:$AE404=W404)*($V$2:$AE$2&lt;W$2))),2))))</f>
      </c>
      <c r="AH404" s="33">
        <f>IF(X404&lt;=0,0,MAX(0,MIN(X404,ROUND($AZ404-SUMPRODUCT($V404:$AE404*($V404:$AE404&gt;0)*(($V$3:$AE$3&gt;X$3)+($V$3:$AE$3=X$3)*($V404:$AE404&lt;X404)+($V$3:$AE$3=X$3)*($V404:$AE404=X404)*($V$2:$AE$2&lt;X$2))),2))))</f>
      </c>
      <c r="AI404" s="33">
        <f>IF(Y404&lt;=0,0,MAX(0,MIN(Y404,ROUND($AZ404-SUMPRODUCT($V404:$AE404*($V404:$AE404&gt;0)*(($V$3:$AE$3&gt;Y$3)+($V$3:$AE$3=Y$3)*($V404:$AE404&lt;Y404)+($V$3:$AE$3=Y$3)*($V404:$AE404=Y404)*($V$2:$AE$2&lt;Y$2))),2))))</f>
      </c>
      <c r="AJ404" s="33">
        <f>IF(Z404&lt;=0,0,MAX(0,MIN(Z404,ROUND($AZ404-SUMPRODUCT($V404:$AE404*($V404:$AE404&gt;0)*(($V$3:$AE$3&gt;Z$3)+($V$3:$AE$3=Z$3)*($V404:$AE404&lt;Z404)+($V$3:$AE$3=Z$3)*($V404:$AE404=Z404)*($V$2:$AE$2&lt;Z$2))),2))))</f>
      </c>
      <c r="AK404" s="33">
        <f>IF(AA404&lt;=0,0,MAX(0,MIN(AA404,ROUND($AZ404-SUMPRODUCT($V404:$AE404*($V404:$AE404&gt;0)*(($V$3:$AE$3&gt;AA$3)+($V$3:$AE$3=AA$3)*($V404:$AE404&lt;AA404)+($V$3:$AE$3=AA$3)*($V404:$AE404=AA404)*($V$2:$AE$2&lt;AA$2))),2))))</f>
      </c>
      <c r="AL404" s="33">
        <f>IF(AB404&lt;=0,0,MAX(0,MIN(AB404,ROUND($AZ404-SUMPRODUCT($V404:$AE404*($V404:$AE404&gt;0)*(($V$3:$AE$3&gt;AB$3)+($V$3:$AE$3=AB$3)*($V404:$AE404&lt;AB404)+($V$3:$AE$3=AB$3)*($V404:$AE404=AB404)*($V$2:$AE$2&lt;AB$2))),2))))</f>
      </c>
      <c r="AM404" s="33">
        <f>IF(AC404&lt;=0,0,MAX(0,MIN(AC404,ROUND($AZ404-SUMPRODUCT($V404:$AE404*($V404:$AE404&gt;0)*(($V$3:$AE$3&gt;AC$3)+($V$3:$AE$3=AC$3)*($V404:$AE404&lt;AC404)+($V$3:$AE$3=AC$3)*($V404:$AE404=AC404)*($V$2:$AE$2&lt;AC$2))),2))))</f>
      </c>
      <c r="AN404" s="33">
        <f>IF(AD404&lt;=0,0,MAX(0,MIN(AD404,ROUND($AZ404-SUMPRODUCT($V404:$AE404*($V404:$AE404&gt;0)*(($V$3:$AE$3&gt;AD$3)+($V$3:$AE$3=AD$3)*($V404:$AE404&lt;AD404)+($V$3:$AE$3=AD$3)*($V404:$AE404=AD404)*($V$2:$AE$2&lt;AD$2))),2))))</f>
      </c>
      <c r="AO404" s="33">
        <f>IF(AE404&lt;=0,0,MAX(0,MIN(AE404,ROUND($AZ404-SUMPRODUCT($V404:$AE404*($V404:$AE404&gt;0)*(($V$3:$AE$3&gt;AE$3)+($V$3:$AE$3=AE$3)*($V404:$AE404&lt;AE404)+($V$3:$AE$3=AE$3)*($V404:$AE404=AE404)*($V$2:$AE$2&lt;AE$2))),2))))</f>
      </c>
      <c r="AP404" s="33">
        <f>ROUND(V404-AF404,2)</f>
      </c>
      <c r="AQ404" s="33">
        <f>ROUND(W404-AG404,2)</f>
      </c>
      <c r="AR404" s="33">
        <f>ROUND(X404-AH404,2)</f>
      </c>
      <c r="AS404" s="33">
        <f>ROUND(Y404-AI404,2)</f>
      </c>
      <c r="AT404" s="33">
        <f>ROUND(Z404-AJ404,2)</f>
      </c>
      <c r="AU404" s="33">
        <f>ROUND(AA404-AK404,2)</f>
      </c>
      <c r="AV404" s="33">
        <f>ROUND(AB404-AL404,2)</f>
      </c>
      <c r="AW404" s="33">
        <f>ROUND(AC404-AM404,2)</f>
      </c>
      <c r="AX404" s="33">
        <f>ROUND(AD404-AN404,2)</f>
      </c>
      <c r="AY404" s="33">
        <f>ROUND(AE404-AO404,2)</f>
      </c>
      <c r="AZ404" s="33">
        <f>ROUND(MAX(0,'Your debts'!$D$22-SUM($L404:$U404)),2)</f>
      </c>
      <c r="BA404" s="33">
        <f>ROUND(SUM($B404:$K404)-SUM($AP403:$AY403),2)</f>
      </c>
      <c r="BB404" s="33">
        <f>SUM($AP404:$AY404)</f>
      </c>
      <c r="BC404" s="33">
        <f>ROUND(SUM($L404:$U404)+SUM($AF404:$AO404),2)</f>
      </c>
    </row>
    <row r="405" spans="1:55" x14ac:dyDescent="0.25">
      <c r="A405">
        <v>398</v>
      </c>
      <c r="B405" s="33">
        <f>IF(AP404&lt;=0,0,ROUND(AP404+ROUND(AP404*V$3/12,2),2))</f>
      </c>
      <c r="C405" s="33">
        <f>IF(AQ404&lt;=0,0,ROUND(AQ404+ROUND(AQ404*W$3/12,2),2))</f>
      </c>
      <c r="D405" s="33">
        <f>IF(AR404&lt;=0,0,ROUND(AR404+ROUND(AR404*X$3/12,2),2))</f>
      </c>
      <c r="E405" s="33">
        <f>IF(AS404&lt;=0,0,ROUND(AS404+ROUND(AS404*Y$3/12,2),2))</f>
      </c>
      <c r="F405" s="33">
        <f>IF(AT404&lt;=0,0,ROUND(AT404+ROUND(AT404*Z$3/12,2),2))</f>
      </c>
      <c r="G405" s="33">
        <f>IF(AU404&lt;=0,0,ROUND(AU404+ROUND(AU404*AA$3/12,2),2))</f>
      </c>
      <c r="H405" s="33">
        <f>IF(AV404&lt;=0,0,ROUND(AV404+ROUND(AV404*AB$3/12,2),2))</f>
      </c>
      <c r="I405" s="33">
        <f>IF(AW404&lt;=0,0,ROUND(AW404+ROUND(AW404*AC$3/12,2),2))</f>
      </c>
      <c r="J405" s="33">
        <f>IF(AX404&lt;=0,0,ROUND(AX404+ROUND(AX404*AD$3/12,2),2))</f>
      </c>
      <c r="K405" s="33">
        <f>IF(AY404&lt;=0,0,ROUND(AY404+ROUND(AY404*AE$3/12,2),2))</f>
      </c>
      <c r="L405" s="33">
        <f>ROUND(MIN(MAX(0,N('Your debts'!$E$6)),B405),2)</f>
      </c>
      <c r="M405" s="33">
        <f>ROUND(MIN(MAX(0,N('Your debts'!$E$7)),C405),2)</f>
      </c>
      <c r="N405" s="33">
        <f>ROUND(MIN(MAX(0,N('Your debts'!$E$8)),D405),2)</f>
      </c>
      <c r="O405" s="33">
        <f>ROUND(MIN(MAX(0,N('Your debts'!$E$9)),E405),2)</f>
      </c>
      <c r="P405" s="33">
        <f>ROUND(MIN(MAX(0,N('Your debts'!$E$10)),F405),2)</f>
      </c>
      <c r="Q405" s="33">
        <f>ROUND(MIN(MAX(0,N('Your debts'!$E$11)),G405),2)</f>
      </c>
      <c r="R405" s="33">
        <f>ROUND(MIN(MAX(0,N('Your debts'!$E$12)),H405),2)</f>
      </c>
      <c r="S405" s="33">
        <f>ROUND(MIN(MAX(0,N('Your debts'!$E$13)),I405),2)</f>
      </c>
      <c r="T405" s="33">
        <f>ROUND(MIN(MAX(0,N('Your debts'!$E$14)),J405),2)</f>
      </c>
      <c r="U405" s="33">
        <f>ROUND(MIN(MAX(0,N('Your debts'!$E$15)),K405),2)</f>
      </c>
      <c r="V405" s="33">
        <f>ROUND(B405-L405,2)</f>
      </c>
      <c r="W405" s="33">
        <f>ROUND(C405-M405,2)</f>
      </c>
      <c r="X405" s="33">
        <f>ROUND(D405-N405,2)</f>
      </c>
      <c r="Y405" s="33">
        <f>ROUND(E405-O405,2)</f>
      </c>
      <c r="Z405" s="33">
        <f>ROUND(F405-P405,2)</f>
      </c>
      <c r="AA405" s="33">
        <f>ROUND(G405-Q405,2)</f>
      </c>
      <c r="AB405" s="33">
        <f>ROUND(H405-R405,2)</f>
      </c>
      <c r="AC405" s="33">
        <f>ROUND(I405-S405,2)</f>
      </c>
      <c r="AD405" s="33">
        <f>ROUND(J405-T405,2)</f>
      </c>
      <c r="AE405" s="33">
        <f>ROUND(K405-U405,2)</f>
      </c>
      <c r="AF405" s="33">
        <f>IF(V405&lt;=0,0,MAX(0,MIN(V405,ROUND($AZ405-SUMPRODUCT($V405:$AE405*($V405:$AE405&gt;0)*(($V$3:$AE$3&gt;V$3)+($V$3:$AE$3=V$3)*($V405:$AE405&lt;V405)+($V$3:$AE$3=V$3)*($V405:$AE405=V405)*($V$2:$AE$2&lt;V$2))),2))))</f>
      </c>
      <c r="AG405" s="33">
        <f>IF(W405&lt;=0,0,MAX(0,MIN(W405,ROUND($AZ405-SUMPRODUCT($V405:$AE405*($V405:$AE405&gt;0)*(($V$3:$AE$3&gt;W$3)+($V$3:$AE$3=W$3)*($V405:$AE405&lt;W405)+($V$3:$AE$3=W$3)*($V405:$AE405=W405)*($V$2:$AE$2&lt;W$2))),2))))</f>
      </c>
      <c r="AH405" s="33">
        <f>IF(X405&lt;=0,0,MAX(0,MIN(X405,ROUND($AZ405-SUMPRODUCT($V405:$AE405*($V405:$AE405&gt;0)*(($V$3:$AE$3&gt;X$3)+($V$3:$AE$3=X$3)*($V405:$AE405&lt;X405)+($V$3:$AE$3=X$3)*($V405:$AE405=X405)*($V$2:$AE$2&lt;X$2))),2))))</f>
      </c>
      <c r="AI405" s="33">
        <f>IF(Y405&lt;=0,0,MAX(0,MIN(Y405,ROUND($AZ405-SUMPRODUCT($V405:$AE405*($V405:$AE405&gt;0)*(($V$3:$AE$3&gt;Y$3)+($V$3:$AE$3=Y$3)*($V405:$AE405&lt;Y405)+($V$3:$AE$3=Y$3)*($V405:$AE405=Y405)*($V$2:$AE$2&lt;Y$2))),2))))</f>
      </c>
      <c r="AJ405" s="33">
        <f>IF(Z405&lt;=0,0,MAX(0,MIN(Z405,ROUND($AZ405-SUMPRODUCT($V405:$AE405*($V405:$AE405&gt;0)*(($V$3:$AE$3&gt;Z$3)+($V$3:$AE$3=Z$3)*($V405:$AE405&lt;Z405)+($V$3:$AE$3=Z$3)*($V405:$AE405=Z405)*($V$2:$AE$2&lt;Z$2))),2))))</f>
      </c>
      <c r="AK405" s="33">
        <f>IF(AA405&lt;=0,0,MAX(0,MIN(AA405,ROUND($AZ405-SUMPRODUCT($V405:$AE405*($V405:$AE405&gt;0)*(($V$3:$AE$3&gt;AA$3)+($V$3:$AE$3=AA$3)*($V405:$AE405&lt;AA405)+($V$3:$AE$3=AA$3)*($V405:$AE405=AA405)*($V$2:$AE$2&lt;AA$2))),2))))</f>
      </c>
      <c r="AL405" s="33">
        <f>IF(AB405&lt;=0,0,MAX(0,MIN(AB405,ROUND($AZ405-SUMPRODUCT($V405:$AE405*($V405:$AE405&gt;0)*(($V$3:$AE$3&gt;AB$3)+($V$3:$AE$3=AB$3)*($V405:$AE405&lt;AB405)+($V$3:$AE$3=AB$3)*($V405:$AE405=AB405)*($V$2:$AE$2&lt;AB$2))),2))))</f>
      </c>
      <c r="AM405" s="33">
        <f>IF(AC405&lt;=0,0,MAX(0,MIN(AC405,ROUND($AZ405-SUMPRODUCT($V405:$AE405*($V405:$AE405&gt;0)*(($V$3:$AE$3&gt;AC$3)+($V$3:$AE$3=AC$3)*($V405:$AE405&lt;AC405)+($V$3:$AE$3=AC$3)*($V405:$AE405=AC405)*($V$2:$AE$2&lt;AC$2))),2))))</f>
      </c>
      <c r="AN405" s="33">
        <f>IF(AD405&lt;=0,0,MAX(0,MIN(AD405,ROUND($AZ405-SUMPRODUCT($V405:$AE405*($V405:$AE405&gt;0)*(($V$3:$AE$3&gt;AD$3)+($V$3:$AE$3=AD$3)*($V405:$AE405&lt;AD405)+($V$3:$AE$3=AD$3)*($V405:$AE405=AD405)*($V$2:$AE$2&lt;AD$2))),2))))</f>
      </c>
      <c r="AO405" s="33">
        <f>IF(AE405&lt;=0,0,MAX(0,MIN(AE405,ROUND($AZ405-SUMPRODUCT($V405:$AE405*($V405:$AE405&gt;0)*(($V$3:$AE$3&gt;AE$3)+($V$3:$AE$3=AE$3)*($V405:$AE405&lt;AE405)+($V$3:$AE$3=AE$3)*($V405:$AE405=AE405)*($V$2:$AE$2&lt;AE$2))),2))))</f>
      </c>
      <c r="AP405" s="33">
        <f>ROUND(V405-AF405,2)</f>
      </c>
      <c r="AQ405" s="33">
        <f>ROUND(W405-AG405,2)</f>
      </c>
      <c r="AR405" s="33">
        <f>ROUND(X405-AH405,2)</f>
      </c>
      <c r="AS405" s="33">
        <f>ROUND(Y405-AI405,2)</f>
      </c>
      <c r="AT405" s="33">
        <f>ROUND(Z405-AJ405,2)</f>
      </c>
      <c r="AU405" s="33">
        <f>ROUND(AA405-AK405,2)</f>
      </c>
      <c r="AV405" s="33">
        <f>ROUND(AB405-AL405,2)</f>
      </c>
      <c r="AW405" s="33">
        <f>ROUND(AC405-AM405,2)</f>
      </c>
      <c r="AX405" s="33">
        <f>ROUND(AD405-AN405,2)</f>
      </c>
      <c r="AY405" s="33">
        <f>ROUND(AE405-AO405,2)</f>
      </c>
      <c r="AZ405" s="33">
        <f>ROUND(MAX(0,'Your debts'!$D$22-SUM($L405:$U405)),2)</f>
      </c>
      <c r="BA405" s="33">
        <f>ROUND(SUM($B405:$K405)-SUM($AP404:$AY404),2)</f>
      </c>
      <c r="BB405" s="33">
        <f>SUM($AP405:$AY405)</f>
      </c>
      <c r="BC405" s="33">
        <f>ROUND(SUM($L405:$U405)+SUM($AF405:$AO405),2)</f>
      </c>
    </row>
    <row r="406" spans="1:55" x14ac:dyDescent="0.25">
      <c r="A406">
        <v>399</v>
      </c>
      <c r="B406" s="33">
        <f>IF(AP405&lt;=0,0,ROUND(AP405+ROUND(AP405*V$3/12,2),2))</f>
      </c>
      <c r="C406" s="33">
        <f>IF(AQ405&lt;=0,0,ROUND(AQ405+ROUND(AQ405*W$3/12,2),2))</f>
      </c>
      <c r="D406" s="33">
        <f>IF(AR405&lt;=0,0,ROUND(AR405+ROUND(AR405*X$3/12,2),2))</f>
      </c>
      <c r="E406" s="33">
        <f>IF(AS405&lt;=0,0,ROUND(AS405+ROUND(AS405*Y$3/12,2),2))</f>
      </c>
      <c r="F406" s="33">
        <f>IF(AT405&lt;=0,0,ROUND(AT405+ROUND(AT405*Z$3/12,2),2))</f>
      </c>
      <c r="G406" s="33">
        <f>IF(AU405&lt;=0,0,ROUND(AU405+ROUND(AU405*AA$3/12,2),2))</f>
      </c>
      <c r="H406" s="33">
        <f>IF(AV405&lt;=0,0,ROUND(AV405+ROUND(AV405*AB$3/12,2),2))</f>
      </c>
      <c r="I406" s="33">
        <f>IF(AW405&lt;=0,0,ROUND(AW405+ROUND(AW405*AC$3/12,2),2))</f>
      </c>
      <c r="J406" s="33">
        <f>IF(AX405&lt;=0,0,ROUND(AX405+ROUND(AX405*AD$3/12,2),2))</f>
      </c>
      <c r="K406" s="33">
        <f>IF(AY405&lt;=0,0,ROUND(AY405+ROUND(AY405*AE$3/12,2),2))</f>
      </c>
      <c r="L406" s="33">
        <f>ROUND(MIN(MAX(0,N('Your debts'!$E$6)),B406),2)</f>
      </c>
      <c r="M406" s="33">
        <f>ROUND(MIN(MAX(0,N('Your debts'!$E$7)),C406),2)</f>
      </c>
      <c r="N406" s="33">
        <f>ROUND(MIN(MAX(0,N('Your debts'!$E$8)),D406),2)</f>
      </c>
      <c r="O406" s="33">
        <f>ROUND(MIN(MAX(0,N('Your debts'!$E$9)),E406),2)</f>
      </c>
      <c r="P406" s="33">
        <f>ROUND(MIN(MAX(0,N('Your debts'!$E$10)),F406),2)</f>
      </c>
      <c r="Q406" s="33">
        <f>ROUND(MIN(MAX(0,N('Your debts'!$E$11)),G406),2)</f>
      </c>
      <c r="R406" s="33">
        <f>ROUND(MIN(MAX(0,N('Your debts'!$E$12)),H406),2)</f>
      </c>
      <c r="S406" s="33">
        <f>ROUND(MIN(MAX(0,N('Your debts'!$E$13)),I406),2)</f>
      </c>
      <c r="T406" s="33">
        <f>ROUND(MIN(MAX(0,N('Your debts'!$E$14)),J406),2)</f>
      </c>
      <c r="U406" s="33">
        <f>ROUND(MIN(MAX(0,N('Your debts'!$E$15)),K406),2)</f>
      </c>
      <c r="V406" s="33">
        <f>ROUND(B406-L406,2)</f>
      </c>
      <c r="W406" s="33">
        <f>ROUND(C406-M406,2)</f>
      </c>
      <c r="X406" s="33">
        <f>ROUND(D406-N406,2)</f>
      </c>
      <c r="Y406" s="33">
        <f>ROUND(E406-O406,2)</f>
      </c>
      <c r="Z406" s="33">
        <f>ROUND(F406-P406,2)</f>
      </c>
      <c r="AA406" s="33">
        <f>ROUND(G406-Q406,2)</f>
      </c>
      <c r="AB406" s="33">
        <f>ROUND(H406-R406,2)</f>
      </c>
      <c r="AC406" s="33">
        <f>ROUND(I406-S406,2)</f>
      </c>
      <c r="AD406" s="33">
        <f>ROUND(J406-T406,2)</f>
      </c>
      <c r="AE406" s="33">
        <f>ROUND(K406-U406,2)</f>
      </c>
      <c r="AF406" s="33">
        <f>IF(V406&lt;=0,0,MAX(0,MIN(V406,ROUND($AZ406-SUMPRODUCT($V406:$AE406*($V406:$AE406&gt;0)*(($V$3:$AE$3&gt;V$3)+($V$3:$AE$3=V$3)*($V406:$AE406&lt;V406)+($V$3:$AE$3=V$3)*($V406:$AE406=V406)*($V$2:$AE$2&lt;V$2))),2))))</f>
      </c>
      <c r="AG406" s="33">
        <f>IF(W406&lt;=0,0,MAX(0,MIN(W406,ROUND($AZ406-SUMPRODUCT($V406:$AE406*($V406:$AE406&gt;0)*(($V$3:$AE$3&gt;W$3)+($V$3:$AE$3=W$3)*($V406:$AE406&lt;W406)+($V$3:$AE$3=W$3)*($V406:$AE406=W406)*($V$2:$AE$2&lt;W$2))),2))))</f>
      </c>
      <c r="AH406" s="33">
        <f>IF(X406&lt;=0,0,MAX(0,MIN(X406,ROUND($AZ406-SUMPRODUCT($V406:$AE406*($V406:$AE406&gt;0)*(($V$3:$AE$3&gt;X$3)+($V$3:$AE$3=X$3)*($V406:$AE406&lt;X406)+($V$3:$AE$3=X$3)*($V406:$AE406=X406)*($V$2:$AE$2&lt;X$2))),2))))</f>
      </c>
      <c r="AI406" s="33">
        <f>IF(Y406&lt;=0,0,MAX(0,MIN(Y406,ROUND($AZ406-SUMPRODUCT($V406:$AE406*($V406:$AE406&gt;0)*(($V$3:$AE$3&gt;Y$3)+($V$3:$AE$3=Y$3)*($V406:$AE406&lt;Y406)+($V$3:$AE$3=Y$3)*($V406:$AE406=Y406)*($V$2:$AE$2&lt;Y$2))),2))))</f>
      </c>
      <c r="AJ406" s="33">
        <f>IF(Z406&lt;=0,0,MAX(0,MIN(Z406,ROUND($AZ406-SUMPRODUCT($V406:$AE406*($V406:$AE406&gt;0)*(($V$3:$AE$3&gt;Z$3)+($V$3:$AE$3=Z$3)*($V406:$AE406&lt;Z406)+($V$3:$AE$3=Z$3)*($V406:$AE406=Z406)*($V$2:$AE$2&lt;Z$2))),2))))</f>
      </c>
      <c r="AK406" s="33">
        <f>IF(AA406&lt;=0,0,MAX(0,MIN(AA406,ROUND($AZ406-SUMPRODUCT($V406:$AE406*($V406:$AE406&gt;0)*(($V$3:$AE$3&gt;AA$3)+($V$3:$AE$3=AA$3)*($V406:$AE406&lt;AA406)+($V$3:$AE$3=AA$3)*($V406:$AE406=AA406)*($V$2:$AE$2&lt;AA$2))),2))))</f>
      </c>
      <c r="AL406" s="33">
        <f>IF(AB406&lt;=0,0,MAX(0,MIN(AB406,ROUND($AZ406-SUMPRODUCT($V406:$AE406*($V406:$AE406&gt;0)*(($V$3:$AE$3&gt;AB$3)+($V$3:$AE$3=AB$3)*($V406:$AE406&lt;AB406)+($V$3:$AE$3=AB$3)*($V406:$AE406=AB406)*($V$2:$AE$2&lt;AB$2))),2))))</f>
      </c>
      <c r="AM406" s="33">
        <f>IF(AC406&lt;=0,0,MAX(0,MIN(AC406,ROUND($AZ406-SUMPRODUCT($V406:$AE406*($V406:$AE406&gt;0)*(($V$3:$AE$3&gt;AC$3)+($V$3:$AE$3=AC$3)*($V406:$AE406&lt;AC406)+($V$3:$AE$3=AC$3)*($V406:$AE406=AC406)*($V$2:$AE$2&lt;AC$2))),2))))</f>
      </c>
      <c r="AN406" s="33">
        <f>IF(AD406&lt;=0,0,MAX(0,MIN(AD406,ROUND($AZ406-SUMPRODUCT($V406:$AE406*($V406:$AE406&gt;0)*(($V$3:$AE$3&gt;AD$3)+($V$3:$AE$3=AD$3)*($V406:$AE406&lt;AD406)+($V$3:$AE$3=AD$3)*($V406:$AE406=AD406)*($V$2:$AE$2&lt;AD$2))),2))))</f>
      </c>
      <c r="AO406" s="33">
        <f>IF(AE406&lt;=0,0,MAX(0,MIN(AE406,ROUND($AZ406-SUMPRODUCT($V406:$AE406*($V406:$AE406&gt;0)*(($V$3:$AE$3&gt;AE$3)+($V$3:$AE$3=AE$3)*($V406:$AE406&lt;AE406)+($V$3:$AE$3=AE$3)*($V406:$AE406=AE406)*($V$2:$AE$2&lt;AE$2))),2))))</f>
      </c>
      <c r="AP406" s="33">
        <f>ROUND(V406-AF406,2)</f>
      </c>
      <c r="AQ406" s="33">
        <f>ROUND(W406-AG406,2)</f>
      </c>
      <c r="AR406" s="33">
        <f>ROUND(X406-AH406,2)</f>
      </c>
      <c r="AS406" s="33">
        <f>ROUND(Y406-AI406,2)</f>
      </c>
      <c r="AT406" s="33">
        <f>ROUND(Z406-AJ406,2)</f>
      </c>
      <c r="AU406" s="33">
        <f>ROUND(AA406-AK406,2)</f>
      </c>
      <c r="AV406" s="33">
        <f>ROUND(AB406-AL406,2)</f>
      </c>
      <c r="AW406" s="33">
        <f>ROUND(AC406-AM406,2)</f>
      </c>
      <c r="AX406" s="33">
        <f>ROUND(AD406-AN406,2)</f>
      </c>
      <c r="AY406" s="33">
        <f>ROUND(AE406-AO406,2)</f>
      </c>
      <c r="AZ406" s="33">
        <f>ROUND(MAX(0,'Your debts'!$D$22-SUM($L406:$U406)),2)</f>
      </c>
      <c r="BA406" s="33">
        <f>ROUND(SUM($B406:$K406)-SUM($AP405:$AY405),2)</f>
      </c>
      <c r="BB406" s="33">
        <f>SUM($AP406:$AY406)</f>
      </c>
      <c r="BC406" s="33">
        <f>ROUND(SUM($L406:$U406)+SUM($AF406:$AO406),2)</f>
      </c>
    </row>
    <row r="407" spans="1:55" x14ac:dyDescent="0.25">
      <c r="A407">
        <v>400</v>
      </c>
      <c r="B407" s="33">
        <f>IF(AP406&lt;=0,0,ROUND(AP406+ROUND(AP406*V$3/12,2),2))</f>
      </c>
      <c r="C407" s="33">
        <f>IF(AQ406&lt;=0,0,ROUND(AQ406+ROUND(AQ406*W$3/12,2),2))</f>
      </c>
      <c r="D407" s="33">
        <f>IF(AR406&lt;=0,0,ROUND(AR406+ROUND(AR406*X$3/12,2),2))</f>
      </c>
      <c r="E407" s="33">
        <f>IF(AS406&lt;=0,0,ROUND(AS406+ROUND(AS406*Y$3/12,2),2))</f>
      </c>
      <c r="F407" s="33">
        <f>IF(AT406&lt;=0,0,ROUND(AT406+ROUND(AT406*Z$3/12,2),2))</f>
      </c>
      <c r="G407" s="33">
        <f>IF(AU406&lt;=0,0,ROUND(AU406+ROUND(AU406*AA$3/12,2),2))</f>
      </c>
      <c r="H407" s="33">
        <f>IF(AV406&lt;=0,0,ROUND(AV406+ROUND(AV406*AB$3/12,2),2))</f>
      </c>
      <c r="I407" s="33">
        <f>IF(AW406&lt;=0,0,ROUND(AW406+ROUND(AW406*AC$3/12,2),2))</f>
      </c>
      <c r="J407" s="33">
        <f>IF(AX406&lt;=0,0,ROUND(AX406+ROUND(AX406*AD$3/12,2),2))</f>
      </c>
      <c r="K407" s="33">
        <f>IF(AY406&lt;=0,0,ROUND(AY406+ROUND(AY406*AE$3/12,2),2))</f>
      </c>
      <c r="L407" s="33">
        <f>ROUND(MIN(MAX(0,N('Your debts'!$E$6)),B407),2)</f>
      </c>
      <c r="M407" s="33">
        <f>ROUND(MIN(MAX(0,N('Your debts'!$E$7)),C407),2)</f>
      </c>
      <c r="N407" s="33">
        <f>ROUND(MIN(MAX(0,N('Your debts'!$E$8)),D407),2)</f>
      </c>
      <c r="O407" s="33">
        <f>ROUND(MIN(MAX(0,N('Your debts'!$E$9)),E407),2)</f>
      </c>
      <c r="P407" s="33">
        <f>ROUND(MIN(MAX(0,N('Your debts'!$E$10)),F407),2)</f>
      </c>
      <c r="Q407" s="33">
        <f>ROUND(MIN(MAX(0,N('Your debts'!$E$11)),G407),2)</f>
      </c>
      <c r="R407" s="33">
        <f>ROUND(MIN(MAX(0,N('Your debts'!$E$12)),H407),2)</f>
      </c>
      <c r="S407" s="33">
        <f>ROUND(MIN(MAX(0,N('Your debts'!$E$13)),I407),2)</f>
      </c>
      <c r="T407" s="33">
        <f>ROUND(MIN(MAX(0,N('Your debts'!$E$14)),J407),2)</f>
      </c>
      <c r="U407" s="33">
        <f>ROUND(MIN(MAX(0,N('Your debts'!$E$15)),K407),2)</f>
      </c>
      <c r="V407" s="33">
        <f>ROUND(B407-L407,2)</f>
      </c>
      <c r="W407" s="33">
        <f>ROUND(C407-M407,2)</f>
      </c>
      <c r="X407" s="33">
        <f>ROUND(D407-N407,2)</f>
      </c>
      <c r="Y407" s="33">
        <f>ROUND(E407-O407,2)</f>
      </c>
      <c r="Z407" s="33">
        <f>ROUND(F407-P407,2)</f>
      </c>
      <c r="AA407" s="33">
        <f>ROUND(G407-Q407,2)</f>
      </c>
      <c r="AB407" s="33">
        <f>ROUND(H407-R407,2)</f>
      </c>
      <c r="AC407" s="33">
        <f>ROUND(I407-S407,2)</f>
      </c>
      <c r="AD407" s="33">
        <f>ROUND(J407-T407,2)</f>
      </c>
      <c r="AE407" s="33">
        <f>ROUND(K407-U407,2)</f>
      </c>
      <c r="AF407" s="33">
        <f>IF(V407&lt;=0,0,MAX(0,MIN(V407,ROUND($AZ407-SUMPRODUCT($V407:$AE407*($V407:$AE407&gt;0)*(($V$3:$AE$3&gt;V$3)+($V$3:$AE$3=V$3)*($V407:$AE407&lt;V407)+($V$3:$AE$3=V$3)*($V407:$AE407=V407)*($V$2:$AE$2&lt;V$2))),2))))</f>
      </c>
      <c r="AG407" s="33">
        <f>IF(W407&lt;=0,0,MAX(0,MIN(W407,ROUND($AZ407-SUMPRODUCT($V407:$AE407*($V407:$AE407&gt;0)*(($V$3:$AE$3&gt;W$3)+($V$3:$AE$3=W$3)*($V407:$AE407&lt;W407)+($V$3:$AE$3=W$3)*($V407:$AE407=W407)*($V$2:$AE$2&lt;W$2))),2))))</f>
      </c>
      <c r="AH407" s="33">
        <f>IF(X407&lt;=0,0,MAX(0,MIN(X407,ROUND($AZ407-SUMPRODUCT($V407:$AE407*($V407:$AE407&gt;0)*(($V$3:$AE$3&gt;X$3)+($V$3:$AE$3=X$3)*($V407:$AE407&lt;X407)+($V$3:$AE$3=X$3)*($V407:$AE407=X407)*($V$2:$AE$2&lt;X$2))),2))))</f>
      </c>
      <c r="AI407" s="33">
        <f>IF(Y407&lt;=0,0,MAX(0,MIN(Y407,ROUND($AZ407-SUMPRODUCT($V407:$AE407*($V407:$AE407&gt;0)*(($V$3:$AE$3&gt;Y$3)+($V$3:$AE$3=Y$3)*($V407:$AE407&lt;Y407)+($V$3:$AE$3=Y$3)*($V407:$AE407=Y407)*($V$2:$AE$2&lt;Y$2))),2))))</f>
      </c>
      <c r="AJ407" s="33">
        <f>IF(Z407&lt;=0,0,MAX(0,MIN(Z407,ROUND($AZ407-SUMPRODUCT($V407:$AE407*($V407:$AE407&gt;0)*(($V$3:$AE$3&gt;Z$3)+($V$3:$AE$3=Z$3)*($V407:$AE407&lt;Z407)+($V$3:$AE$3=Z$3)*($V407:$AE407=Z407)*($V$2:$AE$2&lt;Z$2))),2))))</f>
      </c>
      <c r="AK407" s="33">
        <f>IF(AA407&lt;=0,0,MAX(0,MIN(AA407,ROUND($AZ407-SUMPRODUCT($V407:$AE407*($V407:$AE407&gt;0)*(($V$3:$AE$3&gt;AA$3)+($V$3:$AE$3=AA$3)*($V407:$AE407&lt;AA407)+($V$3:$AE$3=AA$3)*($V407:$AE407=AA407)*($V$2:$AE$2&lt;AA$2))),2))))</f>
      </c>
      <c r="AL407" s="33">
        <f>IF(AB407&lt;=0,0,MAX(0,MIN(AB407,ROUND($AZ407-SUMPRODUCT($V407:$AE407*($V407:$AE407&gt;0)*(($V$3:$AE$3&gt;AB$3)+($V$3:$AE$3=AB$3)*($V407:$AE407&lt;AB407)+($V$3:$AE$3=AB$3)*($V407:$AE407=AB407)*($V$2:$AE$2&lt;AB$2))),2))))</f>
      </c>
      <c r="AM407" s="33">
        <f>IF(AC407&lt;=0,0,MAX(0,MIN(AC407,ROUND($AZ407-SUMPRODUCT($V407:$AE407*($V407:$AE407&gt;0)*(($V$3:$AE$3&gt;AC$3)+($V$3:$AE$3=AC$3)*($V407:$AE407&lt;AC407)+($V$3:$AE$3=AC$3)*($V407:$AE407=AC407)*($V$2:$AE$2&lt;AC$2))),2))))</f>
      </c>
      <c r="AN407" s="33">
        <f>IF(AD407&lt;=0,0,MAX(0,MIN(AD407,ROUND($AZ407-SUMPRODUCT($V407:$AE407*($V407:$AE407&gt;0)*(($V$3:$AE$3&gt;AD$3)+($V$3:$AE$3=AD$3)*($V407:$AE407&lt;AD407)+($V$3:$AE$3=AD$3)*($V407:$AE407=AD407)*($V$2:$AE$2&lt;AD$2))),2))))</f>
      </c>
      <c r="AO407" s="33">
        <f>IF(AE407&lt;=0,0,MAX(0,MIN(AE407,ROUND($AZ407-SUMPRODUCT($V407:$AE407*($V407:$AE407&gt;0)*(($V$3:$AE$3&gt;AE$3)+($V$3:$AE$3=AE$3)*($V407:$AE407&lt;AE407)+($V$3:$AE$3=AE$3)*($V407:$AE407=AE407)*($V$2:$AE$2&lt;AE$2))),2))))</f>
      </c>
      <c r="AP407" s="33">
        <f>ROUND(V407-AF407,2)</f>
      </c>
      <c r="AQ407" s="33">
        <f>ROUND(W407-AG407,2)</f>
      </c>
      <c r="AR407" s="33">
        <f>ROUND(X407-AH407,2)</f>
      </c>
      <c r="AS407" s="33">
        <f>ROUND(Y407-AI407,2)</f>
      </c>
      <c r="AT407" s="33">
        <f>ROUND(Z407-AJ407,2)</f>
      </c>
      <c r="AU407" s="33">
        <f>ROUND(AA407-AK407,2)</f>
      </c>
      <c r="AV407" s="33">
        <f>ROUND(AB407-AL407,2)</f>
      </c>
      <c r="AW407" s="33">
        <f>ROUND(AC407-AM407,2)</f>
      </c>
      <c r="AX407" s="33">
        <f>ROUND(AD407-AN407,2)</f>
      </c>
      <c r="AY407" s="33">
        <f>ROUND(AE407-AO407,2)</f>
      </c>
      <c r="AZ407" s="33">
        <f>ROUND(MAX(0,'Your debts'!$D$22-SUM($L407:$U407)),2)</f>
      </c>
      <c r="BA407" s="33">
        <f>ROUND(SUM($B407:$K407)-SUM($AP406:$AY406),2)</f>
      </c>
      <c r="BB407" s="33">
        <f>SUM($AP407:$AY407)</f>
      </c>
      <c r="BC407" s="33">
        <f>ROUND(SUM($L407:$U407)+SUM($AF407:$AO407),2)</f>
      </c>
    </row>
    <row r="408" spans="1:55" x14ac:dyDescent="0.25">
      <c r="A408">
        <v>401</v>
      </c>
      <c r="B408" s="33">
        <f>IF(AP407&lt;=0,0,ROUND(AP407+ROUND(AP407*V$3/12,2),2))</f>
      </c>
      <c r="C408" s="33">
        <f>IF(AQ407&lt;=0,0,ROUND(AQ407+ROUND(AQ407*W$3/12,2),2))</f>
      </c>
      <c r="D408" s="33">
        <f>IF(AR407&lt;=0,0,ROUND(AR407+ROUND(AR407*X$3/12,2),2))</f>
      </c>
      <c r="E408" s="33">
        <f>IF(AS407&lt;=0,0,ROUND(AS407+ROUND(AS407*Y$3/12,2),2))</f>
      </c>
      <c r="F408" s="33">
        <f>IF(AT407&lt;=0,0,ROUND(AT407+ROUND(AT407*Z$3/12,2),2))</f>
      </c>
      <c r="G408" s="33">
        <f>IF(AU407&lt;=0,0,ROUND(AU407+ROUND(AU407*AA$3/12,2),2))</f>
      </c>
      <c r="H408" s="33">
        <f>IF(AV407&lt;=0,0,ROUND(AV407+ROUND(AV407*AB$3/12,2),2))</f>
      </c>
      <c r="I408" s="33">
        <f>IF(AW407&lt;=0,0,ROUND(AW407+ROUND(AW407*AC$3/12,2),2))</f>
      </c>
      <c r="J408" s="33">
        <f>IF(AX407&lt;=0,0,ROUND(AX407+ROUND(AX407*AD$3/12,2),2))</f>
      </c>
      <c r="K408" s="33">
        <f>IF(AY407&lt;=0,0,ROUND(AY407+ROUND(AY407*AE$3/12,2),2))</f>
      </c>
      <c r="L408" s="33">
        <f>ROUND(MIN(MAX(0,N('Your debts'!$E$6)),B408),2)</f>
      </c>
      <c r="M408" s="33">
        <f>ROUND(MIN(MAX(0,N('Your debts'!$E$7)),C408),2)</f>
      </c>
      <c r="N408" s="33">
        <f>ROUND(MIN(MAX(0,N('Your debts'!$E$8)),D408),2)</f>
      </c>
      <c r="O408" s="33">
        <f>ROUND(MIN(MAX(0,N('Your debts'!$E$9)),E408),2)</f>
      </c>
      <c r="P408" s="33">
        <f>ROUND(MIN(MAX(0,N('Your debts'!$E$10)),F408),2)</f>
      </c>
      <c r="Q408" s="33">
        <f>ROUND(MIN(MAX(0,N('Your debts'!$E$11)),G408),2)</f>
      </c>
      <c r="R408" s="33">
        <f>ROUND(MIN(MAX(0,N('Your debts'!$E$12)),H408),2)</f>
      </c>
      <c r="S408" s="33">
        <f>ROUND(MIN(MAX(0,N('Your debts'!$E$13)),I408),2)</f>
      </c>
      <c r="T408" s="33">
        <f>ROUND(MIN(MAX(0,N('Your debts'!$E$14)),J408),2)</f>
      </c>
      <c r="U408" s="33">
        <f>ROUND(MIN(MAX(0,N('Your debts'!$E$15)),K408),2)</f>
      </c>
      <c r="V408" s="33">
        <f>ROUND(B408-L408,2)</f>
      </c>
      <c r="W408" s="33">
        <f>ROUND(C408-M408,2)</f>
      </c>
      <c r="X408" s="33">
        <f>ROUND(D408-N408,2)</f>
      </c>
      <c r="Y408" s="33">
        <f>ROUND(E408-O408,2)</f>
      </c>
      <c r="Z408" s="33">
        <f>ROUND(F408-P408,2)</f>
      </c>
      <c r="AA408" s="33">
        <f>ROUND(G408-Q408,2)</f>
      </c>
      <c r="AB408" s="33">
        <f>ROUND(H408-R408,2)</f>
      </c>
      <c r="AC408" s="33">
        <f>ROUND(I408-S408,2)</f>
      </c>
      <c r="AD408" s="33">
        <f>ROUND(J408-T408,2)</f>
      </c>
      <c r="AE408" s="33">
        <f>ROUND(K408-U408,2)</f>
      </c>
      <c r="AF408" s="33">
        <f>IF(V408&lt;=0,0,MAX(0,MIN(V408,ROUND($AZ408-SUMPRODUCT($V408:$AE408*($V408:$AE408&gt;0)*(($V$3:$AE$3&gt;V$3)+($V$3:$AE$3=V$3)*($V408:$AE408&lt;V408)+($V$3:$AE$3=V$3)*($V408:$AE408=V408)*($V$2:$AE$2&lt;V$2))),2))))</f>
      </c>
      <c r="AG408" s="33">
        <f>IF(W408&lt;=0,0,MAX(0,MIN(W408,ROUND($AZ408-SUMPRODUCT($V408:$AE408*($V408:$AE408&gt;0)*(($V$3:$AE$3&gt;W$3)+($V$3:$AE$3=W$3)*($V408:$AE408&lt;W408)+($V$3:$AE$3=W$3)*($V408:$AE408=W408)*($V$2:$AE$2&lt;W$2))),2))))</f>
      </c>
      <c r="AH408" s="33">
        <f>IF(X408&lt;=0,0,MAX(0,MIN(X408,ROUND($AZ408-SUMPRODUCT($V408:$AE408*($V408:$AE408&gt;0)*(($V$3:$AE$3&gt;X$3)+($V$3:$AE$3=X$3)*($V408:$AE408&lt;X408)+($V$3:$AE$3=X$3)*($V408:$AE408=X408)*($V$2:$AE$2&lt;X$2))),2))))</f>
      </c>
      <c r="AI408" s="33">
        <f>IF(Y408&lt;=0,0,MAX(0,MIN(Y408,ROUND($AZ408-SUMPRODUCT($V408:$AE408*($V408:$AE408&gt;0)*(($V$3:$AE$3&gt;Y$3)+($V$3:$AE$3=Y$3)*($V408:$AE408&lt;Y408)+($V$3:$AE$3=Y$3)*($V408:$AE408=Y408)*($V$2:$AE$2&lt;Y$2))),2))))</f>
      </c>
      <c r="AJ408" s="33">
        <f>IF(Z408&lt;=0,0,MAX(0,MIN(Z408,ROUND($AZ408-SUMPRODUCT($V408:$AE408*($V408:$AE408&gt;0)*(($V$3:$AE$3&gt;Z$3)+($V$3:$AE$3=Z$3)*($V408:$AE408&lt;Z408)+($V$3:$AE$3=Z$3)*($V408:$AE408=Z408)*($V$2:$AE$2&lt;Z$2))),2))))</f>
      </c>
      <c r="AK408" s="33">
        <f>IF(AA408&lt;=0,0,MAX(0,MIN(AA408,ROUND($AZ408-SUMPRODUCT($V408:$AE408*($V408:$AE408&gt;0)*(($V$3:$AE$3&gt;AA$3)+($V$3:$AE$3=AA$3)*($V408:$AE408&lt;AA408)+($V$3:$AE$3=AA$3)*($V408:$AE408=AA408)*($V$2:$AE$2&lt;AA$2))),2))))</f>
      </c>
      <c r="AL408" s="33">
        <f>IF(AB408&lt;=0,0,MAX(0,MIN(AB408,ROUND($AZ408-SUMPRODUCT($V408:$AE408*($V408:$AE408&gt;0)*(($V$3:$AE$3&gt;AB$3)+($V$3:$AE$3=AB$3)*($V408:$AE408&lt;AB408)+($V$3:$AE$3=AB$3)*($V408:$AE408=AB408)*($V$2:$AE$2&lt;AB$2))),2))))</f>
      </c>
      <c r="AM408" s="33">
        <f>IF(AC408&lt;=0,0,MAX(0,MIN(AC408,ROUND($AZ408-SUMPRODUCT($V408:$AE408*($V408:$AE408&gt;0)*(($V$3:$AE$3&gt;AC$3)+($V$3:$AE$3=AC$3)*($V408:$AE408&lt;AC408)+($V$3:$AE$3=AC$3)*($V408:$AE408=AC408)*($V$2:$AE$2&lt;AC$2))),2))))</f>
      </c>
      <c r="AN408" s="33">
        <f>IF(AD408&lt;=0,0,MAX(0,MIN(AD408,ROUND($AZ408-SUMPRODUCT($V408:$AE408*($V408:$AE408&gt;0)*(($V$3:$AE$3&gt;AD$3)+($V$3:$AE$3=AD$3)*($V408:$AE408&lt;AD408)+($V$3:$AE$3=AD$3)*($V408:$AE408=AD408)*($V$2:$AE$2&lt;AD$2))),2))))</f>
      </c>
      <c r="AO408" s="33">
        <f>IF(AE408&lt;=0,0,MAX(0,MIN(AE408,ROUND($AZ408-SUMPRODUCT($V408:$AE408*($V408:$AE408&gt;0)*(($V$3:$AE$3&gt;AE$3)+($V$3:$AE$3=AE$3)*($V408:$AE408&lt;AE408)+($V$3:$AE$3=AE$3)*($V408:$AE408=AE408)*($V$2:$AE$2&lt;AE$2))),2))))</f>
      </c>
      <c r="AP408" s="33">
        <f>ROUND(V408-AF408,2)</f>
      </c>
      <c r="AQ408" s="33">
        <f>ROUND(W408-AG408,2)</f>
      </c>
      <c r="AR408" s="33">
        <f>ROUND(X408-AH408,2)</f>
      </c>
      <c r="AS408" s="33">
        <f>ROUND(Y408-AI408,2)</f>
      </c>
      <c r="AT408" s="33">
        <f>ROUND(Z408-AJ408,2)</f>
      </c>
      <c r="AU408" s="33">
        <f>ROUND(AA408-AK408,2)</f>
      </c>
      <c r="AV408" s="33">
        <f>ROUND(AB408-AL408,2)</f>
      </c>
      <c r="AW408" s="33">
        <f>ROUND(AC408-AM408,2)</f>
      </c>
      <c r="AX408" s="33">
        <f>ROUND(AD408-AN408,2)</f>
      </c>
      <c r="AY408" s="33">
        <f>ROUND(AE408-AO408,2)</f>
      </c>
      <c r="AZ408" s="33">
        <f>ROUND(MAX(0,'Your debts'!$D$22-SUM($L408:$U408)),2)</f>
      </c>
      <c r="BA408" s="33">
        <f>ROUND(SUM($B408:$K408)-SUM($AP407:$AY407),2)</f>
      </c>
      <c r="BB408" s="33">
        <f>SUM($AP408:$AY408)</f>
      </c>
      <c r="BC408" s="33">
        <f>ROUND(SUM($L408:$U408)+SUM($AF408:$AO408),2)</f>
      </c>
    </row>
    <row r="409" spans="1:55" x14ac:dyDescent="0.25">
      <c r="A409">
        <v>402</v>
      </c>
      <c r="B409" s="33">
        <f>IF(AP408&lt;=0,0,ROUND(AP408+ROUND(AP408*V$3/12,2),2))</f>
      </c>
      <c r="C409" s="33">
        <f>IF(AQ408&lt;=0,0,ROUND(AQ408+ROUND(AQ408*W$3/12,2),2))</f>
      </c>
      <c r="D409" s="33">
        <f>IF(AR408&lt;=0,0,ROUND(AR408+ROUND(AR408*X$3/12,2),2))</f>
      </c>
      <c r="E409" s="33">
        <f>IF(AS408&lt;=0,0,ROUND(AS408+ROUND(AS408*Y$3/12,2),2))</f>
      </c>
      <c r="F409" s="33">
        <f>IF(AT408&lt;=0,0,ROUND(AT408+ROUND(AT408*Z$3/12,2),2))</f>
      </c>
      <c r="G409" s="33">
        <f>IF(AU408&lt;=0,0,ROUND(AU408+ROUND(AU408*AA$3/12,2),2))</f>
      </c>
      <c r="H409" s="33">
        <f>IF(AV408&lt;=0,0,ROUND(AV408+ROUND(AV408*AB$3/12,2),2))</f>
      </c>
      <c r="I409" s="33">
        <f>IF(AW408&lt;=0,0,ROUND(AW408+ROUND(AW408*AC$3/12,2),2))</f>
      </c>
      <c r="J409" s="33">
        <f>IF(AX408&lt;=0,0,ROUND(AX408+ROUND(AX408*AD$3/12,2),2))</f>
      </c>
      <c r="K409" s="33">
        <f>IF(AY408&lt;=0,0,ROUND(AY408+ROUND(AY408*AE$3/12,2),2))</f>
      </c>
      <c r="L409" s="33">
        <f>ROUND(MIN(MAX(0,N('Your debts'!$E$6)),B409),2)</f>
      </c>
      <c r="M409" s="33">
        <f>ROUND(MIN(MAX(0,N('Your debts'!$E$7)),C409),2)</f>
      </c>
      <c r="N409" s="33">
        <f>ROUND(MIN(MAX(0,N('Your debts'!$E$8)),D409),2)</f>
      </c>
      <c r="O409" s="33">
        <f>ROUND(MIN(MAX(0,N('Your debts'!$E$9)),E409),2)</f>
      </c>
      <c r="P409" s="33">
        <f>ROUND(MIN(MAX(0,N('Your debts'!$E$10)),F409),2)</f>
      </c>
      <c r="Q409" s="33">
        <f>ROUND(MIN(MAX(0,N('Your debts'!$E$11)),G409),2)</f>
      </c>
      <c r="R409" s="33">
        <f>ROUND(MIN(MAX(0,N('Your debts'!$E$12)),H409),2)</f>
      </c>
      <c r="S409" s="33">
        <f>ROUND(MIN(MAX(0,N('Your debts'!$E$13)),I409),2)</f>
      </c>
      <c r="T409" s="33">
        <f>ROUND(MIN(MAX(0,N('Your debts'!$E$14)),J409),2)</f>
      </c>
      <c r="U409" s="33">
        <f>ROUND(MIN(MAX(0,N('Your debts'!$E$15)),K409),2)</f>
      </c>
      <c r="V409" s="33">
        <f>ROUND(B409-L409,2)</f>
      </c>
      <c r="W409" s="33">
        <f>ROUND(C409-M409,2)</f>
      </c>
      <c r="X409" s="33">
        <f>ROUND(D409-N409,2)</f>
      </c>
      <c r="Y409" s="33">
        <f>ROUND(E409-O409,2)</f>
      </c>
      <c r="Z409" s="33">
        <f>ROUND(F409-P409,2)</f>
      </c>
      <c r="AA409" s="33">
        <f>ROUND(G409-Q409,2)</f>
      </c>
      <c r="AB409" s="33">
        <f>ROUND(H409-R409,2)</f>
      </c>
      <c r="AC409" s="33">
        <f>ROUND(I409-S409,2)</f>
      </c>
      <c r="AD409" s="33">
        <f>ROUND(J409-T409,2)</f>
      </c>
      <c r="AE409" s="33">
        <f>ROUND(K409-U409,2)</f>
      </c>
      <c r="AF409" s="33">
        <f>IF(V409&lt;=0,0,MAX(0,MIN(V409,ROUND($AZ409-SUMPRODUCT($V409:$AE409*($V409:$AE409&gt;0)*(($V$3:$AE$3&gt;V$3)+($V$3:$AE$3=V$3)*($V409:$AE409&lt;V409)+($V$3:$AE$3=V$3)*($V409:$AE409=V409)*($V$2:$AE$2&lt;V$2))),2))))</f>
      </c>
      <c r="AG409" s="33">
        <f>IF(W409&lt;=0,0,MAX(0,MIN(W409,ROUND($AZ409-SUMPRODUCT($V409:$AE409*($V409:$AE409&gt;0)*(($V$3:$AE$3&gt;W$3)+($V$3:$AE$3=W$3)*($V409:$AE409&lt;W409)+($V$3:$AE$3=W$3)*($V409:$AE409=W409)*($V$2:$AE$2&lt;W$2))),2))))</f>
      </c>
      <c r="AH409" s="33">
        <f>IF(X409&lt;=0,0,MAX(0,MIN(X409,ROUND($AZ409-SUMPRODUCT($V409:$AE409*($V409:$AE409&gt;0)*(($V$3:$AE$3&gt;X$3)+($V$3:$AE$3=X$3)*($V409:$AE409&lt;X409)+($V$3:$AE$3=X$3)*($V409:$AE409=X409)*($V$2:$AE$2&lt;X$2))),2))))</f>
      </c>
      <c r="AI409" s="33">
        <f>IF(Y409&lt;=0,0,MAX(0,MIN(Y409,ROUND($AZ409-SUMPRODUCT($V409:$AE409*($V409:$AE409&gt;0)*(($V$3:$AE$3&gt;Y$3)+($V$3:$AE$3=Y$3)*($V409:$AE409&lt;Y409)+($V$3:$AE$3=Y$3)*($V409:$AE409=Y409)*($V$2:$AE$2&lt;Y$2))),2))))</f>
      </c>
      <c r="AJ409" s="33">
        <f>IF(Z409&lt;=0,0,MAX(0,MIN(Z409,ROUND($AZ409-SUMPRODUCT($V409:$AE409*($V409:$AE409&gt;0)*(($V$3:$AE$3&gt;Z$3)+($V$3:$AE$3=Z$3)*($V409:$AE409&lt;Z409)+($V$3:$AE$3=Z$3)*($V409:$AE409=Z409)*($V$2:$AE$2&lt;Z$2))),2))))</f>
      </c>
      <c r="AK409" s="33">
        <f>IF(AA409&lt;=0,0,MAX(0,MIN(AA409,ROUND($AZ409-SUMPRODUCT($V409:$AE409*($V409:$AE409&gt;0)*(($V$3:$AE$3&gt;AA$3)+($V$3:$AE$3=AA$3)*($V409:$AE409&lt;AA409)+($V$3:$AE$3=AA$3)*($V409:$AE409=AA409)*($V$2:$AE$2&lt;AA$2))),2))))</f>
      </c>
      <c r="AL409" s="33">
        <f>IF(AB409&lt;=0,0,MAX(0,MIN(AB409,ROUND($AZ409-SUMPRODUCT($V409:$AE409*($V409:$AE409&gt;0)*(($V$3:$AE$3&gt;AB$3)+($V$3:$AE$3=AB$3)*($V409:$AE409&lt;AB409)+($V$3:$AE$3=AB$3)*($V409:$AE409=AB409)*($V$2:$AE$2&lt;AB$2))),2))))</f>
      </c>
      <c r="AM409" s="33">
        <f>IF(AC409&lt;=0,0,MAX(0,MIN(AC409,ROUND($AZ409-SUMPRODUCT($V409:$AE409*($V409:$AE409&gt;0)*(($V$3:$AE$3&gt;AC$3)+($V$3:$AE$3=AC$3)*($V409:$AE409&lt;AC409)+($V$3:$AE$3=AC$3)*($V409:$AE409=AC409)*($V$2:$AE$2&lt;AC$2))),2))))</f>
      </c>
      <c r="AN409" s="33">
        <f>IF(AD409&lt;=0,0,MAX(0,MIN(AD409,ROUND($AZ409-SUMPRODUCT($V409:$AE409*($V409:$AE409&gt;0)*(($V$3:$AE$3&gt;AD$3)+($V$3:$AE$3=AD$3)*($V409:$AE409&lt;AD409)+($V$3:$AE$3=AD$3)*($V409:$AE409=AD409)*($V$2:$AE$2&lt;AD$2))),2))))</f>
      </c>
      <c r="AO409" s="33">
        <f>IF(AE409&lt;=0,0,MAX(0,MIN(AE409,ROUND($AZ409-SUMPRODUCT($V409:$AE409*($V409:$AE409&gt;0)*(($V$3:$AE$3&gt;AE$3)+($V$3:$AE$3=AE$3)*($V409:$AE409&lt;AE409)+($V$3:$AE$3=AE$3)*($V409:$AE409=AE409)*($V$2:$AE$2&lt;AE$2))),2))))</f>
      </c>
      <c r="AP409" s="33">
        <f>ROUND(V409-AF409,2)</f>
      </c>
      <c r="AQ409" s="33">
        <f>ROUND(W409-AG409,2)</f>
      </c>
      <c r="AR409" s="33">
        <f>ROUND(X409-AH409,2)</f>
      </c>
      <c r="AS409" s="33">
        <f>ROUND(Y409-AI409,2)</f>
      </c>
      <c r="AT409" s="33">
        <f>ROUND(Z409-AJ409,2)</f>
      </c>
      <c r="AU409" s="33">
        <f>ROUND(AA409-AK409,2)</f>
      </c>
      <c r="AV409" s="33">
        <f>ROUND(AB409-AL409,2)</f>
      </c>
      <c r="AW409" s="33">
        <f>ROUND(AC409-AM409,2)</f>
      </c>
      <c r="AX409" s="33">
        <f>ROUND(AD409-AN409,2)</f>
      </c>
      <c r="AY409" s="33">
        <f>ROUND(AE409-AO409,2)</f>
      </c>
      <c r="AZ409" s="33">
        <f>ROUND(MAX(0,'Your debts'!$D$22-SUM($L409:$U409)),2)</f>
      </c>
      <c r="BA409" s="33">
        <f>ROUND(SUM($B409:$K409)-SUM($AP408:$AY408),2)</f>
      </c>
      <c r="BB409" s="33">
        <f>SUM($AP409:$AY409)</f>
      </c>
      <c r="BC409" s="33">
        <f>ROUND(SUM($L409:$U409)+SUM($AF409:$AO409),2)</f>
      </c>
    </row>
    <row r="410" spans="1:55" x14ac:dyDescent="0.25">
      <c r="A410">
        <v>403</v>
      </c>
      <c r="B410" s="33">
        <f>IF(AP409&lt;=0,0,ROUND(AP409+ROUND(AP409*V$3/12,2),2))</f>
      </c>
      <c r="C410" s="33">
        <f>IF(AQ409&lt;=0,0,ROUND(AQ409+ROUND(AQ409*W$3/12,2),2))</f>
      </c>
      <c r="D410" s="33">
        <f>IF(AR409&lt;=0,0,ROUND(AR409+ROUND(AR409*X$3/12,2),2))</f>
      </c>
      <c r="E410" s="33">
        <f>IF(AS409&lt;=0,0,ROUND(AS409+ROUND(AS409*Y$3/12,2),2))</f>
      </c>
      <c r="F410" s="33">
        <f>IF(AT409&lt;=0,0,ROUND(AT409+ROUND(AT409*Z$3/12,2),2))</f>
      </c>
      <c r="G410" s="33">
        <f>IF(AU409&lt;=0,0,ROUND(AU409+ROUND(AU409*AA$3/12,2),2))</f>
      </c>
      <c r="H410" s="33">
        <f>IF(AV409&lt;=0,0,ROUND(AV409+ROUND(AV409*AB$3/12,2),2))</f>
      </c>
      <c r="I410" s="33">
        <f>IF(AW409&lt;=0,0,ROUND(AW409+ROUND(AW409*AC$3/12,2),2))</f>
      </c>
      <c r="J410" s="33">
        <f>IF(AX409&lt;=0,0,ROUND(AX409+ROUND(AX409*AD$3/12,2),2))</f>
      </c>
      <c r="K410" s="33">
        <f>IF(AY409&lt;=0,0,ROUND(AY409+ROUND(AY409*AE$3/12,2),2))</f>
      </c>
      <c r="L410" s="33">
        <f>ROUND(MIN(MAX(0,N('Your debts'!$E$6)),B410),2)</f>
      </c>
      <c r="M410" s="33">
        <f>ROUND(MIN(MAX(0,N('Your debts'!$E$7)),C410),2)</f>
      </c>
      <c r="N410" s="33">
        <f>ROUND(MIN(MAX(0,N('Your debts'!$E$8)),D410),2)</f>
      </c>
      <c r="O410" s="33">
        <f>ROUND(MIN(MAX(0,N('Your debts'!$E$9)),E410),2)</f>
      </c>
      <c r="P410" s="33">
        <f>ROUND(MIN(MAX(0,N('Your debts'!$E$10)),F410),2)</f>
      </c>
      <c r="Q410" s="33">
        <f>ROUND(MIN(MAX(0,N('Your debts'!$E$11)),G410),2)</f>
      </c>
      <c r="R410" s="33">
        <f>ROUND(MIN(MAX(0,N('Your debts'!$E$12)),H410),2)</f>
      </c>
      <c r="S410" s="33">
        <f>ROUND(MIN(MAX(0,N('Your debts'!$E$13)),I410),2)</f>
      </c>
      <c r="T410" s="33">
        <f>ROUND(MIN(MAX(0,N('Your debts'!$E$14)),J410),2)</f>
      </c>
      <c r="U410" s="33">
        <f>ROUND(MIN(MAX(0,N('Your debts'!$E$15)),K410),2)</f>
      </c>
      <c r="V410" s="33">
        <f>ROUND(B410-L410,2)</f>
      </c>
      <c r="W410" s="33">
        <f>ROUND(C410-M410,2)</f>
      </c>
      <c r="X410" s="33">
        <f>ROUND(D410-N410,2)</f>
      </c>
      <c r="Y410" s="33">
        <f>ROUND(E410-O410,2)</f>
      </c>
      <c r="Z410" s="33">
        <f>ROUND(F410-P410,2)</f>
      </c>
      <c r="AA410" s="33">
        <f>ROUND(G410-Q410,2)</f>
      </c>
      <c r="AB410" s="33">
        <f>ROUND(H410-R410,2)</f>
      </c>
      <c r="AC410" s="33">
        <f>ROUND(I410-S410,2)</f>
      </c>
      <c r="AD410" s="33">
        <f>ROUND(J410-T410,2)</f>
      </c>
      <c r="AE410" s="33">
        <f>ROUND(K410-U410,2)</f>
      </c>
      <c r="AF410" s="33">
        <f>IF(V410&lt;=0,0,MAX(0,MIN(V410,ROUND($AZ410-SUMPRODUCT($V410:$AE410*($V410:$AE410&gt;0)*(($V$3:$AE$3&gt;V$3)+($V$3:$AE$3=V$3)*($V410:$AE410&lt;V410)+($V$3:$AE$3=V$3)*($V410:$AE410=V410)*($V$2:$AE$2&lt;V$2))),2))))</f>
      </c>
      <c r="AG410" s="33">
        <f>IF(W410&lt;=0,0,MAX(0,MIN(W410,ROUND($AZ410-SUMPRODUCT($V410:$AE410*($V410:$AE410&gt;0)*(($V$3:$AE$3&gt;W$3)+($V$3:$AE$3=W$3)*($V410:$AE410&lt;W410)+($V$3:$AE$3=W$3)*($V410:$AE410=W410)*($V$2:$AE$2&lt;W$2))),2))))</f>
      </c>
      <c r="AH410" s="33">
        <f>IF(X410&lt;=0,0,MAX(0,MIN(X410,ROUND($AZ410-SUMPRODUCT($V410:$AE410*($V410:$AE410&gt;0)*(($V$3:$AE$3&gt;X$3)+($V$3:$AE$3=X$3)*($V410:$AE410&lt;X410)+($V$3:$AE$3=X$3)*($V410:$AE410=X410)*($V$2:$AE$2&lt;X$2))),2))))</f>
      </c>
      <c r="AI410" s="33">
        <f>IF(Y410&lt;=0,0,MAX(0,MIN(Y410,ROUND($AZ410-SUMPRODUCT($V410:$AE410*($V410:$AE410&gt;0)*(($V$3:$AE$3&gt;Y$3)+($V$3:$AE$3=Y$3)*($V410:$AE410&lt;Y410)+($V$3:$AE$3=Y$3)*($V410:$AE410=Y410)*($V$2:$AE$2&lt;Y$2))),2))))</f>
      </c>
      <c r="AJ410" s="33">
        <f>IF(Z410&lt;=0,0,MAX(0,MIN(Z410,ROUND($AZ410-SUMPRODUCT($V410:$AE410*($V410:$AE410&gt;0)*(($V$3:$AE$3&gt;Z$3)+($V$3:$AE$3=Z$3)*($V410:$AE410&lt;Z410)+($V$3:$AE$3=Z$3)*($V410:$AE410=Z410)*($V$2:$AE$2&lt;Z$2))),2))))</f>
      </c>
      <c r="AK410" s="33">
        <f>IF(AA410&lt;=0,0,MAX(0,MIN(AA410,ROUND($AZ410-SUMPRODUCT($V410:$AE410*($V410:$AE410&gt;0)*(($V$3:$AE$3&gt;AA$3)+($V$3:$AE$3=AA$3)*($V410:$AE410&lt;AA410)+($V$3:$AE$3=AA$3)*($V410:$AE410=AA410)*($V$2:$AE$2&lt;AA$2))),2))))</f>
      </c>
      <c r="AL410" s="33">
        <f>IF(AB410&lt;=0,0,MAX(0,MIN(AB410,ROUND($AZ410-SUMPRODUCT($V410:$AE410*($V410:$AE410&gt;0)*(($V$3:$AE$3&gt;AB$3)+($V$3:$AE$3=AB$3)*($V410:$AE410&lt;AB410)+($V$3:$AE$3=AB$3)*($V410:$AE410=AB410)*($V$2:$AE$2&lt;AB$2))),2))))</f>
      </c>
      <c r="AM410" s="33">
        <f>IF(AC410&lt;=0,0,MAX(0,MIN(AC410,ROUND($AZ410-SUMPRODUCT($V410:$AE410*($V410:$AE410&gt;0)*(($V$3:$AE$3&gt;AC$3)+($V$3:$AE$3=AC$3)*($V410:$AE410&lt;AC410)+($V$3:$AE$3=AC$3)*($V410:$AE410=AC410)*($V$2:$AE$2&lt;AC$2))),2))))</f>
      </c>
      <c r="AN410" s="33">
        <f>IF(AD410&lt;=0,0,MAX(0,MIN(AD410,ROUND($AZ410-SUMPRODUCT($V410:$AE410*($V410:$AE410&gt;0)*(($V$3:$AE$3&gt;AD$3)+($V$3:$AE$3=AD$3)*($V410:$AE410&lt;AD410)+($V$3:$AE$3=AD$3)*($V410:$AE410=AD410)*($V$2:$AE$2&lt;AD$2))),2))))</f>
      </c>
      <c r="AO410" s="33">
        <f>IF(AE410&lt;=0,0,MAX(0,MIN(AE410,ROUND($AZ410-SUMPRODUCT($V410:$AE410*($V410:$AE410&gt;0)*(($V$3:$AE$3&gt;AE$3)+($V$3:$AE$3=AE$3)*($V410:$AE410&lt;AE410)+($V$3:$AE$3=AE$3)*($V410:$AE410=AE410)*($V$2:$AE$2&lt;AE$2))),2))))</f>
      </c>
      <c r="AP410" s="33">
        <f>ROUND(V410-AF410,2)</f>
      </c>
      <c r="AQ410" s="33">
        <f>ROUND(W410-AG410,2)</f>
      </c>
      <c r="AR410" s="33">
        <f>ROUND(X410-AH410,2)</f>
      </c>
      <c r="AS410" s="33">
        <f>ROUND(Y410-AI410,2)</f>
      </c>
      <c r="AT410" s="33">
        <f>ROUND(Z410-AJ410,2)</f>
      </c>
      <c r="AU410" s="33">
        <f>ROUND(AA410-AK410,2)</f>
      </c>
      <c r="AV410" s="33">
        <f>ROUND(AB410-AL410,2)</f>
      </c>
      <c r="AW410" s="33">
        <f>ROUND(AC410-AM410,2)</f>
      </c>
      <c r="AX410" s="33">
        <f>ROUND(AD410-AN410,2)</f>
      </c>
      <c r="AY410" s="33">
        <f>ROUND(AE410-AO410,2)</f>
      </c>
      <c r="AZ410" s="33">
        <f>ROUND(MAX(0,'Your debts'!$D$22-SUM($L410:$U410)),2)</f>
      </c>
      <c r="BA410" s="33">
        <f>ROUND(SUM($B410:$K410)-SUM($AP409:$AY409),2)</f>
      </c>
      <c r="BB410" s="33">
        <f>SUM($AP410:$AY410)</f>
      </c>
      <c r="BC410" s="33">
        <f>ROUND(SUM($L410:$U410)+SUM($AF410:$AO410),2)</f>
      </c>
    </row>
    <row r="411" spans="1:55" x14ac:dyDescent="0.25">
      <c r="A411">
        <v>404</v>
      </c>
      <c r="B411" s="33">
        <f>IF(AP410&lt;=0,0,ROUND(AP410+ROUND(AP410*V$3/12,2),2))</f>
      </c>
      <c r="C411" s="33">
        <f>IF(AQ410&lt;=0,0,ROUND(AQ410+ROUND(AQ410*W$3/12,2),2))</f>
      </c>
      <c r="D411" s="33">
        <f>IF(AR410&lt;=0,0,ROUND(AR410+ROUND(AR410*X$3/12,2),2))</f>
      </c>
      <c r="E411" s="33">
        <f>IF(AS410&lt;=0,0,ROUND(AS410+ROUND(AS410*Y$3/12,2),2))</f>
      </c>
      <c r="F411" s="33">
        <f>IF(AT410&lt;=0,0,ROUND(AT410+ROUND(AT410*Z$3/12,2),2))</f>
      </c>
      <c r="G411" s="33">
        <f>IF(AU410&lt;=0,0,ROUND(AU410+ROUND(AU410*AA$3/12,2),2))</f>
      </c>
      <c r="H411" s="33">
        <f>IF(AV410&lt;=0,0,ROUND(AV410+ROUND(AV410*AB$3/12,2),2))</f>
      </c>
      <c r="I411" s="33">
        <f>IF(AW410&lt;=0,0,ROUND(AW410+ROUND(AW410*AC$3/12,2),2))</f>
      </c>
      <c r="J411" s="33">
        <f>IF(AX410&lt;=0,0,ROUND(AX410+ROUND(AX410*AD$3/12,2),2))</f>
      </c>
      <c r="K411" s="33">
        <f>IF(AY410&lt;=0,0,ROUND(AY410+ROUND(AY410*AE$3/12,2),2))</f>
      </c>
      <c r="L411" s="33">
        <f>ROUND(MIN(MAX(0,N('Your debts'!$E$6)),B411),2)</f>
      </c>
      <c r="M411" s="33">
        <f>ROUND(MIN(MAX(0,N('Your debts'!$E$7)),C411),2)</f>
      </c>
      <c r="N411" s="33">
        <f>ROUND(MIN(MAX(0,N('Your debts'!$E$8)),D411),2)</f>
      </c>
      <c r="O411" s="33">
        <f>ROUND(MIN(MAX(0,N('Your debts'!$E$9)),E411),2)</f>
      </c>
      <c r="P411" s="33">
        <f>ROUND(MIN(MAX(0,N('Your debts'!$E$10)),F411),2)</f>
      </c>
      <c r="Q411" s="33">
        <f>ROUND(MIN(MAX(0,N('Your debts'!$E$11)),G411),2)</f>
      </c>
      <c r="R411" s="33">
        <f>ROUND(MIN(MAX(0,N('Your debts'!$E$12)),H411),2)</f>
      </c>
      <c r="S411" s="33">
        <f>ROUND(MIN(MAX(0,N('Your debts'!$E$13)),I411),2)</f>
      </c>
      <c r="T411" s="33">
        <f>ROUND(MIN(MAX(0,N('Your debts'!$E$14)),J411),2)</f>
      </c>
      <c r="U411" s="33">
        <f>ROUND(MIN(MAX(0,N('Your debts'!$E$15)),K411),2)</f>
      </c>
      <c r="V411" s="33">
        <f>ROUND(B411-L411,2)</f>
      </c>
      <c r="W411" s="33">
        <f>ROUND(C411-M411,2)</f>
      </c>
      <c r="X411" s="33">
        <f>ROUND(D411-N411,2)</f>
      </c>
      <c r="Y411" s="33">
        <f>ROUND(E411-O411,2)</f>
      </c>
      <c r="Z411" s="33">
        <f>ROUND(F411-P411,2)</f>
      </c>
      <c r="AA411" s="33">
        <f>ROUND(G411-Q411,2)</f>
      </c>
      <c r="AB411" s="33">
        <f>ROUND(H411-R411,2)</f>
      </c>
      <c r="AC411" s="33">
        <f>ROUND(I411-S411,2)</f>
      </c>
      <c r="AD411" s="33">
        <f>ROUND(J411-T411,2)</f>
      </c>
      <c r="AE411" s="33">
        <f>ROUND(K411-U411,2)</f>
      </c>
      <c r="AF411" s="33">
        <f>IF(V411&lt;=0,0,MAX(0,MIN(V411,ROUND($AZ411-SUMPRODUCT($V411:$AE411*($V411:$AE411&gt;0)*(($V$3:$AE$3&gt;V$3)+($V$3:$AE$3=V$3)*($V411:$AE411&lt;V411)+($V$3:$AE$3=V$3)*($V411:$AE411=V411)*($V$2:$AE$2&lt;V$2))),2))))</f>
      </c>
      <c r="AG411" s="33">
        <f>IF(W411&lt;=0,0,MAX(0,MIN(W411,ROUND($AZ411-SUMPRODUCT($V411:$AE411*($V411:$AE411&gt;0)*(($V$3:$AE$3&gt;W$3)+($V$3:$AE$3=W$3)*($V411:$AE411&lt;W411)+($V$3:$AE$3=W$3)*($V411:$AE411=W411)*($V$2:$AE$2&lt;W$2))),2))))</f>
      </c>
      <c r="AH411" s="33">
        <f>IF(X411&lt;=0,0,MAX(0,MIN(X411,ROUND($AZ411-SUMPRODUCT($V411:$AE411*($V411:$AE411&gt;0)*(($V$3:$AE$3&gt;X$3)+($V$3:$AE$3=X$3)*($V411:$AE411&lt;X411)+($V$3:$AE$3=X$3)*($V411:$AE411=X411)*($V$2:$AE$2&lt;X$2))),2))))</f>
      </c>
      <c r="AI411" s="33">
        <f>IF(Y411&lt;=0,0,MAX(0,MIN(Y411,ROUND($AZ411-SUMPRODUCT($V411:$AE411*($V411:$AE411&gt;0)*(($V$3:$AE$3&gt;Y$3)+($V$3:$AE$3=Y$3)*($V411:$AE411&lt;Y411)+($V$3:$AE$3=Y$3)*($V411:$AE411=Y411)*($V$2:$AE$2&lt;Y$2))),2))))</f>
      </c>
      <c r="AJ411" s="33">
        <f>IF(Z411&lt;=0,0,MAX(0,MIN(Z411,ROUND($AZ411-SUMPRODUCT($V411:$AE411*($V411:$AE411&gt;0)*(($V$3:$AE$3&gt;Z$3)+($V$3:$AE$3=Z$3)*($V411:$AE411&lt;Z411)+($V$3:$AE$3=Z$3)*($V411:$AE411=Z411)*($V$2:$AE$2&lt;Z$2))),2))))</f>
      </c>
      <c r="AK411" s="33">
        <f>IF(AA411&lt;=0,0,MAX(0,MIN(AA411,ROUND($AZ411-SUMPRODUCT($V411:$AE411*($V411:$AE411&gt;0)*(($V$3:$AE$3&gt;AA$3)+($V$3:$AE$3=AA$3)*($V411:$AE411&lt;AA411)+($V$3:$AE$3=AA$3)*($V411:$AE411=AA411)*($V$2:$AE$2&lt;AA$2))),2))))</f>
      </c>
      <c r="AL411" s="33">
        <f>IF(AB411&lt;=0,0,MAX(0,MIN(AB411,ROUND($AZ411-SUMPRODUCT($V411:$AE411*($V411:$AE411&gt;0)*(($V$3:$AE$3&gt;AB$3)+($V$3:$AE$3=AB$3)*($V411:$AE411&lt;AB411)+($V$3:$AE$3=AB$3)*($V411:$AE411=AB411)*($V$2:$AE$2&lt;AB$2))),2))))</f>
      </c>
      <c r="AM411" s="33">
        <f>IF(AC411&lt;=0,0,MAX(0,MIN(AC411,ROUND($AZ411-SUMPRODUCT($V411:$AE411*($V411:$AE411&gt;0)*(($V$3:$AE$3&gt;AC$3)+($V$3:$AE$3=AC$3)*($V411:$AE411&lt;AC411)+($V$3:$AE$3=AC$3)*($V411:$AE411=AC411)*($V$2:$AE$2&lt;AC$2))),2))))</f>
      </c>
      <c r="AN411" s="33">
        <f>IF(AD411&lt;=0,0,MAX(0,MIN(AD411,ROUND($AZ411-SUMPRODUCT($V411:$AE411*($V411:$AE411&gt;0)*(($V$3:$AE$3&gt;AD$3)+($V$3:$AE$3=AD$3)*($V411:$AE411&lt;AD411)+($V$3:$AE$3=AD$3)*($V411:$AE411=AD411)*($V$2:$AE$2&lt;AD$2))),2))))</f>
      </c>
      <c r="AO411" s="33">
        <f>IF(AE411&lt;=0,0,MAX(0,MIN(AE411,ROUND($AZ411-SUMPRODUCT($V411:$AE411*($V411:$AE411&gt;0)*(($V$3:$AE$3&gt;AE$3)+($V$3:$AE$3=AE$3)*($V411:$AE411&lt;AE411)+($V$3:$AE$3=AE$3)*($V411:$AE411=AE411)*($V$2:$AE$2&lt;AE$2))),2))))</f>
      </c>
      <c r="AP411" s="33">
        <f>ROUND(V411-AF411,2)</f>
      </c>
      <c r="AQ411" s="33">
        <f>ROUND(W411-AG411,2)</f>
      </c>
      <c r="AR411" s="33">
        <f>ROUND(X411-AH411,2)</f>
      </c>
      <c r="AS411" s="33">
        <f>ROUND(Y411-AI411,2)</f>
      </c>
      <c r="AT411" s="33">
        <f>ROUND(Z411-AJ411,2)</f>
      </c>
      <c r="AU411" s="33">
        <f>ROUND(AA411-AK411,2)</f>
      </c>
      <c r="AV411" s="33">
        <f>ROUND(AB411-AL411,2)</f>
      </c>
      <c r="AW411" s="33">
        <f>ROUND(AC411-AM411,2)</f>
      </c>
      <c r="AX411" s="33">
        <f>ROUND(AD411-AN411,2)</f>
      </c>
      <c r="AY411" s="33">
        <f>ROUND(AE411-AO411,2)</f>
      </c>
      <c r="AZ411" s="33">
        <f>ROUND(MAX(0,'Your debts'!$D$22-SUM($L411:$U411)),2)</f>
      </c>
      <c r="BA411" s="33">
        <f>ROUND(SUM($B411:$K411)-SUM($AP410:$AY410),2)</f>
      </c>
      <c r="BB411" s="33">
        <f>SUM($AP411:$AY411)</f>
      </c>
      <c r="BC411" s="33">
        <f>ROUND(SUM($L411:$U411)+SUM($AF411:$AO411),2)</f>
      </c>
    </row>
    <row r="412" spans="1:55" x14ac:dyDescent="0.25">
      <c r="A412">
        <v>405</v>
      </c>
      <c r="B412" s="33">
        <f>IF(AP411&lt;=0,0,ROUND(AP411+ROUND(AP411*V$3/12,2),2))</f>
      </c>
      <c r="C412" s="33">
        <f>IF(AQ411&lt;=0,0,ROUND(AQ411+ROUND(AQ411*W$3/12,2),2))</f>
      </c>
      <c r="D412" s="33">
        <f>IF(AR411&lt;=0,0,ROUND(AR411+ROUND(AR411*X$3/12,2),2))</f>
      </c>
      <c r="E412" s="33">
        <f>IF(AS411&lt;=0,0,ROUND(AS411+ROUND(AS411*Y$3/12,2),2))</f>
      </c>
      <c r="F412" s="33">
        <f>IF(AT411&lt;=0,0,ROUND(AT411+ROUND(AT411*Z$3/12,2),2))</f>
      </c>
      <c r="G412" s="33">
        <f>IF(AU411&lt;=0,0,ROUND(AU411+ROUND(AU411*AA$3/12,2),2))</f>
      </c>
      <c r="H412" s="33">
        <f>IF(AV411&lt;=0,0,ROUND(AV411+ROUND(AV411*AB$3/12,2),2))</f>
      </c>
      <c r="I412" s="33">
        <f>IF(AW411&lt;=0,0,ROUND(AW411+ROUND(AW411*AC$3/12,2),2))</f>
      </c>
      <c r="J412" s="33">
        <f>IF(AX411&lt;=0,0,ROUND(AX411+ROUND(AX411*AD$3/12,2),2))</f>
      </c>
      <c r="K412" s="33">
        <f>IF(AY411&lt;=0,0,ROUND(AY411+ROUND(AY411*AE$3/12,2),2))</f>
      </c>
      <c r="L412" s="33">
        <f>ROUND(MIN(MAX(0,N('Your debts'!$E$6)),B412),2)</f>
      </c>
      <c r="M412" s="33">
        <f>ROUND(MIN(MAX(0,N('Your debts'!$E$7)),C412),2)</f>
      </c>
      <c r="N412" s="33">
        <f>ROUND(MIN(MAX(0,N('Your debts'!$E$8)),D412),2)</f>
      </c>
      <c r="O412" s="33">
        <f>ROUND(MIN(MAX(0,N('Your debts'!$E$9)),E412),2)</f>
      </c>
      <c r="P412" s="33">
        <f>ROUND(MIN(MAX(0,N('Your debts'!$E$10)),F412),2)</f>
      </c>
      <c r="Q412" s="33">
        <f>ROUND(MIN(MAX(0,N('Your debts'!$E$11)),G412),2)</f>
      </c>
      <c r="R412" s="33">
        <f>ROUND(MIN(MAX(0,N('Your debts'!$E$12)),H412),2)</f>
      </c>
      <c r="S412" s="33">
        <f>ROUND(MIN(MAX(0,N('Your debts'!$E$13)),I412),2)</f>
      </c>
      <c r="T412" s="33">
        <f>ROUND(MIN(MAX(0,N('Your debts'!$E$14)),J412),2)</f>
      </c>
      <c r="U412" s="33">
        <f>ROUND(MIN(MAX(0,N('Your debts'!$E$15)),K412),2)</f>
      </c>
      <c r="V412" s="33">
        <f>ROUND(B412-L412,2)</f>
      </c>
      <c r="W412" s="33">
        <f>ROUND(C412-M412,2)</f>
      </c>
      <c r="X412" s="33">
        <f>ROUND(D412-N412,2)</f>
      </c>
      <c r="Y412" s="33">
        <f>ROUND(E412-O412,2)</f>
      </c>
      <c r="Z412" s="33">
        <f>ROUND(F412-P412,2)</f>
      </c>
      <c r="AA412" s="33">
        <f>ROUND(G412-Q412,2)</f>
      </c>
      <c r="AB412" s="33">
        <f>ROUND(H412-R412,2)</f>
      </c>
      <c r="AC412" s="33">
        <f>ROUND(I412-S412,2)</f>
      </c>
      <c r="AD412" s="33">
        <f>ROUND(J412-T412,2)</f>
      </c>
      <c r="AE412" s="33">
        <f>ROUND(K412-U412,2)</f>
      </c>
      <c r="AF412" s="33">
        <f>IF(V412&lt;=0,0,MAX(0,MIN(V412,ROUND($AZ412-SUMPRODUCT($V412:$AE412*($V412:$AE412&gt;0)*(($V$3:$AE$3&gt;V$3)+($V$3:$AE$3=V$3)*($V412:$AE412&lt;V412)+($V$3:$AE$3=V$3)*($V412:$AE412=V412)*($V$2:$AE$2&lt;V$2))),2))))</f>
      </c>
      <c r="AG412" s="33">
        <f>IF(W412&lt;=0,0,MAX(0,MIN(W412,ROUND($AZ412-SUMPRODUCT($V412:$AE412*($V412:$AE412&gt;0)*(($V$3:$AE$3&gt;W$3)+($V$3:$AE$3=W$3)*($V412:$AE412&lt;W412)+($V$3:$AE$3=W$3)*($V412:$AE412=W412)*($V$2:$AE$2&lt;W$2))),2))))</f>
      </c>
      <c r="AH412" s="33">
        <f>IF(X412&lt;=0,0,MAX(0,MIN(X412,ROUND($AZ412-SUMPRODUCT($V412:$AE412*($V412:$AE412&gt;0)*(($V$3:$AE$3&gt;X$3)+($V$3:$AE$3=X$3)*($V412:$AE412&lt;X412)+($V$3:$AE$3=X$3)*($V412:$AE412=X412)*($V$2:$AE$2&lt;X$2))),2))))</f>
      </c>
      <c r="AI412" s="33">
        <f>IF(Y412&lt;=0,0,MAX(0,MIN(Y412,ROUND($AZ412-SUMPRODUCT($V412:$AE412*($V412:$AE412&gt;0)*(($V$3:$AE$3&gt;Y$3)+($V$3:$AE$3=Y$3)*($V412:$AE412&lt;Y412)+($V$3:$AE$3=Y$3)*($V412:$AE412=Y412)*($V$2:$AE$2&lt;Y$2))),2))))</f>
      </c>
      <c r="AJ412" s="33">
        <f>IF(Z412&lt;=0,0,MAX(0,MIN(Z412,ROUND($AZ412-SUMPRODUCT($V412:$AE412*($V412:$AE412&gt;0)*(($V$3:$AE$3&gt;Z$3)+($V$3:$AE$3=Z$3)*($V412:$AE412&lt;Z412)+($V$3:$AE$3=Z$3)*($V412:$AE412=Z412)*($V$2:$AE$2&lt;Z$2))),2))))</f>
      </c>
      <c r="AK412" s="33">
        <f>IF(AA412&lt;=0,0,MAX(0,MIN(AA412,ROUND($AZ412-SUMPRODUCT($V412:$AE412*($V412:$AE412&gt;0)*(($V$3:$AE$3&gt;AA$3)+($V$3:$AE$3=AA$3)*($V412:$AE412&lt;AA412)+($V$3:$AE$3=AA$3)*($V412:$AE412=AA412)*($V$2:$AE$2&lt;AA$2))),2))))</f>
      </c>
      <c r="AL412" s="33">
        <f>IF(AB412&lt;=0,0,MAX(0,MIN(AB412,ROUND($AZ412-SUMPRODUCT($V412:$AE412*($V412:$AE412&gt;0)*(($V$3:$AE$3&gt;AB$3)+($V$3:$AE$3=AB$3)*($V412:$AE412&lt;AB412)+($V$3:$AE$3=AB$3)*($V412:$AE412=AB412)*($V$2:$AE$2&lt;AB$2))),2))))</f>
      </c>
      <c r="AM412" s="33">
        <f>IF(AC412&lt;=0,0,MAX(0,MIN(AC412,ROUND($AZ412-SUMPRODUCT($V412:$AE412*($V412:$AE412&gt;0)*(($V$3:$AE$3&gt;AC$3)+($V$3:$AE$3=AC$3)*($V412:$AE412&lt;AC412)+($V$3:$AE$3=AC$3)*($V412:$AE412=AC412)*($V$2:$AE$2&lt;AC$2))),2))))</f>
      </c>
      <c r="AN412" s="33">
        <f>IF(AD412&lt;=0,0,MAX(0,MIN(AD412,ROUND($AZ412-SUMPRODUCT($V412:$AE412*($V412:$AE412&gt;0)*(($V$3:$AE$3&gt;AD$3)+($V$3:$AE$3=AD$3)*($V412:$AE412&lt;AD412)+($V$3:$AE$3=AD$3)*($V412:$AE412=AD412)*($V$2:$AE$2&lt;AD$2))),2))))</f>
      </c>
      <c r="AO412" s="33">
        <f>IF(AE412&lt;=0,0,MAX(0,MIN(AE412,ROUND($AZ412-SUMPRODUCT($V412:$AE412*($V412:$AE412&gt;0)*(($V$3:$AE$3&gt;AE$3)+($V$3:$AE$3=AE$3)*($V412:$AE412&lt;AE412)+($V$3:$AE$3=AE$3)*($V412:$AE412=AE412)*($V$2:$AE$2&lt;AE$2))),2))))</f>
      </c>
      <c r="AP412" s="33">
        <f>ROUND(V412-AF412,2)</f>
      </c>
      <c r="AQ412" s="33">
        <f>ROUND(W412-AG412,2)</f>
      </c>
      <c r="AR412" s="33">
        <f>ROUND(X412-AH412,2)</f>
      </c>
      <c r="AS412" s="33">
        <f>ROUND(Y412-AI412,2)</f>
      </c>
      <c r="AT412" s="33">
        <f>ROUND(Z412-AJ412,2)</f>
      </c>
      <c r="AU412" s="33">
        <f>ROUND(AA412-AK412,2)</f>
      </c>
      <c r="AV412" s="33">
        <f>ROUND(AB412-AL412,2)</f>
      </c>
      <c r="AW412" s="33">
        <f>ROUND(AC412-AM412,2)</f>
      </c>
      <c r="AX412" s="33">
        <f>ROUND(AD412-AN412,2)</f>
      </c>
      <c r="AY412" s="33">
        <f>ROUND(AE412-AO412,2)</f>
      </c>
      <c r="AZ412" s="33">
        <f>ROUND(MAX(0,'Your debts'!$D$22-SUM($L412:$U412)),2)</f>
      </c>
      <c r="BA412" s="33">
        <f>ROUND(SUM($B412:$K412)-SUM($AP411:$AY411),2)</f>
      </c>
      <c r="BB412" s="33">
        <f>SUM($AP412:$AY412)</f>
      </c>
      <c r="BC412" s="33">
        <f>ROUND(SUM($L412:$U412)+SUM($AF412:$AO412),2)</f>
      </c>
    </row>
    <row r="413" spans="1:55" x14ac:dyDescent="0.25">
      <c r="A413">
        <v>406</v>
      </c>
      <c r="B413" s="33">
        <f>IF(AP412&lt;=0,0,ROUND(AP412+ROUND(AP412*V$3/12,2),2))</f>
      </c>
      <c r="C413" s="33">
        <f>IF(AQ412&lt;=0,0,ROUND(AQ412+ROUND(AQ412*W$3/12,2),2))</f>
      </c>
      <c r="D413" s="33">
        <f>IF(AR412&lt;=0,0,ROUND(AR412+ROUND(AR412*X$3/12,2),2))</f>
      </c>
      <c r="E413" s="33">
        <f>IF(AS412&lt;=0,0,ROUND(AS412+ROUND(AS412*Y$3/12,2),2))</f>
      </c>
      <c r="F413" s="33">
        <f>IF(AT412&lt;=0,0,ROUND(AT412+ROUND(AT412*Z$3/12,2),2))</f>
      </c>
      <c r="G413" s="33">
        <f>IF(AU412&lt;=0,0,ROUND(AU412+ROUND(AU412*AA$3/12,2),2))</f>
      </c>
      <c r="H413" s="33">
        <f>IF(AV412&lt;=0,0,ROUND(AV412+ROUND(AV412*AB$3/12,2),2))</f>
      </c>
      <c r="I413" s="33">
        <f>IF(AW412&lt;=0,0,ROUND(AW412+ROUND(AW412*AC$3/12,2),2))</f>
      </c>
      <c r="J413" s="33">
        <f>IF(AX412&lt;=0,0,ROUND(AX412+ROUND(AX412*AD$3/12,2),2))</f>
      </c>
      <c r="K413" s="33">
        <f>IF(AY412&lt;=0,0,ROUND(AY412+ROUND(AY412*AE$3/12,2),2))</f>
      </c>
      <c r="L413" s="33">
        <f>ROUND(MIN(MAX(0,N('Your debts'!$E$6)),B413),2)</f>
      </c>
      <c r="M413" s="33">
        <f>ROUND(MIN(MAX(0,N('Your debts'!$E$7)),C413),2)</f>
      </c>
      <c r="N413" s="33">
        <f>ROUND(MIN(MAX(0,N('Your debts'!$E$8)),D413),2)</f>
      </c>
      <c r="O413" s="33">
        <f>ROUND(MIN(MAX(0,N('Your debts'!$E$9)),E413),2)</f>
      </c>
      <c r="P413" s="33">
        <f>ROUND(MIN(MAX(0,N('Your debts'!$E$10)),F413),2)</f>
      </c>
      <c r="Q413" s="33">
        <f>ROUND(MIN(MAX(0,N('Your debts'!$E$11)),G413),2)</f>
      </c>
      <c r="R413" s="33">
        <f>ROUND(MIN(MAX(0,N('Your debts'!$E$12)),H413),2)</f>
      </c>
      <c r="S413" s="33">
        <f>ROUND(MIN(MAX(0,N('Your debts'!$E$13)),I413),2)</f>
      </c>
      <c r="T413" s="33">
        <f>ROUND(MIN(MAX(0,N('Your debts'!$E$14)),J413),2)</f>
      </c>
      <c r="U413" s="33">
        <f>ROUND(MIN(MAX(0,N('Your debts'!$E$15)),K413),2)</f>
      </c>
      <c r="V413" s="33">
        <f>ROUND(B413-L413,2)</f>
      </c>
      <c r="W413" s="33">
        <f>ROUND(C413-M413,2)</f>
      </c>
      <c r="X413" s="33">
        <f>ROUND(D413-N413,2)</f>
      </c>
      <c r="Y413" s="33">
        <f>ROUND(E413-O413,2)</f>
      </c>
      <c r="Z413" s="33">
        <f>ROUND(F413-P413,2)</f>
      </c>
      <c r="AA413" s="33">
        <f>ROUND(G413-Q413,2)</f>
      </c>
      <c r="AB413" s="33">
        <f>ROUND(H413-R413,2)</f>
      </c>
      <c r="AC413" s="33">
        <f>ROUND(I413-S413,2)</f>
      </c>
      <c r="AD413" s="33">
        <f>ROUND(J413-T413,2)</f>
      </c>
      <c r="AE413" s="33">
        <f>ROUND(K413-U413,2)</f>
      </c>
      <c r="AF413" s="33">
        <f>IF(V413&lt;=0,0,MAX(0,MIN(V413,ROUND($AZ413-SUMPRODUCT($V413:$AE413*($V413:$AE413&gt;0)*(($V$3:$AE$3&gt;V$3)+($V$3:$AE$3=V$3)*($V413:$AE413&lt;V413)+($V$3:$AE$3=V$3)*($V413:$AE413=V413)*($V$2:$AE$2&lt;V$2))),2))))</f>
      </c>
      <c r="AG413" s="33">
        <f>IF(W413&lt;=0,0,MAX(0,MIN(W413,ROUND($AZ413-SUMPRODUCT($V413:$AE413*($V413:$AE413&gt;0)*(($V$3:$AE$3&gt;W$3)+($V$3:$AE$3=W$3)*($V413:$AE413&lt;W413)+($V$3:$AE$3=W$3)*($V413:$AE413=W413)*($V$2:$AE$2&lt;W$2))),2))))</f>
      </c>
      <c r="AH413" s="33">
        <f>IF(X413&lt;=0,0,MAX(0,MIN(X413,ROUND($AZ413-SUMPRODUCT($V413:$AE413*($V413:$AE413&gt;0)*(($V$3:$AE$3&gt;X$3)+($V$3:$AE$3=X$3)*($V413:$AE413&lt;X413)+($V$3:$AE$3=X$3)*($V413:$AE413=X413)*($V$2:$AE$2&lt;X$2))),2))))</f>
      </c>
      <c r="AI413" s="33">
        <f>IF(Y413&lt;=0,0,MAX(0,MIN(Y413,ROUND($AZ413-SUMPRODUCT($V413:$AE413*($V413:$AE413&gt;0)*(($V$3:$AE$3&gt;Y$3)+($V$3:$AE$3=Y$3)*($V413:$AE413&lt;Y413)+($V$3:$AE$3=Y$3)*($V413:$AE413=Y413)*($V$2:$AE$2&lt;Y$2))),2))))</f>
      </c>
      <c r="AJ413" s="33">
        <f>IF(Z413&lt;=0,0,MAX(0,MIN(Z413,ROUND($AZ413-SUMPRODUCT($V413:$AE413*($V413:$AE413&gt;0)*(($V$3:$AE$3&gt;Z$3)+($V$3:$AE$3=Z$3)*($V413:$AE413&lt;Z413)+($V$3:$AE$3=Z$3)*($V413:$AE413=Z413)*($V$2:$AE$2&lt;Z$2))),2))))</f>
      </c>
      <c r="AK413" s="33">
        <f>IF(AA413&lt;=0,0,MAX(0,MIN(AA413,ROUND($AZ413-SUMPRODUCT($V413:$AE413*($V413:$AE413&gt;0)*(($V$3:$AE$3&gt;AA$3)+($V$3:$AE$3=AA$3)*($V413:$AE413&lt;AA413)+($V$3:$AE$3=AA$3)*($V413:$AE413=AA413)*($V$2:$AE$2&lt;AA$2))),2))))</f>
      </c>
      <c r="AL413" s="33">
        <f>IF(AB413&lt;=0,0,MAX(0,MIN(AB413,ROUND($AZ413-SUMPRODUCT($V413:$AE413*($V413:$AE413&gt;0)*(($V$3:$AE$3&gt;AB$3)+($V$3:$AE$3=AB$3)*($V413:$AE413&lt;AB413)+($V$3:$AE$3=AB$3)*($V413:$AE413=AB413)*($V$2:$AE$2&lt;AB$2))),2))))</f>
      </c>
      <c r="AM413" s="33">
        <f>IF(AC413&lt;=0,0,MAX(0,MIN(AC413,ROUND($AZ413-SUMPRODUCT($V413:$AE413*($V413:$AE413&gt;0)*(($V$3:$AE$3&gt;AC$3)+($V$3:$AE$3=AC$3)*($V413:$AE413&lt;AC413)+($V$3:$AE$3=AC$3)*($V413:$AE413=AC413)*($V$2:$AE$2&lt;AC$2))),2))))</f>
      </c>
      <c r="AN413" s="33">
        <f>IF(AD413&lt;=0,0,MAX(0,MIN(AD413,ROUND($AZ413-SUMPRODUCT($V413:$AE413*($V413:$AE413&gt;0)*(($V$3:$AE$3&gt;AD$3)+($V$3:$AE$3=AD$3)*($V413:$AE413&lt;AD413)+($V$3:$AE$3=AD$3)*($V413:$AE413=AD413)*($V$2:$AE$2&lt;AD$2))),2))))</f>
      </c>
      <c r="AO413" s="33">
        <f>IF(AE413&lt;=0,0,MAX(0,MIN(AE413,ROUND($AZ413-SUMPRODUCT($V413:$AE413*($V413:$AE413&gt;0)*(($V$3:$AE$3&gt;AE$3)+($V$3:$AE$3=AE$3)*($V413:$AE413&lt;AE413)+($V$3:$AE$3=AE$3)*($V413:$AE413=AE413)*($V$2:$AE$2&lt;AE$2))),2))))</f>
      </c>
      <c r="AP413" s="33">
        <f>ROUND(V413-AF413,2)</f>
      </c>
      <c r="AQ413" s="33">
        <f>ROUND(W413-AG413,2)</f>
      </c>
      <c r="AR413" s="33">
        <f>ROUND(X413-AH413,2)</f>
      </c>
      <c r="AS413" s="33">
        <f>ROUND(Y413-AI413,2)</f>
      </c>
      <c r="AT413" s="33">
        <f>ROUND(Z413-AJ413,2)</f>
      </c>
      <c r="AU413" s="33">
        <f>ROUND(AA413-AK413,2)</f>
      </c>
      <c r="AV413" s="33">
        <f>ROUND(AB413-AL413,2)</f>
      </c>
      <c r="AW413" s="33">
        <f>ROUND(AC413-AM413,2)</f>
      </c>
      <c r="AX413" s="33">
        <f>ROUND(AD413-AN413,2)</f>
      </c>
      <c r="AY413" s="33">
        <f>ROUND(AE413-AO413,2)</f>
      </c>
      <c r="AZ413" s="33">
        <f>ROUND(MAX(0,'Your debts'!$D$22-SUM($L413:$U413)),2)</f>
      </c>
      <c r="BA413" s="33">
        <f>ROUND(SUM($B413:$K413)-SUM($AP412:$AY412),2)</f>
      </c>
      <c r="BB413" s="33">
        <f>SUM($AP413:$AY413)</f>
      </c>
      <c r="BC413" s="33">
        <f>ROUND(SUM($L413:$U413)+SUM($AF413:$AO413),2)</f>
      </c>
    </row>
    <row r="414" spans="1:55" x14ac:dyDescent="0.25">
      <c r="A414">
        <v>407</v>
      </c>
      <c r="B414" s="33">
        <f>IF(AP413&lt;=0,0,ROUND(AP413+ROUND(AP413*V$3/12,2),2))</f>
      </c>
      <c r="C414" s="33">
        <f>IF(AQ413&lt;=0,0,ROUND(AQ413+ROUND(AQ413*W$3/12,2),2))</f>
      </c>
      <c r="D414" s="33">
        <f>IF(AR413&lt;=0,0,ROUND(AR413+ROUND(AR413*X$3/12,2),2))</f>
      </c>
      <c r="E414" s="33">
        <f>IF(AS413&lt;=0,0,ROUND(AS413+ROUND(AS413*Y$3/12,2),2))</f>
      </c>
      <c r="F414" s="33">
        <f>IF(AT413&lt;=0,0,ROUND(AT413+ROUND(AT413*Z$3/12,2),2))</f>
      </c>
      <c r="G414" s="33">
        <f>IF(AU413&lt;=0,0,ROUND(AU413+ROUND(AU413*AA$3/12,2),2))</f>
      </c>
      <c r="H414" s="33">
        <f>IF(AV413&lt;=0,0,ROUND(AV413+ROUND(AV413*AB$3/12,2),2))</f>
      </c>
      <c r="I414" s="33">
        <f>IF(AW413&lt;=0,0,ROUND(AW413+ROUND(AW413*AC$3/12,2),2))</f>
      </c>
      <c r="J414" s="33">
        <f>IF(AX413&lt;=0,0,ROUND(AX413+ROUND(AX413*AD$3/12,2),2))</f>
      </c>
      <c r="K414" s="33">
        <f>IF(AY413&lt;=0,0,ROUND(AY413+ROUND(AY413*AE$3/12,2),2))</f>
      </c>
      <c r="L414" s="33">
        <f>ROUND(MIN(MAX(0,N('Your debts'!$E$6)),B414),2)</f>
      </c>
      <c r="M414" s="33">
        <f>ROUND(MIN(MAX(0,N('Your debts'!$E$7)),C414),2)</f>
      </c>
      <c r="N414" s="33">
        <f>ROUND(MIN(MAX(0,N('Your debts'!$E$8)),D414),2)</f>
      </c>
      <c r="O414" s="33">
        <f>ROUND(MIN(MAX(0,N('Your debts'!$E$9)),E414),2)</f>
      </c>
      <c r="P414" s="33">
        <f>ROUND(MIN(MAX(0,N('Your debts'!$E$10)),F414),2)</f>
      </c>
      <c r="Q414" s="33">
        <f>ROUND(MIN(MAX(0,N('Your debts'!$E$11)),G414),2)</f>
      </c>
      <c r="R414" s="33">
        <f>ROUND(MIN(MAX(0,N('Your debts'!$E$12)),H414),2)</f>
      </c>
      <c r="S414" s="33">
        <f>ROUND(MIN(MAX(0,N('Your debts'!$E$13)),I414),2)</f>
      </c>
      <c r="T414" s="33">
        <f>ROUND(MIN(MAX(0,N('Your debts'!$E$14)),J414),2)</f>
      </c>
      <c r="U414" s="33">
        <f>ROUND(MIN(MAX(0,N('Your debts'!$E$15)),K414),2)</f>
      </c>
      <c r="V414" s="33">
        <f>ROUND(B414-L414,2)</f>
      </c>
      <c r="W414" s="33">
        <f>ROUND(C414-M414,2)</f>
      </c>
      <c r="X414" s="33">
        <f>ROUND(D414-N414,2)</f>
      </c>
      <c r="Y414" s="33">
        <f>ROUND(E414-O414,2)</f>
      </c>
      <c r="Z414" s="33">
        <f>ROUND(F414-P414,2)</f>
      </c>
      <c r="AA414" s="33">
        <f>ROUND(G414-Q414,2)</f>
      </c>
      <c r="AB414" s="33">
        <f>ROUND(H414-R414,2)</f>
      </c>
      <c r="AC414" s="33">
        <f>ROUND(I414-S414,2)</f>
      </c>
      <c r="AD414" s="33">
        <f>ROUND(J414-T414,2)</f>
      </c>
      <c r="AE414" s="33">
        <f>ROUND(K414-U414,2)</f>
      </c>
      <c r="AF414" s="33">
        <f>IF(V414&lt;=0,0,MAX(0,MIN(V414,ROUND($AZ414-SUMPRODUCT($V414:$AE414*($V414:$AE414&gt;0)*(($V$3:$AE$3&gt;V$3)+($V$3:$AE$3=V$3)*($V414:$AE414&lt;V414)+($V$3:$AE$3=V$3)*($V414:$AE414=V414)*($V$2:$AE$2&lt;V$2))),2))))</f>
      </c>
      <c r="AG414" s="33">
        <f>IF(W414&lt;=0,0,MAX(0,MIN(W414,ROUND($AZ414-SUMPRODUCT($V414:$AE414*($V414:$AE414&gt;0)*(($V$3:$AE$3&gt;W$3)+($V$3:$AE$3=W$3)*($V414:$AE414&lt;W414)+($V$3:$AE$3=W$3)*($V414:$AE414=W414)*($V$2:$AE$2&lt;W$2))),2))))</f>
      </c>
      <c r="AH414" s="33">
        <f>IF(X414&lt;=0,0,MAX(0,MIN(X414,ROUND($AZ414-SUMPRODUCT($V414:$AE414*($V414:$AE414&gt;0)*(($V$3:$AE$3&gt;X$3)+($V$3:$AE$3=X$3)*($V414:$AE414&lt;X414)+($V$3:$AE$3=X$3)*($V414:$AE414=X414)*($V$2:$AE$2&lt;X$2))),2))))</f>
      </c>
      <c r="AI414" s="33">
        <f>IF(Y414&lt;=0,0,MAX(0,MIN(Y414,ROUND($AZ414-SUMPRODUCT($V414:$AE414*($V414:$AE414&gt;0)*(($V$3:$AE$3&gt;Y$3)+($V$3:$AE$3=Y$3)*($V414:$AE414&lt;Y414)+($V$3:$AE$3=Y$3)*($V414:$AE414=Y414)*($V$2:$AE$2&lt;Y$2))),2))))</f>
      </c>
      <c r="AJ414" s="33">
        <f>IF(Z414&lt;=0,0,MAX(0,MIN(Z414,ROUND($AZ414-SUMPRODUCT($V414:$AE414*($V414:$AE414&gt;0)*(($V$3:$AE$3&gt;Z$3)+($V$3:$AE$3=Z$3)*($V414:$AE414&lt;Z414)+($V$3:$AE$3=Z$3)*($V414:$AE414=Z414)*($V$2:$AE$2&lt;Z$2))),2))))</f>
      </c>
      <c r="AK414" s="33">
        <f>IF(AA414&lt;=0,0,MAX(0,MIN(AA414,ROUND($AZ414-SUMPRODUCT($V414:$AE414*($V414:$AE414&gt;0)*(($V$3:$AE$3&gt;AA$3)+($V$3:$AE$3=AA$3)*($V414:$AE414&lt;AA414)+($V$3:$AE$3=AA$3)*($V414:$AE414=AA414)*($V$2:$AE$2&lt;AA$2))),2))))</f>
      </c>
      <c r="AL414" s="33">
        <f>IF(AB414&lt;=0,0,MAX(0,MIN(AB414,ROUND($AZ414-SUMPRODUCT($V414:$AE414*($V414:$AE414&gt;0)*(($V$3:$AE$3&gt;AB$3)+($V$3:$AE$3=AB$3)*($V414:$AE414&lt;AB414)+($V$3:$AE$3=AB$3)*($V414:$AE414=AB414)*($V$2:$AE$2&lt;AB$2))),2))))</f>
      </c>
      <c r="AM414" s="33">
        <f>IF(AC414&lt;=0,0,MAX(0,MIN(AC414,ROUND($AZ414-SUMPRODUCT($V414:$AE414*($V414:$AE414&gt;0)*(($V$3:$AE$3&gt;AC$3)+($V$3:$AE$3=AC$3)*($V414:$AE414&lt;AC414)+($V$3:$AE$3=AC$3)*($V414:$AE414=AC414)*($V$2:$AE$2&lt;AC$2))),2))))</f>
      </c>
      <c r="AN414" s="33">
        <f>IF(AD414&lt;=0,0,MAX(0,MIN(AD414,ROUND($AZ414-SUMPRODUCT($V414:$AE414*($V414:$AE414&gt;0)*(($V$3:$AE$3&gt;AD$3)+($V$3:$AE$3=AD$3)*($V414:$AE414&lt;AD414)+($V$3:$AE$3=AD$3)*($V414:$AE414=AD414)*($V$2:$AE$2&lt;AD$2))),2))))</f>
      </c>
      <c r="AO414" s="33">
        <f>IF(AE414&lt;=0,0,MAX(0,MIN(AE414,ROUND($AZ414-SUMPRODUCT($V414:$AE414*($V414:$AE414&gt;0)*(($V$3:$AE$3&gt;AE$3)+($V$3:$AE$3=AE$3)*($V414:$AE414&lt;AE414)+($V$3:$AE$3=AE$3)*($V414:$AE414=AE414)*($V$2:$AE$2&lt;AE$2))),2))))</f>
      </c>
      <c r="AP414" s="33">
        <f>ROUND(V414-AF414,2)</f>
      </c>
      <c r="AQ414" s="33">
        <f>ROUND(W414-AG414,2)</f>
      </c>
      <c r="AR414" s="33">
        <f>ROUND(X414-AH414,2)</f>
      </c>
      <c r="AS414" s="33">
        <f>ROUND(Y414-AI414,2)</f>
      </c>
      <c r="AT414" s="33">
        <f>ROUND(Z414-AJ414,2)</f>
      </c>
      <c r="AU414" s="33">
        <f>ROUND(AA414-AK414,2)</f>
      </c>
      <c r="AV414" s="33">
        <f>ROUND(AB414-AL414,2)</f>
      </c>
      <c r="AW414" s="33">
        <f>ROUND(AC414-AM414,2)</f>
      </c>
      <c r="AX414" s="33">
        <f>ROUND(AD414-AN414,2)</f>
      </c>
      <c r="AY414" s="33">
        <f>ROUND(AE414-AO414,2)</f>
      </c>
      <c r="AZ414" s="33">
        <f>ROUND(MAX(0,'Your debts'!$D$22-SUM($L414:$U414)),2)</f>
      </c>
      <c r="BA414" s="33">
        <f>ROUND(SUM($B414:$K414)-SUM($AP413:$AY413),2)</f>
      </c>
      <c r="BB414" s="33">
        <f>SUM($AP414:$AY414)</f>
      </c>
      <c r="BC414" s="33">
        <f>ROUND(SUM($L414:$U414)+SUM($AF414:$AO414),2)</f>
      </c>
    </row>
    <row r="415" spans="1:55" x14ac:dyDescent="0.25">
      <c r="A415">
        <v>408</v>
      </c>
      <c r="B415" s="33">
        <f>IF(AP414&lt;=0,0,ROUND(AP414+ROUND(AP414*V$3/12,2),2))</f>
      </c>
      <c r="C415" s="33">
        <f>IF(AQ414&lt;=0,0,ROUND(AQ414+ROUND(AQ414*W$3/12,2),2))</f>
      </c>
      <c r="D415" s="33">
        <f>IF(AR414&lt;=0,0,ROUND(AR414+ROUND(AR414*X$3/12,2),2))</f>
      </c>
      <c r="E415" s="33">
        <f>IF(AS414&lt;=0,0,ROUND(AS414+ROUND(AS414*Y$3/12,2),2))</f>
      </c>
      <c r="F415" s="33">
        <f>IF(AT414&lt;=0,0,ROUND(AT414+ROUND(AT414*Z$3/12,2),2))</f>
      </c>
      <c r="G415" s="33">
        <f>IF(AU414&lt;=0,0,ROUND(AU414+ROUND(AU414*AA$3/12,2),2))</f>
      </c>
      <c r="H415" s="33">
        <f>IF(AV414&lt;=0,0,ROUND(AV414+ROUND(AV414*AB$3/12,2),2))</f>
      </c>
      <c r="I415" s="33">
        <f>IF(AW414&lt;=0,0,ROUND(AW414+ROUND(AW414*AC$3/12,2),2))</f>
      </c>
      <c r="J415" s="33">
        <f>IF(AX414&lt;=0,0,ROUND(AX414+ROUND(AX414*AD$3/12,2),2))</f>
      </c>
      <c r="K415" s="33">
        <f>IF(AY414&lt;=0,0,ROUND(AY414+ROUND(AY414*AE$3/12,2),2))</f>
      </c>
      <c r="L415" s="33">
        <f>ROUND(MIN(MAX(0,N('Your debts'!$E$6)),B415),2)</f>
      </c>
      <c r="M415" s="33">
        <f>ROUND(MIN(MAX(0,N('Your debts'!$E$7)),C415),2)</f>
      </c>
      <c r="N415" s="33">
        <f>ROUND(MIN(MAX(0,N('Your debts'!$E$8)),D415),2)</f>
      </c>
      <c r="O415" s="33">
        <f>ROUND(MIN(MAX(0,N('Your debts'!$E$9)),E415),2)</f>
      </c>
      <c r="P415" s="33">
        <f>ROUND(MIN(MAX(0,N('Your debts'!$E$10)),F415),2)</f>
      </c>
      <c r="Q415" s="33">
        <f>ROUND(MIN(MAX(0,N('Your debts'!$E$11)),G415),2)</f>
      </c>
      <c r="R415" s="33">
        <f>ROUND(MIN(MAX(0,N('Your debts'!$E$12)),H415),2)</f>
      </c>
      <c r="S415" s="33">
        <f>ROUND(MIN(MAX(0,N('Your debts'!$E$13)),I415),2)</f>
      </c>
      <c r="T415" s="33">
        <f>ROUND(MIN(MAX(0,N('Your debts'!$E$14)),J415),2)</f>
      </c>
      <c r="U415" s="33">
        <f>ROUND(MIN(MAX(0,N('Your debts'!$E$15)),K415),2)</f>
      </c>
      <c r="V415" s="33">
        <f>ROUND(B415-L415,2)</f>
      </c>
      <c r="W415" s="33">
        <f>ROUND(C415-M415,2)</f>
      </c>
      <c r="X415" s="33">
        <f>ROUND(D415-N415,2)</f>
      </c>
      <c r="Y415" s="33">
        <f>ROUND(E415-O415,2)</f>
      </c>
      <c r="Z415" s="33">
        <f>ROUND(F415-P415,2)</f>
      </c>
      <c r="AA415" s="33">
        <f>ROUND(G415-Q415,2)</f>
      </c>
      <c r="AB415" s="33">
        <f>ROUND(H415-R415,2)</f>
      </c>
      <c r="AC415" s="33">
        <f>ROUND(I415-S415,2)</f>
      </c>
      <c r="AD415" s="33">
        <f>ROUND(J415-T415,2)</f>
      </c>
      <c r="AE415" s="33">
        <f>ROUND(K415-U415,2)</f>
      </c>
      <c r="AF415" s="33">
        <f>IF(V415&lt;=0,0,MAX(0,MIN(V415,ROUND($AZ415-SUMPRODUCT($V415:$AE415*($V415:$AE415&gt;0)*(($V$3:$AE$3&gt;V$3)+($V$3:$AE$3=V$3)*($V415:$AE415&lt;V415)+($V$3:$AE$3=V$3)*($V415:$AE415=V415)*($V$2:$AE$2&lt;V$2))),2))))</f>
      </c>
      <c r="AG415" s="33">
        <f>IF(W415&lt;=0,0,MAX(0,MIN(W415,ROUND($AZ415-SUMPRODUCT($V415:$AE415*($V415:$AE415&gt;0)*(($V$3:$AE$3&gt;W$3)+($V$3:$AE$3=W$3)*($V415:$AE415&lt;W415)+($V$3:$AE$3=W$3)*($V415:$AE415=W415)*($V$2:$AE$2&lt;W$2))),2))))</f>
      </c>
      <c r="AH415" s="33">
        <f>IF(X415&lt;=0,0,MAX(0,MIN(X415,ROUND($AZ415-SUMPRODUCT($V415:$AE415*($V415:$AE415&gt;0)*(($V$3:$AE$3&gt;X$3)+($V$3:$AE$3=X$3)*($V415:$AE415&lt;X415)+($V$3:$AE$3=X$3)*($V415:$AE415=X415)*($V$2:$AE$2&lt;X$2))),2))))</f>
      </c>
      <c r="AI415" s="33">
        <f>IF(Y415&lt;=0,0,MAX(0,MIN(Y415,ROUND($AZ415-SUMPRODUCT($V415:$AE415*($V415:$AE415&gt;0)*(($V$3:$AE$3&gt;Y$3)+($V$3:$AE$3=Y$3)*($V415:$AE415&lt;Y415)+($V$3:$AE$3=Y$3)*($V415:$AE415=Y415)*($V$2:$AE$2&lt;Y$2))),2))))</f>
      </c>
      <c r="AJ415" s="33">
        <f>IF(Z415&lt;=0,0,MAX(0,MIN(Z415,ROUND($AZ415-SUMPRODUCT($V415:$AE415*($V415:$AE415&gt;0)*(($V$3:$AE$3&gt;Z$3)+($V$3:$AE$3=Z$3)*($V415:$AE415&lt;Z415)+($V$3:$AE$3=Z$3)*($V415:$AE415=Z415)*($V$2:$AE$2&lt;Z$2))),2))))</f>
      </c>
      <c r="AK415" s="33">
        <f>IF(AA415&lt;=0,0,MAX(0,MIN(AA415,ROUND($AZ415-SUMPRODUCT($V415:$AE415*($V415:$AE415&gt;0)*(($V$3:$AE$3&gt;AA$3)+($V$3:$AE$3=AA$3)*($V415:$AE415&lt;AA415)+($V$3:$AE$3=AA$3)*($V415:$AE415=AA415)*($V$2:$AE$2&lt;AA$2))),2))))</f>
      </c>
      <c r="AL415" s="33">
        <f>IF(AB415&lt;=0,0,MAX(0,MIN(AB415,ROUND($AZ415-SUMPRODUCT($V415:$AE415*($V415:$AE415&gt;0)*(($V$3:$AE$3&gt;AB$3)+($V$3:$AE$3=AB$3)*($V415:$AE415&lt;AB415)+($V$3:$AE$3=AB$3)*($V415:$AE415=AB415)*($V$2:$AE$2&lt;AB$2))),2))))</f>
      </c>
      <c r="AM415" s="33">
        <f>IF(AC415&lt;=0,0,MAX(0,MIN(AC415,ROUND($AZ415-SUMPRODUCT($V415:$AE415*($V415:$AE415&gt;0)*(($V$3:$AE$3&gt;AC$3)+($V$3:$AE$3=AC$3)*($V415:$AE415&lt;AC415)+($V$3:$AE$3=AC$3)*($V415:$AE415=AC415)*($V$2:$AE$2&lt;AC$2))),2))))</f>
      </c>
      <c r="AN415" s="33">
        <f>IF(AD415&lt;=0,0,MAX(0,MIN(AD415,ROUND($AZ415-SUMPRODUCT($V415:$AE415*($V415:$AE415&gt;0)*(($V$3:$AE$3&gt;AD$3)+($V$3:$AE$3=AD$3)*($V415:$AE415&lt;AD415)+($V$3:$AE$3=AD$3)*($V415:$AE415=AD415)*($V$2:$AE$2&lt;AD$2))),2))))</f>
      </c>
      <c r="AO415" s="33">
        <f>IF(AE415&lt;=0,0,MAX(0,MIN(AE415,ROUND($AZ415-SUMPRODUCT($V415:$AE415*($V415:$AE415&gt;0)*(($V$3:$AE$3&gt;AE$3)+($V$3:$AE$3=AE$3)*($V415:$AE415&lt;AE415)+($V$3:$AE$3=AE$3)*($V415:$AE415=AE415)*($V$2:$AE$2&lt;AE$2))),2))))</f>
      </c>
      <c r="AP415" s="33">
        <f>ROUND(V415-AF415,2)</f>
      </c>
      <c r="AQ415" s="33">
        <f>ROUND(W415-AG415,2)</f>
      </c>
      <c r="AR415" s="33">
        <f>ROUND(X415-AH415,2)</f>
      </c>
      <c r="AS415" s="33">
        <f>ROUND(Y415-AI415,2)</f>
      </c>
      <c r="AT415" s="33">
        <f>ROUND(Z415-AJ415,2)</f>
      </c>
      <c r="AU415" s="33">
        <f>ROUND(AA415-AK415,2)</f>
      </c>
      <c r="AV415" s="33">
        <f>ROUND(AB415-AL415,2)</f>
      </c>
      <c r="AW415" s="33">
        <f>ROUND(AC415-AM415,2)</f>
      </c>
      <c r="AX415" s="33">
        <f>ROUND(AD415-AN415,2)</f>
      </c>
      <c r="AY415" s="33">
        <f>ROUND(AE415-AO415,2)</f>
      </c>
      <c r="AZ415" s="33">
        <f>ROUND(MAX(0,'Your debts'!$D$22-SUM($L415:$U415)),2)</f>
      </c>
      <c r="BA415" s="33">
        <f>ROUND(SUM($B415:$K415)-SUM($AP414:$AY414),2)</f>
      </c>
      <c r="BB415" s="33">
        <f>SUM($AP415:$AY415)</f>
      </c>
      <c r="BC415" s="33">
        <f>ROUND(SUM($L415:$U415)+SUM($AF415:$AO415),2)</f>
      </c>
    </row>
    <row r="416" spans="1:55" x14ac:dyDescent="0.25">
      <c r="A416">
        <v>409</v>
      </c>
      <c r="B416" s="33">
        <f>IF(AP415&lt;=0,0,ROUND(AP415+ROUND(AP415*V$3/12,2),2))</f>
      </c>
      <c r="C416" s="33">
        <f>IF(AQ415&lt;=0,0,ROUND(AQ415+ROUND(AQ415*W$3/12,2),2))</f>
      </c>
      <c r="D416" s="33">
        <f>IF(AR415&lt;=0,0,ROUND(AR415+ROUND(AR415*X$3/12,2),2))</f>
      </c>
      <c r="E416" s="33">
        <f>IF(AS415&lt;=0,0,ROUND(AS415+ROUND(AS415*Y$3/12,2),2))</f>
      </c>
      <c r="F416" s="33">
        <f>IF(AT415&lt;=0,0,ROUND(AT415+ROUND(AT415*Z$3/12,2),2))</f>
      </c>
      <c r="G416" s="33">
        <f>IF(AU415&lt;=0,0,ROUND(AU415+ROUND(AU415*AA$3/12,2),2))</f>
      </c>
      <c r="H416" s="33">
        <f>IF(AV415&lt;=0,0,ROUND(AV415+ROUND(AV415*AB$3/12,2),2))</f>
      </c>
      <c r="I416" s="33">
        <f>IF(AW415&lt;=0,0,ROUND(AW415+ROUND(AW415*AC$3/12,2),2))</f>
      </c>
      <c r="J416" s="33">
        <f>IF(AX415&lt;=0,0,ROUND(AX415+ROUND(AX415*AD$3/12,2),2))</f>
      </c>
      <c r="K416" s="33">
        <f>IF(AY415&lt;=0,0,ROUND(AY415+ROUND(AY415*AE$3/12,2),2))</f>
      </c>
      <c r="L416" s="33">
        <f>ROUND(MIN(MAX(0,N('Your debts'!$E$6)),B416),2)</f>
      </c>
      <c r="M416" s="33">
        <f>ROUND(MIN(MAX(0,N('Your debts'!$E$7)),C416),2)</f>
      </c>
      <c r="N416" s="33">
        <f>ROUND(MIN(MAX(0,N('Your debts'!$E$8)),D416),2)</f>
      </c>
      <c r="O416" s="33">
        <f>ROUND(MIN(MAX(0,N('Your debts'!$E$9)),E416),2)</f>
      </c>
      <c r="P416" s="33">
        <f>ROUND(MIN(MAX(0,N('Your debts'!$E$10)),F416),2)</f>
      </c>
      <c r="Q416" s="33">
        <f>ROUND(MIN(MAX(0,N('Your debts'!$E$11)),G416),2)</f>
      </c>
      <c r="R416" s="33">
        <f>ROUND(MIN(MAX(0,N('Your debts'!$E$12)),H416),2)</f>
      </c>
      <c r="S416" s="33">
        <f>ROUND(MIN(MAX(0,N('Your debts'!$E$13)),I416),2)</f>
      </c>
      <c r="T416" s="33">
        <f>ROUND(MIN(MAX(0,N('Your debts'!$E$14)),J416),2)</f>
      </c>
      <c r="U416" s="33">
        <f>ROUND(MIN(MAX(0,N('Your debts'!$E$15)),K416),2)</f>
      </c>
      <c r="V416" s="33">
        <f>ROUND(B416-L416,2)</f>
      </c>
      <c r="W416" s="33">
        <f>ROUND(C416-M416,2)</f>
      </c>
      <c r="X416" s="33">
        <f>ROUND(D416-N416,2)</f>
      </c>
      <c r="Y416" s="33">
        <f>ROUND(E416-O416,2)</f>
      </c>
      <c r="Z416" s="33">
        <f>ROUND(F416-P416,2)</f>
      </c>
      <c r="AA416" s="33">
        <f>ROUND(G416-Q416,2)</f>
      </c>
      <c r="AB416" s="33">
        <f>ROUND(H416-R416,2)</f>
      </c>
      <c r="AC416" s="33">
        <f>ROUND(I416-S416,2)</f>
      </c>
      <c r="AD416" s="33">
        <f>ROUND(J416-T416,2)</f>
      </c>
      <c r="AE416" s="33">
        <f>ROUND(K416-U416,2)</f>
      </c>
      <c r="AF416" s="33">
        <f>IF(V416&lt;=0,0,MAX(0,MIN(V416,ROUND($AZ416-SUMPRODUCT($V416:$AE416*($V416:$AE416&gt;0)*(($V$3:$AE$3&gt;V$3)+($V$3:$AE$3=V$3)*($V416:$AE416&lt;V416)+($V$3:$AE$3=V$3)*($V416:$AE416=V416)*($V$2:$AE$2&lt;V$2))),2))))</f>
      </c>
      <c r="AG416" s="33">
        <f>IF(W416&lt;=0,0,MAX(0,MIN(W416,ROUND($AZ416-SUMPRODUCT($V416:$AE416*($V416:$AE416&gt;0)*(($V$3:$AE$3&gt;W$3)+($V$3:$AE$3=W$3)*($V416:$AE416&lt;W416)+($V$3:$AE$3=W$3)*($V416:$AE416=W416)*($V$2:$AE$2&lt;W$2))),2))))</f>
      </c>
      <c r="AH416" s="33">
        <f>IF(X416&lt;=0,0,MAX(0,MIN(X416,ROUND($AZ416-SUMPRODUCT($V416:$AE416*($V416:$AE416&gt;0)*(($V$3:$AE$3&gt;X$3)+($V$3:$AE$3=X$3)*($V416:$AE416&lt;X416)+($V$3:$AE$3=X$3)*($V416:$AE416=X416)*($V$2:$AE$2&lt;X$2))),2))))</f>
      </c>
      <c r="AI416" s="33">
        <f>IF(Y416&lt;=0,0,MAX(0,MIN(Y416,ROUND($AZ416-SUMPRODUCT($V416:$AE416*($V416:$AE416&gt;0)*(($V$3:$AE$3&gt;Y$3)+($V$3:$AE$3=Y$3)*($V416:$AE416&lt;Y416)+($V$3:$AE$3=Y$3)*($V416:$AE416=Y416)*($V$2:$AE$2&lt;Y$2))),2))))</f>
      </c>
      <c r="AJ416" s="33">
        <f>IF(Z416&lt;=0,0,MAX(0,MIN(Z416,ROUND($AZ416-SUMPRODUCT($V416:$AE416*($V416:$AE416&gt;0)*(($V$3:$AE$3&gt;Z$3)+($V$3:$AE$3=Z$3)*($V416:$AE416&lt;Z416)+($V$3:$AE$3=Z$3)*($V416:$AE416=Z416)*($V$2:$AE$2&lt;Z$2))),2))))</f>
      </c>
      <c r="AK416" s="33">
        <f>IF(AA416&lt;=0,0,MAX(0,MIN(AA416,ROUND($AZ416-SUMPRODUCT($V416:$AE416*($V416:$AE416&gt;0)*(($V$3:$AE$3&gt;AA$3)+($V$3:$AE$3=AA$3)*($V416:$AE416&lt;AA416)+($V$3:$AE$3=AA$3)*($V416:$AE416=AA416)*($V$2:$AE$2&lt;AA$2))),2))))</f>
      </c>
      <c r="AL416" s="33">
        <f>IF(AB416&lt;=0,0,MAX(0,MIN(AB416,ROUND($AZ416-SUMPRODUCT($V416:$AE416*($V416:$AE416&gt;0)*(($V$3:$AE$3&gt;AB$3)+($V$3:$AE$3=AB$3)*($V416:$AE416&lt;AB416)+($V$3:$AE$3=AB$3)*($V416:$AE416=AB416)*($V$2:$AE$2&lt;AB$2))),2))))</f>
      </c>
      <c r="AM416" s="33">
        <f>IF(AC416&lt;=0,0,MAX(0,MIN(AC416,ROUND($AZ416-SUMPRODUCT($V416:$AE416*($V416:$AE416&gt;0)*(($V$3:$AE$3&gt;AC$3)+($V$3:$AE$3=AC$3)*($V416:$AE416&lt;AC416)+($V$3:$AE$3=AC$3)*($V416:$AE416=AC416)*($V$2:$AE$2&lt;AC$2))),2))))</f>
      </c>
      <c r="AN416" s="33">
        <f>IF(AD416&lt;=0,0,MAX(0,MIN(AD416,ROUND($AZ416-SUMPRODUCT($V416:$AE416*($V416:$AE416&gt;0)*(($V$3:$AE$3&gt;AD$3)+($V$3:$AE$3=AD$3)*($V416:$AE416&lt;AD416)+($V$3:$AE$3=AD$3)*($V416:$AE416=AD416)*($V$2:$AE$2&lt;AD$2))),2))))</f>
      </c>
      <c r="AO416" s="33">
        <f>IF(AE416&lt;=0,0,MAX(0,MIN(AE416,ROUND($AZ416-SUMPRODUCT($V416:$AE416*($V416:$AE416&gt;0)*(($V$3:$AE$3&gt;AE$3)+($V$3:$AE$3=AE$3)*($V416:$AE416&lt;AE416)+($V$3:$AE$3=AE$3)*($V416:$AE416=AE416)*($V$2:$AE$2&lt;AE$2))),2))))</f>
      </c>
      <c r="AP416" s="33">
        <f>ROUND(V416-AF416,2)</f>
      </c>
      <c r="AQ416" s="33">
        <f>ROUND(W416-AG416,2)</f>
      </c>
      <c r="AR416" s="33">
        <f>ROUND(X416-AH416,2)</f>
      </c>
      <c r="AS416" s="33">
        <f>ROUND(Y416-AI416,2)</f>
      </c>
      <c r="AT416" s="33">
        <f>ROUND(Z416-AJ416,2)</f>
      </c>
      <c r="AU416" s="33">
        <f>ROUND(AA416-AK416,2)</f>
      </c>
      <c r="AV416" s="33">
        <f>ROUND(AB416-AL416,2)</f>
      </c>
      <c r="AW416" s="33">
        <f>ROUND(AC416-AM416,2)</f>
      </c>
      <c r="AX416" s="33">
        <f>ROUND(AD416-AN416,2)</f>
      </c>
      <c r="AY416" s="33">
        <f>ROUND(AE416-AO416,2)</f>
      </c>
      <c r="AZ416" s="33">
        <f>ROUND(MAX(0,'Your debts'!$D$22-SUM($L416:$U416)),2)</f>
      </c>
      <c r="BA416" s="33">
        <f>ROUND(SUM($B416:$K416)-SUM($AP415:$AY415),2)</f>
      </c>
      <c r="BB416" s="33">
        <f>SUM($AP416:$AY416)</f>
      </c>
      <c r="BC416" s="33">
        <f>ROUND(SUM($L416:$U416)+SUM($AF416:$AO416),2)</f>
      </c>
    </row>
    <row r="417" spans="1:55" x14ac:dyDescent="0.25">
      <c r="A417">
        <v>410</v>
      </c>
      <c r="B417" s="33">
        <f>IF(AP416&lt;=0,0,ROUND(AP416+ROUND(AP416*V$3/12,2),2))</f>
      </c>
      <c r="C417" s="33">
        <f>IF(AQ416&lt;=0,0,ROUND(AQ416+ROUND(AQ416*W$3/12,2),2))</f>
      </c>
      <c r="D417" s="33">
        <f>IF(AR416&lt;=0,0,ROUND(AR416+ROUND(AR416*X$3/12,2),2))</f>
      </c>
      <c r="E417" s="33">
        <f>IF(AS416&lt;=0,0,ROUND(AS416+ROUND(AS416*Y$3/12,2),2))</f>
      </c>
      <c r="F417" s="33">
        <f>IF(AT416&lt;=0,0,ROUND(AT416+ROUND(AT416*Z$3/12,2),2))</f>
      </c>
      <c r="G417" s="33">
        <f>IF(AU416&lt;=0,0,ROUND(AU416+ROUND(AU416*AA$3/12,2),2))</f>
      </c>
      <c r="H417" s="33">
        <f>IF(AV416&lt;=0,0,ROUND(AV416+ROUND(AV416*AB$3/12,2),2))</f>
      </c>
      <c r="I417" s="33">
        <f>IF(AW416&lt;=0,0,ROUND(AW416+ROUND(AW416*AC$3/12,2),2))</f>
      </c>
      <c r="J417" s="33">
        <f>IF(AX416&lt;=0,0,ROUND(AX416+ROUND(AX416*AD$3/12,2),2))</f>
      </c>
      <c r="K417" s="33">
        <f>IF(AY416&lt;=0,0,ROUND(AY416+ROUND(AY416*AE$3/12,2),2))</f>
      </c>
      <c r="L417" s="33">
        <f>ROUND(MIN(MAX(0,N('Your debts'!$E$6)),B417),2)</f>
      </c>
      <c r="M417" s="33">
        <f>ROUND(MIN(MAX(0,N('Your debts'!$E$7)),C417),2)</f>
      </c>
      <c r="N417" s="33">
        <f>ROUND(MIN(MAX(0,N('Your debts'!$E$8)),D417),2)</f>
      </c>
      <c r="O417" s="33">
        <f>ROUND(MIN(MAX(0,N('Your debts'!$E$9)),E417),2)</f>
      </c>
      <c r="P417" s="33">
        <f>ROUND(MIN(MAX(0,N('Your debts'!$E$10)),F417),2)</f>
      </c>
      <c r="Q417" s="33">
        <f>ROUND(MIN(MAX(0,N('Your debts'!$E$11)),G417),2)</f>
      </c>
      <c r="R417" s="33">
        <f>ROUND(MIN(MAX(0,N('Your debts'!$E$12)),H417),2)</f>
      </c>
      <c r="S417" s="33">
        <f>ROUND(MIN(MAX(0,N('Your debts'!$E$13)),I417),2)</f>
      </c>
      <c r="T417" s="33">
        <f>ROUND(MIN(MAX(0,N('Your debts'!$E$14)),J417),2)</f>
      </c>
      <c r="U417" s="33">
        <f>ROUND(MIN(MAX(0,N('Your debts'!$E$15)),K417),2)</f>
      </c>
      <c r="V417" s="33">
        <f>ROUND(B417-L417,2)</f>
      </c>
      <c r="W417" s="33">
        <f>ROUND(C417-M417,2)</f>
      </c>
      <c r="X417" s="33">
        <f>ROUND(D417-N417,2)</f>
      </c>
      <c r="Y417" s="33">
        <f>ROUND(E417-O417,2)</f>
      </c>
      <c r="Z417" s="33">
        <f>ROUND(F417-P417,2)</f>
      </c>
      <c r="AA417" s="33">
        <f>ROUND(G417-Q417,2)</f>
      </c>
      <c r="AB417" s="33">
        <f>ROUND(H417-R417,2)</f>
      </c>
      <c r="AC417" s="33">
        <f>ROUND(I417-S417,2)</f>
      </c>
      <c r="AD417" s="33">
        <f>ROUND(J417-T417,2)</f>
      </c>
      <c r="AE417" s="33">
        <f>ROUND(K417-U417,2)</f>
      </c>
      <c r="AF417" s="33">
        <f>IF(V417&lt;=0,0,MAX(0,MIN(V417,ROUND($AZ417-SUMPRODUCT($V417:$AE417*($V417:$AE417&gt;0)*(($V$3:$AE$3&gt;V$3)+($V$3:$AE$3=V$3)*($V417:$AE417&lt;V417)+($V$3:$AE$3=V$3)*($V417:$AE417=V417)*($V$2:$AE$2&lt;V$2))),2))))</f>
      </c>
      <c r="AG417" s="33">
        <f>IF(W417&lt;=0,0,MAX(0,MIN(W417,ROUND($AZ417-SUMPRODUCT($V417:$AE417*($V417:$AE417&gt;0)*(($V$3:$AE$3&gt;W$3)+($V$3:$AE$3=W$3)*($V417:$AE417&lt;W417)+($V$3:$AE$3=W$3)*($V417:$AE417=W417)*($V$2:$AE$2&lt;W$2))),2))))</f>
      </c>
      <c r="AH417" s="33">
        <f>IF(X417&lt;=0,0,MAX(0,MIN(X417,ROUND($AZ417-SUMPRODUCT($V417:$AE417*($V417:$AE417&gt;0)*(($V$3:$AE$3&gt;X$3)+($V$3:$AE$3=X$3)*($V417:$AE417&lt;X417)+($V$3:$AE$3=X$3)*($V417:$AE417=X417)*($V$2:$AE$2&lt;X$2))),2))))</f>
      </c>
      <c r="AI417" s="33">
        <f>IF(Y417&lt;=0,0,MAX(0,MIN(Y417,ROUND($AZ417-SUMPRODUCT($V417:$AE417*($V417:$AE417&gt;0)*(($V$3:$AE$3&gt;Y$3)+($V$3:$AE$3=Y$3)*($V417:$AE417&lt;Y417)+($V$3:$AE$3=Y$3)*($V417:$AE417=Y417)*($V$2:$AE$2&lt;Y$2))),2))))</f>
      </c>
      <c r="AJ417" s="33">
        <f>IF(Z417&lt;=0,0,MAX(0,MIN(Z417,ROUND($AZ417-SUMPRODUCT($V417:$AE417*($V417:$AE417&gt;0)*(($V$3:$AE$3&gt;Z$3)+($V$3:$AE$3=Z$3)*($V417:$AE417&lt;Z417)+($V$3:$AE$3=Z$3)*($V417:$AE417=Z417)*($V$2:$AE$2&lt;Z$2))),2))))</f>
      </c>
      <c r="AK417" s="33">
        <f>IF(AA417&lt;=0,0,MAX(0,MIN(AA417,ROUND($AZ417-SUMPRODUCT($V417:$AE417*($V417:$AE417&gt;0)*(($V$3:$AE$3&gt;AA$3)+($V$3:$AE$3=AA$3)*($V417:$AE417&lt;AA417)+($V$3:$AE$3=AA$3)*($V417:$AE417=AA417)*($V$2:$AE$2&lt;AA$2))),2))))</f>
      </c>
      <c r="AL417" s="33">
        <f>IF(AB417&lt;=0,0,MAX(0,MIN(AB417,ROUND($AZ417-SUMPRODUCT($V417:$AE417*($V417:$AE417&gt;0)*(($V$3:$AE$3&gt;AB$3)+($V$3:$AE$3=AB$3)*($V417:$AE417&lt;AB417)+($V$3:$AE$3=AB$3)*($V417:$AE417=AB417)*($V$2:$AE$2&lt;AB$2))),2))))</f>
      </c>
      <c r="AM417" s="33">
        <f>IF(AC417&lt;=0,0,MAX(0,MIN(AC417,ROUND($AZ417-SUMPRODUCT($V417:$AE417*($V417:$AE417&gt;0)*(($V$3:$AE$3&gt;AC$3)+($V$3:$AE$3=AC$3)*($V417:$AE417&lt;AC417)+($V$3:$AE$3=AC$3)*($V417:$AE417=AC417)*($V$2:$AE$2&lt;AC$2))),2))))</f>
      </c>
      <c r="AN417" s="33">
        <f>IF(AD417&lt;=0,0,MAX(0,MIN(AD417,ROUND($AZ417-SUMPRODUCT($V417:$AE417*($V417:$AE417&gt;0)*(($V$3:$AE$3&gt;AD$3)+($V$3:$AE$3=AD$3)*($V417:$AE417&lt;AD417)+($V$3:$AE$3=AD$3)*($V417:$AE417=AD417)*($V$2:$AE$2&lt;AD$2))),2))))</f>
      </c>
      <c r="AO417" s="33">
        <f>IF(AE417&lt;=0,0,MAX(0,MIN(AE417,ROUND($AZ417-SUMPRODUCT($V417:$AE417*($V417:$AE417&gt;0)*(($V$3:$AE$3&gt;AE$3)+($V$3:$AE$3=AE$3)*($V417:$AE417&lt;AE417)+($V$3:$AE$3=AE$3)*($V417:$AE417=AE417)*($V$2:$AE$2&lt;AE$2))),2))))</f>
      </c>
      <c r="AP417" s="33">
        <f>ROUND(V417-AF417,2)</f>
      </c>
      <c r="AQ417" s="33">
        <f>ROUND(W417-AG417,2)</f>
      </c>
      <c r="AR417" s="33">
        <f>ROUND(X417-AH417,2)</f>
      </c>
      <c r="AS417" s="33">
        <f>ROUND(Y417-AI417,2)</f>
      </c>
      <c r="AT417" s="33">
        <f>ROUND(Z417-AJ417,2)</f>
      </c>
      <c r="AU417" s="33">
        <f>ROUND(AA417-AK417,2)</f>
      </c>
      <c r="AV417" s="33">
        <f>ROUND(AB417-AL417,2)</f>
      </c>
      <c r="AW417" s="33">
        <f>ROUND(AC417-AM417,2)</f>
      </c>
      <c r="AX417" s="33">
        <f>ROUND(AD417-AN417,2)</f>
      </c>
      <c r="AY417" s="33">
        <f>ROUND(AE417-AO417,2)</f>
      </c>
      <c r="AZ417" s="33">
        <f>ROUND(MAX(0,'Your debts'!$D$22-SUM($L417:$U417)),2)</f>
      </c>
      <c r="BA417" s="33">
        <f>ROUND(SUM($B417:$K417)-SUM($AP416:$AY416),2)</f>
      </c>
      <c r="BB417" s="33">
        <f>SUM($AP417:$AY417)</f>
      </c>
      <c r="BC417" s="33">
        <f>ROUND(SUM($L417:$U417)+SUM($AF417:$AO417),2)</f>
      </c>
    </row>
    <row r="418" spans="1:55" x14ac:dyDescent="0.25">
      <c r="A418">
        <v>411</v>
      </c>
      <c r="B418" s="33">
        <f>IF(AP417&lt;=0,0,ROUND(AP417+ROUND(AP417*V$3/12,2),2))</f>
      </c>
      <c r="C418" s="33">
        <f>IF(AQ417&lt;=0,0,ROUND(AQ417+ROUND(AQ417*W$3/12,2),2))</f>
      </c>
      <c r="D418" s="33">
        <f>IF(AR417&lt;=0,0,ROUND(AR417+ROUND(AR417*X$3/12,2),2))</f>
      </c>
      <c r="E418" s="33">
        <f>IF(AS417&lt;=0,0,ROUND(AS417+ROUND(AS417*Y$3/12,2),2))</f>
      </c>
      <c r="F418" s="33">
        <f>IF(AT417&lt;=0,0,ROUND(AT417+ROUND(AT417*Z$3/12,2),2))</f>
      </c>
      <c r="G418" s="33">
        <f>IF(AU417&lt;=0,0,ROUND(AU417+ROUND(AU417*AA$3/12,2),2))</f>
      </c>
      <c r="H418" s="33">
        <f>IF(AV417&lt;=0,0,ROUND(AV417+ROUND(AV417*AB$3/12,2),2))</f>
      </c>
      <c r="I418" s="33">
        <f>IF(AW417&lt;=0,0,ROUND(AW417+ROUND(AW417*AC$3/12,2),2))</f>
      </c>
      <c r="J418" s="33">
        <f>IF(AX417&lt;=0,0,ROUND(AX417+ROUND(AX417*AD$3/12,2),2))</f>
      </c>
      <c r="K418" s="33">
        <f>IF(AY417&lt;=0,0,ROUND(AY417+ROUND(AY417*AE$3/12,2),2))</f>
      </c>
      <c r="L418" s="33">
        <f>ROUND(MIN(MAX(0,N('Your debts'!$E$6)),B418),2)</f>
      </c>
      <c r="M418" s="33">
        <f>ROUND(MIN(MAX(0,N('Your debts'!$E$7)),C418),2)</f>
      </c>
      <c r="N418" s="33">
        <f>ROUND(MIN(MAX(0,N('Your debts'!$E$8)),D418),2)</f>
      </c>
      <c r="O418" s="33">
        <f>ROUND(MIN(MAX(0,N('Your debts'!$E$9)),E418),2)</f>
      </c>
      <c r="P418" s="33">
        <f>ROUND(MIN(MAX(0,N('Your debts'!$E$10)),F418),2)</f>
      </c>
      <c r="Q418" s="33">
        <f>ROUND(MIN(MAX(0,N('Your debts'!$E$11)),G418),2)</f>
      </c>
      <c r="R418" s="33">
        <f>ROUND(MIN(MAX(0,N('Your debts'!$E$12)),H418),2)</f>
      </c>
      <c r="S418" s="33">
        <f>ROUND(MIN(MAX(0,N('Your debts'!$E$13)),I418),2)</f>
      </c>
      <c r="T418" s="33">
        <f>ROUND(MIN(MAX(0,N('Your debts'!$E$14)),J418),2)</f>
      </c>
      <c r="U418" s="33">
        <f>ROUND(MIN(MAX(0,N('Your debts'!$E$15)),K418),2)</f>
      </c>
      <c r="V418" s="33">
        <f>ROUND(B418-L418,2)</f>
      </c>
      <c r="W418" s="33">
        <f>ROUND(C418-M418,2)</f>
      </c>
      <c r="X418" s="33">
        <f>ROUND(D418-N418,2)</f>
      </c>
      <c r="Y418" s="33">
        <f>ROUND(E418-O418,2)</f>
      </c>
      <c r="Z418" s="33">
        <f>ROUND(F418-P418,2)</f>
      </c>
      <c r="AA418" s="33">
        <f>ROUND(G418-Q418,2)</f>
      </c>
      <c r="AB418" s="33">
        <f>ROUND(H418-R418,2)</f>
      </c>
      <c r="AC418" s="33">
        <f>ROUND(I418-S418,2)</f>
      </c>
      <c r="AD418" s="33">
        <f>ROUND(J418-T418,2)</f>
      </c>
      <c r="AE418" s="33">
        <f>ROUND(K418-U418,2)</f>
      </c>
      <c r="AF418" s="33">
        <f>IF(V418&lt;=0,0,MAX(0,MIN(V418,ROUND($AZ418-SUMPRODUCT($V418:$AE418*($V418:$AE418&gt;0)*(($V$3:$AE$3&gt;V$3)+($V$3:$AE$3=V$3)*($V418:$AE418&lt;V418)+($V$3:$AE$3=V$3)*($V418:$AE418=V418)*($V$2:$AE$2&lt;V$2))),2))))</f>
      </c>
      <c r="AG418" s="33">
        <f>IF(W418&lt;=0,0,MAX(0,MIN(W418,ROUND($AZ418-SUMPRODUCT($V418:$AE418*($V418:$AE418&gt;0)*(($V$3:$AE$3&gt;W$3)+($V$3:$AE$3=W$3)*($V418:$AE418&lt;W418)+($V$3:$AE$3=W$3)*($V418:$AE418=W418)*($V$2:$AE$2&lt;W$2))),2))))</f>
      </c>
      <c r="AH418" s="33">
        <f>IF(X418&lt;=0,0,MAX(0,MIN(X418,ROUND($AZ418-SUMPRODUCT($V418:$AE418*($V418:$AE418&gt;0)*(($V$3:$AE$3&gt;X$3)+($V$3:$AE$3=X$3)*($V418:$AE418&lt;X418)+($V$3:$AE$3=X$3)*($V418:$AE418=X418)*($V$2:$AE$2&lt;X$2))),2))))</f>
      </c>
      <c r="AI418" s="33">
        <f>IF(Y418&lt;=0,0,MAX(0,MIN(Y418,ROUND($AZ418-SUMPRODUCT($V418:$AE418*($V418:$AE418&gt;0)*(($V$3:$AE$3&gt;Y$3)+($V$3:$AE$3=Y$3)*($V418:$AE418&lt;Y418)+($V$3:$AE$3=Y$3)*($V418:$AE418=Y418)*($V$2:$AE$2&lt;Y$2))),2))))</f>
      </c>
      <c r="AJ418" s="33">
        <f>IF(Z418&lt;=0,0,MAX(0,MIN(Z418,ROUND($AZ418-SUMPRODUCT($V418:$AE418*($V418:$AE418&gt;0)*(($V$3:$AE$3&gt;Z$3)+($V$3:$AE$3=Z$3)*($V418:$AE418&lt;Z418)+($V$3:$AE$3=Z$3)*($V418:$AE418=Z418)*($V$2:$AE$2&lt;Z$2))),2))))</f>
      </c>
      <c r="AK418" s="33">
        <f>IF(AA418&lt;=0,0,MAX(0,MIN(AA418,ROUND($AZ418-SUMPRODUCT($V418:$AE418*($V418:$AE418&gt;0)*(($V$3:$AE$3&gt;AA$3)+($V$3:$AE$3=AA$3)*($V418:$AE418&lt;AA418)+($V$3:$AE$3=AA$3)*($V418:$AE418=AA418)*($V$2:$AE$2&lt;AA$2))),2))))</f>
      </c>
      <c r="AL418" s="33">
        <f>IF(AB418&lt;=0,0,MAX(0,MIN(AB418,ROUND($AZ418-SUMPRODUCT($V418:$AE418*($V418:$AE418&gt;0)*(($V$3:$AE$3&gt;AB$3)+($V$3:$AE$3=AB$3)*($V418:$AE418&lt;AB418)+($V$3:$AE$3=AB$3)*($V418:$AE418=AB418)*($V$2:$AE$2&lt;AB$2))),2))))</f>
      </c>
      <c r="AM418" s="33">
        <f>IF(AC418&lt;=0,0,MAX(0,MIN(AC418,ROUND($AZ418-SUMPRODUCT($V418:$AE418*($V418:$AE418&gt;0)*(($V$3:$AE$3&gt;AC$3)+($V$3:$AE$3=AC$3)*($V418:$AE418&lt;AC418)+($V$3:$AE$3=AC$3)*($V418:$AE418=AC418)*($V$2:$AE$2&lt;AC$2))),2))))</f>
      </c>
      <c r="AN418" s="33">
        <f>IF(AD418&lt;=0,0,MAX(0,MIN(AD418,ROUND($AZ418-SUMPRODUCT($V418:$AE418*($V418:$AE418&gt;0)*(($V$3:$AE$3&gt;AD$3)+($V$3:$AE$3=AD$3)*($V418:$AE418&lt;AD418)+($V$3:$AE$3=AD$3)*($V418:$AE418=AD418)*($V$2:$AE$2&lt;AD$2))),2))))</f>
      </c>
      <c r="AO418" s="33">
        <f>IF(AE418&lt;=0,0,MAX(0,MIN(AE418,ROUND($AZ418-SUMPRODUCT($V418:$AE418*($V418:$AE418&gt;0)*(($V$3:$AE$3&gt;AE$3)+($V$3:$AE$3=AE$3)*($V418:$AE418&lt;AE418)+($V$3:$AE$3=AE$3)*($V418:$AE418=AE418)*($V$2:$AE$2&lt;AE$2))),2))))</f>
      </c>
      <c r="AP418" s="33">
        <f>ROUND(V418-AF418,2)</f>
      </c>
      <c r="AQ418" s="33">
        <f>ROUND(W418-AG418,2)</f>
      </c>
      <c r="AR418" s="33">
        <f>ROUND(X418-AH418,2)</f>
      </c>
      <c r="AS418" s="33">
        <f>ROUND(Y418-AI418,2)</f>
      </c>
      <c r="AT418" s="33">
        <f>ROUND(Z418-AJ418,2)</f>
      </c>
      <c r="AU418" s="33">
        <f>ROUND(AA418-AK418,2)</f>
      </c>
      <c r="AV418" s="33">
        <f>ROUND(AB418-AL418,2)</f>
      </c>
      <c r="AW418" s="33">
        <f>ROUND(AC418-AM418,2)</f>
      </c>
      <c r="AX418" s="33">
        <f>ROUND(AD418-AN418,2)</f>
      </c>
      <c r="AY418" s="33">
        <f>ROUND(AE418-AO418,2)</f>
      </c>
      <c r="AZ418" s="33">
        <f>ROUND(MAX(0,'Your debts'!$D$22-SUM($L418:$U418)),2)</f>
      </c>
      <c r="BA418" s="33">
        <f>ROUND(SUM($B418:$K418)-SUM($AP417:$AY417),2)</f>
      </c>
      <c r="BB418" s="33">
        <f>SUM($AP418:$AY418)</f>
      </c>
      <c r="BC418" s="33">
        <f>ROUND(SUM($L418:$U418)+SUM($AF418:$AO418),2)</f>
      </c>
    </row>
    <row r="419" spans="1:55" x14ac:dyDescent="0.25">
      <c r="A419">
        <v>412</v>
      </c>
      <c r="B419" s="33">
        <f>IF(AP418&lt;=0,0,ROUND(AP418+ROUND(AP418*V$3/12,2),2))</f>
      </c>
      <c r="C419" s="33">
        <f>IF(AQ418&lt;=0,0,ROUND(AQ418+ROUND(AQ418*W$3/12,2),2))</f>
      </c>
      <c r="D419" s="33">
        <f>IF(AR418&lt;=0,0,ROUND(AR418+ROUND(AR418*X$3/12,2),2))</f>
      </c>
      <c r="E419" s="33">
        <f>IF(AS418&lt;=0,0,ROUND(AS418+ROUND(AS418*Y$3/12,2),2))</f>
      </c>
      <c r="F419" s="33">
        <f>IF(AT418&lt;=0,0,ROUND(AT418+ROUND(AT418*Z$3/12,2),2))</f>
      </c>
      <c r="G419" s="33">
        <f>IF(AU418&lt;=0,0,ROUND(AU418+ROUND(AU418*AA$3/12,2),2))</f>
      </c>
      <c r="H419" s="33">
        <f>IF(AV418&lt;=0,0,ROUND(AV418+ROUND(AV418*AB$3/12,2),2))</f>
      </c>
      <c r="I419" s="33">
        <f>IF(AW418&lt;=0,0,ROUND(AW418+ROUND(AW418*AC$3/12,2),2))</f>
      </c>
      <c r="J419" s="33">
        <f>IF(AX418&lt;=0,0,ROUND(AX418+ROUND(AX418*AD$3/12,2),2))</f>
      </c>
      <c r="K419" s="33">
        <f>IF(AY418&lt;=0,0,ROUND(AY418+ROUND(AY418*AE$3/12,2),2))</f>
      </c>
      <c r="L419" s="33">
        <f>ROUND(MIN(MAX(0,N('Your debts'!$E$6)),B419),2)</f>
      </c>
      <c r="M419" s="33">
        <f>ROUND(MIN(MAX(0,N('Your debts'!$E$7)),C419),2)</f>
      </c>
      <c r="N419" s="33">
        <f>ROUND(MIN(MAX(0,N('Your debts'!$E$8)),D419),2)</f>
      </c>
      <c r="O419" s="33">
        <f>ROUND(MIN(MAX(0,N('Your debts'!$E$9)),E419),2)</f>
      </c>
      <c r="P419" s="33">
        <f>ROUND(MIN(MAX(0,N('Your debts'!$E$10)),F419),2)</f>
      </c>
      <c r="Q419" s="33">
        <f>ROUND(MIN(MAX(0,N('Your debts'!$E$11)),G419),2)</f>
      </c>
      <c r="R419" s="33">
        <f>ROUND(MIN(MAX(0,N('Your debts'!$E$12)),H419),2)</f>
      </c>
      <c r="S419" s="33">
        <f>ROUND(MIN(MAX(0,N('Your debts'!$E$13)),I419),2)</f>
      </c>
      <c r="T419" s="33">
        <f>ROUND(MIN(MAX(0,N('Your debts'!$E$14)),J419),2)</f>
      </c>
      <c r="U419" s="33">
        <f>ROUND(MIN(MAX(0,N('Your debts'!$E$15)),K419),2)</f>
      </c>
      <c r="V419" s="33">
        <f>ROUND(B419-L419,2)</f>
      </c>
      <c r="W419" s="33">
        <f>ROUND(C419-M419,2)</f>
      </c>
      <c r="X419" s="33">
        <f>ROUND(D419-N419,2)</f>
      </c>
      <c r="Y419" s="33">
        <f>ROUND(E419-O419,2)</f>
      </c>
      <c r="Z419" s="33">
        <f>ROUND(F419-P419,2)</f>
      </c>
      <c r="AA419" s="33">
        <f>ROUND(G419-Q419,2)</f>
      </c>
      <c r="AB419" s="33">
        <f>ROUND(H419-R419,2)</f>
      </c>
      <c r="AC419" s="33">
        <f>ROUND(I419-S419,2)</f>
      </c>
      <c r="AD419" s="33">
        <f>ROUND(J419-T419,2)</f>
      </c>
      <c r="AE419" s="33">
        <f>ROUND(K419-U419,2)</f>
      </c>
      <c r="AF419" s="33">
        <f>IF(V419&lt;=0,0,MAX(0,MIN(V419,ROUND($AZ419-SUMPRODUCT($V419:$AE419*($V419:$AE419&gt;0)*(($V$3:$AE$3&gt;V$3)+($V$3:$AE$3=V$3)*($V419:$AE419&lt;V419)+($V$3:$AE$3=V$3)*($V419:$AE419=V419)*($V$2:$AE$2&lt;V$2))),2))))</f>
      </c>
      <c r="AG419" s="33">
        <f>IF(W419&lt;=0,0,MAX(0,MIN(W419,ROUND($AZ419-SUMPRODUCT($V419:$AE419*($V419:$AE419&gt;0)*(($V$3:$AE$3&gt;W$3)+($V$3:$AE$3=W$3)*($V419:$AE419&lt;W419)+($V$3:$AE$3=W$3)*($V419:$AE419=W419)*($V$2:$AE$2&lt;W$2))),2))))</f>
      </c>
      <c r="AH419" s="33">
        <f>IF(X419&lt;=0,0,MAX(0,MIN(X419,ROUND($AZ419-SUMPRODUCT($V419:$AE419*($V419:$AE419&gt;0)*(($V$3:$AE$3&gt;X$3)+($V$3:$AE$3=X$3)*($V419:$AE419&lt;X419)+($V$3:$AE$3=X$3)*($V419:$AE419=X419)*($V$2:$AE$2&lt;X$2))),2))))</f>
      </c>
      <c r="AI419" s="33">
        <f>IF(Y419&lt;=0,0,MAX(0,MIN(Y419,ROUND($AZ419-SUMPRODUCT($V419:$AE419*($V419:$AE419&gt;0)*(($V$3:$AE$3&gt;Y$3)+($V$3:$AE$3=Y$3)*($V419:$AE419&lt;Y419)+($V$3:$AE$3=Y$3)*($V419:$AE419=Y419)*($V$2:$AE$2&lt;Y$2))),2))))</f>
      </c>
      <c r="AJ419" s="33">
        <f>IF(Z419&lt;=0,0,MAX(0,MIN(Z419,ROUND($AZ419-SUMPRODUCT($V419:$AE419*($V419:$AE419&gt;0)*(($V$3:$AE$3&gt;Z$3)+($V$3:$AE$3=Z$3)*($V419:$AE419&lt;Z419)+($V$3:$AE$3=Z$3)*($V419:$AE419=Z419)*($V$2:$AE$2&lt;Z$2))),2))))</f>
      </c>
      <c r="AK419" s="33">
        <f>IF(AA419&lt;=0,0,MAX(0,MIN(AA419,ROUND($AZ419-SUMPRODUCT($V419:$AE419*($V419:$AE419&gt;0)*(($V$3:$AE$3&gt;AA$3)+($V$3:$AE$3=AA$3)*($V419:$AE419&lt;AA419)+($V$3:$AE$3=AA$3)*($V419:$AE419=AA419)*($V$2:$AE$2&lt;AA$2))),2))))</f>
      </c>
      <c r="AL419" s="33">
        <f>IF(AB419&lt;=0,0,MAX(0,MIN(AB419,ROUND($AZ419-SUMPRODUCT($V419:$AE419*($V419:$AE419&gt;0)*(($V$3:$AE$3&gt;AB$3)+($V$3:$AE$3=AB$3)*($V419:$AE419&lt;AB419)+($V$3:$AE$3=AB$3)*($V419:$AE419=AB419)*($V$2:$AE$2&lt;AB$2))),2))))</f>
      </c>
      <c r="AM419" s="33">
        <f>IF(AC419&lt;=0,0,MAX(0,MIN(AC419,ROUND($AZ419-SUMPRODUCT($V419:$AE419*($V419:$AE419&gt;0)*(($V$3:$AE$3&gt;AC$3)+($V$3:$AE$3=AC$3)*($V419:$AE419&lt;AC419)+($V$3:$AE$3=AC$3)*($V419:$AE419=AC419)*($V$2:$AE$2&lt;AC$2))),2))))</f>
      </c>
      <c r="AN419" s="33">
        <f>IF(AD419&lt;=0,0,MAX(0,MIN(AD419,ROUND($AZ419-SUMPRODUCT($V419:$AE419*($V419:$AE419&gt;0)*(($V$3:$AE$3&gt;AD$3)+($V$3:$AE$3=AD$3)*($V419:$AE419&lt;AD419)+($V$3:$AE$3=AD$3)*($V419:$AE419=AD419)*($V$2:$AE$2&lt;AD$2))),2))))</f>
      </c>
      <c r="AO419" s="33">
        <f>IF(AE419&lt;=0,0,MAX(0,MIN(AE419,ROUND($AZ419-SUMPRODUCT($V419:$AE419*($V419:$AE419&gt;0)*(($V$3:$AE$3&gt;AE$3)+($V$3:$AE$3=AE$3)*($V419:$AE419&lt;AE419)+($V$3:$AE$3=AE$3)*($V419:$AE419=AE419)*($V$2:$AE$2&lt;AE$2))),2))))</f>
      </c>
      <c r="AP419" s="33">
        <f>ROUND(V419-AF419,2)</f>
      </c>
      <c r="AQ419" s="33">
        <f>ROUND(W419-AG419,2)</f>
      </c>
      <c r="AR419" s="33">
        <f>ROUND(X419-AH419,2)</f>
      </c>
      <c r="AS419" s="33">
        <f>ROUND(Y419-AI419,2)</f>
      </c>
      <c r="AT419" s="33">
        <f>ROUND(Z419-AJ419,2)</f>
      </c>
      <c r="AU419" s="33">
        <f>ROUND(AA419-AK419,2)</f>
      </c>
      <c r="AV419" s="33">
        <f>ROUND(AB419-AL419,2)</f>
      </c>
      <c r="AW419" s="33">
        <f>ROUND(AC419-AM419,2)</f>
      </c>
      <c r="AX419" s="33">
        <f>ROUND(AD419-AN419,2)</f>
      </c>
      <c r="AY419" s="33">
        <f>ROUND(AE419-AO419,2)</f>
      </c>
      <c r="AZ419" s="33">
        <f>ROUND(MAX(0,'Your debts'!$D$22-SUM($L419:$U419)),2)</f>
      </c>
      <c r="BA419" s="33">
        <f>ROUND(SUM($B419:$K419)-SUM($AP418:$AY418),2)</f>
      </c>
      <c r="BB419" s="33">
        <f>SUM($AP419:$AY419)</f>
      </c>
      <c r="BC419" s="33">
        <f>ROUND(SUM($L419:$U419)+SUM($AF419:$AO419),2)</f>
      </c>
    </row>
    <row r="420" spans="1:55" x14ac:dyDescent="0.25">
      <c r="A420">
        <v>413</v>
      </c>
      <c r="B420" s="33">
        <f>IF(AP419&lt;=0,0,ROUND(AP419+ROUND(AP419*V$3/12,2),2))</f>
      </c>
      <c r="C420" s="33">
        <f>IF(AQ419&lt;=0,0,ROUND(AQ419+ROUND(AQ419*W$3/12,2),2))</f>
      </c>
      <c r="D420" s="33">
        <f>IF(AR419&lt;=0,0,ROUND(AR419+ROUND(AR419*X$3/12,2),2))</f>
      </c>
      <c r="E420" s="33">
        <f>IF(AS419&lt;=0,0,ROUND(AS419+ROUND(AS419*Y$3/12,2),2))</f>
      </c>
      <c r="F420" s="33">
        <f>IF(AT419&lt;=0,0,ROUND(AT419+ROUND(AT419*Z$3/12,2),2))</f>
      </c>
      <c r="G420" s="33">
        <f>IF(AU419&lt;=0,0,ROUND(AU419+ROUND(AU419*AA$3/12,2),2))</f>
      </c>
      <c r="H420" s="33">
        <f>IF(AV419&lt;=0,0,ROUND(AV419+ROUND(AV419*AB$3/12,2),2))</f>
      </c>
      <c r="I420" s="33">
        <f>IF(AW419&lt;=0,0,ROUND(AW419+ROUND(AW419*AC$3/12,2),2))</f>
      </c>
      <c r="J420" s="33">
        <f>IF(AX419&lt;=0,0,ROUND(AX419+ROUND(AX419*AD$3/12,2),2))</f>
      </c>
      <c r="K420" s="33">
        <f>IF(AY419&lt;=0,0,ROUND(AY419+ROUND(AY419*AE$3/12,2),2))</f>
      </c>
      <c r="L420" s="33">
        <f>ROUND(MIN(MAX(0,N('Your debts'!$E$6)),B420),2)</f>
      </c>
      <c r="M420" s="33">
        <f>ROUND(MIN(MAX(0,N('Your debts'!$E$7)),C420),2)</f>
      </c>
      <c r="N420" s="33">
        <f>ROUND(MIN(MAX(0,N('Your debts'!$E$8)),D420),2)</f>
      </c>
      <c r="O420" s="33">
        <f>ROUND(MIN(MAX(0,N('Your debts'!$E$9)),E420),2)</f>
      </c>
      <c r="P420" s="33">
        <f>ROUND(MIN(MAX(0,N('Your debts'!$E$10)),F420),2)</f>
      </c>
      <c r="Q420" s="33">
        <f>ROUND(MIN(MAX(0,N('Your debts'!$E$11)),G420),2)</f>
      </c>
      <c r="R420" s="33">
        <f>ROUND(MIN(MAX(0,N('Your debts'!$E$12)),H420),2)</f>
      </c>
      <c r="S420" s="33">
        <f>ROUND(MIN(MAX(0,N('Your debts'!$E$13)),I420),2)</f>
      </c>
      <c r="T420" s="33">
        <f>ROUND(MIN(MAX(0,N('Your debts'!$E$14)),J420),2)</f>
      </c>
      <c r="U420" s="33">
        <f>ROUND(MIN(MAX(0,N('Your debts'!$E$15)),K420),2)</f>
      </c>
      <c r="V420" s="33">
        <f>ROUND(B420-L420,2)</f>
      </c>
      <c r="W420" s="33">
        <f>ROUND(C420-M420,2)</f>
      </c>
      <c r="X420" s="33">
        <f>ROUND(D420-N420,2)</f>
      </c>
      <c r="Y420" s="33">
        <f>ROUND(E420-O420,2)</f>
      </c>
      <c r="Z420" s="33">
        <f>ROUND(F420-P420,2)</f>
      </c>
      <c r="AA420" s="33">
        <f>ROUND(G420-Q420,2)</f>
      </c>
      <c r="AB420" s="33">
        <f>ROUND(H420-R420,2)</f>
      </c>
      <c r="AC420" s="33">
        <f>ROUND(I420-S420,2)</f>
      </c>
      <c r="AD420" s="33">
        <f>ROUND(J420-T420,2)</f>
      </c>
      <c r="AE420" s="33">
        <f>ROUND(K420-U420,2)</f>
      </c>
      <c r="AF420" s="33">
        <f>IF(V420&lt;=0,0,MAX(0,MIN(V420,ROUND($AZ420-SUMPRODUCT($V420:$AE420*($V420:$AE420&gt;0)*(($V$3:$AE$3&gt;V$3)+($V$3:$AE$3=V$3)*($V420:$AE420&lt;V420)+($V$3:$AE$3=V$3)*($V420:$AE420=V420)*($V$2:$AE$2&lt;V$2))),2))))</f>
      </c>
      <c r="AG420" s="33">
        <f>IF(W420&lt;=0,0,MAX(0,MIN(W420,ROUND($AZ420-SUMPRODUCT($V420:$AE420*($V420:$AE420&gt;0)*(($V$3:$AE$3&gt;W$3)+($V$3:$AE$3=W$3)*($V420:$AE420&lt;W420)+($V$3:$AE$3=W$3)*($V420:$AE420=W420)*($V$2:$AE$2&lt;W$2))),2))))</f>
      </c>
      <c r="AH420" s="33">
        <f>IF(X420&lt;=0,0,MAX(0,MIN(X420,ROUND($AZ420-SUMPRODUCT($V420:$AE420*($V420:$AE420&gt;0)*(($V$3:$AE$3&gt;X$3)+($V$3:$AE$3=X$3)*($V420:$AE420&lt;X420)+($V$3:$AE$3=X$3)*($V420:$AE420=X420)*($V$2:$AE$2&lt;X$2))),2))))</f>
      </c>
      <c r="AI420" s="33">
        <f>IF(Y420&lt;=0,0,MAX(0,MIN(Y420,ROUND($AZ420-SUMPRODUCT($V420:$AE420*($V420:$AE420&gt;0)*(($V$3:$AE$3&gt;Y$3)+($V$3:$AE$3=Y$3)*($V420:$AE420&lt;Y420)+($V$3:$AE$3=Y$3)*($V420:$AE420=Y420)*($V$2:$AE$2&lt;Y$2))),2))))</f>
      </c>
      <c r="AJ420" s="33">
        <f>IF(Z420&lt;=0,0,MAX(0,MIN(Z420,ROUND($AZ420-SUMPRODUCT($V420:$AE420*($V420:$AE420&gt;0)*(($V$3:$AE$3&gt;Z$3)+($V$3:$AE$3=Z$3)*($V420:$AE420&lt;Z420)+($V$3:$AE$3=Z$3)*($V420:$AE420=Z420)*($V$2:$AE$2&lt;Z$2))),2))))</f>
      </c>
      <c r="AK420" s="33">
        <f>IF(AA420&lt;=0,0,MAX(0,MIN(AA420,ROUND($AZ420-SUMPRODUCT($V420:$AE420*($V420:$AE420&gt;0)*(($V$3:$AE$3&gt;AA$3)+($V$3:$AE$3=AA$3)*($V420:$AE420&lt;AA420)+($V$3:$AE$3=AA$3)*($V420:$AE420=AA420)*($V$2:$AE$2&lt;AA$2))),2))))</f>
      </c>
      <c r="AL420" s="33">
        <f>IF(AB420&lt;=0,0,MAX(0,MIN(AB420,ROUND($AZ420-SUMPRODUCT($V420:$AE420*($V420:$AE420&gt;0)*(($V$3:$AE$3&gt;AB$3)+($V$3:$AE$3=AB$3)*($V420:$AE420&lt;AB420)+($V$3:$AE$3=AB$3)*($V420:$AE420=AB420)*($V$2:$AE$2&lt;AB$2))),2))))</f>
      </c>
      <c r="AM420" s="33">
        <f>IF(AC420&lt;=0,0,MAX(0,MIN(AC420,ROUND($AZ420-SUMPRODUCT($V420:$AE420*($V420:$AE420&gt;0)*(($V$3:$AE$3&gt;AC$3)+($V$3:$AE$3=AC$3)*($V420:$AE420&lt;AC420)+($V$3:$AE$3=AC$3)*($V420:$AE420=AC420)*($V$2:$AE$2&lt;AC$2))),2))))</f>
      </c>
      <c r="AN420" s="33">
        <f>IF(AD420&lt;=0,0,MAX(0,MIN(AD420,ROUND($AZ420-SUMPRODUCT($V420:$AE420*($V420:$AE420&gt;0)*(($V$3:$AE$3&gt;AD$3)+($V$3:$AE$3=AD$3)*($V420:$AE420&lt;AD420)+($V$3:$AE$3=AD$3)*($V420:$AE420=AD420)*($V$2:$AE$2&lt;AD$2))),2))))</f>
      </c>
      <c r="AO420" s="33">
        <f>IF(AE420&lt;=0,0,MAX(0,MIN(AE420,ROUND($AZ420-SUMPRODUCT($V420:$AE420*($V420:$AE420&gt;0)*(($V$3:$AE$3&gt;AE$3)+($V$3:$AE$3=AE$3)*($V420:$AE420&lt;AE420)+($V$3:$AE$3=AE$3)*($V420:$AE420=AE420)*($V$2:$AE$2&lt;AE$2))),2))))</f>
      </c>
      <c r="AP420" s="33">
        <f>ROUND(V420-AF420,2)</f>
      </c>
      <c r="AQ420" s="33">
        <f>ROUND(W420-AG420,2)</f>
      </c>
      <c r="AR420" s="33">
        <f>ROUND(X420-AH420,2)</f>
      </c>
      <c r="AS420" s="33">
        <f>ROUND(Y420-AI420,2)</f>
      </c>
      <c r="AT420" s="33">
        <f>ROUND(Z420-AJ420,2)</f>
      </c>
      <c r="AU420" s="33">
        <f>ROUND(AA420-AK420,2)</f>
      </c>
      <c r="AV420" s="33">
        <f>ROUND(AB420-AL420,2)</f>
      </c>
      <c r="AW420" s="33">
        <f>ROUND(AC420-AM420,2)</f>
      </c>
      <c r="AX420" s="33">
        <f>ROUND(AD420-AN420,2)</f>
      </c>
      <c r="AY420" s="33">
        <f>ROUND(AE420-AO420,2)</f>
      </c>
      <c r="AZ420" s="33">
        <f>ROUND(MAX(0,'Your debts'!$D$22-SUM($L420:$U420)),2)</f>
      </c>
      <c r="BA420" s="33">
        <f>ROUND(SUM($B420:$K420)-SUM($AP419:$AY419),2)</f>
      </c>
      <c r="BB420" s="33">
        <f>SUM($AP420:$AY420)</f>
      </c>
      <c r="BC420" s="33">
        <f>ROUND(SUM($L420:$U420)+SUM($AF420:$AO420),2)</f>
      </c>
    </row>
    <row r="421" spans="1:55" x14ac:dyDescent="0.25">
      <c r="A421">
        <v>414</v>
      </c>
      <c r="B421" s="33">
        <f>IF(AP420&lt;=0,0,ROUND(AP420+ROUND(AP420*V$3/12,2),2))</f>
      </c>
      <c r="C421" s="33">
        <f>IF(AQ420&lt;=0,0,ROUND(AQ420+ROUND(AQ420*W$3/12,2),2))</f>
      </c>
      <c r="D421" s="33">
        <f>IF(AR420&lt;=0,0,ROUND(AR420+ROUND(AR420*X$3/12,2),2))</f>
      </c>
      <c r="E421" s="33">
        <f>IF(AS420&lt;=0,0,ROUND(AS420+ROUND(AS420*Y$3/12,2),2))</f>
      </c>
      <c r="F421" s="33">
        <f>IF(AT420&lt;=0,0,ROUND(AT420+ROUND(AT420*Z$3/12,2),2))</f>
      </c>
      <c r="G421" s="33">
        <f>IF(AU420&lt;=0,0,ROUND(AU420+ROUND(AU420*AA$3/12,2),2))</f>
      </c>
      <c r="H421" s="33">
        <f>IF(AV420&lt;=0,0,ROUND(AV420+ROUND(AV420*AB$3/12,2),2))</f>
      </c>
      <c r="I421" s="33">
        <f>IF(AW420&lt;=0,0,ROUND(AW420+ROUND(AW420*AC$3/12,2),2))</f>
      </c>
      <c r="J421" s="33">
        <f>IF(AX420&lt;=0,0,ROUND(AX420+ROUND(AX420*AD$3/12,2),2))</f>
      </c>
      <c r="K421" s="33">
        <f>IF(AY420&lt;=0,0,ROUND(AY420+ROUND(AY420*AE$3/12,2),2))</f>
      </c>
      <c r="L421" s="33">
        <f>ROUND(MIN(MAX(0,N('Your debts'!$E$6)),B421),2)</f>
      </c>
      <c r="M421" s="33">
        <f>ROUND(MIN(MAX(0,N('Your debts'!$E$7)),C421),2)</f>
      </c>
      <c r="N421" s="33">
        <f>ROUND(MIN(MAX(0,N('Your debts'!$E$8)),D421),2)</f>
      </c>
      <c r="O421" s="33">
        <f>ROUND(MIN(MAX(0,N('Your debts'!$E$9)),E421),2)</f>
      </c>
      <c r="P421" s="33">
        <f>ROUND(MIN(MAX(0,N('Your debts'!$E$10)),F421),2)</f>
      </c>
      <c r="Q421" s="33">
        <f>ROUND(MIN(MAX(0,N('Your debts'!$E$11)),G421),2)</f>
      </c>
      <c r="R421" s="33">
        <f>ROUND(MIN(MAX(0,N('Your debts'!$E$12)),H421),2)</f>
      </c>
      <c r="S421" s="33">
        <f>ROUND(MIN(MAX(0,N('Your debts'!$E$13)),I421),2)</f>
      </c>
      <c r="T421" s="33">
        <f>ROUND(MIN(MAX(0,N('Your debts'!$E$14)),J421),2)</f>
      </c>
      <c r="U421" s="33">
        <f>ROUND(MIN(MAX(0,N('Your debts'!$E$15)),K421),2)</f>
      </c>
      <c r="V421" s="33">
        <f>ROUND(B421-L421,2)</f>
      </c>
      <c r="W421" s="33">
        <f>ROUND(C421-M421,2)</f>
      </c>
      <c r="X421" s="33">
        <f>ROUND(D421-N421,2)</f>
      </c>
      <c r="Y421" s="33">
        <f>ROUND(E421-O421,2)</f>
      </c>
      <c r="Z421" s="33">
        <f>ROUND(F421-P421,2)</f>
      </c>
      <c r="AA421" s="33">
        <f>ROUND(G421-Q421,2)</f>
      </c>
      <c r="AB421" s="33">
        <f>ROUND(H421-R421,2)</f>
      </c>
      <c r="AC421" s="33">
        <f>ROUND(I421-S421,2)</f>
      </c>
      <c r="AD421" s="33">
        <f>ROUND(J421-T421,2)</f>
      </c>
      <c r="AE421" s="33">
        <f>ROUND(K421-U421,2)</f>
      </c>
      <c r="AF421" s="33">
        <f>IF(V421&lt;=0,0,MAX(0,MIN(V421,ROUND($AZ421-SUMPRODUCT($V421:$AE421*($V421:$AE421&gt;0)*(($V$3:$AE$3&gt;V$3)+($V$3:$AE$3=V$3)*($V421:$AE421&lt;V421)+($V$3:$AE$3=V$3)*($V421:$AE421=V421)*($V$2:$AE$2&lt;V$2))),2))))</f>
      </c>
      <c r="AG421" s="33">
        <f>IF(W421&lt;=0,0,MAX(0,MIN(W421,ROUND($AZ421-SUMPRODUCT($V421:$AE421*($V421:$AE421&gt;0)*(($V$3:$AE$3&gt;W$3)+($V$3:$AE$3=W$3)*($V421:$AE421&lt;W421)+($V$3:$AE$3=W$3)*($V421:$AE421=W421)*($V$2:$AE$2&lt;W$2))),2))))</f>
      </c>
      <c r="AH421" s="33">
        <f>IF(X421&lt;=0,0,MAX(0,MIN(X421,ROUND($AZ421-SUMPRODUCT($V421:$AE421*($V421:$AE421&gt;0)*(($V$3:$AE$3&gt;X$3)+($V$3:$AE$3=X$3)*($V421:$AE421&lt;X421)+($V$3:$AE$3=X$3)*($V421:$AE421=X421)*($V$2:$AE$2&lt;X$2))),2))))</f>
      </c>
      <c r="AI421" s="33">
        <f>IF(Y421&lt;=0,0,MAX(0,MIN(Y421,ROUND($AZ421-SUMPRODUCT($V421:$AE421*($V421:$AE421&gt;0)*(($V$3:$AE$3&gt;Y$3)+($V$3:$AE$3=Y$3)*($V421:$AE421&lt;Y421)+($V$3:$AE$3=Y$3)*($V421:$AE421=Y421)*($V$2:$AE$2&lt;Y$2))),2))))</f>
      </c>
      <c r="AJ421" s="33">
        <f>IF(Z421&lt;=0,0,MAX(0,MIN(Z421,ROUND($AZ421-SUMPRODUCT($V421:$AE421*($V421:$AE421&gt;0)*(($V$3:$AE$3&gt;Z$3)+($V$3:$AE$3=Z$3)*($V421:$AE421&lt;Z421)+($V$3:$AE$3=Z$3)*($V421:$AE421=Z421)*($V$2:$AE$2&lt;Z$2))),2))))</f>
      </c>
      <c r="AK421" s="33">
        <f>IF(AA421&lt;=0,0,MAX(0,MIN(AA421,ROUND($AZ421-SUMPRODUCT($V421:$AE421*($V421:$AE421&gt;0)*(($V$3:$AE$3&gt;AA$3)+($V$3:$AE$3=AA$3)*($V421:$AE421&lt;AA421)+($V$3:$AE$3=AA$3)*($V421:$AE421=AA421)*($V$2:$AE$2&lt;AA$2))),2))))</f>
      </c>
      <c r="AL421" s="33">
        <f>IF(AB421&lt;=0,0,MAX(0,MIN(AB421,ROUND($AZ421-SUMPRODUCT($V421:$AE421*($V421:$AE421&gt;0)*(($V$3:$AE$3&gt;AB$3)+($V$3:$AE$3=AB$3)*($V421:$AE421&lt;AB421)+($V$3:$AE$3=AB$3)*($V421:$AE421=AB421)*($V$2:$AE$2&lt;AB$2))),2))))</f>
      </c>
      <c r="AM421" s="33">
        <f>IF(AC421&lt;=0,0,MAX(0,MIN(AC421,ROUND($AZ421-SUMPRODUCT($V421:$AE421*($V421:$AE421&gt;0)*(($V$3:$AE$3&gt;AC$3)+($V$3:$AE$3=AC$3)*($V421:$AE421&lt;AC421)+($V$3:$AE$3=AC$3)*($V421:$AE421=AC421)*($V$2:$AE$2&lt;AC$2))),2))))</f>
      </c>
      <c r="AN421" s="33">
        <f>IF(AD421&lt;=0,0,MAX(0,MIN(AD421,ROUND($AZ421-SUMPRODUCT($V421:$AE421*($V421:$AE421&gt;0)*(($V$3:$AE$3&gt;AD$3)+($V$3:$AE$3=AD$3)*($V421:$AE421&lt;AD421)+($V$3:$AE$3=AD$3)*($V421:$AE421=AD421)*($V$2:$AE$2&lt;AD$2))),2))))</f>
      </c>
      <c r="AO421" s="33">
        <f>IF(AE421&lt;=0,0,MAX(0,MIN(AE421,ROUND($AZ421-SUMPRODUCT($V421:$AE421*($V421:$AE421&gt;0)*(($V$3:$AE$3&gt;AE$3)+($V$3:$AE$3=AE$3)*($V421:$AE421&lt;AE421)+($V$3:$AE$3=AE$3)*($V421:$AE421=AE421)*($V$2:$AE$2&lt;AE$2))),2))))</f>
      </c>
      <c r="AP421" s="33">
        <f>ROUND(V421-AF421,2)</f>
      </c>
      <c r="AQ421" s="33">
        <f>ROUND(W421-AG421,2)</f>
      </c>
      <c r="AR421" s="33">
        <f>ROUND(X421-AH421,2)</f>
      </c>
      <c r="AS421" s="33">
        <f>ROUND(Y421-AI421,2)</f>
      </c>
      <c r="AT421" s="33">
        <f>ROUND(Z421-AJ421,2)</f>
      </c>
      <c r="AU421" s="33">
        <f>ROUND(AA421-AK421,2)</f>
      </c>
      <c r="AV421" s="33">
        <f>ROUND(AB421-AL421,2)</f>
      </c>
      <c r="AW421" s="33">
        <f>ROUND(AC421-AM421,2)</f>
      </c>
      <c r="AX421" s="33">
        <f>ROUND(AD421-AN421,2)</f>
      </c>
      <c r="AY421" s="33">
        <f>ROUND(AE421-AO421,2)</f>
      </c>
      <c r="AZ421" s="33">
        <f>ROUND(MAX(0,'Your debts'!$D$22-SUM($L421:$U421)),2)</f>
      </c>
      <c r="BA421" s="33">
        <f>ROUND(SUM($B421:$K421)-SUM($AP420:$AY420),2)</f>
      </c>
      <c r="BB421" s="33">
        <f>SUM($AP421:$AY421)</f>
      </c>
      <c r="BC421" s="33">
        <f>ROUND(SUM($L421:$U421)+SUM($AF421:$AO421),2)</f>
      </c>
    </row>
    <row r="422" spans="1:55" x14ac:dyDescent="0.25">
      <c r="A422">
        <v>415</v>
      </c>
      <c r="B422" s="33">
        <f>IF(AP421&lt;=0,0,ROUND(AP421+ROUND(AP421*V$3/12,2),2))</f>
      </c>
      <c r="C422" s="33">
        <f>IF(AQ421&lt;=0,0,ROUND(AQ421+ROUND(AQ421*W$3/12,2),2))</f>
      </c>
      <c r="D422" s="33">
        <f>IF(AR421&lt;=0,0,ROUND(AR421+ROUND(AR421*X$3/12,2),2))</f>
      </c>
      <c r="E422" s="33">
        <f>IF(AS421&lt;=0,0,ROUND(AS421+ROUND(AS421*Y$3/12,2),2))</f>
      </c>
      <c r="F422" s="33">
        <f>IF(AT421&lt;=0,0,ROUND(AT421+ROUND(AT421*Z$3/12,2),2))</f>
      </c>
      <c r="G422" s="33">
        <f>IF(AU421&lt;=0,0,ROUND(AU421+ROUND(AU421*AA$3/12,2),2))</f>
      </c>
      <c r="H422" s="33">
        <f>IF(AV421&lt;=0,0,ROUND(AV421+ROUND(AV421*AB$3/12,2),2))</f>
      </c>
      <c r="I422" s="33">
        <f>IF(AW421&lt;=0,0,ROUND(AW421+ROUND(AW421*AC$3/12,2),2))</f>
      </c>
      <c r="J422" s="33">
        <f>IF(AX421&lt;=0,0,ROUND(AX421+ROUND(AX421*AD$3/12,2),2))</f>
      </c>
      <c r="K422" s="33">
        <f>IF(AY421&lt;=0,0,ROUND(AY421+ROUND(AY421*AE$3/12,2),2))</f>
      </c>
      <c r="L422" s="33">
        <f>ROUND(MIN(MAX(0,N('Your debts'!$E$6)),B422),2)</f>
      </c>
      <c r="M422" s="33">
        <f>ROUND(MIN(MAX(0,N('Your debts'!$E$7)),C422),2)</f>
      </c>
      <c r="N422" s="33">
        <f>ROUND(MIN(MAX(0,N('Your debts'!$E$8)),D422),2)</f>
      </c>
      <c r="O422" s="33">
        <f>ROUND(MIN(MAX(0,N('Your debts'!$E$9)),E422),2)</f>
      </c>
      <c r="P422" s="33">
        <f>ROUND(MIN(MAX(0,N('Your debts'!$E$10)),F422),2)</f>
      </c>
      <c r="Q422" s="33">
        <f>ROUND(MIN(MAX(0,N('Your debts'!$E$11)),G422),2)</f>
      </c>
      <c r="R422" s="33">
        <f>ROUND(MIN(MAX(0,N('Your debts'!$E$12)),H422),2)</f>
      </c>
      <c r="S422" s="33">
        <f>ROUND(MIN(MAX(0,N('Your debts'!$E$13)),I422),2)</f>
      </c>
      <c r="T422" s="33">
        <f>ROUND(MIN(MAX(0,N('Your debts'!$E$14)),J422),2)</f>
      </c>
      <c r="U422" s="33">
        <f>ROUND(MIN(MAX(0,N('Your debts'!$E$15)),K422),2)</f>
      </c>
      <c r="V422" s="33">
        <f>ROUND(B422-L422,2)</f>
      </c>
      <c r="W422" s="33">
        <f>ROUND(C422-M422,2)</f>
      </c>
      <c r="X422" s="33">
        <f>ROUND(D422-N422,2)</f>
      </c>
      <c r="Y422" s="33">
        <f>ROUND(E422-O422,2)</f>
      </c>
      <c r="Z422" s="33">
        <f>ROUND(F422-P422,2)</f>
      </c>
      <c r="AA422" s="33">
        <f>ROUND(G422-Q422,2)</f>
      </c>
      <c r="AB422" s="33">
        <f>ROUND(H422-R422,2)</f>
      </c>
      <c r="AC422" s="33">
        <f>ROUND(I422-S422,2)</f>
      </c>
      <c r="AD422" s="33">
        <f>ROUND(J422-T422,2)</f>
      </c>
      <c r="AE422" s="33">
        <f>ROUND(K422-U422,2)</f>
      </c>
      <c r="AF422" s="33">
        <f>IF(V422&lt;=0,0,MAX(0,MIN(V422,ROUND($AZ422-SUMPRODUCT($V422:$AE422*($V422:$AE422&gt;0)*(($V$3:$AE$3&gt;V$3)+($V$3:$AE$3=V$3)*($V422:$AE422&lt;V422)+($V$3:$AE$3=V$3)*($V422:$AE422=V422)*($V$2:$AE$2&lt;V$2))),2))))</f>
      </c>
      <c r="AG422" s="33">
        <f>IF(W422&lt;=0,0,MAX(0,MIN(W422,ROUND($AZ422-SUMPRODUCT($V422:$AE422*($V422:$AE422&gt;0)*(($V$3:$AE$3&gt;W$3)+($V$3:$AE$3=W$3)*($V422:$AE422&lt;W422)+($V$3:$AE$3=W$3)*($V422:$AE422=W422)*($V$2:$AE$2&lt;W$2))),2))))</f>
      </c>
      <c r="AH422" s="33">
        <f>IF(X422&lt;=0,0,MAX(0,MIN(X422,ROUND($AZ422-SUMPRODUCT($V422:$AE422*($V422:$AE422&gt;0)*(($V$3:$AE$3&gt;X$3)+($V$3:$AE$3=X$3)*($V422:$AE422&lt;X422)+($V$3:$AE$3=X$3)*($V422:$AE422=X422)*($V$2:$AE$2&lt;X$2))),2))))</f>
      </c>
      <c r="AI422" s="33">
        <f>IF(Y422&lt;=0,0,MAX(0,MIN(Y422,ROUND($AZ422-SUMPRODUCT($V422:$AE422*($V422:$AE422&gt;0)*(($V$3:$AE$3&gt;Y$3)+($V$3:$AE$3=Y$3)*($V422:$AE422&lt;Y422)+($V$3:$AE$3=Y$3)*($V422:$AE422=Y422)*($V$2:$AE$2&lt;Y$2))),2))))</f>
      </c>
      <c r="AJ422" s="33">
        <f>IF(Z422&lt;=0,0,MAX(0,MIN(Z422,ROUND($AZ422-SUMPRODUCT($V422:$AE422*($V422:$AE422&gt;0)*(($V$3:$AE$3&gt;Z$3)+($V$3:$AE$3=Z$3)*($V422:$AE422&lt;Z422)+($V$3:$AE$3=Z$3)*($V422:$AE422=Z422)*($V$2:$AE$2&lt;Z$2))),2))))</f>
      </c>
      <c r="AK422" s="33">
        <f>IF(AA422&lt;=0,0,MAX(0,MIN(AA422,ROUND($AZ422-SUMPRODUCT($V422:$AE422*($V422:$AE422&gt;0)*(($V$3:$AE$3&gt;AA$3)+($V$3:$AE$3=AA$3)*($V422:$AE422&lt;AA422)+($V$3:$AE$3=AA$3)*($V422:$AE422=AA422)*($V$2:$AE$2&lt;AA$2))),2))))</f>
      </c>
      <c r="AL422" s="33">
        <f>IF(AB422&lt;=0,0,MAX(0,MIN(AB422,ROUND($AZ422-SUMPRODUCT($V422:$AE422*($V422:$AE422&gt;0)*(($V$3:$AE$3&gt;AB$3)+($V$3:$AE$3=AB$3)*($V422:$AE422&lt;AB422)+($V$3:$AE$3=AB$3)*($V422:$AE422=AB422)*($V$2:$AE$2&lt;AB$2))),2))))</f>
      </c>
      <c r="AM422" s="33">
        <f>IF(AC422&lt;=0,0,MAX(0,MIN(AC422,ROUND($AZ422-SUMPRODUCT($V422:$AE422*($V422:$AE422&gt;0)*(($V$3:$AE$3&gt;AC$3)+($V$3:$AE$3=AC$3)*($V422:$AE422&lt;AC422)+($V$3:$AE$3=AC$3)*($V422:$AE422=AC422)*($V$2:$AE$2&lt;AC$2))),2))))</f>
      </c>
      <c r="AN422" s="33">
        <f>IF(AD422&lt;=0,0,MAX(0,MIN(AD422,ROUND($AZ422-SUMPRODUCT($V422:$AE422*($V422:$AE422&gt;0)*(($V$3:$AE$3&gt;AD$3)+($V$3:$AE$3=AD$3)*($V422:$AE422&lt;AD422)+($V$3:$AE$3=AD$3)*($V422:$AE422=AD422)*($V$2:$AE$2&lt;AD$2))),2))))</f>
      </c>
      <c r="AO422" s="33">
        <f>IF(AE422&lt;=0,0,MAX(0,MIN(AE422,ROUND($AZ422-SUMPRODUCT($V422:$AE422*($V422:$AE422&gt;0)*(($V$3:$AE$3&gt;AE$3)+($V$3:$AE$3=AE$3)*($V422:$AE422&lt;AE422)+($V$3:$AE$3=AE$3)*($V422:$AE422=AE422)*($V$2:$AE$2&lt;AE$2))),2))))</f>
      </c>
      <c r="AP422" s="33">
        <f>ROUND(V422-AF422,2)</f>
      </c>
      <c r="AQ422" s="33">
        <f>ROUND(W422-AG422,2)</f>
      </c>
      <c r="AR422" s="33">
        <f>ROUND(X422-AH422,2)</f>
      </c>
      <c r="AS422" s="33">
        <f>ROUND(Y422-AI422,2)</f>
      </c>
      <c r="AT422" s="33">
        <f>ROUND(Z422-AJ422,2)</f>
      </c>
      <c r="AU422" s="33">
        <f>ROUND(AA422-AK422,2)</f>
      </c>
      <c r="AV422" s="33">
        <f>ROUND(AB422-AL422,2)</f>
      </c>
      <c r="AW422" s="33">
        <f>ROUND(AC422-AM422,2)</f>
      </c>
      <c r="AX422" s="33">
        <f>ROUND(AD422-AN422,2)</f>
      </c>
      <c r="AY422" s="33">
        <f>ROUND(AE422-AO422,2)</f>
      </c>
      <c r="AZ422" s="33">
        <f>ROUND(MAX(0,'Your debts'!$D$22-SUM($L422:$U422)),2)</f>
      </c>
      <c r="BA422" s="33">
        <f>ROUND(SUM($B422:$K422)-SUM($AP421:$AY421),2)</f>
      </c>
      <c r="BB422" s="33">
        <f>SUM($AP422:$AY422)</f>
      </c>
      <c r="BC422" s="33">
        <f>ROUND(SUM($L422:$U422)+SUM($AF422:$AO422),2)</f>
      </c>
    </row>
    <row r="423" spans="1:55" x14ac:dyDescent="0.25">
      <c r="A423">
        <v>416</v>
      </c>
      <c r="B423" s="33">
        <f>IF(AP422&lt;=0,0,ROUND(AP422+ROUND(AP422*V$3/12,2),2))</f>
      </c>
      <c r="C423" s="33">
        <f>IF(AQ422&lt;=0,0,ROUND(AQ422+ROUND(AQ422*W$3/12,2),2))</f>
      </c>
      <c r="D423" s="33">
        <f>IF(AR422&lt;=0,0,ROUND(AR422+ROUND(AR422*X$3/12,2),2))</f>
      </c>
      <c r="E423" s="33">
        <f>IF(AS422&lt;=0,0,ROUND(AS422+ROUND(AS422*Y$3/12,2),2))</f>
      </c>
      <c r="F423" s="33">
        <f>IF(AT422&lt;=0,0,ROUND(AT422+ROUND(AT422*Z$3/12,2),2))</f>
      </c>
      <c r="G423" s="33">
        <f>IF(AU422&lt;=0,0,ROUND(AU422+ROUND(AU422*AA$3/12,2),2))</f>
      </c>
      <c r="H423" s="33">
        <f>IF(AV422&lt;=0,0,ROUND(AV422+ROUND(AV422*AB$3/12,2),2))</f>
      </c>
      <c r="I423" s="33">
        <f>IF(AW422&lt;=0,0,ROUND(AW422+ROUND(AW422*AC$3/12,2),2))</f>
      </c>
      <c r="J423" s="33">
        <f>IF(AX422&lt;=0,0,ROUND(AX422+ROUND(AX422*AD$3/12,2),2))</f>
      </c>
      <c r="K423" s="33">
        <f>IF(AY422&lt;=0,0,ROUND(AY422+ROUND(AY422*AE$3/12,2),2))</f>
      </c>
      <c r="L423" s="33">
        <f>ROUND(MIN(MAX(0,N('Your debts'!$E$6)),B423),2)</f>
      </c>
      <c r="M423" s="33">
        <f>ROUND(MIN(MAX(0,N('Your debts'!$E$7)),C423),2)</f>
      </c>
      <c r="N423" s="33">
        <f>ROUND(MIN(MAX(0,N('Your debts'!$E$8)),D423),2)</f>
      </c>
      <c r="O423" s="33">
        <f>ROUND(MIN(MAX(0,N('Your debts'!$E$9)),E423),2)</f>
      </c>
      <c r="P423" s="33">
        <f>ROUND(MIN(MAX(0,N('Your debts'!$E$10)),F423),2)</f>
      </c>
      <c r="Q423" s="33">
        <f>ROUND(MIN(MAX(0,N('Your debts'!$E$11)),G423),2)</f>
      </c>
      <c r="R423" s="33">
        <f>ROUND(MIN(MAX(0,N('Your debts'!$E$12)),H423),2)</f>
      </c>
      <c r="S423" s="33">
        <f>ROUND(MIN(MAX(0,N('Your debts'!$E$13)),I423),2)</f>
      </c>
      <c r="T423" s="33">
        <f>ROUND(MIN(MAX(0,N('Your debts'!$E$14)),J423),2)</f>
      </c>
      <c r="U423" s="33">
        <f>ROUND(MIN(MAX(0,N('Your debts'!$E$15)),K423),2)</f>
      </c>
      <c r="V423" s="33">
        <f>ROUND(B423-L423,2)</f>
      </c>
      <c r="W423" s="33">
        <f>ROUND(C423-M423,2)</f>
      </c>
      <c r="X423" s="33">
        <f>ROUND(D423-N423,2)</f>
      </c>
      <c r="Y423" s="33">
        <f>ROUND(E423-O423,2)</f>
      </c>
      <c r="Z423" s="33">
        <f>ROUND(F423-P423,2)</f>
      </c>
      <c r="AA423" s="33">
        <f>ROUND(G423-Q423,2)</f>
      </c>
      <c r="AB423" s="33">
        <f>ROUND(H423-R423,2)</f>
      </c>
      <c r="AC423" s="33">
        <f>ROUND(I423-S423,2)</f>
      </c>
      <c r="AD423" s="33">
        <f>ROUND(J423-T423,2)</f>
      </c>
      <c r="AE423" s="33">
        <f>ROUND(K423-U423,2)</f>
      </c>
      <c r="AF423" s="33">
        <f>IF(V423&lt;=0,0,MAX(0,MIN(V423,ROUND($AZ423-SUMPRODUCT($V423:$AE423*($V423:$AE423&gt;0)*(($V$3:$AE$3&gt;V$3)+($V$3:$AE$3=V$3)*($V423:$AE423&lt;V423)+($V$3:$AE$3=V$3)*($V423:$AE423=V423)*($V$2:$AE$2&lt;V$2))),2))))</f>
      </c>
      <c r="AG423" s="33">
        <f>IF(W423&lt;=0,0,MAX(0,MIN(W423,ROUND($AZ423-SUMPRODUCT($V423:$AE423*($V423:$AE423&gt;0)*(($V$3:$AE$3&gt;W$3)+($V$3:$AE$3=W$3)*($V423:$AE423&lt;W423)+($V$3:$AE$3=W$3)*($V423:$AE423=W423)*($V$2:$AE$2&lt;W$2))),2))))</f>
      </c>
      <c r="AH423" s="33">
        <f>IF(X423&lt;=0,0,MAX(0,MIN(X423,ROUND($AZ423-SUMPRODUCT($V423:$AE423*($V423:$AE423&gt;0)*(($V$3:$AE$3&gt;X$3)+($V$3:$AE$3=X$3)*($V423:$AE423&lt;X423)+($V$3:$AE$3=X$3)*($V423:$AE423=X423)*($V$2:$AE$2&lt;X$2))),2))))</f>
      </c>
      <c r="AI423" s="33">
        <f>IF(Y423&lt;=0,0,MAX(0,MIN(Y423,ROUND($AZ423-SUMPRODUCT($V423:$AE423*($V423:$AE423&gt;0)*(($V$3:$AE$3&gt;Y$3)+($V$3:$AE$3=Y$3)*($V423:$AE423&lt;Y423)+($V$3:$AE$3=Y$3)*($V423:$AE423=Y423)*($V$2:$AE$2&lt;Y$2))),2))))</f>
      </c>
      <c r="AJ423" s="33">
        <f>IF(Z423&lt;=0,0,MAX(0,MIN(Z423,ROUND($AZ423-SUMPRODUCT($V423:$AE423*($V423:$AE423&gt;0)*(($V$3:$AE$3&gt;Z$3)+($V$3:$AE$3=Z$3)*($V423:$AE423&lt;Z423)+($V$3:$AE$3=Z$3)*($V423:$AE423=Z423)*($V$2:$AE$2&lt;Z$2))),2))))</f>
      </c>
      <c r="AK423" s="33">
        <f>IF(AA423&lt;=0,0,MAX(0,MIN(AA423,ROUND($AZ423-SUMPRODUCT($V423:$AE423*($V423:$AE423&gt;0)*(($V$3:$AE$3&gt;AA$3)+($V$3:$AE$3=AA$3)*($V423:$AE423&lt;AA423)+($V$3:$AE$3=AA$3)*($V423:$AE423=AA423)*($V$2:$AE$2&lt;AA$2))),2))))</f>
      </c>
      <c r="AL423" s="33">
        <f>IF(AB423&lt;=0,0,MAX(0,MIN(AB423,ROUND($AZ423-SUMPRODUCT($V423:$AE423*($V423:$AE423&gt;0)*(($V$3:$AE$3&gt;AB$3)+($V$3:$AE$3=AB$3)*($V423:$AE423&lt;AB423)+($V$3:$AE$3=AB$3)*($V423:$AE423=AB423)*($V$2:$AE$2&lt;AB$2))),2))))</f>
      </c>
      <c r="AM423" s="33">
        <f>IF(AC423&lt;=0,0,MAX(0,MIN(AC423,ROUND($AZ423-SUMPRODUCT($V423:$AE423*($V423:$AE423&gt;0)*(($V$3:$AE$3&gt;AC$3)+($V$3:$AE$3=AC$3)*($V423:$AE423&lt;AC423)+($V$3:$AE$3=AC$3)*($V423:$AE423=AC423)*($V$2:$AE$2&lt;AC$2))),2))))</f>
      </c>
      <c r="AN423" s="33">
        <f>IF(AD423&lt;=0,0,MAX(0,MIN(AD423,ROUND($AZ423-SUMPRODUCT($V423:$AE423*($V423:$AE423&gt;0)*(($V$3:$AE$3&gt;AD$3)+($V$3:$AE$3=AD$3)*($V423:$AE423&lt;AD423)+($V$3:$AE$3=AD$3)*($V423:$AE423=AD423)*($V$2:$AE$2&lt;AD$2))),2))))</f>
      </c>
      <c r="AO423" s="33">
        <f>IF(AE423&lt;=0,0,MAX(0,MIN(AE423,ROUND($AZ423-SUMPRODUCT($V423:$AE423*($V423:$AE423&gt;0)*(($V$3:$AE$3&gt;AE$3)+($V$3:$AE$3=AE$3)*($V423:$AE423&lt;AE423)+($V$3:$AE$3=AE$3)*($V423:$AE423=AE423)*($V$2:$AE$2&lt;AE$2))),2))))</f>
      </c>
      <c r="AP423" s="33">
        <f>ROUND(V423-AF423,2)</f>
      </c>
      <c r="AQ423" s="33">
        <f>ROUND(W423-AG423,2)</f>
      </c>
      <c r="AR423" s="33">
        <f>ROUND(X423-AH423,2)</f>
      </c>
      <c r="AS423" s="33">
        <f>ROUND(Y423-AI423,2)</f>
      </c>
      <c r="AT423" s="33">
        <f>ROUND(Z423-AJ423,2)</f>
      </c>
      <c r="AU423" s="33">
        <f>ROUND(AA423-AK423,2)</f>
      </c>
      <c r="AV423" s="33">
        <f>ROUND(AB423-AL423,2)</f>
      </c>
      <c r="AW423" s="33">
        <f>ROUND(AC423-AM423,2)</f>
      </c>
      <c r="AX423" s="33">
        <f>ROUND(AD423-AN423,2)</f>
      </c>
      <c r="AY423" s="33">
        <f>ROUND(AE423-AO423,2)</f>
      </c>
      <c r="AZ423" s="33">
        <f>ROUND(MAX(0,'Your debts'!$D$22-SUM($L423:$U423)),2)</f>
      </c>
      <c r="BA423" s="33">
        <f>ROUND(SUM($B423:$K423)-SUM($AP422:$AY422),2)</f>
      </c>
      <c r="BB423" s="33">
        <f>SUM($AP423:$AY423)</f>
      </c>
      <c r="BC423" s="33">
        <f>ROUND(SUM($L423:$U423)+SUM($AF423:$AO423),2)</f>
      </c>
    </row>
    <row r="424" spans="1:55" x14ac:dyDescent="0.25">
      <c r="A424">
        <v>417</v>
      </c>
      <c r="B424" s="33">
        <f>IF(AP423&lt;=0,0,ROUND(AP423+ROUND(AP423*V$3/12,2),2))</f>
      </c>
      <c r="C424" s="33">
        <f>IF(AQ423&lt;=0,0,ROUND(AQ423+ROUND(AQ423*W$3/12,2),2))</f>
      </c>
      <c r="D424" s="33">
        <f>IF(AR423&lt;=0,0,ROUND(AR423+ROUND(AR423*X$3/12,2),2))</f>
      </c>
      <c r="E424" s="33">
        <f>IF(AS423&lt;=0,0,ROUND(AS423+ROUND(AS423*Y$3/12,2),2))</f>
      </c>
      <c r="F424" s="33">
        <f>IF(AT423&lt;=0,0,ROUND(AT423+ROUND(AT423*Z$3/12,2),2))</f>
      </c>
      <c r="G424" s="33">
        <f>IF(AU423&lt;=0,0,ROUND(AU423+ROUND(AU423*AA$3/12,2),2))</f>
      </c>
      <c r="H424" s="33">
        <f>IF(AV423&lt;=0,0,ROUND(AV423+ROUND(AV423*AB$3/12,2),2))</f>
      </c>
      <c r="I424" s="33">
        <f>IF(AW423&lt;=0,0,ROUND(AW423+ROUND(AW423*AC$3/12,2),2))</f>
      </c>
      <c r="J424" s="33">
        <f>IF(AX423&lt;=0,0,ROUND(AX423+ROUND(AX423*AD$3/12,2),2))</f>
      </c>
      <c r="K424" s="33">
        <f>IF(AY423&lt;=0,0,ROUND(AY423+ROUND(AY423*AE$3/12,2),2))</f>
      </c>
      <c r="L424" s="33">
        <f>ROUND(MIN(MAX(0,N('Your debts'!$E$6)),B424),2)</f>
      </c>
      <c r="M424" s="33">
        <f>ROUND(MIN(MAX(0,N('Your debts'!$E$7)),C424),2)</f>
      </c>
      <c r="N424" s="33">
        <f>ROUND(MIN(MAX(0,N('Your debts'!$E$8)),D424),2)</f>
      </c>
      <c r="O424" s="33">
        <f>ROUND(MIN(MAX(0,N('Your debts'!$E$9)),E424),2)</f>
      </c>
      <c r="P424" s="33">
        <f>ROUND(MIN(MAX(0,N('Your debts'!$E$10)),F424),2)</f>
      </c>
      <c r="Q424" s="33">
        <f>ROUND(MIN(MAX(0,N('Your debts'!$E$11)),G424),2)</f>
      </c>
      <c r="R424" s="33">
        <f>ROUND(MIN(MAX(0,N('Your debts'!$E$12)),H424),2)</f>
      </c>
      <c r="S424" s="33">
        <f>ROUND(MIN(MAX(0,N('Your debts'!$E$13)),I424),2)</f>
      </c>
      <c r="T424" s="33">
        <f>ROUND(MIN(MAX(0,N('Your debts'!$E$14)),J424),2)</f>
      </c>
      <c r="U424" s="33">
        <f>ROUND(MIN(MAX(0,N('Your debts'!$E$15)),K424),2)</f>
      </c>
      <c r="V424" s="33">
        <f>ROUND(B424-L424,2)</f>
      </c>
      <c r="W424" s="33">
        <f>ROUND(C424-M424,2)</f>
      </c>
      <c r="X424" s="33">
        <f>ROUND(D424-N424,2)</f>
      </c>
      <c r="Y424" s="33">
        <f>ROUND(E424-O424,2)</f>
      </c>
      <c r="Z424" s="33">
        <f>ROUND(F424-P424,2)</f>
      </c>
      <c r="AA424" s="33">
        <f>ROUND(G424-Q424,2)</f>
      </c>
      <c r="AB424" s="33">
        <f>ROUND(H424-R424,2)</f>
      </c>
      <c r="AC424" s="33">
        <f>ROUND(I424-S424,2)</f>
      </c>
      <c r="AD424" s="33">
        <f>ROUND(J424-T424,2)</f>
      </c>
      <c r="AE424" s="33">
        <f>ROUND(K424-U424,2)</f>
      </c>
      <c r="AF424" s="33">
        <f>IF(V424&lt;=0,0,MAX(0,MIN(V424,ROUND($AZ424-SUMPRODUCT($V424:$AE424*($V424:$AE424&gt;0)*(($V$3:$AE$3&gt;V$3)+($V$3:$AE$3=V$3)*($V424:$AE424&lt;V424)+($V$3:$AE$3=V$3)*($V424:$AE424=V424)*($V$2:$AE$2&lt;V$2))),2))))</f>
      </c>
      <c r="AG424" s="33">
        <f>IF(W424&lt;=0,0,MAX(0,MIN(W424,ROUND($AZ424-SUMPRODUCT($V424:$AE424*($V424:$AE424&gt;0)*(($V$3:$AE$3&gt;W$3)+($V$3:$AE$3=W$3)*($V424:$AE424&lt;W424)+($V$3:$AE$3=W$3)*($V424:$AE424=W424)*($V$2:$AE$2&lt;W$2))),2))))</f>
      </c>
      <c r="AH424" s="33">
        <f>IF(X424&lt;=0,0,MAX(0,MIN(X424,ROUND($AZ424-SUMPRODUCT($V424:$AE424*($V424:$AE424&gt;0)*(($V$3:$AE$3&gt;X$3)+($V$3:$AE$3=X$3)*($V424:$AE424&lt;X424)+($V$3:$AE$3=X$3)*($V424:$AE424=X424)*($V$2:$AE$2&lt;X$2))),2))))</f>
      </c>
      <c r="AI424" s="33">
        <f>IF(Y424&lt;=0,0,MAX(0,MIN(Y424,ROUND($AZ424-SUMPRODUCT($V424:$AE424*($V424:$AE424&gt;0)*(($V$3:$AE$3&gt;Y$3)+($V$3:$AE$3=Y$3)*($V424:$AE424&lt;Y424)+($V$3:$AE$3=Y$3)*($V424:$AE424=Y424)*($V$2:$AE$2&lt;Y$2))),2))))</f>
      </c>
      <c r="AJ424" s="33">
        <f>IF(Z424&lt;=0,0,MAX(0,MIN(Z424,ROUND($AZ424-SUMPRODUCT($V424:$AE424*($V424:$AE424&gt;0)*(($V$3:$AE$3&gt;Z$3)+($V$3:$AE$3=Z$3)*($V424:$AE424&lt;Z424)+($V$3:$AE$3=Z$3)*($V424:$AE424=Z424)*($V$2:$AE$2&lt;Z$2))),2))))</f>
      </c>
      <c r="AK424" s="33">
        <f>IF(AA424&lt;=0,0,MAX(0,MIN(AA424,ROUND($AZ424-SUMPRODUCT($V424:$AE424*($V424:$AE424&gt;0)*(($V$3:$AE$3&gt;AA$3)+($V$3:$AE$3=AA$3)*($V424:$AE424&lt;AA424)+($V$3:$AE$3=AA$3)*($V424:$AE424=AA424)*($V$2:$AE$2&lt;AA$2))),2))))</f>
      </c>
      <c r="AL424" s="33">
        <f>IF(AB424&lt;=0,0,MAX(0,MIN(AB424,ROUND($AZ424-SUMPRODUCT($V424:$AE424*($V424:$AE424&gt;0)*(($V$3:$AE$3&gt;AB$3)+($V$3:$AE$3=AB$3)*($V424:$AE424&lt;AB424)+($V$3:$AE$3=AB$3)*($V424:$AE424=AB424)*($V$2:$AE$2&lt;AB$2))),2))))</f>
      </c>
      <c r="AM424" s="33">
        <f>IF(AC424&lt;=0,0,MAX(0,MIN(AC424,ROUND($AZ424-SUMPRODUCT($V424:$AE424*($V424:$AE424&gt;0)*(($V$3:$AE$3&gt;AC$3)+($V$3:$AE$3=AC$3)*($V424:$AE424&lt;AC424)+($V$3:$AE$3=AC$3)*($V424:$AE424=AC424)*($V$2:$AE$2&lt;AC$2))),2))))</f>
      </c>
      <c r="AN424" s="33">
        <f>IF(AD424&lt;=0,0,MAX(0,MIN(AD424,ROUND($AZ424-SUMPRODUCT($V424:$AE424*($V424:$AE424&gt;0)*(($V$3:$AE$3&gt;AD$3)+($V$3:$AE$3=AD$3)*($V424:$AE424&lt;AD424)+($V$3:$AE$3=AD$3)*($V424:$AE424=AD424)*($V$2:$AE$2&lt;AD$2))),2))))</f>
      </c>
      <c r="AO424" s="33">
        <f>IF(AE424&lt;=0,0,MAX(0,MIN(AE424,ROUND($AZ424-SUMPRODUCT($V424:$AE424*($V424:$AE424&gt;0)*(($V$3:$AE$3&gt;AE$3)+($V$3:$AE$3=AE$3)*($V424:$AE424&lt;AE424)+($V$3:$AE$3=AE$3)*($V424:$AE424=AE424)*($V$2:$AE$2&lt;AE$2))),2))))</f>
      </c>
      <c r="AP424" s="33">
        <f>ROUND(V424-AF424,2)</f>
      </c>
      <c r="AQ424" s="33">
        <f>ROUND(W424-AG424,2)</f>
      </c>
      <c r="AR424" s="33">
        <f>ROUND(X424-AH424,2)</f>
      </c>
      <c r="AS424" s="33">
        <f>ROUND(Y424-AI424,2)</f>
      </c>
      <c r="AT424" s="33">
        <f>ROUND(Z424-AJ424,2)</f>
      </c>
      <c r="AU424" s="33">
        <f>ROUND(AA424-AK424,2)</f>
      </c>
      <c r="AV424" s="33">
        <f>ROUND(AB424-AL424,2)</f>
      </c>
      <c r="AW424" s="33">
        <f>ROUND(AC424-AM424,2)</f>
      </c>
      <c r="AX424" s="33">
        <f>ROUND(AD424-AN424,2)</f>
      </c>
      <c r="AY424" s="33">
        <f>ROUND(AE424-AO424,2)</f>
      </c>
      <c r="AZ424" s="33">
        <f>ROUND(MAX(0,'Your debts'!$D$22-SUM($L424:$U424)),2)</f>
      </c>
      <c r="BA424" s="33">
        <f>ROUND(SUM($B424:$K424)-SUM($AP423:$AY423),2)</f>
      </c>
      <c r="BB424" s="33">
        <f>SUM($AP424:$AY424)</f>
      </c>
      <c r="BC424" s="33">
        <f>ROUND(SUM($L424:$U424)+SUM($AF424:$AO424),2)</f>
      </c>
    </row>
    <row r="425" spans="1:55" x14ac:dyDescent="0.25">
      <c r="A425">
        <v>418</v>
      </c>
      <c r="B425" s="33">
        <f>IF(AP424&lt;=0,0,ROUND(AP424+ROUND(AP424*V$3/12,2),2))</f>
      </c>
      <c r="C425" s="33">
        <f>IF(AQ424&lt;=0,0,ROUND(AQ424+ROUND(AQ424*W$3/12,2),2))</f>
      </c>
      <c r="D425" s="33">
        <f>IF(AR424&lt;=0,0,ROUND(AR424+ROUND(AR424*X$3/12,2),2))</f>
      </c>
      <c r="E425" s="33">
        <f>IF(AS424&lt;=0,0,ROUND(AS424+ROUND(AS424*Y$3/12,2),2))</f>
      </c>
      <c r="F425" s="33">
        <f>IF(AT424&lt;=0,0,ROUND(AT424+ROUND(AT424*Z$3/12,2),2))</f>
      </c>
      <c r="G425" s="33">
        <f>IF(AU424&lt;=0,0,ROUND(AU424+ROUND(AU424*AA$3/12,2),2))</f>
      </c>
      <c r="H425" s="33">
        <f>IF(AV424&lt;=0,0,ROUND(AV424+ROUND(AV424*AB$3/12,2),2))</f>
      </c>
      <c r="I425" s="33">
        <f>IF(AW424&lt;=0,0,ROUND(AW424+ROUND(AW424*AC$3/12,2),2))</f>
      </c>
      <c r="J425" s="33">
        <f>IF(AX424&lt;=0,0,ROUND(AX424+ROUND(AX424*AD$3/12,2),2))</f>
      </c>
      <c r="K425" s="33">
        <f>IF(AY424&lt;=0,0,ROUND(AY424+ROUND(AY424*AE$3/12,2),2))</f>
      </c>
      <c r="L425" s="33">
        <f>ROUND(MIN(MAX(0,N('Your debts'!$E$6)),B425),2)</f>
      </c>
      <c r="M425" s="33">
        <f>ROUND(MIN(MAX(0,N('Your debts'!$E$7)),C425),2)</f>
      </c>
      <c r="N425" s="33">
        <f>ROUND(MIN(MAX(0,N('Your debts'!$E$8)),D425),2)</f>
      </c>
      <c r="O425" s="33">
        <f>ROUND(MIN(MAX(0,N('Your debts'!$E$9)),E425),2)</f>
      </c>
      <c r="P425" s="33">
        <f>ROUND(MIN(MAX(0,N('Your debts'!$E$10)),F425),2)</f>
      </c>
      <c r="Q425" s="33">
        <f>ROUND(MIN(MAX(0,N('Your debts'!$E$11)),G425),2)</f>
      </c>
      <c r="R425" s="33">
        <f>ROUND(MIN(MAX(0,N('Your debts'!$E$12)),H425),2)</f>
      </c>
      <c r="S425" s="33">
        <f>ROUND(MIN(MAX(0,N('Your debts'!$E$13)),I425),2)</f>
      </c>
      <c r="T425" s="33">
        <f>ROUND(MIN(MAX(0,N('Your debts'!$E$14)),J425),2)</f>
      </c>
      <c r="U425" s="33">
        <f>ROUND(MIN(MAX(0,N('Your debts'!$E$15)),K425),2)</f>
      </c>
      <c r="V425" s="33">
        <f>ROUND(B425-L425,2)</f>
      </c>
      <c r="W425" s="33">
        <f>ROUND(C425-M425,2)</f>
      </c>
      <c r="X425" s="33">
        <f>ROUND(D425-N425,2)</f>
      </c>
      <c r="Y425" s="33">
        <f>ROUND(E425-O425,2)</f>
      </c>
      <c r="Z425" s="33">
        <f>ROUND(F425-P425,2)</f>
      </c>
      <c r="AA425" s="33">
        <f>ROUND(G425-Q425,2)</f>
      </c>
      <c r="AB425" s="33">
        <f>ROUND(H425-R425,2)</f>
      </c>
      <c r="AC425" s="33">
        <f>ROUND(I425-S425,2)</f>
      </c>
      <c r="AD425" s="33">
        <f>ROUND(J425-T425,2)</f>
      </c>
      <c r="AE425" s="33">
        <f>ROUND(K425-U425,2)</f>
      </c>
      <c r="AF425" s="33">
        <f>IF(V425&lt;=0,0,MAX(0,MIN(V425,ROUND($AZ425-SUMPRODUCT($V425:$AE425*($V425:$AE425&gt;0)*(($V$3:$AE$3&gt;V$3)+($V$3:$AE$3=V$3)*($V425:$AE425&lt;V425)+($V$3:$AE$3=V$3)*($V425:$AE425=V425)*($V$2:$AE$2&lt;V$2))),2))))</f>
      </c>
      <c r="AG425" s="33">
        <f>IF(W425&lt;=0,0,MAX(0,MIN(W425,ROUND($AZ425-SUMPRODUCT($V425:$AE425*($V425:$AE425&gt;0)*(($V$3:$AE$3&gt;W$3)+($V$3:$AE$3=W$3)*($V425:$AE425&lt;W425)+($V$3:$AE$3=W$3)*($V425:$AE425=W425)*($V$2:$AE$2&lt;W$2))),2))))</f>
      </c>
      <c r="AH425" s="33">
        <f>IF(X425&lt;=0,0,MAX(0,MIN(X425,ROUND($AZ425-SUMPRODUCT($V425:$AE425*($V425:$AE425&gt;0)*(($V$3:$AE$3&gt;X$3)+($V$3:$AE$3=X$3)*($V425:$AE425&lt;X425)+($V$3:$AE$3=X$3)*($V425:$AE425=X425)*($V$2:$AE$2&lt;X$2))),2))))</f>
      </c>
      <c r="AI425" s="33">
        <f>IF(Y425&lt;=0,0,MAX(0,MIN(Y425,ROUND($AZ425-SUMPRODUCT($V425:$AE425*($V425:$AE425&gt;0)*(($V$3:$AE$3&gt;Y$3)+($V$3:$AE$3=Y$3)*($V425:$AE425&lt;Y425)+($V$3:$AE$3=Y$3)*($V425:$AE425=Y425)*($V$2:$AE$2&lt;Y$2))),2))))</f>
      </c>
      <c r="AJ425" s="33">
        <f>IF(Z425&lt;=0,0,MAX(0,MIN(Z425,ROUND($AZ425-SUMPRODUCT($V425:$AE425*($V425:$AE425&gt;0)*(($V$3:$AE$3&gt;Z$3)+($V$3:$AE$3=Z$3)*($V425:$AE425&lt;Z425)+($V$3:$AE$3=Z$3)*($V425:$AE425=Z425)*($V$2:$AE$2&lt;Z$2))),2))))</f>
      </c>
      <c r="AK425" s="33">
        <f>IF(AA425&lt;=0,0,MAX(0,MIN(AA425,ROUND($AZ425-SUMPRODUCT($V425:$AE425*($V425:$AE425&gt;0)*(($V$3:$AE$3&gt;AA$3)+($V$3:$AE$3=AA$3)*($V425:$AE425&lt;AA425)+($V$3:$AE$3=AA$3)*($V425:$AE425=AA425)*($V$2:$AE$2&lt;AA$2))),2))))</f>
      </c>
      <c r="AL425" s="33">
        <f>IF(AB425&lt;=0,0,MAX(0,MIN(AB425,ROUND($AZ425-SUMPRODUCT($V425:$AE425*($V425:$AE425&gt;0)*(($V$3:$AE$3&gt;AB$3)+($V$3:$AE$3=AB$3)*($V425:$AE425&lt;AB425)+($V$3:$AE$3=AB$3)*($V425:$AE425=AB425)*($V$2:$AE$2&lt;AB$2))),2))))</f>
      </c>
      <c r="AM425" s="33">
        <f>IF(AC425&lt;=0,0,MAX(0,MIN(AC425,ROUND($AZ425-SUMPRODUCT($V425:$AE425*($V425:$AE425&gt;0)*(($V$3:$AE$3&gt;AC$3)+($V$3:$AE$3=AC$3)*($V425:$AE425&lt;AC425)+($V$3:$AE$3=AC$3)*($V425:$AE425=AC425)*($V$2:$AE$2&lt;AC$2))),2))))</f>
      </c>
      <c r="AN425" s="33">
        <f>IF(AD425&lt;=0,0,MAX(0,MIN(AD425,ROUND($AZ425-SUMPRODUCT($V425:$AE425*($V425:$AE425&gt;0)*(($V$3:$AE$3&gt;AD$3)+($V$3:$AE$3=AD$3)*($V425:$AE425&lt;AD425)+($V$3:$AE$3=AD$3)*($V425:$AE425=AD425)*($V$2:$AE$2&lt;AD$2))),2))))</f>
      </c>
      <c r="AO425" s="33">
        <f>IF(AE425&lt;=0,0,MAX(0,MIN(AE425,ROUND($AZ425-SUMPRODUCT($V425:$AE425*($V425:$AE425&gt;0)*(($V$3:$AE$3&gt;AE$3)+($V$3:$AE$3=AE$3)*($V425:$AE425&lt;AE425)+($V$3:$AE$3=AE$3)*($V425:$AE425=AE425)*($V$2:$AE$2&lt;AE$2))),2))))</f>
      </c>
      <c r="AP425" s="33">
        <f>ROUND(V425-AF425,2)</f>
      </c>
      <c r="AQ425" s="33">
        <f>ROUND(W425-AG425,2)</f>
      </c>
      <c r="AR425" s="33">
        <f>ROUND(X425-AH425,2)</f>
      </c>
      <c r="AS425" s="33">
        <f>ROUND(Y425-AI425,2)</f>
      </c>
      <c r="AT425" s="33">
        <f>ROUND(Z425-AJ425,2)</f>
      </c>
      <c r="AU425" s="33">
        <f>ROUND(AA425-AK425,2)</f>
      </c>
      <c r="AV425" s="33">
        <f>ROUND(AB425-AL425,2)</f>
      </c>
      <c r="AW425" s="33">
        <f>ROUND(AC425-AM425,2)</f>
      </c>
      <c r="AX425" s="33">
        <f>ROUND(AD425-AN425,2)</f>
      </c>
      <c r="AY425" s="33">
        <f>ROUND(AE425-AO425,2)</f>
      </c>
      <c r="AZ425" s="33">
        <f>ROUND(MAX(0,'Your debts'!$D$22-SUM($L425:$U425)),2)</f>
      </c>
      <c r="BA425" s="33">
        <f>ROUND(SUM($B425:$K425)-SUM($AP424:$AY424),2)</f>
      </c>
      <c r="BB425" s="33">
        <f>SUM($AP425:$AY425)</f>
      </c>
      <c r="BC425" s="33">
        <f>ROUND(SUM($L425:$U425)+SUM($AF425:$AO425),2)</f>
      </c>
    </row>
    <row r="426" spans="1:55" x14ac:dyDescent="0.25">
      <c r="A426">
        <v>419</v>
      </c>
      <c r="B426" s="33">
        <f>IF(AP425&lt;=0,0,ROUND(AP425+ROUND(AP425*V$3/12,2),2))</f>
      </c>
      <c r="C426" s="33">
        <f>IF(AQ425&lt;=0,0,ROUND(AQ425+ROUND(AQ425*W$3/12,2),2))</f>
      </c>
      <c r="D426" s="33">
        <f>IF(AR425&lt;=0,0,ROUND(AR425+ROUND(AR425*X$3/12,2),2))</f>
      </c>
      <c r="E426" s="33">
        <f>IF(AS425&lt;=0,0,ROUND(AS425+ROUND(AS425*Y$3/12,2),2))</f>
      </c>
      <c r="F426" s="33">
        <f>IF(AT425&lt;=0,0,ROUND(AT425+ROUND(AT425*Z$3/12,2),2))</f>
      </c>
      <c r="G426" s="33">
        <f>IF(AU425&lt;=0,0,ROUND(AU425+ROUND(AU425*AA$3/12,2),2))</f>
      </c>
      <c r="H426" s="33">
        <f>IF(AV425&lt;=0,0,ROUND(AV425+ROUND(AV425*AB$3/12,2),2))</f>
      </c>
      <c r="I426" s="33">
        <f>IF(AW425&lt;=0,0,ROUND(AW425+ROUND(AW425*AC$3/12,2),2))</f>
      </c>
      <c r="J426" s="33">
        <f>IF(AX425&lt;=0,0,ROUND(AX425+ROUND(AX425*AD$3/12,2),2))</f>
      </c>
      <c r="K426" s="33">
        <f>IF(AY425&lt;=0,0,ROUND(AY425+ROUND(AY425*AE$3/12,2),2))</f>
      </c>
      <c r="L426" s="33">
        <f>ROUND(MIN(MAX(0,N('Your debts'!$E$6)),B426),2)</f>
      </c>
      <c r="M426" s="33">
        <f>ROUND(MIN(MAX(0,N('Your debts'!$E$7)),C426),2)</f>
      </c>
      <c r="N426" s="33">
        <f>ROUND(MIN(MAX(0,N('Your debts'!$E$8)),D426),2)</f>
      </c>
      <c r="O426" s="33">
        <f>ROUND(MIN(MAX(0,N('Your debts'!$E$9)),E426),2)</f>
      </c>
      <c r="P426" s="33">
        <f>ROUND(MIN(MAX(0,N('Your debts'!$E$10)),F426),2)</f>
      </c>
      <c r="Q426" s="33">
        <f>ROUND(MIN(MAX(0,N('Your debts'!$E$11)),G426),2)</f>
      </c>
      <c r="R426" s="33">
        <f>ROUND(MIN(MAX(0,N('Your debts'!$E$12)),H426),2)</f>
      </c>
      <c r="S426" s="33">
        <f>ROUND(MIN(MAX(0,N('Your debts'!$E$13)),I426),2)</f>
      </c>
      <c r="T426" s="33">
        <f>ROUND(MIN(MAX(0,N('Your debts'!$E$14)),J426),2)</f>
      </c>
      <c r="U426" s="33">
        <f>ROUND(MIN(MAX(0,N('Your debts'!$E$15)),K426),2)</f>
      </c>
      <c r="V426" s="33">
        <f>ROUND(B426-L426,2)</f>
      </c>
      <c r="W426" s="33">
        <f>ROUND(C426-M426,2)</f>
      </c>
      <c r="X426" s="33">
        <f>ROUND(D426-N426,2)</f>
      </c>
      <c r="Y426" s="33">
        <f>ROUND(E426-O426,2)</f>
      </c>
      <c r="Z426" s="33">
        <f>ROUND(F426-P426,2)</f>
      </c>
      <c r="AA426" s="33">
        <f>ROUND(G426-Q426,2)</f>
      </c>
      <c r="AB426" s="33">
        <f>ROUND(H426-R426,2)</f>
      </c>
      <c r="AC426" s="33">
        <f>ROUND(I426-S426,2)</f>
      </c>
      <c r="AD426" s="33">
        <f>ROUND(J426-T426,2)</f>
      </c>
      <c r="AE426" s="33">
        <f>ROUND(K426-U426,2)</f>
      </c>
      <c r="AF426" s="33">
        <f>IF(V426&lt;=0,0,MAX(0,MIN(V426,ROUND($AZ426-SUMPRODUCT($V426:$AE426*($V426:$AE426&gt;0)*(($V$3:$AE$3&gt;V$3)+($V$3:$AE$3=V$3)*($V426:$AE426&lt;V426)+($V$3:$AE$3=V$3)*($V426:$AE426=V426)*($V$2:$AE$2&lt;V$2))),2))))</f>
      </c>
      <c r="AG426" s="33">
        <f>IF(W426&lt;=0,0,MAX(0,MIN(W426,ROUND($AZ426-SUMPRODUCT($V426:$AE426*($V426:$AE426&gt;0)*(($V$3:$AE$3&gt;W$3)+($V$3:$AE$3=W$3)*($V426:$AE426&lt;W426)+($V$3:$AE$3=W$3)*($V426:$AE426=W426)*($V$2:$AE$2&lt;W$2))),2))))</f>
      </c>
      <c r="AH426" s="33">
        <f>IF(X426&lt;=0,0,MAX(0,MIN(X426,ROUND($AZ426-SUMPRODUCT($V426:$AE426*($V426:$AE426&gt;0)*(($V$3:$AE$3&gt;X$3)+($V$3:$AE$3=X$3)*($V426:$AE426&lt;X426)+($V$3:$AE$3=X$3)*($V426:$AE426=X426)*($V$2:$AE$2&lt;X$2))),2))))</f>
      </c>
      <c r="AI426" s="33">
        <f>IF(Y426&lt;=0,0,MAX(0,MIN(Y426,ROUND($AZ426-SUMPRODUCT($V426:$AE426*($V426:$AE426&gt;0)*(($V$3:$AE$3&gt;Y$3)+($V$3:$AE$3=Y$3)*($V426:$AE426&lt;Y426)+($V$3:$AE$3=Y$3)*($V426:$AE426=Y426)*($V$2:$AE$2&lt;Y$2))),2))))</f>
      </c>
      <c r="AJ426" s="33">
        <f>IF(Z426&lt;=0,0,MAX(0,MIN(Z426,ROUND($AZ426-SUMPRODUCT($V426:$AE426*($V426:$AE426&gt;0)*(($V$3:$AE$3&gt;Z$3)+($V$3:$AE$3=Z$3)*($V426:$AE426&lt;Z426)+($V$3:$AE$3=Z$3)*($V426:$AE426=Z426)*($V$2:$AE$2&lt;Z$2))),2))))</f>
      </c>
      <c r="AK426" s="33">
        <f>IF(AA426&lt;=0,0,MAX(0,MIN(AA426,ROUND($AZ426-SUMPRODUCT($V426:$AE426*($V426:$AE426&gt;0)*(($V$3:$AE$3&gt;AA$3)+($V$3:$AE$3=AA$3)*($V426:$AE426&lt;AA426)+($V$3:$AE$3=AA$3)*($V426:$AE426=AA426)*($V$2:$AE$2&lt;AA$2))),2))))</f>
      </c>
      <c r="AL426" s="33">
        <f>IF(AB426&lt;=0,0,MAX(0,MIN(AB426,ROUND($AZ426-SUMPRODUCT($V426:$AE426*($V426:$AE426&gt;0)*(($V$3:$AE$3&gt;AB$3)+($V$3:$AE$3=AB$3)*($V426:$AE426&lt;AB426)+($V$3:$AE$3=AB$3)*($V426:$AE426=AB426)*($V$2:$AE$2&lt;AB$2))),2))))</f>
      </c>
      <c r="AM426" s="33">
        <f>IF(AC426&lt;=0,0,MAX(0,MIN(AC426,ROUND($AZ426-SUMPRODUCT($V426:$AE426*($V426:$AE426&gt;0)*(($V$3:$AE$3&gt;AC$3)+($V$3:$AE$3=AC$3)*($V426:$AE426&lt;AC426)+($V$3:$AE$3=AC$3)*($V426:$AE426=AC426)*($V$2:$AE$2&lt;AC$2))),2))))</f>
      </c>
      <c r="AN426" s="33">
        <f>IF(AD426&lt;=0,0,MAX(0,MIN(AD426,ROUND($AZ426-SUMPRODUCT($V426:$AE426*($V426:$AE426&gt;0)*(($V$3:$AE$3&gt;AD$3)+($V$3:$AE$3=AD$3)*($V426:$AE426&lt;AD426)+($V$3:$AE$3=AD$3)*($V426:$AE426=AD426)*($V$2:$AE$2&lt;AD$2))),2))))</f>
      </c>
      <c r="AO426" s="33">
        <f>IF(AE426&lt;=0,0,MAX(0,MIN(AE426,ROUND($AZ426-SUMPRODUCT($V426:$AE426*($V426:$AE426&gt;0)*(($V$3:$AE$3&gt;AE$3)+($V$3:$AE$3=AE$3)*($V426:$AE426&lt;AE426)+($V$3:$AE$3=AE$3)*($V426:$AE426=AE426)*($V$2:$AE$2&lt;AE$2))),2))))</f>
      </c>
      <c r="AP426" s="33">
        <f>ROUND(V426-AF426,2)</f>
      </c>
      <c r="AQ426" s="33">
        <f>ROUND(W426-AG426,2)</f>
      </c>
      <c r="AR426" s="33">
        <f>ROUND(X426-AH426,2)</f>
      </c>
      <c r="AS426" s="33">
        <f>ROUND(Y426-AI426,2)</f>
      </c>
      <c r="AT426" s="33">
        <f>ROUND(Z426-AJ426,2)</f>
      </c>
      <c r="AU426" s="33">
        <f>ROUND(AA426-AK426,2)</f>
      </c>
      <c r="AV426" s="33">
        <f>ROUND(AB426-AL426,2)</f>
      </c>
      <c r="AW426" s="33">
        <f>ROUND(AC426-AM426,2)</f>
      </c>
      <c r="AX426" s="33">
        <f>ROUND(AD426-AN426,2)</f>
      </c>
      <c r="AY426" s="33">
        <f>ROUND(AE426-AO426,2)</f>
      </c>
      <c r="AZ426" s="33">
        <f>ROUND(MAX(0,'Your debts'!$D$22-SUM($L426:$U426)),2)</f>
      </c>
      <c r="BA426" s="33">
        <f>ROUND(SUM($B426:$K426)-SUM($AP425:$AY425),2)</f>
      </c>
      <c r="BB426" s="33">
        <f>SUM($AP426:$AY426)</f>
      </c>
      <c r="BC426" s="33">
        <f>ROUND(SUM($L426:$U426)+SUM($AF426:$AO426),2)</f>
      </c>
    </row>
    <row r="427" spans="1:55" x14ac:dyDescent="0.25">
      <c r="A427">
        <v>420</v>
      </c>
      <c r="B427" s="33">
        <f>IF(AP426&lt;=0,0,ROUND(AP426+ROUND(AP426*V$3/12,2),2))</f>
      </c>
      <c r="C427" s="33">
        <f>IF(AQ426&lt;=0,0,ROUND(AQ426+ROUND(AQ426*W$3/12,2),2))</f>
      </c>
      <c r="D427" s="33">
        <f>IF(AR426&lt;=0,0,ROUND(AR426+ROUND(AR426*X$3/12,2),2))</f>
      </c>
      <c r="E427" s="33">
        <f>IF(AS426&lt;=0,0,ROUND(AS426+ROUND(AS426*Y$3/12,2),2))</f>
      </c>
      <c r="F427" s="33">
        <f>IF(AT426&lt;=0,0,ROUND(AT426+ROUND(AT426*Z$3/12,2),2))</f>
      </c>
      <c r="G427" s="33">
        <f>IF(AU426&lt;=0,0,ROUND(AU426+ROUND(AU426*AA$3/12,2),2))</f>
      </c>
      <c r="H427" s="33">
        <f>IF(AV426&lt;=0,0,ROUND(AV426+ROUND(AV426*AB$3/12,2),2))</f>
      </c>
      <c r="I427" s="33">
        <f>IF(AW426&lt;=0,0,ROUND(AW426+ROUND(AW426*AC$3/12,2),2))</f>
      </c>
      <c r="J427" s="33">
        <f>IF(AX426&lt;=0,0,ROUND(AX426+ROUND(AX426*AD$3/12,2),2))</f>
      </c>
      <c r="K427" s="33">
        <f>IF(AY426&lt;=0,0,ROUND(AY426+ROUND(AY426*AE$3/12,2),2))</f>
      </c>
      <c r="L427" s="33">
        <f>ROUND(MIN(MAX(0,N('Your debts'!$E$6)),B427),2)</f>
      </c>
      <c r="M427" s="33">
        <f>ROUND(MIN(MAX(0,N('Your debts'!$E$7)),C427),2)</f>
      </c>
      <c r="N427" s="33">
        <f>ROUND(MIN(MAX(0,N('Your debts'!$E$8)),D427),2)</f>
      </c>
      <c r="O427" s="33">
        <f>ROUND(MIN(MAX(0,N('Your debts'!$E$9)),E427),2)</f>
      </c>
      <c r="P427" s="33">
        <f>ROUND(MIN(MAX(0,N('Your debts'!$E$10)),F427),2)</f>
      </c>
      <c r="Q427" s="33">
        <f>ROUND(MIN(MAX(0,N('Your debts'!$E$11)),G427),2)</f>
      </c>
      <c r="R427" s="33">
        <f>ROUND(MIN(MAX(0,N('Your debts'!$E$12)),H427),2)</f>
      </c>
      <c r="S427" s="33">
        <f>ROUND(MIN(MAX(0,N('Your debts'!$E$13)),I427),2)</f>
      </c>
      <c r="T427" s="33">
        <f>ROUND(MIN(MAX(0,N('Your debts'!$E$14)),J427),2)</f>
      </c>
      <c r="U427" s="33">
        <f>ROUND(MIN(MAX(0,N('Your debts'!$E$15)),K427),2)</f>
      </c>
      <c r="V427" s="33">
        <f>ROUND(B427-L427,2)</f>
      </c>
      <c r="W427" s="33">
        <f>ROUND(C427-M427,2)</f>
      </c>
      <c r="X427" s="33">
        <f>ROUND(D427-N427,2)</f>
      </c>
      <c r="Y427" s="33">
        <f>ROUND(E427-O427,2)</f>
      </c>
      <c r="Z427" s="33">
        <f>ROUND(F427-P427,2)</f>
      </c>
      <c r="AA427" s="33">
        <f>ROUND(G427-Q427,2)</f>
      </c>
      <c r="AB427" s="33">
        <f>ROUND(H427-R427,2)</f>
      </c>
      <c r="AC427" s="33">
        <f>ROUND(I427-S427,2)</f>
      </c>
      <c r="AD427" s="33">
        <f>ROUND(J427-T427,2)</f>
      </c>
      <c r="AE427" s="33">
        <f>ROUND(K427-U427,2)</f>
      </c>
      <c r="AF427" s="33">
        <f>IF(V427&lt;=0,0,MAX(0,MIN(V427,ROUND($AZ427-SUMPRODUCT($V427:$AE427*($V427:$AE427&gt;0)*(($V$3:$AE$3&gt;V$3)+($V$3:$AE$3=V$3)*($V427:$AE427&lt;V427)+($V$3:$AE$3=V$3)*($V427:$AE427=V427)*($V$2:$AE$2&lt;V$2))),2))))</f>
      </c>
      <c r="AG427" s="33">
        <f>IF(W427&lt;=0,0,MAX(0,MIN(W427,ROUND($AZ427-SUMPRODUCT($V427:$AE427*($V427:$AE427&gt;0)*(($V$3:$AE$3&gt;W$3)+($V$3:$AE$3=W$3)*($V427:$AE427&lt;W427)+($V$3:$AE$3=W$3)*($V427:$AE427=W427)*($V$2:$AE$2&lt;W$2))),2))))</f>
      </c>
      <c r="AH427" s="33">
        <f>IF(X427&lt;=0,0,MAX(0,MIN(X427,ROUND($AZ427-SUMPRODUCT($V427:$AE427*($V427:$AE427&gt;0)*(($V$3:$AE$3&gt;X$3)+($V$3:$AE$3=X$3)*($V427:$AE427&lt;X427)+($V$3:$AE$3=X$3)*($V427:$AE427=X427)*($V$2:$AE$2&lt;X$2))),2))))</f>
      </c>
      <c r="AI427" s="33">
        <f>IF(Y427&lt;=0,0,MAX(0,MIN(Y427,ROUND($AZ427-SUMPRODUCT($V427:$AE427*($V427:$AE427&gt;0)*(($V$3:$AE$3&gt;Y$3)+($V$3:$AE$3=Y$3)*($V427:$AE427&lt;Y427)+($V$3:$AE$3=Y$3)*($V427:$AE427=Y427)*($V$2:$AE$2&lt;Y$2))),2))))</f>
      </c>
      <c r="AJ427" s="33">
        <f>IF(Z427&lt;=0,0,MAX(0,MIN(Z427,ROUND($AZ427-SUMPRODUCT($V427:$AE427*($V427:$AE427&gt;0)*(($V$3:$AE$3&gt;Z$3)+($V$3:$AE$3=Z$3)*($V427:$AE427&lt;Z427)+($V$3:$AE$3=Z$3)*($V427:$AE427=Z427)*($V$2:$AE$2&lt;Z$2))),2))))</f>
      </c>
      <c r="AK427" s="33">
        <f>IF(AA427&lt;=0,0,MAX(0,MIN(AA427,ROUND($AZ427-SUMPRODUCT($V427:$AE427*($V427:$AE427&gt;0)*(($V$3:$AE$3&gt;AA$3)+($V$3:$AE$3=AA$3)*($V427:$AE427&lt;AA427)+($V$3:$AE$3=AA$3)*($V427:$AE427=AA427)*($V$2:$AE$2&lt;AA$2))),2))))</f>
      </c>
      <c r="AL427" s="33">
        <f>IF(AB427&lt;=0,0,MAX(0,MIN(AB427,ROUND($AZ427-SUMPRODUCT($V427:$AE427*($V427:$AE427&gt;0)*(($V$3:$AE$3&gt;AB$3)+($V$3:$AE$3=AB$3)*($V427:$AE427&lt;AB427)+($V$3:$AE$3=AB$3)*($V427:$AE427=AB427)*($V$2:$AE$2&lt;AB$2))),2))))</f>
      </c>
      <c r="AM427" s="33">
        <f>IF(AC427&lt;=0,0,MAX(0,MIN(AC427,ROUND($AZ427-SUMPRODUCT($V427:$AE427*($V427:$AE427&gt;0)*(($V$3:$AE$3&gt;AC$3)+($V$3:$AE$3=AC$3)*($V427:$AE427&lt;AC427)+($V$3:$AE$3=AC$3)*($V427:$AE427=AC427)*($V$2:$AE$2&lt;AC$2))),2))))</f>
      </c>
      <c r="AN427" s="33">
        <f>IF(AD427&lt;=0,0,MAX(0,MIN(AD427,ROUND($AZ427-SUMPRODUCT($V427:$AE427*($V427:$AE427&gt;0)*(($V$3:$AE$3&gt;AD$3)+($V$3:$AE$3=AD$3)*($V427:$AE427&lt;AD427)+($V$3:$AE$3=AD$3)*($V427:$AE427=AD427)*($V$2:$AE$2&lt;AD$2))),2))))</f>
      </c>
      <c r="AO427" s="33">
        <f>IF(AE427&lt;=0,0,MAX(0,MIN(AE427,ROUND($AZ427-SUMPRODUCT($V427:$AE427*($V427:$AE427&gt;0)*(($V$3:$AE$3&gt;AE$3)+($V$3:$AE$3=AE$3)*($V427:$AE427&lt;AE427)+($V$3:$AE$3=AE$3)*($V427:$AE427=AE427)*($V$2:$AE$2&lt;AE$2))),2))))</f>
      </c>
      <c r="AP427" s="33">
        <f>ROUND(V427-AF427,2)</f>
      </c>
      <c r="AQ427" s="33">
        <f>ROUND(W427-AG427,2)</f>
      </c>
      <c r="AR427" s="33">
        <f>ROUND(X427-AH427,2)</f>
      </c>
      <c r="AS427" s="33">
        <f>ROUND(Y427-AI427,2)</f>
      </c>
      <c r="AT427" s="33">
        <f>ROUND(Z427-AJ427,2)</f>
      </c>
      <c r="AU427" s="33">
        <f>ROUND(AA427-AK427,2)</f>
      </c>
      <c r="AV427" s="33">
        <f>ROUND(AB427-AL427,2)</f>
      </c>
      <c r="AW427" s="33">
        <f>ROUND(AC427-AM427,2)</f>
      </c>
      <c r="AX427" s="33">
        <f>ROUND(AD427-AN427,2)</f>
      </c>
      <c r="AY427" s="33">
        <f>ROUND(AE427-AO427,2)</f>
      </c>
      <c r="AZ427" s="33">
        <f>ROUND(MAX(0,'Your debts'!$D$22-SUM($L427:$U427)),2)</f>
      </c>
      <c r="BA427" s="33">
        <f>ROUND(SUM($B427:$K427)-SUM($AP426:$AY426),2)</f>
      </c>
      <c r="BB427" s="33">
        <f>SUM($AP427:$AY427)</f>
      </c>
      <c r="BC427" s="33">
        <f>ROUND(SUM($L427:$U427)+SUM($AF427:$AO427),2)</f>
      </c>
    </row>
    <row r="428" spans="1:55" x14ac:dyDescent="0.25">
      <c r="A428">
        <v>421</v>
      </c>
      <c r="B428" s="33">
        <f>IF(AP427&lt;=0,0,ROUND(AP427+ROUND(AP427*V$3/12,2),2))</f>
      </c>
      <c r="C428" s="33">
        <f>IF(AQ427&lt;=0,0,ROUND(AQ427+ROUND(AQ427*W$3/12,2),2))</f>
      </c>
      <c r="D428" s="33">
        <f>IF(AR427&lt;=0,0,ROUND(AR427+ROUND(AR427*X$3/12,2),2))</f>
      </c>
      <c r="E428" s="33">
        <f>IF(AS427&lt;=0,0,ROUND(AS427+ROUND(AS427*Y$3/12,2),2))</f>
      </c>
      <c r="F428" s="33">
        <f>IF(AT427&lt;=0,0,ROUND(AT427+ROUND(AT427*Z$3/12,2),2))</f>
      </c>
      <c r="G428" s="33">
        <f>IF(AU427&lt;=0,0,ROUND(AU427+ROUND(AU427*AA$3/12,2),2))</f>
      </c>
      <c r="H428" s="33">
        <f>IF(AV427&lt;=0,0,ROUND(AV427+ROUND(AV427*AB$3/12,2),2))</f>
      </c>
      <c r="I428" s="33">
        <f>IF(AW427&lt;=0,0,ROUND(AW427+ROUND(AW427*AC$3/12,2),2))</f>
      </c>
      <c r="J428" s="33">
        <f>IF(AX427&lt;=0,0,ROUND(AX427+ROUND(AX427*AD$3/12,2),2))</f>
      </c>
      <c r="K428" s="33">
        <f>IF(AY427&lt;=0,0,ROUND(AY427+ROUND(AY427*AE$3/12,2),2))</f>
      </c>
      <c r="L428" s="33">
        <f>ROUND(MIN(MAX(0,N('Your debts'!$E$6)),B428),2)</f>
      </c>
      <c r="M428" s="33">
        <f>ROUND(MIN(MAX(0,N('Your debts'!$E$7)),C428),2)</f>
      </c>
      <c r="N428" s="33">
        <f>ROUND(MIN(MAX(0,N('Your debts'!$E$8)),D428),2)</f>
      </c>
      <c r="O428" s="33">
        <f>ROUND(MIN(MAX(0,N('Your debts'!$E$9)),E428),2)</f>
      </c>
      <c r="P428" s="33">
        <f>ROUND(MIN(MAX(0,N('Your debts'!$E$10)),F428),2)</f>
      </c>
      <c r="Q428" s="33">
        <f>ROUND(MIN(MAX(0,N('Your debts'!$E$11)),G428),2)</f>
      </c>
      <c r="R428" s="33">
        <f>ROUND(MIN(MAX(0,N('Your debts'!$E$12)),H428),2)</f>
      </c>
      <c r="S428" s="33">
        <f>ROUND(MIN(MAX(0,N('Your debts'!$E$13)),I428),2)</f>
      </c>
      <c r="T428" s="33">
        <f>ROUND(MIN(MAX(0,N('Your debts'!$E$14)),J428),2)</f>
      </c>
      <c r="U428" s="33">
        <f>ROUND(MIN(MAX(0,N('Your debts'!$E$15)),K428),2)</f>
      </c>
      <c r="V428" s="33">
        <f>ROUND(B428-L428,2)</f>
      </c>
      <c r="W428" s="33">
        <f>ROUND(C428-M428,2)</f>
      </c>
      <c r="X428" s="33">
        <f>ROUND(D428-N428,2)</f>
      </c>
      <c r="Y428" s="33">
        <f>ROUND(E428-O428,2)</f>
      </c>
      <c r="Z428" s="33">
        <f>ROUND(F428-P428,2)</f>
      </c>
      <c r="AA428" s="33">
        <f>ROUND(G428-Q428,2)</f>
      </c>
      <c r="AB428" s="33">
        <f>ROUND(H428-R428,2)</f>
      </c>
      <c r="AC428" s="33">
        <f>ROUND(I428-S428,2)</f>
      </c>
      <c r="AD428" s="33">
        <f>ROUND(J428-T428,2)</f>
      </c>
      <c r="AE428" s="33">
        <f>ROUND(K428-U428,2)</f>
      </c>
      <c r="AF428" s="33">
        <f>IF(V428&lt;=0,0,MAX(0,MIN(V428,ROUND($AZ428-SUMPRODUCT($V428:$AE428*($V428:$AE428&gt;0)*(($V$3:$AE$3&gt;V$3)+($V$3:$AE$3=V$3)*($V428:$AE428&lt;V428)+($V$3:$AE$3=V$3)*($V428:$AE428=V428)*($V$2:$AE$2&lt;V$2))),2))))</f>
      </c>
      <c r="AG428" s="33">
        <f>IF(W428&lt;=0,0,MAX(0,MIN(W428,ROUND($AZ428-SUMPRODUCT($V428:$AE428*($V428:$AE428&gt;0)*(($V$3:$AE$3&gt;W$3)+($V$3:$AE$3=W$3)*($V428:$AE428&lt;W428)+($V$3:$AE$3=W$3)*($V428:$AE428=W428)*($V$2:$AE$2&lt;W$2))),2))))</f>
      </c>
      <c r="AH428" s="33">
        <f>IF(X428&lt;=0,0,MAX(0,MIN(X428,ROUND($AZ428-SUMPRODUCT($V428:$AE428*($V428:$AE428&gt;0)*(($V$3:$AE$3&gt;X$3)+($V$3:$AE$3=X$3)*($V428:$AE428&lt;X428)+($V$3:$AE$3=X$3)*($V428:$AE428=X428)*($V$2:$AE$2&lt;X$2))),2))))</f>
      </c>
      <c r="AI428" s="33">
        <f>IF(Y428&lt;=0,0,MAX(0,MIN(Y428,ROUND($AZ428-SUMPRODUCT($V428:$AE428*($V428:$AE428&gt;0)*(($V$3:$AE$3&gt;Y$3)+($V$3:$AE$3=Y$3)*($V428:$AE428&lt;Y428)+($V$3:$AE$3=Y$3)*($V428:$AE428=Y428)*($V$2:$AE$2&lt;Y$2))),2))))</f>
      </c>
      <c r="AJ428" s="33">
        <f>IF(Z428&lt;=0,0,MAX(0,MIN(Z428,ROUND($AZ428-SUMPRODUCT($V428:$AE428*($V428:$AE428&gt;0)*(($V$3:$AE$3&gt;Z$3)+($V$3:$AE$3=Z$3)*($V428:$AE428&lt;Z428)+($V$3:$AE$3=Z$3)*($V428:$AE428=Z428)*($V$2:$AE$2&lt;Z$2))),2))))</f>
      </c>
      <c r="AK428" s="33">
        <f>IF(AA428&lt;=0,0,MAX(0,MIN(AA428,ROUND($AZ428-SUMPRODUCT($V428:$AE428*($V428:$AE428&gt;0)*(($V$3:$AE$3&gt;AA$3)+($V$3:$AE$3=AA$3)*($V428:$AE428&lt;AA428)+($V$3:$AE$3=AA$3)*($V428:$AE428=AA428)*($V$2:$AE$2&lt;AA$2))),2))))</f>
      </c>
      <c r="AL428" s="33">
        <f>IF(AB428&lt;=0,0,MAX(0,MIN(AB428,ROUND($AZ428-SUMPRODUCT($V428:$AE428*($V428:$AE428&gt;0)*(($V$3:$AE$3&gt;AB$3)+($V$3:$AE$3=AB$3)*($V428:$AE428&lt;AB428)+($V$3:$AE$3=AB$3)*($V428:$AE428=AB428)*($V$2:$AE$2&lt;AB$2))),2))))</f>
      </c>
      <c r="AM428" s="33">
        <f>IF(AC428&lt;=0,0,MAX(0,MIN(AC428,ROUND($AZ428-SUMPRODUCT($V428:$AE428*($V428:$AE428&gt;0)*(($V$3:$AE$3&gt;AC$3)+($V$3:$AE$3=AC$3)*($V428:$AE428&lt;AC428)+($V$3:$AE$3=AC$3)*($V428:$AE428=AC428)*($V$2:$AE$2&lt;AC$2))),2))))</f>
      </c>
      <c r="AN428" s="33">
        <f>IF(AD428&lt;=0,0,MAX(0,MIN(AD428,ROUND($AZ428-SUMPRODUCT($V428:$AE428*($V428:$AE428&gt;0)*(($V$3:$AE$3&gt;AD$3)+($V$3:$AE$3=AD$3)*($V428:$AE428&lt;AD428)+($V$3:$AE$3=AD$3)*($V428:$AE428=AD428)*($V$2:$AE$2&lt;AD$2))),2))))</f>
      </c>
      <c r="AO428" s="33">
        <f>IF(AE428&lt;=0,0,MAX(0,MIN(AE428,ROUND($AZ428-SUMPRODUCT($V428:$AE428*($V428:$AE428&gt;0)*(($V$3:$AE$3&gt;AE$3)+($V$3:$AE$3=AE$3)*($V428:$AE428&lt;AE428)+($V$3:$AE$3=AE$3)*($V428:$AE428=AE428)*($V$2:$AE$2&lt;AE$2))),2))))</f>
      </c>
      <c r="AP428" s="33">
        <f>ROUND(V428-AF428,2)</f>
      </c>
      <c r="AQ428" s="33">
        <f>ROUND(W428-AG428,2)</f>
      </c>
      <c r="AR428" s="33">
        <f>ROUND(X428-AH428,2)</f>
      </c>
      <c r="AS428" s="33">
        <f>ROUND(Y428-AI428,2)</f>
      </c>
      <c r="AT428" s="33">
        <f>ROUND(Z428-AJ428,2)</f>
      </c>
      <c r="AU428" s="33">
        <f>ROUND(AA428-AK428,2)</f>
      </c>
      <c r="AV428" s="33">
        <f>ROUND(AB428-AL428,2)</f>
      </c>
      <c r="AW428" s="33">
        <f>ROUND(AC428-AM428,2)</f>
      </c>
      <c r="AX428" s="33">
        <f>ROUND(AD428-AN428,2)</f>
      </c>
      <c r="AY428" s="33">
        <f>ROUND(AE428-AO428,2)</f>
      </c>
      <c r="AZ428" s="33">
        <f>ROUND(MAX(0,'Your debts'!$D$22-SUM($L428:$U428)),2)</f>
      </c>
      <c r="BA428" s="33">
        <f>ROUND(SUM($B428:$K428)-SUM($AP427:$AY427),2)</f>
      </c>
      <c r="BB428" s="33">
        <f>SUM($AP428:$AY428)</f>
      </c>
      <c r="BC428" s="33">
        <f>ROUND(SUM($L428:$U428)+SUM($AF428:$AO428),2)</f>
      </c>
    </row>
    <row r="429" spans="1:55" x14ac:dyDescent="0.25">
      <c r="A429">
        <v>422</v>
      </c>
      <c r="B429" s="33">
        <f>IF(AP428&lt;=0,0,ROUND(AP428+ROUND(AP428*V$3/12,2),2))</f>
      </c>
      <c r="C429" s="33">
        <f>IF(AQ428&lt;=0,0,ROUND(AQ428+ROUND(AQ428*W$3/12,2),2))</f>
      </c>
      <c r="D429" s="33">
        <f>IF(AR428&lt;=0,0,ROUND(AR428+ROUND(AR428*X$3/12,2),2))</f>
      </c>
      <c r="E429" s="33">
        <f>IF(AS428&lt;=0,0,ROUND(AS428+ROUND(AS428*Y$3/12,2),2))</f>
      </c>
      <c r="F429" s="33">
        <f>IF(AT428&lt;=0,0,ROUND(AT428+ROUND(AT428*Z$3/12,2),2))</f>
      </c>
      <c r="G429" s="33">
        <f>IF(AU428&lt;=0,0,ROUND(AU428+ROUND(AU428*AA$3/12,2),2))</f>
      </c>
      <c r="H429" s="33">
        <f>IF(AV428&lt;=0,0,ROUND(AV428+ROUND(AV428*AB$3/12,2),2))</f>
      </c>
      <c r="I429" s="33">
        <f>IF(AW428&lt;=0,0,ROUND(AW428+ROUND(AW428*AC$3/12,2),2))</f>
      </c>
      <c r="J429" s="33">
        <f>IF(AX428&lt;=0,0,ROUND(AX428+ROUND(AX428*AD$3/12,2),2))</f>
      </c>
      <c r="K429" s="33">
        <f>IF(AY428&lt;=0,0,ROUND(AY428+ROUND(AY428*AE$3/12,2),2))</f>
      </c>
      <c r="L429" s="33">
        <f>ROUND(MIN(MAX(0,N('Your debts'!$E$6)),B429),2)</f>
      </c>
      <c r="M429" s="33">
        <f>ROUND(MIN(MAX(0,N('Your debts'!$E$7)),C429),2)</f>
      </c>
      <c r="N429" s="33">
        <f>ROUND(MIN(MAX(0,N('Your debts'!$E$8)),D429),2)</f>
      </c>
      <c r="O429" s="33">
        <f>ROUND(MIN(MAX(0,N('Your debts'!$E$9)),E429),2)</f>
      </c>
      <c r="P429" s="33">
        <f>ROUND(MIN(MAX(0,N('Your debts'!$E$10)),F429),2)</f>
      </c>
      <c r="Q429" s="33">
        <f>ROUND(MIN(MAX(0,N('Your debts'!$E$11)),G429),2)</f>
      </c>
      <c r="R429" s="33">
        <f>ROUND(MIN(MAX(0,N('Your debts'!$E$12)),H429),2)</f>
      </c>
      <c r="S429" s="33">
        <f>ROUND(MIN(MAX(0,N('Your debts'!$E$13)),I429),2)</f>
      </c>
      <c r="T429" s="33">
        <f>ROUND(MIN(MAX(0,N('Your debts'!$E$14)),J429),2)</f>
      </c>
      <c r="U429" s="33">
        <f>ROUND(MIN(MAX(0,N('Your debts'!$E$15)),K429),2)</f>
      </c>
      <c r="V429" s="33">
        <f>ROUND(B429-L429,2)</f>
      </c>
      <c r="W429" s="33">
        <f>ROUND(C429-M429,2)</f>
      </c>
      <c r="X429" s="33">
        <f>ROUND(D429-N429,2)</f>
      </c>
      <c r="Y429" s="33">
        <f>ROUND(E429-O429,2)</f>
      </c>
      <c r="Z429" s="33">
        <f>ROUND(F429-P429,2)</f>
      </c>
      <c r="AA429" s="33">
        <f>ROUND(G429-Q429,2)</f>
      </c>
      <c r="AB429" s="33">
        <f>ROUND(H429-R429,2)</f>
      </c>
      <c r="AC429" s="33">
        <f>ROUND(I429-S429,2)</f>
      </c>
      <c r="AD429" s="33">
        <f>ROUND(J429-T429,2)</f>
      </c>
      <c r="AE429" s="33">
        <f>ROUND(K429-U429,2)</f>
      </c>
      <c r="AF429" s="33">
        <f>IF(V429&lt;=0,0,MAX(0,MIN(V429,ROUND($AZ429-SUMPRODUCT($V429:$AE429*($V429:$AE429&gt;0)*(($V$3:$AE$3&gt;V$3)+($V$3:$AE$3=V$3)*($V429:$AE429&lt;V429)+($V$3:$AE$3=V$3)*($V429:$AE429=V429)*($V$2:$AE$2&lt;V$2))),2))))</f>
      </c>
      <c r="AG429" s="33">
        <f>IF(W429&lt;=0,0,MAX(0,MIN(W429,ROUND($AZ429-SUMPRODUCT($V429:$AE429*($V429:$AE429&gt;0)*(($V$3:$AE$3&gt;W$3)+($V$3:$AE$3=W$3)*($V429:$AE429&lt;W429)+($V$3:$AE$3=W$3)*($V429:$AE429=W429)*($V$2:$AE$2&lt;W$2))),2))))</f>
      </c>
      <c r="AH429" s="33">
        <f>IF(X429&lt;=0,0,MAX(0,MIN(X429,ROUND($AZ429-SUMPRODUCT($V429:$AE429*($V429:$AE429&gt;0)*(($V$3:$AE$3&gt;X$3)+($V$3:$AE$3=X$3)*($V429:$AE429&lt;X429)+($V$3:$AE$3=X$3)*($V429:$AE429=X429)*($V$2:$AE$2&lt;X$2))),2))))</f>
      </c>
      <c r="AI429" s="33">
        <f>IF(Y429&lt;=0,0,MAX(0,MIN(Y429,ROUND($AZ429-SUMPRODUCT($V429:$AE429*($V429:$AE429&gt;0)*(($V$3:$AE$3&gt;Y$3)+($V$3:$AE$3=Y$3)*($V429:$AE429&lt;Y429)+($V$3:$AE$3=Y$3)*($V429:$AE429=Y429)*($V$2:$AE$2&lt;Y$2))),2))))</f>
      </c>
      <c r="AJ429" s="33">
        <f>IF(Z429&lt;=0,0,MAX(0,MIN(Z429,ROUND($AZ429-SUMPRODUCT($V429:$AE429*($V429:$AE429&gt;0)*(($V$3:$AE$3&gt;Z$3)+($V$3:$AE$3=Z$3)*($V429:$AE429&lt;Z429)+($V$3:$AE$3=Z$3)*($V429:$AE429=Z429)*($V$2:$AE$2&lt;Z$2))),2))))</f>
      </c>
      <c r="AK429" s="33">
        <f>IF(AA429&lt;=0,0,MAX(0,MIN(AA429,ROUND($AZ429-SUMPRODUCT($V429:$AE429*($V429:$AE429&gt;0)*(($V$3:$AE$3&gt;AA$3)+($V$3:$AE$3=AA$3)*($V429:$AE429&lt;AA429)+($V$3:$AE$3=AA$3)*($V429:$AE429=AA429)*($V$2:$AE$2&lt;AA$2))),2))))</f>
      </c>
      <c r="AL429" s="33">
        <f>IF(AB429&lt;=0,0,MAX(0,MIN(AB429,ROUND($AZ429-SUMPRODUCT($V429:$AE429*($V429:$AE429&gt;0)*(($V$3:$AE$3&gt;AB$3)+($V$3:$AE$3=AB$3)*($V429:$AE429&lt;AB429)+($V$3:$AE$3=AB$3)*($V429:$AE429=AB429)*($V$2:$AE$2&lt;AB$2))),2))))</f>
      </c>
      <c r="AM429" s="33">
        <f>IF(AC429&lt;=0,0,MAX(0,MIN(AC429,ROUND($AZ429-SUMPRODUCT($V429:$AE429*($V429:$AE429&gt;0)*(($V$3:$AE$3&gt;AC$3)+($V$3:$AE$3=AC$3)*($V429:$AE429&lt;AC429)+($V$3:$AE$3=AC$3)*($V429:$AE429=AC429)*($V$2:$AE$2&lt;AC$2))),2))))</f>
      </c>
      <c r="AN429" s="33">
        <f>IF(AD429&lt;=0,0,MAX(0,MIN(AD429,ROUND($AZ429-SUMPRODUCT($V429:$AE429*($V429:$AE429&gt;0)*(($V$3:$AE$3&gt;AD$3)+($V$3:$AE$3=AD$3)*($V429:$AE429&lt;AD429)+($V$3:$AE$3=AD$3)*($V429:$AE429=AD429)*($V$2:$AE$2&lt;AD$2))),2))))</f>
      </c>
      <c r="AO429" s="33">
        <f>IF(AE429&lt;=0,0,MAX(0,MIN(AE429,ROUND($AZ429-SUMPRODUCT($V429:$AE429*($V429:$AE429&gt;0)*(($V$3:$AE$3&gt;AE$3)+($V$3:$AE$3=AE$3)*($V429:$AE429&lt;AE429)+($V$3:$AE$3=AE$3)*($V429:$AE429=AE429)*($V$2:$AE$2&lt;AE$2))),2))))</f>
      </c>
      <c r="AP429" s="33">
        <f>ROUND(V429-AF429,2)</f>
      </c>
      <c r="AQ429" s="33">
        <f>ROUND(W429-AG429,2)</f>
      </c>
      <c r="AR429" s="33">
        <f>ROUND(X429-AH429,2)</f>
      </c>
      <c r="AS429" s="33">
        <f>ROUND(Y429-AI429,2)</f>
      </c>
      <c r="AT429" s="33">
        <f>ROUND(Z429-AJ429,2)</f>
      </c>
      <c r="AU429" s="33">
        <f>ROUND(AA429-AK429,2)</f>
      </c>
      <c r="AV429" s="33">
        <f>ROUND(AB429-AL429,2)</f>
      </c>
      <c r="AW429" s="33">
        <f>ROUND(AC429-AM429,2)</f>
      </c>
      <c r="AX429" s="33">
        <f>ROUND(AD429-AN429,2)</f>
      </c>
      <c r="AY429" s="33">
        <f>ROUND(AE429-AO429,2)</f>
      </c>
      <c r="AZ429" s="33">
        <f>ROUND(MAX(0,'Your debts'!$D$22-SUM($L429:$U429)),2)</f>
      </c>
      <c r="BA429" s="33">
        <f>ROUND(SUM($B429:$K429)-SUM($AP428:$AY428),2)</f>
      </c>
      <c r="BB429" s="33">
        <f>SUM($AP429:$AY429)</f>
      </c>
      <c r="BC429" s="33">
        <f>ROUND(SUM($L429:$U429)+SUM($AF429:$AO429),2)</f>
      </c>
    </row>
    <row r="430" spans="1:55" x14ac:dyDescent="0.25">
      <c r="A430">
        <v>423</v>
      </c>
      <c r="B430" s="33">
        <f>IF(AP429&lt;=0,0,ROUND(AP429+ROUND(AP429*V$3/12,2),2))</f>
      </c>
      <c r="C430" s="33">
        <f>IF(AQ429&lt;=0,0,ROUND(AQ429+ROUND(AQ429*W$3/12,2),2))</f>
      </c>
      <c r="D430" s="33">
        <f>IF(AR429&lt;=0,0,ROUND(AR429+ROUND(AR429*X$3/12,2),2))</f>
      </c>
      <c r="E430" s="33">
        <f>IF(AS429&lt;=0,0,ROUND(AS429+ROUND(AS429*Y$3/12,2),2))</f>
      </c>
      <c r="F430" s="33">
        <f>IF(AT429&lt;=0,0,ROUND(AT429+ROUND(AT429*Z$3/12,2),2))</f>
      </c>
      <c r="G430" s="33">
        <f>IF(AU429&lt;=0,0,ROUND(AU429+ROUND(AU429*AA$3/12,2),2))</f>
      </c>
      <c r="H430" s="33">
        <f>IF(AV429&lt;=0,0,ROUND(AV429+ROUND(AV429*AB$3/12,2),2))</f>
      </c>
      <c r="I430" s="33">
        <f>IF(AW429&lt;=0,0,ROUND(AW429+ROUND(AW429*AC$3/12,2),2))</f>
      </c>
      <c r="J430" s="33">
        <f>IF(AX429&lt;=0,0,ROUND(AX429+ROUND(AX429*AD$3/12,2),2))</f>
      </c>
      <c r="K430" s="33">
        <f>IF(AY429&lt;=0,0,ROUND(AY429+ROUND(AY429*AE$3/12,2),2))</f>
      </c>
      <c r="L430" s="33">
        <f>ROUND(MIN(MAX(0,N('Your debts'!$E$6)),B430),2)</f>
      </c>
      <c r="M430" s="33">
        <f>ROUND(MIN(MAX(0,N('Your debts'!$E$7)),C430),2)</f>
      </c>
      <c r="N430" s="33">
        <f>ROUND(MIN(MAX(0,N('Your debts'!$E$8)),D430),2)</f>
      </c>
      <c r="O430" s="33">
        <f>ROUND(MIN(MAX(0,N('Your debts'!$E$9)),E430),2)</f>
      </c>
      <c r="P430" s="33">
        <f>ROUND(MIN(MAX(0,N('Your debts'!$E$10)),F430),2)</f>
      </c>
      <c r="Q430" s="33">
        <f>ROUND(MIN(MAX(0,N('Your debts'!$E$11)),G430),2)</f>
      </c>
      <c r="R430" s="33">
        <f>ROUND(MIN(MAX(0,N('Your debts'!$E$12)),H430),2)</f>
      </c>
      <c r="S430" s="33">
        <f>ROUND(MIN(MAX(0,N('Your debts'!$E$13)),I430),2)</f>
      </c>
      <c r="T430" s="33">
        <f>ROUND(MIN(MAX(0,N('Your debts'!$E$14)),J430),2)</f>
      </c>
      <c r="U430" s="33">
        <f>ROUND(MIN(MAX(0,N('Your debts'!$E$15)),K430),2)</f>
      </c>
      <c r="V430" s="33">
        <f>ROUND(B430-L430,2)</f>
      </c>
      <c r="W430" s="33">
        <f>ROUND(C430-M430,2)</f>
      </c>
      <c r="X430" s="33">
        <f>ROUND(D430-N430,2)</f>
      </c>
      <c r="Y430" s="33">
        <f>ROUND(E430-O430,2)</f>
      </c>
      <c r="Z430" s="33">
        <f>ROUND(F430-P430,2)</f>
      </c>
      <c r="AA430" s="33">
        <f>ROUND(G430-Q430,2)</f>
      </c>
      <c r="AB430" s="33">
        <f>ROUND(H430-R430,2)</f>
      </c>
      <c r="AC430" s="33">
        <f>ROUND(I430-S430,2)</f>
      </c>
      <c r="AD430" s="33">
        <f>ROUND(J430-T430,2)</f>
      </c>
      <c r="AE430" s="33">
        <f>ROUND(K430-U430,2)</f>
      </c>
      <c r="AF430" s="33">
        <f>IF(V430&lt;=0,0,MAX(0,MIN(V430,ROUND($AZ430-SUMPRODUCT($V430:$AE430*($V430:$AE430&gt;0)*(($V$3:$AE$3&gt;V$3)+($V$3:$AE$3=V$3)*($V430:$AE430&lt;V430)+($V$3:$AE$3=V$3)*($V430:$AE430=V430)*($V$2:$AE$2&lt;V$2))),2))))</f>
      </c>
      <c r="AG430" s="33">
        <f>IF(W430&lt;=0,0,MAX(0,MIN(W430,ROUND($AZ430-SUMPRODUCT($V430:$AE430*($V430:$AE430&gt;0)*(($V$3:$AE$3&gt;W$3)+($V$3:$AE$3=W$3)*($V430:$AE430&lt;W430)+($V$3:$AE$3=W$3)*($V430:$AE430=W430)*($V$2:$AE$2&lt;W$2))),2))))</f>
      </c>
      <c r="AH430" s="33">
        <f>IF(X430&lt;=0,0,MAX(0,MIN(X430,ROUND($AZ430-SUMPRODUCT($V430:$AE430*($V430:$AE430&gt;0)*(($V$3:$AE$3&gt;X$3)+($V$3:$AE$3=X$3)*($V430:$AE430&lt;X430)+($V$3:$AE$3=X$3)*($V430:$AE430=X430)*($V$2:$AE$2&lt;X$2))),2))))</f>
      </c>
      <c r="AI430" s="33">
        <f>IF(Y430&lt;=0,0,MAX(0,MIN(Y430,ROUND($AZ430-SUMPRODUCT($V430:$AE430*($V430:$AE430&gt;0)*(($V$3:$AE$3&gt;Y$3)+($V$3:$AE$3=Y$3)*($V430:$AE430&lt;Y430)+($V$3:$AE$3=Y$3)*($V430:$AE430=Y430)*($V$2:$AE$2&lt;Y$2))),2))))</f>
      </c>
      <c r="AJ430" s="33">
        <f>IF(Z430&lt;=0,0,MAX(0,MIN(Z430,ROUND($AZ430-SUMPRODUCT($V430:$AE430*($V430:$AE430&gt;0)*(($V$3:$AE$3&gt;Z$3)+($V$3:$AE$3=Z$3)*($V430:$AE430&lt;Z430)+($V$3:$AE$3=Z$3)*($V430:$AE430=Z430)*($V$2:$AE$2&lt;Z$2))),2))))</f>
      </c>
      <c r="AK430" s="33">
        <f>IF(AA430&lt;=0,0,MAX(0,MIN(AA430,ROUND($AZ430-SUMPRODUCT($V430:$AE430*($V430:$AE430&gt;0)*(($V$3:$AE$3&gt;AA$3)+($V$3:$AE$3=AA$3)*($V430:$AE430&lt;AA430)+($V$3:$AE$3=AA$3)*($V430:$AE430=AA430)*($V$2:$AE$2&lt;AA$2))),2))))</f>
      </c>
      <c r="AL430" s="33">
        <f>IF(AB430&lt;=0,0,MAX(0,MIN(AB430,ROUND($AZ430-SUMPRODUCT($V430:$AE430*($V430:$AE430&gt;0)*(($V$3:$AE$3&gt;AB$3)+($V$3:$AE$3=AB$3)*($V430:$AE430&lt;AB430)+($V$3:$AE$3=AB$3)*($V430:$AE430=AB430)*($V$2:$AE$2&lt;AB$2))),2))))</f>
      </c>
      <c r="AM430" s="33">
        <f>IF(AC430&lt;=0,0,MAX(0,MIN(AC430,ROUND($AZ430-SUMPRODUCT($V430:$AE430*($V430:$AE430&gt;0)*(($V$3:$AE$3&gt;AC$3)+($V$3:$AE$3=AC$3)*($V430:$AE430&lt;AC430)+($V$3:$AE$3=AC$3)*($V430:$AE430=AC430)*($V$2:$AE$2&lt;AC$2))),2))))</f>
      </c>
      <c r="AN430" s="33">
        <f>IF(AD430&lt;=0,0,MAX(0,MIN(AD430,ROUND($AZ430-SUMPRODUCT($V430:$AE430*($V430:$AE430&gt;0)*(($V$3:$AE$3&gt;AD$3)+($V$3:$AE$3=AD$3)*($V430:$AE430&lt;AD430)+($V$3:$AE$3=AD$3)*($V430:$AE430=AD430)*($V$2:$AE$2&lt;AD$2))),2))))</f>
      </c>
      <c r="AO430" s="33">
        <f>IF(AE430&lt;=0,0,MAX(0,MIN(AE430,ROUND($AZ430-SUMPRODUCT($V430:$AE430*($V430:$AE430&gt;0)*(($V$3:$AE$3&gt;AE$3)+($V$3:$AE$3=AE$3)*($V430:$AE430&lt;AE430)+($V$3:$AE$3=AE$3)*($V430:$AE430=AE430)*($V$2:$AE$2&lt;AE$2))),2))))</f>
      </c>
      <c r="AP430" s="33">
        <f>ROUND(V430-AF430,2)</f>
      </c>
      <c r="AQ430" s="33">
        <f>ROUND(W430-AG430,2)</f>
      </c>
      <c r="AR430" s="33">
        <f>ROUND(X430-AH430,2)</f>
      </c>
      <c r="AS430" s="33">
        <f>ROUND(Y430-AI430,2)</f>
      </c>
      <c r="AT430" s="33">
        <f>ROUND(Z430-AJ430,2)</f>
      </c>
      <c r="AU430" s="33">
        <f>ROUND(AA430-AK430,2)</f>
      </c>
      <c r="AV430" s="33">
        <f>ROUND(AB430-AL430,2)</f>
      </c>
      <c r="AW430" s="33">
        <f>ROUND(AC430-AM430,2)</f>
      </c>
      <c r="AX430" s="33">
        <f>ROUND(AD430-AN430,2)</f>
      </c>
      <c r="AY430" s="33">
        <f>ROUND(AE430-AO430,2)</f>
      </c>
      <c r="AZ430" s="33">
        <f>ROUND(MAX(0,'Your debts'!$D$22-SUM($L430:$U430)),2)</f>
      </c>
      <c r="BA430" s="33">
        <f>ROUND(SUM($B430:$K430)-SUM($AP429:$AY429),2)</f>
      </c>
      <c r="BB430" s="33">
        <f>SUM($AP430:$AY430)</f>
      </c>
      <c r="BC430" s="33">
        <f>ROUND(SUM($L430:$U430)+SUM($AF430:$AO430),2)</f>
      </c>
    </row>
    <row r="431" spans="1:55" x14ac:dyDescent="0.25">
      <c r="A431">
        <v>424</v>
      </c>
      <c r="B431" s="33">
        <f>IF(AP430&lt;=0,0,ROUND(AP430+ROUND(AP430*V$3/12,2),2))</f>
      </c>
      <c r="C431" s="33">
        <f>IF(AQ430&lt;=0,0,ROUND(AQ430+ROUND(AQ430*W$3/12,2),2))</f>
      </c>
      <c r="D431" s="33">
        <f>IF(AR430&lt;=0,0,ROUND(AR430+ROUND(AR430*X$3/12,2),2))</f>
      </c>
      <c r="E431" s="33">
        <f>IF(AS430&lt;=0,0,ROUND(AS430+ROUND(AS430*Y$3/12,2),2))</f>
      </c>
      <c r="F431" s="33">
        <f>IF(AT430&lt;=0,0,ROUND(AT430+ROUND(AT430*Z$3/12,2),2))</f>
      </c>
      <c r="G431" s="33">
        <f>IF(AU430&lt;=0,0,ROUND(AU430+ROUND(AU430*AA$3/12,2),2))</f>
      </c>
      <c r="H431" s="33">
        <f>IF(AV430&lt;=0,0,ROUND(AV430+ROUND(AV430*AB$3/12,2),2))</f>
      </c>
      <c r="I431" s="33">
        <f>IF(AW430&lt;=0,0,ROUND(AW430+ROUND(AW430*AC$3/12,2),2))</f>
      </c>
      <c r="J431" s="33">
        <f>IF(AX430&lt;=0,0,ROUND(AX430+ROUND(AX430*AD$3/12,2),2))</f>
      </c>
      <c r="K431" s="33">
        <f>IF(AY430&lt;=0,0,ROUND(AY430+ROUND(AY430*AE$3/12,2),2))</f>
      </c>
      <c r="L431" s="33">
        <f>ROUND(MIN(MAX(0,N('Your debts'!$E$6)),B431),2)</f>
      </c>
      <c r="M431" s="33">
        <f>ROUND(MIN(MAX(0,N('Your debts'!$E$7)),C431),2)</f>
      </c>
      <c r="N431" s="33">
        <f>ROUND(MIN(MAX(0,N('Your debts'!$E$8)),D431),2)</f>
      </c>
      <c r="O431" s="33">
        <f>ROUND(MIN(MAX(0,N('Your debts'!$E$9)),E431),2)</f>
      </c>
      <c r="P431" s="33">
        <f>ROUND(MIN(MAX(0,N('Your debts'!$E$10)),F431),2)</f>
      </c>
      <c r="Q431" s="33">
        <f>ROUND(MIN(MAX(0,N('Your debts'!$E$11)),G431),2)</f>
      </c>
      <c r="R431" s="33">
        <f>ROUND(MIN(MAX(0,N('Your debts'!$E$12)),H431),2)</f>
      </c>
      <c r="S431" s="33">
        <f>ROUND(MIN(MAX(0,N('Your debts'!$E$13)),I431),2)</f>
      </c>
      <c r="T431" s="33">
        <f>ROUND(MIN(MAX(0,N('Your debts'!$E$14)),J431),2)</f>
      </c>
      <c r="U431" s="33">
        <f>ROUND(MIN(MAX(0,N('Your debts'!$E$15)),K431),2)</f>
      </c>
      <c r="V431" s="33">
        <f>ROUND(B431-L431,2)</f>
      </c>
      <c r="W431" s="33">
        <f>ROUND(C431-M431,2)</f>
      </c>
      <c r="X431" s="33">
        <f>ROUND(D431-N431,2)</f>
      </c>
      <c r="Y431" s="33">
        <f>ROUND(E431-O431,2)</f>
      </c>
      <c r="Z431" s="33">
        <f>ROUND(F431-P431,2)</f>
      </c>
      <c r="AA431" s="33">
        <f>ROUND(G431-Q431,2)</f>
      </c>
      <c r="AB431" s="33">
        <f>ROUND(H431-R431,2)</f>
      </c>
      <c r="AC431" s="33">
        <f>ROUND(I431-S431,2)</f>
      </c>
      <c r="AD431" s="33">
        <f>ROUND(J431-T431,2)</f>
      </c>
      <c r="AE431" s="33">
        <f>ROUND(K431-U431,2)</f>
      </c>
      <c r="AF431" s="33">
        <f>IF(V431&lt;=0,0,MAX(0,MIN(V431,ROUND($AZ431-SUMPRODUCT($V431:$AE431*($V431:$AE431&gt;0)*(($V$3:$AE$3&gt;V$3)+($V$3:$AE$3=V$3)*($V431:$AE431&lt;V431)+($V$3:$AE$3=V$3)*($V431:$AE431=V431)*($V$2:$AE$2&lt;V$2))),2))))</f>
      </c>
      <c r="AG431" s="33">
        <f>IF(W431&lt;=0,0,MAX(0,MIN(W431,ROUND($AZ431-SUMPRODUCT($V431:$AE431*($V431:$AE431&gt;0)*(($V$3:$AE$3&gt;W$3)+($V$3:$AE$3=W$3)*($V431:$AE431&lt;W431)+($V$3:$AE$3=W$3)*($V431:$AE431=W431)*($V$2:$AE$2&lt;W$2))),2))))</f>
      </c>
      <c r="AH431" s="33">
        <f>IF(X431&lt;=0,0,MAX(0,MIN(X431,ROUND($AZ431-SUMPRODUCT($V431:$AE431*($V431:$AE431&gt;0)*(($V$3:$AE$3&gt;X$3)+($V$3:$AE$3=X$3)*($V431:$AE431&lt;X431)+($V$3:$AE$3=X$3)*($V431:$AE431=X431)*($V$2:$AE$2&lt;X$2))),2))))</f>
      </c>
      <c r="AI431" s="33">
        <f>IF(Y431&lt;=0,0,MAX(0,MIN(Y431,ROUND($AZ431-SUMPRODUCT($V431:$AE431*($V431:$AE431&gt;0)*(($V$3:$AE$3&gt;Y$3)+($V$3:$AE$3=Y$3)*($V431:$AE431&lt;Y431)+($V$3:$AE$3=Y$3)*($V431:$AE431=Y431)*($V$2:$AE$2&lt;Y$2))),2))))</f>
      </c>
      <c r="AJ431" s="33">
        <f>IF(Z431&lt;=0,0,MAX(0,MIN(Z431,ROUND($AZ431-SUMPRODUCT($V431:$AE431*($V431:$AE431&gt;0)*(($V$3:$AE$3&gt;Z$3)+($V$3:$AE$3=Z$3)*($V431:$AE431&lt;Z431)+($V$3:$AE$3=Z$3)*($V431:$AE431=Z431)*($V$2:$AE$2&lt;Z$2))),2))))</f>
      </c>
      <c r="AK431" s="33">
        <f>IF(AA431&lt;=0,0,MAX(0,MIN(AA431,ROUND($AZ431-SUMPRODUCT($V431:$AE431*($V431:$AE431&gt;0)*(($V$3:$AE$3&gt;AA$3)+($V$3:$AE$3=AA$3)*($V431:$AE431&lt;AA431)+($V$3:$AE$3=AA$3)*($V431:$AE431=AA431)*($V$2:$AE$2&lt;AA$2))),2))))</f>
      </c>
      <c r="AL431" s="33">
        <f>IF(AB431&lt;=0,0,MAX(0,MIN(AB431,ROUND($AZ431-SUMPRODUCT($V431:$AE431*($V431:$AE431&gt;0)*(($V$3:$AE$3&gt;AB$3)+($V$3:$AE$3=AB$3)*($V431:$AE431&lt;AB431)+($V$3:$AE$3=AB$3)*($V431:$AE431=AB431)*($V$2:$AE$2&lt;AB$2))),2))))</f>
      </c>
      <c r="AM431" s="33">
        <f>IF(AC431&lt;=0,0,MAX(0,MIN(AC431,ROUND($AZ431-SUMPRODUCT($V431:$AE431*($V431:$AE431&gt;0)*(($V$3:$AE$3&gt;AC$3)+($V$3:$AE$3=AC$3)*($V431:$AE431&lt;AC431)+($V$3:$AE$3=AC$3)*($V431:$AE431=AC431)*($V$2:$AE$2&lt;AC$2))),2))))</f>
      </c>
      <c r="AN431" s="33">
        <f>IF(AD431&lt;=0,0,MAX(0,MIN(AD431,ROUND($AZ431-SUMPRODUCT($V431:$AE431*($V431:$AE431&gt;0)*(($V$3:$AE$3&gt;AD$3)+($V$3:$AE$3=AD$3)*($V431:$AE431&lt;AD431)+($V$3:$AE$3=AD$3)*($V431:$AE431=AD431)*($V$2:$AE$2&lt;AD$2))),2))))</f>
      </c>
      <c r="AO431" s="33">
        <f>IF(AE431&lt;=0,0,MAX(0,MIN(AE431,ROUND($AZ431-SUMPRODUCT($V431:$AE431*($V431:$AE431&gt;0)*(($V$3:$AE$3&gt;AE$3)+($V$3:$AE$3=AE$3)*($V431:$AE431&lt;AE431)+($V$3:$AE$3=AE$3)*($V431:$AE431=AE431)*($V$2:$AE$2&lt;AE$2))),2))))</f>
      </c>
      <c r="AP431" s="33">
        <f>ROUND(V431-AF431,2)</f>
      </c>
      <c r="AQ431" s="33">
        <f>ROUND(W431-AG431,2)</f>
      </c>
      <c r="AR431" s="33">
        <f>ROUND(X431-AH431,2)</f>
      </c>
      <c r="AS431" s="33">
        <f>ROUND(Y431-AI431,2)</f>
      </c>
      <c r="AT431" s="33">
        <f>ROUND(Z431-AJ431,2)</f>
      </c>
      <c r="AU431" s="33">
        <f>ROUND(AA431-AK431,2)</f>
      </c>
      <c r="AV431" s="33">
        <f>ROUND(AB431-AL431,2)</f>
      </c>
      <c r="AW431" s="33">
        <f>ROUND(AC431-AM431,2)</f>
      </c>
      <c r="AX431" s="33">
        <f>ROUND(AD431-AN431,2)</f>
      </c>
      <c r="AY431" s="33">
        <f>ROUND(AE431-AO431,2)</f>
      </c>
      <c r="AZ431" s="33">
        <f>ROUND(MAX(0,'Your debts'!$D$22-SUM($L431:$U431)),2)</f>
      </c>
      <c r="BA431" s="33">
        <f>ROUND(SUM($B431:$K431)-SUM($AP430:$AY430),2)</f>
      </c>
      <c r="BB431" s="33">
        <f>SUM($AP431:$AY431)</f>
      </c>
      <c r="BC431" s="33">
        <f>ROUND(SUM($L431:$U431)+SUM($AF431:$AO431),2)</f>
      </c>
    </row>
    <row r="432" spans="1:55" x14ac:dyDescent="0.25">
      <c r="A432">
        <v>425</v>
      </c>
      <c r="B432" s="33">
        <f>IF(AP431&lt;=0,0,ROUND(AP431+ROUND(AP431*V$3/12,2),2))</f>
      </c>
      <c r="C432" s="33">
        <f>IF(AQ431&lt;=0,0,ROUND(AQ431+ROUND(AQ431*W$3/12,2),2))</f>
      </c>
      <c r="D432" s="33">
        <f>IF(AR431&lt;=0,0,ROUND(AR431+ROUND(AR431*X$3/12,2),2))</f>
      </c>
      <c r="E432" s="33">
        <f>IF(AS431&lt;=0,0,ROUND(AS431+ROUND(AS431*Y$3/12,2),2))</f>
      </c>
      <c r="F432" s="33">
        <f>IF(AT431&lt;=0,0,ROUND(AT431+ROUND(AT431*Z$3/12,2),2))</f>
      </c>
      <c r="G432" s="33">
        <f>IF(AU431&lt;=0,0,ROUND(AU431+ROUND(AU431*AA$3/12,2),2))</f>
      </c>
      <c r="H432" s="33">
        <f>IF(AV431&lt;=0,0,ROUND(AV431+ROUND(AV431*AB$3/12,2),2))</f>
      </c>
      <c r="I432" s="33">
        <f>IF(AW431&lt;=0,0,ROUND(AW431+ROUND(AW431*AC$3/12,2),2))</f>
      </c>
      <c r="J432" s="33">
        <f>IF(AX431&lt;=0,0,ROUND(AX431+ROUND(AX431*AD$3/12,2),2))</f>
      </c>
      <c r="K432" s="33">
        <f>IF(AY431&lt;=0,0,ROUND(AY431+ROUND(AY431*AE$3/12,2),2))</f>
      </c>
      <c r="L432" s="33">
        <f>ROUND(MIN(MAX(0,N('Your debts'!$E$6)),B432),2)</f>
      </c>
      <c r="M432" s="33">
        <f>ROUND(MIN(MAX(0,N('Your debts'!$E$7)),C432),2)</f>
      </c>
      <c r="N432" s="33">
        <f>ROUND(MIN(MAX(0,N('Your debts'!$E$8)),D432),2)</f>
      </c>
      <c r="O432" s="33">
        <f>ROUND(MIN(MAX(0,N('Your debts'!$E$9)),E432),2)</f>
      </c>
      <c r="P432" s="33">
        <f>ROUND(MIN(MAX(0,N('Your debts'!$E$10)),F432),2)</f>
      </c>
      <c r="Q432" s="33">
        <f>ROUND(MIN(MAX(0,N('Your debts'!$E$11)),G432),2)</f>
      </c>
      <c r="R432" s="33">
        <f>ROUND(MIN(MAX(0,N('Your debts'!$E$12)),H432),2)</f>
      </c>
      <c r="S432" s="33">
        <f>ROUND(MIN(MAX(0,N('Your debts'!$E$13)),I432),2)</f>
      </c>
      <c r="T432" s="33">
        <f>ROUND(MIN(MAX(0,N('Your debts'!$E$14)),J432),2)</f>
      </c>
      <c r="U432" s="33">
        <f>ROUND(MIN(MAX(0,N('Your debts'!$E$15)),K432),2)</f>
      </c>
      <c r="V432" s="33">
        <f>ROUND(B432-L432,2)</f>
      </c>
      <c r="W432" s="33">
        <f>ROUND(C432-M432,2)</f>
      </c>
      <c r="X432" s="33">
        <f>ROUND(D432-N432,2)</f>
      </c>
      <c r="Y432" s="33">
        <f>ROUND(E432-O432,2)</f>
      </c>
      <c r="Z432" s="33">
        <f>ROUND(F432-P432,2)</f>
      </c>
      <c r="AA432" s="33">
        <f>ROUND(G432-Q432,2)</f>
      </c>
      <c r="AB432" s="33">
        <f>ROUND(H432-R432,2)</f>
      </c>
      <c r="AC432" s="33">
        <f>ROUND(I432-S432,2)</f>
      </c>
      <c r="AD432" s="33">
        <f>ROUND(J432-T432,2)</f>
      </c>
      <c r="AE432" s="33">
        <f>ROUND(K432-U432,2)</f>
      </c>
      <c r="AF432" s="33">
        <f>IF(V432&lt;=0,0,MAX(0,MIN(V432,ROUND($AZ432-SUMPRODUCT($V432:$AE432*($V432:$AE432&gt;0)*(($V$3:$AE$3&gt;V$3)+($V$3:$AE$3=V$3)*($V432:$AE432&lt;V432)+($V$3:$AE$3=V$3)*($V432:$AE432=V432)*($V$2:$AE$2&lt;V$2))),2))))</f>
      </c>
      <c r="AG432" s="33">
        <f>IF(W432&lt;=0,0,MAX(0,MIN(W432,ROUND($AZ432-SUMPRODUCT($V432:$AE432*($V432:$AE432&gt;0)*(($V$3:$AE$3&gt;W$3)+($V$3:$AE$3=W$3)*($V432:$AE432&lt;W432)+($V$3:$AE$3=W$3)*($V432:$AE432=W432)*($V$2:$AE$2&lt;W$2))),2))))</f>
      </c>
      <c r="AH432" s="33">
        <f>IF(X432&lt;=0,0,MAX(0,MIN(X432,ROUND($AZ432-SUMPRODUCT($V432:$AE432*($V432:$AE432&gt;0)*(($V$3:$AE$3&gt;X$3)+($V$3:$AE$3=X$3)*($V432:$AE432&lt;X432)+($V$3:$AE$3=X$3)*($V432:$AE432=X432)*($V$2:$AE$2&lt;X$2))),2))))</f>
      </c>
      <c r="AI432" s="33">
        <f>IF(Y432&lt;=0,0,MAX(0,MIN(Y432,ROUND($AZ432-SUMPRODUCT($V432:$AE432*($V432:$AE432&gt;0)*(($V$3:$AE$3&gt;Y$3)+($V$3:$AE$3=Y$3)*($V432:$AE432&lt;Y432)+($V$3:$AE$3=Y$3)*($V432:$AE432=Y432)*($V$2:$AE$2&lt;Y$2))),2))))</f>
      </c>
      <c r="AJ432" s="33">
        <f>IF(Z432&lt;=0,0,MAX(0,MIN(Z432,ROUND($AZ432-SUMPRODUCT($V432:$AE432*($V432:$AE432&gt;0)*(($V$3:$AE$3&gt;Z$3)+($V$3:$AE$3=Z$3)*($V432:$AE432&lt;Z432)+($V$3:$AE$3=Z$3)*($V432:$AE432=Z432)*($V$2:$AE$2&lt;Z$2))),2))))</f>
      </c>
      <c r="AK432" s="33">
        <f>IF(AA432&lt;=0,0,MAX(0,MIN(AA432,ROUND($AZ432-SUMPRODUCT($V432:$AE432*($V432:$AE432&gt;0)*(($V$3:$AE$3&gt;AA$3)+($V$3:$AE$3=AA$3)*($V432:$AE432&lt;AA432)+($V$3:$AE$3=AA$3)*($V432:$AE432=AA432)*($V$2:$AE$2&lt;AA$2))),2))))</f>
      </c>
      <c r="AL432" s="33">
        <f>IF(AB432&lt;=0,0,MAX(0,MIN(AB432,ROUND($AZ432-SUMPRODUCT($V432:$AE432*($V432:$AE432&gt;0)*(($V$3:$AE$3&gt;AB$3)+($V$3:$AE$3=AB$3)*($V432:$AE432&lt;AB432)+($V$3:$AE$3=AB$3)*($V432:$AE432=AB432)*($V$2:$AE$2&lt;AB$2))),2))))</f>
      </c>
      <c r="AM432" s="33">
        <f>IF(AC432&lt;=0,0,MAX(0,MIN(AC432,ROUND($AZ432-SUMPRODUCT($V432:$AE432*($V432:$AE432&gt;0)*(($V$3:$AE$3&gt;AC$3)+($V$3:$AE$3=AC$3)*($V432:$AE432&lt;AC432)+($V$3:$AE$3=AC$3)*($V432:$AE432=AC432)*($V$2:$AE$2&lt;AC$2))),2))))</f>
      </c>
      <c r="AN432" s="33">
        <f>IF(AD432&lt;=0,0,MAX(0,MIN(AD432,ROUND($AZ432-SUMPRODUCT($V432:$AE432*($V432:$AE432&gt;0)*(($V$3:$AE$3&gt;AD$3)+($V$3:$AE$3=AD$3)*($V432:$AE432&lt;AD432)+($V$3:$AE$3=AD$3)*($V432:$AE432=AD432)*($V$2:$AE$2&lt;AD$2))),2))))</f>
      </c>
      <c r="AO432" s="33">
        <f>IF(AE432&lt;=0,0,MAX(0,MIN(AE432,ROUND($AZ432-SUMPRODUCT($V432:$AE432*($V432:$AE432&gt;0)*(($V$3:$AE$3&gt;AE$3)+($V$3:$AE$3=AE$3)*($V432:$AE432&lt;AE432)+($V$3:$AE$3=AE$3)*($V432:$AE432=AE432)*($V$2:$AE$2&lt;AE$2))),2))))</f>
      </c>
      <c r="AP432" s="33">
        <f>ROUND(V432-AF432,2)</f>
      </c>
      <c r="AQ432" s="33">
        <f>ROUND(W432-AG432,2)</f>
      </c>
      <c r="AR432" s="33">
        <f>ROUND(X432-AH432,2)</f>
      </c>
      <c r="AS432" s="33">
        <f>ROUND(Y432-AI432,2)</f>
      </c>
      <c r="AT432" s="33">
        <f>ROUND(Z432-AJ432,2)</f>
      </c>
      <c r="AU432" s="33">
        <f>ROUND(AA432-AK432,2)</f>
      </c>
      <c r="AV432" s="33">
        <f>ROUND(AB432-AL432,2)</f>
      </c>
      <c r="AW432" s="33">
        <f>ROUND(AC432-AM432,2)</f>
      </c>
      <c r="AX432" s="33">
        <f>ROUND(AD432-AN432,2)</f>
      </c>
      <c r="AY432" s="33">
        <f>ROUND(AE432-AO432,2)</f>
      </c>
      <c r="AZ432" s="33">
        <f>ROUND(MAX(0,'Your debts'!$D$22-SUM($L432:$U432)),2)</f>
      </c>
      <c r="BA432" s="33">
        <f>ROUND(SUM($B432:$K432)-SUM($AP431:$AY431),2)</f>
      </c>
      <c r="BB432" s="33">
        <f>SUM($AP432:$AY432)</f>
      </c>
      <c r="BC432" s="33">
        <f>ROUND(SUM($L432:$U432)+SUM($AF432:$AO432),2)</f>
      </c>
    </row>
    <row r="433" spans="1:55" x14ac:dyDescent="0.25">
      <c r="A433">
        <v>426</v>
      </c>
      <c r="B433" s="33">
        <f>IF(AP432&lt;=0,0,ROUND(AP432+ROUND(AP432*V$3/12,2),2))</f>
      </c>
      <c r="C433" s="33">
        <f>IF(AQ432&lt;=0,0,ROUND(AQ432+ROUND(AQ432*W$3/12,2),2))</f>
      </c>
      <c r="D433" s="33">
        <f>IF(AR432&lt;=0,0,ROUND(AR432+ROUND(AR432*X$3/12,2),2))</f>
      </c>
      <c r="E433" s="33">
        <f>IF(AS432&lt;=0,0,ROUND(AS432+ROUND(AS432*Y$3/12,2),2))</f>
      </c>
      <c r="F433" s="33">
        <f>IF(AT432&lt;=0,0,ROUND(AT432+ROUND(AT432*Z$3/12,2),2))</f>
      </c>
      <c r="G433" s="33">
        <f>IF(AU432&lt;=0,0,ROUND(AU432+ROUND(AU432*AA$3/12,2),2))</f>
      </c>
      <c r="H433" s="33">
        <f>IF(AV432&lt;=0,0,ROUND(AV432+ROUND(AV432*AB$3/12,2),2))</f>
      </c>
      <c r="I433" s="33">
        <f>IF(AW432&lt;=0,0,ROUND(AW432+ROUND(AW432*AC$3/12,2),2))</f>
      </c>
      <c r="J433" s="33">
        <f>IF(AX432&lt;=0,0,ROUND(AX432+ROUND(AX432*AD$3/12,2),2))</f>
      </c>
      <c r="K433" s="33">
        <f>IF(AY432&lt;=0,0,ROUND(AY432+ROUND(AY432*AE$3/12,2),2))</f>
      </c>
      <c r="L433" s="33">
        <f>ROUND(MIN(MAX(0,N('Your debts'!$E$6)),B433),2)</f>
      </c>
      <c r="M433" s="33">
        <f>ROUND(MIN(MAX(0,N('Your debts'!$E$7)),C433),2)</f>
      </c>
      <c r="N433" s="33">
        <f>ROUND(MIN(MAX(0,N('Your debts'!$E$8)),D433),2)</f>
      </c>
      <c r="O433" s="33">
        <f>ROUND(MIN(MAX(0,N('Your debts'!$E$9)),E433),2)</f>
      </c>
      <c r="P433" s="33">
        <f>ROUND(MIN(MAX(0,N('Your debts'!$E$10)),F433),2)</f>
      </c>
      <c r="Q433" s="33">
        <f>ROUND(MIN(MAX(0,N('Your debts'!$E$11)),G433),2)</f>
      </c>
      <c r="R433" s="33">
        <f>ROUND(MIN(MAX(0,N('Your debts'!$E$12)),H433),2)</f>
      </c>
      <c r="S433" s="33">
        <f>ROUND(MIN(MAX(0,N('Your debts'!$E$13)),I433),2)</f>
      </c>
      <c r="T433" s="33">
        <f>ROUND(MIN(MAX(0,N('Your debts'!$E$14)),J433),2)</f>
      </c>
      <c r="U433" s="33">
        <f>ROUND(MIN(MAX(0,N('Your debts'!$E$15)),K433),2)</f>
      </c>
      <c r="V433" s="33">
        <f>ROUND(B433-L433,2)</f>
      </c>
      <c r="W433" s="33">
        <f>ROUND(C433-M433,2)</f>
      </c>
      <c r="X433" s="33">
        <f>ROUND(D433-N433,2)</f>
      </c>
      <c r="Y433" s="33">
        <f>ROUND(E433-O433,2)</f>
      </c>
      <c r="Z433" s="33">
        <f>ROUND(F433-P433,2)</f>
      </c>
      <c r="AA433" s="33">
        <f>ROUND(G433-Q433,2)</f>
      </c>
      <c r="AB433" s="33">
        <f>ROUND(H433-R433,2)</f>
      </c>
      <c r="AC433" s="33">
        <f>ROUND(I433-S433,2)</f>
      </c>
      <c r="AD433" s="33">
        <f>ROUND(J433-T433,2)</f>
      </c>
      <c r="AE433" s="33">
        <f>ROUND(K433-U433,2)</f>
      </c>
      <c r="AF433" s="33">
        <f>IF(V433&lt;=0,0,MAX(0,MIN(V433,ROUND($AZ433-SUMPRODUCT($V433:$AE433*($V433:$AE433&gt;0)*(($V$3:$AE$3&gt;V$3)+($V$3:$AE$3=V$3)*($V433:$AE433&lt;V433)+($V$3:$AE$3=V$3)*($V433:$AE433=V433)*($V$2:$AE$2&lt;V$2))),2))))</f>
      </c>
      <c r="AG433" s="33">
        <f>IF(W433&lt;=0,0,MAX(0,MIN(W433,ROUND($AZ433-SUMPRODUCT($V433:$AE433*($V433:$AE433&gt;0)*(($V$3:$AE$3&gt;W$3)+($V$3:$AE$3=W$3)*($V433:$AE433&lt;W433)+($V$3:$AE$3=W$3)*($V433:$AE433=W433)*($V$2:$AE$2&lt;W$2))),2))))</f>
      </c>
      <c r="AH433" s="33">
        <f>IF(X433&lt;=0,0,MAX(0,MIN(X433,ROUND($AZ433-SUMPRODUCT($V433:$AE433*($V433:$AE433&gt;0)*(($V$3:$AE$3&gt;X$3)+($V$3:$AE$3=X$3)*($V433:$AE433&lt;X433)+($V$3:$AE$3=X$3)*($V433:$AE433=X433)*($V$2:$AE$2&lt;X$2))),2))))</f>
      </c>
      <c r="AI433" s="33">
        <f>IF(Y433&lt;=0,0,MAX(0,MIN(Y433,ROUND($AZ433-SUMPRODUCT($V433:$AE433*($V433:$AE433&gt;0)*(($V$3:$AE$3&gt;Y$3)+($V$3:$AE$3=Y$3)*($V433:$AE433&lt;Y433)+($V$3:$AE$3=Y$3)*($V433:$AE433=Y433)*($V$2:$AE$2&lt;Y$2))),2))))</f>
      </c>
      <c r="AJ433" s="33">
        <f>IF(Z433&lt;=0,0,MAX(0,MIN(Z433,ROUND($AZ433-SUMPRODUCT($V433:$AE433*($V433:$AE433&gt;0)*(($V$3:$AE$3&gt;Z$3)+($V$3:$AE$3=Z$3)*($V433:$AE433&lt;Z433)+($V$3:$AE$3=Z$3)*($V433:$AE433=Z433)*($V$2:$AE$2&lt;Z$2))),2))))</f>
      </c>
      <c r="AK433" s="33">
        <f>IF(AA433&lt;=0,0,MAX(0,MIN(AA433,ROUND($AZ433-SUMPRODUCT($V433:$AE433*($V433:$AE433&gt;0)*(($V$3:$AE$3&gt;AA$3)+($V$3:$AE$3=AA$3)*($V433:$AE433&lt;AA433)+($V$3:$AE$3=AA$3)*($V433:$AE433=AA433)*($V$2:$AE$2&lt;AA$2))),2))))</f>
      </c>
      <c r="AL433" s="33">
        <f>IF(AB433&lt;=0,0,MAX(0,MIN(AB433,ROUND($AZ433-SUMPRODUCT($V433:$AE433*($V433:$AE433&gt;0)*(($V$3:$AE$3&gt;AB$3)+($V$3:$AE$3=AB$3)*($V433:$AE433&lt;AB433)+($V$3:$AE$3=AB$3)*($V433:$AE433=AB433)*($V$2:$AE$2&lt;AB$2))),2))))</f>
      </c>
      <c r="AM433" s="33">
        <f>IF(AC433&lt;=0,0,MAX(0,MIN(AC433,ROUND($AZ433-SUMPRODUCT($V433:$AE433*($V433:$AE433&gt;0)*(($V$3:$AE$3&gt;AC$3)+($V$3:$AE$3=AC$3)*($V433:$AE433&lt;AC433)+($V$3:$AE$3=AC$3)*($V433:$AE433=AC433)*($V$2:$AE$2&lt;AC$2))),2))))</f>
      </c>
      <c r="AN433" s="33">
        <f>IF(AD433&lt;=0,0,MAX(0,MIN(AD433,ROUND($AZ433-SUMPRODUCT($V433:$AE433*($V433:$AE433&gt;0)*(($V$3:$AE$3&gt;AD$3)+($V$3:$AE$3=AD$3)*($V433:$AE433&lt;AD433)+($V$3:$AE$3=AD$3)*($V433:$AE433=AD433)*($V$2:$AE$2&lt;AD$2))),2))))</f>
      </c>
      <c r="AO433" s="33">
        <f>IF(AE433&lt;=0,0,MAX(0,MIN(AE433,ROUND($AZ433-SUMPRODUCT($V433:$AE433*($V433:$AE433&gt;0)*(($V$3:$AE$3&gt;AE$3)+($V$3:$AE$3=AE$3)*($V433:$AE433&lt;AE433)+($V$3:$AE$3=AE$3)*($V433:$AE433=AE433)*($V$2:$AE$2&lt;AE$2))),2))))</f>
      </c>
      <c r="AP433" s="33">
        <f>ROUND(V433-AF433,2)</f>
      </c>
      <c r="AQ433" s="33">
        <f>ROUND(W433-AG433,2)</f>
      </c>
      <c r="AR433" s="33">
        <f>ROUND(X433-AH433,2)</f>
      </c>
      <c r="AS433" s="33">
        <f>ROUND(Y433-AI433,2)</f>
      </c>
      <c r="AT433" s="33">
        <f>ROUND(Z433-AJ433,2)</f>
      </c>
      <c r="AU433" s="33">
        <f>ROUND(AA433-AK433,2)</f>
      </c>
      <c r="AV433" s="33">
        <f>ROUND(AB433-AL433,2)</f>
      </c>
      <c r="AW433" s="33">
        <f>ROUND(AC433-AM433,2)</f>
      </c>
      <c r="AX433" s="33">
        <f>ROUND(AD433-AN433,2)</f>
      </c>
      <c r="AY433" s="33">
        <f>ROUND(AE433-AO433,2)</f>
      </c>
      <c r="AZ433" s="33">
        <f>ROUND(MAX(0,'Your debts'!$D$22-SUM($L433:$U433)),2)</f>
      </c>
      <c r="BA433" s="33">
        <f>ROUND(SUM($B433:$K433)-SUM($AP432:$AY432),2)</f>
      </c>
      <c r="BB433" s="33">
        <f>SUM($AP433:$AY433)</f>
      </c>
      <c r="BC433" s="33">
        <f>ROUND(SUM($L433:$U433)+SUM($AF433:$AO433),2)</f>
      </c>
    </row>
    <row r="434" spans="1:55" x14ac:dyDescent="0.25">
      <c r="A434">
        <v>427</v>
      </c>
      <c r="B434" s="33">
        <f>IF(AP433&lt;=0,0,ROUND(AP433+ROUND(AP433*V$3/12,2),2))</f>
      </c>
      <c r="C434" s="33">
        <f>IF(AQ433&lt;=0,0,ROUND(AQ433+ROUND(AQ433*W$3/12,2),2))</f>
      </c>
      <c r="D434" s="33">
        <f>IF(AR433&lt;=0,0,ROUND(AR433+ROUND(AR433*X$3/12,2),2))</f>
      </c>
      <c r="E434" s="33">
        <f>IF(AS433&lt;=0,0,ROUND(AS433+ROUND(AS433*Y$3/12,2),2))</f>
      </c>
      <c r="F434" s="33">
        <f>IF(AT433&lt;=0,0,ROUND(AT433+ROUND(AT433*Z$3/12,2),2))</f>
      </c>
      <c r="G434" s="33">
        <f>IF(AU433&lt;=0,0,ROUND(AU433+ROUND(AU433*AA$3/12,2),2))</f>
      </c>
      <c r="H434" s="33">
        <f>IF(AV433&lt;=0,0,ROUND(AV433+ROUND(AV433*AB$3/12,2),2))</f>
      </c>
      <c r="I434" s="33">
        <f>IF(AW433&lt;=0,0,ROUND(AW433+ROUND(AW433*AC$3/12,2),2))</f>
      </c>
      <c r="J434" s="33">
        <f>IF(AX433&lt;=0,0,ROUND(AX433+ROUND(AX433*AD$3/12,2),2))</f>
      </c>
      <c r="K434" s="33">
        <f>IF(AY433&lt;=0,0,ROUND(AY433+ROUND(AY433*AE$3/12,2),2))</f>
      </c>
      <c r="L434" s="33">
        <f>ROUND(MIN(MAX(0,N('Your debts'!$E$6)),B434),2)</f>
      </c>
      <c r="M434" s="33">
        <f>ROUND(MIN(MAX(0,N('Your debts'!$E$7)),C434),2)</f>
      </c>
      <c r="N434" s="33">
        <f>ROUND(MIN(MAX(0,N('Your debts'!$E$8)),D434),2)</f>
      </c>
      <c r="O434" s="33">
        <f>ROUND(MIN(MAX(0,N('Your debts'!$E$9)),E434),2)</f>
      </c>
      <c r="P434" s="33">
        <f>ROUND(MIN(MAX(0,N('Your debts'!$E$10)),F434),2)</f>
      </c>
      <c r="Q434" s="33">
        <f>ROUND(MIN(MAX(0,N('Your debts'!$E$11)),G434),2)</f>
      </c>
      <c r="R434" s="33">
        <f>ROUND(MIN(MAX(0,N('Your debts'!$E$12)),H434),2)</f>
      </c>
      <c r="S434" s="33">
        <f>ROUND(MIN(MAX(0,N('Your debts'!$E$13)),I434),2)</f>
      </c>
      <c r="T434" s="33">
        <f>ROUND(MIN(MAX(0,N('Your debts'!$E$14)),J434),2)</f>
      </c>
      <c r="U434" s="33">
        <f>ROUND(MIN(MAX(0,N('Your debts'!$E$15)),K434),2)</f>
      </c>
      <c r="V434" s="33">
        <f>ROUND(B434-L434,2)</f>
      </c>
      <c r="W434" s="33">
        <f>ROUND(C434-M434,2)</f>
      </c>
      <c r="X434" s="33">
        <f>ROUND(D434-N434,2)</f>
      </c>
      <c r="Y434" s="33">
        <f>ROUND(E434-O434,2)</f>
      </c>
      <c r="Z434" s="33">
        <f>ROUND(F434-P434,2)</f>
      </c>
      <c r="AA434" s="33">
        <f>ROUND(G434-Q434,2)</f>
      </c>
      <c r="AB434" s="33">
        <f>ROUND(H434-R434,2)</f>
      </c>
      <c r="AC434" s="33">
        <f>ROUND(I434-S434,2)</f>
      </c>
      <c r="AD434" s="33">
        <f>ROUND(J434-T434,2)</f>
      </c>
      <c r="AE434" s="33">
        <f>ROUND(K434-U434,2)</f>
      </c>
      <c r="AF434" s="33">
        <f>IF(V434&lt;=0,0,MAX(0,MIN(V434,ROUND($AZ434-SUMPRODUCT($V434:$AE434*($V434:$AE434&gt;0)*(($V$3:$AE$3&gt;V$3)+($V$3:$AE$3=V$3)*($V434:$AE434&lt;V434)+($V$3:$AE$3=V$3)*($V434:$AE434=V434)*($V$2:$AE$2&lt;V$2))),2))))</f>
      </c>
      <c r="AG434" s="33">
        <f>IF(W434&lt;=0,0,MAX(0,MIN(W434,ROUND($AZ434-SUMPRODUCT($V434:$AE434*($V434:$AE434&gt;0)*(($V$3:$AE$3&gt;W$3)+($V$3:$AE$3=W$3)*($V434:$AE434&lt;W434)+($V$3:$AE$3=W$3)*($V434:$AE434=W434)*($V$2:$AE$2&lt;W$2))),2))))</f>
      </c>
      <c r="AH434" s="33">
        <f>IF(X434&lt;=0,0,MAX(0,MIN(X434,ROUND($AZ434-SUMPRODUCT($V434:$AE434*($V434:$AE434&gt;0)*(($V$3:$AE$3&gt;X$3)+($V$3:$AE$3=X$3)*($V434:$AE434&lt;X434)+($V$3:$AE$3=X$3)*($V434:$AE434=X434)*($V$2:$AE$2&lt;X$2))),2))))</f>
      </c>
      <c r="AI434" s="33">
        <f>IF(Y434&lt;=0,0,MAX(0,MIN(Y434,ROUND($AZ434-SUMPRODUCT($V434:$AE434*($V434:$AE434&gt;0)*(($V$3:$AE$3&gt;Y$3)+($V$3:$AE$3=Y$3)*($V434:$AE434&lt;Y434)+($V$3:$AE$3=Y$3)*($V434:$AE434=Y434)*($V$2:$AE$2&lt;Y$2))),2))))</f>
      </c>
      <c r="AJ434" s="33">
        <f>IF(Z434&lt;=0,0,MAX(0,MIN(Z434,ROUND($AZ434-SUMPRODUCT($V434:$AE434*($V434:$AE434&gt;0)*(($V$3:$AE$3&gt;Z$3)+($V$3:$AE$3=Z$3)*($V434:$AE434&lt;Z434)+($V$3:$AE$3=Z$3)*($V434:$AE434=Z434)*($V$2:$AE$2&lt;Z$2))),2))))</f>
      </c>
      <c r="AK434" s="33">
        <f>IF(AA434&lt;=0,0,MAX(0,MIN(AA434,ROUND($AZ434-SUMPRODUCT($V434:$AE434*($V434:$AE434&gt;0)*(($V$3:$AE$3&gt;AA$3)+($V$3:$AE$3=AA$3)*($V434:$AE434&lt;AA434)+($V$3:$AE$3=AA$3)*($V434:$AE434=AA434)*($V$2:$AE$2&lt;AA$2))),2))))</f>
      </c>
      <c r="AL434" s="33">
        <f>IF(AB434&lt;=0,0,MAX(0,MIN(AB434,ROUND($AZ434-SUMPRODUCT($V434:$AE434*($V434:$AE434&gt;0)*(($V$3:$AE$3&gt;AB$3)+($V$3:$AE$3=AB$3)*($V434:$AE434&lt;AB434)+($V$3:$AE$3=AB$3)*($V434:$AE434=AB434)*($V$2:$AE$2&lt;AB$2))),2))))</f>
      </c>
      <c r="AM434" s="33">
        <f>IF(AC434&lt;=0,0,MAX(0,MIN(AC434,ROUND($AZ434-SUMPRODUCT($V434:$AE434*($V434:$AE434&gt;0)*(($V$3:$AE$3&gt;AC$3)+($V$3:$AE$3=AC$3)*($V434:$AE434&lt;AC434)+($V$3:$AE$3=AC$3)*($V434:$AE434=AC434)*($V$2:$AE$2&lt;AC$2))),2))))</f>
      </c>
      <c r="AN434" s="33">
        <f>IF(AD434&lt;=0,0,MAX(0,MIN(AD434,ROUND($AZ434-SUMPRODUCT($V434:$AE434*($V434:$AE434&gt;0)*(($V$3:$AE$3&gt;AD$3)+($V$3:$AE$3=AD$3)*($V434:$AE434&lt;AD434)+($V$3:$AE$3=AD$3)*($V434:$AE434=AD434)*($V$2:$AE$2&lt;AD$2))),2))))</f>
      </c>
      <c r="AO434" s="33">
        <f>IF(AE434&lt;=0,0,MAX(0,MIN(AE434,ROUND($AZ434-SUMPRODUCT($V434:$AE434*($V434:$AE434&gt;0)*(($V$3:$AE$3&gt;AE$3)+($V$3:$AE$3=AE$3)*($V434:$AE434&lt;AE434)+($V$3:$AE$3=AE$3)*($V434:$AE434=AE434)*($V$2:$AE$2&lt;AE$2))),2))))</f>
      </c>
      <c r="AP434" s="33">
        <f>ROUND(V434-AF434,2)</f>
      </c>
      <c r="AQ434" s="33">
        <f>ROUND(W434-AG434,2)</f>
      </c>
      <c r="AR434" s="33">
        <f>ROUND(X434-AH434,2)</f>
      </c>
      <c r="AS434" s="33">
        <f>ROUND(Y434-AI434,2)</f>
      </c>
      <c r="AT434" s="33">
        <f>ROUND(Z434-AJ434,2)</f>
      </c>
      <c r="AU434" s="33">
        <f>ROUND(AA434-AK434,2)</f>
      </c>
      <c r="AV434" s="33">
        <f>ROUND(AB434-AL434,2)</f>
      </c>
      <c r="AW434" s="33">
        <f>ROUND(AC434-AM434,2)</f>
      </c>
      <c r="AX434" s="33">
        <f>ROUND(AD434-AN434,2)</f>
      </c>
      <c r="AY434" s="33">
        <f>ROUND(AE434-AO434,2)</f>
      </c>
      <c r="AZ434" s="33">
        <f>ROUND(MAX(0,'Your debts'!$D$22-SUM($L434:$U434)),2)</f>
      </c>
      <c r="BA434" s="33">
        <f>ROUND(SUM($B434:$K434)-SUM($AP433:$AY433),2)</f>
      </c>
      <c r="BB434" s="33">
        <f>SUM($AP434:$AY434)</f>
      </c>
      <c r="BC434" s="33">
        <f>ROUND(SUM($L434:$U434)+SUM($AF434:$AO434),2)</f>
      </c>
    </row>
    <row r="435" spans="1:55" x14ac:dyDescent="0.25">
      <c r="A435">
        <v>428</v>
      </c>
      <c r="B435" s="33">
        <f>IF(AP434&lt;=0,0,ROUND(AP434+ROUND(AP434*V$3/12,2),2))</f>
      </c>
      <c r="C435" s="33">
        <f>IF(AQ434&lt;=0,0,ROUND(AQ434+ROUND(AQ434*W$3/12,2),2))</f>
      </c>
      <c r="D435" s="33">
        <f>IF(AR434&lt;=0,0,ROUND(AR434+ROUND(AR434*X$3/12,2),2))</f>
      </c>
      <c r="E435" s="33">
        <f>IF(AS434&lt;=0,0,ROUND(AS434+ROUND(AS434*Y$3/12,2),2))</f>
      </c>
      <c r="F435" s="33">
        <f>IF(AT434&lt;=0,0,ROUND(AT434+ROUND(AT434*Z$3/12,2),2))</f>
      </c>
      <c r="G435" s="33">
        <f>IF(AU434&lt;=0,0,ROUND(AU434+ROUND(AU434*AA$3/12,2),2))</f>
      </c>
      <c r="H435" s="33">
        <f>IF(AV434&lt;=0,0,ROUND(AV434+ROUND(AV434*AB$3/12,2),2))</f>
      </c>
      <c r="I435" s="33">
        <f>IF(AW434&lt;=0,0,ROUND(AW434+ROUND(AW434*AC$3/12,2),2))</f>
      </c>
      <c r="J435" s="33">
        <f>IF(AX434&lt;=0,0,ROUND(AX434+ROUND(AX434*AD$3/12,2),2))</f>
      </c>
      <c r="K435" s="33">
        <f>IF(AY434&lt;=0,0,ROUND(AY434+ROUND(AY434*AE$3/12,2),2))</f>
      </c>
      <c r="L435" s="33">
        <f>ROUND(MIN(MAX(0,N('Your debts'!$E$6)),B435),2)</f>
      </c>
      <c r="M435" s="33">
        <f>ROUND(MIN(MAX(0,N('Your debts'!$E$7)),C435),2)</f>
      </c>
      <c r="N435" s="33">
        <f>ROUND(MIN(MAX(0,N('Your debts'!$E$8)),D435),2)</f>
      </c>
      <c r="O435" s="33">
        <f>ROUND(MIN(MAX(0,N('Your debts'!$E$9)),E435),2)</f>
      </c>
      <c r="P435" s="33">
        <f>ROUND(MIN(MAX(0,N('Your debts'!$E$10)),F435),2)</f>
      </c>
      <c r="Q435" s="33">
        <f>ROUND(MIN(MAX(0,N('Your debts'!$E$11)),G435),2)</f>
      </c>
      <c r="R435" s="33">
        <f>ROUND(MIN(MAX(0,N('Your debts'!$E$12)),H435),2)</f>
      </c>
      <c r="S435" s="33">
        <f>ROUND(MIN(MAX(0,N('Your debts'!$E$13)),I435),2)</f>
      </c>
      <c r="T435" s="33">
        <f>ROUND(MIN(MAX(0,N('Your debts'!$E$14)),J435),2)</f>
      </c>
      <c r="U435" s="33">
        <f>ROUND(MIN(MAX(0,N('Your debts'!$E$15)),K435),2)</f>
      </c>
      <c r="V435" s="33">
        <f>ROUND(B435-L435,2)</f>
      </c>
      <c r="W435" s="33">
        <f>ROUND(C435-M435,2)</f>
      </c>
      <c r="X435" s="33">
        <f>ROUND(D435-N435,2)</f>
      </c>
      <c r="Y435" s="33">
        <f>ROUND(E435-O435,2)</f>
      </c>
      <c r="Z435" s="33">
        <f>ROUND(F435-P435,2)</f>
      </c>
      <c r="AA435" s="33">
        <f>ROUND(G435-Q435,2)</f>
      </c>
      <c r="AB435" s="33">
        <f>ROUND(H435-R435,2)</f>
      </c>
      <c r="AC435" s="33">
        <f>ROUND(I435-S435,2)</f>
      </c>
      <c r="AD435" s="33">
        <f>ROUND(J435-T435,2)</f>
      </c>
      <c r="AE435" s="33">
        <f>ROUND(K435-U435,2)</f>
      </c>
      <c r="AF435" s="33">
        <f>IF(V435&lt;=0,0,MAX(0,MIN(V435,ROUND($AZ435-SUMPRODUCT($V435:$AE435*($V435:$AE435&gt;0)*(($V$3:$AE$3&gt;V$3)+($V$3:$AE$3=V$3)*($V435:$AE435&lt;V435)+($V$3:$AE$3=V$3)*($V435:$AE435=V435)*($V$2:$AE$2&lt;V$2))),2))))</f>
      </c>
      <c r="AG435" s="33">
        <f>IF(W435&lt;=0,0,MAX(0,MIN(W435,ROUND($AZ435-SUMPRODUCT($V435:$AE435*($V435:$AE435&gt;0)*(($V$3:$AE$3&gt;W$3)+($V$3:$AE$3=W$3)*($V435:$AE435&lt;W435)+($V$3:$AE$3=W$3)*($V435:$AE435=W435)*($V$2:$AE$2&lt;W$2))),2))))</f>
      </c>
      <c r="AH435" s="33">
        <f>IF(X435&lt;=0,0,MAX(0,MIN(X435,ROUND($AZ435-SUMPRODUCT($V435:$AE435*($V435:$AE435&gt;0)*(($V$3:$AE$3&gt;X$3)+($V$3:$AE$3=X$3)*($V435:$AE435&lt;X435)+($V$3:$AE$3=X$3)*($V435:$AE435=X435)*($V$2:$AE$2&lt;X$2))),2))))</f>
      </c>
      <c r="AI435" s="33">
        <f>IF(Y435&lt;=0,0,MAX(0,MIN(Y435,ROUND($AZ435-SUMPRODUCT($V435:$AE435*($V435:$AE435&gt;0)*(($V$3:$AE$3&gt;Y$3)+($V$3:$AE$3=Y$3)*($V435:$AE435&lt;Y435)+($V$3:$AE$3=Y$3)*($V435:$AE435=Y435)*($V$2:$AE$2&lt;Y$2))),2))))</f>
      </c>
      <c r="AJ435" s="33">
        <f>IF(Z435&lt;=0,0,MAX(0,MIN(Z435,ROUND($AZ435-SUMPRODUCT($V435:$AE435*($V435:$AE435&gt;0)*(($V$3:$AE$3&gt;Z$3)+($V$3:$AE$3=Z$3)*($V435:$AE435&lt;Z435)+($V$3:$AE$3=Z$3)*($V435:$AE435=Z435)*($V$2:$AE$2&lt;Z$2))),2))))</f>
      </c>
      <c r="AK435" s="33">
        <f>IF(AA435&lt;=0,0,MAX(0,MIN(AA435,ROUND($AZ435-SUMPRODUCT($V435:$AE435*($V435:$AE435&gt;0)*(($V$3:$AE$3&gt;AA$3)+($V$3:$AE$3=AA$3)*($V435:$AE435&lt;AA435)+($V$3:$AE$3=AA$3)*($V435:$AE435=AA435)*($V$2:$AE$2&lt;AA$2))),2))))</f>
      </c>
      <c r="AL435" s="33">
        <f>IF(AB435&lt;=0,0,MAX(0,MIN(AB435,ROUND($AZ435-SUMPRODUCT($V435:$AE435*($V435:$AE435&gt;0)*(($V$3:$AE$3&gt;AB$3)+($V$3:$AE$3=AB$3)*($V435:$AE435&lt;AB435)+($V$3:$AE$3=AB$3)*($V435:$AE435=AB435)*($V$2:$AE$2&lt;AB$2))),2))))</f>
      </c>
      <c r="AM435" s="33">
        <f>IF(AC435&lt;=0,0,MAX(0,MIN(AC435,ROUND($AZ435-SUMPRODUCT($V435:$AE435*($V435:$AE435&gt;0)*(($V$3:$AE$3&gt;AC$3)+($V$3:$AE$3=AC$3)*($V435:$AE435&lt;AC435)+($V$3:$AE$3=AC$3)*($V435:$AE435=AC435)*($V$2:$AE$2&lt;AC$2))),2))))</f>
      </c>
      <c r="AN435" s="33">
        <f>IF(AD435&lt;=0,0,MAX(0,MIN(AD435,ROUND($AZ435-SUMPRODUCT($V435:$AE435*($V435:$AE435&gt;0)*(($V$3:$AE$3&gt;AD$3)+($V$3:$AE$3=AD$3)*($V435:$AE435&lt;AD435)+($V$3:$AE$3=AD$3)*($V435:$AE435=AD435)*($V$2:$AE$2&lt;AD$2))),2))))</f>
      </c>
      <c r="AO435" s="33">
        <f>IF(AE435&lt;=0,0,MAX(0,MIN(AE435,ROUND($AZ435-SUMPRODUCT($V435:$AE435*($V435:$AE435&gt;0)*(($V$3:$AE$3&gt;AE$3)+($V$3:$AE$3=AE$3)*($V435:$AE435&lt;AE435)+($V$3:$AE$3=AE$3)*($V435:$AE435=AE435)*($V$2:$AE$2&lt;AE$2))),2))))</f>
      </c>
      <c r="AP435" s="33">
        <f>ROUND(V435-AF435,2)</f>
      </c>
      <c r="AQ435" s="33">
        <f>ROUND(W435-AG435,2)</f>
      </c>
      <c r="AR435" s="33">
        <f>ROUND(X435-AH435,2)</f>
      </c>
      <c r="AS435" s="33">
        <f>ROUND(Y435-AI435,2)</f>
      </c>
      <c r="AT435" s="33">
        <f>ROUND(Z435-AJ435,2)</f>
      </c>
      <c r="AU435" s="33">
        <f>ROUND(AA435-AK435,2)</f>
      </c>
      <c r="AV435" s="33">
        <f>ROUND(AB435-AL435,2)</f>
      </c>
      <c r="AW435" s="33">
        <f>ROUND(AC435-AM435,2)</f>
      </c>
      <c r="AX435" s="33">
        <f>ROUND(AD435-AN435,2)</f>
      </c>
      <c r="AY435" s="33">
        <f>ROUND(AE435-AO435,2)</f>
      </c>
      <c r="AZ435" s="33">
        <f>ROUND(MAX(0,'Your debts'!$D$22-SUM($L435:$U435)),2)</f>
      </c>
      <c r="BA435" s="33">
        <f>ROUND(SUM($B435:$K435)-SUM($AP434:$AY434),2)</f>
      </c>
      <c r="BB435" s="33">
        <f>SUM($AP435:$AY435)</f>
      </c>
      <c r="BC435" s="33">
        <f>ROUND(SUM($L435:$U435)+SUM($AF435:$AO435),2)</f>
      </c>
    </row>
    <row r="436" spans="1:55" x14ac:dyDescent="0.25">
      <c r="A436">
        <v>429</v>
      </c>
      <c r="B436" s="33">
        <f>IF(AP435&lt;=0,0,ROUND(AP435+ROUND(AP435*V$3/12,2),2))</f>
      </c>
      <c r="C436" s="33">
        <f>IF(AQ435&lt;=0,0,ROUND(AQ435+ROUND(AQ435*W$3/12,2),2))</f>
      </c>
      <c r="D436" s="33">
        <f>IF(AR435&lt;=0,0,ROUND(AR435+ROUND(AR435*X$3/12,2),2))</f>
      </c>
      <c r="E436" s="33">
        <f>IF(AS435&lt;=0,0,ROUND(AS435+ROUND(AS435*Y$3/12,2),2))</f>
      </c>
      <c r="F436" s="33">
        <f>IF(AT435&lt;=0,0,ROUND(AT435+ROUND(AT435*Z$3/12,2),2))</f>
      </c>
      <c r="G436" s="33">
        <f>IF(AU435&lt;=0,0,ROUND(AU435+ROUND(AU435*AA$3/12,2),2))</f>
      </c>
      <c r="H436" s="33">
        <f>IF(AV435&lt;=0,0,ROUND(AV435+ROUND(AV435*AB$3/12,2),2))</f>
      </c>
      <c r="I436" s="33">
        <f>IF(AW435&lt;=0,0,ROUND(AW435+ROUND(AW435*AC$3/12,2),2))</f>
      </c>
      <c r="J436" s="33">
        <f>IF(AX435&lt;=0,0,ROUND(AX435+ROUND(AX435*AD$3/12,2),2))</f>
      </c>
      <c r="K436" s="33">
        <f>IF(AY435&lt;=0,0,ROUND(AY435+ROUND(AY435*AE$3/12,2),2))</f>
      </c>
      <c r="L436" s="33">
        <f>ROUND(MIN(MAX(0,N('Your debts'!$E$6)),B436),2)</f>
      </c>
      <c r="M436" s="33">
        <f>ROUND(MIN(MAX(0,N('Your debts'!$E$7)),C436),2)</f>
      </c>
      <c r="N436" s="33">
        <f>ROUND(MIN(MAX(0,N('Your debts'!$E$8)),D436),2)</f>
      </c>
      <c r="O436" s="33">
        <f>ROUND(MIN(MAX(0,N('Your debts'!$E$9)),E436),2)</f>
      </c>
      <c r="P436" s="33">
        <f>ROUND(MIN(MAX(0,N('Your debts'!$E$10)),F436),2)</f>
      </c>
      <c r="Q436" s="33">
        <f>ROUND(MIN(MAX(0,N('Your debts'!$E$11)),G436),2)</f>
      </c>
      <c r="R436" s="33">
        <f>ROUND(MIN(MAX(0,N('Your debts'!$E$12)),H436),2)</f>
      </c>
      <c r="S436" s="33">
        <f>ROUND(MIN(MAX(0,N('Your debts'!$E$13)),I436),2)</f>
      </c>
      <c r="T436" s="33">
        <f>ROUND(MIN(MAX(0,N('Your debts'!$E$14)),J436),2)</f>
      </c>
      <c r="U436" s="33">
        <f>ROUND(MIN(MAX(0,N('Your debts'!$E$15)),K436),2)</f>
      </c>
      <c r="V436" s="33">
        <f>ROUND(B436-L436,2)</f>
      </c>
      <c r="W436" s="33">
        <f>ROUND(C436-M436,2)</f>
      </c>
      <c r="X436" s="33">
        <f>ROUND(D436-N436,2)</f>
      </c>
      <c r="Y436" s="33">
        <f>ROUND(E436-O436,2)</f>
      </c>
      <c r="Z436" s="33">
        <f>ROUND(F436-P436,2)</f>
      </c>
      <c r="AA436" s="33">
        <f>ROUND(G436-Q436,2)</f>
      </c>
      <c r="AB436" s="33">
        <f>ROUND(H436-R436,2)</f>
      </c>
      <c r="AC436" s="33">
        <f>ROUND(I436-S436,2)</f>
      </c>
      <c r="AD436" s="33">
        <f>ROUND(J436-T436,2)</f>
      </c>
      <c r="AE436" s="33">
        <f>ROUND(K436-U436,2)</f>
      </c>
      <c r="AF436" s="33">
        <f>IF(V436&lt;=0,0,MAX(0,MIN(V436,ROUND($AZ436-SUMPRODUCT($V436:$AE436*($V436:$AE436&gt;0)*(($V$3:$AE$3&gt;V$3)+($V$3:$AE$3=V$3)*($V436:$AE436&lt;V436)+($V$3:$AE$3=V$3)*($V436:$AE436=V436)*($V$2:$AE$2&lt;V$2))),2))))</f>
      </c>
      <c r="AG436" s="33">
        <f>IF(W436&lt;=0,0,MAX(0,MIN(W436,ROUND($AZ436-SUMPRODUCT($V436:$AE436*($V436:$AE436&gt;0)*(($V$3:$AE$3&gt;W$3)+($V$3:$AE$3=W$3)*($V436:$AE436&lt;W436)+($V$3:$AE$3=W$3)*($V436:$AE436=W436)*($V$2:$AE$2&lt;W$2))),2))))</f>
      </c>
      <c r="AH436" s="33">
        <f>IF(X436&lt;=0,0,MAX(0,MIN(X436,ROUND($AZ436-SUMPRODUCT($V436:$AE436*($V436:$AE436&gt;0)*(($V$3:$AE$3&gt;X$3)+($V$3:$AE$3=X$3)*($V436:$AE436&lt;X436)+($V$3:$AE$3=X$3)*($V436:$AE436=X436)*($V$2:$AE$2&lt;X$2))),2))))</f>
      </c>
      <c r="AI436" s="33">
        <f>IF(Y436&lt;=0,0,MAX(0,MIN(Y436,ROUND($AZ436-SUMPRODUCT($V436:$AE436*($V436:$AE436&gt;0)*(($V$3:$AE$3&gt;Y$3)+($V$3:$AE$3=Y$3)*($V436:$AE436&lt;Y436)+($V$3:$AE$3=Y$3)*($V436:$AE436=Y436)*($V$2:$AE$2&lt;Y$2))),2))))</f>
      </c>
      <c r="AJ436" s="33">
        <f>IF(Z436&lt;=0,0,MAX(0,MIN(Z436,ROUND($AZ436-SUMPRODUCT($V436:$AE436*($V436:$AE436&gt;0)*(($V$3:$AE$3&gt;Z$3)+($V$3:$AE$3=Z$3)*($V436:$AE436&lt;Z436)+($V$3:$AE$3=Z$3)*($V436:$AE436=Z436)*($V$2:$AE$2&lt;Z$2))),2))))</f>
      </c>
      <c r="AK436" s="33">
        <f>IF(AA436&lt;=0,0,MAX(0,MIN(AA436,ROUND($AZ436-SUMPRODUCT($V436:$AE436*($V436:$AE436&gt;0)*(($V$3:$AE$3&gt;AA$3)+($V$3:$AE$3=AA$3)*($V436:$AE436&lt;AA436)+($V$3:$AE$3=AA$3)*($V436:$AE436=AA436)*($V$2:$AE$2&lt;AA$2))),2))))</f>
      </c>
      <c r="AL436" s="33">
        <f>IF(AB436&lt;=0,0,MAX(0,MIN(AB436,ROUND($AZ436-SUMPRODUCT($V436:$AE436*($V436:$AE436&gt;0)*(($V$3:$AE$3&gt;AB$3)+($V$3:$AE$3=AB$3)*($V436:$AE436&lt;AB436)+($V$3:$AE$3=AB$3)*($V436:$AE436=AB436)*($V$2:$AE$2&lt;AB$2))),2))))</f>
      </c>
      <c r="AM436" s="33">
        <f>IF(AC436&lt;=0,0,MAX(0,MIN(AC436,ROUND($AZ436-SUMPRODUCT($V436:$AE436*($V436:$AE436&gt;0)*(($V$3:$AE$3&gt;AC$3)+($V$3:$AE$3=AC$3)*($V436:$AE436&lt;AC436)+($V$3:$AE$3=AC$3)*($V436:$AE436=AC436)*($V$2:$AE$2&lt;AC$2))),2))))</f>
      </c>
      <c r="AN436" s="33">
        <f>IF(AD436&lt;=0,0,MAX(0,MIN(AD436,ROUND($AZ436-SUMPRODUCT($V436:$AE436*($V436:$AE436&gt;0)*(($V$3:$AE$3&gt;AD$3)+($V$3:$AE$3=AD$3)*($V436:$AE436&lt;AD436)+($V$3:$AE$3=AD$3)*($V436:$AE436=AD436)*($V$2:$AE$2&lt;AD$2))),2))))</f>
      </c>
      <c r="AO436" s="33">
        <f>IF(AE436&lt;=0,0,MAX(0,MIN(AE436,ROUND($AZ436-SUMPRODUCT($V436:$AE436*($V436:$AE436&gt;0)*(($V$3:$AE$3&gt;AE$3)+($V$3:$AE$3=AE$3)*($V436:$AE436&lt;AE436)+($V$3:$AE$3=AE$3)*($V436:$AE436=AE436)*($V$2:$AE$2&lt;AE$2))),2))))</f>
      </c>
      <c r="AP436" s="33">
        <f>ROUND(V436-AF436,2)</f>
      </c>
      <c r="AQ436" s="33">
        <f>ROUND(W436-AG436,2)</f>
      </c>
      <c r="AR436" s="33">
        <f>ROUND(X436-AH436,2)</f>
      </c>
      <c r="AS436" s="33">
        <f>ROUND(Y436-AI436,2)</f>
      </c>
      <c r="AT436" s="33">
        <f>ROUND(Z436-AJ436,2)</f>
      </c>
      <c r="AU436" s="33">
        <f>ROUND(AA436-AK436,2)</f>
      </c>
      <c r="AV436" s="33">
        <f>ROUND(AB436-AL436,2)</f>
      </c>
      <c r="AW436" s="33">
        <f>ROUND(AC436-AM436,2)</f>
      </c>
      <c r="AX436" s="33">
        <f>ROUND(AD436-AN436,2)</f>
      </c>
      <c r="AY436" s="33">
        <f>ROUND(AE436-AO436,2)</f>
      </c>
      <c r="AZ436" s="33">
        <f>ROUND(MAX(0,'Your debts'!$D$22-SUM($L436:$U436)),2)</f>
      </c>
      <c r="BA436" s="33">
        <f>ROUND(SUM($B436:$K436)-SUM($AP435:$AY435),2)</f>
      </c>
      <c r="BB436" s="33">
        <f>SUM($AP436:$AY436)</f>
      </c>
      <c r="BC436" s="33">
        <f>ROUND(SUM($L436:$U436)+SUM($AF436:$AO436),2)</f>
      </c>
    </row>
    <row r="437" spans="1:55" x14ac:dyDescent="0.25">
      <c r="A437">
        <v>430</v>
      </c>
      <c r="B437" s="33">
        <f>IF(AP436&lt;=0,0,ROUND(AP436+ROUND(AP436*V$3/12,2),2))</f>
      </c>
      <c r="C437" s="33">
        <f>IF(AQ436&lt;=0,0,ROUND(AQ436+ROUND(AQ436*W$3/12,2),2))</f>
      </c>
      <c r="D437" s="33">
        <f>IF(AR436&lt;=0,0,ROUND(AR436+ROUND(AR436*X$3/12,2),2))</f>
      </c>
      <c r="E437" s="33">
        <f>IF(AS436&lt;=0,0,ROUND(AS436+ROUND(AS436*Y$3/12,2),2))</f>
      </c>
      <c r="F437" s="33">
        <f>IF(AT436&lt;=0,0,ROUND(AT436+ROUND(AT436*Z$3/12,2),2))</f>
      </c>
      <c r="G437" s="33">
        <f>IF(AU436&lt;=0,0,ROUND(AU436+ROUND(AU436*AA$3/12,2),2))</f>
      </c>
      <c r="H437" s="33">
        <f>IF(AV436&lt;=0,0,ROUND(AV436+ROUND(AV436*AB$3/12,2),2))</f>
      </c>
      <c r="I437" s="33">
        <f>IF(AW436&lt;=0,0,ROUND(AW436+ROUND(AW436*AC$3/12,2),2))</f>
      </c>
      <c r="J437" s="33">
        <f>IF(AX436&lt;=0,0,ROUND(AX436+ROUND(AX436*AD$3/12,2),2))</f>
      </c>
      <c r="K437" s="33">
        <f>IF(AY436&lt;=0,0,ROUND(AY436+ROUND(AY436*AE$3/12,2),2))</f>
      </c>
      <c r="L437" s="33">
        <f>ROUND(MIN(MAX(0,N('Your debts'!$E$6)),B437),2)</f>
      </c>
      <c r="M437" s="33">
        <f>ROUND(MIN(MAX(0,N('Your debts'!$E$7)),C437),2)</f>
      </c>
      <c r="N437" s="33">
        <f>ROUND(MIN(MAX(0,N('Your debts'!$E$8)),D437),2)</f>
      </c>
      <c r="O437" s="33">
        <f>ROUND(MIN(MAX(0,N('Your debts'!$E$9)),E437),2)</f>
      </c>
      <c r="P437" s="33">
        <f>ROUND(MIN(MAX(0,N('Your debts'!$E$10)),F437),2)</f>
      </c>
      <c r="Q437" s="33">
        <f>ROUND(MIN(MAX(0,N('Your debts'!$E$11)),G437),2)</f>
      </c>
      <c r="R437" s="33">
        <f>ROUND(MIN(MAX(0,N('Your debts'!$E$12)),H437),2)</f>
      </c>
      <c r="S437" s="33">
        <f>ROUND(MIN(MAX(0,N('Your debts'!$E$13)),I437),2)</f>
      </c>
      <c r="T437" s="33">
        <f>ROUND(MIN(MAX(0,N('Your debts'!$E$14)),J437),2)</f>
      </c>
      <c r="U437" s="33">
        <f>ROUND(MIN(MAX(0,N('Your debts'!$E$15)),K437),2)</f>
      </c>
      <c r="V437" s="33">
        <f>ROUND(B437-L437,2)</f>
      </c>
      <c r="W437" s="33">
        <f>ROUND(C437-M437,2)</f>
      </c>
      <c r="X437" s="33">
        <f>ROUND(D437-N437,2)</f>
      </c>
      <c r="Y437" s="33">
        <f>ROUND(E437-O437,2)</f>
      </c>
      <c r="Z437" s="33">
        <f>ROUND(F437-P437,2)</f>
      </c>
      <c r="AA437" s="33">
        <f>ROUND(G437-Q437,2)</f>
      </c>
      <c r="AB437" s="33">
        <f>ROUND(H437-R437,2)</f>
      </c>
      <c r="AC437" s="33">
        <f>ROUND(I437-S437,2)</f>
      </c>
      <c r="AD437" s="33">
        <f>ROUND(J437-T437,2)</f>
      </c>
      <c r="AE437" s="33">
        <f>ROUND(K437-U437,2)</f>
      </c>
      <c r="AF437" s="33">
        <f>IF(V437&lt;=0,0,MAX(0,MIN(V437,ROUND($AZ437-SUMPRODUCT($V437:$AE437*($V437:$AE437&gt;0)*(($V$3:$AE$3&gt;V$3)+($V$3:$AE$3=V$3)*($V437:$AE437&lt;V437)+($V$3:$AE$3=V$3)*($V437:$AE437=V437)*($V$2:$AE$2&lt;V$2))),2))))</f>
      </c>
      <c r="AG437" s="33">
        <f>IF(W437&lt;=0,0,MAX(0,MIN(W437,ROUND($AZ437-SUMPRODUCT($V437:$AE437*($V437:$AE437&gt;0)*(($V$3:$AE$3&gt;W$3)+($V$3:$AE$3=W$3)*($V437:$AE437&lt;W437)+($V$3:$AE$3=W$3)*($V437:$AE437=W437)*($V$2:$AE$2&lt;W$2))),2))))</f>
      </c>
      <c r="AH437" s="33">
        <f>IF(X437&lt;=0,0,MAX(0,MIN(X437,ROUND($AZ437-SUMPRODUCT($V437:$AE437*($V437:$AE437&gt;0)*(($V$3:$AE$3&gt;X$3)+($V$3:$AE$3=X$3)*($V437:$AE437&lt;X437)+($V$3:$AE$3=X$3)*($V437:$AE437=X437)*($V$2:$AE$2&lt;X$2))),2))))</f>
      </c>
      <c r="AI437" s="33">
        <f>IF(Y437&lt;=0,0,MAX(0,MIN(Y437,ROUND($AZ437-SUMPRODUCT($V437:$AE437*($V437:$AE437&gt;0)*(($V$3:$AE$3&gt;Y$3)+($V$3:$AE$3=Y$3)*($V437:$AE437&lt;Y437)+($V$3:$AE$3=Y$3)*($V437:$AE437=Y437)*($V$2:$AE$2&lt;Y$2))),2))))</f>
      </c>
      <c r="AJ437" s="33">
        <f>IF(Z437&lt;=0,0,MAX(0,MIN(Z437,ROUND($AZ437-SUMPRODUCT($V437:$AE437*($V437:$AE437&gt;0)*(($V$3:$AE$3&gt;Z$3)+($V$3:$AE$3=Z$3)*($V437:$AE437&lt;Z437)+($V$3:$AE$3=Z$3)*($V437:$AE437=Z437)*($V$2:$AE$2&lt;Z$2))),2))))</f>
      </c>
      <c r="AK437" s="33">
        <f>IF(AA437&lt;=0,0,MAX(0,MIN(AA437,ROUND($AZ437-SUMPRODUCT($V437:$AE437*($V437:$AE437&gt;0)*(($V$3:$AE$3&gt;AA$3)+($V$3:$AE$3=AA$3)*($V437:$AE437&lt;AA437)+($V$3:$AE$3=AA$3)*($V437:$AE437=AA437)*($V$2:$AE$2&lt;AA$2))),2))))</f>
      </c>
      <c r="AL437" s="33">
        <f>IF(AB437&lt;=0,0,MAX(0,MIN(AB437,ROUND($AZ437-SUMPRODUCT($V437:$AE437*($V437:$AE437&gt;0)*(($V$3:$AE$3&gt;AB$3)+($V$3:$AE$3=AB$3)*($V437:$AE437&lt;AB437)+($V$3:$AE$3=AB$3)*($V437:$AE437=AB437)*($V$2:$AE$2&lt;AB$2))),2))))</f>
      </c>
      <c r="AM437" s="33">
        <f>IF(AC437&lt;=0,0,MAX(0,MIN(AC437,ROUND($AZ437-SUMPRODUCT($V437:$AE437*($V437:$AE437&gt;0)*(($V$3:$AE$3&gt;AC$3)+($V$3:$AE$3=AC$3)*($V437:$AE437&lt;AC437)+($V$3:$AE$3=AC$3)*($V437:$AE437=AC437)*($V$2:$AE$2&lt;AC$2))),2))))</f>
      </c>
      <c r="AN437" s="33">
        <f>IF(AD437&lt;=0,0,MAX(0,MIN(AD437,ROUND($AZ437-SUMPRODUCT($V437:$AE437*($V437:$AE437&gt;0)*(($V$3:$AE$3&gt;AD$3)+($V$3:$AE$3=AD$3)*($V437:$AE437&lt;AD437)+($V$3:$AE$3=AD$3)*($V437:$AE437=AD437)*($V$2:$AE$2&lt;AD$2))),2))))</f>
      </c>
      <c r="AO437" s="33">
        <f>IF(AE437&lt;=0,0,MAX(0,MIN(AE437,ROUND($AZ437-SUMPRODUCT($V437:$AE437*($V437:$AE437&gt;0)*(($V$3:$AE$3&gt;AE$3)+($V$3:$AE$3=AE$3)*($V437:$AE437&lt;AE437)+($V$3:$AE$3=AE$3)*($V437:$AE437=AE437)*($V$2:$AE$2&lt;AE$2))),2))))</f>
      </c>
      <c r="AP437" s="33">
        <f>ROUND(V437-AF437,2)</f>
      </c>
      <c r="AQ437" s="33">
        <f>ROUND(W437-AG437,2)</f>
      </c>
      <c r="AR437" s="33">
        <f>ROUND(X437-AH437,2)</f>
      </c>
      <c r="AS437" s="33">
        <f>ROUND(Y437-AI437,2)</f>
      </c>
      <c r="AT437" s="33">
        <f>ROUND(Z437-AJ437,2)</f>
      </c>
      <c r="AU437" s="33">
        <f>ROUND(AA437-AK437,2)</f>
      </c>
      <c r="AV437" s="33">
        <f>ROUND(AB437-AL437,2)</f>
      </c>
      <c r="AW437" s="33">
        <f>ROUND(AC437-AM437,2)</f>
      </c>
      <c r="AX437" s="33">
        <f>ROUND(AD437-AN437,2)</f>
      </c>
      <c r="AY437" s="33">
        <f>ROUND(AE437-AO437,2)</f>
      </c>
      <c r="AZ437" s="33">
        <f>ROUND(MAX(0,'Your debts'!$D$22-SUM($L437:$U437)),2)</f>
      </c>
      <c r="BA437" s="33">
        <f>ROUND(SUM($B437:$K437)-SUM($AP436:$AY436),2)</f>
      </c>
      <c r="BB437" s="33">
        <f>SUM($AP437:$AY437)</f>
      </c>
      <c r="BC437" s="33">
        <f>ROUND(SUM($L437:$U437)+SUM($AF437:$AO437),2)</f>
      </c>
    </row>
    <row r="438" spans="1:55" x14ac:dyDescent="0.25">
      <c r="A438">
        <v>431</v>
      </c>
      <c r="B438" s="33">
        <f>IF(AP437&lt;=0,0,ROUND(AP437+ROUND(AP437*V$3/12,2),2))</f>
      </c>
      <c r="C438" s="33">
        <f>IF(AQ437&lt;=0,0,ROUND(AQ437+ROUND(AQ437*W$3/12,2),2))</f>
      </c>
      <c r="D438" s="33">
        <f>IF(AR437&lt;=0,0,ROUND(AR437+ROUND(AR437*X$3/12,2),2))</f>
      </c>
      <c r="E438" s="33">
        <f>IF(AS437&lt;=0,0,ROUND(AS437+ROUND(AS437*Y$3/12,2),2))</f>
      </c>
      <c r="F438" s="33">
        <f>IF(AT437&lt;=0,0,ROUND(AT437+ROUND(AT437*Z$3/12,2),2))</f>
      </c>
      <c r="G438" s="33">
        <f>IF(AU437&lt;=0,0,ROUND(AU437+ROUND(AU437*AA$3/12,2),2))</f>
      </c>
      <c r="H438" s="33">
        <f>IF(AV437&lt;=0,0,ROUND(AV437+ROUND(AV437*AB$3/12,2),2))</f>
      </c>
      <c r="I438" s="33">
        <f>IF(AW437&lt;=0,0,ROUND(AW437+ROUND(AW437*AC$3/12,2),2))</f>
      </c>
      <c r="J438" s="33">
        <f>IF(AX437&lt;=0,0,ROUND(AX437+ROUND(AX437*AD$3/12,2),2))</f>
      </c>
      <c r="K438" s="33">
        <f>IF(AY437&lt;=0,0,ROUND(AY437+ROUND(AY437*AE$3/12,2),2))</f>
      </c>
      <c r="L438" s="33">
        <f>ROUND(MIN(MAX(0,N('Your debts'!$E$6)),B438),2)</f>
      </c>
      <c r="M438" s="33">
        <f>ROUND(MIN(MAX(0,N('Your debts'!$E$7)),C438),2)</f>
      </c>
      <c r="N438" s="33">
        <f>ROUND(MIN(MAX(0,N('Your debts'!$E$8)),D438),2)</f>
      </c>
      <c r="O438" s="33">
        <f>ROUND(MIN(MAX(0,N('Your debts'!$E$9)),E438),2)</f>
      </c>
      <c r="P438" s="33">
        <f>ROUND(MIN(MAX(0,N('Your debts'!$E$10)),F438),2)</f>
      </c>
      <c r="Q438" s="33">
        <f>ROUND(MIN(MAX(0,N('Your debts'!$E$11)),G438),2)</f>
      </c>
      <c r="R438" s="33">
        <f>ROUND(MIN(MAX(0,N('Your debts'!$E$12)),H438),2)</f>
      </c>
      <c r="S438" s="33">
        <f>ROUND(MIN(MAX(0,N('Your debts'!$E$13)),I438),2)</f>
      </c>
      <c r="T438" s="33">
        <f>ROUND(MIN(MAX(0,N('Your debts'!$E$14)),J438),2)</f>
      </c>
      <c r="U438" s="33">
        <f>ROUND(MIN(MAX(0,N('Your debts'!$E$15)),K438),2)</f>
      </c>
      <c r="V438" s="33">
        <f>ROUND(B438-L438,2)</f>
      </c>
      <c r="W438" s="33">
        <f>ROUND(C438-M438,2)</f>
      </c>
      <c r="X438" s="33">
        <f>ROUND(D438-N438,2)</f>
      </c>
      <c r="Y438" s="33">
        <f>ROUND(E438-O438,2)</f>
      </c>
      <c r="Z438" s="33">
        <f>ROUND(F438-P438,2)</f>
      </c>
      <c r="AA438" s="33">
        <f>ROUND(G438-Q438,2)</f>
      </c>
      <c r="AB438" s="33">
        <f>ROUND(H438-R438,2)</f>
      </c>
      <c r="AC438" s="33">
        <f>ROUND(I438-S438,2)</f>
      </c>
      <c r="AD438" s="33">
        <f>ROUND(J438-T438,2)</f>
      </c>
      <c r="AE438" s="33">
        <f>ROUND(K438-U438,2)</f>
      </c>
      <c r="AF438" s="33">
        <f>IF(V438&lt;=0,0,MAX(0,MIN(V438,ROUND($AZ438-SUMPRODUCT($V438:$AE438*($V438:$AE438&gt;0)*(($V$3:$AE$3&gt;V$3)+($V$3:$AE$3=V$3)*($V438:$AE438&lt;V438)+($V$3:$AE$3=V$3)*($V438:$AE438=V438)*($V$2:$AE$2&lt;V$2))),2))))</f>
      </c>
      <c r="AG438" s="33">
        <f>IF(W438&lt;=0,0,MAX(0,MIN(W438,ROUND($AZ438-SUMPRODUCT($V438:$AE438*($V438:$AE438&gt;0)*(($V$3:$AE$3&gt;W$3)+($V$3:$AE$3=W$3)*($V438:$AE438&lt;W438)+($V$3:$AE$3=W$3)*($V438:$AE438=W438)*($V$2:$AE$2&lt;W$2))),2))))</f>
      </c>
      <c r="AH438" s="33">
        <f>IF(X438&lt;=0,0,MAX(0,MIN(X438,ROUND($AZ438-SUMPRODUCT($V438:$AE438*($V438:$AE438&gt;0)*(($V$3:$AE$3&gt;X$3)+($V$3:$AE$3=X$3)*($V438:$AE438&lt;X438)+($V$3:$AE$3=X$3)*($V438:$AE438=X438)*($V$2:$AE$2&lt;X$2))),2))))</f>
      </c>
      <c r="AI438" s="33">
        <f>IF(Y438&lt;=0,0,MAX(0,MIN(Y438,ROUND($AZ438-SUMPRODUCT($V438:$AE438*($V438:$AE438&gt;0)*(($V$3:$AE$3&gt;Y$3)+($V$3:$AE$3=Y$3)*($V438:$AE438&lt;Y438)+($V$3:$AE$3=Y$3)*($V438:$AE438=Y438)*($V$2:$AE$2&lt;Y$2))),2))))</f>
      </c>
      <c r="AJ438" s="33">
        <f>IF(Z438&lt;=0,0,MAX(0,MIN(Z438,ROUND($AZ438-SUMPRODUCT($V438:$AE438*($V438:$AE438&gt;0)*(($V$3:$AE$3&gt;Z$3)+($V$3:$AE$3=Z$3)*($V438:$AE438&lt;Z438)+($V$3:$AE$3=Z$3)*($V438:$AE438=Z438)*($V$2:$AE$2&lt;Z$2))),2))))</f>
      </c>
      <c r="AK438" s="33">
        <f>IF(AA438&lt;=0,0,MAX(0,MIN(AA438,ROUND($AZ438-SUMPRODUCT($V438:$AE438*($V438:$AE438&gt;0)*(($V$3:$AE$3&gt;AA$3)+($V$3:$AE$3=AA$3)*($V438:$AE438&lt;AA438)+($V$3:$AE$3=AA$3)*($V438:$AE438=AA438)*($V$2:$AE$2&lt;AA$2))),2))))</f>
      </c>
      <c r="AL438" s="33">
        <f>IF(AB438&lt;=0,0,MAX(0,MIN(AB438,ROUND($AZ438-SUMPRODUCT($V438:$AE438*($V438:$AE438&gt;0)*(($V$3:$AE$3&gt;AB$3)+($V$3:$AE$3=AB$3)*($V438:$AE438&lt;AB438)+($V$3:$AE$3=AB$3)*($V438:$AE438=AB438)*($V$2:$AE$2&lt;AB$2))),2))))</f>
      </c>
      <c r="AM438" s="33">
        <f>IF(AC438&lt;=0,0,MAX(0,MIN(AC438,ROUND($AZ438-SUMPRODUCT($V438:$AE438*($V438:$AE438&gt;0)*(($V$3:$AE$3&gt;AC$3)+($V$3:$AE$3=AC$3)*($V438:$AE438&lt;AC438)+($V$3:$AE$3=AC$3)*($V438:$AE438=AC438)*($V$2:$AE$2&lt;AC$2))),2))))</f>
      </c>
      <c r="AN438" s="33">
        <f>IF(AD438&lt;=0,0,MAX(0,MIN(AD438,ROUND($AZ438-SUMPRODUCT($V438:$AE438*($V438:$AE438&gt;0)*(($V$3:$AE$3&gt;AD$3)+($V$3:$AE$3=AD$3)*($V438:$AE438&lt;AD438)+($V$3:$AE$3=AD$3)*($V438:$AE438=AD438)*($V$2:$AE$2&lt;AD$2))),2))))</f>
      </c>
      <c r="AO438" s="33">
        <f>IF(AE438&lt;=0,0,MAX(0,MIN(AE438,ROUND($AZ438-SUMPRODUCT($V438:$AE438*($V438:$AE438&gt;0)*(($V$3:$AE$3&gt;AE$3)+($V$3:$AE$3=AE$3)*($V438:$AE438&lt;AE438)+($V$3:$AE$3=AE$3)*($V438:$AE438=AE438)*($V$2:$AE$2&lt;AE$2))),2))))</f>
      </c>
      <c r="AP438" s="33">
        <f>ROUND(V438-AF438,2)</f>
      </c>
      <c r="AQ438" s="33">
        <f>ROUND(W438-AG438,2)</f>
      </c>
      <c r="AR438" s="33">
        <f>ROUND(X438-AH438,2)</f>
      </c>
      <c r="AS438" s="33">
        <f>ROUND(Y438-AI438,2)</f>
      </c>
      <c r="AT438" s="33">
        <f>ROUND(Z438-AJ438,2)</f>
      </c>
      <c r="AU438" s="33">
        <f>ROUND(AA438-AK438,2)</f>
      </c>
      <c r="AV438" s="33">
        <f>ROUND(AB438-AL438,2)</f>
      </c>
      <c r="AW438" s="33">
        <f>ROUND(AC438-AM438,2)</f>
      </c>
      <c r="AX438" s="33">
        <f>ROUND(AD438-AN438,2)</f>
      </c>
      <c r="AY438" s="33">
        <f>ROUND(AE438-AO438,2)</f>
      </c>
      <c r="AZ438" s="33">
        <f>ROUND(MAX(0,'Your debts'!$D$22-SUM($L438:$U438)),2)</f>
      </c>
      <c r="BA438" s="33">
        <f>ROUND(SUM($B438:$K438)-SUM($AP437:$AY437),2)</f>
      </c>
      <c r="BB438" s="33">
        <f>SUM($AP438:$AY438)</f>
      </c>
      <c r="BC438" s="33">
        <f>ROUND(SUM($L438:$U438)+SUM($AF438:$AO438),2)</f>
      </c>
    </row>
    <row r="439" spans="1:55" x14ac:dyDescent="0.25">
      <c r="A439">
        <v>432</v>
      </c>
      <c r="B439" s="33">
        <f>IF(AP438&lt;=0,0,ROUND(AP438+ROUND(AP438*V$3/12,2),2))</f>
      </c>
      <c r="C439" s="33">
        <f>IF(AQ438&lt;=0,0,ROUND(AQ438+ROUND(AQ438*W$3/12,2),2))</f>
      </c>
      <c r="D439" s="33">
        <f>IF(AR438&lt;=0,0,ROUND(AR438+ROUND(AR438*X$3/12,2),2))</f>
      </c>
      <c r="E439" s="33">
        <f>IF(AS438&lt;=0,0,ROUND(AS438+ROUND(AS438*Y$3/12,2),2))</f>
      </c>
      <c r="F439" s="33">
        <f>IF(AT438&lt;=0,0,ROUND(AT438+ROUND(AT438*Z$3/12,2),2))</f>
      </c>
      <c r="G439" s="33">
        <f>IF(AU438&lt;=0,0,ROUND(AU438+ROUND(AU438*AA$3/12,2),2))</f>
      </c>
      <c r="H439" s="33">
        <f>IF(AV438&lt;=0,0,ROUND(AV438+ROUND(AV438*AB$3/12,2),2))</f>
      </c>
      <c r="I439" s="33">
        <f>IF(AW438&lt;=0,0,ROUND(AW438+ROUND(AW438*AC$3/12,2),2))</f>
      </c>
      <c r="J439" s="33">
        <f>IF(AX438&lt;=0,0,ROUND(AX438+ROUND(AX438*AD$3/12,2),2))</f>
      </c>
      <c r="K439" s="33">
        <f>IF(AY438&lt;=0,0,ROUND(AY438+ROUND(AY438*AE$3/12,2),2))</f>
      </c>
      <c r="L439" s="33">
        <f>ROUND(MIN(MAX(0,N('Your debts'!$E$6)),B439),2)</f>
      </c>
      <c r="M439" s="33">
        <f>ROUND(MIN(MAX(0,N('Your debts'!$E$7)),C439),2)</f>
      </c>
      <c r="N439" s="33">
        <f>ROUND(MIN(MAX(0,N('Your debts'!$E$8)),D439),2)</f>
      </c>
      <c r="O439" s="33">
        <f>ROUND(MIN(MAX(0,N('Your debts'!$E$9)),E439),2)</f>
      </c>
      <c r="P439" s="33">
        <f>ROUND(MIN(MAX(0,N('Your debts'!$E$10)),F439),2)</f>
      </c>
      <c r="Q439" s="33">
        <f>ROUND(MIN(MAX(0,N('Your debts'!$E$11)),G439),2)</f>
      </c>
      <c r="R439" s="33">
        <f>ROUND(MIN(MAX(0,N('Your debts'!$E$12)),H439),2)</f>
      </c>
      <c r="S439" s="33">
        <f>ROUND(MIN(MAX(0,N('Your debts'!$E$13)),I439),2)</f>
      </c>
      <c r="T439" s="33">
        <f>ROUND(MIN(MAX(0,N('Your debts'!$E$14)),J439),2)</f>
      </c>
      <c r="U439" s="33">
        <f>ROUND(MIN(MAX(0,N('Your debts'!$E$15)),K439),2)</f>
      </c>
      <c r="V439" s="33">
        <f>ROUND(B439-L439,2)</f>
      </c>
      <c r="W439" s="33">
        <f>ROUND(C439-M439,2)</f>
      </c>
      <c r="X439" s="33">
        <f>ROUND(D439-N439,2)</f>
      </c>
      <c r="Y439" s="33">
        <f>ROUND(E439-O439,2)</f>
      </c>
      <c r="Z439" s="33">
        <f>ROUND(F439-P439,2)</f>
      </c>
      <c r="AA439" s="33">
        <f>ROUND(G439-Q439,2)</f>
      </c>
      <c r="AB439" s="33">
        <f>ROUND(H439-R439,2)</f>
      </c>
      <c r="AC439" s="33">
        <f>ROUND(I439-S439,2)</f>
      </c>
      <c r="AD439" s="33">
        <f>ROUND(J439-T439,2)</f>
      </c>
      <c r="AE439" s="33">
        <f>ROUND(K439-U439,2)</f>
      </c>
      <c r="AF439" s="33">
        <f>IF(V439&lt;=0,0,MAX(0,MIN(V439,ROUND($AZ439-SUMPRODUCT($V439:$AE439*($V439:$AE439&gt;0)*(($V$3:$AE$3&gt;V$3)+($V$3:$AE$3=V$3)*($V439:$AE439&lt;V439)+($V$3:$AE$3=V$3)*($V439:$AE439=V439)*($V$2:$AE$2&lt;V$2))),2))))</f>
      </c>
      <c r="AG439" s="33">
        <f>IF(W439&lt;=0,0,MAX(0,MIN(W439,ROUND($AZ439-SUMPRODUCT($V439:$AE439*($V439:$AE439&gt;0)*(($V$3:$AE$3&gt;W$3)+($V$3:$AE$3=W$3)*($V439:$AE439&lt;W439)+($V$3:$AE$3=W$3)*($V439:$AE439=W439)*($V$2:$AE$2&lt;W$2))),2))))</f>
      </c>
      <c r="AH439" s="33">
        <f>IF(X439&lt;=0,0,MAX(0,MIN(X439,ROUND($AZ439-SUMPRODUCT($V439:$AE439*($V439:$AE439&gt;0)*(($V$3:$AE$3&gt;X$3)+($V$3:$AE$3=X$3)*($V439:$AE439&lt;X439)+($V$3:$AE$3=X$3)*($V439:$AE439=X439)*($V$2:$AE$2&lt;X$2))),2))))</f>
      </c>
      <c r="AI439" s="33">
        <f>IF(Y439&lt;=0,0,MAX(0,MIN(Y439,ROUND($AZ439-SUMPRODUCT($V439:$AE439*($V439:$AE439&gt;0)*(($V$3:$AE$3&gt;Y$3)+($V$3:$AE$3=Y$3)*($V439:$AE439&lt;Y439)+($V$3:$AE$3=Y$3)*($V439:$AE439=Y439)*($V$2:$AE$2&lt;Y$2))),2))))</f>
      </c>
      <c r="AJ439" s="33">
        <f>IF(Z439&lt;=0,0,MAX(0,MIN(Z439,ROUND($AZ439-SUMPRODUCT($V439:$AE439*($V439:$AE439&gt;0)*(($V$3:$AE$3&gt;Z$3)+($V$3:$AE$3=Z$3)*($V439:$AE439&lt;Z439)+($V$3:$AE$3=Z$3)*($V439:$AE439=Z439)*($V$2:$AE$2&lt;Z$2))),2))))</f>
      </c>
      <c r="AK439" s="33">
        <f>IF(AA439&lt;=0,0,MAX(0,MIN(AA439,ROUND($AZ439-SUMPRODUCT($V439:$AE439*($V439:$AE439&gt;0)*(($V$3:$AE$3&gt;AA$3)+($V$3:$AE$3=AA$3)*($V439:$AE439&lt;AA439)+($V$3:$AE$3=AA$3)*($V439:$AE439=AA439)*($V$2:$AE$2&lt;AA$2))),2))))</f>
      </c>
      <c r="AL439" s="33">
        <f>IF(AB439&lt;=0,0,MAX(0,MIN(AB439,ROUND($AZ439-SUMPRODUCT($V439:$AE439*($V439:$AE439&gt;0)*(($V$3:$AE$3&gt;AB$3)+($V$3:$AE$3=AB$3)*($V439:$AE439&lt;AB439)+($V$3:$AE$3=AB$3)*($V439:$AE439=AB439)*($V$2:$AE$2&lt;AB$2))),2))))</f>
      </c>
      <c r="AM439" s="33">
        <f>IF(AC439&lt;=0,0,MAX(0,MIN(AC439,ROUND($AZ439-SUMPRODUCT($V439:$AE439*($V439:$AE439&gt;0)*(($V$3:$AE$3&gt;AC$3)+($V$3:$AE$3=AC$3)*($V439:$AE439&lt;AC439)+($V$3:$AE$3=AC$3)*($V439:$AE439=AC439)*($V$2:$AE$2&lt;AC$2))),2))))</f>
      </c>
      <c r="AN439" s="33">
        <f>IF(AD439&lt;=0,0,MAX(0,MIN(AD439,ROUND($AZ439-SUMPRODUCT($V439:$AE439*($V439:$AE439&gt;0)*(($V$3:$AE$3&gt;AD$3)+($V$3:$AE$3=AD$3)*($V439:$AE439&lt;AD439)+($V$3:$AE$3=AD$3)*($V439:$AE439=AD439)*($V$2:$AE$2&lt;AD$2))),2))))</f>
      </c>
      <c r="AO439" s="33">
        <f>IF(AE439&lt;=0,0,MAX(0,MIN(AE439,ROUND($AZ439-SUMPRODUCT($V439:$AE439*($V439:$AE439&gt;0)*(($V$3:$AE$3&gt;AE$3)+($V$3:$AE$3=AE$3)*($V439:$AE439&lt;AE439)+($V$3:$AE$3=AE$3)*($V439:$AE439=AE439)*($V$2:$AE$2&lt;AE$2))),2))))</f>
      </c>
      <c r="AP439" s="33">
        <f>ROUND(V439-AF439,2)</f>
      </c>
      <c r="AQ439" s="33">
        <f>ROUND(W439-AG439,2)</f>
      </c>
      <c r="AR439" s="33">
        <f>ROUND(X439-AH439,2)</f>
      </c>
      <c r="AS439" s="33">
        <f>ROUND(Y439-AI439,2)</f>
      </c>
      <c r="AT439" s="33">
        <f>ROUND(Z439-AJ439,2)</f>
      </c>
      <c r="AU439" s="33">
        <f>ROUND(AA439-AK439,2)</f>
      </c>
      <c r="AV439" s="33">
        <f>ROUND(AB439-AL439,2)</f>
      </c>
      <c r="AW439" s="33">
        <f>ROUND(AC439-AM439,2)</f>
      </c>
      <c r="AX439" s="33">
        <f>ROUND(AD439-AN439,2)</f>
      </c>
      <c r="AY439" s="33">
        <f>ROUND(AE439-AO439,2)</f>
      </c>
      <c r="AZ439" s="33">
        <f>ROUND(MAX(0,'Your debts'!$D$22-SUM($L439:$U439)),2)</f>
      </c>
      <c r="BA439" s="33">
        <f>ROUND(SUM($B439:$K439)-SUM($AP438:$AY438),2)</f>
      </c>
      <c r="BB439" s="33">
        <f>SUM($AP439:$AY439)</f>
      </c>
      <c r="BC439" s="33">
        <f>ROUND(SUM($L439:$U439)+SUM($AF439:$AO439),2)</f>
      </c>
    </row>
    <row r="440" spans="1:55" x14ac:dyDescent="0.25">
      <c r="A440">
        <v>433</v>
      </c>
      <c r="B440" s="33">
        <f>IF(AP439&lt;=0,0,ROUND(AP439+ROUND(AP439*V$3/12,2),2))</f>
      </c>
      <c r="C440" s="33">
        <f>IF(AQ439&lt;=0,0,ROUND(AQ439+ROUND(AQ439*W$3/12,2),2))</f>
      </c>
      <c r="D440" s="33">
        <f>IF(AR439&lt;=0,0,ROUND(AR439+ROUND(AR439*X$3/12,2),2))</f>
      </c>
      <c r="E440" s="33">
        <f>IF(AS439&lt;=0,0,ROUND(AS439+ROUND(AS439*Y$3/12,2),2))</f>
      </c>
      <c r="F440" s="33">
        <f>IF(AT439&lt;=0,0,ROUND(AT439+ROUND(AT439*Z$3/12,2),2))</f>
      </c>
      <c r="G440" s="33">
        <f>IF(AU439&lt;=0,0,ROUND(AU439+ROUND(AU439*AA$3/12,2),2))</f>
      </c>
      <c r="H440" s="33">
        <f>IF(AV439&lt;=0,0,ROUND(AV439+ROUND(AV439*AB$3/12,2),2))</f>
      </c>
      <c r="I440" s="33">
        <f>IF(AW439&lt;=0,0,ROUND(AW439+ROUND(AW439*AC$3/12,2),2))</f>
      </c>
      <c r="J440" s="33">
        <f>IF(AX439&lt;=0,0,ROUND(AX439+ROUND(AX439*AD$3/12,2),2))</f>
      </c>
      <c r="K440" s="33">
        <f>IF(AY439&lt;=0,0,ROUND(AY439+ROUND(AY439*AE$3/12,2),2))</f>
      </c>
      <c r="L440" s="33">
        <f>ROUND(MIN(MAX(0,N('Your debts'!$E$6)),B440),2)</f>
      </c>
      <c r="M440" s="33">
        <f>ROUND(MIN(MAX(0,N('Your debts'!$E$7)),C440),2)</f>
      </c>
      <c r="N440" s="33">
        <f>ROUND(MIN(MAX(0,N('Your debts'!$E$8)),D440),2)</f>
      </c>
      <c r="O440" s="33">
        <f>ROUND(MIN(MAX(0,N('Your debts'!$E$9)),E440),2)</f>
      </c>
      <c r="P440" s="33">
        <f>ROUND(MIN(MAX(0,N('Your debts'!$E$10)),F440),2)</f>
      </c>
      <c r="Q440" s="33">
        <f>ROUND(MIN(MAX(0,N('Your debts'!$E$11)),G440),2)</f>
      </c>
      <c r="R440" s="33">
        <f>ROUND(MIN(MAX(0,N('Your debts'!$E$12)),H440),2)</f>
      </c>
      <c r="S440" s="33">
        <f>ROUND(MIN(MAX(0,N('Your debts'!$E$13)),I440),2)</f>
      </c>
      <c r="T440" s="33">
        <f>ROUND(MIN(MAX(0,N('Your debts'!$E$14)),J440),2)</f>
      </c>
      <c r="U440" s="33">
        <f>ROUND(MIN(MAX(0,N('Your debts'!$E$15)),K440),2)</f>
      </c>
      <c r="V440" s="33">
        <f>ROUND(B440-L440,2)</f>
      </c>
      <c r="W440" s="33">
        <f>ROUND(C440-M440,2)</f>
      </c>
      <c r="X440" s="33">
        <f>ROUND(D440-N440,2)</f>
      </c>
      <c r="Y440" s="33">
        <f>ROUND(E440-O440,2)</f>
      </c>
      <c r="Z440" s="33">
        <f>ROUND(F440-P440,2)</f>
      </c>
      <c r="AA440" s="33">
        <f>ROUND(G440-Q440,2)</f>
      </c>
      <c r="AB440" s="33">
        <f>ROUND(H440-R440,2)</f>
      </c>
      <c r="AC440" s="33">
        <f>ROUND(I440-S440,2)</f>
      </c>
      <c r="AD440" s="33">
        <f>ROUND(J440-T440,2)</f>
      </c>
      <c r="AE440" s="33">
        <f>ROUND(K440-U440,2)</f>
      </c>
      <c r="AF440" s="33">
        <f>IF(V440&lt;=0,0,MAX(0,MIN(V440,ROUND($AZ440-SUMPRODUCT($V440:$AE440*($V440:$AE440&gt;0)*(($V$3:$AE$3&gt;V$3)+($V$3:$AE$3=V$3)*($V440:$AE440&lt;V440)+($V$3:$AE$3=V$3)*($V440:$AE440=V440)*($V$2:$AE$2&lt;V$2))),2))))</f>
      </c>
      <c r="AG440" s="33">
        <f>IF(W440&lt;=0,0,MAX(0,MIN(W440,ROUND($AZ440-SUMPRODUCT($V440:$AE440*($V440:$AE440&gt;0)*(($V$3:$AE$3&gt;W$3)+($V$3:$AE$3=W$3)*($V440:$AE440&lt;W440)+($V$3:$AE$3=W$3)*($V440:$AE440=W440)*($V$2:$AE$2&lt;W$2))),2))))</f>
      </c>
      <c r="AH440" s="33">
        <f>IF(X440&lt;=0,0,MAX(0,MIN(X440,ROUND($AZ440-SUMPRODUCT($V440:$AE440*($V440:$AE440&gt;0)*(($V$3:$AE$3&gt;X$3)+($V$3:$AE$3=X$3)*($V440:$AE440&lt;X440)+($V$3:$AE$3=X$3)*($V440:$AE440=X440)*($V$2:$AE$2&lt;X$2))),2))))</f>
      </c>
      <c r="AI440" s="33">
        <f>IF(Y440&lt;=0,0,MAX(0,MIN(Y440,ROUND($AZ440-SUMPRODUCT($V440:$AE440*($V440:$AE440&gt;0)*(($V$3:$AE$3&gt;Y$3)+($V$3:$AE$3=Y$3)*($V440:$AE440&lt;Y440)+($V$3:$AE$3=Y$3)*($V440:$AE440=Y440)*($V$2:$AE$2&lt;Y$2))),2))))</f>
      </c>
      <c r="AJ440" s="33">
        <f>IF(Z440&lt;=0,0,MAX(0,MIN(Z440,ROUND($AZ440-SUMPRODUCT($V440:$AE440*($V440:$AE440&gt;0)*(($V$3:$AE$3&gt;Z$3)+($V$3:$AE$3=Z$3)*($V440:$AE440&lt;Z440)+($V$3:$AE$3=Z$3)*($V440:$AE440=Z440)*($V$2:$AE$2&lt;Z$2))),2))))</f>
      </c>
      <c r="AK440" s="33">
        <f>IF(AA440&lt;=0,0,MAX(0,MIN(AA440,ROUND($AZ440-SUMPRODUCT($V440:$AE440*($V440:$AE440&gt;0)*(($V$3:$AE$3&gt;AA$3)+($V$3:$AE$3=AA$3)*($V440:$AE440&lt;AA440)+($V$3:$AE$3=AA$3)*($V440:$AE440=AA440)*($V$2:$AE$2&lt;AA$2))),2))))</f>
      </c>
      <c r="AL440" s="33">
        <f>IF(AB440&lt;=0,0,MAX(0,MIN(AB440,ROUND($AZ440-SUMPRODUCT($V440:$AE440*($V440:$AE440&gt;0)*(($V$3:$AE$3&gt;AB$3)+($V$3:$AE$3=AB$3)*($V440:$AE440&lt;AB440)+($V$3:$AE$3=AB$3)*($V440:$AE440=AB440)*($V$2:$AE$2&lt;AB$2))),2))))</f>
      </c>
      <c r="AM440" s="33">
        <f>IF(AC440&lt;=0,0,MAX(0,MIN(AC440,ROUND($AZ440-SUMPRODUCT($V440:$AE440*($V440:$AE440&gt;0)*(($V$3:$AE$3&gt;AC$3)+($V$3:$AE$3=AC$3)*($V440:$AE440&lt;AC440)+($V$3:$AE$3=AC$3)*($V440:$AE440=AC440)*($V$2:$AE$2&lt;AC$2))),2))))</f>
      </c>
      <c r="AN440" s="33">
        <f>IF(AD440&lt;=0,0,MAX(0,MIN(AD440,ROUND($AZ440-SUMPRODUCT($V440:$AE440*($V440:$AE440&gt;0)*(($V$3:$AE$3&gt;AD$3)+($V$3:$AE$3=AD$3)*($V440:$AE440&lt;AD440)+($V$3:$AE$3=AD$3)*($V440:$AE440=AD440)*($V$2:$AE$2&lt;AD$2))),2))))</f>
      </c>
      <c r="AO440" s="33">
        <f>IF(AE440&lt;=0,0,MAX(0,MIN(AE440,ROUND($AZ440-SUMPRODUCT($V440:$AE440*($V440:$AE440&gt;0)*(($V$3:$AE$3&gt;AE$3)+($V$3:$AE$3=AE$3)*($V440:$AE440&lt;AE440)+($V$3:$AE$3=AE$3)*($V440:$AE440=AE440)*($V$2:$AE$2&lt;AE$2))),2))))</f>
      </c>
      <c r="AP440" s="33">
        <f>ROUND(V440-AF440,2)</f>
      </c>
      <c r="AQ440" s="33">
        <f>ROUND(W440-AG440,2)</f>
      </c>
      <c r="AR440" s="33">
        <f>ROUND(X440-AH440,2)</f>
      </c>
      <c r="AS440" s="33">
        <f>ROUND(Y440-AI440,2)</f>
      </c>
      <c r="AT440" s="33">
        <f>ROUND(Z440-AJ440,2)</f>
      </c>
      <c r="AU440" s="33">
        <f>ROUND(AA440-AK440,2)</f>
      </c>
      <c r="AV440" s="33">
        <f>ROUND(AB440-AL440,2)</f>
      </c>
      <c r="AW440" s="33">
        <f>ROUND(AC440-AM440,2)</f>
      </c>
      <c r="AX440" s="33">
        <f>ROUND(AD440-AN440,2)</f>
      </c>
      <c r="AY440" s="33">
        <f>ROUND(AE440-AO440,2)</f>
      </c>
      <c r="AZ440" s="33">
        <f>ROUND(MAX(0,'Your debts'!$D$22-SUM($L440:$U440)),2)</f>
      </c>
      <c r="BA440" s="33">
        <f>ROUND(SUM($B440:$K440)-SUM($AP439:$AY439),2)</f>
      </c>
      <c r="BB440" s="33">
        <f>SUM($AP440:$AY440)</f>
      </c>
      <c r="BC440" s="33">
        <f>ROUND(SUM($L440:$U440)+SUM($AF440:$AO440),2)</f>
      </c>
    </row>
    <row r="441" spans="1:55" x14ac:dyDescent="0.25">
      <c r="A441">
        <v>434</v>
      </c>
      <c r="B441" s="33">
        <f>IF(AP440&lt;=0,0,ROUND(AP440+ROUND(AP440*V$3/12,2),2))</f>
      </c>
      <c r="C441" s="33">
        <f>IF(AQ440&lt;=0,0,ROUND(AQ440+ROUND(AQ440*W$3/12,2),2))</f>
      </c>
      <c r="D441" s="33">
        <f>IF(AR440&lt;=0,0,ROUND(AR440+ROUND(AR440*X$3/12,2),2))</f>
      </c>
      <c r="E441" s="33">
        <f>IF(AS440&lt;=0,0,ROUND(AS440+ROUND(AS440*Y$3/12,2),2))</f>
      </c>
      <c r="F441" s="33">
        <f>IF(AT440&lt;=0,0,ROUND(AT440+ROUND(AT440*Z$3/12,2),2))</f>
      </c>
      <c r="G441" s="33">
        <f>IF(AU440&lt;=0,0,ROUND(AU440+ROUND(AU440*AA$3/12,2),2))</f>
      </c>
      <c r="H441" s="33">
        <f>IF(AV440&lt;=0,0,ROUND(AV440+ROUND(AV440*AB$3/12,2),2))</f>
      </c>
      <c r="I441" s="33">
        <f>IF(AW440&lt;=0,0,ROUND(AW440+ROUND(AW440*AC$3/12,2),2))</f>
      </c>
      <c r="J441" s="33">
        <f>IF(AX440&lt;=0,0,ROUND(AX440+ROUND(AX440*AD$3/12,2),2))</f>
      </c>
      <c r="K441" s="33">
        <f>IF(AY440&lt;=0,0,ROUND(AY440+ROUND(AY440*AE$3/12,2),2))</f>
      </c>
      <c r="L441" s="33">
        <f>ROUND(MIN(MAX(0,N('Your debts'!$E$6)),B441),2)</f>
      </c>
      <c r="M441" s="33">
        <f>ROUND(MIN(MAX(0,N('Your debts'!$E$7)),C441),2)</f>
      </c>
      <c r="N441" s="33">
        <f>ROUND(MIN(MAX(0,N('Your debts'!$E$8)),D441),2)</f>
      </c>
      <c r="O441" s="33">
        <f>ROUND(MIN(MAX(0,N('Your debts'!$E$9)),E441),2)</f>
      </c>
      <c r="P441" s="33">
        <f>ROUND(MIN(MAX(0,N('Your debts'!$E$10)),F441),2)</f>
      </c>
      <c r="Q441" s="33">
        <f>ROUND(MIN(MAX(0,N('Your debts'!$E$11)),G441),2)</f>
      </c>
      <c r="R441" s="33">
        <f>ROUND(MIN(MAX(0,N('Your debts'!$E$12)),H441),2)</f>
      </c>
      <c r="S441" s="33">
        <f>ROUND(MIN(MAX(0,N('Your debts'!$E$13)),I441),2)</f>
      </c>
      <c r="T441" s="33">
        <f>ROUND(MIN(MAX(0,N('Your debts'!$E$14)),J441),2)</f>
      </c>
      <c r="U441" s="33">
        <f>ROUND(MIN(MAX(0,N('Your debts'!$E$15)),K441),2)</f>
      </c>
      <c r="V441" s="33">
        <f>ROUND(B441-L441,2)</f>
      </c>
      <c r="W441" s="33">
        <f>ROUND(C441-M441,2)</f>
      </c>
      <c r="X441" s="33">
        <f>ROUND(D441-N441,2)</f>
      </c>
      <c r="Y441" s="33">
        <f>ROUND(E441-O441,2)</f>
      </c>
      <c r="Z441" s="33">
        <f>ROUND(F441-P441,2)</f>
      </c>
      <c r="AA441" s="33">
        <f>ROUND(G441-Q441,2)</f>
      </c>
      <c r="AB441" s="33">
        <f>ROUND(H441-R441,2)</f>
      </c>
      <c r="AC441" s="33">
        <f>ROUND(I441-S441,2)</f>
      </c>
      <c r="AD441" s="33">
        <f>ROUND(J441-T441,2)</f>
      </c>
      <c r="AE441" s="33">
        <f>ROUND(K441-U441,2)</f>
      </c>
      <c r="AF441" s="33">
        <f>IF(V441&lt;=0,0,MAX(0,MIN(V441,ROUND($AZ441-SUMPRODUCT($V441:$AE441*($V441:$AE441&gt;0)*(($V$3:$AE$3&gt;V$3)+($V$3:$AE$3=V$3)*($V441:$AE441&lt;V441)+($V$3:$AE$3=V$3)*($V441:$AE441=V441)*($V$2:$AE$2&lt;V$2))),2))))</f>
      </c>
      <c r="AG441" s="33">
        <f>IF(W441&lt;=0,0,MAX(0,MIN(W441,ROUND($AZ441-SUMPRODUCT($V441:$AE441*($V441:$AE441&gt;0)*(($V$3:$AE$3&gt;W$3)+($V$3:$AE$3=W$3)*($V441:$AE441&lt;W441)+($V$3:$AE$3=W$3)*($V441:$AE441=W441)*($V$2:$AE$2&lt;W$2))),2))))</f>
      </c>
      <c r="AH441" s="33">
        <f>IF(X441&lt;=0,0,MAX(0,MIN(X441,ROUND($AZ441-SUMPRODUCT($V441:$AE441*($V441:$AE441&gt;0)*(($V$3:$AE$3&gt;X$3)+($V$3:$AE$3=X$3)*($V441:$AE441&lt;X441)+($V$3:$AE$3=X$3)*($V441:$AE441=X441)*($V$2:$AE$2&lt;X$2))),2))))</f>
      </c>
      <c r="AI441" s="33">
        <f>IF(Y441&lt;=0,0,MAX(0,MIN(Y441,ROUND($AZ441-SUMPRODUCT($V441:$AE441*($V441:$AE441&gt;0)*(($V$3:$AE$3&gt;Y$3)+($V$3:$AE$3=Y$3)*($V441:$AE441&lt;Y441)+($V$3:$AE$3=Y$3)*($V441:$AE441=Y441)*($V$2:$AE$2&lt;Y$2))),2))))</f>
      </c>
      <c r="AJ441" s="33">
        <f>IF(Z441&lt;=0,0,MAX(0,MIN(Z441,ROUND($AZ441-SUMPRODUCT($V441:$AE441*($V441:$AE441&gt;0)*(($V$3:$AE$3&gt;Z$3)+($V$3:$AE$3=Z$3)*($V441:$AE441&lt;Z441)+($V$3:$AE$3=Z$3)*($V441:$AE441=Z441)*($V$2:$AE$2&lt;Z$2))),2))))</f>
      </c>
      <c r="AK441" s="33">
        <f>IF(AA441&lt;=0,0,MAX(0,MIN(AA441,ROUND($AZ441-SUMPRODUCT($V441:$AE441*($V441:$AE441&gt;0)*(($V$3:$AE$3&gt;AA$3)+($V$3:$AE$3=AA$3)*($V441:$AE441&lt;AA441)+($V$3:$AE$3=AA$3)*($V441:$AE441=AA441)*($V$2:$AE$2&lt;AA$2))),2))))</f>
      </c>
      <c r="AL441" s="33">
        <f>IF(AB441&lt;=0,0,MAX(0,MIN(AB441,ROUND($AZ441-SUMPRODUCT($V441:$AE441*($V441:$AE441&gt;0)*(($V$3:$AE$3&gt;AB$3)+($V$3:$AE$3=AB$3)*($V441:$AE441&lt;AB441)+($V$3:$AE$3=AB$3)*($V441:$AE441=AB441)*($V$2:$AE$2&lt;AB$2))),2))))</f>
      </c>
      <c r="AM441" s="33">
        <f>IF(AC441&lt;=0,0,MAX(0,MIN(AC441,ROUND($AZ441-SUMPRODUCT($V441:$AE441*($V441:$AE441&gt;0)*(($V$3:$AE$3&gt;AC$3)+($V$3:$AE$3=AC$3)*($V441:$AE441&lt;AC441)+($V$3:$AE$3=AC$3)*($V441:$AE441=AC441)*($V$2:$AE$2&lt;AC$2))),2))))</f>
      </c>
      <c r="AN441" s="33">
        <f>IF(AD441&lt;=0,0,MAX(0,MIN(AD441,ROUND($AZ441-SUMPRODUCT($V441:$AE441*($V441:$AE441&gt;0)*(($V$3:$AE$3&gt;AD$3)+($V$3:$AE$3=AD$3)*($V441:$AE441&lt;AD441)+($V$3:$AE$3=AD$3)*($V441:$AE441=AD441)*($V$2:$AE$2&lt;AD$2))),2))))</f>
      </c>
      <c r="AO441" s="33">
        <f>IF(AE441&lt;=0,0,MAX(0,MIN(AE441,ROUND($AZ441-SUMPRODUCT($V441:$AE441*($V441:$AE441&gt;0)*(($V$3:$AE$3&gt;AE$3)+($V$3:$AE$3=AE$3)*($V441:$AE441&lt;AE441)+($V$3:$AE$3=AE$3)*($V441:$AE441=AE441)*($V$2:$AE$2&lt;AE$2))),2))))</f>
      </c>
      <c r="AP441" s="33">
        <f>ROUND(V441-AF441,2)</f>
      </c>
      <c r="AQ441" s="33">
        <f>ROUND(W441-AG441,2)</f>
      </c>
      <c r="AR441" s="33">
        <f>ROUND(X441-AH441,2)</f>
      </c>
      <c r="AS441" s="33">
        <f>ROUND(Y441-AI441,2)</f>
      </c>
      <c r="AT441" s="33">
        <f>ROUND(Z441-AJ441,2)</f>
      </c>
      <c r="AU441" s="33">
        <f>ROUND(AA441-AK441,2)</f>
      </c>
      <c r="AV441" s="33">
        <f>ROUND(AB441-AL441,2)</f>
      </c>
      <c r="AW441" s="33">
        <f>ROUND(AC441-AM441,2)</f>
      </c>
      <c r="AX441" s="33">
        <f>ROUND(AD441-AN441,2)</f>
      </c>
      <c r="AY441" s="33">
        <f>ROUND(AE441-AO441,2)</f>
      </c>
      <c r="AZ441" s="33">
        <f>ROUND(MAX(0,'Your debts'!$D$22-SUM($L441:$U441)),2)</f>
      </c>
      <c r="BA441" s="33">
        <f>ROUND(SUM($B441:$K441)-SUM($AP440:$AY440),2)</f>
      </c>
      <c r="BB441" s="33">
        <f>SUM($AP441:$AY441)</f>
      </c>
      <c r="BC441" s="33">
        <f>ROUND(SUM($L441:$U441)+SUM($AF441:$AO441),2)</f>
      </c>
    </row>
    <row r="442" spans="1:55" x14ac:dyDescent="0.25">
      <c r="A442">
        <v>435</v>
      </c>
      <c r="B442" s="33">
        <f>IF(AP441&lt;=0,0,ROUND(AP441+ROUND(AP441*V$3/12,2),2))</f>
      </c>
      <c r="C442" s="33">
        <f>IF(AQ441&lt;=0,0,ROUND(AQ441+ROUND(AQ441*W$3/12,2),2))</f>
      </c>
      <c r="D442" s="33">
        <f>IF(AR441&lt;=0,0,ROUND(AR441+ROUND(AR441*X$3/12,2),2))</f>
      </c>
      <c r="E442" s="33">
        <f>IF(AS441&lt;=0,0,ROUND(AS441+ROUND(AS441*Y$3/12,2),2))</f>
      </c>
      <c r="F442" s="33">
        <f>IF(AT441&lt;=0,0,ROUND(AT441+ROUND(AT441*Z$3/12,2),2))</f>
      </c>
      <c r="G442" s="33">
        <f>IF(AU441&lt;=0,0,ROUND(AU441+ROUND(AU441*AA$3/12,2),2))</f>
      </c>
      <c r="H442" s="33">
        <f>IF(AV441&lt;=0,0,ROUND(AV441+ROUND(AV441*AB$3/12,2),2))</f>
      </c>
      <c r="I442" s="33">
        <f>IF(AW441&lt;=0,0,ROUND(AW441+ROUND(AW441*AC$3/12,2),2))</f>
      </c>
      <c r="J442" s="33">
        <f>IF(AX441&lt;=0,0,ROUND(AX441+ROUND(AX441*AD$3/12,2),2))</f>
      </c>
      <c r="K442" s="33">
        <f>IF(AY441&lt;=0,0,ROUND(AY441+ROUND(AY441*AE$3/12,2),2))</f>
      </c>
      <c r="L442" s="33">
        <f>ROUND(MIN(MAX(0,N('Your debts'!$E$6)),B442),2)</f>
      </c>
      <c r="M442" s="33">
        <f>ROUND(MIN(MAX(0,N('Your debts'!$E$7)),C442),2)</f>
      </c>
      <c r="N442" s="33">
        <f>ROUND(MIN(MAX(0,N('Your debts'!$E$8)),D442),2)</f>
      </c>
      <c r="O442" s="33">
        <f>ROUND(MIN(MAX(0,N('Your debts'!$E$9)),E442),2)</f>
      </c>
      <c r="P442" s="33">
        <f>ROUND(MIN(MAX(0,N('Your debts'!$E$10)),F442),2)</f>
      </c>
      <c r="Q442" s="33">
        <f>ROUND(MIN(MAX(0,N('Your debts'!$E$11)),G442),2)</f>
      </c>
      <c r="R442" s="33">
        <f>ROUND(MIN(MAX(0,N('Your debts'!$E$12)),H442),2)</f>
      </c>
      <c r="S442" s="33">
        <f>ROUND(MIN(MAX(0,N('Your debts'!$E$13)),I442),2)</f>
      </c>
      <c r="T442" s="33">
        <f>ROUND(MIN(MAX(0,N('Your debts'!$E$14)),J442),2)</f>
      </c>
      <c r="U442" s="33">
        <f>ROUND(MIN(MAX(0,N('Your debts'!$E$15)),K442),2)</f>
      </c>
      <c r="V442" s="33">
        <f>ROUND(B442-L442,2)</f>
      </c>
      <c r="W442" s="33">
        <f>ROUND(C442-M442,2)</f>
      </c>
      <c r="X442" s="33">
        <f>ROUND(D442-N442,2)</f>
      </c>
      <c r="Y442" s="33">
        <f>ROUND(E442-O442,2)</f>
      </c>
      <c r="Z442" s="33">
        <f>ROUND(F442-P442,2)</f>
      </c>
      <c r="AA442" s="33">
        <f>ROUND(G442-Q442,2)</f>
      </c>
      <c r="AB442" s="33">
        <f>ROUND(H442-R442,2)</f>
      </c>
      <c r="AC442" s="33">
        <f>ROUND(I442-S442,2)</f>
      </c>
      <c r="AD442" s="33">
        <f>ROUND(J442-T442,2)</f>
      </c>
      <c r="AE442" s="33">
        <f>ROUND(K442-U442,2)</f>
      </c>
      <c r="AF442" s="33">
        <f>IF(V442&lt;=0,0,MAX(0,MIN(V442,ROUND($AZ442-SUMPRODUCT($V442:$AE442*($V442:$AE442&gt;0)*(($V$3:$AE$3&gt;V$3)+($V$3:$AE$3=V$3)*($V442:$AE442&lt;V442)+($V$3:$AE$3=V$3)*($V442:$AE442=V442)*($V$2:$AE$2&lt;V$2))),2))))</f>
      </c>
      <c r="AG442" s="33">
        <f>IF(W442&lt;=0,0,MAX(0,MIN(W442,ROUND($AZ442-SUMPRODUCT($V442:$AE442*($V442:$AE442&gt;0)*(($V$3:$AE$3&gt;W$3)+($V$3:$AE$3=W$3)*($V442:$AE442&lt;W442)+($V$3:$AE$3=W$3)*($V442:$AE442=W442)*($V$2:$AE$2&lt;W$2))),2))))</f>
      </c>
      <c r="AH442" s="33">
        <f>IF(X442&lt;=0,0,MAX(0,MIN(X442,ROUND($AZ442-SUMPRODUCT($V442:$AE442*($V442:$AE442&gt;0)*(($V$3:$AE$3&gt;X$3)+($V$3:$AE$3=X$3)*($V442:$AE442&lt;X442)+($V$3:$AE$3=X$3)*($V442:$AE442=X442)*($V$2:$AE$2&lt;X$2))),2))))</f>
      </c>
      <c r="AI442" s="33">
        <f>IF(Y442&lt;=0,0,MAX(0,MIN(Y442,ROUND($AZ442-SUMPRODUCT($V442:$AE442*($V442:$AE442&gt;0)*(($V$3:$AE$3&gt;Y$3)+($V$3:$AE$3=Y$3)*($V442:$AE442&lt;Y442)+($V$3:$AE$3=Y$3)*($V442:$AE442=Y442)*($V$2:$AE$2&lt;Y$2))),2))))</f>
      </c>
      <c r="AJ442" s="33">
        <f>IF(Z442&lt;=0,0,MAX(0,MIN(Z442,ROUND($AZ442-SUMPRODUCT($V442:$AE442*($V442:$AE442&gt;0)*(($V$3:$AE$3&gt;Z$3)+($V$3:$AE$3=Z$3)*($V442:$AE442&lt;Z442)+($V$3:$AE$3=Z$3)*($V442:$AE442=Z442)*($V$2:$AE$2&lt;Z$2))),2))))</f>
      </c>
      <c r="AK442" s="33">
        <f>IF(AA442&lt;=0,0,MAX(0,MIN(AA442,ROUND($AZ442-SUMPRODUCT($V442:$AE442*($V442:$AE442&gt;0)*(($V$3:$AE$3&gt;AA$3)+($V$3:$AE$3=AA$3)*($V442:$AE442&lt;AA442)+($V$3:$AE$3=AA$3)*($V442:$AE442=AA442)*($V$2:$AE$2&lt;AA$2))),2))))</f>
      </c>
      <c r="AL442" s="33">
        <f>IF(AB442&lt;=0,0,MAX(0,MIN(AB442,ROUND($AZ442-SUMPRODUCT($V442:$AE442*($V442:$AE442&gt;0)*(($V$3:$AE$3&gt;AB$3)+($V$3:$AE$3=AB$3)*($V442:$AE442&lt;AB442)+($V$3:$AE$3=AB$3)*($V442:$AE442=AB442)*($V$2:$AE$2&lt;AB$2))),2))))</f>
      </c>
      <c r="AM442" s="33">
        <f>IF(AC442&lt;=0,0,MAX(0,MIN(AC442,ROUND($AZ442-SUMPRODUCT($V442:$AE442*($V442:$AE442&gt;0)*(($V$3:$AE$3&gt;AC$3)+($V$3:$AE$3=AC$3)*($V442:$AE442&lt;AC442)+($V$3:$AE$3=AC$3)*($V442:$AE442=AC442)*($V$2:$AE$2&lt;AC$2))),2))))</f>
      </c>
      <c r="AN442" s="33">
        <f>IF(AD442&lt;=0,0,MAX(0,MIN(AD442,ROUND($AZ442-SUMPRODUCT($V442:$AE442*($V442:$AE442&gt;0)*(($V$3:$AE$3&gt;AD$3)+($V$3:$AE$3=AD$3)*($V442:$AE442&lt;AD442)+($V$3:$AE$3=AD$3)*($V442:$AE442=AD442)*($V$2:$AE$2&lt;AD$2))),2))))</f>
      </c>
      <c r="AO442" s="33">
        <f>IF(AE442&lt;=0,0,MAX(0,MIN(AE442,ROUND($AZ442-SUMPRODUCT($V442:$AE442*($V442:$AE442&gt;0)*(($V$3:$AE$3&gt;AE$3)+($V$3:$AE$3=AE$3)*($V442:$AE442&lt;AE442)+($V$3:$AE$3=AE$3)*($V442:$AE442=AE442)*($V$2:$AE$2&lt;AE$2))),2))))</f>
      </c>
      <c r="AP442" s="33">
        <f>ROUND(V442-AF442,2)</f>
      </c>
      <c r="AQ442" s="33">
        <f>ROUND(W442-AG442,2)</f>
      </c>
      <c r="AR442" s="33">
        <f>ROUND(X442-AH442,2)</f>
      </c>
      <c r="AS442" s="33">
        <f>ROUND(Y442-AI442,2)</f>
      </c>
      <c r="AT442" s="33">
        <f>ROUND(Z442-AJ442,2)</f>
      </c>
      <c r="AU442" s="33">
        <f>ROUND(AA442-AK442,2)</f>
      </c>
      <c r="AV442" s="33">
        <f>ROUND(AB442-AL442,2)</f>
      </c>
      <c r="AW442" s="33">
        <f>ROUND(AC442-AM442,2)</f>
      </c>
      <c r="AX442" s="33">
        <f>ROUND(AD442-AN442,2)</f>
      </c>
      <c r="AY442" s="33">
        <f>ROUND(AE442-AO442,2)</f>
      </c>
      <c r="AZ442" s="33">
        <f>ROUND(MAX(0,'Your debts'!$D$22-SUM($L442:$U442)),2)</f>
      </c>
      <c r="BA442" s="33">
        <f>ROUND(SUM($B442:$K442)-SUM($AP441:$AY441),2)</f>
      </c>
      <c r="BB442" s="33">
        <f>SUM($AP442:$AY442)</f>
      </c>
      <c r="BC442" s="33">
        <f>ROUND(SUM($L442:$U442)+SUM($AF442:$AO442),2)</f>
      </c>
    </row>
    <row r="443" spans="1:55" x14ac:dyDescent="0.25">
      <c r="A443">
        <v>436</v>
      </c>
      <c r="B443" s="33">
        <f>IF(AP442&lt;=0,0,ROUND(AP442+ROUND(AP442*V$3/12,2),2))</f>
      </c>
      <c r="C443" s="33">
        <f>IF(AQ442&lt;=0,0,ROUND(AQ442+ROUND(AQ442*W$3/12,2),2))</f>
      </c>
      <c r="D443" s="33">
        <f>IF(AR442&lt;=0,0,ROUND(AR442+ROUND(AR442*X$3/12,2),2))</f>
      </c>
      <c r="E443" s="33">
        <f>IF(AS442&lt;=0,0,ROUND(AS442+ROUND(AS442*Y$3/12,2),2))</f>
      </c>
      <c r="F443" s="33">
        <f>IF(AT442&lt;=0,0,ROUND(AT442+ROUND(AT442*Z$3/12,2),2))</f>
      </c>
      <c r="G443" s="33">
        <f>IF(AU442&lt;=0,0,ROUND(AU442+ROUND(AU442*AA$3/12,2),2))</f>
      </c>
      <c r="H443" s="33">
        <f>IF(AV442&lt;=0,0,ROUND(AV442+ROUND(AV442*AB$3/12,2),2))</f>
      </c>
      <c r="I443" s="33">
        <f>IF(AW442&lt;=0,0,ROUND(AW442+ROUND(AW442*AC$3/12,2),2))</f>
      </c>
      <c r="J443" s="33">
        <f>IF(AX442&lt;=0,0,ROUND(AX442+ROUND(AX442*AD$3/12,2),2))</f>
      </c>
      <c r="K443" s="33">
        <f>IF(AY442&lt;=0,0,ROUND(AY442+ROUND(AY442*AE$3/12,2),2))</f>
      </c>
      <c r="L443" s="33">
        <f>ROUND(MIN(MAX(0,N('Your debts'!$E$6)),B443),2)</f>
      </c>
      <c r="M443" s="33">
        <f>ROUND(MIN(MAX(0,N('Your debts'!$E$7)),C443),2)</f>
      </c>
      <c r="N443" s="33">
        <f>ROUND(MIN(MAX(0,N('Your debts'!$E$8)),D443),2)</f>
      </c>
      <c r="O443" s="33">
        <f>ROUND(MIN(MAX(0,N('Your debts'!$E$9)),E443),2)</f>
      </c>
      <c r="P443" s="33">
        <f>ROUND(MIN(MAX(0,N('Your debts'!$E$10)),F443),2)</f>
      </c>
      <c r="Q443" s="33">
        <f>ROUND(MIN(MAX(0,N('Your debts'!$E$11)),G443),2)</f>
      </c>
      <c r="R443" s="33">
        <f>ROUND(MIN(MAX(0,N('Your debts'!$E$12)),H443),2)</f>
      </c>
      <c r="S443" s="33">
        <f>ROUND(MIN(MAX(0,N('Your debts'!$E$13)),I443),2)</f>
      </c>
      <c r="T443" s="33">
        <f>ROUND(MIN(MAX(0,N('Your debts'!$E$14)),J443),2)</f>
      </c>
      <c r="U443" s="33">
        <f>ROUND(MIN(MAX(0,N('Your debts'!$E$15)),K443),2)</f>
      </c>
      <c r="V443" s="33">
        <f>ROUND(B443-L443,2)</f>
      </c>
      <c r="W443" s="33">
        <f>ROUND(C443-M443,2)</f>
      </c>
      <c r="X443" s="33">
        <f>ROUND(D443-N443,2)</f>
      </c>
      <c r="Y443" s="33">
        <f>ROUND(E443-O443,2)</f>
      </c>
      <c r="Z443" s="33">
        <f>ROUND(F443-P443,2)</f>
      </c>
      <c r="AA443" s="33">
        <f>ROUND(G443-Q443,2)</f>
      </c>
      <c r="AB443" s="33">
        <f>ROUND(H443-R443,2)</f>
      </c>
      <c r="AC443" s="33">
        <f>ROUND(I443-S443,2)</f>
      </c>
      <c r="AD443" s="33">
        <f>ROUND(J443-T443,2)</f>
      </c>
      <c r="AE443" s="33">
        <f>ROUND(K443-U443,2)</f>
      </c>
      <c r="AF443" s="33">
        <f>IF(V443&lt;=0,0,MAX(0,MIN(V443,ROUND($AZ443-SUMPRODUCT($V443:$AE443*($V443:$AE443&gt;0)*(($V$3:$AE$3&gt;V$3)+($V$3:$AE$3=V$3)*($V443:$AE443&lt;V443)+($V$3:$AE$3=V$3)*($V443:$AE443=V443)*($V$2:$AE$2&lt;V$2))),2))))</f>
      </c>
      <c r="AG443" s="33">
        <f>IF(W443&lt;=0,0,MAX(0,MIN(W443,ROUND($AZ443-SUMPRODUCT($V443:$AE443*($V443:$AE443&gt;0)*(($V$3:$AE$3&gt;W$3)+($V$3:$AE$3=W$3)*($V443:$AE443&lt;W443)+($V$3:$AE$3=W$3)*($V443:$AE443=W443)*($V$2:$AE$2&lt;W$2))),2))))</f>
      </c>
      <c r="AH443" s="33">
        <f>IF(X443&lt;=0,0,MAX(0,MIN(X443,ROUND($AZ443-SUMPRODUCT($V443:$AE443*($V443:$AE443&gt;0)*(($V$3:$AE$3&gt;X$3)+($V$3:$AE$3=X$3)*($V443:$AE443&lt;X443)+($V$3:$AE$3=X$3)*($V443:$AE443=X443)*($V$2:$AE$2&lt;X$2))),2))))</f>
      </c>
      <c r="AI443" s="33">
        <f>IF(Y443&lt;=0,0,MAX(0,MIN(Y443,ROUND($AZ443-SUMPRODUCT($V443:$AE443*($V443:$AE443&gt;0)*(($V$3:$AE$3&gt;Y$3)+($V$3:$AE$3=Y$3)*($V443:$AE443&lt;Y443)+($V$3:$AE$3=Y$3)*($V443:$AE443=Y443)*($V$2:$AE$2&lt;Y$2))),2))))</f>
      </c>
      <c r="AJ443" s="33">
        <f>IF(Z443&lt;=0,0,MAX(0,MIN(Z443,ROUND($AZ443-SUMPRODUCT($V443:$AE443*($V443:$AE443&gt;0)*(($V$3:$AE$3&gt;Z$3)+($V$3:$AE$3=Z$3)*($V443:$AE443&lt;Z443)+($V$3:$AE$3=Z$3)*($V443:$AE443=Z443)*($V$2:$AE$2&lt;Z$2))),2))))</f>
      </c>
      <c r="AK443" s="33">
        <f>IF(AA443&lt;=0,0,MAX(0,MIN(AA443,ROUND($AZ443-SUMPRODUCT($V443:$AE443*($V443:$AE443&gt;0)*(($V$3:$AE$3&gt;AA$3)+($V$3:$AE$3=AA$3)*($V443:$AE443&lt;AA443)+($V$3:$AE$3=AA$3)*($V443:$AE443=AA443)*($V$2:$AE$2&lt;AA$2))),2))))</f>
      </c>
      <c r="AL443" s="33">
        <f>IF(AB443&lt;=0,0,MAX(0,MIN(AB443,ROUND($AZ443-SUMPRODUCT($V443:$AE443*($V443:$AE443&gt;0)*(($V$3:$AE$3&gt;AB$3)+($V$3:$AE$3=AB$3)*($V443:$AE443&lt;AB443)+($V$3:$AE$3=AB$3)*($V443:$AE443=AB443)*($V$2:$AE$2&lt;AB$2))),2))))</f>
      </c>
      <c r="AM443" s="33">
        <f>IF(AC443&lt;=0,0,MAX(0,MIN(AC443,ROUND($AZ443-SUMPRODUCT($V443:$AE443*($V443:$AE443&gt;0)*(($V$3:$AE$3&gt;AC$3)+($V$3:$AE$3=AC$3)*($V443:$AE443&lt;AC443)+($V$3:$AE$3=AC$3)*($V443:$AE443=AC443)*($V$2:$AE$2&lt;AC$2))),2))))</f>
      </c>
      <c r="AN443" s="33">
        <f>IF(AD443&lt;=0,0,MAX(0,MIN(AD443,ROUND($AZ443-SUMPRODUCT($V443:$AE443*($V443:$AE443&gt;0)*(($V$3:$AE$3&gt;AD$3)+($V$3:$AE$3=AD$3)*($V443:$AE443&lt;AD443)+($V$3:$AE$3=AD$3)*($V443:$AE443=AD443)*($V$2:$AE$2&lt;AD$2))),2))))</f>
      </c>
      <c r="AO443" s="33">
        <f>IF(AE443&lt;=0,0,MAX(0,MIN(AE443,ROUND($AZ443-SUMPRODUCT($V443:$AE443*($V443:$AE443&gt;0)*(($V$3:$AE$3&gt;AE$3)+($V$3:$AE$3=AE$3)*($V443:$AE443&lt;AE443)+($V$3:$AE$3=AE$3)*($V443:$AE443=AE443)*($V$2:$AE$2&lt;AE$2))),2))))</f>
      </c>
      <c r="AP443" s="33">
        <f>ROUND(V443-AF443,2)</f>
      </c>
      <c r="AQ443" s="33">
        <f>ROUND(W443-AG443,2)</f>
      </c>
      <c r="AR443" s="33">
        <f>ROUND(X443-AH443,2)</f>
      </c>
      <c r="AS443" s="33">
        <f>ROUND(Y443-AI443,2)</f>
      </c>
      <c r="AT443" s="33">
        <f>ROUND(Z443-AJ443,2)</f>
      </c>
      <c r="AU443" s="33">
        <f>ROUND(AA443-AK443,2)</f>
      </c>
      <c r="AV443" s="33">
        <f>ROUND(AB443-AL443,2)</f>
      </c>
      <c r="AW443" s="33">
        <f>ROUND(AC443-AM443,2)</f>
      </c>
      <c r="AX443" s="33">
        <f>ROUND(AD443-AN443,2)</f>
      </c>
      <c r="AY443" s="33">
        <f>ROUND(AE443-AO443,2)</f>
      </c>
      <c r="AZ443" s="33">
        <f>ROUND(MAX(0,'Your debts'!$D$22-SUM($L443:$U443)),2)</f>
      </c>
      <c r="BA443" s="33">
        <f>ROUND(SUM($B443:$K443)-SUM($AP442:$AY442),2)</f>
      </c>
      <c r="BB443" s="33">
        <f>SUM($AP443:$AY443)</f>
      </c>
      <c r="BC443" s="33">
        <f>ROUND(SUM($L443:$U443)+SUM($AF443:$AO443),2)</f>
      </c>
    </row>
    <row r="444" spans="1:55" x14ac:dyDescent="0.25">
      <c r="A444">
        <v>437</v>
      </c>
      <c r="B444" s="33">
        <f>IF(AP443&lt;=0,0,ROUND(AP443+ROUND(AP443*V$3/12,2),2))</f>
      </c>
      <c r="C444" s="33">
        <f>IF(AQ443&lt;=0,0,ROUND(AQ443+ROUND(AQ443*W$3/12,2),2))</f>
      </c>
      <c r="D444" s="33">
        <f>IF(AR443&lt;=0,0,ROUND(AR443+ROUND(AR443*X$3/12,2),2))</f>
      </c>
      <c r="E444" s="33">
        <f>IF(AS443&lt;=0,0,ROUND(AS443+ROUND(AS443*Y$3/12,2),2))</f>
      </c>
      <c r="F444" s="33">
        <f>IF(AT443&lt;=0,0,ROUND(AT443+ROUND(AT443*Z$3/12,2),2))</f>
      </c>
      <c r="G444" s="33">
        <f>IF(AU443&lt;=0,0,ROUND(AU443+ROUND(AU443*AA$3/12,2),2))</f>
      </c>
      <c r="H444" s="33">
        <f>IF(AV443&lt;=0,0,ROUND(AV443+ROUND(AV443*AB$3/12,2),2))</f>
      </c>
      <c r="I444" s="33">
        <f>IF(AW443&lt;=0,0,ROUND(AW443+ROUND(AW443*AC$3/12,2),2))</f>
      </c>
      <c r="J444" s="33">
        <f>IF(AX443&lt;=0,0,ROUND(AX443+ROUND(AX443*AD$3/12,2),2))</f>
      </c>
      <c r="K444" s="33">
        <f>IF(AY443&lt;=0,0,ROUND(AY443+ROUND(AY443*AE$3/12,2),2))</f>
      </c>
      <c r="L444" s="33">
        <f>ROUND(MIN(MAX(0,N('Your debts'!$E$6)),B444),2)</f>
      </c>
      <c r="M444" s="33">
        <f>ROUND(MIN(MAX(0,N('Your debts'!$E$7)),C444),2)</f>
      </c>
      <c r="N444" s="33">
        <f>ROUND(MIN(MAX(0,N('Your debts'!$E$8)),D444),2)</f>
      </c>
      <c r="O444" s="33">
        <f>ROUND(MIN(MAX(0,N('Your debts'!$E$9)),E444),2)</f>
      </c>
      <c r="P444" s="33">
        <f>ROUND(MIN(MAX(0,N('Your debts'!$E$10)),F444),2)</f>
      </c>
      <c r="Q444" s="33">
        <f>ROUND(MIN(MAX(0,N('Your debts'!$E$11)),G444),2)</f>
      </c>
      <c r="R444" s="33">
        <f>ROUND(MIN(MAX(0,N('Your debts'!$E$12)),H444),2)</f>
      </c>
      <c r="S444" s="33">
        <f>ROUND(MIN(MAX(0,N('Your debts'!$E$13)),I444),2)</f>
      </c>
      <c r="T444" s="33">
        <f>ROUND(MIN(MAX(0,N('Your debts'!$E$14)),J444),2)</f>
      </c>
      <c r="U444" s="33">
        <f>ROUND(MIN(MAX(0,N('Your debts'!$E$15)),K444),2)</f>
      </c>
      <c r="V444" s="33">
        <f>ROUND(B444-L444,2)</f>
      </c>
      <c r="W444" s="33">
        <f>ROUND(C444-M444,2)</f>
      </c>
      <c r="X444" s="33">
        <f>ROUND(D444-N444,2)</f>
      </c>
      <c r="Y444" s="33">
        <f>ROUND(E444-O444,2)</f>
      </c>
      <c r="Z444" s="33">
        <f>ROUND(F444-P444,2)</f>
      </c>
      <c r="AA444" s="33">
        <f>ROUND(G444-Q444,2)</f>
      </c>
      <c r="AB444" s="33">
        <f>ROUND(H444-R444,2)</f>
      </c>
      <c r="AC444" s="33">
        <f>ROUND(I444-S444,2)</f>
      </c>
      <c r="AD444" s="33">
        <f>ROUND(J444-T444,2)</f>
      </c>
      <c r="AE444" s="33">
        <f>ROUND(K444-U444,2)</f>
      </c>
      <c r="AF444" s="33">
        <f>IF(V444&lt;=0,0,MAX(0,MIN(V444,ROUND($AZ444-SUMPRODUCT($V444:$AE444*($V444:$AE444&gt;0)*(($V$3:$AE$3&gt;V$3)+($V$3:$AE$3=V$3)*($V444:$AE444&lt;V444)+($V$3:$AE$3=V$3)*($V444:$AE444=V444)*($V$2:$AE$2&lt;V$2))),2))))</f>
      </c>
      <c r="AG444" s="33">
        <f>IF(W444&lt;=0,0,MAX(0,MIN(W444,ROUND($AZ444-SUMPRODUCT($V444:$AE444*($V444:$AE444&gt;0)*(($V$3:$AE$3&gt;W$3)+($V$3:$AE$3=W$3)*($V444:$AE444&lt;W444)+($V$3:$AE$3=W$3)*($V444:$AE444=W444)*($V$2:$AE$2&lt;W$2))),2))))</f>
      </c>
      <c r="AH444" s="33">
        <f>IF(X444&lt;=0,0,MAX(0,MIN(X444,ROUND($AZ444-SUMPRODUCT($V444:$AE444*($V444:$AE444&gt;0)*(($V$3:$AE$3&gt;X$3)+($V$3:$AE$3=X$3)*($V444:$AE444&lt;X444)+($V$3:$AE$3=X$3)*($V444:$AE444=X444)*($V$2:$AE$2&lt;X$2))),2))))</f>
      </c>
      <c r="AI444" s="33">
        <f>IF(Y444&lt;=0,0,MAX(0,MIN(Y444,ROUND($AZ444-SUMPRODUCT($V444:$AE444*($V444:$AE444&gt;0)*(($V$3:$AE$3&gt;Y$3)+($V$3:$AE$3=Y$3)*($V444:$AE444&lt;Y444)+($V$3:$AE$3=Y$3)*($V444:$AE444=Y444)*($V$2:$AE$2&lt;Y$2))),2))))</f>
      </c>
      <c r="AJ444" s="33">
        <f>IF(Z444&lt;=0,0,MAX(0,MIN(Z444,ROUND($AZ444-SUMPRODUCT($V444:$AE444*($V444:$AE444&gt;0)*(($V$3:$AE$3&gt;Z$3)+($V$3:$AE$3=Z$3)*($V444:$AE444&lt;Z444)+($V$3:$AE$3=Z$3)*($V444:$AE444=Z444)*($V$2:$AE$2&lt;Z$2))),2))))</f>
      </c>
      <c r="AK444" s="33">
        <f>IF(AA444&lt;=0,0,MAX(0,MIN(AA444,ROUND($AZ444-SUMPRODUCT($V444:$AE444*($V444:$AE444&gt;0)*(($V$3:$AE$3&gt;AA$3)+($V$3:$AE$3=AA$3)*($V444:$AE444&lt;AA444)+($V$3:$AE$3=AA$3)*($V444:$AE444=AA444)*($V$2:$AE$2&lt;AA$2))),2))))</f>
      </c>
      <c r="AL444" s="33">
        <f>IF(AB444&lt;=0,0,MAX(0,MIN(AB444,ROUND($AZ444-SUMPRODUCT($V444:$AE444*($V444:$AE444&gt;0)*(($V$3:$AE$3&gt;AB$3)+($V$3:$AE$3=AB$3)*($V444:$AE444&lt;AB444)+($V$3:$AE$3=AB$3)*($V444:$AE444=AB444)*($V$2:$AE$2&lt;AB$2))),2))))</f>
      </c>
      <c r="AM444" s="33">
        <f>IF(AC444&lt;=0,0,MAX(0,MIN(AC444,ROUND($AZ444-SUMPRODUCT($V444:$AE444*($V444:$AE444&gt;0)*(($V$3:$AE$3&gt;AC$3)+($V$3:$AE$3=AC$3)*($V444:$AE444&lt;AC444)+($V$3:$AE$3=AC$3)*($V444:$AE444=AC444)*($V$2:$AE$2&lt;AC$2))),2))))</f>
      </c>
      <c r="AN444" s="33">
        <f>IF(AD444&lt;=0,0,MAX(0,MIN(AD444,ROUND($AZ444-SUMPRODUCT($V444:$AE444*($V444:$AE444&gt;0)*(($V$3:$AE$3&gt;AD$3)+($V$3:$AE$3=AD$3)*($V444:$AE444&lt;AD444)+($V$3:$AE$3=AD$3)*($V444:$AE444=AD444)*($V$2:$AE$2&lt;AD$2))),2))))</f>
      </c>
      <c r="AO444" s="33">
        <f>IF(AE444&lt;=0,0,MAX(0,MIN(AE444,ROUND($AZ444-SUMPRODUCT($V444:$AE444*($V444:$AE444&gt;0)*(($V$3:$AE$3&gt;AE$3)+($V$3:$AE$3=AE$3)*($V444:$AE444&lt;AE444)+($V$3:$AE$3=AE$3)*($V444:$AE444=AE444)*($V$2:$AE$2&lt;AE$2))),2))))</f>
      </c>
      <c r="AP444" s="33">
        <f>ROUND(V444-AF444,2)</f>
      </c>
      <c r="AQ444" s="33">
        <f>ROUND(W444-AG444,2)</f>
      </c>
      <c r="AR444" s="33">
        <f>ROUND(X444-AH444,2)</f>
      </c>
      <c r="AS444" s="33">
        <f>ROUND(Y444-AI444,2)</f>
      </c>
      <c r="AT444" s="33">
        <f>ROUND(Z444-AJ444,2)</f>
      </c>
      <c r="AU444" s="33">
        <f>ROUND(AA444-AK444,2)</f>
      </c>
      <c r="AV444" s="33">
        <f>ROUND(AB444-AL444,2)</f>
      </c>
      <c r="AW444" s="33">
        <f>ROUND(AC444-AM444,2)</f>
      </c>
      <c r="AX444" s="33">
        <f>ROUND(AD444-AN444,2)</f>
      </c>
      <c r="AY444" s="33">
        <f>ROUND(AE444-AO444,2)</f>
      </c>
      <c r="AZ444" s="33">
        <f>ROUND(MAX(0,'Your debts'!$D$22-SUM($L444:$U444)),2)</f>
      </c>
      <c r="BA444" s="33">
        <f>ROUND(SUM($B444:$K444)-SUM($AP443:$AY443),2)</f>
      </c>
      <c r="BB444" s="33">
        <f>SUM($AP444:$AY444)</f>
      </c>
      <c r="BC444" s="33">
        <f>ROUND(SUM($L444:$U444)+SUM($AF444:$AO444),2)</f>
      </c>
    </row>
    <row r="445" spans="1:55" x14ac:dyDescent="0.25">
      <c r="A445">
        <v>438</v>
      </c>
      <c r="B445" s="33">
        <f>IF(AP444&lt;=0,0,ROUND(AP444+ROUND(AP444*V$3/12,2),2))</f>
      </c>
      <c r="C445" s="33">
        <f>IF(AQ444&lt;=0,0,ROUND(AQ444+ROUND(AQ444*W$3/12,2),2))</f>
      </c>
      <c r="D445" s="33">
        <f>IF(AR444&lt;=0,0,ROUND(AR444+ROUND(AR444*X$3/12,2),2))</f>
      </c>
      <c r="E445" s="33">
        <f>IF(AS444&lt;=0,0,ROUND(AS444+ROUND(AS444*Y$3/12,2),2))</f>
      </c>
      <c r="F445" s="33">
        <f>IF(AT444&lt;=0,0,ROUND(AT444+ROUND(AT444*Z$3/12,2),2))</f>
      </c>
      <c r="G445" s="33">
        <f>IF(AU444&lt;=0,0,ROUND(AU444+ROUND(AU444*AA$3/12,2),2))</f>
      </c>
      <c r="H445" s="33">
        <f>IF(AV444&lt;=0,0,ROUND(AV444+ROUND(AV444*AB$3/12,2),2))</f>
      </c>
      <c r="I445" s="33">
        <f>IF(AW444&lt;=0,0,ROUND(AW444+ROUND(AW444*AC$3/12,2),2))</f>
      </c>
      <c r="J445" s="33">
        <f>IF(AX444&lt;=0,0,ROUND(AX444+ROUND(AX444*AD$3/12,2),2))</f>
      </c>
      <c r="K445" s="33">
        <f>IF(AY444&lt;=0,0,ROUND(AY444+ROUND(AY444*AE$3/12,2),2))</f>
      </c>
      <c r="L445" s="33">
        <f>ROUND(MIN(MAX(0,N('Your debts'!$E$6)),B445),2)</f>
      </c>
      <c r="M445" s="33">
        <f>ROUND(MIN(MAX(0,N('Your debts'!$E$7)),C445),2)</f>
      </c>
      <c r="N445" s="33">
        <f>ROUND(MIN(MAX(0,N('Your debts'!$E$8)),D445),2)</f>
      </c>
      <c r="O445" s="33">
        <f>ROUND(MIN(MAX(0,N('Your debts'!$E$9)),E445),2)</f>
      </c>
      <c r="P445" s="33">
        <f>ROUND(MIN(MAX(0,N('Your debts'!$E$10)),F445),2)</f>
      </c>
      <c r="Q445" s="33">
        <f>ROUND(MIN(MAX(0,N('Your debts'!$E$11)),G445),2)</f>
      </c>
      <c r="R445" s="33">
        <f>ROUND(MIN(MAX(0,N('Your debts'!$E$12)),H445),2)</f>
      </c>
      <c r="S445" s="33">
        <f>ROUND(MIN(MAX(0,N('Your debts'!$E$13)),I445),2)</f>
      </c>
      <c r="T445" s="33">
        <f>ROUND(MIN(MAX(0,N('Your debts'!$E$14)),J445),2)</f>
      </c>
      <c r="U445" s="33">
        <f>ROUND(MIN(MAX(0,N('Your debts'!$E$15)),K445),2)</f>
      </c>
      <c r="V445" s="33">
        <f>ROUND(B445-L445,2)</f>
      </c>
      <c r="W445" s="33">
        <f>ROUND(C445-M445,2)</f>
      </c>
      <c r="X445" s="33">
        <f>ROUND(D445-N445,2)</f>
      </c>
      <c r="Y445" s="33">
        <f>ROUND(E445-O445,2)</f>
      </c>
      <c r="Z445" s="33">
        <f>ROUND(F445-P445,2)</f>
      </c>
      <c r="AA445" s="33">
        <f>ROUND(G445-Q445,2)</f>
      </c>
      <c r="AB445" s="33">
        <f>ROUND(H445-R445,2)</f>
      </c>
      <c r="AC445" s="33">
        <f>ROUND(I445-S445,2)</f>
      </c>
      <c r="AD445" s="33">
        <f>ROUND(J445-T445,2)</f>
      </c>
      <c r="AE445" s="33">
        <f>ROUND(K445-U445,2)</f>
      </c>
      <c r="AF445" s="33">
        <f>IF(V445&lt;=0,0,MAX(0,MIN(V445,ROUND($AZ445-SUMPRODUCT($V445:$AE445*($V445:$AE445&gt;0)*(($V$3:$AE$3&gt;V$3)+($V$3:$AE$3=V$3)*($V445:$AE445&lt;V445)+($V$3:$AE$3=V$3)*($V445:$AE445=V445)*($V$2:$AE$2&lt;V$2))),2))))</f>
      </c>
      <c r="AG445" s="33">
        <f>IF(W445&lt;=0,0,MAX(0,MIN(W445,ROUND($AZ445-SUMPRODUCT($V445:$AE445*($V445:$AE445&gt;0)*(($V$3:$AE$3&gt;W$3)+($V$3:$AE$3=W$3)*($V445:$AE445&lt;W445)+($V$3:$AE$3=W$3)*($V445:$AE445=W445)*($V$2:$AE$2&lt;W$2))),2))))</f>
      </c>
      <c r="AH445" s="33">
        <f>IF(X445&lt;=0,0,MAX(0,MIN(X445,ROUND($AZ445-SUMPRODUCT($V445:$AE445*($V445:$AE445&gt;0)*(($V$3:$AE$3&gt;X$3)+($V$3:$AE$3=X$3)*($V445:$AE445&lt;X445)+($V$3:$AE$3=X$3)*($V445:$AE445=X445)*($V$2:$AE$2&lt;X$2))),2))))</f>
      </c>
      <c r="AI445" s="33">
        <f>IF(Y445&lt;=0,0,MAX(0,MIN(Y445,ROUND($AZ445-SUMPRODUCT($V445:$AE445*($V445:$AE445&gt;0)*(($V$3:$AE$3&gt;Y$3)+($V$3:$AE$3=Y$3)*($V445:$AE445&lt;Y445)+($V$3:$AE$3=Y$3)*($V445:$AE445=Y445)*($V$2:$AE$2&lt;Y$2))),2))))</f>
      </c>
      <c r="AJ445" s="33">
        <f>IF(Z445&lt;=0,0,MAX(0,MIN(Z445,ROUND($AZ445-SUMPRODUCT($V445:$AE445*($V445:$AE445&gt;0)*(($V$3:$AE$3&gt;Z$3)+($V$3:$AE$3=Z$3)*($V445:$AE445&lt;Z445)+($V$3:$AE$3=Z$3)*($V445:$AE445=Z445)*($V$2:$AE$2&lt;Z$2))),2))))</f>
      </c>
      <c r="AK445" s="33">
        <f>IF(AA445&lt;=0,0,MAX(0,MIN(AA445,ROUND($AZ445-SUMPRODUCT($V445:$AE445*($V445:$AE445&gt;0)*(($V$3:$AE$3&gt;AA$3)+($V$3:$AE$3=AA$3)*($V445:$AE445&lt;AA445)+($V$3:$AE$3=AA$3)*($V445:$AE445=AA445)*($V$2:$AE$2&lt;AA$2))),2))))</f>
      </c>
      <c r="AL445" s="33">
        <f>IF(AB445&lt;=0,0,MAX(0,MIN(AB445,ROUND($AZ445-SUMPRODUCT($V445:$AE445*($V445:$AE445&gt;0)*(($V$3:$AE$3&gt;AB$3)+($V$3:$AE$3=AB$3)*($V445:$AE445&lt;AB445)+($V$3:$AE$3=AB$3)*($V445:$AE445=AB445)*($V$2:$AE$2&lt;AB$2))),2))))</f>
      </c>
      <c r="AM445" s="33">
        <f>IF(AC445&lt;=0,0,MAX(0,MIN(AC445,ROUND($AZ445-SUMPRODUCT($V445:$AE445*($V445:$AE445&gt;0)*(($V$3:$AE$3&gt;AC$3)+($V$3:$AE$3=AC$3)*($V445:$AE445&lt;AC445)+($V$3:$AE$3=AC$3)*($V445:$AE445=AC445)*($V$2:$AE$2&lt;AC$2))),2))))</f>
      </c>
      <c r="AN445" s="33">
        <f>IF(AD445&lt;=0,0,MAX(0,MIN(AD445,ROUND($AZ445-SUMPRODUCT($V445:$AE445*($V445:$AE445&gt;0)*(($V$3:$AE$3&gt;AD$3)+($V$3:$AE$3=AD$3)*($V445:$AE445&lt;AD445)+($V$3:$AE$3=AD$3)*($V445:$AE445=AD445)*($V$2:$AE$2&lt;AD$2))),2))))</f>
      </c>
      <c r="AO445" s="33">
        <f>IF(AE445&lt;=0,0,MAX(0,MIN(AE445,ROUND($AZ445-SUMPRODUCT($V445:$AE445*($V445:$AE445&gt;0)*(($V$3:$AE$3&gt;AE$3)+($V$3:$AE$3=AE$3)*($V445:$AE445&lt;AE445)+($V$3:$AE$3=AE$3)*($V445:$AE445=AE445)*($V$2:$AE$2&lt;AE$2))),2))))</f>
      </c>
      <c r="AP445" s="33">
        <f>ROUND(V445-AF445,2)</f>
      </c>
      <c r="AQ445" s="33">
        <f>ROUND(W445-AG445,2)</f>
      </c>
      <c r="AR445" s="33">
        <f>ROUND(X445-AH445,2)</f>
      </c>
      <c r="AS445" s="33">
        <f>ROUND(Y445-AI445,2)</f>
      </c>
      <c r="AT445" s="33">
        <f>ROUND(Z445-AJ445,2)</f>
      </c>
      <c r="AU445" s="33">
        <f>ROUND(AA445-AK445,2)</f>
      </c>
      <c r="AV445" s="33">
        <f>ROUND(AB445-AL445,2)</f>
      </c>
      <c r="AW445" s="33">
        <f>ROUND(AC445-AM445,2)</f>
      </c>
      <c r="AX445" s="33">
        <f>ROUND(AD445-AN445,2)</f>
      </c>
      <c r="AY445" s="33">
        <f>ROUND(AE445-AO445,2)</f>
      </c>
      <c r="AZ445" s="33">
        <f>ROUND(MAX(0,'Your debts'!$D$22-SUM($L445:$U445)),2)</f>
      </c>
      <c r="BA445" s="33">
        <f>ROUND(SUM($B445:$K445)-SUM($AP444:$AY444),2)</f>
      </c>
      <c r="BB445" s="33">
        <f>SUM($AP445:$AY445)</f>
      </c>
      <c r="BC445" s="33">
        <f>ROUND(SUM($L445:$U445)+SUM($AF445:$AO445),2)</f>
      </c>
    </row>
    <row r="446" spans="1:55" x14ac:dyDescent="0.25">
      <c r="A446">
        <v>439</v>
      </c>
      <c r="B446" s="33">
        <f>IF(AP445&lt;=0,0,ROUND(AP445+ROUND(AP445*V$3/12,2),2))</f>
      </c>
      <c r="C446" s="33">
        <f>IF(AQ445&lt;=0,0,ROUND(AQ445+ROUND(AQ445*W$3/12,2),2))</f>
      </c>
      <c r="D446" s="33">
        <f>IF(AR445&lt;=0,0,ROUND(AR445+ROUND(AR445*X$3/12,2),2))</f>
      </c>
      <c r="E446" s="33">
        <f>IF(AS445&lt;=0,0,ROUND(AS445+ROUND(AS445*Y$3/12,2),2))</f>
      </c>
      <c r="F446" s="33">
        <f>IF(AT445&lt;=0,0,ROUND(AT445+ROUND(AT445*Z$3/12,2),2))</f>
      </c>
      <c r="G446" s="33">
        <f>IF(AU445&lt;=0,0,ROUND(AU445+ROUND(AU445*AA$3/12,2),2))</f>
      </c>
      <c r="H446" s="33">
        <f>IF(AV445&lt;=0,0,ROUND(AV445+ROUND(AV445*AB$3/12,2),2))</f>
      </c>
      <c r="I446" s="33">
        <f>IF(AW445&lt;=0,0,ROUND(AW445+ROUND(AW445*AC$3/12,2),2))</f>
      </c>
      <c r="J446" s="33">
        <f>IF(AX445&lt;=0,0,ROUND(AX445+ROUND(AX445*AD$3/12,2),2))</f>
      </c>
      <c r="K446" s="33">
        <f>IF(AY445&lt;=0,0,ROUND(AY445+ROUND(AY445*AE$3/12,2),2))</f>
      </c>
      <c r="L446" s="33">
        <f>ROUND(MIN(MAX(0,N('Your debts'!$E$6)),B446),2)</f>
      </c>
      <c r="M446" s="33">
        <f>ROUND(MIN(MAX(0,N('Your debts'!$E$7)),C446),2)</f>
      </c>
      <c r="N446" s="33">
        <f>ROUND(MIN(MAX(0,N('Your debts'!$E$8)),D446),2)</f>
      </c>
      <c r="O446" s="33">
        <f>ROUND(MIN(MAX(0,N('Your debts'!$E$9)),E446),2)</f>
      </c>
      <c r="P446" s="33">
        <f>ROUND(MIN(MAX(0,N('Your debts'!$E$10)),F446),2)</f>
      </c>
      <c r="Q446" s="33">
        <f>ROUND(MIN(MAX(0,N('Your debts'!$E$11)),G446),2)</f>
      </c>
      <c r="R446" s="33">
        <f>ROUND(MIN(MAX(0,N('Your debts'!$E$12)),H446),2)</f>
      </c>
      <c r="S446" s="33">
        <f>ROUND(MIN(MAX(0,N('Your debts'!$E$13)),I446),2)</f>
      </c>
      <c r="T446" s="33">
        <f>ROUND(MIN(MAX(0,N('Your debts'!$E$14)),J446),2)</f>
      </c>
      <c r="U446" s="33">
        <f>ROUND(MIN(MAX(0,N('Your debts'!$E$15)),K446),2)</f>
      </c>
      <c r="V446" s="33">
        <f>ROUND(B446-L446,2)</f>
      </c>
      <c r="W446" s="33">
        <f>ROUND(C446-M446,2)</f>
      </c>
      <c r="X446" s="33">
        <f>ROUND(D446-N446,2)</f>
      </c>
      <c r="Y446" s="33">
        <f>ROUND(E446-O446,2)</f>
      </c>
      <c r="Z446" s="33">
        <f>ROUND(F446-P446,2)</f>
      </c>
      <c r="AA446" s="33">
        <f>ROUND(G446-Q446,2)</f>
      </c>
      <c r="AB446" s="33">
        <f>ROUND(H446-R446,2)</f>
      </c>
      <c r="AC446" s="33">
        <f>ROUND(I446-S446,2)</f>
      </c>
      <c r="AD446" s="33">
        <f>ROUND(J446-T446,2)</f>
      </c>
      <c r="AE446" s="33">
        <f>ROUND(K446-U446,2)</f>
      </c>
      <c r="AF446" s="33">
        <f>IF(V446&lt;=0,0,MAX(0,MIN(V446,ROUND($AZ446-SUMPRODUCT($V446:$AE446*($V446:$AE446&gt;0)*(($V$3:$AE$3&gt;V$3)+($V$3:$AE$3=V$3)*($V446:$AE446&lt;V446)+($V$3:$AE$3=V$3)*($V446:$AE446=V446)*($V$2:$AE$2&lt;V$2))),2))))</f>
      </c>
      <c r="AG446" s="33">
        <f>IF(W446&lt;=0,0,MAX(0,MIN(W446,ROUND($AZ446-SUMPRODUCT($V446:$AE446*($V446:$AE446&gt;0)*(($V$3:$AE$3&gt;W$3)+($V$3:$AE$3=W$3)*($V446:$AE446&lt;W446)+($V$3:$AE$3=W$3)*($V446:$AE446=W446)*($V$2:$AE$2&lt;W$2))),2))))</f>
      </c>
      <c r="AH446" s="33">
        <f>IF(X446&lt;=0,0,MAX(0,MIN(X446,ROUND($AZ446-SUMPRODUCT($V446:$AE446*($V446:$AE446&gt;0)*(($V$3:$AE$3&gt;X$3)+($V$3:$AE$3=X$3)*($V446:$AE446&lt;X446)+($V$3:$AE$3=X$3)*($V446:$AE446=X446)*($V$2:$AE$2&lt;X$2))),2))))</f>
      </c>
      <c r="AI446" s="33">
        <f>IF(Y446&lt;=0,0,MAX(0,MIN(Y446,ROUND($AZ446-SUMPRODUCT($V446:$AE446*($V446:$AE446&gt;0)*(($V$3:$AE$3&gt;Y$3)+($V$3:$AE$3=Y$3)*($V446:$AE446&lt;Y446)+($V$3:$AE$3=Y$3)*($V446:$AE446=Y446)*($V$2:$AE$2&lt;Y$2))),2))))</f>
      </c>
      <c r="AJ446" s="33">
        <f>IF(Z446&lt;=0,0,MAX(0,MIN(Z446,ROUND($AZ446-SUMPRODUCT($V446:$AE446*($V446:$AE446&gt;0)*(($V$3:$AE$3&gt;Z$3)+($V$3:$AE$3=Z$3)*($V446:$AE446&lt;Z446)+($V$3:$AE$3=Z$3)*($V446:$AE446=Z446)*($V$2:$AE$2&lt;Z$2))),2))))</f>
      </c>
      <c r="AK446" s="33">
        <f>IF(AA446&lt;=0,0,MAX(0,MIN(AA446,ROUND($AZ446-SUMPRODUCT($V446:$AE446*($V446:$AE446&gt;0)*(($V$3:$AE$3&gt;AA$3)+($V$3:$AE$3=AA$3)*($V446:$AE446&lt;AA446)+($V$3:$AE$3=AA$3)*($V446:$AE446=AA446)*($V$2:$AE$2&lt;AA$2))),2))))</f>
      </c>
      <c r="AL446" s="33">
        <f>IF(AB446&lt;=0,0,MAX(0,MIN(AB446,ROUND($AZ446-SUMPRODUCT($V446:$AE446*($V446:$AE446&gt;0)*(($V$3:$AE$3&gt;AB$3)+($V$3:$AE$3=AB$3)*($V446:$AE446&lt;AB446)+($V$3:$AE$3=AB$3)*($V446:$AE446=AB446)*($V$2:$AE$2&lt;AB$2))),2))))</f>
      </c>
      <c r="AM446" s="33">
        <f>IF(AC446&lt;=0,0,MAX(0,MIN(AC446,ROUND($AZ446-SUMPRODUCT($V446:$AE446*($V446:$AE446&gt;0)*(($V$3:$AE$3&gt;AC$3)+($V$3:$AE$3=AC$3)*($V446:$AE446&lt;AC446)+($V$3:$AE$3=AC$3)*($V446:$AE446=AC446)*($V$2:$AE$2&lt;AC$2))),2))))</f>
      </c>
      <c r="AN446" s="33">
        <f>IF(AD446&lt;=0,0,MAX(0,MIN(AD446,ROUND($AZ446-SUMPRODUCT($V446:$AE446*($V446:$AE446&gt;0)*(($V$3:$AE$3&gt;AD$3)+($V$3:$AE$3=AD$3)*($V446:$AE446&lt;AD446)+($V$3:$AE$3=AD$3)*($V446:$AE446=AD446)*($V$2:$AE$2&lt;AD$2))),2))))</f>
      </c>
      <c r="AO446" s="33">
        <f>IF(AE446&lt;=0,0,MAX(0,MIN(AE446,ROUND($AZ446-SUMPRODUCT($V446:$AE446*($V446:$AE446&gt;0)*(($V$3:$AE$3&gt;AE$3)+($V$3:$AE$3=AE$3)*($V446:$AE446&lt;AE446)+($V$3:$AE$3=AE$3)*($V446:$AE446=AE446)*($V$2:$AE$2&lt;AE$2))),2))))</f>
      </c>
      <c r="AP446" s="33">
        <f>ROUND(V446-AF446,2)</f>
      </c>
      <c r="AQ446" s="33">
        <f>ROUND(W446-AG446,2)</f>
      </c>
      <c r="AR446" s="33">
        <f>ROUND(X446-AH446,2)</f>
      </c>
      <c r="AS446" s="33">
        <f>ROUND(Y446-AI446,2)</f>
      </c>
      <c r="AT446" s="33">
        <f>ROUND(Z446-AJ446,2)</f>
      </c>
      <c r="AU446" s="33">
        <f>ROUND(AA446-AK446,2)</f>
      </c>
      <c r="AV446" s="33">
        <f>ROUND(AB446-AL446,2)</f>
      </c>
      <c r="AW446" s="33">
        <f>ROUND(AC446-AM446,2)</f>
      </c>
      <c r="AX446" s="33">
        <f>ROUND(AD446-AN446,2)</f>
      </c>
      <c r="AY446" s="33">
        <f>ROUND(AE446-AO446,2)</f>
      </c>
      <c r="AZ446" s="33">
        <f>ROUND(MAX(0,'Your debts'!$D$22-SUM($L446:$U446)),2)</f>
      </c>
      <c r="BA446" s="33">
        <f>ROUND(SUM($B446:$K446)-SUM($AP445:$AY445),2)</f>
      </c>
      <c r="BB446" s="33">
        <f>SUM($AP446:$AY446)</f>
      </c>
      <c r="BC446" s="33">
        <f>ROUND(SUM($L446:$U446)+SUM($AF446:$AO446),2)</f>
      </c>
    </row>
    <row r="447" spans="1:55" x14ac:dyDescent="0.25">
      <c r="A447">
        <v>440</v>
      </c>
      <c r="B447" s="33">
        <f>IF(AP446&lt;=0,0,ROUND(AP446+ROUND(AP446*V$3/12,2),2))</f>
      </c>
      <c r="C447" s="33">
        <f>IF(AQ446&lt;=0,0,ROUND(AQ446+ROUND(AQ446*W$3/12,2),2))</f>
      </c>
      <c r="D447" s="33">
        <f>IF(AR446&lt;=0,0,ROUND(AR446+ROUND(AR446*X$3/12,2),2))</f>
      </c>
      <c r="E447" s="33">
        <f>IF(AS446&lt;=0,0,ROUND(AS446+ROUND(AS446*Y$3/12,2),2))</f>
      </c>
      <c r="F447" s="33">
        <f>IF(AT446&lt;=0,0,ROUND(AT446+ROUND(AT446*Z$3/12,2),2))</f>
      </c>
      <c r="G447" s="33">
        <f>IF(AU446&lt;=0,0,ROUND(AU446+ROUND(AU446*AA$3/12,2),2))</f>
      </c>
      <c r="H447" s="33">
        <f>IF(AV446&lt;=0,0,ROUND(AV446+ROUND(AV446*AB$3/12,2),2))</f>
      </c>
      <c r="I447" s="33">
        <f>IF(AW446&lt;=0,0,ROUND(AW446+ROUND(AW446*AC$3/12,2),2))</f>
      </c>
      <c r="J447" s="33">
        <f>IF(AX446&lt;=0,0,ROUND(AX446+ROUND(AX446*AD$3/12,2),2))</f>
      </c>
      <c r="K447" s="33">
        <f>IF(AY446&lt;=0,0,ROUND(AY446+ROUND(AY446*AE$3/12,2),2))</f>
      </c>
      <c r="L447" s="33">
        <f>ROUND(MIN(MAX(0,N('Your debts'!$E$6)),B447),2)</f>
      </c>
      <c r="M447" s="33">
        <f>ROUND(MIN(MAX(0,N('Your debts'!$E$7)),C447),2)</f>
      </c>
      <c r="N447" s="33">
        <f>ROUND(MIN(MAX(0,N('Your debts'!$E$8)),D447),2)</f>
      </c>
      <c r="O447" s="33">
        <f>ROUND(MIN(MAX(0,N('Your debts'!$E$9)),E447),2)</f>
      </c>
      <c r="P447" s="33">
        <f>ROUND(MIN(MAX(0,N('Your debts'!$E$10)),F447),2)</f>
      </c>
      <c r="Q447" s="33">
        <f>ROUND(MIN(MAX(0,N('Your debts'!$E$11)),G447),2)</f>
      </c>
      <c r="R447" s="33">
        <f>ROUND(MIN(MAX(0,N('Your debts'!$E$12)),H447),2)</f>
      </c>
      <c r="S447" s="33">
        <f>ROUND(MIN(MAX(0,N('Your debts'!$E$13)),I447),2)</f>
      </c>
      <c r="T447" s="33">
        <f>ROUND(MIN(MAX(0,N('Your debts'!$E$14)),J447),2)</f>
      </c>
      <c r="U447" s="33">
        <f>ROUND(MIN(MAX(0,N('Your debts'!$E$15)),K447),2)</f>
      </c>
      <c r="V447" s="33">
        <f>ROUND(B447-L447,2)</f>
      </c>
      <c r="W447" s="33">
        <f>ROUND(C447-M447,2)</f>
      </c>
      <c r="X447" s="33">
        <f>ROUND(D447-N447,2)</f>
      </c>
      <c r="Y447" s="33">
        <f>ROUND(E447-O447,2)</f>
      </c>
      <c r="Z447" s="33">
        <f>ROUND(F447-P447,2)</f>
      </c>
      <c r="AA447" s="33">
        <f>ROUND(G447-Q447,2)</f>
      </c>
      <c r="AB447" s="33">
        <f>ROUND(H447-R447,2)</f>
      </c>
      <c r="AC447" s="33">
        <f>ROUND(I447-S447,2)</f>
      </c>
      <c r="AD447" s="33">
        <f>ROUND(J447-T447,2)</f>
      </c>
      <c r="AE447" s="33">
        <f>ROUND(K447-U447,2)</f>
      </c>
      <c r="AF447" s="33">
        <f>IF(V447&lt;=0,0,MAX(0,MIN(V447,ROUND($AZ447-SUMPRODUCT($V447:$AE447*($V447:$AE447&gt;0)*(($V$3:$AE$3&gt;V$3)+($V$3:$AE$3=V$3)*($V447:$AE447&lt;V447)+($V$3:$AE$3=V$3)*($V447:$AE447=V447)*($V$2:$AE$2&lt;V$2))),2))))</f>
      </c>
      <c r="AG447" s="33">
        <f>IF(W447&lt;=0,0,MAX(0,MIN(W447,ROUND($AZ447-SUMPRODUCT($V447:$AE447*($V447:$AE447&gt;0)*(($V$3:$AE$3&gt;W$3)+($V$3:$AE$3=W$3)*($V447:$AE447&lt;W447)+($V$3:$AE$3=W$3)*($V447:$AE447=W447)*($V$2:$AE$2&lt;W$2))),2))))</f>
      </c>
      <c r="AH447" s="33">
        <f>IF(X447&lt;=0,0,MAX(0,MIN(X447,ROUND($AZ447-SUMPRODUCT($V447:$AE447*($V447:$AE447&gt;0)*(($V$3:$AE$3&gt;X$3)+($V$3:$AE$3=X$3)*($V447:$AE447&lt;X447)+($V$3:$AE$3=X$3)*($V447:$AE447=X447)*($V$2:$AE$2&lt;X$2))),2))))</f>
      </c>
      <c r="AI447" s="33">
        <f>IF(Y447&lt;=0,0,MAX(0,MIN(Y447,ROUND($AZ447-SUMPRODUCT($V447:$AE447*($V447:$AE447&gt;0)*(($V$3:$AE$3&gt;Y$3)+($V$3:$AE$3=Y$3)*($V447:$AE447&lt;Y447)+($V$3:$AE$3=Y$3)*($V447:$AE447=Y447)*($V$2:$AE$2&lt;Y$2))),2))))</f>
      </c>
      <c r="AJ447" s="33">
        <f>IF(Z447&lt;=0,0,MAX(0,MIN(Z447,ROUND($AZ447-SUMPRODUCT($V447:$AE447*($V447:$AE447&gt;0)*(($V$3:$AE$3&gt;Z$3)+($V$3:$AE$3=Z$3)*($V447:$AE447&lt;Z447)+($V$3:$AE$3=Z$3)*($V447:$AE447=Z447)*($V$2:$AE$2&lt;Z$2))),2))))</f>
      </c>
      <c r="AK447" s="33">
        <f>IF(AA447&lt;=0,0,MAX(0,MIN(AA447,ROUND($AZ447-SUMPRODUCT($V447:$AE447*($V447:$AE447&gt;0)*(($V$3:$AE$3&gt;AA$3)+($V$3:$AE$3=AA$3)*($V447:$AE447&lt;AA447)+($V$3:$AE$3=AA$3)*($V447:$AE447=AA447)*($V$2:$AE$2&lt;AA$2))),2))))</f>
      </c>
      <c r="AL447" s="33">
        <f>IF(AB447&lt;=0,0,MAX(0,MIN(AB447,ROUND($AZ447-SUMPRODUCT($V447:$AE447*($V447:$AE447&gt;0)*(($V$3:$AE$3&gt;AB$3)+($V$3:$AE$3=AB$3)*($V447:$AE447&lt;AB447)+($V$3:$AE$3=AB$3)*($V447:$AE447=AB447)*($V$2:$AE$2&lt;AB$2))),2))))</f>
      </c>
      <c r="AM447" s="33">
        <f>IF(AC447&lt;=0,0,MAX(0,MIN(AC447,ROUND($AZ447-SUMPRODUCT($V447:$AE447*($V447:$AE447&gt;0)*(($V$3:$AE$3&gt;AC$3)+($V$3:$AE$3=AC$3)*($V447:$AE447&lt;AC447)+($V$3:$AE$3=AC$3)*($V447:$AE447=AC447)*($V$2:$AE$2&lt;AC$2))),2))))</f>
      </c>
      <c r="AN447" s="33">
        <f>IF(AD447&lt;=0,0,MAX(0,MIN(AD447,ROUND($AZ447-SUMPRODUCT($V447:$AE447*($V447:$AE447&gt;0)*(($V$3:$AE$3&gt;AD$3)+($V$3:$AE$3=AD$3)*($V447:$AE447&lt;AD447)+($V$3:$AE$3=AD$3)*($V447:$AE447=AD447)*($V$2:$AE$2&lt;AD$2))),2))))</f>
      </c>
      <c r="AO447" s="33">
        <f>IF(AE447&lt;=0,0,MAX(0,MIN(AE447,ROUND($AZ447-SUMPRODUCT($V447:$AE447*($V447:$AE447&gt;0)*(($V$3:$AE$3&gt;AE$3)+($V$3:$AE$3=AE$3)*($V447:$AE447&lt;AE447)+($V$3:$AE$3=AE$3)*($V447:$AE447=AE447)*($V$2:$AE$2&lt;AE$2))),2))))</f>
      </c>
      <c r="AP447" s="33">
        <f>ROUND(V447-AF447,2)</f>
      </c>
      <c r="AQ447" s="33">
        <f>ROUND(W447-AG447,2)</f>
      </c>
      <c r="AR447" s="33">
        <f>ROUND(X447-AH447,2)</f>
      </c>
      <c r="AS447" s="33">
        <f>ROUND(Y447-AI447,2)</f>
      </c>
      <c r="AT447" s="33">
        <f>ROUND(Z447-AJ447,2)</f>
      </c>
      <c r="AU447" s="33">
        <f>ROUND(AA447-AK447,2)</f>
      </c>
      <c r="AV447" s="33">
        <f>ROUND(AB447-AL447,2)</f>
      </c>
      <c r="AW447" s="33">
        <f>ROUND(AC447-AM447,2)</f>
      </c>
      <c r="AX447" s="33">
        <f>ROUND(AD447-AN447,2)</f>
      </c>
      <c r="AY447" s="33">
        <f>ROUND(AE447-AO447,2)</f>
      </c>
      <c r="AZ447" s="33">
        <f>ROUND(MAX(0,'Your debts'!$D$22-SUM($L447:$U447)),2)</f>
      </c>
      <c r="BA447" s="33">
        <f>ROUND(SUM($B447:$K447)-SUM($AP446:$AY446),2)</f>
      </c>
      <c r="BB447" s="33">
        <f>SUM($AP447:$AY447)</f>
      </c>
      <c r="BC447" s="33">
        <f>ROUND(SUM($L447:$U447)+SUM($AF447:$AO447),2)</f>
      </c>
    </row>
    <row r="448" spans="1:55" x14ac:dyDescent="0.25">
      <c r="A448">
        <v>441</v>
      </c>
      <c r="B448" s="33">
        <f>IF(AP447&lt;=0,0,ROUND(AP447+ROUND(AP447*V$3/12,2),2))</f>
      </c>
      <c r="C448" s="33">
        <f>IF(AQ447&lt;=0,0,ROUND(AQ447+ROUND(AQ447*W$3/12,2),2))</f>
      </c>
      <c r="D448" s="33">
        <f>IF(AR447&lt;=0,0,ROUND(AR447+ROUND(AR447*X$3/12,2),2))</f>
      </c>
      <c r="E448" s="33">
        <f>IF(AS447&lt;=0,0,ROUND(AS447+ROUND(AS447*Y$3/12,2),2))</f>
      </c>
      <c r="F448" s="33">
        <f>IF(AT447&lt;=0,0,ROUND(AT447+ROUND(AT447*Z$3/12,2),2))</f>
      </c>
      <c r="G448" s="33">
        <f>IF(AU447&lt;=0,0,ROUND(AU447+ROUND(AU447*AA$3/12,2),2))</f>
      </c>
      <c r="H448" s="33">
        <f>IF(AV447&lt;=0,0,ROUND(AV447+ROUND(AV447*AB$3/12,2),2))</f>
      </c>
      <c r="I448" s="33">
        <f>IF(AW447&lt;=0,0,ROUND(AW447+ROUND(AW447*AC$3/12,2),2))</f>
      </c>
      <c r="J448" s="33">
        <f>IF(AX447&lt;=0,0,ROUND(AX447+ROUND(AX447*AD$3/12,2),2))</f>
      </c>
      <c r="K448" s="33">
        <f>IF(AY447&lt;=0,0,ROUND(AY447+ROUND(AY447*AE$3/12,2),2))</f>
      </c>
      <c r="L448" s="33">
        <f>ROUND(MIN(MAX(0,N('Your debts'!$E$6)),B448),2)</f>
      </c>
      <c r="M448" s="33">
        <f>ROUND(MIN(MAX(0,N('Your debts'!$E$7)),C448),2)</f>
      </c>
      <c r="N448" s="33">
        <f>ROUND(MIN(MAX(0,N('Your debts'!$E$8)),D448),2)</f>
      </c>
      <c r="O448" s="33">
        <f>ROUND(MIN(MAX(0,N('Your debts'!$E$9)),E448),2)</f>
      </c>
      <c r="P448" s="33">
        <f>ROUND(MIN(MAX(0,N('Your debts'!$E$10)),F448),2)</f>
      </c>
      <c r="Q448" s="33">
        <f>ROUND(MIN(MAX(0,N('Your debts'!$E$11)),G448),2)</f>
      </c>
      <c r="R448" s="33">
        <f>ROUND(MIN(MAX(0,N('Your debts'!$E$12)),H448),2)</f>
      </c>
      <c r="S448" s="33">
        <f>ROUND(MIN(MAX(0,N('Your debts'!$E$13)),I448),2)</f>
      </c>
      <c r="T448" s="33">
        <f>ROUND(MIN(MAX(0,N('Your debts'!$E$14)),J448),2)</f>
      </c>
      <c r="U448" s="33">
        <f>ROUND(MIN(MAX(0,N('Your debts'!$E$15)),K448),2)</f>
      </c>
      <c r="V448" s="33">
        <f>ROUND(B448-L448,2)</f>
      </c>
      <c r="W448" s="33">
        <f>ROUND(C448-M448,2)</f>
      </c>
      <c r="X448" s="33">
        <f>ROUND(D448-N448,2)</f>
      </c>
      <c r="Y448" s="33">
        <f>ROUND(E448-O448,2)</f>
      </c>
      <c r="Z448" s="33">
        <f>ROUND(F448-P448,2)</f>
      </c>
      <c r="AA448" s="33">
        <f>ROUND(G448-Q448,2)</f>
      </c>
      <c r="AB448" s="33">
        <f>ROUND(H448-R448,2)</f>
      </c>
      <c r="AC448" s="33">
        <f>ROUND(I448-S448,2)</f>
      </c>
      <c r="AD448" s="33">
        <f>ROUND(J448-T448,2)</f>
      </c>
      <c r="AE448" s="33">
        <f>ROUND(K448-U448,2)</f>
      </c>
      <c r="AF448" s="33">
        <f>IF(V448&lt;=0,0,MAX(0,MIN(V448,ROUND($AZ448-SUMPRODUCT($V448:$AE448*($V448:$AE448&gt;0)*(($V$3:$AE$3&gt;V$3)+($V$3:$AE$3=V$3)*($V448:$AE448&lt;V448)+($V$3:$AE$3=V$3)*($V448:$AE448=V448)*($V$2:$AE$2&lt;V$2))),2))))</f>
      </c>
      <c r="AG448" s="33">
        <f>IF(W448&lt;=0,0,MAX(0,MIN(W448,ROUND($AZ448-SUMPRODUCT($V448:$AE448*($V448:$AE448&gt;0)*(($V$3:$AE$3&gt;W$3)+($V$3:$AE$3=W$3)*($V448:$AE448&lt;W448)+($V$3:$AE$3=W$3)*($V448:$AE448=W448)*($V$2:$AE$2&lt;W$2))),2))))</f>
      </c>
      <c r="AH448" s="33">
        <f>IF(X448&lt;=0,0,MAX(0,MIN(X448,ROUND($AZ448-SUMPRODUCT($V448:$AE448*($V448:$AE448&gt;0)*(($V$3:$AE$3&gt;X$3)+($V$3:$AE$3=X$3)*($V448:$AE448&lt;X448)+($V$3:$AE$3=X$3)*($V448:$AE448=X448)*($V$2:$AE$2&lt;X$2))),2))))</f>
      </c>
      <c r="AI448" s="33">
        <f>IF(Y448&lt;=0,0,MAX(0,MIN(Y448,ROUND($AZ448-SUMPRODUCT($V448:$AE448*($V448:$AE448&gt;0)*(($V$3:$AE$3&gt;Y$3)+($V$3:$AE$3=Y$3)*($V448:$AE448&lt;Y448)+($V$3:$AE$3=Y$3)*($V448:$AE448=Y448)*($V$2:$AE$2&lt;Y$2))),2))))</f>
      </c>
      <c r="AJ448" s="33">
        <f>IF(Z448&lt;=0,0,MAX(0,MIN(Z448,ROUND($AZ448-SUMPRODUCT($V448:$AE448*($V448:$AE448&gt;0)*(($V$3:$AE$3&gt;Z$3)+($V$3:$AE$3=Z$3)*($V448:$AE448&lt;Z448)+($V$3:$AE$3=Z$3)*($V448:$AE448=Z448)*($V$2:$AE$2&lt;Z$2))),2))))</f>
      </c>
      <c r="AK448" s="33">
        <f>IF(AA448&lt;=0,0,MAX(0,MIN(AA448,ROUND($AZ448-SUMPRODUCT($V448:$AE448*($V448:$AE448&gt;0)*(($V$3:$AE$3&gt;AA$3)+($V$3:$AE$3=AA$3)*($V448:$AE448&lt;AA448)+($V$3:$AE$3=AA$3)*($V448:$AE448=AA448)*($V$2:$AE$2&lt;AA$2))),2))))</f>
      </c>
      <c r="AL448" s="33">
        <f>IF(AB448&lt;=0,0,MAX(0,MIN(AB448,ROUND($AZ448-SUMPRODUCT($V448:$AE448*($V448:$AE448&gt;0)*(($V$3:$AE$3&gt;AB$3)+($V$3:$AE$3=AB$3)*($V448:$AE448&lt;AB448)+($V$3:$AE$3=AB$3)*($V448:$AE448=AB448)*($V$2:$AE$2&lt;AB$2))),2))))</f>
      </c>
      <c r="AM448" s="33">
        <f>IF(AC448&lt;=0,0,MAX(0,MIN(AC448,ROUND($AZ448-SUMPRODUCT($V448:$AE448*($V448:$AE448&gt;0)*(($V$3:$AE$3&gt;AC$3)+($V$3:$AE$3=AC$3)*($V448:$AE448&lt;AC448)+($V$3:$AE$3=AC$3)*($V448:$AE448=AC448)*($V$2:$AE$2&lt;AC$2))),2))))</f>
      </c>
      <c r="AN448" s="33">
        <f>IF(AD448&lt;=0,0,MAX(0,MIN(AD448,ROUND($AZ448-SUMPRODUCT($V448:$AE448*($V448:$AE448&gt;0)*(($V$3:$AE$3&gt;AD$3)+($V$3:$AE$3=AD$3)*($V448:$AE448&lt;AD448)+($V$3:$AE$3=AD$3)*($V448:$AE448=AD448)*($V$2:$AE$2&lt;AD$2))),2))))</f>
      </c>
      <c r="AO448" s="33">
        <f>IF(AE448&lt;=0,0,MAX(0,MIN(AE448,ROUND($AZ448-SUMPRODUCT($V448:$AE448*($V448:$AE448&gt;0)*(($V$3:$AE$3&gt;AE$3)+($V$3:$AE$3=AE$3)*($V448:$AE448&lt;AE448)+($V$3:$AE$3=AE$3)*($V448:$AE448=AE448)*($V$2:$AE$2&lt;AE$2))),2))))</f>
      </c>
      <c r="AP448" s="33">
        <f>ROUND(V448-AF448,2)</f>
      </c>
      <c r="AQ448" s="33">
        <f>ROUND(W448-AG448,2)</f>
      </c>
      <c r="AR448" s="33">
        <f>ROUND(X448-AH448,2)</f>
      </c>
      <c r="AS448" s="33">
        <f>ROUND(Y448-AI448,2)</f>
      </c>
      <c r="AT448" s="33">
        <f>ROUND(Z448-AJ448,2)</f>
      </c>
      <c r="AU448" s="33">
        <f>ROUND(AA448-AK448,2)</f>
      </c>
      <c r="AV448" s="33">
        <f>ROUND(AB448-AL448,2)</f>
      </c>
      <c r="AW448" s="33">
        <f>ROUND(AC448-AM448,2)</f>
      </c>
      <c r="AX448" s="33">
        <f>ROUND(AD448-AN448,2)</f>
      </c>
      <c r="AY448" s="33">
        <f>ROUND(AE448-AO448,2)</f>
      </c>
      <c r="AZ448" s="33">
        <f>ROUND(MAX(0,'Your debts'!$D$22-SUM($L448:$U448)),2)</f>
      </c>
      <c r="BA448" s="33">
        <f>ROUND(SUM($B448:$K448)-SUM($AP447:$AY447),2)</f>
      </c>
      <c r="BB448" s="33">
        <f>SUM($AP448:$AY448)</f>
      </c>
      <c r="BC448" s="33">
        <f>ROUND(SUM($L448:$U448)+SUM($AF448:$AO448),2)</f>
      </c>
    </row>
    <row r="449" spans="1:55" x14ac:dyDescent="0.25">
      <c r="A449">
        <v>442</v>
      </c>
      <c r="B449" s="33">
        <f>IF(AP448&lt;=0,0,ROUND(AP448+ROUND(AP448*V$3/12,2),2))</f>
      </c>
      <c r="C449" s="33">
        <f>IF(AQ448&lt;=0,0,ROUND(AQ448+ROUND(AQ448*W$3/12,2),2))</f>
      </c>
      <c r="D449" s="33">
        <f>IF(AR448&lt;=0,0,ROUND(AR448+ROUND(AR448*X$3/12,2),2))</f>
      </c>
      <c r="E449" s="33">
        <f>IF(AS448&lt;=0,0,ROUND(AS448+ROUND(AS448*Y$3/12,2),2))</f>
      </c>
      <c r="F449" s="33">
        <f>IF(AT448&lt;=0,0,ROUND(AT448+ROUND(AT448*Z$3/12,2),2))</f>
      </c>
      <c r="G449" s="33">
        <f>IF(AU448&lt;=0,0,ROUND(AU448+ROUND(AU448*AA$3/12,2),2))</f>
      </c>
      <c r="H449" s="33">
        <f>IF(AV448&lt;=0,0,ROUND(AV448+ROUND(AV448*AB$3/12,2),2))</f>
      </c>
      <c r="I449" s="33">
        <f>IF(AW448&lt;=0,0,ROUND(AW448+ROUND(AW448*AC$3/12,2),2))</f>
      </c>
      <c r="J449" s="33">
        <f>IF(AX448&lt;=0,0,ROUND(AX448+ROUND(AX448*AD$3/12,2),2))</f>
      </c>
      <c r="K449" s="33">
        <f>IF(AY448&lt;=0,0,ROUND(AY448+ROUND(AY448*AE$3/12,2),2))</f>
      </c>
      <c r="L449" s="33">
        <f>ROUND(MIN(MAX(0,N('Your debts'!$E$6)),B449),2)</f>
      </c>
      <c r="M449" s="33">
        <f>ROUND(MIN(MAX(0,N('Your debts'!$E$7)),C449),2)</f>
      </c>
      <c r="N449" s="33">
        <f>ROUND(MIN(MAX(0,N('Your debts'!$E$8)),D449),2)</f>
      </c>
      <c r="O449" s="33">
        <f>ROUND(MIN(MAX(0,N('Your debts'!$E$9)),E449),2)</f>
      </c>
      <c r="P449" s="33">
        <f>ROUND(MIN(MAX(0,N('Your debts'!$E$10)),F449),2)</f>
      </c>
      <c r="Q449" s="33">
        <f>ROUND(MIN(MAX(0,N('Your debts'!$E$11)),G449),2)</f>
      </c>
      <c r="R449" s="33">
        <f>ROUND(MIN(MAX(0,N('Your debts'!$E$12)),H449),2)</f>
      </c>
      <c r="S449" s="33">
        <f>ROUND(MIN(MAX(0,N('Your debts'!$E$13)),I449),2)</f>
      </c>
      <c r="T449" s="33">
        <f>ROUND(MIN(MAX(0,N('Your debts'!$E$14)),J449),2)</f>
      </c>
      <c r="U449" s="33">
        <f>ROUND(MIN(MAX(0,N('Your debts'!$E$15)),K449),2)</f>
      </c>
      <c r="V449" s="33">
        <f>ROUND(B449-L449,2)</f>
      </c>
      <c r="W449" s="33">
        <f>ROUND(C449-M449,2)</f>
      </c>
      <c r="X449" s="33">
        <f>ROUND(D449-N449,2)</f>
      </c>
      <c r="Y449" s="33">
        <f>ROUND(E449-O449,2)</f>
      </c>
      <c r="Z449" s="33">
        <f>ROUND(F449-P449,2)</f>
      </c>
      <c r="AA449" s="33">
        <f>ROUND(G449-Q449,2)</f>
      </c>
      <c r="AB449" s="33">
        <f>ROUND(H449-R449,2)</f>
      </c>
      <c r="AC449" s="33">
        <f>ROUND(I449-S449,2)</f>
      </c>
      <c r="AD449" s="33">
        <f>ROUND(J449-T449,2)</f>
      </c>
      <c r="AE449" s="33">
        <f>ROUND(K449-U449,2)</f>
      </c>
      <c r="AF449" s="33">
        <f>IF(V449&lt;=0,0,MAX(0,MIN(V449,ROUND($AZ449-SUMPRODUCT($V449:$AE449*($V449:$AE449&gt;0)*(($V$3:$AE$3&gt;V$3)+($V$3:$AE$3=V$3)*($V449:$AE449&lt;V449)+($V$3:$AE$3=V$3)*($V449:$AE449=V449)*($V$2:$AE$2&lt;V$2))),2))))</f>
      </c>
      <c r="AG449" s="33">
        <f>IF(W449&lt;=0,0,MAX(0,MIN(W449,ROUND($AZ449-SUMPRODUCT($V449:$AE449*($V449:$AE449&gt;0)*(($V$3:$AE$3&gt;W$3)+($V$3:$AE$3=W$3)*($V449:$AE449&lt;W449)+($V$3:$AE$3=W$3)*($V449:$AE449=W449)*($V$2:$AE$2&lt;W$2))),2))))</f>
      </c>
      <c r="AH449" s="33">
        <f>IF(X449&lt;=0,0,MAX(0,MIN(X449,ROUND($AZ449-SUMPRODUCT($V449:$AE449*($V449:$AE449&gt;0)*(($V$3:$AE$3&gt;X$3)+($V$3:$AE$3=X$3)*($V449:$AE449&lt;X449)+($V$3:$AE$3=X$3)*($V449:$AE449=X449)*($V$2:$AE$2&lt;X$2))),2))))</f>
      </c>
      <c r="AI449" s="33">
        <f>IF(Y449&lt;=0,0,MAX(0,MIN(Y449,ROUND($AZ449-SUMPRODUCT($V449:$AE449*($V449:$AE449&gt;0)*(($V$3:$AE$3&gt;Y$3)+($V$3:$AE$3=Y$3)*($V449:$AE449&lt;Y449)+($V$3:$AE$3=Y$3)*($V449:$AE449=Y449)*($V$2:$AE$2&lt;Y$2))),2))))</f>
      </c>
      <c r="AJ449" s="33">
        <f>IF(Z449&lt;=0,0,MAX(0,MIN(Z449,ROUND($AZ449-SUMPRODUCT($V449:$AE449*($V449:$AE449&gt;0)*(($V$3:$AE$3&gt;Z$3)+($V$3:$AE$3=Z$3)*($V449:$AE449&lt;Z449)+($V$3:$AE$3=Z$3)*($V449:$AE449=Z449)*($V$2:$AE$2&lt;Z$2))),2))))</f>
      </c>
      <c r="AK449" s="33">
        <f>IF(AA449&lt;=0,0,MAX(0,MIN(AA449,ROUND($AZ449-SUMPRODUCT($V449:$AE449*($V449:$AE449&gt;0)*(($V$3:$AE$3&gt;AA$3)+($V$3:$AE$3=AA$3)*($V449:$AE449&lt;AA449)+($V$3:$AE$3=AA$3)*($V449:$AE449=AA449)*($V$2:$AE$2&lt;AA$2))),2))))</f>
      </c>
      <c r="AL449" s="33">
        <f>IF(AB449&lt;=0,0,MAX(0,MIN(AB449,ROUND($AZ449-SUMPRODUCT($V449:$AE449*($V449:$AE449&gt;0)*(($V$3:$AE$3&gt;AB$3)+($V$3:$AE$3=AB$3)*($V449:$AE449&lt;AB449)+($V$3:$AE$3=AB$3)*($V449:$AE449=AB449)*($V$2:$AE$2&lt;AB$2))),2))))</f>
      </c>
      <c r="AM449" s="33">
        <f>IF(AC449&lt;=0,0,MAX(0,MIN(AC449,ROUND($AZ449-SUMPRODUCT($V449:$AE449*($V449:$AE449&gt;0)*(($V$3:$AE$3&gt;AC$3)+($V$3:$AE$3=AC$3)*($V449:$AE449&lt;AC449)+($V$3:$AE$3=AC$3)*($V449:$AE449=AC449)*($V$2:$AE$2&lt;AC$2))),2))))</f>
      </c>
      <c r="AN449" s="33">
        <f>IF(AD449&lt;=0,0,MAX(0,MIN(AD449,ROUND($AZ449-SUMPRODUCT($V449:$AE449*($V449:$AE449&gt;0)*(($V$3:$AE$3&gt;AD$3)+($V$3:$AE$3=AD$3)*($V449:$AE449&lt;AD449)+($V$3:$AE$3=AD$3)*($V449:$AE449=AD449)*($V$2:$AE$2&lt;AD$2))),2))))</f>
      </c>
      <c r="AO449" s="33">
        <f>IF(AE449&lt;=0,0,MAX(0,MIN(AE449,ROUND($AZ449-SUMPRODUCT($V449:$AE449*($V449:$AE449&gt;0)*(($V$3:$AE$3&gt;AE$3)+($V$3:$AE$3=AE$3)*($V449:$AE449&lt;AE449)+($V$3:$AE$3=AE$3)*($V449:$AE449=AE449)*($V$2:$AE$2&lt;AE$2))),2))))</f>
      </c>
      <c r="AP449" s="33">
        <f>ROUND(V449-AF449,2)</f>
      </c>
      <c r="AQ449" s="33">
        <f>ROUND(W449-AG449,2)</f>
      </c>
      <c r="AR449" s="33">
        <f>ROUND(X449-AH449,2)</f>
      </c>
      <c r="AS449" s="33">
        <f>ROUND(Y449-AI449,2)</f>
      </c>
      <c r="AT449" s="33">
        <f>ROUND(Z449-AJ449,2)</f>
      </c>
      <c r="AU449" s="33">
        <f>ROUND(AA449-AK449,2)</f>
      </c>
      <c r="AV449" s="33">
        <f>ROUND(AB449-AL449,2)</f>
      </c>
      <c r="AW449" s="33">
        <f>ROUND(AC449-AM449,2)</f>
      </c>
      <c r="AX449" s="33">
        <f>ROUND(AD449-AN449,2)</f>
      </c>
      <c r="AY449" s="33">
        <f>ROUND(AE449-AO449,2)</f>
      </c>
      <c r="AZ449" s="33">
        <f>ROUND(MAX(0,'Your debts'!$D$22-SUM($L449:$U449)),2)</f>
      </c>
      <c r="BA449" s="33">
        <f>ROUND(SUM($B449:$K449)-SUM($AP448:$AY448),2)</f>
      </c>
      <c r="BB449" s="33">
        <f>SUM($AP449:$AY449)</f>
      </c>
      <c r="BC449" s="33">
        <f>ROUND(SUM($L449:$U449)+SUM($AF449:$AO449),2)</f>
      </c>
    </row>
    <row r="450" spans="1:55" x14ac:dyDescent="0.25">
      <c r="A450">
        <v>443</v>
      </c>
      <c r="B450" s="33">
        <f>IF(AP449&lt;=0,0,ROUND(AP449+ROUND(AP449*V$3/12,2),2))</f>
      </c>
      <c r="C450" s="33">
        <f>IF(AQ449&lt;=0,0,ROUND(AQ449+ROUND(AQ449*W$3/12,2),2))</f>
      </c>
      <c r="D450" s="33">
        <f>IF(AR449&lt;=0,0,ROUND(AR449+ROUND(AR449*X$3/12,2),2))</f>
      </c>
      <c r="E450" s="33">
        <f>IF(AS449&lt;=0,0,ROUND(AS449+ROUND(AS449*Y$3/12,2),2))</f>
      </c>
      <c r="F450" s="33">
        <f>IF(AT449&lt;=0,0,ROUND(AT449+ROUND(AT449*Z$3/12,2),2))</f>
      </c>
      <c r="G450" s="33">
        <f>IF(AU449&lt;=0,0,ROUND(AU449+ROUND(AU449*AA$3/12,2),2))</f>
      </c>
      <c r="H450" s="33">
        <f>IF(AV449&lt;=0,0,ROUND(AV449+ROUND(AV449*AB$3/12,2),2))</f>
      </c>
      <c r="I450" s="33">
        <f>IF(AW449&lt;=0,0,ROUND(AW449+ROUND(AW449*AC$3/12,2),2))</f>
      </c>
      <c r="J450" s="33">
        <f>IF(AX449&lt;=0,0,ROUND(AX449+ROUND(AX449*AD$3/12,2),2))</f>
      </c>
      <c r="K450" s="33">
        <f>IF(AY449&lt;=0,0,ROUND(AY449+ROUND(AY449*AE$3/12,2),2))</f>
      </c>
      <c r="L450" s="33">
        <f>ROUND(MIN(MAX(0,N('Your debts'!$E$6)),B450),2)</f>
      </c>
      <c r="M450" s="33">
        <f>ROUND(MIN(MAX(0,N('Your debts'!$E$7)),C450),2)</f>
      </c>
      <c r="N450" s="33">
        <f>ROUND(MIN(MAX(0,N('Your debts'!$E$8)),D450),2)</f>
      </c>
      <c r="O450" s="33">
        <f>ROUND(MIN(MAX(0,N('Your debts'!$E$9)),E450),2)</f>
      </c>
      <c r="P450" s="33">
        <f>ROUND(MIN(MAX(0,N('Your debts'!$E$10)),F450),2)</f>
      </c>
      <c r="Q450" s="33">
        <f>ROUND(MIN(MAX(0,N('Your debts'!$E$11)),G450),2)</f>
      </c>
      <c r="R450" s="33">
        <f>ROUND(MIN(MAX(0,N('Your debts'!$E$12)),H450),2)</f>
      </c>
      <c r="S450" s="33">
        <f>ROUND(MIN(MAX(0,N('Your debts'!$E$13)),I450),2)</f>
      </c>
      <c r="T450" s="33">
        <f>ROUND(MIN(MAX(0,N('Your debts'!$E$14)),J450),2)</f>
      </c>
      <c r="U450" s="33">
        <f>ROUND(MIN(MAX(0,N('Your debts'!$E$15)),K450),2)</f>
      </c>
      <c r="V450" s="33">
        <f>ROUND(B450-L450,2)</f>
      </c>
      <c r="W450" s="33">
        <f>ROUND(C450-M450,2)</f>
      </c>
      <c r="X450" s="33">
        <f>ROUND(D450-N450,2)</f>
      </c>
      <c r="Y450" s="33">
        <f>ROUND(E450-O450,2)</f>
      </c>
      <c r="Z450" s="33">
        <f>ROUND(F450-P450,2)</f>
      </c>
      <c r="AA450" s="33">
        <f>ROUND(G450-Q450,2)</f>
      </c>
      <c r="AB450" s="33">
        <f>ROUND(H450-R450,2)</f>
      </c>
      <c r="AC450" s="33">
        <f>ROUND(I450-S450,2)</f>
      </c>
      <c r="AD450" s="33">
        <f>ROUND(J450-T450,2)</f>
      </c>
      <c r="AE450" s="33">
        <f>ROUND(K450-U450,2)</f>
      </c>
      <c r="AF450" s="33">
        <f>IF(V450&lt;=0,0,MAX(0,MIN(V450,ROUND($AZ450-SUMPRODUCT($V450:$AE450*($V450:$AE450&gt;0)*(($V$3:$AE$3&gt;V$3)+($V$3:$AE$3=V$3)*($V450:$AE450&lt;V450)+($V$3:$AE$3=V$3)*($V450:$AE450=V450)*($V$2:$AE$2&lt;V$2))),2))))</f>
      </c>
      <c r="AG450" s="33">
        <f>IF(W450&lt;=0,0,MAX(0,MIN(W450,ROUND($AZ450-SUMPRODUCT($V450:$AE450*($V450:$AE450&gt;0)*(($V$3:$AE$3&gt;W$3)+($V$3:$AE$3=W$3)*($V450:$AE450&lt;W450)+($V$3:$AE$3=W$3)*($V450:$AE450=W450)*($V$2:$AE$2&lt;W$2))),2))))</f>
      </c>
      <c r="AH450" s="33">
        <f>IF(X450&lt;=0,0,MAX(0,MIN(X450,ROUND($AZ450-SUMPRODUCT($V450:$AE450*($V450:$AE450&gt;0)*(($V$3:$AE$3&gt;X$3)+($V$3:$AE$3=X$3)*($V450:$AE450&lt;X450)+($V$3:$AE$3=X$3)*($V450:$AE450=X450)*($V$2:$AE$2&lt;X$2))),2))))</f>
      </c>
      <c r="AI450" s="33">
        <f>IF(Y450&lt;=0,0,MAX(0,MIN(Y450,ROUND($AZ450-SUMPRODUCT($V450:$AE450*($V450:$AE450&gt;0)*(($V$3:$AE$3&gt;Y$3)+($V$3:$AE$3=Y$3)*($V450:$AE450&lt;Y450)+($V$3:$AE$3=Y$3)*($V450:$AE450=Y450)*($V$2:$AE$2&lt;Y$2))),2))))</f>
      </c>
      <c r="AJ450" s="33">
        <f>IF(Z450&lt;=0,0,MAX(0,MIN(Z450,ROUND($AZ450-SUMPRODUCT($V450:$AE450*($V450:$AE450&gt;0)*(($V$3:$AE$3&gt;Z$3)+($V$3:$AE$3=Z$3)*($V450:$AE450&lt;Z450)+($V$3:$AE$3=Z$3)*($V450:$AE450=Z450)*($V$2:$AE$2&lt;Z$2))),2))))</f>
      </c>
      <c r="AK450" s="33">
        <f>IF(AA450&lt;=0,0,MAX(0,MIN(AA450,ROUND($AZ450-SUMPRODUCT($V450:$AE450*($V450:$AE450&gt;0)*(($V$3:$AE$3&gt;AA$3)+($V$3:$AE$3=AA$3)*($V450:$AE450&lt;AA450)+($V$3:$AE$3=AA$3)*($V450:$AE450=AA450)*($V$2:$AE$2&lt;AA$2))),2))))</f>
      </c>
      <c r="AL450" s="33">
        <f>IF(AB450&lt;=0,0,MAX(0,MIN(AB450,ROUND($AZ450-SUMPRODUCT($V450:$AE450*($V450:$AE450&gt;0)*(($V$3:$AE$3&gt;AB$3)+($V$3:$AE$3=AB$3)*($V450:$AE450&lt;AB450)+($V$3:$AE$3=AB$3)*($V450:$AE450=AB450)*($V$2:$AE$2&lt;AB$2))),2))))</f>
      </c>
      <c r="AM450" s="33">
        <f>IF(AC450&lt;=0,0,MAX(0,MIN(AC450,ROUND($AZ450-SUMPRODUCT($V450:$AE450*($V450:$AE450&gt;0)*(($V$3:$AE$3&gt;AC$3)+($V$3:$AE$3=AC$3)*($V450:$AE450&lt;AC450)+($V$3:$AE$3=AC$3)*($V450:$AE450=AC450)*($V$2:$AE$2&lt;AC$2))),2))))</f>
      </c>
      <c r="AN450" s="33">
        <f>IF(AD450&lt;=0,0,MAX(0,MIN(AD450,ROUND($AZ450-SUMPRODUCT($V450:$AE450*($V450:$AE450&gt;0)*(($V$3:$AE$3&gt;AD$3)+($V$3:$AE$3=AD$3)*($V450:$AE450&lt;AD450)+($V$3:$AE$3=AD$3)*($V450:$AE450=AD450)*($V$2:$AE$2&lt;AD$2))),2))))</f>
      </c>
      <c r="AO450" s="33">
        <f>IF(AE450&lt;=0,0,MAX(0,MIN(AE450,ROUND($AZ450-SUMPRODUCT($V450:$AE450*($V450:$AE450&gt;0)*(($V$3:$AE$3&gt;AE$3)+($V$3:$AE$3=AE$3)*($V450:$AE450&lt;AE450)+($V$3:$AE$3=AE$3)*($V450:$AE450=AE450)*($V$2:$AE$2&lt;AE$2))),2))))</f>
      </c>
      <c r="AP450" s="33">
        <f>ROUND(V450-AF450,2)</f>
      </c>
      <c r="AQ450" s="33">
        <f>ROUND(W450-AG450,2)</f>
      </c>
      <c r="AR450" s="33">
        <f>ROUND(X450-AH450,2)</f>
      </c>
      <c r="AS450" s="33">
        <f>ROUND(Y450-AI450,2)</f>
      </c>
      <c r="AT450" s="33">
        <f>ROUND(Z450-AJ450,2)</f>
      </c>
      <c r="AU450" s="33">
        <f>ROUND(AA450-AK450,2)</f>
      </c>
      <c r="AV450" s="33">
        <f>ROUND(AB450-AL450,2)</f>
      </c>
      <c r="AW450" s="33">
        <f>ROUND(AC450-AM450,2)</f>
      </c>
      <c r="AX450" s="33">
        <f>ROUND(AD450-AN450,2)</f>
      </c>
      <c r="AY450" s="33">
        <f>ROUND(AE450-AO450,2)</f>
      </c>
      <c r="AZ450" s="33">
        <f>ROUND(MAX(0,'Your debts'!$D$22-SUM($L450:$U450)),2)</f>
      </c>
      <c r="BA450" s="33">
        <f>ROUND(SUM($B450:$K450)-SUM($AP449:$AY449),2)</f>
      </c>
      <c r="BB450" s="33">
        <f>SUM($AP450:$AY450)</f>
      </c>
      <c r="BC450" s="33">
        <f>ROUND(SUM($L450:$U450)+SUM($AF450:$AO450),2)</f>
      </c>
    </row>
    <row r="451" spans="1:55" x14ac:dyDescent="0.25">
      <c r="A451">
        <v>444</v>
      </c>
      <c r="B451" s="33">
        <f>IF(AP450&lt;=0,0,ROUND(AP450+ROUND(AP450*V$3/12,2),2))</f>
      </c>
      <c r="C451" s="33">
        <f>IF(AQ450&lt;=0,0,ROUND(AQ450+ROUND(AQ450*W$3/12,2),2))</f>
      </c>
      <c r="D451" s="33">
        <f>IF(AR450&lt;=0,0,ROUND(AR450+ROUND(AR450*X$3/12,2),2))</f>
      </c>
      <c r="E451" s="33">
        <f>IF(AS450&lt;=0,0,ROUND(AS450+ROUND(AS450*Y$3/12,2),2))</f>
      </c>
      <c r="F451" s="33">
        <f>IF(AT450&lt;=0,0,ROUND(AT450+ROUND(AT450*Z$3/12,2),2))</f>
      </c>
      <c r="G451" s="33">
        <f>IF(AU450&lt;=0,0,ROUND(AU450+ROUND(AU450*AA$3/12,2),2))</f>
      </c>
      <c r="H451" s="33">
        <f>IF(AV450&lt;=0,0,ROUND(AV450+ROUND(AV450*AB$3/12,2),2))</f>
      </c>
      <c r="I451" s="33">
        <f>IF(AW450&lt;=0,0,ROUND(AW450+ROUND(AW450*AC$3/12,2),2))</f>
      </c>
      <c r="J451" s="33">
        <f>IF(AX450&lt;=0,0,ROUND(AX450+ROUND(AX450*AD$3/12,2),2))</f>
      </c>
      <c r="K451" s="33">
        <f>IF(AY450&lt;=0,0,ROUND(AY450+ROUND(AY450*AE$3/12,2),2))</f>
      </c>
      <c r="L451" s="33">
        <f>ROUND(MIN(MAX(0,N('Your debts'!$E$6)),B451),2)</f>
      </c>
      <c r="M451" s="33">
        <f>ROUND(MIN(MAX(0,N('Your debts'!$E$7)),C451),2)</f>
      </c>
      <c r="N451" s="33">
        <f>ROUND(MIN(MAX(0,N('Your debts'!$E$8)),D451),2)</f>
      </c>
      <c r="O451" s="33">
        <f>ROUND(MIN(MAX(0,N('Your debts'!$E$9)),E451),2)</f>
      </c>
      <c r="P451" s="33">
        <f>ROUND(MIN(MAX(0,N('Your debts'!$E$10)),F451),2)</f>
      </c>
      <c r="Q451" s="33">
        <f>ROUND(MIN(MAX(0,N('Your debts'!$E$11)),G451),2)</f>
      </c>
      <c r="R451" s="33">
        <f>ROUND(MIN(MAX(0,N('Your debts'!$E$12)),H451),2)</f>
      </c>
      <c r="S451" s="33">
        <f>ROUND(MIN(MAX(0,N('Your debts'!$E$13)),I451),2)</f>
      </c>
      <c r="T451" s="33">
        <f>ROUND(MIN(MAX(0,N('Your debts'!$E$14)),J451),2)</f>
      </c>
      <c r="U451" s="33">
        <f>ROUND(MIN(MAX(0,N('Your debts'!$E$15)),K451),2)</f>
      </c>
      <c r="V451" s="33">
        <f>ROUND(B451-L451,2)</f>
      </c>
      <c r="W451" s="33">
        <f>ROUND(C451-M451,2)</f>
      </c>
      <c r="X451" s="33">
        <f>ROUND(D451-N451,2)</f>
      </c>
      <c r="Y451" s="33">
        <f>ROUND(E451-O451,2)</f>
      </c>
      <c r="Z451" s="33">
        <f>ROUND(F451-P451,2)</f>
      </c>
      <c r="AA451" s="33">
        <f>ROUND(G451-Q451,2)</f>
      </c>
      <c r="AB451" s="33">
        <f>ROUND(H451-R451,2)</f>
      </c>
      <c r="AC451" s="33">
        <f>ROUND(I451-S451,2)</f>
      </c>
      <c r="AD451" s="33">
        <f>ROUND(J451-T451,2)</f>
      </c>
      <c r="AE451" s="33">
        <f>ROUND(K451-U451,2)</f>
      </c>
      <c r="AF451" s="33">
        <f>IF(V451&lt;=0,0,MAX(0,MIN(V451,ROUND($AZ451-SUMPRODUCT($V451:$AE451*($V451:$AE451&gt;0)*(($V$3:$AE$3&gt;V$3)+($V$3:$AE$3=V$3)*($V451:$AE451&lt;V451)+($V$3:$AE$3=V$3)*($V451:$AE451=V451)*($V$2:$AE$2&lt;V$2))),2))))</f>
      </c>
      <c r="AG451" s="33">
        <f>IF(W451&lt;=0,0,MAX(0,MIN(W451,ROUND($AZ451-SUMPRODUCT($V451:$AE451*($V451:$AE451&gt;0)*(($V$3:$AE$3&gt;W$3)+($V$3:$AE$3=W$3)*($V451:$AE451&lt;W451)+($V$3:$AE$3=W$3)*($V451:$AE451=W451)*($V$2:$AE$2&lt;W$2))),2))))</f>
      </c>
      <c r="AH451" s="33">
        <f>IF(X451&lt;=0,0,MAX(0,MIN(X451,ROUND($AZ451-SUMPRODUCT($V451:$AE451*($V451:$AE451&gt;0)*(($V$3:$AE$3&gt;X$3)+($V$3:$AE$3=X$3)*($V451:$AE451&lt;X451)+($V$3:$AE$3=X$3)*($V451:$AE451=X451)*($V$2:$AE$2&lt;X$2))),2))))</f>
      </c>
      <c r="AI451" s="33">
        <f>IF(Y451&lt;=0,0,MAX(0,MIN(Y451,ROUND($AZ451-SUMPRODUCT($V451:$AE451*($V451:$AE451&gt;0)*(($V$3:$AE$3&gt;Y$3)+($V$3:$AE$3=Y$3)*($V451:$AE451&lt;Y451)+($V$3:$AE$3=Y$3)*($V451:$AE451=Y451)*($V$2:$AE$2&lt;Y$2))),2))))</f>
      </c>
      <c r="AJ451" s="33">
        <f>IF(Z451&lt;=0,0,MAX(0,MIN(Z451,ROUND($AZ451-SUMPRODUCT($V451:$AE451*($V451:$AE451&gt;0)*(($V$3:$AE$3&gt;Z$3)+($V$3:$AE$3=Z$3)*($V451:$AE451&lt;Z451)+($V$3:$AE$3=Z$3)*($V451:$AE451=Z451)*($V$2:$AE$2&lt;Z$2))),2))))</f>
      </c>
      <c r="AK451" s="33">
        <f>IF(AA451&lt;=0,0,MAX(0,MIN(AA451,ROUND($AZ451-SUMPRODUCT($V451:$AE451*($V451:$AE451&gt;0)*(($V$3:$AE$3&gt;AA$3)+($V$3:$AE$3=AA$3)*($V451:$AE451&lt;AA451)+($V$3:$AE$3=AA$3)*($V451:$AE451=AA451)*($V$2:$AE$2&lt;AA$2))),2))))</f>
      </c>
      <c r="AL451" s="33">
        <f>IF(AB451&lt;=0,0,MAX(0,MIN(AB451,ROUND($AZ451-SUMPRODUCT($V451:$AE451*($V451:$AE451&gt;0)*(($V$3:$AE$3&gt;AB$3)+($V$3:$AE$3=AB$3)*($V451:$AE451&lt;AB451)+($V$3:$AE$3=AB$3)*($V451:$AE451=AB451)*($V$2:$AE$2&lt;AB$2))),2))))</f>
      </c>
      <c r="AM451" s="33">
        <f>IF(AC451&lt;=0,0,MAX(0,MIN(AC451,ROUND($AZ451-SUMPRODUCT($V451:$AE451*($V451:$AE451&gt;0)*(($V$3:$AE$3&gt;AC$3)+($V$3:$AE$3=AC$3)*($V451:$AE451&lt;AC451)+($V$3:$AE$3=AC$3)*($V451:$AE451=AC451)*($V$2:$AE$2&lt;AC$2))),2))))</f>
      </c>
      <c r="AN451" s="33">
        <f>IF(AD451&lt;=0,0,MAX(0,MIN(AD451,ROUND($AZ451-SUMPRODUCT($V451:$AE451*($V451:$AE451&gt;0)*(($V$3:$AE$3&gt;AD$3)+($V$3:$AE$3=AD$3)*($V451:$AE451&lt;AD451)+($V$3:$AE$3=AD$3)*($V451:$AE451=AD451)*($V$2:$AE$2&lt;AD$2))),2))))</f>
      </c>
      <c r="AO451" s="33">
        <f>IF(AE451&lt;=0,0,MAX(0,MIN(AE451,ROUND($AZ451-SUMPRODUCT($V451:$AE451*($V451:$AE451&gt;0)*(($V$3:$AE$3&gt;AE$3)+($V$3:$AE$3=AE$3)*($V451:$AE451&lt;AE451)+($V$3:$AE$3=AE$3)*($V451:$AE451=AE451)*($V$2:$AE$2&lt;AE$2))),2))))</f>
      </c>
      <c r="AP451" s="33">
        <f>ROUND(V451-AF451,2)</f>
      </c>
      <c r="AQ451" s="33">
        <f>ROUND(W451-AG451,2)</f>
      </c>
      <c r="AR451" s="33">
        <f>ROUND(X451-AH451,2)</f>
      </c>
      <c r="AS451" s="33">
        <f>ROUND(Y451-AI451,2)</f>
      </c>
      <c r="AT451" s="33">
        <f>ROUND(Z451-AJ451,2)</f>
      </c>
      <c r="AU451" s="33">
        <f>ROUND(AA451-AK451,2)</f>
      </c>
      <c r="AV451" s="33">
        <f>ROUND(AB451-AL451,2)</f>
      </c>
      <c r="AW451" s="33">
        <f>ROUND(AC451-AM451,2)</f>
      </c>
      <c r="AX451" s="33">
        <f>ROUND(AD451-AN451,2)</f>
      </c>
      <c r="AY451" s="33">
        <f>ROUND(AE451-AO451,2)</f>
      </c>
      <c r="AZ451" s="33">
        <f>ROUND(MAX(0,'Your debts'!$D$22-SUM($L451:$U451)),2)</f>
      </c>
      <c r="BA451" s="33">
        <f>ROUND(SUM($B451:$K451)-SUM($AP450:$AY450),2)</f>
      </c>
      <c r="BB451" s="33">
        <f>SUM($AP451:$AY451)</f>
      </c>
      <c r="BC451" s="33">
        <f>ROUND(SUM($L451:$U451)+SUM($AF451:$AO451),2)</f>
      </c>
    </row>
    <row r="452" spans="1:55" x14ac:dyDescent="0.25">
      <c r="A452">
        <v>445</v>
      </c>
      <c r="B452" s="33">
        <f>IF(AP451&lt;=0,0,ROUND(AP451+ROUND(AP451*V$3/12,2),2))</f>
      </c>
      <c r="C452" s="33">
        <f>IF(AQ451&lt;=0,0,ROUND(AQ451+ROUND(AQ451*W$3/12,2),2))</f>
      </c>
      <c r="D452" s="33">
        <f>IF(AR451&lt;=0,0,ROUND(AR451+ROUND(AR451*X$3/12,2),2))</f>
      </c>
      <c r="E452" s="33">
        <f>IF(AS451&lt;=0,0,ROUND(AS451+ROUND(AS451*Y$3/12,2),2))</f>
      </c>
      <c r="F452" s="33">
        <f>IF(AT451&lt;=0,0,ROUND(AT451+ROUND(AT451*Z$3/12,2),2))</f>
      </c>
      <c r="G452" s="33">
        <f>IF(AU451&lt;=0,0,ROUND(AU451+ROUND(AU451*AA$3/12,2),2))</f>
      </c>
      <c r="H452" s="33">
        <f>IF(AV451&lt;=0,0,ROUND(AV451+ROUND(AV451*AB$3/12,2),2))</f>
      </c>
      <c r="I452" s="33">
        <f>IF(AW451&lt;=0,0,ROUND(AW451+ROUND(AW451*AC$3/12,2),2))</f>
      </c>
      <c r="J452" s="33">
        <f>IF(AX451&lt;=0,0,ROUND(AX451+ROUND(AX451*AD$3/12,2),2))</f>
      </c>
      <c r="K452" s="33">
        <f>IF(AY451&lt;=0,0,ROUND(AY451+ROUND(AY451*AE$3/12,2),2))</f>
      </c>
      <c r="L452" s="33">
        <f>ROUND(MIN(MAX(0,N('Your debts'!$E$6)),B452),2)</f>
      </c>
      <c r="M452" s="33">
        <f>ROUND(MIN(MAX(0,N('Your debts'!$E$7)),C452),2)</f>
      </c>
      <c r="N452" s="33">
        <f>ROUND(MIN(MAX(0,N('Your debts'!$E$8)),D452),2)</f>
      </c>
      <c r="O452" s="33">
        <f>ROUND(MIN(MAX(0,N('Your debts'!$E$9)),E452),2)</f>
      </c>
      <c r="P452" s="33">
        <f>ROUND(MIN(MAX(0,N('Your debts'!$E$10)),F452),2)</f>
      </c>
      <c r="Q452" s="33">
        <f>ROUND(MIN(MAX(0,N('Your debts'!$E$11)),G452),2)</f>
      </c>
      <c r="R452" s="33">
        <f>ROUND(MIN(MAX(0,N('Your debts'!$E$12)),H452),2)</f>
      </c>
      <c r="S452" s="33">
        <f>ROUND(MIN(MAX(0,N('Your debts'!$E$13)),I452),2)</f>
      </c>
      <c r="T452" s="33">
        <f>ROUND(MIN(MAX(0,N('Your debts'!$E$14)),J452),2)</f>
      </c>
      <c r="U452" s="33">
        <f>ROUND(MIN(MAX(0,N('Your debts'!$E$15)),K452),2)</f>
      </c>
      <c r="V452" s="33">
        <f>ROUND(B452-L452,2)</f>
      </c>
      <c r="W452" s="33">
        <f>ROUND(C452-M452,2)</f>
      </c>
      <c r="X452" s="33">
        <f>ROUND(D452-N452,2)</f>
      </c>
      <c r="Y452" s="33">
        <f>ROUND(E452-O452,2)</f>
      </c>
      <c r="Z452" s="33">
        <f>ROUND(F452-P452,2)</f>
      </c>
      <c r="AA452" s="33">
        <f>ROUND(G452-Q452,2)</f>
      </c>
      <c r="AB452" s="33">
        <f>ROUND(H452-R452,2)</f>
      </c>
      <c r="AC452" s="33">
        <f>ROUND(I452-S452,2)</f>
      </c>
      <c r="AD452" s="33">
        <f>ROUND(J452-T452,2)</f>
      </c>
      <c r="AE452" s="33">
        <f>ROUND(K452-U452,2)</f>
      </c>
      <c r="AF452" s="33">
        <f>IF(V452&lt;=0,0,MAX(0,MIN(V452,ROUND($AZ452-SUMPRODUCT($V452:$AE452*($V452:$AE452&gt;0)*(($V$3:$AE$3&gt;V$3)+($V$3:$AE$3=V$3)*($V452:$AE452&lt;V452)+($V$3:$AE$3=V$3)*($V452:$AE452=V452)*($V$2:$AE$2&lt;V$2))),2))))</f>
      </c>
      <c r="AG452" s="33">
        <f>IF(W452&lt;=0,0,MAX(0,MIN(W452,ROUND($AZ452-SUMPRODUCT($V452:$AE452*($V452:$AE452&gt;0)*(($V$3:$AE$3&gt;W$3)+($V$3:$AE$3=W$3)*($V452:$AE452&lt;W452)+($V$3:$AE$3=W$3)*($V452:$AE452=W452)*($V$2:$AE$2&lt;W$2))),2))))</f>
      </c>
      <c r="AH452" s="33">
        <f>IF(X452&lt;=0,0,MAX(0,MIN(X452,ROUND($AZ452-SUMPRODUCT($V452:$AE452*($V452:$AE452&gt;0)*(($V$3:$AE$3&gt;X$3)+($V$3:$AE$3=X$3)*($V452:$AE452&lt;X452)+($V$3:$AE$3=X$3)*($V452:$AE452=X452)*($V$2:$AE$2&lt;X$2))),2))))</f>
      </c>
      <c r="AI452" s="33">
        <f>IF(Y452&lt;=0,0,MAX(0,MIN(Y452,ROUND($AZ452-SUMPRODUCT($V452:$AE452*($V452:$AE452&gt;0)*(($V$3:$AE$3&gt;Y$3)+($V$3:$AE$3=Y$3)*($V452:$AE452&lt;Y452)+($V$3:$AE$3=Y$3)*($V452:$AE452=Y452)*($V$2:$AE$2&lt;Y$2))),2))))</f>
      </c>
      <c r="AJ452" s="33">
        <f>IF(Z452&lt;=0,0,MAX(0,MIN(Z452,ROUND($AZ452-SUMPRODUCT($V452:$AE452*($V452:$AE452&gt;0)*(($V$3:$AE$3&gt;Z$3)+($V$3:$AE$3=Z$3)*($V452:$AE452&lt;Z452)+($V$3:$AE$3=Z$3)*($V452:$AE452=Z452)*($V$2:$AE$2&lt;Z$2))),2))))</f>
      </c>
      <c r="AK452" s="33">
        <f>IF(AA452&lt;=0,0,MAX(0,MIN(AA452,ROUND($AZ452-SUMPRODUCT($V452:$AE452*($V452:$AE452&gt;0)*(($V$3:$AE$3&gt;AA$3)+($V$3:$AE$3=AA$3)*($V452:$AE452&lt;AA452)+($V$3:$AE$3=AA$3)*($V452:$AE452=AA452)*($V$2:$AE$2&lt;AA$2))),2))))</f>
      </c>
      <c r="AL452" s="33">
        <f>IF(AB452&lt;=0,0,MAX(0,MIN(AB452,ROUND($AZ452-SUMPRODUCT($V452:$AE452*($V452:$AE452&gt;0)*(($V$3:$AE$3&gt;AB$3)+($V$3:$AE$3=AB$3)*($V452:$AE452&lt;AB452)+($V$3:$AE$3=AB$3)*($V452:$AE452=AB452)*($V$2:$AE$2&lt;AB$2))),2))))</f>
      </c>
      <c r="AM452" s="33">
        <f>IF(AC452&lt;=0,0,MAX(0,MIN(AC452,ROUND($AZ452-SUMPRODUCT($V452:$AE452*($V452:$AE452&gt;0)*(($V$3:$AE$3&gt;AC$3)+($V$3:$AE$3=AC$3)*($V452:$AE452&lt;AC452)+($V$3:$AE$3=AC$3)*($V452:$AE452=AC452)*($V$2:$AE$2&lt;AC$2))),2))))</f>
      </c>
      <c r="AN452" s="33">
        <f>IF(AD452&lt;=0,0,MAX(0,MIN(AD452,ROUND($AZ452-SUMPRODUCT($V452:$AE452*($V452:$AE452&gt;0)*(($V$3:$AE$3&gt;AD$3)+($V$3:$AE$3=AD$3)*($V452:$AE452&lt;AD452)+($V$3:$AE$3=AD$3)*($V452:$AE452=AD452)*($V$2:$AE$2&lt;AD$2))),2))))</f>
      </c>
      <c r="AO452" s="33">
        <f>IF(AE452&lt;=0,0,MAX(0,MIN(AE452,ROUND($AZ452-SUMPRODUCT($V452:$AE452*($V452:$AE452&gt;0)*(($V$3:$AE$3&gt;AE$3)+($V$3:$AE$3=AE$3)*($V452:$AE452&lt;AE452)+($V$3:$AE$3=AE$3)*($V452:$AE452=AE452)*($V$2:$AE$2&lt;AE$2))),2))))</f>
      </c>
      <c r="AP452" s="33">
        <f>ROUND(V452-AF452,2)</f>
      </c>
      <c r="AQ452" s="33">
        <f>ROUND(W452-AG452,2)</f>
      </c>
      <c r="AR452" s="33">
        <f>ROUND(X452-AH452,2)</f>
      </c>
      <c r="AS452" s="33">
        <f>ROUND(Y452-AI452,2)</f>
      </c>
      <c r="AT452" s="33">
        <f>ROUND(Z452-AJ452,2)</f>
      </c>
      <c r="AU452" s="33">
        <f>ROUND(AA452-AK452,2)</f>
      </c>
      <c r="AV452" s="33">
        <f>ROUND(AB452-AL452,2)</f>
      </c>
      <c r="AW452" s="33">
        <f>ROUND(AC452-AM452,2)</f>
      </c>
      <c r="AX452" s="33">
        <f>ROUND(AD452-AN452,2)</f>
      </c>
      <c r="AY452" s="33">
        <f>ROUND(AE452-AO452,2)</f>
      </c>
      <c r="AZ452" s="33">
        <f>ROUND(MAX(0,'Your debts'!$D$22-SUM($L452:$U452)),2)</f>
      </c>
      <c r="BA452" s="33">
        <f>ROUND(SUM($B452:$K452)-SUM($AP451:$AY451),2)</f>
      </c>
      <c r="BB452" s="33">
        <f>SUM($AP452:$AY452)</f>
      </c>
      <c r="BC452" s="33">
        <f>ROUND(SUM($L452:$U452)+SUM($AF452:$AO452),2)</f>
      </c>
    </row>
    <row r="453" spans="1:55" x14ac:dyDescent="0.25">
      <c r="A453">
        <v>446</v>
      </c>
      <c r="B453" s="33">
        <f>IF(AP452&lt;=0,0,ROUND(AP452+ROUND(AP452*V$3/12,2),2))</f>
      </c>
      <c r="C453" s="33">
        <f>IF(AQ452&lt;=0,0,ROUND(AQ452+ROUND(AQ452*W$3/12,2),2))</f>
      </c>
      <c r="D453" s="33">
        <f>IF(AR452&lt;=0,0,ROUND(AR452+ROUND(AR452*X$3/12,2),2))</f>
      </c>
      <c r="E453" s="33">
        <f>IF(AS452&lt;=0,0,ROUND(AS452+ROUND(AS452*Y$3/12,2),2))</f>
      </c>
      <c r="F453" s="33">
        <f>IF(AT452&lt;=0,0,ROUND(AT452+ROUND(AT452*Z$3/12,2),2))</f>
      </c>
      <c r="G453" s="33">
        <f>IF(AU452&lt;=0,0,ROUND(AU452+ROUND(AU452*AA$3/12,2),2))</f>
      </c>
      <c r="H453" s="33">
        <f>IF(AV452&lt;=0,0,ROUND(AV452+ROUND(AV452*AB$3/12,2),2))</f>
      </c>
      <c r="I453" s="33">
        <f>IF(AW452&lt;=0,0,ROUND(AW452+ROUND(AW452*AC$3/12,2),2))</f>
      </c>
      <c r="J453" s="33">
        <f>IF(AX452&lt;=0,0,ROUND(AX452+ROUND(AX452*AD$3/12,2),2))</f>
      </c>
      <c r="K453" s="33">
        <f>IF(AY452&lt;=0,0,ROUND(AY452+ROUND(AY452*AE$3/12,2),2))</f>
      </c>
      <c r="L453" s="33">
        <f>ROUND(MIN(MAX(0,N('Your debts'!$E$6)),B453),2)</f>
      </c>
      <c r="M453" s="33">
        <f>ROUND(MIN(MAX(0,N('Your debts'!$E$7)),C453),2)</f>
      </c>
      <c r="N453" s="33">
        <f>ROUND(MIN(MAX(0,N('Your debts'!$E$8)),D453),2)</f>
      </c>
      <c r="O453" s="33">
        <f>ROUND(MIN(MAX(0,N('Your debts'!$E$9)),E453),2)</f>
      </c>
      <c r="P453" s="33">
        <f>ROUND(MIN(MAX(0,N('Your debts'!$E$10)),F453),2)</f>
      </c>
      <c r="Q453" s="33">
        <f>ROUND(MIN(MAX(0,N('Your debts'!$E$11)),G453),2)</f>
      </c>
      <c r="R453" s="33">
        <f>ROUND(MIN(MAX(0,N('Your debts'!$E$12)),H453),2)</f>
      </c>
      <c r="S453" s="33">
        <f>ROUND(MIN(MAX(0,N('Your debts'!$E$13)),I453),2)</f>
      </c>
      <c r="T453" s="33">
        <f>ROUND(MIN(MAX(0,N('Your debts'!$E$14)),J453),2)</f>
      </c>
      <c r="U453" s="33">
        <f>ROUND(MIN(MAX(0,N('Your debts'!$E$15)),K453),2)</f>
      </c>
      <c r="V453" s="33">
        <f>ROUND(B453-L453,2)</f>
      </c>
      <c r="W453" s="33">
        <f>ROUND(C453-M453,2)</f>
      </c>
      <c r="X453" s="33">
        <f>ROUND(D453-N453,2)</f>
      </c>
      <c r="Y453" s="33">
        <f>ROUND(E453-O453,2)</f>
      </c>
      <c r="Z453" s="33">
        <f>ROUND(F453-P453,2)</f>
      </c>
      <c r="AA453" s="33">
        <f>ROUND(G453-Q453,2)</f>
      </c>
      <c r="AB453" s="33">
        <f>ROUND(H453-R453,2)</f>
      </c>
      <c r="AC453" s="33">
        <f>ROUND(I453-S453,2)</f>
      </c>
      <c r="AD453" s="33">
        <f>ROUND(J453-T453,2)</f>
      </c>
      <c r="AE453" s="33">
        <f>ROUND(K453-U453,2)</f>
      </c>
      <c r="AF453" s="33">
        <f>IF(V453&lt;=0,0,MAX(0,MIN(V453,ROUND($AZ453-SUMPRODUCT($V453:$AE453*($V453:$AE453&gt;0)*(($V$3:$AE$3&gt;V$3)+($V$3:$AE$3=V$3)*($V453:$AE453&lt;V453)+($V$3:$AE$3=V$3)*($V453:$AE453=V453)*($V$2:$AE$2&lt;V$2))),2))))</f>
      </c>
      <c r="AG453" s="33">
        <f>IF(W453&lt;=0,0,MAX(0,MIN(W453,ROUND($AZ453-SUMPRODUCT($V453:$AE453*($V453:$AE453&gt;0)*(($V$3:$AE$3&gt;W$3)+($V$3:$AE$3=W$3)*($V453:$AE453&lt;W453)+($V$3:$AE$3=W$3)*($V453:$AE453=W453)*($V$2:$AE$2&lt;W$2))),2))))</f>
      </c>
      <c r="AH453" s="33">
        <f>IF(X453&lt;=0,0,MAX(0,MIN(X453,ROUND($AZ453-SUMPRODUCT($V453:$AE453*($V453:$AE453&gt;0)*(($V$3:$AE$3&gt;X$3)+($V$3:$AE$3=X$3)*($V453:$AE453&lt;X453)+($V$3:$AE$3=X$3)*($V453:$AE453=X453)*($V$2:$AE$2&lt;X$2))),2))))</f>
      </c>
      <c r="AI453" s="33">
        <f>IF(Y453&lt;=0,0,MAX(0,MIN(Y453,ROUND($AZ453-SUMPRODUCT($V453:$AE453*($V453:$AE453&gt;0)*(($V$3:$AE$3&gt;Y$3)+($V$3:$AE$3=Y$3)*($V453:$AE453&lt;Y453)+($V$3:$AE$3=Y$3)*($V453:$AE453=Y453)*($V$2:$AE$2&lt;Y$2))),2))))</f>
      </c>
      <c r="AJ453" s="33">
        <f>IF(Z453&lt;=0,0,MAX(0,MIN(Z453,ROUND($AZ453-SUMPRODUCT($V453:$AE453*($V453:$AE453&gt;0)*(($V$3:$AE$3&gt;Z$3)+($V$3:$AE$3=Z$3)*($V453:$AE453&lt;Z453)+($V$3:$AE$3=Z$3)*($V453:$AE453=Z453)*($V$2:$AE$2&lt;Z$2))),2))))</f>
      </c>
      <c r="AK453" s="33">
        <f>IF(AA453&lt;=0,0,MAX(0,MIN(AA453,ROUND($AZ453-SUMPRODUCT($V453:$AE453*($V453:$AE453&gt;0)*(($V$3:$AE$3&gt;AA$3)+($V$3:$AE$3=AA$3)*($V453:$AE453&lt;AA453)+($V$3:$AE$3=AA$3)*($V453:$AE453=AA453)*($V$2:$AE$2&lt;AA$2))),2))))</f>
      </c>
      <c r="AL453" s="33">
        <f>IF(AB453&lt;=0,0,MAX(0,MIN(AB453,ROUND($AZ453-SUMPRODUCT($V453:$AE453*($V453:$AE453&gt;0)*(($V$3:$AE$3&gt;AB$3)+($V$3:$AE$3=AB$3)*($V453:$AE453&lt;AB453)+($V$3:$AE$3=AB$3)*($V453:$AE453=AB453)*($V$2:$AE$2&lt;AB$2))),2))))</f>
      </c>
      <c r="AM453" s="33">
        <f>IF(AC453&lt;=0,0,MAX(0,MIN(AC453,ROUND($AZ453-SUMPRODUCT($V453:$AE453*($V453:$AE453&gt;0)*(($V$3:$AE$3&gt;AC$3)+($V$3:$AE$3=AC$3)*($V453:$AE453&lt;AC453)+($V$3:$AE$3=AC$3)*($V453:$AE453=AC453)*($V$2:$AE$2&lt;AC$2))),2))))</f>
      </c>
      <c r="AN453" s="33">
        <f>IF(AD453&lt;=0,0,MAX(0,MIN(AD453,ROUND($AZ453-SUMPRODUCT($V453:$AE453*($V453:$AE453&gt;0)*(($V$3:$AE$3&gt;AD$3)+($V$3:$AE$3=AD$3)*($V453:$AE453&lt;AD453)+($V$3:$AE$3=AD$3)*($V453:$AE453=AD453)*($V$2:$AE$2&lt;AD$2))),2))))</f>
      </c>
      <c r="AO453" s="33">
        <f>IF(AE453&lt;=0,0,MAX(0,MIN(AE453,ROUND($AZ453-SUMPRODUCT($V453:$AE453*($V453:$AE453&gt;0)*(($V$3:$AE$3&gt;AE$3)+($V$3:$AE$3=AE$3)*($V453:$AE453&lt;AE453)+($V$3:$AE$3=AE$3)*($V453:$AE453=AE453)*($V$2:$AE$2&lt;AE$2))),2))))</f>
      </c>
      <c r="AP453" s="33">
        <f>ROUND(V453-AF453,2)</f>
      </c>
      <c r="AQ453" s="33">
        <f>ROUND(W453-AG453,2)</f>
      </c>
      <c r="AR453" s="33">
        <f>ROUND(X453-AH453,2)</f>
      </c>
      <c r="AS453" s="33">
        <f>ROUND(Y453-AI453,2)</f>
      </c>
      <c r="AT453" s="33">
        <f>ROUND(Z453-AJ453,2)</f>
      </c>
      <c r="AU453" s="33">
        <f>ROUND(AA453-AK453,2)</f>
      </c>
      <c r="AV453" s="33">
        <f>ROUND(AB453-AL453,2)</f>
      </c>
      <c r="AW453" s="33">
        <f>ROUND(AC453-AM453,2)</f>
      </c>
      <c r="AX453" s="33">
        <f>ROUND(AD453-AN453,2)</f>
      </c>
      <c r="AY453" s="33">
        <f>ROUND(AE453-AO453,2)</f>
      </c>
      <c r="AZ453" s="33">
        <f>ROUND(MAX(0,'Your debts'!$D$22-SUM($L453:$U453)),2)</f>
      </c>
      <c r="BA453" s="33">
        <f>ROUND(SUM($B453:$K453)-SUM($AP452:$AY452),2)</f>
      </c>
      <c r="BB453" s="33">
        <f>SUM($AP453:$AY453)</f>
      </c>
      <c r="BC453" s="33">
        <f>ROUND(SUM($L453:$U453)+SUM($AF453:$AO453),2)</f>
      </c>
    </row>
    <row r="454" spans="1:55" x14ac:dyDescent="0.25">
      <c r="A454">
        <v>447</v>
      </c>
      <c r="B454" s="33">
        <f>IF(AP453&lt;=0,0,ROUND(AP453+ROUND(AP453*V$3/12,2),2))</f>
      </c>
      <c r="C454" s="33">
        <f>IF(AQ453&lt;=0,0,ROUND(AQ453+ROUND(AQ453*W$3/12,2),2))</f>
      </c>
      <c r="D454" s="33">
        <f>IF(AR453&lt;=0,0,ROUND(AR453+ROUND(AR453*X$3/12,2),2))</f>
      </c>
      <c r="E454" s="33">
        <f>IF(AS453&lt;=0,0,ROUND(AS453+ROUND(AS453*Y$3/12,2),2))</f>
      </c>
      <c r="F454" s="33">
        <f>IF(AT453&lt;=0,0,ROUND(AT453+ROUND(AT453*Z$3/12,2),2))</f>
      </c>
      <c r="G454" s="33">
        <f>IF(AU453&lt;=0,0,ROUND(AU453+ROUND(AU453*AA$3/12,2),2))</f>
      </c>
      <c r="H454" s="33">
        <f>IF(AV453&lt;=0,0,ROUND(AV453+ROUND(AV453*AB$3/12,2),2))</f>
      </c>
      <c r="I454" s="33">
        <f>IF(AW453&lt;=0,0,ROUND(AW453+ROUND(AW453*AC$3/12,2),2))</f>
      </c>
      <c r="J454" s="33">
        <f>IF(AX453&lt;=0,0,ROUND(AX453+ROUND(AX453*AD$3/12,2),2))</f>
      </c>
      <c r="K454" s="33">
        <f>IF(AY453&lt;=0,0,ROUND(AY453+ROUND(AY453*AE$3/12,2),2))</f>
      </c>
      <c r="L454" s="33">
        <f>ROUND(MIN(MAX(0,N('Your debts'!$E$6)),B454),2)</f>
      </c>
      <c r="M454" s="33">
        <f>ROUND(MIN(MAX(0,N('Your debts'!$E$7)),C454),2)</f>
      </c>
      <c r="N454" s="33">
        <f>ROUND(MIN(MAX(0,N('Your debts'!$E$8)),D454),2)</f>
      </c>
      <c r="O454" s="33">
        <f>ROUND(MIN(MAX(0,N('Your debts'!$E$9)),E454),2)</f>
      </c>
      <c r="P454" s="33">
        <f>ROUND(MIN(MAX(0,N('Your debts'!$E$10)),F454),2)</f>
      </c>
      <c r="Q454" s="33">
        <f>ROUND(MIN(MAX(0,N('Your debts'!$E$11)),G454),2)</f>
      </c>
      <c r="R454" s="33">
        <f>ROUND(MIN(MAX(0,N('Your debts'!$E$12)),H454),2)</f>
      </c>
      <c r="S454" s="33">
        <f>ROUND(MIN(MAX(0,N('Your debts'!$E$13)),I454),2)</f>
      </c>
      <c r="T454" s="33">
        <f>ROUND(MIN(MAX(0,N('Your debts'!$E$14)),J454),2)</f>
      </c>
      <c r="U454" s="33">
        <f>ROUND(MIN(MAX(0,N('Your debts'!$E$15)),K454),2)</f>
      </c>
      <c r="V454" s="33">
        <f>ROUND(B454-L454,2)</f>
      </c>
      <c r="W454" s="33">
        <f>ROUND(C454-M454,2)</f>
      </c>
      <c r="X454" s="33">
        <f>ROUND(D454-N454,2)</f>
      </c>
      <c r="Y454" s="33">
        <f>ROUND(E454-O454,2)</f>
      </c>
      <c r="Z454" s="33">
        <f>ROUND(F454-P454,2)</f>
      </c>
      <c r="AA454" s="33">
        <f>ROUND(G454-Q454,2)</f>
      </c>
      <c r="AB454" s="33">
        <f>ROUND(H454-R454,2)</f>
      </c>
      <c r="AC454" s="33">
        <f>ROUND(I454-S454,2)</f>
      </c>
      <c r="AD454" s="33">
        <f>ROUND(J454-T454,2)</f>
      </c>
      <c r="AE454" s="33">
        <f>ROUND(K454-U454,2)</f>
      </c>
      <c r="AF454" s="33">
        <f>IF(V454&lt;=0,0,MAX(0,MIN(V454,ROUND($AZ454-SUMPRODUCT($V454:$AE454*($V454:$AE454&gt;0)*(($V$3:$AE$3&gt;V$3)+($V$3:$AE$3=V$3)*($V454:$AE454&lt;V454)+($V$3:$AE$3=V$3)*($V454:$AE454=V454)*($V$2:$AE$2&lt;V$2))),2))))</f>
      </c>
      <c r="AG454" s="33">
        <f>IF(W454&lt;=0,0,MAX(0,MIN(W454,ROUND($AZ454-SUMPRODUCT($V454:$AE454*($V454:$AE454&gt;0)*(($V$3:$AE$3&gt;W$3)+($V$3:$AE$3=W$3)*($V454:$AE454&lt;W454)+($V$3:$AE$3=W$3)*($V454:$AE454=W454)*($V$2:$AE$2&lt;W$2))),2))))</f>
      </c>
      <c r="AH454" s="33">
        <f>IF(X454&lt;=0,0,MAX(0,MIN(X454,ROUND($AZ454-SUMPRODUCT($V454:$AE454*($V454:$AE454&gt;0)*(($V$3:$AE$3&gt;X$3)+($V$3:$AE$3=X$3)*($V454:$AE454&lt;X454)+($V$3:$AE$3=X$3)*($V454:$AE454=X454)*($V$2:$AE$2&lt;X$2))),2))))</f>
      </c>
      <c r="AI454" s="33">
        <f>IF(Y454&lt;=0,0,MAX(0,MIN(Y454,ROUND($AZ454-SUMPRODUCT($V454:$AE454*($V454:$AE454&gt;0)*(($V$3:$AE$3&gt;Y$3)+($V$3:$AE$3=Y$3)*($V454:$AE454&lt;Y454)+($V$3:$AE$3=Y$3)*($V454:$AE454=Y454)*($V$2:$AE$2&lt;Y$2))),2))))</f>
      </c>
      <c r="AJ454" s="33">
        <f>IF(Z454&lt;=0,0,MAX(0,MIN(Z454,ROUND($AZ454-SUMPRODUCT($V454:$AE454*($V454:$AE454&gt;0)*(($V$3:$AE$3&gt;Z$3)+($V$3:$AE$3=Z$3)*($V454:$AE454&lt;Z454)+($V$3:$AE$3=Z$3)*($V454:$AE454=Z454)*($V$2:$AE$2&lt;Z$2))),2))))</f>
      </c>
      <c r="AK454" s="33">
        <f>IF(AA454&lt;=0,0,MAX(0,MIN(AA454,ROUND($AZ454-SUMPRODUCT($V454:$AE454*($V454:$AE454&gt;0)*(($V$3:$AE$3&gt;AA$3)+($V$3:$AE$3=AA$3)*($V454:$AE454&lt;AA454)+($V$3:$AE$3=AA$3)*($V454:$AE454=AA454)*($V$2:$AE$2&lt;AA$2))),2))))</f>
      </c>
      <c r="AL454" s="33">
        <f>IF(AB454&lt;=0,0,MAX(0,MIN(AB454,ROUND($AZ454-SUMPRODUCT($V454:$AE454*($V454:$AE454&gt;0)*(($V$3:$AE$3&gt;AB$3)+($V$3:$AE$3=AB$3)*($V454:$AE454&lt;AB454)+($V$3:$AE$3=AB$3)*($V454:$AE454=AB454)*($V$2:$AE$2&lt;AB$2))),2))))</f>
      </c>
      <c r="AM454" s="33">
        <f>IF(AC454&lt;=0,0,MAX(0,MIN(AC454,ROUND($AZ454-SUMPRODUCT($V454:$AE454*($V454:$AE454&gt;0)*(($V$3:$AE$3&gt;AC$3)+($V$3:$AE$3=AC$3)*($V454:$AE454&lt;AC454)+($V$3:$AE$3=AC$3)*($V454:$AE454=AC454)*($V$2:$AE$2&lt;AC$2))),2))))</f>
      </c>
      <c r="AN454" s="33">
        <f>IF(AD454&lt;=0,0,MAX(0,MIN(AD454,ROUND($AZ454-SUMPRODUCT($V454:$AE454*($V454:$AE454&gt;0)*(($V$3:$AE$3&gt;AD$3)+($V$3:$AE$3=AD$3)*($V454:$AE454&lt;AD454)+($V$3:$AE$3=AD$3)*($V454:$AE454=AD454)*($V$2:$AE$2&lt;AD$2))),2))))</f>
      </c>
      <c r="AO454" s="33">
        <f>IF(AE454&lt;=0,0,MAX(0,MIN(AE454,ROUND($AZ454-SUMPRODUCT($V454:$AE454*($V454:$AE454&gt;0)*(($V$3:$AE$3&gt;AE$3)+($V$3:$AE$3=AE$3)*($V454:$AE454&lt;AE454)+($V$3:$AE$3=AE$3)*($V454:$AE454=AE454)*($V$2:$AE$2&lt;AE$2))),2))))</f>
      </c>
      <c r="AP454" s="33">
        <f>ROUND(V454-AF454,2)</f>
      </c>
      <c r="AQ454" s="33">
        <f>ROUND(W454-AG454,2)</f>
      </c>
      <c r="AR454" s="33">
        <f>ROUND(X454-AH454,2)</f>
      </c>
      <c r="AS454" s="33">
        <f>ROUND(Y454-AI454,2)</f>
      </c>
      <c r="AT454" s="33">
        <f>ROUND(Z454-AJ454,2)</f>
      </c>
      <c r="AU454" s="33">
        <f>ROUND(AA454-AK454,2)</f>
      </c>
      <c r="AV454" s="33">
        <f>ROUND(AB454-AL454,2)</f>
      </c>
      <c r="AW454" s="33">
        <f>ROUND(AC454-AM454,2)</f>
      </c>
      <c r="AX454" s="33">
        <f>ROUND(AD454-AN454,2)</f>
      </c>
      <c r="AY454" s="33">
        <f>ROUND(AE454-AO454,2)</f>
      </c>
      <c r="AZ454" s="33">
        <f>ROUND(MAX(0,'Your debts'!$D$22-SUM($L454:$U454)),2)</f>
      </c>
      <c r="BA454" s="33">
        <f>ROUND(SUM($B454:$K454)-SUM($AP453:$AY453),2)</f>
      </c>
      <c r="BB454" s="33">
        <f>SUM($AP454:$AY454)</f>
      </c>
      <c r="BC454" s="33">
        <f>ROUND(SUM($L454:$U454)+SUM($AF454:$AO454),2)</f>
      </c>
    </row>
    <row r="455" spans="1:55" x14ac:dyDescent="0.25">
      <c r="A455">
        <v>448</v>
      </c>
      <c r="B455" s="33">
        <f>IF(AP454&lt;=0,0,ROUND(AP454+ROUND(AP454*V$3/12,2),2))</f>
      </c>
      <c r="C455" s="33">
        <f>IF(AQ454&lt;=0,0,ROUND(AQ454+ROUND(AQ454*W$3/12,2),2))</f>
      </c>
      <c r="D455" s="33">
        <f>IF(AR454&lt;=0,0,ROUND(AR454+ROUND(AR454*X$3/12,2),2))</f>
      </c>
      <c r="E455" s="33">
        <f>IF(AS454&lt;=0,0,ROUND(AS454+ROUND(AS454*Y$3/12,2),2))</f>
      </c>
      <c r="F455" s="33">
        <f>IF(AT454&lt;=0,0,ROUND(AT454+ROUND(AT454*Z$3/12,2),2))</f>
      </c>
      <c r="G455" s="33">
        <f>IF(AU454&lt;=0,0,ROUND(AU454+ROUND(AU454*AA$3/12,2),2))</f>
      </c>
      <c r="H455" s="33">
        <f>IF(AV454&lt;=0,0,ROUND(AV454+ROUND(AV454*AB$3/12,2),2))</f>
      </c>
      <c r="I455" s="33">
        <f>IF(AW454&lt;=0,0,ROUND(AW454+ROUND(AW454*AC$3/12,2),2))</f>
      </c>
      <c r="J455" s="33">
        <f>IF(AX454&lt;=0,0,ROUND(AX454+ROUND(AX454*AD$3/12,2),2))</f>
      </c>
      <c r="K455" s="33">
        <f>IF(AY454&lt;=0,0,ROUND(AY454+ROUND(AY454*AE$3/12,2),2))</f>
      </c>
      <c r="L455" s="33">
        <f>ROUND(MIN(MAX(0,N('Your debts'!$E$6)),B455),2)</f>
      </c>
      <c r="M455" s="33">
        <f>ROUND(MIN(MAX(0,N('Your debts'!$E$7)),C455),2)</f>
      </c>
      <c r="N455" s="33">
        <f>ROUND(MIN(MAX(0,N('Your debts'!$E$8)),D455),2)</f>
      </c>
      <c r="O455" s="33">
        <f>ROUND(MIN(MAX(0,N('Your debts'!$E$9)),E455),2)</f>
      </c>
      <c r="P455" s="33">
        <f>ROUND(MIN(MAX(0,N('Your debts'!$E$10)),F455),2)</f>
      </c>
      <c r="Q455" s="33">
        <f>ROUND(MIN(MAX(0,N('Your debts'!$E$11)),G455),2)</f>
      </c>
      <c r="R455" s="33">
        <f>ROUND(MIN(MAX(0,N('Your debts'!$E$12)),H455),2)</f>
      </c>
      <c r="S455" s="33">
        <f>ROUND(MIN(MAX(0,N('Your debts'!$E$13)),I455),2)</f>
      </c>
      <c r="T455" s="33">
        <f>ROUND(MIN(MAX(0,N('Your debts'!$E$14)),J455),2)</f>
      </c>
      <c r="U455" s="33">
        <f>ROUND(MIN(MAX(0,N('Your debts'!$E$15)),K455),2)</f>
      </c>
      <c r="V455" s="33">
        <f>ROUND(B455-L455,2)</f>
      </c>
      <c r="W455" s="33">
        <f>ROUND(C455-M455,2)</f>
      </c>
      <c r="X455" s="33">
        <f>ROUND(D455-N455,2)</f>
      </c>
      <c r="Y455" s="33">
        <f>ROUND(E455-O455,2)</f>
      </c>
      <c r="Z455" s="33">
        <f>ROUND(F455-P455,2)</f>
      </c>
      <c r="AA455" s="33">
        <f>ROUND(G455-Q455,2)</f>
      </c>
      <c r="AB455" s="33">
        <f>ROUND(H455-R455,2)</f>
      </c>
      <c r="AC455" s="33">
        <f>ROUND(I455-S455,2)</f>
      </c>
      <c r="AD455" s="33">
        <f>ROUND(J455-T455,2)</f>
      </c>
      <c r="AE455" s="33">
        <f>ROUND(K455-U455,2)</f>
      </c>
      <c r="AF455" s="33">
        <f>IF(V455&lt;=0,0,MAX(0,MIN(V455,ROUND($AZ455-SUMPRODUCT($V455:$AE455*($V455:$AE455&gt;0)*(($V$3:$AE$3&gt;V$3)+($V$3:$AE$3=V$3)*($V455:$AE455&lt;V455)+($V$3:$AE$3=V$3)*($V455:$AE455=V455)*($V$2:$AE$2&lt;V$2))),2))))</f>
      </c>
      <c r="AG455" s="33">
        <f>IF(W455&lt;=0,0,MAX(0,MIN(W455,ROUND($AZ455-SUMPRODUCT($V455:$AE455*($V455:$AE455&gt;0)*(($V$3:$AE$3&gt;W$3)+($V$3:$AE$3=W$3)*($V455:$AE455&lt;W455)+($V$3:$AE$3=W$3)*($V455:$AE455=W455)*($V$2:$AE$2&lt;W$2))),2))))</f>
      </c>
      <c r="AH455" s="33">
        <f>IF(X455&lt;=0,0,MAX(0,MIN(X455,ROUND($AZ455-SUMPRODUCT($V455:$AE455*($V455:$AE455&gt;0)*(($V$3:$AE$3&gt;X$3)+($V$3:$AE$3=X$3)*($V455:$AE455&lt;X455)+($V$3:$AE$3=X$3)*($V455:$AE455=X455)*($V$2:$AE$2&lt;X$2))),2))))</f>
      </c>
      <c r="AI455" s="33">
        <f>IF(Y455&lt;=0,0,MAX(0,MIN(Y455,ROUND($AZ455-SUMPRODUCT($V455:$AE455*($V455:$AE455&gt;0)*(($V$3:$AE$3&gt;Y$3)+($V$3:$AE$3=Y$3)*($V455:$AE455&lt;Y455)+($V$3:$AE$3=Y$3)*($V455:$AE455=Y455)*($V$2:$AE$2&lt;Y$2))),2))))</f>
      </c>
      <c r="AJ455" s="33">
        <f>IF(Z455&lt;=0,0,MAX(0,MIN(Z455,ROUND($AZ455-SUMPRODUCT($V455:$AE455*($V455:$AE455&gt;0)*(($V$3:$AE$3&gt;Z$3)+($V$3:$AE$3=Z$3)*($V455:$AE455&lt;Z455)+($V$3:$AE$3=Z$3)*($V455:$AE455=Z455)*($V$2:$AE$2&lt;Z$2))),2))))</f>
      </c>
      <c r="AK455" s="33">
        <f>IF(AA455&lt;=0,0,MAX(0,MIN(AA455,ROUND($AZ455-SUMPRODUCT($V455:$AE455*($V455:$AE455&gt;0)*(($V$3:$AE$3&gt;AA$3)+($V$3:$AE$3=AA$3)*($V455:$AE455&lt;AA455)+($V$3:$AE$3=AA$3)*($V455:$AE455=AA455)*($V$2:$AE$2&lt;AA$2))),2))))</f>
      </c>
      <c r="AL455" s="33">
        <f>IF(AB455&lt;=0,0,MAX(0,MIN(AB455,ROUND($AZ455-SUMPRODUCT($V455:$AE455*($V455:$AE455&gt;0)*(($V$3:$AE$3&gt;AB$3)+($V$3:$AE$3=AB$3)*($V455:$AE455&lt;AB455)+($V$3:$AE$3=AB$3)*($V455:$AE455=AB455)*($V$2:$AE$2&lt;AB$2))),2))))</f>
      </c>
      <c r="AM455" s="33">
        <f>IF(AC455&lt;=0,0,MAX(0,MIN(AC455,ROUND($AZ455-SUMPRODUCT($V455:$AE455*($V455:$AE455&gt;0)*(($V$3:$AE$3&gt;AC$3)+($V$3:$AE$3=AC$3)*($V455:$AE455&lt;AC455)+($V$3:$AE$3=AC$3)*($V455:$AE455=AC455)*($V$2:$AE$2&lt;AC$2))),2))))</f>
      </c>
      <c r="AN455" s="33">
        <f>IF(AD455&lt;=0,0,MAX(0,MIN(AD455,ROUND($AZ455-SUMPRODUCT($V455:$AE455*($V455:$AE455&gt;0)*(($V$3:$AE$3&gt;AD$3)+($V$3:$AE$3=AD$3)*($V455:$AE455&lt;AD455)+($V$3:$AE$3=AD$3)*($V455:$AE455=AD455)*($V$2:$AE$2&lt;AD$2))),2))))</f>
      </c>
      <c r="AO455" s="33">
        <f>IF(AE455&lt;=0,0,MAX(0,MIN(AE455,ROUND($AZ455-SUMPRODUCT($V455:$AE455*($V455:$AE455&gt;0)*(($V$3:$AE$3&gt;AE$3)+($V$3:$AE$3=AE$3)*($V455:$AE455&lt;AE455)+($V$3:$AE$3=AE$3)*($V455:$AE455=AE455)*($V$2:$AE$2&lt;AE$2))),2))))</f>
      </c>
      <c r="AP455" s="33">
        <f>ROUND(V455-AF455,2)</f>
      </c>
      <c r="AQ455" s="33">
        <f>ROUND(W455-AG455,2)</f>
      </c>
      <c r="AR455" s="33">
        <f>ROUND(X455-AH455,2)</f>
      </c>
      <c r="AS455" s="33">
        <f>ROUND(Y455-AI455,2)</f>
      </c>
      <c r="AT455" s="33">
        <f>ROUND(Z455-AJ455,2)</f>
      </c>
      <c r="AU455" s="33">
        <f>ROUND(AA455-AK455,2)</f>
      </c>
      <c r="AV455" s="33">
        <f>ROUND(AB455-AL455,2)</f>
      </c>
      <c r="AW455" s="33">
        <f>ROUND(AC455-AM455,2)</f>
      </c>
      <c r="AX455" s="33">
        <f>ROUND(AD455-AN455,2)</f>
      </c>
      <c r="AY455" s="33">
        <f>ROUND(AE455-AO455,2)</f>
      </c>
      <c r="AZ455" s="33">
        <f>ROUND(MAX(0,'Your debts'!$D$22-SUM($L455:$U455)),2)</f>
      </c>
      <c r="BA455" s="33">
        <f>ROUND(SUM($B455:$K455)-SUM($AP454:$AY454),2)</f>
      </c>
      <c r="BB455" s="33">
        <f>SUM($AP455:$AY455)</f>
      </c>
      <c r="BC455" s="33">
        <f>ROUND(SUM($L455:$U455)+SUM($AF455:$AO455),2)</f>
      </c>
    </row>
    <row r="456" spans="1:55" x14ac:dyDescent="0.25">
      <c r="A456">
        <v>449</v>
      </c>
      <c r="B456" s="33">
        <f>IF(AP455&lt;=0,0,ROUND(AP455+ROUND(AP455*V$3/12,2),2))</f>
      </c>
      <c r="C456" s="33">
        <f>IF(AQ455&lt;=0,0,ROUND(AQ455+ROUND(AQ455*W$3/12,2),2))</f>
      </c>
      <c r="D456" s="33">
        <f>IF(AR455&lt;=0,0,ROUND(AR455+ROUND(AR455*X$3/12,2),2))</f>
      </c>
      <c r="E456" s="33">
        <f>IF(AS455&lt;=0,0,ROUND(AS455+ROUND(AS455*Y$3/12,2),2))</f>
      </c>
      <c r="F456" s="33">
        <f>IF(AT455&lt;=0,0,ROUND(AT455+ROUND(AT455*Z$3/12,2),2))</f>
      </c>
      <c r="G456" s="33">
        <f>IF(AU455&lt;=0,0,ROUND(AU455+ROUND(AU455*AA$3/12,2),2))</f>
      </c>
      <c r="H456" s="33">
        <f>IF(AV455&lt;=0,0,ROUND(AV455+ROUND(AV455*AB$3/12,2),2))</f>
      </c>
      <c r="I456" s="33">
        <f>IF(AW455&lt;=0,0,ROUND(AW455+ROUND(AW455*AC$3/12,2),2))</f>
      </c>
      <c r="J456" s="33">
        <f>IF(AX455&lt;=0,0,ROUND(AX455+ROUND(AX455*AD$3/12,2),2))</f>
      </c>
      <c r="K456" s="33">
        <f>IF(AY455&lt;=0,0,ROUND(AY455+ROUND(AY455*AE$3/12,2),2))</f>
      </c>
      <c r="L456" s="33">
        <f>ROUND(MIN(MAX(0,N('Your debts'!$E$6)),B456),2)</f>
      </c>
      <c r="M456" s="33">
        <f>ROUND(MIN(MAX(0,N('Your debts'!$E$7)),C456),2)</f>
      </c>
      <c r="N456" s="33">
        <f>ROUND(MIN(MAX(0,N('Your debts'!$E$8)),D456),2)</f>
      </c>
      <c r="O456" s="33">
        <f>ROUND(MIN(MAX(0,N('Your debts'!$E$9)),E456),2)</f>
      </c>
      <c r="P456" s="33">
        <f>ROUND(MIN(MAX(0,N('Your debts'!$E$10)),F456),2)</f>
      </c>
      <c r="Q456" s="33">
        <f>ROUND(MIN(MAX(0,N('Your debts'!$E$11)),G456),2)</f>
      </c>
      <c r="R456" s="33">
        <f>ROUND(MIN(MAX(0,N('Your debts'!$E$12)),H456),2)</f>
      </c>
      <c r="S456" s="33">
        <f>ROUND(MIN(MAX(0,N('Your debts'!$E$13)),I456),2)</f>
      </c>
      <c r="T456" s="33">
        <f>ROUND(MIN(MAX(0,N('Your debts'!$E$14)),J456),2)</f>
      </c>
      <c r="U456" s="33">
        <f>ROUND(MIN(MAX(0,N('Your debts'!$E$15)),K456),2)</f>
      </c>
      <c r="V456" s="33">
        <f>ROUND(B456-L456,2)</f>
      </c>
      <c r="W456" s="33">
        <f>ROUND(C456-M456,2)</f>
      </c>
      <c r="X456" s="33">
        <f>ROUND(D456-N456,2)</f>
      </c>
      <c r="Y456" s="33">
        <f>ROUND(E456-O456,2)</f>
      </c>
      <c r="Z456" s="33">
        <f>ROUND(F456-P456,2)</f>
      </c>
      <c r="AA456" s="33">
        <f>ROUND(G456-Q456,2)</f>
      </c>
      <c r="AB456" s="33">
        <f>ROUND(H456-R456,2)</f>
      </c>
      <c r="AC456" s="33">
        <f>ROUND(I456-S456,2)</f>
      </c>
      <c r="AD456" s="33">
        <f>ROUND(J456-T456,2)</f>
      </c>
      <c r="AE456" s="33">
        <f>ROUND(K456-U456,2)</f>
      </c>
      <c r="AF456" s="33">
        <f>IF(V456&lt;=0,0,MAX(0,MIN(V456,ROUND($AZ456-SUMPRODUCT($V456:$AE456*($V456:$AE456&gt;0)*(($V$3:$AE$3&gt;V$3)+($V$3:$AE$3=V$3)*($V456:$AE456&lt;V456)+($V$3:$AE$3=V$3)*($V456:$AE456=V456)*($V$2:$AE$2&lt;V$2))),2))))</f>
      </c>
      <c r="AG456" s="33">
        <f>IF(W456&lt;=0,0,MAX(0,MIN(W456,ROUND($AZ456-SUMPRODUCT($V456:$AE456*($V456:$AE456&gt;0)*(($V$3:$AE$3&gt;W$3)+($V$3:$AE$3=W$3)*($V456:$AE456&lt;W456)+($V$3:$AE$3=W$3)*($V456:$AE456=W456)*($V$2:$AE$2&lt;W$2))),2))))</f>
      </c>
      <c r="AH456" s="33">
        <f>IF(X456&lt;=0,0,MAX(0,MIN(X456,ROUND($AZ456-SUMPRODUCT($V456:$AE456*($V456:$AE456&gt;0)*(($V$3:$AE$3&gt;X$3)+($V$3:$AE$3=X$3)*($V456:$AE456&lt;X456)+($V$3:$AE$3=X$3)*($V456:$AE456=X456)*($V$2:$AE$2&lt;X$2))),2))))</f>
      </c>
      <c r="AI456" s="33">
        <f>IF(Y456&lt;=0,0,MAX(0,MIN(Y456,ROUND($AZ456-SUMPRODUCT($V456:$AE456*($V456:$AE456&gt;0)*(($V$3:$AE$3&gt;Y$3)+($V$3:$AE$3=Y$3)*($V456:$AE456&lt;Y456)+($V$3:$AE$3=Y$3)*($V456:$AE456=Y456)*($V$2:$AE$2&lt;Y$2))),2))))</f>
      </c>
      <c r="AJ456" s="33">
        <f>IF(Z456&lt;=0,0,MAX(0,MIN(Z456,ROUND($AZ456-SUMPRODUCT($V456:$AE456*($V456:$AE456&gt;0)*(($V$3:$AE$3&gt;Z$3)+($V$3:$AE$3=Z$3)*($V456:$AE456&lt;Z456)+($V$3:$AE$3=Z$3)*($V456:$AE456=Z456)*($V$2:$AE$2&lt;Z$2))),2))))</f>
      </c>
      <c r="AK456" s="33">
        <f>IF(AA456&lt;=0,0,MAX(0,MIN(AA456,ROUND($AZ456-SUMPRODUCT($V456:$AE456*($V456:$AE456&gt;0)*(($V$3:$AE$3&gt;AA$3)+($V$3:$AE$3=AA$3)*($V456:$AE456&lt;AA456)+($V$3:$AE$3=AA$3)*($V456:$AE456=AA456)*($V$2:$AE$2&lt;AA$2))),2))))</f>
      </c>
      <c r="AL456" s="33">
        <f>IF(AB456&lt;=0,0,MAX(0,MIN(AB456,ROUND($AZ456-SUMPRODUCT($V456:$AE456*($V456:$AE456&gt;0)*(($V$3:$AE$3&gt;AB$3)+($V$3:$AE$3=AB$3)*($V456:$AE456&lt;AB456)+($V$3:$AE$3=AB$3)*($V456:$AE456=AB456)*($V$2:$AE$2&lt;AB$2))),2))))</f>
      </c>
      <c r="AM456" s="33">
        <f>IF(AC456&lt;=0,0,MAX(0,MIN(AC456,ROUND($AZ456-SUMPRODUCT($V456:$AE456*($V456:$AE456&gt;0)*(($V$3:$AE$3&gt;AC$3)+($V$3:$AE$3=AC$3)*($V456:$AE456&lt;AC456)+($V$3:$AE$3=AC$3)*($V456:$AE456=AC456)*($V$2:$AE$2&lt;AC$2))),2))))</f>
      </c>
      <c r="AN456" s="33">
        <f>IF(AD456&lt;=0,0,MAX(0,MIN(AD456,ROUND($AZ456-SUMPRODUCT($V456:$AE456*($V456:$AE456&gt;0)*(($V$3:$AE$3&gt;AD$3)+($V$3:$AE$3=AD$3)*($V456:$AE456&lt;AD456)+($V$3:$AE$3=AD$3)*($V456:$AE456=AD456)*($V$2:$AE$2&lt;AD$2))),2))))</f>
      </c>
      <c r="AO456" s="33">
        <f>IF(AE456&lt;=0,0,MAX(0,MIN(AE456,ROUND($AZ456-SUMPRODUCT($V456:$AE456*($V456:$AE456&gt;0)*(($V$3:$AE$3&gt;AE$3)+($V$3:$AE$3=AE$3)*($V456:$AE456&lt;AE456)+($V$3:$AE$3=AE$3)*($V456:$AE456=AE456)*($V$2:$AE$2&lt;AE$2))),2))))</f>
      </c>
      <c r="AP456" s="33">
        <f>ROUND(V456-AF456,2)</f>
      </c>
      <c r="AQ456" s="33">
        <f>ROUND(W456-AG456,2)</f>
      </c>
      <c r="AR456" s="33">
        <f>ROUND(X456-AH456,2)</f>
      </c>
      <c r="AS456" s="33">
        <f>ROUND(Y456-AI456,2)</f>
      </c>
      <c r="AT456" s="33">
        <f>ROUND(Z456-AJ456,2)</f>
      </c>
      <c r="AU456" s="33">
        <f>ROUND(AA456-AK456,2)</f>
      </c>
      <c r="AV456" s="33">
        <f>ROUND(AB456-AL456,2)</f>
      </c>
      <c r="AW456" s="33">
        <f>ROUND(AC456-AM456,2)</f>
      </c>
      <c r="AX456" s="33">
        <f>ROUND(AD456-AN456,2)</f>
      </c>
      <c r="AY456" s="33">
        <f>ROUND(AE456-AO456,2)</f>
      </c>
      <c r="AZ456" s="33">
        <f>ROUND(MAX(0,'Your debts'!$D$22-SUM($L456:$U456)),2)</f>
      </c>
      <c r="BA456" s="33">
        <f>ROUND(SUM($B456:$K456)-SUM($AP455:$AY455),2)</f>
      </c>
      <c r="BB456" s="33">
        <f>SUM($AP456:$AY456)</f>
      </c>
      <c r="BC456" s="33">
        <f>ROUND(SUM($L456:$U456)+SUM($AF456:$AO456),2)</f>
      </c>
    </row>
    <row r="457" spans="1:55" x14ac:dyDescent="0.25">
      <c r="A457">
        <v>450</v>
      </c>
      <c r="B457" s="33">
        <f>IF(AP456&lt;=0,0,ROUND(AP456+ROUND(AP456*V$3/12,2),2))</f>
      </c>
      <c r="C457" s="33">
        <f>IF(AQ456&lt;=0,0,ROUND(AQ456+ROUND(AQ456*W$3/12,2),2))</f>
      </c>
      <c r="D457" s="33">
        <f>IF(AR456&lt;=0,0,ROUND(AR456+ROUND(AR456*X$3/12,2),2))</f>
      </c>
      <c r="E457" s="33">
        <f>IF(AS456&lt;=0,0,ROUND(AS456+ROUND(AS456*Y$3/12,2),2))</f>
      </c>
      <c r="F457" s="33">
        <f>IF(AT456&lt;=0,0,ROUND(AT456+ROUND(AT456*Z$3/12,2),2))</f>
      </c>
      <c r="G457" s="33">
        <f>IF(AU456&lt;=0,0,ROUND(AU456+ROUND(AU456*AA$3/12,2),2))</f>
      </c>
      <c r="H457" s="33">
        <f>IF(AV456&lt;=0,0,ROUND(AV456+ROUND(AV456*AB$3/12,2),2))</f>
      </c>
      <c r="I457" s="33">
        <f>IF(AW456&lt;=0,0,ROUND(AW456+ROUND(AW456*AC$3/12,2),2))</f>
      </c>
      <c r="J457" s="33">
        <f>IF(AX456&lt;=0,0,ROUND(AX456+ROUND(AX456*AD$3/12,2),2))</f>
      </c>
      <c r="K457" s="33">
        <f>IF(AY456&lt;=0,0,ROUND(AY456+ROUND(AY456*AE$3/12,2),2))</f>
      </c>
      <c r="L457" s="33">
        <f>ROUND(MIN(MAX(0,N('Your debts'!$E$6)),B457),2)</f>
      </c>
      <c r="M457" s="33">
        <f>ROUND(MIN(MAX(0,N('Your debts'!$E$7)),C457),2)</f>
      </c>
      <c r="N457" s="33">
        <f>ROUND(MIN(MAX(0,N('Your debts'!$E$8)),D457),2)</f>
      </c>
      <c r="O457" s="33">
        <f>ROUND(MIN(MAX(0,N('Your debts'!$E$9)),E457),2)</f>
      </c>
      <c r="P457" s="33">
        <f>ROUND(MIN(MAX(0,N('Your debts'!$E$10)),F457),2)</f>
      </c>
      <c r="Q457" s="33">
        <f>ROUND(MIN(MAX(0,N('Your debts'!$E$11)),G457),2)</f>
      </c>
      <c r="R457" s="33">
        <f>ROUND(MIN(MAX(0,N('Your debts'!$E$12)),H457),2)</f>
      </c>
      <c r="S457" s="33">
        <f>ROUND(MIN(MAX(0,N('Your debts'!$E$13)),I457),2)</f>
      </c>
      <c r="T457" s="33">
        <f>ROUND(MIN(MAX(0,N('Your debts'!$E$14)),J457),2)</f>
      </c>
      <c r="U457" s="33">
        <f>ROUND(MIN(MAX(0,N('Your debts'!$E$15)),K457),2)</f>
      </c>
      <c r="V457" s="33">
        <f>ROUND(B457-L457,2)</f>
      </c>
      <c r="W457" s="33">
        <f>ROUND(C457-M457,2)</f>
      </c>
      <c r="X457" s="33">
        <f>ROUND(D457-N457,2)</f>
      </c>
      <c r="Y457" s="33">
        <f>ROUND(E457-O457,2)</f>
      </c>
      <c r="Z457" s="33">
        <f>ROUND(F457-P457,2)</f>
      </c>
      <c r="AA457" s="33">
        <f>ROUND(G457-Q457,2)</f>
      </c>
      <c r="AB457" s="33">
        <f>ROUND(H457-R457,2)</f>
      </c>
      <c r="AC457" s="33">
        <f>ROUND(I457-S457,2)</f>
      </c>
      <c r="AD457" s="33">
        <f>ROUND(J457-T457,2)</f>
      </c>
      <c r="AE457" s="33">
        <f>ROUND(K457-U457,2)</f>
      </c>
      <c r="AF457" s="33">
        <f>IF(V457&lt;=0,0,MAX(0,MIN(V457,ROUND($AZ457-SUMPRODUCT($V457:$AE457*($V457:$AE457&gt;0)*(($V$3:$AE$3&gt;V$3)+($V$3:$AE$3=V$3)*($V457:$AE457&lt;V457)+($V$3:$AE$3=V$3)*($V457:$AE457=V457)*($V$2:$AE$2&lt;V$2))),2))))</f>
      </c>
      <c r="AG457" s="33">
        <f>IF(W457&lt;=0,0,MAX(0,MIN(W457,ROUND($AZ457-SUMPRODUCT($V457:$AE457*($V457:$AE457&gt;0)*(($V$3:$AE$3&gt;W$3)+($V$3:$AE$3=W$3)*($V457:$AE457&lt;W457)+($V$3:$AE$3=W$3)*($V457:$AE457=W457)*($V$2:$AE$2&lt;W$2))),2))))</f>
      </c>
      <c r="AH457" s="33">
        <f>IF(X457&lt;=0,0,MAX(0,MIN(X457,ROUND($AZ457-SUMPRODUCT($V457:$AE457*($V457:$AE457&gt;0)*(($V$3:$AE$3&gt;X$3)+($V$3:$AE$3=X$3)*($V457:$AE457&lt;X457)+($V$3:$AE$3=X$3)*($V457:$AE457=X457)*($V$2:$AE$2&lt;X$2))),2))))</f>
      </c>
      <c r="AI457" s="33">
        <f>IF(Y457&lt;=0,0,MAX(0,MIN(Y457,ROUND($AZ457-SUMPRODUCT($V457:$AE457*($V457:$AE457&gt;0)*(($V$3:$AE$3&gt;Y$3)+($V$3:$AE$3=Y$3)*($V457:$AE457&lt;Y457)+($V$3:$AE$3=Y$3)*($V457:$AE457=Y457)*($V$2:$AE$2&lt;Y$2))),2))))</f>
      </c>
      <c r="AJ457" s="33">
        <f>IF(Z457&lt;=0,0,MAX(0,MIN(Z457,ROUND($AZ457-SUMPRODUCT($V457:$AE457*($V457:$AE457&gt;0)*(($V$3:$AE$3&gt;Z$3)+($V$3:$AE$3=Z$3)*($V457:$AE457&lt;Z457)+($V$3:$AE$3=Z$3)*($V457:$AE457=Z457)*($V$2:$AE$2&lt;Z$2))),2))))</f>
      </c>
      <c r="AK457" s="33">
        <f>IF(AA457&lt;=0,0,MAX(0,MIN(AA457,ROUND($AZ457-SUMPRODUCT($V457:$AE457*($V457:$AE457&gt;0)*(($V$3:$AE$3&gt;AA$3)+($V$3:$AE$3=AA$3)*($V457:$AE457&lt;AA457)+($V$3:$AE$3=AA$3)*($V457:$AE457=AA457)*($V$2:$AE$2&lt;AA$2))),2))))</f>
      </c>
      <c r="AL457" s="33">
        <f>IF(AB457&lt;=0,0,MAX(0,MIN(AB457,ROUND($AZ457-SUMPRODUCT($V457:$AE457*($V457:$AE457&gt;0)*(($V$3:$AE$3&gt;AB$3)+($V$3:$AE$3=AB$3)*($V457:$AE457&lt;AB457)+($V$3:$AE$3=AB$3)*($V457:$AE457=AB457)*($V$2:$AE$2&lt;AB$2))),2))))</f>
      </c>
      <c r="AM457" s="33">
        <f>IF(AC457&lt;=0,0,MAX(0,MIN(AC457,ROUND($AZ457-SUMPRODUCT($V457:$AE457*($V457:$AE457&gt;0)*(($V$3:$AE$3&gt;AC$3)+($V$3:$AE$3=AC$3)*($V457:$AE457&lt;AC457)+($V$3:$AE$3=AC$3)*($V457:$AE457=AC457)*($V$2:$AE$2&lt;AC$2))),2))))</f>
      </c>
      <c r="AN457" s="33">
        <f>IF(AD457&lt;=0,0,MAX(0,MIN(AD457,ROUND($AZ457-SUMPRODUCT($V457:$AE457*($V457:$AE457&gt;0)*(($V$3:$AE$3&gt;AD$3)+($V$3:$AE$3=AD$3)*($V457:$AE457&lt;AD457)+($V$3:$AE$3=AD$3)*($V457:$AE457=AD457)*($V$2:$AE$2&lt;AD$2))),2))))</f>
      </c>
      <c r="AO457" s="33">
        <f>IF(AE457&lt;=0,0,MAX(0,MIN(AE457,ROUND($AZ457-SUMPRODUCT($V457:$AE457*($V457:$AE457&gt;0)*(($V$3:$AE$3&gt;AE$3)+($V$3:$AE$3=AE$3)*($V457:$AE457&lt;AE457)+($V$3:$AE$3=AE$3)*($V457:$AE457=AE457)*($V$2:$AE$2&lt;AE$2))),2))))</f>
      </c>
      <c r="AP457" s="33">
        <f>ROUND(V457-AF457,2)</f>
      </c>
      <c r="AQ457" s="33">
        <f>ROUND(W457-AG457,2)</f>
      </c>
      <c r="AR457" s="33">
        <f>ROUND(X457-AH457,2)</f>
      </c>
      <c r="AS457" s="33">
        <f>ROUND(Y457-AI457,2)</f>
      </c>
      <c r="AT457" s="33">
        <f>ROUND(Z457-AJ457,2)</f>
      </c>
      <c r="AU457" s="33">
        <f>ROUND(AA457-AK457,2)</f>
      </c>
      <c r="AV457" s="33">
        <f>ROUND(AB457-AL457,2)</f>
      </c>
      <c r="AW457" s="33">
        <f>ROUND(AC457-AM457,2)</f>
      </c>
      <c r="AX457" s="33">
        <f>ROUND(AD457-AN457,2)</f>
      </c>
      <c r="AY457" s="33">
        <f>ROUND(AE457-AO457,2)</f>
      </c>
      <c r="AZ457" s="33">
        <f>ROUND(MAX(0,'Your debts'!$D$22-SUM($L457:$U457)),2)</f>
      </c>
      <c r="BA457" s="33">
        <f>ROUND(SUM($B457:$K457)-SUM($AP456:$AY456),2)</f>
      </c>
      <c r="BB457" s="33">
        <f>SUM($AP457:$AY457)</f>
      </c>
      <c r="BC457" s="33">
        <f>ROUND(SUM($L457:$U457)+SUM($AF457:$AO457),2)</f>
      </c>
    </row>
    <row r="458" spans="1:55" x14ac:dyDescent="0.25">
      <c r="A458">
        <v>451</v>
      </c>
      <c r="B458" s="33">
        <f>IF(AP457&lt;=0,0,ROUND(AP457+ROUND(AP457*V$3/12,2),2))</f>
      </c>
      <c r="C458" s="33">
        <f>IF(AQ457&lt;=0,0,ROUND(AQ457+ROUND(AQ457*W$3/12,2),2))</f>
      </c>
      <c r="D458" s="33">
        <f>IF(AR457&lt;=0,0,ROUND(AR457+ROUND(AR457*X$3/12,2),2))</f>
      </c>
      <c r="E458" s="33">
        <f>IF(AS457&lt;=0,0,ROUND(AS457+ROUND(AS457*Y$3/12,2),2))</f>
      </c>
      <c r="F458" s="33">
        <f>IF(AT457&lt;=0,0,ROUND(AT457+ROUND(AT457*Z$3/12,2),2))</f>
      </c>
      <c r="G458" s="33">
        <f>IF(AU457&lt;=0,0,ROUND(AU457+ROUND(AU457*AA$3/12,2),2))</f>
      </c>
      <c r="H458" s="33">
        <f>IF(AV457&lt;=0,0,ROUND(AV457+ROUND(AV457*AB$3/12,2),2))</f>
      </c>
      <c r="I458" s="33">
        <f>IF(AW457&lt;=0,0,ROUND(AW457+ROUND(AW457*AC$3/12,2),2))</f>
      </c>
      <c r="J458" s="33">
        <f>IF(AX457&lt;=0,0,ROUND(AX457+ROUND(AX457*AD$3/12,2),2))</f>
      </c>
      <c r="K458" s="33">
        <f>IF(AY457&lt;=0,0,ROUND(AY457+ROUND(AY457*AE$3/12,2),2))</f>
      </c>
      <c r="L458" s="33">
        <f>ROUND(MIN(MAX(0,N('Your debts'!$E$6)),B458),2)</f>
      </c>
      <c r="M458" s="33">
        <f>ROUND(MIN(MAX(0,N('Your debts'!$E$7)),C458),2)</f>
      </c>
      <c r="N458" s="33">
        <f>ROUND(MIN(MAX(0,N('Your debts'!$E$8)),D458),2)</f>
      </c>
      <c r="O458" s="33">
        <f>ROUND(MIN(MAX(0,N('Your debts'!$E$9)),E458),2)</f>
      </c>
      <c r="P458" s="33">
        <f>ROUND(MIN(MAX(0,N('Your debts'!$E$10)),F458),2)</f>
      </c>
      <c r="Q458" s="33">
        <f>ROUND(MIN(MAX(0,N('Your debts'!$E$11)),G458),2)</f>
      </c>
      <c r="R458" s="33">
        <f>ROUND(MIN(MAX(0,N('Your debts'!$E$12)),H458),2)</f>
      </c>
      <c r="S458" s="33">
        <f>ROUND(MIN(MAX(0,N('Your debts'!$E$13)),I458),2)</f>
      </c>
      <c r="T458" s="33">
        <f>ROUND(MIN(MAX(0,N('Your debts'!$E$14)),J458),2)</f>
      </c>
      <c r="U458" s="33">
        <f>ROUND(MIN(MAX(0,N('Your debts'!$E$15)),K458),2)</f>
      </c>
      <c r="V458" s="33">
        <f>ROUND(B458-L458,2)</f>
      </c>
      <c r="W458" s="33">
        <f>ROUND(C458-M458,2)</f>
      </c>
      <c r="X458" s="33">
        <f>ROUND(D458-N458,2)</f>
      </c>
      <c r="Y458" s="33">
        <f>ROUND(E458-O458,2)</f>
      </c>
      <c r="Z458" s="33">
        <f>ROUND(F458-P458,2)</f>
      </c>
      <c r="AA458" s="33">
        <f>ROUND(G458-Q458,2)</f>
      </c>
      <c r="AB458" s="33">
        <f>ROUND(H458-R458,2)</f>
      </c>
      <c r="AC458" s="33">
        <f>ROUND(I458-S458,2)</f>
      </c>
      <c r="AD458" s="33">
        <f>ROUND(J458-T458,2)</f>
      </c>
      <c r="AE458" s="33">
        <f>ROUND(K458-U458,2)</f>
      </c>
      <c r="AF458" s="33">
        <f>IF(V458&lt;=0,0,MAX(0,MIN(V458,ROUND($AZ458-SUMPRODUCT($V458:$AE458*($V458:$AE458&gt;0)*(($V$3:$AE$3&gt;V$3)+($V$3:$AE$3=V$3)*($V458:$AE458&lt;V458)+($V$3:$AE$3=V$3)*($V458:$AE458=V458)*($V$2:$AE$2&lt;V$2))),2))))</f>
      </c>
      <c r="AG458" s="33">
        <f>IF(W458&lt;=0,0,MAX(0,MIN(W458,ROUND($AZ458-SUMPRODUCT($V458:$AE458*($V458:$AE458&gt;0)*(($V$3:$AE$3&gt;W$3)+($V$3:$AE$3=W$3)*($V458:$AE458&lt;W458)+($V$3:$AE$3=W$3)*($V458:$AE458=W458)*($V$2:$AE$2&lt;W$2))),2))))</f>
      </c>
      <c r="AH458" s="33">
        <f>IF(X458&lt;=0,0,MAX(0,MIN(X458,ROUND($AZ458-SUMPRODUCT($V458:$AE458*($V458:$AE458&gt;0)*(($V$3:$AE$3&gt;X$3)+($V$3:$AE$3=X$3)*($V458:$AE458&lt;X458)+($V$3:$AE$3=X$3)*($V458:$AE458=X458)*($V$2:$AE$2&lt;X$2))),2))))</f>
      </c>
      <c r="AI458" s="33">
        <f>IF(Y458&lt;=0,0,MAX(0,MIN(Y458,ROUND($AZ458-SUMPRODUCT($V458:$AE458*($V458:$AE458&gt;0)*(($V$3:$AE$3&gt;Y$3)+($V$3:$AE$3=Y$3)*($V458:$AE458&lt;Y458)+($V$3:$AE$3=Y$3)*($V458:$AE458=Y458)*($V$2:$AE$2&lt;Y$2))),2))))</f>
      </c>
      <c r="AJ458" s="33">
        <f>IF(Z458&lt;=0,0,MAX(0,MIN(Z458,ROUND($AZ458-SUMPRODUCT($V458:$AE458*($V458:$AE458&gt;0)*(($V$3:$AE$3&gt;Z$3)+($V$3:$AE$3=Z$3)*($V458:$AE458&lt;Z458)+($V$3:$AE$3=Z$3)*($V458:$AE458=Z458)*($V$2:$AE$2&lt;Z$2))),2))))</f>
      </c>
      <c r="AK458" s="33">
        <f>IF(AA458&lt;=0,0,MAX(0,MIN(AA458,ROUND($AZ458-SUMPRODUCT($V458:$AE458*($V458:$AE458&gt;0)*(($V$3:$AE$3&gt;AA$3)+($V$3:$AE$3=AA$3)*($V458:$AE458&lt;AA458)+($V$3:$AE$3=AA$3)*($V458:$AE458=AA458)*($V$2:$AE$2&lt;AA$2))),2))))</f>
      </c>
      <c r="AL458" s="33">
        <f>IF(AB458&lt;=0,0,MAX(0,MIN(AB458,ROUND($AZ458-SUMPRODUCT($V458:$AE458*($V458:$AE458&gt;0)*(($V$3:$AE$3&gt;AB$3)+($V$3:$AE$3=AB$3)*($V458:$AE458&lt;AB458)+($V$3:$AE$3=AB$3)*($V458:$AE458=AB458)*($V$2:$AE$2&lt;AB$2))),2))))</f>
      </c>
      <c r="AM458" s="33">
        <f>IF(AC458&lt;=0,0,MAX(0,MIN(AC458,ROUND($AZ458-SUMPRODUCT($V458:$AE458*($V458:$AE458&gt;0)*(($V$3:$AE$3&gt;AC$3)+($V$3:$AE$3=AC$3)*($V458:$AE458&lt;AC458)+($V$3:$AE$3=AC$3)*($V458:$AE458=AC458)*($V$2:$AE$2&lt;AC$2))),2))))</f>
      </c>
      <c r="AN458" s="33">
        <f>IF(AD458&lt;=0,0,MAX(0,MIN(AD458,ROUND($AZ458-SUMPRODUCT($V458:$AE458*($V458:$AE458&gt;0)*(($V$3:$AE$3&gt;AD$3)+($V$3:$AE$3=AD$3)*($V458:$AE458&lt;AD458)+($V$3:$AE$3=AD$3)*($V458:$AE458=AD458)*($V$2:$AE$2&lt;AD$2))),2))))</f>
      </c>
      <c r="AO458" s="33">
        <f>IF(AE458&lt;=0,0,MAX(0,MIN(AE458,ROUND($AZ458-SUMPRODUCT($V458:$AE458*($V458:$AE458&gt;0)*(($V$3:$AE$3&gt;AE$3)+($V$3:$AE$3=AE$3)*($V458:$AE458&lt;AE458)+($V$3:$AE$3=AE$3)*($V458:$AE458=AE458)*($V$2:$AE$2&lt;AE$2))),2))))</f>
      </c>
      <c r="AP458" s="33">
        <f>ROUND(V458-AF458,2)</f>
      </c>
      <c r="AQ458" s="33">
        <f>ROUND(W458-AG458,2)</f>
      </c>
      <c r="AR458" s="33">
        <f>ROUND(X458-AH458,2)</f>
      </c>
      <c r="AS458" s="33">
        <f>ROUND(Y458-AI458,2)</f>
      </c>
      <c r="AT458" s="33">
        <f>ROUND(Z458-AJ458,2)</f>
      </c>
      <c r="AU458" s="33">
        <f>ROUND(AA458-AK458,2)</f>
      </c>
      <c r="AV458" s="33">
        <f>ROUND(AB458-AL458,2)</f>
      </c>
      <c r="AW458" s="33">
        <f>ROUND(AC458-AM458,2)</f>
      </c>
      <c r="AX458" s="33">
        <f>ROUND(AD458-AN458,2)</f>
      </c>
      <c r="AY458" s="33">
        <f>ROUND(AE458-AO458,2)</f>
      </c>
      <c r="AZ458" s="33">
        <f>ROUND(MAX(0,'Your debts'!$D$22-SUM($L458:$U458)),2)</f>
      </c>
      <c r="BA458" s="33">
        <f>ROUND(SUM($B458:$K458)-SUM($AP457:$AY457),2)</f>
      </c>
      <c r="BB458" s="33">
        <f>SUM($AP458:$AY458)</f>
      </c>
      <c r="BC458" s="33">
        <f>ROUND(SUM($L458:$U458)+SUM($AF458:$AO458),2)</f>
      </c>
    </row>
    <row r="459" spans="1:55" x14ac:dyDescent="0.25">
      <c r="A459">
        <v>452</v>
      </c>
      <c r="B459" s="33">
        <f>IF(AP458&lt;=0,0,ROUND(AP458+ROUND(AP458*V$3/12,2),2))</f>
      </c>
      <c r="C459" s="33">
        <f>IF(AQ458&lt;=0,0,ROUND(AQ458+ROUND(AQ458*W$3/12,2),2))</f>
      </c>
      <c r="D459" s="33">
        <f>IF(AR458&lt;=0,0,ROUND(AR458+ROUND(AR458*X$3/12,2),2))</f>
      </c>
      <c r="E459" s="33">
        <f>IF(AS458&lt;=0,0,ROUND(AS458+ROUND(AS458*Y$3/12,2),2))</f>
      </c>
      <c r="F459" s="33">
        <f>IF(AT458&lt;=0,0,ROUND(AT458+ROUND(AT458*Z$3/12,2),2))</f>
      </c>
      <c r="G459" s="33">
        <f>IF(AU458&lt;=0,0,ROUND(AU458+ROUND(AU458*AA$3/12,2),2))</f>
      </c>
      <c r="H459" s="33">
        <f>IF(AV458&lt;=0,0,ROUND(AV458+ROUND(AV458*AB$3/12,2),2))</f>
      </c>
      <c r="I459" s="33">
        <f>IF(AW458&lt;=0,0,ROUND(AW458+ROUND(AW458*AC$3/12,2),2))</f>
      </c>
      <c r="J459" s="33">
        <f>IF(AX458&lt;=0,0,ROUND(AX458+ROUND(AX458*AD$3/12,2),2))</f>
      </c>
      <c r="K459" s="33">
        <f>IF(AY458&lt;=0,0,ROUND(AY458+ROUND(AY458*AE$3/12,2),2))</f>
      </c>
      <c r="L459" s="33">
        <f>ROUND(MIN(MAX(0,N('Your debts'!$E$6)),B459),2)</f>
      </c>
      <c r="M459" s="33">
        <f>ROUND(MIN(MAX(0,N('Your debts'!$E$7)),C459),2)</f>
      </c>
      <c r="N459" s="33">
        <f>ROUND(MIN(MAX(0,N('Your debts'!$E$8)),D459),2)</f>
      </c>
      <c r="O459" s="33">
        <f>ROUND(MIN(MAX(0,N('Your debts'!$E$9)),E459),2)</f>
      </c>
      <c r="P459" s="33">
        <f>ROUND(MIN(MAX(0,N('Your debts'!$E$10)),F459),2)</f>
      </c>
      <c r="Q459" s="33">
        <f>ROUND(MIN(MAX(0,N('Your debts'!$E$11)),G459),2)</f>
      </c>
      <c r="R459" s="33">
        <f>ROUND(MIN(MAX(0,N('Your debts'!$E$12)),H459),2)</f>
      </c>
      <c r="S459" s="33">
        <f>ROUND(MIN(MAX(0,N('Your debts'!$E$13)),I459),2)</f>
      </c>
      <c r="T459" s="33">
        <f>ROUND(MIN(MAX(0,N('Your debts'!$E$14)),J459),2)</f>
      </c>
      <c r="U459" s="33">
        <f>ROUND(MIN(MAX(0,N('Your debts'!$E$15)),K459),2)</f>
      </c>
      <c r="V459" s="33">
        <f>ROUND(B459-L459,2)</f>
      </c>
      <c r="W459" s="33">
        <f>ROUND(C459-M459,2)</f>
      </c>
      <c r="X459" s="33">
        <f>ROUND(D459-N459,2)</f>
      </c>
      <c r="Y459" s="33">
        <f>ROUND(E459-O459,2)</f>
      </c>
      <c r="Z459" s="33">
        <f>ROUND(F459-P459,2)</f>
      </c>
      <c r="AA459" s="33">
        <f>ROUND(G459-Q459,2)</f>
      </c>
      <c r="AB459" s="33">
        <f>ROUND(H459-R459,2)</f>
      </c>
      <c r="AC459" s="33">
        <f>ROUND(I459-S459,2)</f>
      </c>
      <c r="AD459" s="33">
        <f>ROUND(J459-T459,2)</f>
      </c>
      <c r="AE459" s="33">
        <f>ROUND(K459-U459,2)</f>
      </c>
      <c r="AF459" s="33">
        <f>IF(V459&lt;=0,0,MAX(0,MIN(V459,ROUND($AZ459-SUMPRODUCT($V459:$AE459*($V459:$AE459&gt;0)*(($V$3:$AE$3&gt;V$3)+($V$3:$AE$3=V$3)*($V459:$AE459&lt;V459)+($V$3:$AE$3=V$3)*($V459:$AE459=V459)*($V$2:$AE$2&lt;V$2))),2))))</f>
      </c>
      <c r="AG459" s="33">
        <f>IF(W459&lt;=0,0,MAX(0,MIN(W459,ROUND($AZ459-SUMPRODUCT($V459:$AE459*($V459:$AE459&gt;0)*(($V$3:$AE$3&gt;W$3)+($V$3:$AE$3=W$3)*($V459:$AE459&lt;W459)+($V$3:$AE$3=W$3)*($V459:$AE459=W459)*($V$2:$AE$2&lt;W$2))),2))))</f>
      </c>
      <c r="AH459" s="33">
        <f>IF(X459&lt;=0,0,MAX(0,MIN(X459,ROUND($AZ459-SUMPRODUCT($V459:$AE459*($V459:$AE459&gt;0)*(($V$3:$AE$3&gt;X$3)+($V$3:$AE$3=X$3)*($V459:$AE459&lt;X459)+($V$3:$AE$3=X$3)*($V459:$AE459=X459)*($V$2:$AE$2&lt;X$2))),2))))</f>
      </c>
      <c r="AI459" s="33">
        <f>IF(Y459&lt;=0,0,MAX(0,MIN(Y459,ROUND($AZ459-SUMPRODUCT($V459:$AE459*($V459:$AE459&gt;0)*(($V$3:$AE$3&gt;Y$3)+($V$3:$AE$3=Y$3)*($V459:$AE459&lt;Y459)+($V$3:$AE$3=Y$3)*($V459:$AE459=Y459)*($V$2:$AE$2&lt;Y$2))),2))))</f>
      </c>
      <c r="AJ459" s="33">
        <f>IF(Z459&lt;=0,0,MAX(0,MIN(Z459,ROUND($AZ459-SUMPRODUCT($V459:$AE459*($V459:$AE459&gt;0)*(($V$3:$AE$3&gt;Z$3)+($V$3:$AE$3=Z$3)*($V459:$AE459&lt;Z459)+($V$3:$AE$3=Z$3)*($V459:$AE459=Z459)*($V$2:$AE$2&lt;Z$2))),2))))</f>
      </c>
      <c r="AK459" s="33">
        <f>IF(AA459&lt;=0,0,MAX(0,MIN(AA459,ROUND($AZ459-SUMPRODUCT($V459:$AE459*($V459:$AE459&gt;0)*(($V$3:$AE$3&gt;AA$3)+($V$3:$AE$3=AA$3)*($V459:$AE459&lt;AA459)+($V$3:$AE$3=AA$3)*($V459:$AE459=AA459)*($V$2:$AE$2&lt;AA$2))),2))))</f>
      </c>
      <c r="AL459" s="33">
        <f>IF(AB459&lt;=0,0,MAX(0,MIN(AB459,ROUND($AZ459-SUMPRODUCT($V459:$AE459*($V459:$AE459&gt;0)*(($V$3:$AE$3&gt;AB$3)+($V$3:$AE$3=AB$3)*($V459:$AE459&lt;AB459)+($V$3:$AE$3=AB$3)*($V459:$AE459=AB459)*($V$2:$AE$2&lt;AB$2))),2))))</f>
      </c>
      <c r="AM459" s="33">
        <f>IF(AC459&lt;=0,0,MAX(0,MIN(AC459,ROUND($AZ459-SUMPRODUCT($V459:$AE459*($V459:$AE459&gt;0)*(($V$3:$AE$3&gt;AC$3)+($V$3:$AE$3=AC$3)*($V459:$AE459&lt;AC459)+($V$3:$AE$3=AC$3)*($V459:$AE459=AC459)*($V$2:$AE$2&lt;AC$2))),2))))</f>
      </c>
      <c r="AN459" s="33">
        <f>IF(AD459&lt;=0,0,MAX(0,MIN(AD459,ROUND($AZ459-SUMPRODUCT($V459:$AE459*($V459:$AE459&gt;0)*(($V$3:$AE$3&gt;AD$3)+($V$3:$AE$3=AD$3)*($V459:$AE459&lt;AD459)+($V$3:$AE$3=AD$3)*($V459:$AE459=AD459)*($V$2:$AE$2&lt;AD$2))),2))))</f>
      </c>
      <c r="AO459" s="33">
        <f>IF(AE459&lt;=0,0,MAX(0,MIN(AE459,ROUND($AZ459-SUMPRODUCT($V459:$AE459*($V459:$AE459&gt;0)*(($V$3:$AE$3&gt;AE$3)+($V$3:$AE$3=AE$3)*($V459:$AE459&lt;AE459)+($V$3:$AE$3=AE$3)*($V459:$AE459=AE459)*($V$2:$AE$2&lt;AE$2))),2))))</f>
      </c>
      <c r="AP459" s="33">
        <f>ROUND(V459-AF459,2)</f>
      </c>
      <c r="AQ459" s="33">
        <f>ROUND(W459-AG459,2)</f>
      </c>
      <c r="AR459" s="33">
        <f>ROUND(X459-AH459,2)</f>
      </c>
      <c r="AS459" s="33">
        <f>ROUND(Y459-AI459,2)</f>
      </c>
      <c r="AT459" s="33">
        <f>ROUND(Z459-AJ459,2)</f>
      </c>
      <c r="AU459" s="33">
        <f>ROUND(AA459-AK459,2)</f>
      </c>
      <c r="AV459" s="33">
        <f>ROUND(AB459-AL459,2)</f>
      </c>
      <c r="AW459" s="33">
        <f>ROUND(AC459-AM459,2)</f>
      </c>
      <c r="AX459" s="33">
        <f>ROUND(AD459-AN459,2)</f>
      </c>
      <c r="AY459" s="33">
        <f>ROUND(AE459-AO459,2)</f>
      </c>
      <c r="AZ459" s="33">
        <f>ROUND(MAX(0,'Your debts'!$D$22-SUM($L459:$U459)),2)</f>
      </c>
      <c r="BA459" s="33">
        <f>ROUND(SUM($B459:$K459)-SUM($AP458:$AY458),2)</f>
      </c>
      <c r="BB459" s="33">
        <f>SUM($AP459:$AY459)</f>
      </c>
      <c r="BC459" s="33">
        <f>ROUND(SUM($L459:$U459)+SUM($AF459:$AO459),2)</f>
      </c>
    </row>
    <row r="460" spans="1:55" x14ac:dyDescent="0.25">
      <c r="A460">
        <v>453</v>
      </c>
      <c r="B460" s="33">
        <f>IF(AP459&lt;=0,0,ROUND(AP459+ROUND(AP459*V$3/12,2),2))</f>
      </c>
      <c r="C460" s="33">
        <f>IF(AQ459&lt;=0,0,ROUND(AQ459+ROUND(AQ459*W$3/12,2),2))</f>
      </c>
      <c r="D460" s="33">
        <f>IF(AR459&lt;=0,0,ROUND(AR459+ROUND(AR459*X$3/12,2),2))</f>
      </c>
      <c r="E460" s="33">
        <f>IF(AS459&lt;=0,0,ROUND(AS459+ROUND(AS459*Y$3/12,2),2))</f>
      </c>
      <c r="F460" s="33">
        <f>IF(AT459&lt;=0,0,ROUND(AT459+ROUND(AT459*Z$3/12,2),2))</f>
      </c>
      <c r="G460" s="33">
        <f>IF(AU459&lt;=0,0,ROUND(AU459+ROUND(AU459*AA$3/12,2),2))</f>
      </c>
      <c r="H460" s="33">
        <f>IF(AV459&lt;=0,0,ROUND(AV459+ROUND(AV459*AB$3/12,2),2))</f>
      </c>
      <c r="I460" s="33">
        <f>IF(AW459&lt;=0,0,ROUND(AW459+ROUND(AW459*AC$3/12,2),2))</f>
      </c>
      <c r="J460" s="33">
        <f>IF(AX459&lt;=0,0,ROUND(AX459+ROUND(AX459*AD$3/12,2),2))</f>
      </c>
      <c r="K460" s="33">
        <f>IF(AY459&lt;=0,0,ROUND(AY459+ROUND(AY459*AE$3/12,2),2))</f>
      </c>
      <c r="L460" s="33">
        <f>ROUND(MIN(MAX(0,N('Your debts'!$E$6)),B460),2)</f>
      </c>
      <c r="M460" s="33">
        <f>ROUND(MIN(MAX(0,N('Your debts'!$E$7)),C460),2)</f>
      </c>
      <c r="N460" s="33">
        <f>ROUND(MIN(MAX(0,N('Your debts'!$E$8)),D460),2)</f>
      </c>
      <c r="O460" s="33">
        <f>ROUND(MIN(MAX(0,N('Your debts'!$E$9)),E460),2)</f>
      </c>
      <c r="P460" s="33">
        <f>ROUND(MIN(MAX(0,N('Your debts'!$E$10)),F460),2)</f>
      </c>
      <c r="Q460" s="33">
        <f>ROUND(MIN(MAX(0,N('Your debts'!$E$11)),G460),2)</f>
      </c>
      <c r="R460" s="33">
        <f>ROUND(MIN(MAX(0,N('Your debts'!$E$12)),H460),2)</f>
      </c>
      <c r="S460" s="33">
        <f>ROUND(MIN(MAX(0,N('Your debts'!$E$13)),I460),2)</f>
      </c>
      <c r="T460" s="33">
        <f>ROUND(MIN(MAX(0,N('Your debts'!$E$14)),J460),2)</f>
      </c>
      <c r="U460" s="33">
        <f>ROUND(MIN(MAX(0,N('Your debts'!$E$15)),K460),2)</f>
      </c>
      <c r="V460" s="33">
        <f>ROUND(B460-L460,2)</f>
      </c>
      <c r="W460" s="33">
        <f>ROUND(C460-M460,2)</f>
      </c>
      <c r="X460" s="33">
        <f>ROUND(D460-N460,2)</f>
      </c>
      <c r="Y460" s="33">
        <f>ROUND(E460-O460,2)</f>
      </c>
      <c r="Z460" s="33">
        <f>ROUND(F460-P460,2)</f>
      </c>
      <c r="AA460" s="33">
        <f>ROUND(G460-Q460,2)</f>
      </c>
      <c r="AB460" s="33">
        <f>ROUND(H460-R460,2)</f>
      </c>
      <c r="AC460" s="33">
        <f>ROUND(I460-S460,2)</f>
      </c>
      <c r="AD460" s="33">
        <f>ROUND(J460-T460,2)</f>
      </c>
      <c r="AE460" s="33">
        <f>ROUND(K460-U460,2)</f>
      </c>
      <c r="AF460" s="33">
        <f>IF(V460&lt;=0,0,MAX(0,MIN(V460,ROUND($AZ460-SUMPRODUCT($V460:$AE460*($V460:$AE460&gt;0)*(($V$3:$AE$3&gt;V$3)+($V$3:$AE$3=V$3)*($V460:$AE460&lt;V460)+($V$3:$AE$3=V$3)*($V460:$AE460=V460)*($V$2:$AE$2&lt;V$2))),2))))</f>
      </c>
      <c r="AG460" s="33">
        <f>IF(W460&lt;=0,0,MAX(0,MIN(W460,ROUND($AZ460-SUMPRODUCT($V460:$AE460*($V460:$AE460&gt;0)*(($V$3:$AE$3&gt;W$3)+($V$3:$AE$3=W$3)*($V460:$AE460&lt;W460)+($V$3:$AE$3=W$3)*($V460:$AE460=W460)*($V$2:$AE$2&lt;W$2))),2))))</f>
      </c>
      <c r="AH460" s="33">
        <f>IF(X460&lt;=0,0,MAX(0,MIN(X460,ROUND($AZ460-SUMPRODUCT($V460:$AE460*($V460:$AE460&gt;0)*(($V$3:$AE$3&gt;X$3)+($V$3:$AE$3=X$3)*($V460:$AE460&lt;X460)+($V$3:$AE$3=X$3)*($V460:$AE460=X460)*($V$2:$AE$2&lt;X$2))),2))))</f>
      </c>
      <c r="AI460" s="33">
        <f>IF(Y460&lt;=0,0,MAX(0,MIN(Y460,ROUND($AZ460-SUMPRODUCT($V460:$AE460*($V460:$AE460&gt;0)*(($V$3:$AE$3&gt;Y$3)+($V$3:$AE$3=Y$3)*($V460:$AE460&lt;Y460)+($V$3:$AE$3=Y$3)*($V460:$AE460=Y460)*($V$2:$AE$2&lt;Y$2))),2))))</f>
      </c>
      <c r="AJ460" s="33">
        <f>IF(Z460&lt;=0,0,MAX(0,MIN(Z460,ROUND($AZ460-SUMPRODUCT($V460:$AE460*($V460:$AE460&gt;0)*(($V$3:$AE$3&gt;Z$3)+($V$3:$AE$3=Z$3)*($V460:$AE460&lt;Z460)+($V$3:$AE$3=Z$3)*($V460:$AE460=Z460)*($V$2:$AE$2&lt;Z$2))),2))))</f>
      </c>
      <c r="AK460" s="33">
        <f>IF(AA460&lt;=0,0,MAX(0,MIN(AA460,ROUND($AZ460-SUMPRODUCT($V460:$AE460*($V460:$AE460&gt;0)*(($V$3:$AE$3&gt;AA$3)+($V$3:$AE$3=AA$3)*($V460:$AE460&lt;AA460)+($V$3:$AE$3=AA$3)*($V460:$AE460=AA460)*($V$2:$AE$2&lt;AA$2))),2))))</f>
      </c>
      <c r="AL460" s="33">
        <f>IF(AB460&lt;=0,0,MAX(0,MIN(AB460,ROUND($AZ460-SUMPRODUCT($V460:$AE460*($V460:$AE460&gt;0)*(($V$3:$AE$3&gt;AB$3)+($V$3:$AE$3=AB$3)*($V460:$AE460&lt;AB460)+($V$3:$AE$3=AB$3)*($V460:$AE460=AB460)*($V$2:$AE$2&lt;AB$2))),2))))</f>
      </c>
      <c r="AM460" s="33">
        <f>IF(AC460&lt;=0,0,MAX(0,MIN(AC460,ROUND($AZ460-SUMPRODUCT($V460:$AE460*($V460:$AE460&gt;0)*(($V$3:$AE$3&gt;AC$3)+($V$3:$AE$3=AC$3)*($V460:$AE460&lt;AC460)+($V$3:$AE$3=AC$3)*($V460:$AE460=AC460)*($V$2:$AE$2&lt;AC$2))),2))))</f>
      </c>
      <c r="AN460" s="33">
        <f>IF(AD460&lt;=0,0,MAX(0,MIN(AD460,ROUND($AZ460-SUMPRODUCT($V460:$AE460*($V460:$AE460&gt;0)*(($V$3:$AE$3&gt;AD$3)+($V$3:$AE$3=AD$3)*($V460:$AE460&lt;AD460)+($V$3:$AE$3=AD$3)*($V460:$AE460=AD460)*($V$2:$AE$2&lt;AD$2))),2))))</f>
      </c>
      <c r="AO460" s="33">
        <f>IF(AE460&lt;=0,0,MAX(0,MIN(AE460,ROUND($AZ460-SUMPRODUCT($V460:$AE460*($V460:$AE460&gt;0)*(($V$3:$AE$3&gt;AE$3)+($V$3:$AE$3=AE$3)*($V460:$AE460&lt;AE460)+($V$3:$AE$3=AE$3)*($V460:$AE460=AE460)*($V$2:$AE$2&lt;AE$2))),2))))</f>
      </c>
      <c r="AP460" s="33">
        <f>ROUND(V460-AF460,2)</f>
      </c>
      <c r="AQ460" s="33">
        <f>ROUND(W460-AG460,2)</f>
      </c>
      <c r="AR460" s="33">
        <f>ROUND(X460-AH460,2)</f>
      </c>
      <c r="AS460" s="33">
        <f>ROUND(Y460-AI460,2)</f>
      </c>
      <c r="AT460" s="33">
        <f>ROUND(Z460-AJ460,2)</f>
      </c>
      <c r="AU460" s="33">
        <f>ROUND(AA460-AK460,2)</f>
      </c>
      <c r="AV460" s="33">
        <f>ROUND(AB460-AL460,2)</f>
      </c>
      <c r="AW460" s="33">
        <f>ROUND(AC460-AM460,2)</f>
      </c>
      <c r="AX460" s="33">
        <f>ROUND(AD460-AN460,2)</f>
      </c>
      <c r="AY460" s="33">
        <f>ROUND(AE460-AO460,2)</f>
      </c>
      <c r="AZ460" s="33">
        <f>ROUND(MAX(0,'Your debts'!$D$22-SUM($L460:$U460)),2)</f>
      </c>
      <c r="BA460" s="33">
        <f>ROUND(SUM($B460:$K460)-SUM($AP459:$AY459),2)</f>
      </c>
      <c r="BB460" s="33">
        <f>SUM($AP460:$AY460)</f>
      </c>
      <c r="BC460" s="33">
        <f>ROUND(SUM($L460:$U460)+SUM($AF460:$AO460),2)</f>
      </c>
    </row>
    <row r="461" spans="1:55" x14ac:dyDescent="0.25">
      <c r="A461">
        <v>454</v>
      </c>
      <c r="B461" s="33">
        <f>IF(AP460&lt;=0,0,ROUND(AP460+ROUND(AP460*V$3/12,2),2))</f>
      </c>
      <c r="C461" s="33">
        <f>IF(AQ460&lt;=0,0,ROUND(AQ460+ROUND(AQ460*W$3/12,2),2))</f>
      </c>
      <c r="D461" s="33">
        <f>IF(AR460&lt;=0,0,ROUND(AR460+ROUND(AR460*X$3/12,2),2))</f>
      </c>
      <c r="E461" s="33">
        <f>IF(AS460&lt;=0,0,ROUND(AS460+ROUND(AS460*Y$3/12,2),2))</f>
      </c>
      <c r="F461" s="33">
        <f>IF(AT460&lt;=0,0,ROUND(AT460+ROUND(AT460*Z$3/12,2),2))</f>
      </c>
      <c r="G461" s="33">
        <f>IF(AU460&lt;=0,0,ROUND(AU460+ROUND(AU460*AA$3/12,2),2))</f>
      </c>
      <c r="H461" s="33">
        <f>IF(AV460&lt;=0,0,ROUND(AV460+ROUND(AV460*AB$3/12,2),2))</f>
      </c>
      <c r="I461" s="33">
        <f>IF(AW460&lt;=0,0,ROUND(AW460+ROUND(AW460*AC$3/12,2),2))</f>
      </c>
      <c r="J461" s="33">
        <f>IF(AX460&lt;=0,0,ROUND(AX460+ROUND(AX460*AD$3/12,2),2))</f>
      </c>
      <c r="K461" s="33">
        <f>IF(AY460&lt;=0,0,ROUND(AY460+ROUND(AY460*AE$3/12,2),2))</f>
      </c>
      <c r="L461" s="33">
        <f>ROUND(MIN(MAX(0,N('Your debts'!$E$6)),B461),2)</f>
      </c>
      <c r="M461" s="33">
        <f>ROUND(MIN(MAX(0,N('Your debts'!$E$7)),C461),2)</f>
      </c>
      <c r="N461" s="33">
        <f>ROUND(MIN(MAX(0,N('Your debts'!$E$8)),D461),2)</f>
      </c>
      <c r="O461" s="33">
        <f>ROUND(MIN(MAX(0,N('Your debts'!$E$9)),E461),2)</f>
      </c>
      <c r="P461" s="33">
        <f>ROUND(MIN(MAX(0,N('Your debts'!$E$10)),F461),2)</f>
      </c>
      <c r="Q461" s="33">
        <f>ROUND(MIN(MAX(0,N('Your debts'!$E$11)),G461),2)</f>
      </c>
      <c r="R461" s="33">
        <f>ROUND(MIN(MAX(0,N('Your debts'!$E$12)),H461),2)</f>
      </c>
      <c r="S461" s="33">
        <f>ROUND(MIN(MAX(0,N('Your debts'!$E$13)),I461),2)</f>
      </c>
      <c r="T461" s="33">
        <f>ROUND(MIN(MAX(0,N('Your debts'!$E$14)),J461),2)</f>
      </c>
      <c r="U461" s="33">
        <f>ROUND(MIN(MAX(0,N('Your debts'!$E$15)),K461),2)</f>
      </c>
      <c r="V461" s="33">
        <f>ROUND(B461-L461,2)</f>
      </c>
      <c r="W461" s="33">
        <f>ROUND(C461-M461,2)</f>
      </c>
      <c r="X461" s="33">
        <f>ROUND(D461-N461,2)</f>
      </c>
      <c r="Y461" s="33">
        <f>ROUND(E461-O461,2)</f>
      </c>
      <c r="Z461" s="33">
        <f>ROUND(F461-P461,2)</f>
      </c>
      <c r="AA461" s="33">
        <f>ROUND(G461-Q461,2)</f>
      </c>
      <c r="AB461" s="33">
        <f>ROUND(H461-R461,2)</f>
      </c>
      <c r="AC461" s="33">
        <f>ROUND(I461-S461,2)</f>
      </c>
      <c r="AD461" s="33">
        <f>ROUND(J461-T461,2)</f>
      </c>
      <c r="AE461" s="33">
        <f>ROUND(K461-U461,2)</f>
      </c>
      <c r="AF461" s="33">
        <f>IF(V461&lt;=0,0,MAX(0,MIN(V461,ROUND($AZ461-SUMPRODUCT($V461:$AE461*($V461:$AE461&gt;0)*(($V$3:$AE$3&gt;V$3)+($V$3:$AE$3=V$3)*($V461:$AE461&lt;V461)+($V$3:$AE$3=V$3)*($V461:$AE461=V461)*($V$2:$AE$2&lt;V$2))),2))))</f>
      </c>
      <c r="AG461" s="33">
        <f>IF(W461&lt;=0,0,MAX(0,MIN(W461,ROUND($AZ461-SUMPRODUCT($V461:$AE461*($V461:$AE461&gt;0)*(($V$3:$AE$3&gt;W$3)+($V$3:$AE$3=W$3)*($V461:$AE461&lt;W461)+($V$3:$AE$3=W$3)*($V461:$AE461=W461)*($V$2:$AE$2&lt;W$2))),2))))</f>
      </c>
      <c r="AH461" s="33">
        <f>IF(X461&lt;=0,0,MAX(0,MIN(X461,ROUND($AZ461-SUMPRODUCT($V461:$AE461*($V461:$AE461&gt;0)*(($V$3:$AE$3&gt;X$3)+($V$3:$AE$3=X$3)*($V461:$AE461&lt;X461)+($V$3:$AE$3=X$3)*($V461:$AE461=X461)*($V$2:$AE$2&lt;X$2))),2))))</f>
      </c>
      <c r="AI461" s="33">
        <f>IF(Y461&lt;=0,0,MAX(0,MIN(Y461,ROUND($AZ461-SUMPRODUCT($V461:$AE461*($V461:$AE461&gt;0)*(($V$3:$AE$3&gt;Y$3)+($V$3:$AE$3=Y$3)*($V461:$AE461&lt;Y461)+($V$3:$AE$3=Y$3)*($V461:$AE461=Y461)*($V$2:$AE$2&lt;Y$2))),2))))</f>
      </c>
      <c r="AJ461" s="33">
        <f>IF(Z461&lt;=0,0,MAX(0,MIN(Z461,ROUND($AZ461-SUMPRODUCT($V461:$AE461*($V461:$AE461&gt;0)*(($V$3:$AE$3&gt;Z$3)+($V$3:$AE$3=Z$3)*($V461:$AE461&lt;Z461)+($V$3:$AE$3=Z$3)*($V461:$AE461=Z461)*($V$2:$AE$2&lt;Z$2))),2))))</f>
      </c>
      <c r="AK461" s="33">
        <f>IF(AA461&lt;=0,0,MAX(0,MIN(AA461,ROUND($AZ461-SUMPRODUCT($V461:$AE461*($V461:$AE461&gt;0)*(($V$3:$AE$3&gt;AA$3)+($V$3:$AE$3=AA$3)*($V461:$AE461&lt;AA461)+($V$3:$AE$3=AA$3)*($V461:$AE461=AA461)*($V$2:$AE$2&lt;AA$2))),2))))</f>
      </c>
      <c r="AL461" s="33">
        <f>IF(AB461&lt;=0,0,MAX(0,MIN(AB461,ROUND($AZ461-SUMPRODUCT($V461:$AE461*($V461:$AE461&gt;0)*(($V$3:$AE$3&gt;AB$3)+($V$3:$AE$3=AB$3)*($V461:$AE461&lt;AB461)+($V$3:$AE$3=AB$3)*($V461:$AE461=AB461)*($V$2:$AE$2&lt;AB$2))),2))))</f>
      </c>
      <c r="AM461" s="33">
        <f>IF(AC461&lt;=0,0,MAX(0,MIN(AC461,ROUND($AZ461-SUMPRODUCT($V461:$AE461*($V461:$AE461&gt;0)*(($V$3:$AE$3&gt;AC$3)+($V$3:$AE$3=AC$3)*($V461:$AE461&lt;AC461)+($V$3:$AE$3=AC$3)*($V461:$AE461=AC461)*($V$2:$AE$2&lt;AC$2))),2))))</f>
      </c>
      <c r="AN461" s="33">
        <f>IF(AD461&lt;=0,0,MAX(0,MIN(AD461,ROUND($AZ461-SUMPRODUCT($V461:$AE461*($V461:$AE461&gt;0)*(($V$3:$AE$3&gt;AD$3)+($V$3:$AE$3=AD$3)*($V461:$AE461&lt;AD461)+($V$3:$AE$3=AD$3)*($V461:$AE461=AD461)*($V$2:$AE$2&lt;AD$2))),2))))</f>
      </c>
      <c r="AO461" s="33">
        <f>IF(AE461&lt;=0,0,MAX(0,MIN(AE461,ROUND($AZ461-SUMPRODUCT($V461:$AE461*($V461:$AE461&gt;0)*(($V$3:$AE$3&gt;AE$3)+($V$3:$AE$3=AE$3)*($V461:$AE461&lt;AE461)+($V$3:$AE$3=AE$3)*($V461:$AE461=AE461)*($V$2:$AE$2&lt;AE$2))),2))))</f>
      </c>
      <c r="AP461" s="33">
        <f>ROUND(V461-AF461,2)</f>
      </c>
      <c r="AQ461" s="33">
        <f>ROUND(W461-AG461,2)</f>
      </c>
      <c r="AR461" s="33">
        <f>ROUND(X461-AH461,2)</f>
      </c>
      <c r="AS461" s="33">
        <f>ROUND(Y461-AI461,2)</f>
      </c>
      <c r="AT461" s="33">
        <f>ROUND(Z461-AJ461,2)</f>
      </c>
      <c r="AU461" s="33">
        <f>ROUND(AA461-AK461,2)</f>
      </c>
      <c r="AV461" s="33">
        <f>ROUND(AB461-AL461,2)</f>
      </c>
      <c r="AW461" s="33">
        <f>ROUND(AC461-AM461,2)</f>
      </c>
      <c r="AX461" s="33">
        <f>ROUND(AD461-AN461,2)</f>
      </c>
      <c r="AY461" s="33">
        <f>ROUND(AE461-AO461,2)</f>
      </c>
      <c r="AZ461" s="33">
        <f>ROUND(MAX(0,'Your debts'!$D$22-SUM($L461:$U461)),2)</f>
      </c>
      <c r="BA461" s="33">
        <f>ROUND(SUM($B461:$K461)-SUM($AP460:$AY460),2)</f>
      </c>
      <c r="BB461" s="33">
        <f>SUM($AP461:$AY461)</f>
      </c>
      <c r="BC461" s="33">
        <f>ROUND(SUM($L461:$U461)+SUM($AF461:$AO461),2)</f>
      </c>
    </row>
    <row r="462" spans="1:55" x14ac:dyDescent="0.25">
      <c r="A462">
        <v>455</v>
      </c>
      <c r="B462" s="33">
        <f>IF(AP461&lt;=0,0,ROUND(AP461+ROUND(AP461*V$3/12,2),2))</f>
      </c>
      <c r="C462" s="33">
        <f>IF(AQ461&lt;=0,0,ROUND(AQ461+ROUND(AQ461*W$3/12,2),2))</f>
      </c>
      <c r="D462" s="33">
        <f>IF(AR461&lt;=0,0,ROUND(AR461+ROUND(AR461*X$3/12,2),2))</f>
      </c>
      <c r="E462" s="33">
        <f>IF(AS461&lt;=0,0,ROUND(AS461+ROUND(AS461*Y$3/12,2),2))</f>
      </c>
      <c r="F462" s="33">
        <f>IF(AT461&lt;=0,0,ROUND(AT461+ROUND(AT461*Z$3/12,2),2))</f>
      </c>
      <c r="G462" s="33">
        <f>IF(AU461&lt;=0,0,ROUND(AU461+ROUND(AU461*AA$3/12,2),2))</f>
      </c>
      <c r="H462" s="33">
        <f>IF(AV461&lt;=0,0,ROUND(AV461+ROUND(AV461*AB$3/12,2),2))</f>
      </c>
      <c r="I462" s="33">
        <f>IF(AW461&lt;=0,0,ROUND(AW461+ROUND(AW461*AC$3/12,2),2))</f>
      </c>
      <c r="J462" s="33">
        <f>IF(AX461&lt;=0,0,ROUND(AX461+ROUND(AX461*AD$3/12,2),2))</f>
      </c>
      <c r="K462" s="33">
        <f>IF(AY461&lt;=0,0,ROUND(AY461+ROUND(AY461*AE$3/12,2),2))</f>
      </c>
      <c r="L462" s="33">
        <f>ROUND(MIN(MAX(0,N('Your debts'!$E$6)),B462),2)</f>
      </c>
      <c r="M462" s="33">
        <f>ROUND(MIN(MAX(0,N('Your debts'!$E$7)),C462),2)</f>
      </c>
      <c r="N462" s="33">
        <f>ROUND(MIN(MAX(0,N('Your debts'!$E$8)),D462),2)</f>
      </c>
      <c r="O462" s="33">
        <f>ROUND(MIN(MAX(0,N('Your debts'!$E$9)),E462),2)</f>
      </c>
      <c r="P462" s="33">
        <f>ROUND(MIN(MAX(0,N('Your debts'!$E$10)),F462),2)</f>
      </c>
      <c r="Q462" s="33">
        <f>ROUND(MIN(MAX(0,N('Your debts'!$E$11)),G462),2)</f>
      </c>
      <c r="R462" s="33">
        <f>ROUND(MIN(MAX(0,N('Your debts'!$E$12)),H462),2)</f>
      </c>
      <c r="S462" s="33">
        <f>ROUND(MIN(MAX(0,N('Your debts'!$E$13)),I462),2)</f>
      </c>
      <c r="T462" s="33">
        <f>ROUND(MIN(MAX(0,N('Your debts'!$E$14)),J462),2)</f>
      </c>
      <c r="U462" s="33">
        <f>ROUND(MIN(MAX(0,N('Your debts'!$E$15)),K462),2)</f>
      </c>
      <c r="V462" s="33">
        <f>ROUND(B462-L462,2)</f>
      </c>
      <c r="W462" s="33">
        <f>ROUND(C462-M462,2)</f>
      </c>
      <c r="X462" s="33">
        <f>ROUND(D462-N462,2)</f>
      </c>
      <c r="Y462" s="33">
        <f>ROUND(E462-O462,2)</f>
      </c>
      <c r="Z462" s="33">
        <f>ROUND(F462-P462,2)</f>
      </c>
      <c r="AA462" s="33">
        <f>ROUND(G462-Q462,2)</f>
      </c>
      <c r="AB462" s="33">
        <f>ROUND(H462-R462,2)</f>
      </c>
      <c r="AC462" s="33">
        <f>ROUND(I462-S462,2)</f>
      </c>
      <c r="AD462" s="33">
        <f>ROUND(J462-T462,2)</f>
      </c>
      <c r="AE462" s="33">
        <f>ROUND(K462-U462,2)</f>
      </c>
      <c r="AF462" s="33">
        <f>IF(V462&lt;=0,0,MAX(0,MIN(V462,ROUND($AZ462-SUMPRODUCT($V462:$AE462*($V462:$AE462&gt;0)*(($V$3:$AE$3&gt;V$3)+($V$3:$AE$3=V$3)*($V462:$AE462&lt;V462)+($V$3:$AE$3=V$3)*($V462:$AE462=V462)*($V$2:$AE$2&lt;V$2))),2))))</f>
      </c>
      <c r="AG462" s="33">
        <f>IF(W462&lt;=0,0,MAX(0,MIN(W462,ROUND($AZ462-SUMPRODUCT($V462:$AE462*($V462:$AE462&gt;0)*(($V$3:$AE$3&gt;W$3)+($V$3:$AE$3=W$3)*($V462:$AE462&lt;W462)+($V$3:$AE$3=W$3)*($V462:$AE462=W462)*($V$2:$AE$2&lt;W$2))),2))))</f>
      </c>
      <c r="AH462" s="33">
        <f>IF(X462&lt;=0,0,MAX(0,MIN(X462,ROUND($AZ462-SUMPRODUCT($V462:$AE462*($V462:$AE462&gt;0)*(($V$3:$AE$3&gt;X$3)+($V$3:$AE$3=X$3)*($V462:$AE462&lt;X462)+($V$3:$AE$3=X$3)*($V462:$AE462=X462)*($V$2:$AE$2&lt;X$2))),2))))</f>
      </c>
      <c r="AI462" s="33">
        <f>IF(Y462&lt;=0,0,MAX(0,MIN(Y462,ROUND($AZ462-SUMPRODUCT($V462:$AE462*($V462:$AE462&gt;0)*(($V$3:$AE$3&gt;Y$3)+($V$3:$AE$3=Y$3)*($V462:$AE462&lt;Y462)+($V$3:$AE$3=Y$3)*($V462:$AE462=Y462)*($V$2:$AE$2&lt;Y$2))),2))))</f>
      </c>
      <c r="AJ462" s="33">
        <f>IF(Z462&lt;=0,0,MAX(0,MIN(Z462,ROUND($AZ462-SUMPRODUCT($V462:$AE462*($V462:$AE462&gt;0)*(($V$3:$AE$3&gt;Z$3)+($V$3:$AE$3=Z$3)*($V462:$AE462&lt;Z462)+($V$3:$AE$3=Z$3)*($V462:$AE462=Z462)*($V$2:$AE$2&lt;Z$2))),2))))</f>
      </c>
      <c r="AK462" s="33">
        <f>IF(AA462&lt;=0,0,MAX(0,MIN(AA462,ROUND($AZ462-SUMPRODUCT($V462:$AE462*($V462:$AE462&gt;0)*(($V$3:$AE$3&gt;AA$3)+($V$3:$AE$3=AA$3)*($V462:$AE462&lt;AA462)+($V$3:$AE$3=AA$3)*($V462:$AE462=AA462)*($V$2:$AE$2&lt;AA$2))),2))))</f>
      </c>
      <c r="AL462" s="33">
        <f>IF(AB462&lt;=0,0,MAX(0,MIN(AB462,ROUND($AZ462-SUMPRODUCT($V462:$AE462*($V462:$AE462&gt;0)*(($V$3:$AE$3&gt;AB$3)+($V$3:$AE$3=AB$3)*($V462:$AE462&lt;AB462)+($V$3:$AE$3=AB$3)*($V462:$AE462=AB462)*($V$2:$AE$2&lt;AB$2))),2))))</f>
      </c>
      <c r="AM462" s="33">
        <f>IF(AC462&lt;=0,0,MAX(0,MIN(AC462,ROUND($AZ462-SUMPRODUCT($V462:$AE462*($V462:$AE462&gt;0)*(($V$3:$AE$3&gt;AC$3)+($V$3:$AE$3=AC$3)*($V462:$AE462&lt;AC462)+($V$3:$AE$3=AC$3)*($V462:$AE462=AC462)*($V$2:$AE$2&lt;AC$2))),2))))</f>
      </c>
      <c r="AN462" s="33">
        <f>IF(AD462&lt;=0,0,MAX(0,MIN(AD462,ROUND($AZ462-SUMPRODUCT($V462:$AE462*($V462:$AE462&gt;0)*(($V$3:$AE$3&gt;AD$3)+($V$3:$AE$3=AD$3)*($V462:$AE462&lt;AD462)+($V$3:$AE$3=AD$3)*($V462:$AE462=AD462)*($V$2:$AE$2&lt;AD$2))),2))))</f>
      </c>
      <c r="AO462" s="33">
        <f>IF(AE462&lt;=0,0,MAX(0,MIN(AE462,ROUND($AZ462-SUMPRODUCT($V462:$AE462*($V462:$AE462&gt;0)*(($V$3:$AE$3&gt;AE$3)+($V$3:$AE$3=AE$3)*($V462:$AE462&lt;AE462)+($V$3:$AE$3=AE$3)*($V462:$AE462=AE462)*($V$2:$AE$2&lt;AE$2))),2))))</f>
      </c>
      <c r="AP462" s="33">
        <f>ROUND(V462-AF462,2)</f>
      </c>
      <c r="AQ462" s="33">
        <f>ROUND(W462-AG462,2)</f>
      </c>
      <c r="AR462" s="33">
        <f>ROUND(X462-AH462,2)</f>
      </c>
      <c r="AS462" s="33">
        <f>ROUND(Y462-AI462,2)</f>
      </c>
      <c r="AT462" s="33">
        <f>ROUND(Z462-AJ462,2)</f>
      </c>
      <c r="AU462" s="33">
        <f>ROUND(AA462-AK462,2)</f>
      </c>
      <c r="AV462" s="33">
        <f>ROUND(AB462-AL462,2)</f>
      </c>
      <c r="AW462" s="33">
        <f>ROUND(AC462-AM462,2)</f>
      </c>
      <c r="AX462" s="33">
        <f>ROUND(AD462-AN462,2)</f>
      </c>
      <c r="AY462" s="33">
        <f>ROUND(AE462-AO462,2)</f>
      </c>
      <c r="AZ462" s="33">
        <f>ROUND(MAX(0,'Your debts'!$D$22-SUM($L462:$U462)),2)</f>
      </c>
      <c r="BA462" s="33">
        <f>ROUND(SUM($B462:$K462)-SUM($AP461:$AY461),2)</f>
      </c>
      <c r="BB462" s="33">
        <f>SUM($AP462:$AY462)</f>
      </c>
      <c r="BC462" s="33">
        <f>ROUND(SUM($L462:$U462)+SUM($AF462:$AO462),2)</f>
      </c>
    </row>
    <row r="463" spans="1:55" x14ac:dyDescent="0.25">
      <c r="A463">
        <v>456</v>
      </c>
      <c r="B463" s="33">
        <f>IF(AP462&lt;=0,0,ROUND(AP462+ROUND(AP462*V$3/12,2),2))</f>
      </c>
      <c r="C463" s="33">
        <f>IF(AQ462&lt;=0,0,ROUND(AQ462+ROUND(AQ462*W$3/12,2),2))</f>
      </c>
      <c r="D463" s="33">
        <f>IF(AR462&lt;=0,0,ROUND(AR462+ROUND(AR462*X$3/12,2),2))</f>
      </c>
      <c r="E463" s="33">
        <f>IF(AS462&lt;=0,0,ROUND(AS462+ROUND(AS462*Y$3/12,2),2))</f>
      </c>
      <c r="F463" s="33">
        <f>IF(AT462&lt;=0,0,ROUND(AT462+ROUND(AT462*Z$3/12,2),2))</f>
      </c>
      <c r="G463" s="33">
        <f>IF(AU462&lt;=0,0,ROUND(AU462+ROUND(AU462*AA$3/12,2),2))</f>
      </c>
      <c r="H463" s="33">
        <f>IF(AV462&lt;=0,0,ROUND(AV462+ROUND(AV462*AB$3/12,2),2))</f>
      </c>
      <c r="I463" s="33">
        <f>IF(AW462&lt;=0,0,ROUND(AW462+ROUND(AW462*AC$3/12,2),2))</f>
      </c>
      <c r="J463" s="33">
        <f>IF(AX462&lt;=0,0,ROUND(AX462+ROUND(AX462*AD$3/12,2),2))</f>
      </c>
      <c r="K463" s="33">
        <f>IF(AY462&lt;=0,0,ROUND(AY462+ROUND(AY462*AE$3/12,2),2))</f>
      </c>
      <c r="L463" s="33">
        <f>ROUND(MIN(MAX(0,N('Your debts'!$E$6)),B463),2)</f>
      </c>
      <c r="M463" s="33">
        <f>ROUND(MIN(MAX(0,N('Your debts'!$E$7)),C463),2)</f>
      </c>
      <c r="N463" s="33">
        <f>ROUND(MIN(MAX(0,N('Your debts'!$E$8)),D463),2)</f>
      </c>
      <c r="O463" s="33">
        <f>ROUND(MIN(MAX(0,N('Your debts'!$E$9)),E463),2)</f>
      </c>
      <c r="P463" s="33">
        <f>ROUND(MIN(MAX(0,N('Your debts'!$E$10)),F463),2)</f>
      </c>
      <c r="Q463" s="33">
        <f>ROUND(MIN(MAX(0,N('Your debts'!$E$11)),G463),2)</f>
      </c>
      <c r="R463" s="33">
        <f>ROUND(MIN(MAX(0,N('Your debts'!$E$12)),H463),2)</f>
      </c>
      <c r="S463" s="33">
        <f>ROUND(MIN(MAX(0,N('Your debts'!$E$13)),I463),2)</f>
      </c>
      <c r="T463" s="33">
        <f>ROUND(MIN(MAX(0,N('Your debts'!$E$14)),J463),2)</f>
      </c>
      <c r="U463" s="33">
        <f>ROUND(MIN(MAX(0,N('Your debts'!$E$15)),K463),2)</f>
      </c>
      <c r="V463" s="33">
        <f>ROUND(B463-L463,2)</f>
      </c>
      <c r="W463" s="33">
        <f>ROUND(C463-M463,2)</f>
      </c>
      <c r="X463" s="33">
        <f>ROUND(D463-N463,2)</f>
      </c>
      <c r="Y463" s="33">
        <f>ROUND(E463-O463,2)</f>
      </c>
      <c r="Z463" s="33">
        <f>ROUND(F463-P463,2)</f>
      </c>
      <c r="AA463" s="33">
        <f>ROUND(G463-Q463,2)</f>
      </c>
      <c r="AB463" s="33">
        <f>ROUND(H463-R463,2)</f>
      </c>
      <c r="AC463" s="33">
        <f>ROUND(I463-S463,2)</f>
      </c>
      <c r="AD463" s="33">
        <f>ROUND(J463-T463,2)</f>
      </c>
      <c r="AE463" s="33">
        <f>ROUND(K463-U463,2)</f>
      </c>
      <c r="AF463" s="33">
        <f>IF(V463&lt;=0,0,MAX(0,MIN(V463,ROUND($AZ463-SUMPRODUCT($V463:$AE463*($V463:$AE463&gt;0)*(($V$3:$AE$3&gt;V$3)+($V$3:$AE$3=V$3)*($V463:$AE463&lt;V463)+($V$3:$AE$3=V$3)*($V463:$AE463=V463)*($V$2:$AE$2&lt;V$2))),2))))</f>
      </c>
      <c r="AG463" s="33">
        <f>IF(W463&lt;=0,0,MAX(0,MIN(W463,ROUND($AZ463-SUMPRODUCT($V463:$AE463*($V463:$AE463&gt;0)*(($V$3:$AE$3&gt;W$3)+($V$3:$AE$3=W$3)*($V463:$AE463&lt;W463)+($V$3:$AE$3=W$3)*($V463:$AE463=W463)*($V$2:$AE$2&lt;W$2))),2))))</f>
      </c>
      <c r="AH463" s="33">
        <f>IF(X463&lt;=0,0,MAX(0,MIN(X463,ROUND($AZ463-SUMPRODUCT($V463:$AE463*($V463:$AE463&gt;0)*(($V$3:$AE$3&gt;X$3)+($V$3:$AE$3=X$3)*($V463:$AE463&lt;X463)+($V$3:$AE$3=X$3)*($V463:$AE463=X463)*($V$2:$AE$2&lt;X$2))),2))))</f>
      </c>
      <c r="AI463" s="33">
        <f>IF(Y463&lt;=0,0,MAX(0,MIN(Y463,ROUND($AZ463-SUMPRODUCT($V463:$AE463*($V463:$AE463&gt;0)*(($V$3:$AE$3&gt;Y$3)+($V$3:$AE$3=Y$3)*($V463:$AE463&lt;Y463)+($V$3:$AE$3=Y$3)*($V463:$AE463=Y463)*($V$2:$AE$2&lt;Y$2))),2))))</f>
      </c>
      <c r="AJ463" s="33">
        <f>IF(Z463&lt;=0,0,MAX(0,MIN(Z463,ROUND($AZ463-SUMPRODUCT($V463:$AE463*($V463:$AE463&gt;0)*(($V$3:$AE$3&gt;Z$3)+($V$3:$AE$3=Z$3)*($V463:$AE463&lt;Z463)+($V$3:$AE$3=Z$3)*($V463:$AE463=Z463)*($V$2:$AE$2&lt;Z$2))),2))))</f>
      </c>
      <c r="AK463" s="33">
        <f>IF(AA463&lt;=0,0,MAX(0,MIN(AA463,ROUND($AZ463-SUMPRODUCT($V463:$AE463*($V463:$AE463&gt;0)*(($V$3:$AE$3&gt;AA$3)+($V$3:$AE$3=AA$3)*($V463:$AE463&lt;AA463)+($V$3:$AE$3=AA$3)*($V463:$AE463=AA463)*($V$2:$AE$2&lt;AA$2))),2))))</f>
      </c>
      <c r="AL463" s="33">
        <f>IF(AB463&lt;=0,0,MAX(0,MIN(AB463,ROUND($AZ463-SUMPRODUCT($V463:$AE463*($V463:$AE463&gt;0)*(($V$3:$AE$3&gt;AB$3)+($V$3:$AE$3=AB$3)*($V463:$AE463&lt;AB463)+($V$3:$AE$3=AB$3)*($V463:$AE463=AB463)*($V$2:$AE$2&lt;AB$2))),2))))</f>
      </c>
      <c r="AM463" s="33">
        <f>IF(AC463&lt;=0,0,MAX(0,MIN(AC463,ROUND($AZ463-SUMPRODUCT($V463:$AE463*($V463:$AE463&gt;0)*(($V$3:$AE$3&gt;AC$3)+($V$3:$AE$3=AC$3)*($V463:$AE463&lt;AC463)+($V$3:$AE$3=AC$3)*($V463:$AE463=AC463)*($V$2:$AE$2&lt;AC$2))),2))))</f>
      </c>
      <c r="AN463" s="33">
        <f>IF(AD463&lt;=0,0,MAX(0,MIN(AD463,ROUND($AZ463-SUMPRODUCT($V463:$AE463*($V463:$AE463&gt;0)*(($V$3:$AE$3&gt;AD$3)+($V$3:$AE$3=AD$3)*($V463:$AE463&lt;AD463)+($V$3:$AE$3=AD$3)*($V463:$AE463=AD463)*($V$2:$AE$2&lt;AD$2))),2))))</f>
      </c>
      <c r="AO463" s="33">
        <f>IF(AE463&lt;=0,0,MAX(0,MIN(AE463,ROUND($AZ463-SUMPRODUCT($V463:$AE463*($V463:$AE463&gt;0)*(($V$3:$AE$3&gt;AE$3)+($V$3:$AE$3=AE$3)*($V463:$AE463&lt;AE463)+($V$3:$AE$3=AE$3)*($V463:$AE463=AE463)*($V$2:$AE$2&lt;AE$2))),2))))</f>
      </c>
      <c r="AP463" s="33">
        <f>ROUND(V463-AF463,2)</f>
      </c>
      <c r="AQ463" s="33">
        <f>ROUND(W463-AG463,2)</f>
      </c>
      <c r="AR463" s="33">
        <f>ROUND(X463-AH463,2)</f>
      </c>
      <c r="AS463" s="33">
        <f>ROUND(Y463-AI463,2)</f>
      </c>
      <c r="AT463" s="33">
        <f>ROUND(Z463-AJ463,2)</f>
      </c>
      <c r="AU463" s="33">
        <f>ROUND(AA463-AK463,2)</f>
      </c>
      <c r="AV463" s="33">
        <f>ROUND(AB463-AL463,2)</f>
      </c>
      <c r="AW463" s="33">
        <f>ROUND(AC463-AM463,2)</f>
      </c>
      <c r="AX463" s="33">
        <f>ROUND(AD463-AN463,2)</f>
      </c>
      <c r="AY463" s="33">
        <f>ROUND(AE463-AO463,2)</f>
      </c>
      <c r="AZ463" s="33">
        <f>ROUND(MAX(0,'Your debts'!$D$22-SUM($L463:$U463)),2)</f>
      </c>
      <c r="BA463" s="33">
        <f>ROUND(SUM($B463:$K463)-SUM($AP462:$AY462),2)</f>
      </c>
      <c r="BB463" s="33">
        <f>SUM($AP463:$AY463)</f>
      </c>
      <c r="BC463" s="33">
        <f>ROUND(SUM($L463:$U463)+SUM($AF463:$AO463),2)</f>
      </c>
    </row>
    <row r="464" spans="1:55" x14ac:dyDescent="0.25">
      <c r="A464">
        <v>457</v>
      </c>
      <c r="B464" s="33">
        <f>IF(AP463&lt;=0,0,ROUND(AP463+ROUND(AP463*V$3/12,2),2))</f>
      </c>
      <c r="C464" s="33">
        <f>IF(AQ463&lt;=0,0,ROUND(AQ463+ROUND(AQ463*W$3/12,2),2))</f>
      </c>
      <c r="D464" s="33">
        <f>IF(AR463&lt;=0,0,ROUND(AR463+ROUND(AR463*X$3/12,2),2))</f>
      </c>
      <c r="E464" s="33">
        <f>IF(AS463&lt;=0,0,ROUND(AS463+ROUND(AS463*Y$3/12,2),2))</f>
      </c>
      <c r="F464" s="33">
        <f>IF(AT463&lt;=0,0,ROUND(AT463+ROUND(AT463*Z$3/12,2),2))</f>
      </c>
      <c r="G464" s="33">
        <f>IF(AU463&lt;=0,0,ROUND(AU463+ROUND(AU463*AA$3/12,2),2))</f>
      </c>
      <c r="H464" s="33">
        <f>IF(AV463&lt;=0,0,ROUND(AV463+ROUND(AV463*AB$3/12,2),2))</f>
      </c>
      <c r="I464" s="33">
        <f>IF(AW463&lt;=0,0,ROUND(AW463+ROUND(AW463*AC$3/12,2),2))</f>
      </c>
      <c r="J464" s="33">
        <f>IF(AX463&lt;=0,0,ROUND(AX463+ROUND(AX463*AD$3/12,2),2))</f>
      </c>
      <c r="K464" s="33">
        <f>IF(AY463&lt;=0,0,ROUND(AY463+ROUND(AY463*AE$3/12,2),2))</f>
      </c>
      <c r="L464" s="33">
        <f>ROUND(MIN(MAX(0,N('Your debts'!$E$6)),B464),2)</f>
      </c>
      <c r="M464" s="33">
        <f>ROUND(MIN(MAX(0,N('Your debts'!$E$7)),C464),2)</f>
      </c>
      <c r="N464" s="33">
        <f>ROUND(MIN(MAX(0,N('Your debts'!$E$8)),D464),2)</f>
      </c>
      <c r="O464" s="33">
        <f>ROUND(MIN(MAX(0,N('Your debts'!$E$9)),E464),2)</f>
      </c>
      <c r="P464" s="33">
        <f>ROUND(MIN(MAX(0,N('Your debts'!$E$10)),F464),2)</f>
      </c>
      <c r="Q464" s="33">
        <f>ROUND(MIN(MAX(0,N('Your debts'!$E$11)),G464),2)</f>
      </c>
      <c r="R464" s="33">
        <f>ROUND(MIN(MAX(0,N('Your debts'!$E$12)),H464),2)</f>
      </c>
      <c r="S464" s="33">
        <f>ROUND(MIN(MAX(0,N('Your debts'!$E$13)),I464),2)</f>
      </c>
      <c r="T464" s="33">
        <f>ROUND(MIN(MAX(0,N('Your debts'!$E$14)),J464),2)</f>
      </c>
      <c r="U464" s="33">
        <f>ROUND(MIN(MAX(0,N('Your debts'!$E$15)),K464),2)</f>
      </c>
      <c r="V464" s="33">
        <f>ROUND(B464-L464,2)</f>
      </c>
      <c r="W464" s="33">
        <f>ROUND(C464-M464,2)</f>
      </c>
      <c r="X464" s="33">
        <f>ROUND(D464-N464,2)</f>
      </c>
      <c r="Y464" s="33">
        <f>ROUND(E464-O464,2)</f>
      </c>
      <c r="Z464" s="33">
        <f>ROUND(F464-P464,2)</f>
      </c>
      <c r="AA464" s="33">
        <f>ROUND(G464-Q464,2)</f>
      </c>
      <c r="AB464" s="33">
        <f>ROUND(H464-R464,2)</f>
      </c>
      <c r="AC464" s="33">
        <f>ROUND(I464-S464,2)</f>
      </c>
      <c r="AD464" s="33">
        <f>ROUND(J464-T464,2)</f>
      </c>
      <c r="AE464" s="33">
        <f>ROUND(K464-U464,2)</f>
      </c>
      <c r="AF464" s="33">
        <f>IF(V464&lt;=0,0,MAX(0,MIN(V464,ROUND($AZ464-SUMPRODUCT($V464:$AE464*($V464:$AE464&gt;0)*(($V$3:$AE$3&gt;V$3)+($V$3:$AE$3=V$3)*($V464:$AE464&lt;V464)+($V$3:$AE$3=V$3)*($V464:$AE464=V464)*($V$2:$AE$2&lt;V$2))),2))))</f>
      </c>
      <c r="AG464" s="33">
        <f>IF(W464&lt;=0,0,MAX(0,MIN(W464,ROUND($AZ464-SUMPRODUCT($V464:$AE464*($V464:$AE464&gt;0)*(($V$3:$AE$3&gt;W$3)+($V$3:$AE$3=W$3)*($V464:$AE464&lt;W464)+($V$3:$AE$3=W$3)*($V464:$AE464=W464)*($V$2:$AE$2&lt;W$2))),2))))</f>
      </c>
      <c r="AH464" s="33">
        <f>IF(X464&lt;=0,0,MAX(0,MIN(X464,ROUND($AZ464-SUMPRODUCT($V464:$AE464*($V464:$AE464&gt;0)*(($V$3:$AE$3&gt;X$3)+($V$3:$AE$3=X$3)*($V464:$AE464&lt;X464)+($V$3:$AE$3=X$3)*($V464:$AE464=X464)*($V$2:$AE$2&lt;X$2))),2))))</f>
      </c>
      <c r="AI464" s="33">
        <f>IF(Y464&lt;=0,0,MAX(0,MIN(Y464,ROUND($AZ464-SUMPRODUCT($V464:$AE464*($V464:$AE464&gt;0)*(($V$3:$AE$3&gt;Y$3)+($V$3:$AE$3=Y$3)*($V464:$AE464&lt;Y464)+($V$3:$AE$3=Y$3)*($V464:$AE464=Y464)*($V$2:$AE$2&lt;Y$2))),2))))</f>
      </c>
      <c r="AJ464" s="33">
        <f>IF(Z464&lt;=0,0,MAX(0,MIN(Z464,ROUND($AZ464-SUMPRODUCT($V464:$AE464*($V464:$AE464&gt;0)*(($V$3:$AE$3&gt;Z$3)+($V$3:$AE$3=Z$3)*($V464:$AE464&lt;Z464)+($V$3:$AE$3=Z$3)*($V464:$AE464=Z464)*($V$2:$AE$2&lt;Z$2))),2))))</f>
      </c>
      <c r="AK464" s="33">
        <f>IF(AA464&lt;=0,0,MAX(0,MIN(AA464,ROUND($AZ464-SUMPRODUCT($V464:$AE464*($V464:$AE464&gt;0)*(($V$3:$AE$3&gt;AA$3)+($V$3:$AE$3=AA$3)*($V464:$AE464&lt;AA464)+($V$3:$AE$3=AA$3)*($V464:$AE464=AA464)*($V$2:$AE$2&lt;AA$2))),2))))</f>
      </c>
      <c r="AL464" s="33">
        <f>IF(AB464&lt;=0,0,MAX(0,MIN(AB464,ROUND($AZ464-SUMPRODUCT($V464:$AE464*($V464:$AE464&gt;0)*(($V$3:$AE$3&gt;AB$3)+($V$3:$AE$3=AB$3)*($V464:$AE464&lt;AB464)+($V$3:$AE$3=AB$3)*($V464:$AE464=AB464)*($V$2:$AE$2&lt;AB$2))),2))))</f>
      </c>
      <c r="AM464" s="33">
        <f>IF(AC464&lt;=0,0,MAX(0,MIN(AC464,ROUND($AZ464-SUMPRODUCT($V464:$AE464*($V464:$AE464&gt;0)*(($V$3:$AE$3&gt;AC$3)+($V$3:$AE$3=AC$3)*($V464:$AE464&lt;AC464)+($V$3:$AE$3=AC$3)*($V464:$AE464=AC464)*($V$2:$AE$2&lt;AC$2))),2))))</f>
      </c>
      <c r="AN464" s="33">
        <f>IF(AD464&lt;=0,0,MAX(0,MIN(AD464,ROUND($AZ464-SUMPRODUCT($V464:$AE464*($V464:$AE464&gt;0)*(($V$3:$AE$3&gt;AD$3)+($V$3:$AE$3=AD$3)*($V464:$AE464&lt;AD464)+($V$3:$AE$3=AD$3)*($V464:$AE464=AD464)*($V$2:$AE$2&lt;AD$2))),2))))</f>
      </c>
      <c r="AO464" s="33">
        <f>IF(AE464&lt;=0,0,MAX(0,MIN(AE464,ROUND($AZ464-SUMPRODUCT($V464:$AE464*($V464:$AE464&gt;0)*(($V$3:$AE$3&gt;AE$3)+($V$3:$AE$3=AE$3)*($V464:$AE464&lt;AE464)+($V$3:$AE$3=AE$3)*($V464:$AE464=AE464)*($V$2:$AE$2&lt;AE$2))),2))))</f>
      </c>
      <c r="AP464" s="33">
        <f>ROUND(V464-AF464,2)</f>
      </c>
      <c r="AQ464" s="33">
        <f>ROUND(W464-AG464,2)</f>
      </c>
      <c r="AR464" s="33">
        <f>ROUND(X464-AH464,2)</f>
      </c>
      <c r="AS464" s="33">
        <f>ROUND(Y464-AI464,2)</f>
      </c>
      <c r="AT464" s="33">
        <f>ROUND(Z464-AJ464,2)</f>
      </c>
      <c r="AU464" s="33">
        <f>ROUND(AA464-AK464,2)</f>
      </c>
      <c r="AV464" s="33">
        <f>ROUND(AB464-AL464,2)</f>
      </c>
      <c r="AW464" s="33">
        <f>ROUND(AC464-AM464,2)</f>
      </c>
      <c r="AX464" s="33">
        <f>ROUND(AD464-AN464,2)</f>
      </c>
      <c r="AY464" s="33">
        <f>ROUND(AE464-AO464,2)</f>
      </c>
      <c r="AZ464" s="33">
        <f>ROUND(MAX(0,'Your debts'!$D$22-SUM($L464:$U464)),2)</f>
      </c>
      <c r="BA464" s="33">
        <f>ROUND(SUM($B464:$K464)-SUM($AP463:$AY463),2)</f>
      </c>
      <c r="BB464" s="33">
        <f>SUM($AP464:$AY464)</f>
      </c>
      <c r="BC464" s="33">
        <f>ROUND(SUM($L464:$U464)+SUM($AF464:$AO464),2)</f>
      </c>
    </row>
    <row r="465" spans="1:55" x14ac:dyDescent="0.25">
      <c r="A465">
        <v>458</v>
      </c>
      <c r="B465" s="33">
        <f>IF(AP464&lt;=0,0,ROUND(AP464+ROUND(AP464*V$3/12,2),2))</f>
      </c>
      <c r="C465" s="33">
        <f>IF(AQ464&lt;=0,0,ROUND(AQ464+ROUND(AQ464*W$3/12,2),2))</f>
      </c>
      <c r="D465" s="33">
        <f>IF(AR464&lt;=0,0,ROUND(AR464+ROUND(AR464*X$3/12,2),2))</f>
      </c>
      <c r="E465" s="33">
        <f>IF(AS464&lt;=0,0,ROUND(AS464+ROUND(AS464*Y$3/12,2),2))</f>
      </c>
      <c r="F465" s="33">
        <f>IF(AT464&lt;=0,0,ROUND(AT464+ROUND(AT464*Z$3/12,2),2))</f>
      </c>
      <c r="G465" s="33">
        <f>IF(AU464&lt;=0,0,ROUND(AU464+ROUND(AU464*AA$3/12,2),2))</f>
      </c>
      <c r="H465" s="33">
        <f>IF(AV464&lt;=0,0,ROUND(AV464+ROUND(AV464*AB$3/12,2),2))</f>
      </c>
      <c r="I465" s="33">
        <f>IF(AW464&lt;=0,0,ROUND(AW464+ROUND(AW464*AC$3/12,2),2))</f>
      </c>
      <c r="J465" s="33">
        <f>IF(AX464&lt;=0,0,ROUND(AX464+ROUND(AX464*AD$3/12,2),2))</f>
      </c>
      <c r="K465" s="33">
        <f>IF(AY464&lt;=0,0,ROUND(AY464+ROUND(AY464*AE$3/12,2),2))</f>
      </c>
      <c r="L465" s="33">
        <f>ROUND(MIN(MAX(0,N('Your debts'!$E$6)),B465),2)</f>
      </c>
      <c r="M465" s="33">
        <f>ROUND(MIN(MAX(0,N('Your debts'!$E$7)),C465),2)</f>
      </c>
      <c r="N465" s="33">
        <f>ROUND(MIN(MAX(0,N('Your debts'!$E$8)),D465),2)</f>
      </c>
      <c r="O465" s="33">
        <f>ROUND(MIN(MAX(0,N('Your debts'!$E$9)),E465),2)</f>
      </c>
      <c r="P465" s="33">
        <f>ROUND(MIN(MAX(0,N('Your debts'!$E$10)),F465),2)</f>
      </c>
      <c r="Q465" s="33">
        <f>ROUND(MIN(MAX(0,N('Your debts'!$E$11)),G465),2)</f>
      </c>
      <c r="R465" s="33">
        <f>ROUND(MIN(MAX(0,N('Your debts'!$E$12)),H465),2)</f>
      </c>
      <c r="S465" s="33">
        <f>ROUND(MIN(MAX(0,N('Your debts'!$E$13)),I465),2)</f>
      </c>
      <c r="T465" s="33">
        <f>ROUND(MIN(MAX(0,N('Your debts'!$E$14)),J465),2)</f>
      </c>
      <c r="U465" s="33">
        <f>ROUND(MIN(MAX(0,N('Your debts'!$E$15)),K465),2)</f>
      </c>
      <c r="V465" s="33">
        <f>ROUND(B465-L465,2)</f>
      </c>
      <c r="W465" s="33">
        <f>ROUND(C465-M465,2)</f>
      </c>
      <c r="X465" s="33">
        <f>ROUND(D465-N465,2)</f>
      </c>
      <c r="Y465" s="33">
        <f>ROUND(E465-O465,2)</f>
      </c>
      <c r="Z465" s="33">
        <f>ROUND(F465-P465,2)</f>
      </c>
      <c r="AA465" s="33">
        <f>ROUND(G465-Q465,2)</f>
      </c>
      <c r="AB465" s="33">
        <f>ROUND(H465-R465,2)</f>
      </c>
      <c r="AC465" s="33">
        <f>ROUND(I465-S465,2)</f>
      </c>
      <c r="AD465" s="33">
        <f>ROUND(J465-T465,2)</f>
      </c>
      <c r="AE465" s="33">
        <f>ROUND(K465-U465,2)</f>
      </c>
      <c r="AF465" s="33">
        <f>IF(V465&lt;=0,0,MAX(0,MIN(V465,ROUND($AZ465-SUMPRODUCT($V465:$AE465*($V465:$AE465&gt;0)*(($V$3:$AE$3&gt;V$3)+($V$3:$AE$3=V$3)*($V465:$AE465&lt;V465)+($V$3:$AE$3=V$3)*($V465:$AE465=V465)*($V$2:$AE$2&lt;V$2))),2))))</f>
      </c>
      <c r="AG465" s="33">
        <f>IF(W465&lt;=0,0,MAX(0,MIN(W465,ROUND($AZ465-SUMPRODUCT($V465:$AE465*($V465:$AE465&gt;0)*(($V$3:$AE$3&gt;W$3)+($V$3:$AE$3=W$3)*($V465:$AE465&lt;W465)+($V$3:$AE$3=W$3)*($V465:$AE465=W465)*($V$2:$AE$2&lt;W$2))),2))))</f>
      </c>
      <c r="AH465" s="33">
        <f>IF(X465&lt;=0,0,MAX(0,MIN(X465,ROUND($AZ465-SUMPRODUCT($V465:$AE465*($V465:$AE465&gt;0)*(($V$3:$AE$3&gt;X$3)+($V$3:$AE$3=X$3)*($V465:$AE465&lt;X465)+($V$3:$AE$3=X$3)*($V465:$AE465=X465)*($V$2:$AE$2&lt;X$2))),2))))</f>
      </c>
      <c r="AI465" s="33">
        <f>IF(Y465&lt;=0,0,MAX(0,MIN(Y465,ROUND($AZ465-SUMPRODUCT($V465:$AE465*($V465:$AE465&gt;0)*(($V$3:$AE$3&gt;Y$3)+($V$3:$AE$3=Y$3)*($V465:$AE465&lt;Y465)+($V$3:$AE$3=Y$3)*($V465:$AE465=Y465)*($V$2:$AE$2&lt;Y$2))),2))))</f>
      </c>
      <c r="AJ465" s="33">
        <f>IF(Z465&lt;=0,0,MAX(0,MIN(Z465,ROUND($AZ465-SUMPRODUCT($V465:$AE465*($V465:$AE465&gt;0)*(($V$3:$AE$3&gt;Z$3)+($V$3:$AE$3=Z$3)*($V465:$AE465&lt;Z465)+($V$3:$AE$3=Z$3)*($V465:$AE465=Z465)*($V$2:$AE$2&lt;Z$2))),2))))</f>
      </c>
      <c r="AK465" s="33">
        <f>IF(AA465&lt;=0,0,MAX(0,MIN(AA465,ROUND($AZ465-SUMPRODUCT($V465:$AE465*($V465:$AE465&gt;0)*(($V$3:$AE$3&gt;AA$3)+($V$3:$AE$3=AA$3)*($V465:$AE465&lt;AA465)+($V$3:$AE$3=AA$3)*($V465:$AE465=AA465)*($V$2:$AE$2&lt;AA$2))),2))))</f>
      </c>
      <c r="AL465" s="33">
        <f>IF(AB465&lt;=0,0,MAX(0,MIN(AB465,ROUND($AZ465-SUMPRODUCT($V465:$AE465*($V465:$AE465&gt;0)*(($V$3:$AE$3&gt;AB$3)+($V$3:$AE$3=AB$3)*($V465:$AE465&lt;AB465)+($V$3:$AE$3=AB$3)*($V465:$AE465=AB465)*($V$2:$AE$2&lt;AB$2))),2))))</f>
      </c>
      <c r="AM465" s="33">
        <f>IF(AC465&lt;=0,0,MAX(0,MIN(AC465,ROUND($AZ465-SUMPRODUCT($V465:$AE465*($V465:$AE465&gt;0)*(($V$3:$AE$3&gt;AC$3)+($V$3:$AE$3=AC$3)*($V465:$AE465&lt;AC465)+($V$3:$AE$3=AC$3)*($V465:$AE465=AC465)*($V$2:$AE$2&lt;AC$2))),2))))</f>
      </c>
      <c r="AN465" s="33">
        <f>IF(AD465&lt;=0,0,MAX(0,MIN(AD465,ROUND($AZ465-SUMPRODUCT($V465:$AE465*($V465:$AE465&gt;0)*(($V$3:$AE$3&gt;AD$3)+($V$3:$AE$3=AD$3)*($V465:$AE465&lt;AD465)+($V$3:$AE$3=AD$3)*($V465:$AE465=AD465)*($V$2:$AE$2&lt;AD$2))),2))))</f>
      </c>
      <c r="AO465" s="33">
        <f>IF(AE465&lt;=0,0,MAX(0,MIN(AE465,ROUND($AZ465-SUMPRODUCT($V465:$AE465*($V465:$AE465&gt;0)*(($V$3:$AE$3&gt;AE$3)+($V$3:$AE$3=AE$3)*($V465:$AE465&lt;AE465)+($V$3:$AE$3=AE$3)*($V465:$AE465=AE465)*($V$2:$AE$2&lt;AE$2))),2))))</f>
      </c>
      <c r="AP465" s="33">
        <f>ROUND(V465-AF465,2)</f>
      </c>
      <c r="AQ465" s="33">
        <f>ROUND(W465-AG465,2)</f>
      </c>
      <c r="AR465" s="33">
        <f>ROUND(X465-AH465,2)</f>
      </c>
      <c r="AS465" s="33">
        <f>ROUND(Y465-AI465,2)</f>
      </c>
      <c r="AT465" s="33">
        <f>ROUND(Z465-AJ465,2)</f>
      </c>
      <c r="AU465" s="33">
        <f>ROUND(AA465-AK465,2)</f>
      </c>
      <c r="AV465" s="33">
        <f>ROUND(AB465-AL465,2)</f>
      </c>
      <c r="AW465" s="33">
        <f>ROUND(AC465-AM465,2)</f>
      </c>
      <c r="AX465" s="33">
        <f>ROUND(AD465-AN465,2)</f>
      </c>
      <c r="AY465" s="33">
        <f>ROUND(AE465-AO465,2)</f>
      </c>
      <c r="AZ465" s="33">
        <f>ROUND(MAX(0,'Your debts'!$D$22-SUM($L465:$U465)),2)</f>
      </c>
      <c r="BA465" s="33">
        <f>ROUND(SUM($B465:$K465)-SUM($AP464:$AY464),2)</f>
      </c>
      <c r="BB465" s="33">
        <f>SUM($AP465:$AY465)</f>
      </c>
      <c r="BC465" s="33">
        <f>ROUND(SUM($L465:$U465)+SUM($AF465:$AO465),2)</f>
      </c>
    </row>
    <row r="466" spans="1:55" x14ac:dyDescent="0.25">
      <c r="A466">
        <v>459</v>
      </c>
      <c r="B466" s="33">
        <f>IF(AP465&lt;=0,0,ROUND(AP465+ROUND(AP465*V$3/12,2),2))</f>
      </c>
      <c r="C466" s="33">
        <f>IF(AQ465&lt;=0,0,ROUND(AQ465+ROUND(AQ465*W$3/12,2),2))</f>
      </c>
      <c r="D466" s="33">
        <f>IF(AR465&lt;=0,0,ROUND(AR465+ROUND(AR465*X$3/12,2),2))</f>
      </c>
      <c r="E466" s="33">
        <f>IF(AS465&lt;=0,0,ROUND(AS465+ROUND(AS465*Y$3/12,2),2))</f>
      </c>
      <c r="F466" s="33">
        <f>IF(AT465&lt;=0,0,ROUND(AT465+ROUND(AT465*Z$3/12,2),2))</f>
      </c>
      <c r="G466" s="33">
        <f>IF(AU465&lt;=0,0,ROUND(AU465+ROUND(AU465*AA$3/12,2),2))</f>
      </c>
      <c r="H466" s="33">
        <f>IF(AV465&lt;=0,0,ROUND(AV465+ROUND(AV465*AB$3/12,2),2))</f>
      </c>
      <c r="I466" s="33">
        <f>IF(AW465&lt;=0,0,ROUND(AW465+ROUND(AW465*AC$3/12,2),2))</f>
      </c>
      <c r="J466" s="33">
        <f>IF(AX465&lt;=0,0,ROUND(AX465+ROUND(AX465*AD$3/12,2),2))</f>
      </c>
      <c r="K466" s="33">
        <f>IF(AY465&lt;=0,0,ROUND(AY465+ROUND(AY465*AE$3/12,2),2))</f>
      </c>
      <c r="L466" s="33">
        <f>ROUND(MIN(MAX(0,N('Your debts'!$E$6)),B466),2)</f>
      </c>
      <c r="M466" s="33">
        <f>ROUND(MIN(MAX(0,N('Your debts'!$E$7)),C466),2)</f>
      </c>
      <c r="N466" s="33">
        <f>ROUND(MIN(MAX(0,N('Your debts'!$E$8)),D466),2)</f>
      </c>
      <c r="O466" s="33">
        <f>ROUND(MIN(MAX(0,N('Your debts'!$E$9)),E466),2)</f>
      </c>
      <c r="P466" s="33">
        <f>ROUND(MIN(MAX(0,N('Your debts'!$E$10)),F466),2)</f>
      </c>
      <c r="Q466" s="33">
        <f>ROUND(MIN(MAX(0,N('Your debts'!$E$11)),G466),2)</f>
      </c>
      <c r="R466" s="33">
        <f>ROUND(MIN(MAX(0,N('Your debts'!$E$12)),H466),2)</f>
      </c>
      <c r="S466" s="33">
        <f>ROUND(MIN(MAX(0,N('Your debts'!$E$13)),I466),2)</f>
      </c>
      <c r="T466" s="33">
        <f>ROUND(MIN(MAX(0,N('Your debts'!$E$14)),J466),2)</f>
      </c>
      <c r="U466" s="33">
        <f>ROUND(MIN(MAX(0,N('Your debts'!$E$15)),K466),2)</f>
      </c>
      <c r="V466" s="33">
        <f>ROUND(B466-L466,2)</f>
      </c>
      <c r="W466" s="33">
        <f>ROUND(C466-M466,2)</f>
      </c>
      <c r="X466" s="33">
        <f>ROUND(D466-N466,2)</f>
      </c>
      <c r="Y466" s="33">
        <f>ROUND(E466-O466,2)</f>
      </c>
      <c r="Z466" s="33">
        <f>ROUND(F466-P466,2)</f>
      </c>
      <c r="AA466" s="33">
        <f>ROUND(G466-Q466,2)</f>
      </c>
      <c r="AB466" s="33">
        <f>ROUND(H466-R466,2)</f>
      </c>
      <c r="AC466" s="33">
        <f>ROUND(I466-S466,2)</f>
      </c>
      <c r="AD466" s="33">
        <f>ROUND(J466-T466,2)</f>
      </c>
      <c r="AE466" s="33">
        <f>ROUND(K466-U466,2)</f>
      </c>
      <c r="AF466" s="33">
        <f>IF(V466&lt;=0,0,MAX(0,MIN(V466,ROUND($AZ466-SUMPRODUCT($V466:$AE466*($V466:$AE466&gt;0)*(($V$3:$AE$3&gt;V$3)+($V$3:$AE$3=V$3)*($V466:$AE466&lt;V466)+($V$3:$AE$3=V$3)*($V466:$AE466=V466)*($V$2:$AE$2&lt;V$2))),2))))</f>
      </c>
      <c r="AG466" s="33">
        <f>IF(W466&lt;=0,0,MAX(0,MIN(W466,ROUND($AZ466-SUMPRODUCT($V466:$AE466*($V466:$AE466&gt;0)*(($V$3:$AE$3&gt;W$3)+($V$3:$AE$3=W$3)*($V466:$AE466&lt;W466)+($V$3:$AE$3=W$3)*($V466:$AE466=W466)*($V$2:$AE$2&lt;W$2))),2))))</f>
      </c>
      <c r="AH466" s="33">
        <f>IF(X466&lt;=0,0,MAX(0,MIN(X466,ROUND($AZ466-SUMPRODUCT($V466:$AE466*($V466:$AE466&gt;0)*(($V$3:$AE$3&gt;X$3)+($V$3:$AE$3=X$3)*($V466:$AE466&lt;X466)+($V$3:$AE$3=X$3)*($V466:$AE466=X466)*($V$2:$AE$2&lt;X$2))),2))))</f>
      </c>
      <c r="AI466" s="33">
        <f>IF(Y466&lt;=0,0,MAX(0,MIN(Y466,ROUND($AZ466-SUMPRODUCT($V466:$AE466*($V466:$AE466&gt;0)*(($V$3:$AE$3&gt;Y$3)+($V$3:$AE$3=Y$3)*($V466:$AE466&lt;Y466)+($V$3:$AE$3=Y$3)*($V466:$AE466=Y466)*($V$2:$AE$2&lt;Y$2))),2))))</f>
      </c>
      <c r="AJ466" s="33">
        <f>IF(Z466&lt;=0,0,MAX(0,MIN(Z466,ROUND($AZ466-SUMPRODUCT($V466:$AE466*($V466:$AE466&gt;0)*(($V$3:$AE$3&gt;Z$3)+($V$3:$AE$3=Z$3)*($V466:$AE466&lt;Z466)+($V$3:$AE$3=Z$3)*($V466:$AE466=Z466)*($V$2:$AE$2&lt;Z$2))),2))))</f>
      </c>
      <c r="AK466" s="33">
        <f>IF(AA466&lt;=0,0,MAX(0,MIN(AA466,ROUND($AZ466-SUMPRODUCT($V466:$AE466*($V466:$AE466&gt;0)*(($V$3:$AE$3&gt;AA$3)+($V$3:$AE$3=AA$3)*($V466:$AE466&lt;AA466)+($V$3:$AE$3=AA$3)*($V466:$AE466=AA466)*($V$2:$AE$2&lt;AA$2))),2))))</f>
      </c>
      <c r="AL466" s="33">
        <f>IF(AB466&lt;=0,0,MAX(0,MIN(AB466,ROUND($AZ466-SUMPRODUCT($V466:$AE466*($V466:$AE466&gt;0)*(($V$3:$AE$3&gt;AB$3)+($V$3:$AE$3=AB$3)*($V466:$AE466&lt;AB466)+($V$3:$AE$3=AB$3)*($V466:$AE466=AB466)*($V$2:$AE$2&lt;AB$2))),2))))</f>
      </c>
      <c r="AM466" s="33">
        <f>IF(AC466&lt;=0,0,MAX(0,MIN(AC466,ROUND($AZ466-SUMPRODUCT($V466:$AE466*($V466:$AE466&gt;0)*(($V$3:$AE$3&gt;AC$3)+($V$3:$AE$3=AC$3)*($V466:$AE466&lt;AC466)+($V$3:$AE$3=AC$3)*($V466:$AE466=AC466)*($V$2:$AE$2&lt;AC$2))),2))))</f>
      </c>
      <c r="AN466" s="33">
        <f>IF(AD466&lt;=0,0,MAX(0,MIN(AD466,ROUND($AZ466-SUMPRODUCT($V466:$AE466*($V466:$AE466&gt;0)*(($V$3:$AE$3&gt;AD$3)+($V$3:$AE$3=AD$3)*($V466:$AE466&lt;AD466)+($V$3:$AE$3=AD$3)*($V466:$AE466=AD466)*($V$2:$AE$2&lt;AD$2))),2))))</f>
      </c>
      <c r="AO466" s="33">
        <f>IF(AE466&lt;=0,0,MAX(0,MIN(AE466,ROUND($AZ466-SUMPRODUCT($V466:$AE466*($V466:$AE466&gt;0)*(($V$3:$AE$3&gt;AE$3)+($V$3:$AE$3=AE$3)*($V466:$AE466&lt;AE466)+($V$3:$AE$3=AE$3)*($V466:$AE466=AE466)*($V$2:$AE$2&lt;AE$2))),2))))</f>
      </c>
      <c r="AP466" s="33">
        <f>ROUND(V466-AF466,2)</f>
      </c>
      <c r="AQ466" s="33">
        <f>ROUND(W466-AG466,2)</f>
      </c>
      <c r="AR466" s="33">
        <f>ROUND(X466-AH466,2)</f>
      </c>
      <c r="AS466" s="33">
        <f>ROUND(Y466-AI466,2)</f>
      </c>
      <c r="AT466" s="33">
        <f>ROUND(Z466-AJ466,2)</f>
      </c>
      <c r="AU466" s="33">
        <f>ROUND(AA466-AK466,2)</f>
      </c>
      <c r="AV466" s="33">
        <f>ROUND(AB466-AL466,2)</f>
      </c>
      <c r="AW466" s="33">
        <f>ROUND(AC466-AM466,2)</f>
      </c>
      <c r="AX466" s="33">
        <f>ROUND(AD466-AN466,2)</f>
      </c>
      <c r="AY466" s="33">
        <f>ROUND(AE466-AO466,2)</f>
      </c>
      <c r="AZ466" s="33">
        <f>ROUND(MAX(0,'Your debts'!$D$22-SUM($L466:$U466)),2)</f>
      </c>
      <c r="BA466" s="33">
        <f>ROUND(SUM($B466:$K466)-SUM($AP465:$AY465),2)</f>
      </c>
      <c r="BB466" s="33">
        <f>SUM($AP466:$AY466)</f>
      </c>
      <c r="BC466" s="33">
        <f>ROUND(SUM($L466:$U466)+SUM($AF466:$AO466),2)</f>
      </c>
    </row>
    <row r="467" spans="1:55" x14ac:dyDescent="0.25">
      <c r="A467">
        <v>460</v>
      </c>
      <c r="B467" s="33">
        <f>IF(AP466&lt;=0,0,ROUND(AP466+ROUND(AP466*V$3/12,2),2))</f>
      </c>
      <c r="C467" s="33">
        <f>IF(AQ466&lt;=0,0,ROUND(AQ466+ROUND(AQ466*W$3/12,2),2))</f>
      </c>
      <c r="D467" s="33">
        <f>IF(AR466&lt;=0,0,ROUND(AR466+ROUND(AR466*X$3/12,2),2))</f>
      </c>
      <c r="E467" s="33">
        <f>IF(AS466&lt;=0,0,ROUND(AS466+ROUND(AS466*Y$3/12,2),2))</f>
      </c>
      <c r="F467" s="33">
        <f>IF(AT466&lt;=0,0,ROUND(AT466+ROUND(AT466*Z$3/12,2),2))</f>
      </c>
      <c r="G467" s="33">
        <f>IF(AU466&lt;=0,0,ROUND(AU466+ROUND(AU466*AA$3/12,2),2))</f>
      </c>
      <c r="H467" s="33">
        <f>IF(AV466&lt;=0,0,ROUND(AV466+ROUND(AV466*AB$3/12,2),2))</f>
      </c>
      <c r="I467" s="33">
        <f>IF(AW466&lt;=0,0,ROUND(AW466+ROUND(AW466*AC$3/12,2),2))</f>
      </c>
      <c r="J467" s="33">
        <f>IF(AX466&lt;=0,0,ROUND(AX466+ROUND(AX466*AD$3/12,2),2))</f>
      </c>
      <c r="K467" s="33">
        <f>IF(AY466&lt;=0,0,ROUND(AY466+ROUND(AY466*AE$3/12,2),2))</f>
      </c>
      <c r="L467" s="33">
        <f>ROUND(MIN(MAX(0,N('Your debts'!$E$6)),B467),2)</f>
      </c>
      <c r="M467" s="33">
        <f>ROUND(MIN(MAX(0,N('Your debts'!$E$7)),C467),2)</f>
      </c>
      <c r="N467" s="33">
        <f>ROUND(MIN(MAX(0,N('Your debts'!$E$8)),D467),2)</f>
      </c>
      <c r="O467" s="33">
        <f>ROUND(MIN(MAX(0,N('Your debts'!$E$9)),E467),2)</f>
      </c>
      <c r="P467" s="33">
        <f>ROUND(MIN(MAX(0,N('Your debts'!$E$10)),F467),2)</f>
      </c>
      <c r="Q467" s="33">
        <f>ROUND(MIN(MAX(0,N('Your debts'!$E$11)),G467),2)</f>
      </c>
      <c r="R467" s="33">
        <f>ROUND(MIN(MAX(0,N('Your debts'!$E$12)),H467),2)</f>
      </c>
      <c r="S467" s="33">
        <f>ROUND(MIN(MAX(0,N('Your debts'!$E$13)),I467),2)</f>
      </c>
      <c r="T467" s="33">
        <f>ROUND(MIN(MAX(0,N('Your debts'!$E$14)),J467),2)</f>
      </c>
      <c r="U467" s="33">
        <f>ROUND(MIN(MAX(0,N('Your debts'!$E$15)),K467),2)</f>
      </c>
      <c r="V467" s="33">
        <f>ROUND(B467-L467,2)</f>
      </c>
      <c r="W467" s="33">
        <f>ROUND(C467-M467,2)</f>
      </c>
      <c r="X467" s="33">
        <f>ROUND(D467-N467,2)</f>
      </c>
      <c r="Y467" s="33">
        <f>ROUND(E467-O467,2)</f>
      </c>
      <c r="Z467" s="33">
        <f>ROUND(F467-P467,2)</f>
      </c>
      <c r="AA467" s="33">
        <f>ROUND(G467-Q467,2)</f>
      </c>
      <c r="AB467" s="33">
        <f>ROUND(H467-R467,2)</f>
      </c>
      <c r="AC467" s="33">
        <f>ROUND(I467-S467,2)</f>
      </c>
      <c r="AD467" s="33">
        <f>ROUND(J467-T467,2)</f>
      </c>
      <c r="AE467" s="33">
        <f>ROUND(K467-U467,2)</f>
      </c>
      <c r="AF467" s="33">
        <f>IF(V467&lt;=0,0,MAX(0,MIN(V467,ROUND($AZ467-SUMPRODUCT($V467:$AE467*($V467:$AE467&gt;0)*(($V$3:$AE$3&gt;V$3)+($V$3:$AE$3=V$3)*($V467:$AE467&lt;V467)+($V$3:$AE$3=V$3)*($V467:$AE467=V467)*($V$2:$AE$2&lt;V$2))),2))))</f>
      </c>
      <c r="AG467" s="33">
        <f>IF(W467&lt;=0,0,MAX(0,MIN(W467,ROUND($AZ467-SUMPRODUCT($V467:$AE467*($V467:$AE467&gt;0)*(($V$3:$AE$3&gt;W$3)+($V$3:$AE$3=W$3)*($V467:$AE467&lt;W467)+($V$3:$AE$3=W$3)*($V467:$AE467=W467)*($V$2:$AE$2&lt;W$2))),2))))</f>
      </c>
      <c r="AH467" s="33">
        <f>IF(X467&lt;=0,0,MAX(0,MIN(X467,ROUND($AZ467-SUMPRODUCT($V467:$AE467*($V467:$AE467&gt;0)*(($V$3:$AE$3&gt;X$3)+($V$3:$AE$3=X$3)*($V467:$AE467&lt;X467)+($V$3:$AE$3=X$3)*($V467:$AE467=X467)*($V$2:$AE$2&lt;X$2))),2))))</f>
      </c>
      <c r="AI467" s="33">
        <f>IF(Y467&lt;=0,0,MAX(0,MIN(Y467,ROUND($AZ467-SUMPRODUCT($V467:$AE467*($V467:$AE467&gt;0)*(($V$3:$AE$3&gt;Y$3)+($V$3:$AE$3=Y$3)*($V467:$AE467&lt;Y467)+($V$3:$AE$3=Y$3)*($V467:$AE467=Y467)*($V$2:$AE$2&lt;Y$2))),2))))</f>
      </c>
      <c r="AJ467" s="33">
        <f>IF(Z467&lt;=0,0,MAX(0,MIN(Z467,ROUND($AZ467-SUMPRODUCT($V467:$AE467*($V467:$AE467&gt;0)*(($V$3:$AE$3&gt;Z$3)+($V$3:$AE$3=Z$3)*($V467:$AE467&lt;Z467)+($V$3:$AE$3=Z$3)*($V467:$AE467=Z467)*($V$2:$AE$2&lt;Z$2))),2))))</f>
      </c>
      <c r="AK467" s="33">
        <f>IF(AA467&lt;=0,0,MAX(0,MIN(AA467,ROUND($AZ467-SUMPRODUCT($V467:$AE467*($V467:$AE467&gt;0)*(($V$3:$AE$3&gt;AA$3)+($V$3:$AE$3=AA$3)*($V467:$AE467&lt;AA467)+($V$3:$AE$3=AA$3)*($V467:$AE467=AA467)*($V$2:$AE$2&lt;AA$2))),2))))</f>
      </c>
      <c r="AL467" s="33">
        <f>IF(AB467&lt;=0,0,MAX(0,MIN(AB467,ROUND($AZ467-SUMPRODUCT($V467:$AE467*($V467:$AE467&gt;0)*(($V$3:$AE$3&gt;AB$3)+($V$3:$AE$3=AB$3)*($V467:$AE467&lt;AB467)+($V$3:$AE$3=AB$3)*($V467:$AE467=AB467)*($V$2:$AE$2&lt;AB$2))),2))))</f>
      </c>
      <c r="AM467" s="33">
        <f>IF(AC467&lt;=0,0,MAX(0,MIN(AC467,ROUND($AZ467-SUMPRODUCT($V467:$AE467*($V467:$AE467&gt;0)*(($V$3:$AE$3&gt;AC$3)+($V$3:$AE$3=AC$3)*($V467:$AE467&lt;AC467)+($V$3:$AE$3=AC$3)*($V467:$AE467=AC467)*($V$2:$AE$2&lt;AC$2))),2))))</f>
      </c>
      <c r="AN467" s="33">
        <f>IF(AD467&lt;=0,0,MAX(0,MIN(AD467,ROUND($AZ467-SUMPRODUCT($V467:$AE467*($V467:$AE467&gt;0)*(($V$3:$AE$3&gt;AD$3)+($V$3:$AE$3=AD$3)*($V467:$AE467&lt;AD467)+($V$3:$AE$3=AD$3)*($V467:$AE467=AD467)*($V$2:$AE$2&lt;AD$2))),2))))</f>
      </c>
      <c r="AO467" s="33">
        <f>IF(AE467&lt;=0,0,MAX(0,MIN(AE467,ROUND($AZ467-SUMPRODUCT($V467:$AE467*($V467:$AE467&gt;0)*(($V$3:$AE$3&gt;AE$3)+($V$3:$AE$3=AE$3)*($V467:$AE467&lt;AE467)+($V$3:$AE$3=AE$3)*($V467:$AE467=AE467)*($V$2:$AE$2&lt;AE$2))),2))))</f>
      </c>
      <c r="AP467" s="33">
        <f>ROUND(V467-AF467,2)</f>
      </c>
      <c r="AQ467" s="33">
        <f>ROUND(W467-AG467,2)</f>
      </c>
      <c r="AR467" s="33">
        <f>ROUND(X467-AH467,2)</f>
      </c>
      <c r="AS467" s="33">
        <f>ROUND(Y467-AI467,2)</f>
      </c>
      <c r="AT467" s="33">
        <f>ROUND(Z467-AJ467,2)</f>
      </c>
      <c r="AU467" s="33">
        <f>ROUND(AA467-AK467,2)</f>
      </c>
      <c r="AV467" s="33">
        <f>ROUND(AB467-AL467,2)</f>
      </c>
      <c r="AW467" s="33">
        <f>ROUND(AC467-AM467,2)</f>
      </c>
      <c r="AX467" s="33">
        <f>ROUND(AD467-AN467,2)</f>
      </c>
      <c r="AY467" s="33">
        <f>ROUND(AE467-AO467,2)</f>
      </c>
      <c r="AZ467" s="33">
        <f>ROUND(MAX(0,'Your debts'!$D$22-SUM($L467:$U467)),2)</f>
      </c>
      <c r="BA467" s="33">
        <f>ROUND(SUM($B467:$K467)-SUM($AP466:$AY466),2)</f>
      </c>
      <c r="BB467" s="33">
        <f>SUM($AP467:$AY467)</f>
      </c>
      <c r="BC467" s="33">
        <f>ROUND(SUM($L467:$U467)+SUM($AF467:$AO467),2)</f>
      </c>
    </row>
    <row r="468" spans="1:55" x14ac:dyDescent="0.25">
      <c r="A468">
        <v>461</v>
      </c>
      <c r="B468" s="33">
        <f>IF(AP467&lt;=0,0,ROUND(AP467+ROUND(AP467*V$3/12,2),2))</f>
      </c>
      <c r="C468" s="33">
        <f>IF(AQ467&lt;=0,0,ROUND(AQ467+ROUND(AQ467*W$3/12,2),2))</f>
      </c>
      <c r="D468" s="33">
        <f>IF(AR467&lt;=0,0,ROUND(AR467+ROUND(AR467*X$3/12,2),2))</f>
      </c>
      <c r="E468" s="33">
        <f>IF(AS467&lt;=0,0,ROUND(AS467+ROUND(AS467*Y$3/12,2),2))</f>
      </c>
      <c r="F468" s="33">
        <f>IF(AT467&lt;=0,0,ROUND(AT467+ROUND(AT467*Z$3/12,2),2))</f>
      </c>
      <c r="G468" s="33">
        <f>IF(AU467&lt;=0,0,ROUND(AU467+ROUND(AU467*AA$3/12,2),2))</f>
      </c>
      <c r="H468" s="33">
        <f>IF(AV467&lt;=0,0,ROUND(AV467+ROUND(AV467*AB$3/12,2),2))</f>
      </c>
      <c r="I468" s="33">
        <f>IF(AW467&lt;=0,0,ROUND(AW467+ROUND(AW467*AC$3/12,2),2))</f>
      </c>
      <c r="J468" s="33">
        <f>IF(AX467&lt;=0,0,ROUND(AX467+ROUND(AX467*AD$3/12,2),2))</f>
      </c>
      <c r="K468" s="33">
        <f>IF(AY467&lt;=0,0,ROUND(AY467+ROUND(AY467*AE$3/12,2),2))</f>
      </c>
      <c r="L468" s="33">
        <f>ROUND(MIN(MAX(0,N('Your debts'!$E$6)),B468),2)</f>
      </c>
      <c r="M468" s="33">
        <f>ROUND(MIN(MAX(0,N('Your debts'!$E$7)),C468),2)</f>
      </c>
      <c r="N468" s="33">
        <f>ROUND(MIN(MAX(0,N('Your debts'!$E$8)),D468),2)</f>
      </c>
      <c r="O468" s="33">
        <f>ROUND(MIN(MAX(0,N('Your debts'!$E$9)),E468),2)</f>
      </c>
      <c r="P468" s="33">
        <f>ROUND(MIN(MAX(0,N('Your debts'!$E$10)),F468),2)</f>
      </c>
      <c r="Q468" s="33">
        <f>ROUND(MIN(MAX(0,N('Your debts'!$E$11)),G468),2)</f>
      </c>
      <c r="R468" s="33">
        <f>ROUND(MIN(MAX(0,N('Your debts'!$E$12)),H468),2)</f>
      </c>
      <c r="S468" s="33">
        <f>ROUND(MIN(MAX(0,N('Your debts'!$E$13)),I468),2)</f>
      </c>
      <c r="T468" s="33">
        <f>ROUND(MIN(MAX(0,N('Your debts'!$E$14)),J468),2)</f>
      </c>
      <c r="U468" s="33">
        <f>ROUND(MIN(MAX(0,N('Your debts'!$E$15)),K468),2)</f>
      </c>
      <c r="V468" s="33">
        <f>ROUND(B468-L468,2)</f>
      </c>
      <c r="W468" s="33">
        <f>ROUND(C468-M468,2)</f>
      </c>
      <c r="X468" s="33">
        <f>ROUND(D468-N468,2)</f>
      </c>
      <c r="Y468" s="33">
        <f>ROUND(E468-O468,2)</f>
      </c>
      <c r="Z468" s="33">
        <f>ROUND(F468-P468,2)</f>
      </c>
      <c r="AA468" s="33">
        <f>ROUND(G468-Q468,2)</f>
      </c>
      <c r="AB468" s="33">
        <f>ROUND(H468-R468,2)</f>
      </c>
      <c r="AC468" s="33">
        <f>ROUND(I468-S468,2)</f>
      </c>
      <c r="AD468" s="33">
        <f>ROUND(J468-T468,2)</f>
      </c>
      <c r="AE468" s="33">
        <f>ROUND(K468-U468,2)</f>
      </c>
      <c r="AF468" s="33">
        <f>IF(V468&lt;=0,0,MAX(0,MIN(V468,ROUND($AZ468-SUMPRODUCT($V468:$AE468*($V468:$AE468&gt;0)*(($V$3:$AE$3&gt;V$3)+($V$3:$AE$3=V$3)*($V468:$AE468&lt;V468)+($V$3:$AE$3=V$3)*($V468:$AE468=V468)*($V$2:$AE$2&lt;V$2))),2))))</f>
      </c>
      <c r="AG468" s="33">
        <f>IF(W468&lt;=0,0,MAX(0,MIN(W468,ROUND($AZ468-SUMPRODUCT($V468:$AE468*($V468:$AE468&gt;0)*(($V$3:$AE$3&gt;W$3)+($V$3:$AE$3=W$3)*($V468:$AE468&lt;W468)+($V$3:$AE$3=W$3)*($V468:$AE468=W468)*($V$2:$AE$2&lt;W$2))),2))))</f>
      </c>
      <c r="AH468" s="33">
        <f>IF(X468&lt;=0,0,MAX(0,MIN(X468,ROUND($AZ468-SUMPRODUCT($V468:$AE468*($V468:$AE468&gt;0)*(($V$3:$AE$3&gt;X$3)+($V$3:$AE$3=X$3)*($V468:$AE468&lt;X468)+($V$3:$AE$3=X$3)*($V468:$AE468=X468)*($V$2:$AE$2&lt;X$2))),2))))</f>
      </c>
      <c r="AI468" s="33">
        <f>IF(Y468&lt;=0,0,MAX(0,MIN(Y468,ROUND($AZ468-SUMPRODUCT($V468:$AE468*($V468:$AE468&gt;0)*(($V$3:$AE$3&gt;Y$3)+($V$3:$AE$3=Y$3)*($V468:$AE468&lt;Y468)+($V$3:$AE$3=Y$3)*($V468:$AE468=Y468)*($V$2:$AE$2&lt;Y$2))),2))))</f>
      </c>
      <c r="AJ468" s="33">
        <f>IF(Z468&lt;=0,0,MAX(0,MIN(Z468,ROUND($AZ468-SUMPRODUCT($V468:$AE468*($V468:$AE468&gt;0)*(($V$3:$AE$3&gt;Z$3)+($V$3:$AE$3=Z$3)*($V468:$AE468&lt;Z468)+($V$3:$AE$3=Z$3)*($V468:$AE468=Z468)*($V$2:$AE$2&lt;Z$2))),2))))</f>
      </c>
      <c r="AK468" s="33">
        <f>IF(AA468&lt;=0,0,MAX(0,MIN(AA468,ROUND($AZ468-SUMPRODUCT($V468:$AE468*($V468:$AE468&gt;0)*(($V$3:$AE$3&gt;AA$3)+($V$3:$AE$3=AA$3)*($V468:$AE468&lt;AA468)+($V$3:$AE$3=AA$3)*($V468:$AE468=AA468)*($V$2:$AE$2&lt;AA$2))),2))))</f>
      </c>
      <c r="AL468" s="33">
        <f>IF(AB468&lt;=0,0,MAX(0,MIN(AB468,ROUND($AZ468-SUMPRODUCT($V468:$AE468*($V468:$AE468&gt;0)*(($V$3:$AE$3&gt;AB$3)+($V$3:$AE$3=AB$3)*($V468:$AE468&lt;AB468)+($V$3:$AE$3=AB$3)*($V468:$AE468=AB468)*($V$2:$AE$2&lt;AB$2))),2))))</f>
      </c>
      <c r="AM468" s="33">
        <f>IF(AC468&lt;=0,0,MAX(0,MIN(AC468,ROUND($AZ468-SUMPRODUCT($V468:$AE468*($V468:$AE468&gt;0)*(($V$3:$AE$3&gt;AC$3)+($V$3:$AE$3=AC$3)*($V468:$AE468&lt;AC468)+($V$3:$AE$3=AC$3)*($V468:$AE468=AC468)*($V$2:$AE$2&lt;AC$2))),2))))</f>
      </c>
      <c r="AN468" s="33">
        <f>IF(AD468&lt;=0,0,MAX(0,MIN(AD468,ROUND($AZ468-SUMPRODUCT($V468:$AE468*($V468:$AE468&gt;0)*(($V$3:$AE$3&gt;AD$3)+($V$3:$AE$3=AD$3)*($V468:$AE468&lt;AD468)+($V$3:$AE$3=AD$3)*($V468:$AE468=AD468)*($V$2:$AE$2&lt;AD$2))),2))))</f>
      </c>
      <c r="AO468" s="33">
        <f>IF(AE468&lt;=0,0,MAX(0,MIN(AE468,ROUND($AZ468-SUMPRODUCT($V468:$AE468*($V468:$AE468&gt;0)*(($V$3:$AE$3&gt;AE$3)+($V$3:$AE$3=AE$3)*($V468:$AE468&lt;AE468)+($V$3:$AE$3=AE$3)*($V468:$AE468=AE468)*($V$2:$AE$2&lt;AE$2))),2))))</f>
      </c>
      <c r="AP468" s="33">
        <f>ROUND(V468-AF468,2)</f>
      </c>
      <c r="AQ468" s="33">
        <f>ROUND(W468-AG468,2)</f>
      </c>
      <c r="AR468" s="33">
        <f>ROUND(X468-AH468,2)</f>
      </c>
      <c r="AS468" s="33">
        <f>ROUND(Y468-AI468,2)</f>
      </c>
      <c r="AT468" s="33">
        <f>ROUND(Z468-AJ468,2)</f>
      </c>
      <c r="AU468" s="33">
        <f>ROUND(AA468-AK468,2)</f>
      </c>
      <c r="AV468" s="33">
        <f>ROUND(AB468-AL468,2)</f>
      </c>
      <c r="AW468" s="33">
        <f>ROUND(AC468-AM468,2)</f>
      </c>
      <c r="AX468" s="33">
        <f>ROUND(AD468-AN468,2)</f>
      </c>
      <c r="AY468" s="33">
        <f>ROUND(AE468-AO468,2)</f>
      </c>
      <c r="AZ468" s="33">
        <f>ROUND(MAX(0,'Your debts'!$D$22-SUM($L468:$U468)),2)</f>
      </c>
      <c r="BA468" s="33">
        <f>ROUND(SUM($B468:$K468)-SUM($AP467:$AY467),2)</f>
      </c>
      <c r="BB468" s="33">
        <f>SUM($AP468:$AY468)</f>
      </c>
      <c r="BC468" s="33">
        <f>ROUND(SUM($L468:$U468)+SUM($AF468:$AO468),2)</f>
      </c>
    </row>
    <row r="469" spans="1:55" x14ac:dyDescent="0.25">
      <c r="A469">
        <v>462</v>
      </c>
      <c r="B469" s="33">
        <f>IF(AP468&lt;=0,0,ROUND(AP468+ROUND(AP468*V$3/12,2),2))</f>
      </c>
      <c r="C469" s="33">
        <f>IF(AQ468&lt;=0,0,ROUND(AQ468+ROUND(AQ468*W$3/12,2),2))</f>
      </c>
      <c r="D469" s="33">
        <f>IF(AR468&lt;=0,0,ROUND(AR468+ROUND(AR468*X$3/12,2),2))</f>
      </c>
      <c r="E469" s="33">
        <f>IF(AS468&lt;=0,0,ROUND(AS468+ROUND(AS468*Y$3/12,2),2))</f>
      </c>
      <c r="F469" s="33">
        <f>IF(AT468&lt;=0,0,ROUND(AT468+ROUND(AT468*Z$3/12,2),2))</f>
      </c>
      <c r="G469" s="33">
        <f>IF(AU468&lt;=0,0,ROUND(AU468+ROUND(AU468*AA$3/12,2),2))</f>
      </c>
      <c r="H469" s="33">
        <f>IF(AV468&lt;=0,0,ROUND(AV468+ROUND(AV468*AB$3/12,2),2))</f>
      </c>
      <c r="I469" s="33">
        <f>IF(AW468&lt;=0,0,ROUND(AW468+ROUND(AW468*AC$3/12,2),2))</f>
      </c>
      <c r="J469" s="33">
        <f>IF(AX468&lt;=0,0,ROUND(AX468+ROUND(AX468*AD$3/12,2),2))</f>
      </c>
      <c r="K469" s="33">
        <f>IF(AY468&lt;=0,0,ROUND(AY468+ROUND(AY468*AE$3/12,2),2))</f>
      </c>
      <c r="L469" s="33">
        <f>ROUND(MIN(MAX(0,N('Your debts'!$E$6)),B469),2)</f>
      </c>
      <c r="M469" s="33">
        <f>ROUND(MIN(MAX(0,N('Your debts'!$E$7)),C469),2)</f>
      </c>
      <c r="N469" s="33">
        <f>ROUND(MIN(MAX(0,N('Your debts'!$E$8)),D469),2)</f>
      </c>
      <c r="O469" s="33">
        <f>ROUND(MIN(MAX(0,N('Your debts'!$E$9)),E469),2)</f>
      </c>
      <c r="P469" s="33">
        <f>ROUND(MIN(MAX(0,N('Your debts'!$E$10)),F469),2)</f>
      </c>
      <c r="Q469" s="33">
        <f>ROUND(MIN(MAX(0,N('Your debts'!$E$11)),G469),2)</f>
      </c>
      <c r="R469" s="33">
        <f>ROUND(MIN(MAX(0,N('Your debts'!$E$12)),H469),2)</f>
      </c>
      <c r="S469" s="33">
        <f>ROUND(MIN(MAX(0,N('Your debts'!$E$13)),I469),2)</f>
      </c>
      <c r="T469" s="33">
        <f>ROUND(MIN(MAX(0,N('Your debts'!$E$14)),J469),2)</f>
      </c>
      <c r="U469" s="33">
        <f>ROUND(MIN(MAX(0,N('Your debts'!$E$15)),K469),2)</f>
      </c>
      <c r="V469" s="33">
        <f>ROUND(B469-L469,2)</f>
      </c>
      <c r="W469" s="33">
        <f>ROUND(C469-M469,2)</f>
      </c>
      <c r="X469" s="33">
        <f>ROUND(D469-N469,2)</f>
      </c>
      <c r="Y469" s="33">
        <f>ROUND(E469-O469,2)</f>
      </c>
      <c r="Z469" s="33">
        <f>ROUND(F469-P469,2)</f>
      </c>
      <c r="AA469" s="33">
        <f>ROUND(G469-Q469,2)</f>
      </c>
      <c r="AB469" s="33">
        <f>ROUND(H469-R469,2)</f>
      </c>
      <c r="AC469" s="33">
        <f>ROUND(I469-S469,2)</f>
      </c>
      <c r="AD469" s="33">
        <f>ROUND(J469-T469,2)</f>
      </c>
      <c r="AE469" s="33">
        <f>ROUND(K469-U469,2)</f>
      </c>
      <c r="AF469" s="33">
        <f>IF(V469&lt;=0,0,MAX(0,MIN(V469,ROUND($AZ469-SUMPRODUCT($V469:$AE469*($V469:$AE469&gt;0)*(($V$3:$AE$3&gt;V$3)+($V$3:$AE$3=V$3)*($V469:$AE469&lt;V469)+($V$3:$AE$3=V$3)*($V469:$AE469=V469)*($V$2:$AE$2&lt;V$2))),2))))</f>
      </c>
      <c r="AG469" s="33">
        <f>IF(W469&lt;=0,0,MAX(0,MIN(W469,ROUND($AZ469-SUMPRODUCT($V469:$AE469*($V469:$AE469&gt;0)*(($V$3:$AE$3&gt;W$3)+($V$3:$AE$3=W$3)*($V469:$AE469&lt;W469)+($V$3:$AE$3=W$3)*($V469:$AE469=W469)*($V$2:$AE$2&lt;W$2))),2))))</f>
      </c>
      <c r="AH469" s="33">
        <f>IF(X469&lt;=0,0,MAX(0,MIN(X469,ROUND($AZ469-SUMPRODUCT($V469:$AE469*($V469:$AE469&gt;0)*(($V$3:$AE$3&gt;X$3)+($V$3:$AE$3=X$3)*($V469:$AE469&lt;X469)+($V$3:$AE$3=X$3)*($V469:$AE469=X469)*($V$2:$AE$2&lt;X$2))),2))))</f>
      </c>
      <c r="AI469" s="33">
        <f>IF(Y469&lt;=0,0,MAX(0,MIN(Y469,ROUND($AZ469-SUMPRODUCT($V469:$AE469*($V469:$AE469&gt;0)*(($V$3:$AE$3&gt;Y$3)+($V$3:$AE$3=Y$3)*($V469:$AE469&lt;Y469)+($V$3:$AE$3=Y$3)*($V469:$AE469=Y469)*($V$2:$AE$2&lt;Y$2))),2))))</f>
      </c>
      <c r="AJ469" s="33">
        <f>IF(Z469&lt;=0,0,MAX(0,MIN(Z469,ROUND($AZ469-SUMPRODUCT($V469:$AE469*($V469:$AE469&gt;0)*(($V$3:$AE$3&gt;Z$3)+($V$3:$AE$3=Z$3)*($V469:$AE469&lt;Z469)+($V$3:$AE$3=Z$3)*($V469:$AE469=Z469)*($V$2:$AE$2&lt;Z$2))),2))))</f>
      </c>
      <c r="AK469" s="33">
        <f>IF(AA469&lt;=0,0,MAX(0,MIN(AA469,ROUND($AZ469-SUMPRODUCT($V469:$AE469*($V469:$AE469&gt;0)*(($V$3:$AE$3&gt;AA$3)+($V$3:$AE$3=AA$3)*($V469:$AE469&lt;AA469)+($V$3:$AE$3=AA$3)*($V469:$AE469=AA469)*($V$2:$AE$2&lt;AA$2))),2))))</f>
      </c>
      <c r="AL469" s="33">
        <f>IF(AB469&lt;=0,0,MAX(0,MIN(AB469,ROUND($AZ469-SUMPRODUCT($V469:$AE469*($V469:$AE469&gt;0)*(($V$3:$AE$3&gt;AB$3)+($V$3:$AE$3=AB$3)*($V469:$AE469&lt;AB469)+($V$3:$AE$3=AB$3)*($V469:$AE469=AB469)*($V$2:$AE$2&lt;AB$2))),2))))</f>
      </c>
      <c r="AM469" s="33">
        <f>IF(AC469&lt;=0,0,MAX(0,MIN(AC469,ROUND($AZ469-SUMPRODUCT($V469:$AE469*($V469:$AE469&gt;0)*(($V$3:$AE$3&gt;AC$3)+($V$3:$AE$3=AC$3)*($V469:$AE469&lt;AC469)+($V$3:$AE$3=AC$3)*($V469:$AE469=AC469)*($V$2:$AE$2&lt;AC$2))),2))))</f>
      </c>
      <c r="AN469" s="33">
        <f>IF(AD469&lt;=0,0,MAX(0,MIN(AD469,ROUND($AZ469-SUMPRODUCT($V469:$AE469*($V469:$AE469&gt;0)*(($V$3:$AE$3&gt;AD$3)+($V$3:$AE$3=AD$3)*($V469:$AE469&lt;AD469)+($V$3:$AE$3=AD$3)*($V469:$AE469=AD469)*($V$2:$AE$2&lt;AD$2))),2))))</f>
      </c>
      <c r="AO469" s="33">
        <f>IF(AE469&lt;=0,0,MAX(0,MIN(AE469,ROUND($AZ469-SUMPRODUCT($V469:$AE469*($V469:$AE469&gt;0)*(($V$3:$AE$3&gt;AE$3)+($V$3:$AE$3=AE$3)*($V469:$AE469&lt;AE469)+($V$3:$AE$3=AE$3)*($V469:$AE469=AE469)*($V$2:$AE$2&lt;AE$2))),2))))</f>
      </c>
      <c r="AP469" s="33">
        <f>ROUND(V469-AF469,2)</f>
      </c>
      <c r="AQ469" s="33">
        <f>ROUND(W469-AG469,2)</f>
      </c>
      <c r="AR469" s="33">
        <f>ROUND(X469-AH469,2)</f>
      </c>
      <c r="AS469" s="33">
        <f>ROUND(Y469-AI469,2)</f>
      </c>
      <c r="AT469" s="33">
        <f>ROUND(Z469-AJ469,2)</f>
      </c>
      <c r="AU469" s="33">
        <f>ROUND(AA469-AK469,2)</f>
      </c>
      <c r="AV469" s="33">
        <f>ROUND(AB469-AL469,2)</f>
      </c>
      <c r="AW469" s="33">
        <f>ROUND(AC469-AM469,2)</f>
      </c>
      <c r="AX469" s="33">
        <f>ROUND(AD469-AN469,2)</f>
      </c>
      <c r="AY469" s="33">
        <f>ROUND(AE469-AO469,2)</f>
      </c>
      <c r="AZ469" s="33">
        <f>ROUND(MAX(0,'Your debts'!$D$22-SUM($L469:$U469)),2)</f>
      </c>
      <c r="BA469" s="33">
        <f>ROUND(SUM($B469:$K469)-SUM($AP468:$AY468),2)</f>
      </c>
      <c r="BB469" s="33">
        <f>SUM($AP469:$AY469)</f>
      </c>
      <c r="BC469" s="33">
        <f>ROUND(SUM($L469:$U469)+SUM($AF469:$AO469),2)</f>
      </c>
    </row>
    <row r="470" spans="1:55" x14ac:dyDescent="0.25">
      <c r="A470">
        <v>463</v>
      </c>
      <c r="B470" s="33">
        <f>IF(AP469&lt;=0,0,ROUND(AP469+ROUND(AP469*V$3/12,2),2))</f>
      </c>
      <c r="C470" s="33">
        <f>IF(AQ469&lt;=0,0,ROUND(AQ469+ROUND(AQ469*W$3/12,2),2))</f>
      </c>
      <c r="D470" s="33">
        <f>IF(AR469&lt;=0,0,ROUND(AR469+ROUND(AR469*X$3/12,2),2))</f>
      </c>
      <c r="E470" s="33">
        <f>IF(AS469&lt;=0,0,ROUND(AS469+ROUND(AS469*Y$3/12,2),2))</f>
      </c>
      <c r="F470" s="33">
        <f>IF(AT469&lt;=0,0,ROUND(AT469+ROUND(AT469*Z$3/12,2),2))</f>
      </c>
      <c r="G470" s="33">
        <f>IF(AU469&lt;=0,0,ROUND(AU469+ROUND(AU469*AA$3/12,2),2))</f>
      </c>
      <c r="H470" s="33">
        <f>IF(AV469&lt;=0,0,ROUND(AV469+ROUND(AV469*AB$3/12,2),2))</f>
      </c>
      <c r="I470" s="33">
        <f>IF(AW469&lt;=0,0,ROUND(AW469+ROUND(AW469*AC$3/12,2),2))</f>
      </c>
      <c r="J470" s="33">
        <f>IF(AX469&lt;=0,0,ROUND(AX469+ROUND(AX469*AD$3/12,2),2))</f>
      </c>
      <c r="K470" s="33">
        <f>IF(AY469&lt;=0,0,ROUND(AY469+ROUND(AY469*AE$3/12,2),2))</f>
      </c>
      <c r="L470" s="33">
        <f>ROUND(MIN(MAX(0,N('Your debts'!$E$6)),B470),2)</f>
      </c>
      <c r="M470" s="33">
        <f>ROUND(MIN(MAX(0,N('Your debts'!$E$7)),C470),2)</f>
      </c>
      <c r="N470" s="33">
        <f>ROUND(MIN(MAX(0,N('Your debts'!$E$8)),D470),2)</f>
      </c>
      <c r="O470" s="33">
        <f>ROUND(MIN(MAX(0,N('Your debts'!$E$9)),E470),2)</f>
      </c>
      <c r="P470" s="33">
        <f>ROUND(MIN(MAX(0,N('Your debts'!$E$10)),F470),2)</f>
      </c>
      <c r="Q470" s="33">
        <f>ROUND(MIN(MAX(0,N('Your debts'!$E$11)),G470),2)</f>
      </c>
      <c r="R470" s="33">
        <f>ROUND(MIN(MAX(0,N('Your debts'!$E$12)),H470),2)</f>
      </c>
      <c r="S470" s="33">
        <f>ROUND(MIN(MAX(0,N('Your debts'!$E$13)),I470),2)</f>
      </c>
      <c r="T470" s="33">
        <f>ROUND(MIN(MAX(0,N('Your debts'!$E$14)),J470),2)</f>
      </c>
      <c r="U470" s="33">
        <f>ROUND(MIN(MAX(0,N('Your debts'!$E$15)),K470),2)</f>
      </c>
      <c r="V470" s="33">
        <f>ROUND(B470-L470,2)</f>
      </c>
      <c r="W470" s="33">
        <f>ROUND(C470-M470,2)</f>
      </c>
      <c r="X470" s="33">
        <f>ROUND(D470-N470,2)</f>
      </c>
      <c r="Y470" s="33">
        <f>ROUND(E470-O470,2)</f>
      </c>
      <c r="Z470" s="33">
        <f>ROUND(F470-P470,2)</f>
      </c>
      <c r="AA470" s="33">
        <f>ROUND(G470-Q470,2)</f>
      </c>
      <c r="AB470" s="33">
        <f>ROUND(H470-R470,2)</f>
      </c>
      <c r="AC470" s="33">
        <f>ROUND(I470-S470,2)</f>
      </c>
      <c r="AD470" s="33">
        <f>ROUND(J470-T470,2)</f>
      </c>
      <c r="AE470" s="33">
        <f>ROUND(K470-U470,2)</f>
      </c>
      <c r="AF470" s="33">
        <f>IF(V470&lt;=0,0,MAX(0,MIN(V470,ROUND($AZ470-SUMPRODUCT($V470:$AE470*($V470:$AE470&gt;0)*(($V$3:$AE$3&gt;V$3)+($V$3:$AE$3=V$3)*($V470:$AE470&lt;V470)+($V$3:$AE$3=V$3)*($V470:$AE470=V470)*($V$2:$AE$2&lt;V$2))),2))))</f>
      </c>
      <c r="AG470" s="33">
        <f>IF(W470&lt;=0,0,MAX(0,MIN(W470,ROUND($AZ470-SUMPRODUCT($V470:$AE470*($V470:$AE470&gt;0)*(($V$3:$AE$3&gt;W$3)+($V$3:$AE$3=W$3)*($V470:$AE470&lt;W470)+($V$3:$AE$3=W$3)*($V470:$AE470=W470)*($V$2:$AE$2&lt;W$2))),2))))</f>
      </c>
      <c r="AH470" s="33">
        <f>IF(X470&lt;=0,0,MAX(0,MIN(X470,ROUND($AZ470-SUMPRODUCT($V470:$AE470*($V470:$AE470&gt;0)*(($V$3:$AE$3&gt;X$3)+($V$3:$AE$3=X$3)*($V470:$AE470&lt;X470)+($V$3:$AE$3=X$3)*($V470:$AE470=X470)*($V$2:$AE$2&lt;X$2))),2))))</f>
      </c>
      <c r="AI470" s="33">
        <f>IF(Y470&lt;=0,0,MAX(0,MIN(Y470,ROUND($AZ470-SUMPRODUCT($V470:$AE470*($V470:$AE470&gt;0)*(($V$3:$AE$3&gt;Y$3)+($V$3:$AE$3=Y$3)*($V470:$AE470&lt;Y470)+($V$3:$AE$3=Y$3)*($V470:$AE470=Y470)*($V$2:$AE$2&lt;Y$2))),2))))</f>
      </c>
      <c r="AJ470" s="33">
        <f>IF(Z470&lt;=0,0,MAX(0,MIN(Z470,ROUND($AZ470-SUMPRODUCT($V470:$AE470*($V470:$AE470&gt;0)*(($V$3:$AE$3&gt;Z$3)+($V$3:$AE$3=Z$3)*($V470:$AE470&lt;Z470)+($V$3:$AE$3=Z$3)*($V470:$AE470=Z470)*($V$2:$AE$2&lt;Z$2))),2))))</f>
      </c>
      <c r="AK470" s="33">
        <f>IF(AA470&lt;=0,0,MAX(0,MIN(AA470,ROUND($AZ470-SUMPRODUCT($V470:$AE470*($V470:$AE470&gt;0)*(($V$3:$AE$3&gt;AA$3)+($V$3:$AE$3=AA$3)*($V470:$AE470&lt;AA470)+($V$3:$AE$3=AA$3)*($V470:$AE470=AA470)*($V$2:$AE$2&lt;AA$2))),2))))</f>
      </c>
      <c r="AL470" s="33">
        <f>IF(AB470&lt;=0,0,MAX(0,MIN(AB470,ROUND($AZ470-SUMPRODUCT($V470:$AE470*($V470:$AE470&gt;0)*(($V$3:$AE$3&gt;AB$3)+($V$3:$AE$3=AB$3)*($V470:$AE470&lt;AB470)+($V$3:$AE$3=AB$3)*($V470:$AE470=AB470)*($V$2:$AE$2&lt;AB$2))),2))))</f>
      </c>
      <c r="AM470" s="33">
        <f>IF(AC470&lt;=0,0,MAX(0,MIN(AC470,ROUND($AZ470-SUMPRODUCT($V470:$AE470*($V470:$AE470&gt;0)*(($V$3:$AE$3&gt;AC$3)+($V$3:$AE$3=AC$3)*($V470:$AE470&lt;AC470)+($V$3:$AE$3=AC$3)*($V470:$AE470=AC470)*($V$2:$AE$2&lt;AC$2))),2))))</f>
      </c>
      <c r="AN470" s="33">
        <f>IF(AD470&lt;=0,0,MAX(0,MIN(AD470,ROUND($AZ470-SUMPRODUCT($V470:$AE470*($V470:$AE470&gt;0)*(($V$3:$AE$3&gt;AD$3)+($V$3:$AE$3=AD$3)*($V470:$AE470&lt;AD470)+($V$3:$AE$3=AD$3)*($V470:$AE470=AD470)*($V$2:$AE$2&lt;AD$2))),2))))</f>
      </c>
      <c r="AO470" s="33">
        <f>IF(AE470&lt;=0,0,MAX(0,MIN(AE470,ROUND($AZ470-SUMPRODUCT($V470:$AE470*($V470:$AE470&gt;0)*(($V$3:$AE$3&gt;AE$3)+($V$3:$AE$3=AE$3)*($V470:$AE470&lt;AE470)+($V$3:$AE$3=AE$3)*($V470:$AE470=AE470)*($V$2:$AE$2&lt;AE$2))),2))))</f>
      </c>
      <c r="AP470" s="33">
        <f>ROUND(V470-AF470,2)</f>
      </c>
      <c r="AQ470" s="33">
        <f>ROUND(W470-AG470,2)</f>
      </c>
      <c r="AR470" s="33">
        <f>ROUND(X470-AH470,2)</f>
      </c>
      <c r="AS470" s="33">
        <f>ROUND(Y470-AI470,2)</f>
      </c>
      <c r="AT470" s="33">
        <f>ROUND(Z470-AJ470,2)</f>
      </c>
      <c r="AU470" s="33">
        <f>ROUND(AA470-AK470,2)</f>
      </c>
      <c r="AV470" s="33">
        <f>ROUND(AB470-AL470,2)</f>
      </c>
      <c r="AW470" s="33">
        <f>ROUND(AC470-AM470,2)</f>
      </c>
      <c r="AX470" s="33">
        <f>ROUND(AD470-AN470,2)</f>
      </c>
      <c r="AY470" s="33">
        <f>ROUND(AE470-AO470,2)</f>
      </c>
      <c r="AZ470" s="33">
        <f>ROUND(MAX(0,'Your debts'!$D$22-SUM($L470:$U470)),2)</f>
      </c>
      <c r="BA470" s="33">
        <f>ROUND(SUM($B470:$K470)-SUM($AP469:$AY469),2)</f>
      </c>
      <c r="BB470" s="33">
        <f>SUM($AP470:$AY470)</f>
      </c>
      <c r="BC470" s="33">
        <f>ROUND(SUM($L470:$U470)+SUM($AF470:$AO470),2)</f>
      </c>
    </row>
    <row r="471" spans="1:55" x14ac:dyDescent="0.25">
      <c r="A471">
        <v>464</v>
      </c>
      <c r="B471" s="33">
        <f>IF(AP470&lt;=0,0,ROUND(AP470+ROUND(AP470*V$3/12,2),2))</f>
      </c>
      <c r="C471" s="33">
        <f>IF(AQ470&lt;=0,0,ROUND(AQ470+ROUND(AQ470*W$3/12,2),2))</f>
      </c>
      <c r="D471" s="33">
        <f>IF(AR470&lt;=0,0,ROUND(AR470+ROUND(AR470*X$3/12,2),2))</f>
      </c>
      <c r="E471" s="33">
        <f>IF(AS470&lt;=0,0,ROUND(AS470+ROUND(AS470*Y$3/12,2),2))</f>
      </c>
      <c r="F471" s="33">
        <f>IF(AT470&lt;=0,0,ROUND(AT470+ROUND(AT470*Z$3/12,2),2))</f>
      </c>
      <c r="G471" s="33">
        <f>IF(AU470&lt;=0,0,ROUND(AU470+ROUND(AU470*AA$3/12,2),2))</f>
      </c>
      <c r="H471" s="33">
        <f>IF(AV470&lt;=0,0,ROUND(AV470+ROUND(AV470*AB$3/12,2),2))</f>
      </c>
      <c r="I471" s="33">
        <f>IF(AW470&lt;=0,0,ROUND(AW470+ROUND(AW470*AC$3/12,2),2))</f>
      </c>
      <c r="J471" s="33">
        <f>IF(AX470&lt;=0,0,ROUND(AX470+ROUND(AX470*AD$3/12,2),2))</f>
      </c>
      <c r="K471" s="33">
        <f>IF(AY470&lt;=0,0,ROUND(AY470+ROUND(AY470*AE$3/12,2),2))</f>
      </c>
      <c r="L471" s="33">
        <f>ROUND(MIN(MAX(0,N('Your debts'!$E$6)),B471),2)</f>
      </c>
      <c r="M471" s="33">
        <f>ROUND(MIN(MAX(0,N('Your debts'!$E$7)),C471),2)</f>
      </c>
      <c r="N471" s="33">
        <f>ROUND(MIN(MAX(0,N('Your debts'!$E$8)),D471),2)</f>
      </c>
      <c r="O471" s="33">
        <f>ROUND(MIN(MAX(0,N('Your debts'!$E$9)),E471),2)</f>
      </c>
      <c r="P471" s="33">
        <f>ROUND(MIN(MAX(0,N('Your debts'!$E$10)),F471),2)</f>
      </c>
      <c r="Q471" s="33">
        <f>ROUND(MIN(MAX(0,N('Your debts'!$E$11)),G471),2)</f>
      </c>
      <c r="R471" s="33">
        <f>ROUND(MIN(MAX(0,N('Your debts'!$E$12)),H471),2)</f>
      </c>
      <c r="S471" s="33">
        <f>ROUND(MIN(MAX(0,N('Your debts'!$E$13)),I471),2)</f>
      </c>
      <c r="T471" s="33">
        <f>ROUND(MIN(MAX(0,N('Your debts'!$E$14)),J471),2)</f>
      </c>
      <c r="U471" s="33">
        <f>ROUND(MIN(MAX(0,N('Your debts'!$E$15)),K471),2)</f>
      </c>
      <c r="V471" s="33">
        <f>ROUND(B471-L471,2)</f>
      </c>
      <c r="W471" s="33">
        <f>ROUND(C471-M471,2)</f>
      </c>
      <c r="X471" s="33">
        <f>ROUND(D471-N471,2)</f>
      </c>
      <c r="Y471" s="33">
        <f>ROUND(E471-O471,2)</f>
      </c>
      <c r="Z471" s="33">
        <f>ROUND(F471-P471,2)</f>
      </c>
      <c r="AA471" s="33">
        <f>ROUND(G471-Q471,2)</f>
      </c>
      <c r="AB471" s="33">
        <f>ROUND(H471-R471,2)</f>
      </c>
      <c r="AC471" s="33">
        <f>ROUND(I471-S471,2)</f>
      </c>
      <c r="AD471" s="33">
        <f>ROUND(J471-T471,2)</f>
      </c>
      <c r="AE471" s="33">
        <f>ROUND(K471-U471,2)</f>
      </c>
      <c r="AF471" s="33">
        <f>IF(V471&lt;=0,0,MAX(0,MIN(V471,ROUND($AZ471-SUMPRODUCT($V471:$AE471*($V471:$AE471&gt;0)*(($V$3:$AE$3&gt;V$3)+($V$3:$AE$3=V$3)*($V471:$AE471&lt;V471)+($V$3:$AE$3=V$3)*($V471:$AE471=V471)*($V$2:$AE$2&lt;V$2))),2))))</f>
      </c>
      <c r="AG471" s="33">
        <f>IF(W471&lt;=0,0,MAX(0,MIN(W471,ROUND($AZ471-SUMPRODUCT($V471:$AE471*($V471:$AE471&gt;0)*(($V$3:$AE$3&gt;W$3)+($V$3:$AE$3=W$3)*($V471:$AE471&lt;W471)+($V$3:$AE$3=W$3)*($V471:$AE471=W471)*($V$2:$AE$2&lt;W$2))),2))))</f>
      </c>
      <c r="AH471" s="33">
        <f>IF(X471&lt;=0,0,MAX(0,MIN(X471,ROUND($AZ471-SUMPRODUCT($V471:$AE471*($V471:$AE471&gt;0)*(($V$3:$AE$3&gt;X$3)+($V$3:$AE$3=X$3)*($V471:$AE471&lt;X471)+($V$3:$AE$3=X$3)*($V471:$AE471=X471)*($V$2:$AE$2&lt;X$2))),2))))</f>
      </c>
      <c r="AI471" s="33">
        <f>IF(Y471&lt;=0,0,MAX(0,MIN(Y471,ROUND($AZ471-SUMPRODUCT($V471:$AE471*($V471:$AE471&gt;0)*(($V$3:$AE$3&gt;Y$3)+($V$3:$AE$3=Y$3)*($V471:$AE471&lt;Y471)+($V$3:$AE$3=Y$3)*($V471:$AE471=Y471)*($V$2:$AE$2&lt;Y$2))),2))))</f>
      </c>
      <c r="AJ471" s="33">
        <f>IF(Z471&lt;=0,0,MAX(0,MIN(Z471,ROUND($AZ471-SUMPRODUCT($V471:$AE471*($V471:$AE471&gt;0)*(($V$3:$AE$3&gt;Z$3)+($V$3:$AE$3=Z$3)*($V471:$AE471&lt;Z471)+($V$3:$AE$3=Z$3)*($V471:$AE471=Z471)*($V$2:$AE$2&lt;Z$2))),2))))</f>
      </c>
      <c r="AK471" s="33">
        <f>IF(AA471&lt;=0,0,MAX(0,MIN(AA471,ROUND($AZ471-SUMPRODUCT($V471:$AE471*($V471:$AE471&gt;0)*(($V$3:$AE$3&gt;AA$3)+($V$3:$AE$3=AA$3)*($V471:$AE471&lt;AA471)+($V$3:$AE$3=AA$3)*($V471:$AE471=AA471)*($V$2:$AE$2&lt;AA$2))),2))))</f>
      </c>
      <c r="AL471" s="33">
        <f>IF(AB471&lt;=0,0,MAX(0,MIN(AB471,ROUND($AZ471-SUMPRODUCT($V471:$AE471*($V471:$AE471&gt;0)*(($V$3:$AE$3&gt;AB$3)+($V$3:$AE$3=AB$3)*($V471:$AE471&lt;AB471)+($V$3:$AE$3=AB$3)*($V471:$AE471=AB471)*($V$2:$AE$2&lt;AB$2))),2))))</f>
      </c>
      <c r="AM471" s="33">
        <f>IF(AC471&lt;=0,0,MAX(0,MIN(AC471,ROUND($AZ471-SUMPRODUCT($V471:$AE471*($V471:$AE471&gt;0)*(($V$3:$AE$3&gt;AC$3)+($V$3:$AE$3=AC$3)*($V471:$AE471&lt;AC471)+($V$3:$AE$3=AC$3)*($V471:$AE471=AC471)*($V$2:$AE$2&lt;AC$2))),2))))</f>
      </c>
      <c r="AN471" s="33">
        <f>IF(AD471&lt;=0,0,MAX(0,MIN(AD471,ROUND($AZ471-SUMPRODUCT($V471:$AE471*($V471:$AE471&gt;0)*(($V$3:$AE$3&gt;AD$3)+($V$3:$AE$3=AD$3)*($V471:$AE471&lt;AD471)+($V$3:$AE$3=AD$3)*($V471:$AE471=AD471)*($V$2:$AE$2&lt;AD$2))),2))))</f>
      </c>
      <c r="AO471" s="33">
        <f>IF(AE471&lt;=0,0,MAX(0,MIN(AE471,ROUND($AZ471-SUMPRODUCT($V471:$AE471*($V471:$AE471&gt;0)*(($V$3:$AE$3&gt;AE$3)+($V$3:$AE$3=AE$3)*($V471:$AE471&lt;AE471)+($V$3:$AE$3=AE$3)*($V471:$AE471=AE471)*($V$2:$AE$2&lt;AE$2))),2))))</f>
      </c>
      <c r="AP471" s="33">
        <f>ROUND(V471-AF471,2)</f>
      </c>
      <c r="AQ471" s="33">
        <f>ROUND(W471-AG471,2)</f>
      </c>
      <c r="AR471" s="33">
        <f>ROUND(X471-AH471,2)</f>
      </c>
      <c r="AS471" s="33">
        <f>ROUND(Y471-AI471,2)</f>
      </c>
      <c r="AT471" s="33">
        <f>ROUND(Z471-AJ471,2)</f>
      </c>
      <c r="AU471" s="33">
        <f>ROUND(AA471-AK471,2)</f>
      </c>
      <c r="AV471" s="33">
        <f>ROUND(AB471-AL471,2)</f>
      </c>
      <c r="AW471" s="33">
        <f>ROUND(AC471-AM471,2)</f>
      </c>
      <c r="AX471" s="33">
        <f>ROUND(AD471-AN471,2)</f>
      </c>
      <c r="AY471" s="33">
        <f>ROUND(AE471-AO471,2)</f>
      </c>
      <c r="AZ471" s="33">
        <f>ROUND(MAX(0,'Your debts'!$D$22-SUM($L471:$U471)),2)</f>
      </c>
      <c r="BA471" s="33">
        <f>ROUND(SUM($B471:$K471)-SUM($AP470:$AY470),2)</f>
      </c>
      <c r="BB471" s="33">
        <f>SUM($AP471:$AY471)</f>
      </c>
      <c r="BC471" s="33">
        <f>ROUND(SUM($L471:$U471)+SUM($AF471:$AO471),2)</f>
      </c>
    </row>
    <row r="472" spans="1:55" x14ac:dyDescent="0.25">
      <c r="A472">
        <v>465</v>
      </c>
      <c r="B472" s="33">
        <f>IF(AP471&lt;=0,0,ROUND(AP471+ROUND(AP471*V$3/12,2),2))</f>
      </c>
      <c r="C472" s="33">
        <f>IF(AQ471&lt;=0,0,ROUND(AQ471+ROUND(AQ471*W$3/12,2),2))</f>
      </c>
      <c r="D472" s="33">
        <f>IF(AR471&lt;=0,0,ROUND(AR471+ROUND(AR471*X$3/12,2),2))</f>
      </c>
      <c r="E472" s="33">
        <f>IF(AS471&lt;=0,0,ROUND(AS471+ROUND(AS471*Y$3/12,2),2))</f>
      </c>
      <c r="F472" s="33">
        <f>IF(AT471&lt;=0,0,ROUND(AT471+ROUND(AT471*Z$3/12,2),2))</f>
      </c>
      <c r="G472" s="33">
        <f>IF(AU471&lt;=0,0,ROUND(AU471+ROUND(AU471*AA$3/12,2),2))</f>
      </c>
      <c r="H472" s="33">
        <f>IF(AV471&lt;=0,0,ROUND(AV471+ROUND(AV471*AB$3/12,2),2))</f>
      </c>
      <c r="I472" s="33">
        <f>IF(AW471&lt;=0,0,ROUND(AW471+ROUND(AW471*AC$3/12,2),2))</f>
      </c>
      <c r="J472" s="33">
        <f>IF(AX471&lt;=0,0,ROUND(AX471+ROUND(AX471*AD$3/12,2),2))</f>
      </c>
      <c r="K472" s="33">
        <f>IF(AY471&lt;=0,0,ROUND(AY471+ROUND(AY471*AE$3/12,2),2))</f>
      </c>
      <c r="L472" s="33">
        <f>ROUND(MIN(MAX(0,N('Your debts'!$E$6)),B472),2)</f>
      </c>
      <c r="M472" s="33">
        <f>ROUND(MIN(MAX(0,N('Your debts'!$E$7)),C472),2)</f>
      </c>
      <c r="N472" s="33">
        <f>ROUND(MIN(MAX(0,N('Your debts'!$E$8)),D472),2)</f>
      </c>
      <c r="O472" s="33">
        <f>ROUND(MIN(MAX(0,N('Your debts'!$E$9)),E472),2)</f>
      </c>
      <c r="P472" s="33">
        <f>ROUND(MIN(MAX(0,N('Your debts'!$E$10)),F472),2)</f>
      </c>
      <c r="Q472" s="33">
        <f>ROUND(MIN(MAX(0,N('Your debts'!$E$11)),G472),2)</f>
      </c>
      <c r="R472" s="33">
        <f>ROUND(MIN(MAX(0,N('Your debts'!$E$12)),H472),2)</f>
      </c>
      <c r="S472" s="33">
        <f>ROUND(MIN(MAX(0,N('Your debts'!$E$13)),I472),2)</f>
      </c>
      <c r="T472" s="33">
        <f>ROUND(MIN(MAX(0,N('Your debts'!$E$14)),J472),2)</f>
      </c>
      <c r="U472" s="33">
        <f>ROUND(MIN(MAX(0,N('Your debts'!$E$15)),K472),2)</f>
      </c>
      <c r="V472" s="33">
        <f>ROUND(B472-L472,2)</f>
      </c>
      <c r="W472" s="33">
        <f>ROUND(C472-M472,2)</f>
      </c>
      <c r="X472" s="33">
        <f>ROUND(D472-N472,2)</f>
      </c>
      <c r="Y472" s="33">
        <f>ROUND(E472-O472,2)</f>
      </c>
      <c r="Z472" s="33">
        <f>ROUND(F472-P472,2)</f>
      </c>
      <c r="AA472" s="33">
        <f>ROUND(G472-Q472,2)</f>
      </c>
      <c r="AB472" s="33">
        <f>ROUND(H472-R472,2)</f>
      </c>
      <c r="AC472" s="33">
        <f>ROUND(I472-S472,2)</f>
      </c>
      <c r="AD472" s="33">
        <f>ROUND(J472-T472,2)</f>
      </c>
      <c r="AE472" s="33">
        <f>ROUND(K472-U472,2)</f>
      </c>
      <c r="AF472" s="33">
        <f>IF(V472&lt;=0,0,MAX(0,MIN(V472,ROUND($AZ472-SUMPRODUCT($V472:$AE472*($V472:$AE472&gt;0)*(($V$3:$AE$3&gt;V$3)+($V$3:$AE$3=V$3)*($V472:$AE472&lt;V472)+($V$3:$AE$3=V$3)*($V472:$AE472=V472)*($V$2:$AE$2&lt;V$2))),2))))</f>
      </c>
      <c r="AG472" s="33">
        <f>IF(W472&lt;=0,0,MAX(0,MIN(W472,ROUND($AZ472-SUMPRODUCT($V472:$AE472*($V472:$AE472&gt;0)*(($V$3:$AE$3&gt;W$3)+($V$3:$AE$3=W$3)*($V472:$AE472&lt;W472)+($V$3:$AE$3=W$3)*($V472:$AE472=W472)*($V$2:$AE$2&lt;W$2))),2))))</f>
      </c>
      <c r="AH472" s="33">
        <f>IF(X472&lt;=0,0,MAX(0,MIN(X472,ROUND($AZ472-SUMPRODUCT($V472:$AE472*($V472:$AE472&gt;0)*(($V$3:$AE$3&gt;X$3)+($V$3:$AE$3=X$3)*($V472:$AE472&lt;X472)+($V$3:$AE$3=X$3)*($V472:$AE472=X472)*($V$2:$AE$2&lt;X$2))),2))))</f>
      </c>
      <c r="AI472" s="33">
        <f>IF(Y472&lt;=0,0,MAX(0,MIN(Y472,ROUND($AZ472-SUMPRODUCT($V472:$AE472*($V472:$AE472&gt;0)*(($V$3:$AE$3&gt;Y$3)+($V$3:$AE$3=Y$3)*($V472:$AE472&lt;Y472)+($V$3:$AE$3=Y$3)*($V472:$AE472=Y472)*($V$2:$AE$2&lt;Y$2))),2))))</f>
      </c>
      <c r="AJ472" s="33">
        <f>IF(Z472&lt;=0,0,MAX(0,MIN(Z472,ROUND($AZ472-SUMPRODUCT($V472:$AE472*($V472:$AE472&gt;0)*(($V$3:$AE$3&gt;Z$3)+($V$3:$AE$3=Z$3)*($V472:$AE472&lt;Z472)+($V$3:$AE$3=Z$3)*($V472:$AE472=Z472)*($V$2:$AE$2&lt;Z$2))),2))))</f>
      </c>
      <c r="AK472" s="33">
        <f>IF(AA472&lt;=0,0,MAX(0,MIN(AA472,ROUND($AZ472-SUMPRODUCT($V472:$AE472*($V472:$AE472&gt;0)*(($V$3:$AE$3&gt;AA$3)+($V$3:$AE$3=AA$3)*($V472:$AE472&lt;AA472)+($V$3:$AE$3=AA$3)*($V472:$AE472=AA472)*($V$2:$AE$2&lt;AA$2))),2))))</f>
      </c>
      <c r="AL472" s="33">
        <f>IF(AB472&lt;=0,0,MAX(0,MIN(AB472,ROUND($AZ472-SUMPRODUCT($V472:$AE472*($V472:$AE472&gt;0)*(($V$3:$AE$3&gt;AB$3)+($V$3:$AE$3=AB$3)*($V472:$AE472&lt;AB472)+($V$3:$AE$3=AB$3)*($V472:$AE472=AB472)*($V$2:$AE$2&lt;AB$2))),2))))</f>
      </c>
      <c r="AM472" s="33">
        <f>IF(AC472&lt;=0,0,MAX(0,MIN(AC472,ROUND($AZ472-SUMPRODUCT($V472:$AE472*($V472:$AE472&gt;0)*(($V$3:$AE$3&gt;AC$3)+($V$3:$AE$3=AC$3)*($V472:$AE472&lt;AC472)+($V$3:$AE$3=AC$3)*($V472:$AE472=AC472)*($V$2:$AE$2&lt;AC$2))),2))))</f>
      </c>
      <c r="AN472" s="33">
        <f>IF(AD472&lt;=0,0,MAX(0,MIN(AD472,ROUND($AZ472-SUMPRODUCT($V472:$AE472*($V472:$AE472&gt;0)*(($V$3:$AE$3&gt;AD$3)+($V$3:$AE$3=AD$3)*($V472:$AE472&lt;AD472)+($V$3:$AE$3=AD$3)*($V472:$AE472=AD472)*($V$2:$AE$2&lt;AD$2))),2))))</f>
      </c>
      <c r="AO472" s="33">
        <f>IF(AE472&lt;=0,0,MAX(0,MIN(AE472,ROUND($AZ472-SUMPRODUCT($V472:$AE472*($V472:$AE472&gt;0)*(($V$3:$AE$3&gt;AE$3)+($V$3:$AE$3=AE$3)*($V472:$AE472&lt;AE472)+($V$3:$AE$3=AE$3)*($V472:$AE472=AE472)*($V$2:$AE$2&lt;AE$2))),2))))</f>
      </c>
      <c r="AP472" s="33">
        <f>ROUND(V472-AF472,2)</f>
      </c>
      <c r="AQ472" s="33">
        <f>ROUND(W472-AG472,2)</f>
      </c>
      <c r="AR472" s="33">
        <f>ROUND(X472-AH472,2)</f>
      </c>
      <c r="AS472" s="33">
        <f>ROUND(Y472-AI472,2)</f>
      </c>
      <c r="AT472" s="33">
        <f>ROUND(Z472-AJ472,2)</f>
      </c>
      <c r="AU472" s="33">
        <f>ROUND(AA472-AK472,2)</f>
      </c>
      <c r="AV472" s="33">
        <f>ROUND(AB472-AL472,2)</f>
      </c>
      <c r="AW472" s="33">
        <f>ROUND(AC472-AM472,2)</f>
      </c>
      <c r="AX472" s="33">
        <f>ROUND(AD472-AN472,2)</f>
      </c>
      <c r="AY472" s="33">
        <f>ROUND(AE472-AO472,2)</f>
      </c>
      <c r="AZ472" s="33">
        <f>ROUND(MAX(0,'Your debts'!$D$22-SUM($L472:$U472)),2)</f>
      </c>
      <c r="BA472" s="33">
        <f>ROUND(SUM($B472:$K472)-SUM($AP471:$AY471),2)</f>
      </c>
      <c r="BB472" s="33">
        <f>SUM($AP472:$AY472)</f>
      </c>
      <c r="BC472" s="33">
        <f>ROUND(SUM($L472:$U472)+SUM($AF472:$AO472),2)</f>
      </c>
    </row>
    <row r="473" spans="1:55" x14ac:dyDescent="0.25">
      <c r="A473">
        <v>466</v>
      </c>
      <c r="B473" s="33">
        <f>IF(AP472&lt;=0,0,ROUND(AP472+ROUND(AP472*V$3/12,2),2))</f>
      </c>
      <c r="C473" s="33">
        <f>IF(AQ472&lt;=0,0,ROUND(AQ472+ROUND(AQ472*W$3/12,2),2))</f>
      </c>
      <c r="D473" s="33">
        <f>IF(AR472&lt;=0,0,ROUND(AR472+ROUND(AR472*X$3/12,2),2))</f>
      </c>
      <c r="E473" s="33">
        <f>IF(AS472&lt;=0,0,ROUND(AS472+ROUND(AS472*Y$3/12,2),2))</f>
      </c>
      <c r="F473" s="33">
        <f>IF(AT472&lt;=0,0,ROUND(AT472+ROUND(AT472*Z$3/12,2),2))</f>
      </c>
      <c r="G473" s="33">
        <f>IF(AU472&lt;=0,0,ROUND(AU472+ROUND(AU472*AA$3/12,2),2))</f>
      </c>
      <c r="H473" s="33">
        <f>IF(AV472&lt;=0,0,ROUND(AV472+ROUND(AV472*AB$3/12,2),2))</f>
      </c>
      <c r="I473" s="33">
        <f>IF(AW472&lt;=0,0,ROUND(AW472+ROUND(AW472*AC$3/12,2),2))</f>
      </c>
      <c r="J473" s="33">
        <f>IF(AX472&lt;=0,0,ROUND(AX472+ROUND(AX472*AD$3/12,2),2))</f>
      </c>
      <c r="K473" s="33">
        <f>IF(AY472&lt;=0,0,ROUND(AY472+ROUND(AY472*AE$3/12,2),2))</f>
      </c>
      <c r="L473" s="33">
        <f>ROUND(MIN(MAX(0,N('Your debts'!$E$6)),B473),2)</f>
      </c>
      <c r="M473" s="33">
        <f>ROUND(MIN(MAX(0,N('Your debts'!$E$7)),C473),2)</f>
      </c>
      <c r="N473" s="33">
        <f>ROUND(MIN(MAX(0,N('Your debts'!$E$8)),D473),2)</f>
      </c>
      <c r="O473" s="33">
        <f>ROUND(MIN(MAX(0,N('Your debts'!$E$9)),E473),2)</f>
      </c>
      <c r="P473" s="33">
        <f>ROUND(MIN(MAX(0,N('Your debts'!$E$10)),F473),2)</f>
      </c>
      <c r="Q473" s="33">
        <f>ROUND(MIN(MAX(0,N('Your debts'!$E$11)),G473),2)</f>
      </c>
      <c r="R473" s="33">
        <f>ROUND(MIN(MAX(0,N('Your debts'!$E$12)),H473),2)</f>
      </c>
      <c r="S473" s="33">
        <f>ROUND(MIN(MAX(0,N('Your debts'!$E$13)),I473),2)</f>
      </c>
      <c r="T473" s="33">
        <f>ROUND(MIN(MAX(0,N('Your debts'!$E$14)),J473),2)</f>
      </c>
      <c r="U473" s="33">
        <f>ROUND(MIN(MAX(0,N('Your debts'!$E$15)),K473),2)</f>
      </c>
      <c r="V473" s="33">
        <f>ROUND(B473-L473,2)</f>
      </c>
      <c r="W473" s="33">
        <f>ROUND(C473-M473,2)</f>
      </c>
      <c r="X473" s="33">
        <f>ROUND(D473-N473,2)</f>
      </c>
      <c r="Y473" s="33">
        <f>ROUND(E473-O473,2)</f>
      </c>
      <c r="Z473" s="33">
        <f>ROUND(F473-P473,2)</f>
      </c>
      <c r="AA473" s="33">
        <f>ROUND(G473-Q473,2)</f>
      </c>
      <c r="AB473" s="33">
        <f>ROUND(H473-R473,2)</f>
      </c>
      <c r="AC473" s="33">
        <f>ROUND(I473-S473,2)</f>
      </c>
      <c r="AD473" s="33">
        <f>ROUND(J473-T473,2)</f>
      </c>
      <c r="AE473" s="33">
        <f>ROUND(K473-U473,2)</f>
      </c>
      <c r="AF473" s="33">
        <f>IF(V473&lt;=0,0,MAX(0,MIN(V473,ROUND($AZ473-SUMPRODUCT($V473:$AE473*($V473:$AE473&gt;0)*(($V$3:$AE$3&gt;V$3)+($V$3:$AE$3=V$3)*($V473:$AE473&lt;V473)+($V$3:$AE$3=V$3)*($V473:$AE473=V473)*($V$2:$AE$2&lt;V$2))),2))))</f>
      </c>
      <c r="AG473" s="33">
        <f>IF(W473&lt;=0,0,MAX(0,MIN(W473,ROUND($AZ473-SUMPRODUCT($V473:$AE473*($V473:$AE473&gt;0)*(($V$3:$AE$3&gt;W$3)+($V$3:$AE$3=W$3)*($V473:$AE473&lt;W473)+($V$3:$AE$3=W$3)*($V473:$AE473=W473)*($V$2:$AE$2&lt;W$2))),2))))</f>
      </c>
      <c r="AH473" s="33">
        <f>IF(X473&lt;=0,0,MAX(0,MIN(X473,ROUND($AZ473-SUMPRODUCT($V473:$AE473*($V473:$AE473&gt;0)*(($V$3:$AE$3&gt;X$3)+($V$3:$AE$3=X$3)*($V473:$AE473&lt;X473)+($V$3:$AE$3=X$3)*($V473:$AE473=X473)*($V$2:$AE$2&lt;X$2))),2))))</f>
      </c>
      <c r="AI473" s="33">
        <f>IF(Y473&lt;=0,0,MAX(0,MIN(Y473,ROUND($AZ473-SUMPRODUCT($V473:$AE473*($V473:$AE473&gt;0)*(($V$3:$AE$3&gt;Y$3)+($V$3:$AE$3=Y$3)*($V473:$AE473&lt;Y473)+($V$3:$AE$3=Y$3)*($V473:$AE473=Y473)*($V$2:$AE$2&lt;Y$2))),2))))</f>
      </c>
      <c r="AJ473" s="33">
        <f>IF(Z473&lt;=0,0,MAX(0,MIN(Z473,ROUND($AZ473-SUMPRODUCT($V473:$AE473*($V473:$AE473&gt;0)*(($V$3:$AE$3&gt;Z$3)+($V$3:$AE$3=Z$3)*($V473:$AE473&lt;Z473)+($V$3:$AE$3=Z$3)*($V473:$AE473=Z473)*($V$2:$AE$2&lt;Z$2))),2))))</f>
      </c>
      <c r="AK473" s="33">
        <f>IF(AA473&lt;=0,0,MAX(0,MIN(AA473,ROUND($AZ473-SUMPRODUCT($V473:$AE473*($V473:$AE473&gt;0)*(($V$3:$AE$3&gt;AA$3)+($V$3:$AE$3=AA$3)*($V473:$AE473&lt;AA473)+($V$3:$AE$3=AA$3)*($V473:$AE473=AA473)*($V$2:$AE$2&lt;AA$2))),2))))</f>
      </c>
      <c r="AL473" s="33">
        <f>IF(AB473&lt;=0,0,MAX(0,MIN(AB473,ROUND($AZ473-SUMPRODUCT($V473:$AE473*($V473:$AE473&gt;0)*(($V$3:$AE$3&gt;AB$3)+($V$3:$AE$3=AB$3)*($V473:$AE473&lt;AB473)+($V$3:$AE$3=AB$3)*($V473:$AE473=AB473)*($V$2:$AE$2&lt;AB$2))),2))))</f>
      </c>
      <c r="AM473" s="33">
        <f>IF(AC473&lt;=0,0,MAX(0,MIN(AC473,ROUND($AZ473-SUMPRODUCT($V473:$AE473*($V473:$AE473&gt;0)*(($V$3:$AE$3&gt;AC$3)+($V$3:$AE$3=AC$3)*($V473:$AE473&lt;AC473)+($V$3:$AE$3=AC$3)*($V473:$AE473=AC473)*($V$2:$AE$2&lt;AC$2))),2))))</f>
      </c>
      <c r="AN473" s="33">
        <f>IF(AD473&lt;=0,0,MAX(0,MIN(AD473,ROUND($AZ473-SUMPRODUCT($V473:$AE473*($V473:$AE473&gt;0)*(($V$3:$AE$3&gt;AD$3)+($V$3:$AE$3=AD$3)*($V473:$AE473&lt;AD473)+($V$3:$AE$3=AD$3)*($V473:$AE473=AD473)*($V$2:$AE$2&lt;AD$2))),2))))</f>
      </c>
      <c r="AO473" s="33">
        <f>IF(AE473&lt;=0,0,MAX(0,MIN(AE473,ROUND($AZ473-SUMPRODUCT($V473:$AE473*($V473:$AE473&gt;0)*(($V$3:$AE$3&gt;AE$3)+($V$3:$AE$3=AE$3)*($V473:$AE473&lt;AE473)+($V$3:$AE$3=AE$3)*($V473:$AE473=AE473)*($V$2:$AE$2&lt;AE$2))),2))))</f>
      </c>
      <c r="AP473" s="33">
        <f>ROUND(V473-AF473,2)</f>
      </c>
      <c r="AQ473" s="33">
        <f>ROUND(W473-AG473,2)</f>
      </c>
      <c r="AR473" s="33">
        <f>ROUND(X473-AH473,2)</f>
      </c>
      <c r="AS473" s="33">
        <f>ROUND(Y473-AI473,2)</f>
      </c>
      <c r="AT473" s="33">
        <f>ROUND(Z473-AJ473,2)</f>
      </c>
      <c r="AU473" s="33">
        <f>ROUND(AA473-AK473,2)</f>
      </c>
      <c r="AV473" s="33">
        <f>ROUND(AB473-AL473,2)</f>
      </c>
      <c r="AW473" s="33">
        <f>ROUND(AC473-AM473,2)</f>
      </c>
      <c r="AX473" s="33">
        <f>ROUND(AD473-AN473,2)</f>
      </c>
      <c r="AY473" s="33">
        <f>ROUND(AE473-AO473,2)</f>
      </c>
      <c r="AZ473" s="33">
        <f>ROUND(MAX(0,'Your debts'!$D$22-SUM($L473:$U473)),2)</f>
      </c>
      <c r="BA473" s="33">
        <f>ROUND(SUM($B473:$K473)-SUM($AP472:$AY472),2)</f>
      </c>
      <c r="BB473" s="33">
        <f>SUM($AP473:$AY473)</f>
      </c>
      <c r="BC473" s="33">
        <f>ROUND(SUM($L473:$U473)+SUM($AF473:$AO473),2)</f>
      </c>
    </row>
    <row r="474" spans="1:55" x14ac:dyDescent="0.25">
      <c r="A474">
        <v>467</v>
      </c>
      <c r="B474" s="33">
        <f>IF(AP473&lt;=0,0,ROUND(AP473+ROUND(AP473*V$3/12,2),2))</f>
      </c>
      <c r="C474" s="33">
        <f>IF(AQ473&lt;=0,0,ROUND(AQ473+ROUND(AQ473*W$3/12,2),2))</f>
      </c>
      <c r="D474" s="33">
        <f>IF(AR473&lt;=0,0,ROUND(AR473+ROUND(AR473*X$3/12,2),2))</f>
      </c>
      <c r="E474" s="33">
        <f>IF(AS473&lt;=0,0,ROUND(AS473+ROUND(AS473*Y$3/12,2),2))</f>
      </c>
      <c r="F474" s="33">
        <f>IF(AT473&lt;=0,0,ROUND(AT473+ROUND(AT473*Z$3/12,2),2))</f>
      </c>
      <c r="G474" s="33">
        <f>IF(AU473&lt;=0,0,ROUND(AU473+ROUND(AU473*AA$3/12,2),2))</f>
      </c>
      <c r="H474" s="33">
        <f>IF(AV473&lt;=0,0,ROUND(AV473+ROUND(AV473*AB$3/12,2),2))</f>
      </c>
      <c r="I474" s="33">
        <f>IF(AW473&lt;=0,0,ROUND(AW473+ROUND(AW473*AC$3/12,2),2))</f>
      </c>
      <c r="J474" s="33">
        <f>IF(AX473&lt;=0,0,ROUND(AX473+ROUND(AX473*AD$3/12,2),2))</f>
      </c>
      <c r="K474" s="33">
        <f>IF(AY473&lt;=0,0,ROUND(AY473+ROUND(AY473*AE$3/12,2),2))</f>
      </c>
      <c r="L474" s="33">
        <f>ROUND(MIN(MAX(0,N('Your debts'!$E$6)),B474),2)</f>
      </c>
      <c r="M474" s="33">
        <f>ROUND(MIN(MAX(0,N('Your debts'!$E$7)),C474),2)</f>
      </c>
      <c r="N474" s="33">
        <f>ROUND(MIN(MAX(0,N('Your debts'!$E$8)),D474),2)</f>
      </c>
      <c r="O474" s="33">
        <f>ROUND(MIN(MAX(0,N('Your debts'!$E$9)),E474),2)</f>
      </c>
      <c r="P474" s="33">
        <f>ROUND(MIN(MAX(0,N('Your debts'!$E$10)),F474),2)</f>
      </c>
      <c r="Q474" s="33">
        <f>ROUND(MIN(MAX(0,N('Your debts'!$E$11)),G474),2)</f>
      </c>
      <c r="R474" s="33">
        <f>ROUND(MIN(MAX(0,N('Your debts'!$E$12)),H474),2)</f>
      </c>
      <c r="S474" s="33">
        <f>ROUND(MIN(MAX(0,N('Your debts'!$E$13)),I474),2)</f>
      </c>
      <c r="T474" s="33">
        <f>ROUND(MIN(MAX(0,N('Your debts'!$E$14)),J474),2)</f>
      </c>
      <c r="U474" s="33">
        <f>ROUND(MIN(MAX(0,N('Your debts'!$E$15)),K474),2)</f>
      </c>
      <c r="V474" s="33">
        <f>ROUND(B474-L474,2)</f>
      </c>
      <c r="W474" s="33">
        <f>ROUND(C474-M474,2)</f>
      </c>
      <c r="X474" s="33">
        <f>ROUND(D474-N474,2)</f>
      </c>
      <c r="Y474" s="33">
        <f>ROUND(E474-O474,2)</f>
      </c>
      <c r="Z474" s="33">
        <f>ROUND(F474-P474,2)</f>
      </c>
      <c r="AA474" s="33">
        <f>ROUND(G474-Q474,2)</f>
      </c>
      <c r="AB474" s="33">
        <f>ROUND(H474-R474,2)</f>
      </c>
      <c r="AC474" s="33">
        <f>ROUND(I474-S474,2)</f>
      </c>
      <c r="AD474" s="33">
        <f>ROUND(J474-T474,2)</f>
      </c>
      <c r="AE474" s="33">
        <f>ROUND(K474-U474,2)</f>
      </c>
      <c r="AF474" s="33">
        <f>IF(V474&lt;=0,0,MAX(0,MIN(V474,ROUND($AZ474-SUMPRODUCT($V474:$AE474*($V474:$AE474&gt;0)*(($V$3:$AE$3&gt;V$3)+($V$3:$AE$3=V$3)*($V474:$AE474&lt;V474)+($V$3:$AE$3=V$3)*($V474:$AE474=V474)*($V$2:$AE$2&lt;V$2))),2))))</f>
      </c>
      <c r="AG474" s="33">
        <f>IF(W474&lt;=0,0,MAX(0,MIN(W474,ROUND($AZ474-SUMPRODUCT($V474:$AE474*($V474:$AE474&gt;0)*(($V$3:$AE$3&gt;W$3)+($V$3:$AE$3=W$3)*($V474:$AE474&lt;W474)+($V$3:$AE$3=W$3)*($V474:$AE474=W474)*($V$2:$AE$2&lt;W$2))),2))))</f>
      </c>
      <c r="AH474" s="33">
        <f>IF(X474&lt;=0,0,MAX(0,MIN(X474,ROUND($AZ474-SUMPRODUCT($V474:$AE474*($V474:$AE474&gt;0)*(($V$3:$AE$3&gt;X$3)+($V$3:$AE$3=X$3)*($V474:$AE474&lt;X474)+($V$3:$AE$3=X$3)*($V474:$AE474=X474)*($V$2:$AE$2&lt;X$2))),2))))</f>
      </c>
      <c r="AI474" s="33">
        <f>IF(Y474&lt;=0,0,MAX(0,MIN(Y474,ROUND($AZ474-SUMPRODUCT($V474:$AE474*($V474:$AE474&gt;0)*(($V$3:$AE$3&gt;Y$3)+($V$3:$AE$3=Y$3)*($V474:$AE474&lt;Y474)+($V$3:$AE$3=Y$3)*($V474:$AE474=Y474)*($V$2:$AE$2&lt;Y$2))),2))))</f>
      </c>
      <c r="AJ474" s="33">
        <f>IF(Z474&lt;=0,0,MAX(0,MIN(Z474,ROUND($AZ474-SUMPRODUCT($V474:$AE474*($V474:$AE474&gt;0)*(($V$3:$AE$3&gt;Z$3)+($V$3:$AE$3=Z$3)*($V474:$AE474&lt;Z474)+($V$3:$AE$3=Z$3)*($V474:$AE474=Z474)*($V$2:$AE$2&lt;Z$2))),2))))</f>
      </c>
      <c r="AK474" s="33">
        <f>IF(AA474&lt;=0,0,MAX(0,MIN(AA474,ROUND($AZ474-SUMPRODUCT($V474:$AE474*($V474:$AE474&gt;0)*(($V$3:$AE$3&gt;AA$3)+($V$3:$AE$3=AA$3)*($V474:$AE474&lt;AA474)+($V$3:$AE$3=AA$3)*($V474:$AE474=AA474)*($V$2:$AE$2&lt;AA$2))),2))))</f>
      </c>
      <c r="AL474" s="33">
        <f>IF(AB474&lt;=0,0,MAX(0,MIN(AB474,ROUND($AZ474-SUMPRODUCT($V474:$AE474*($V474:$AE474&gt;0)*(($V$3:$AE$3&gt;AB$3)+($V$3:$AE$3=AB$3)*($V474:$AE474&lt;AB474)+($V$3:$AE$3=AB$3)*($V474:$AE474=AB474)*($V$2:$AE$2&lt;AB$2))),2))))</f>
      </c>
      <c r="AM474" s="33">
        <f>IF(AC474&lt;=0,0,MAX(0,MIN(AC474,ROUND($AZ474-SUMPRODUCT($V474:$AE474*($V474:$AE474&gt;0)*(($V$3:$AE$3&gt;AC$3)+($V$3:$AE$3=AC$3)*($V474:$AE474&lt;AC474)+($V$3:$AE$3=AC$3)*($V474:$AE474=AC474)*($V$2:$AE$2&lt;AC$2))),2))))</f>
      </c>
      <c r="AN474" s="33">
        <f>IF(AD474&lt;=0,0,MAX(0,MIN(AD474,ROUND($AZ474-SUMPRODUCT($V474:$AE474*($V474:$AE474&gt;0)*(($V$3:$AE$3&gt;AD$3)+($V$3:$AE$3=AD$3)*($V474:$AE474&lt;AD474)+($V$3:$AE$3=AD$3)*($V474:$AE474=AD474)*($V$2:$AE$2&lt;AD$2))),2))))</f>
      </c>
      <c r="AO474" s="33">
        <f>IF(AE474&lt;=0,0,MAX(0,MIN(AE474,ROUND($AZ474-SUMPRODUCT($V474:$AE474*($V474:$AE474&gt;0)*(($V$3:$AE$3&gt;AE$3)+($V$3:$AE$3=AE$3)*($V474:$AE474&lt;AE474)+($V$3:$AE$3=AE$3)*($V474:$AE474=AE474)*($V$2:$AE$2&lt;AE$2))),2))))</f>
      </c>
      <c r="AP474" s="33">
        <f>ROUND(V474-AF474,2)</f>
      </c>
      <c r="AQ474" s="33">
        <f>ROUND(W474-AG474,2)</f>
      </c>
      <c r="AR474" s="33">
        <f>ROUND(X474-AH474,2)</f>
      </c>
      <c r="AS474" s="33">
        <f>ROUND(Y474-AI474,2)</f>
      </c>
      <c r="AT474" s="33">
        <f>ROUND(Z474-AJ474,2)</f>
      </c>
      <c r="AU474" s="33">
        <f>ROUND(AA474-AK474,2)</f>
      </c>
      <c r="AV474" s="33">
        <f>ROUND(AB474-AL474,2)</f>
      </c>
      <c r="AW474" s="33">
        <f>ROUND(AC474-AM474,2)</f>
      </c>
      <c r="AX474" s="33">
        <f>ROUND(AD474-AN474,2)</f>
      </c>
      <c r="AY474" s="33">
        <f>ROUND(AE474-AO474,2)</f>
      </c>
      <c r="AZ474" s="33">
        <f>ROUND(MAX(0,'Your debts'!$D$22-SUM($L474:$U474)),2)</f>
      </c>
      <c r="BA474" s="33">
        <f>ROUND(SUM($B474:$K474)-SUM($AP473:$AY473),2)</f>
      </c>
      <c r="BB474" s="33">
        <f>SUM($AP474:$AY474)</f>
      </c>
      <c r="BC474" s="33">
        <f>ROUND(SUM($L474:$U474)+SUM($AF474:$AO474),2)</f>
      </c>
    </row>
    <row r="475" spans="1:55" x14ac:dyDescent="0.25">
      <c r="A475">
        <v>468</v>
      </c>
      <c r="B475" s="33">
        <f>IF(AP474&lt;=0,0,ROUND(AP474+ROUND(AP474*V$3/12,2),2))</f>
      </c>
      <c r="C475" s="33">
        <f>IF(AQ474&lt;=0,0,ROUND(AQ474+ROUND(AQ474*W$3/12,2),2))</f>
      </c>
      <c r="D475" s="33">
        <f>IF(AR474&lt;=0,0,ROUND(AR474+ROUND(AR474*X$3/12,2),2))</f>
      </c>
      <c r="E475" s="33">
        <f>IF(AS474&lt;=0,0,ROUND(AS474+ROUND(AS474*Y$3/12,2),2))</f>
      </c>
      <c r="F475" s="33">
        <f>IF(AT474&lt;=0,0,ROUND(AT474+ROUND(AT474*Z$3/12,2),2))</f>
      </c>
      <c r="G475" s="33">
        <f>IF(AU474&lt;=0,0,ROUND(AU474+ROUND(AU474*AA$3/12,2),2))</f>
      </c>
      <c r="H475" s="33">
        <f>IF(AV474&lt;=0,0,ROUND(AV474+ROUND(AV474*AB$3/12,2),2))</f>
      </c>
      <c r="I475" s="33">
        <f>IF(AW474&lt;=0,0,ROUND(AW474+ROUND(AW474*AC$3/12,2),2))</f>
      </c>
      <c r="J475" s="33">
        <f>IF(AX474&lt;=0,0,ROUND(AX474+ROUND(AX474*AD$3/12,2),2))</f>
      </c>
      <c r="K475" s="33">
        <f>IF(AY474&lt;=0,0,ROUND(AY474+ROUND(AY474*AE$3/12,2),2))</f>
      </c>
      <c r="L475" s="33">
        <f>ROUND(MIN(MAX(0,N('Your debts'!$E$6)),B475),2)</f>
      </c>
      <c r="M475" s="33">
        <f>ROUND(MIN(MAX(0,N('Your debts'!$E$7)),C475),2)</f>
      </c>
      <c r="N475" s="33">
        <f>ROUND(MIN(MAX(0,N('Your debts'!$E$8)),D475),2)</f>
      </c>
      <c r="O475" s="33">
        <f>ROUND(MIN(MAX(0,N('Your debts'!$E$9)),E475),2)</f>
      </c>
      <c r="P475" s="33">
        <f>ROUND(MIN(MAX(0,N('Your debts'!$E$10)),F475),2)</f>
      </c>
      <c r="Q475" s="33">
        <f>ROUND(MIN(MAX(0,N('Your debts'!$E$11)),G475),2)</f>
      </c>
      <c r="R475" s="33">
        <f>ROUND(MIN(MAX(0,N('Your debts'!$E$12)),H475),2)</f>
      </c>
      <c r="S475" s="33">
        <f>ROUND(MIN(MAX(0,N('Your debts'!$E$13)),I475),2)</f>
      </c>
      <c r="T475" s="33">
        <f>ROUND(MIN(MAX(0,N('Your debts'!$E$14)),J475),2)</f>
      </c>
      <c r="U475" s="33">
        <f>ROUND(MIN(MAX(0,N('Your debts'!$E$15)),K475),2)</f>
      </c>
      <c r="V475" s="33">
        <f>ROUND(B475-L475,2)</f>
      </c>
      <c r="W475" s="33">
        <f>ROUND(C475-M475,2)</f>
      </c>
      <c r="X475" s="33">
        <f>ROUND(D475-N475,2)</f>
      </c>
      <c r="Y475" s="33">
        <f>ROUND(E475-O475,2)</f>
      </c>
      <c r="Z475" s="33">
        <f>ROUND(F475-P475,2)</f>
      </c>
      <c r="AA475" s="33">
        <f>ROUND(G475-Q475,2)</f>
      </c>
      <c r="AB475" s="33">
        <f>ROUND(H475-R475,2)</f>
      </c>
      <c r="AC475" s="33">
        <f>ROUND(I475-S475,2)</f>
      </c>
      <c r="AD475" s="33">
        <f>ROUND(J475-T475,2)</f>
      </c>
      <c r="AE475" s="33">
        <f>ROUND(K475-U475,2)</f>
      </c>
      <c r="AF475" s="33">
        <f>IF(V475&lt;=0,0,MAX(0,MIN(V475,ROUND($AZ475-SUMPRODUCT($V475:$AE475*($V475:$AE475&gt;0)*(($V$3:$AE$3&gt;V$3)+($V$3:$AE$3=V$3)*($V475:$AE475&lt;V475)+($V$3:$AE$3=V$3)*($V475:$AE475=V475)*($V$2:$AE$2&lt;V$2))),2))))</f>
      </c>
      <c r="AG475" s="33">
        <f>IF(W475&lt;=0,0,MAX(0,MIN(W475,ROUND($AZ475-SUMPRODUCT($V475:$AE475*($V475:$AE475&gt;0)*(($V$3:$AE$3&gt;W$3)+($V$3:$AE$3=W$3)*($V475:$AE475&lt;W475)+($V$3:$AE$3=W$3)*($V475:$AE475=W475)*($V$2:$AE$2&lt;W$2))),2))))</f>
      </c>
      <c r="AH475" s="33">
        <f>IF(X475&lt;=0,0,MAX(0,MIN(X475,ROUND($AZ475-SUMPRODUCT($V475:$AE475*($V475:$AE475&gt;0)*(($V$3:$AE$3&gt;X$3)+($V$3:$AE$3=X$3)*($V475:$AE475&lt;X475)+($V$3:$AE$3=X$3)*($V475:$AE475=X475)*($V$2:$AE$2&lt;X$2))),2))))</f>
      </c>
      <c r="AI475" s="33">
        <f>IF(Y475&lt;=0,0,MAX(0,MIN(Y475,ROUND($AZ475-SUMPRODUCT($V475:$AE475*($V475:$AE475&gt;0)*(($V$3:$AE$3&gt;Y$3)+($V$3:$AE$3=Y$3)*($V475:$AE475&lt;Y475)+($V$3:$AE$3=Y$3)*($V475:$AE475=Y475)*($V$2:$AE$2&lt;Y$2))),2))))</f>
      </c>
      <c r="AJ475" s="33">
        <f>IF(Z475&lt;=0,0,MAX(0,MIN(Z475,ROUND($AZ475-SUMPRODUCT($V475:$AE475*($V475:$AE475&gt;0)*(($V$3:$AE$3&gt;Z$3)+($V$3:$AE$3=Z$3)*($V475:$AE475&lt;Z475)+($V$3:$AE$3=Z$3)*($V475:$AE475=Z475)*($V$2:$AE$2&lt;Z$2))),2))))</f>
      </c>
      <c r="AK475" s="33">
        <f>IF(AA475&lt;=0,0,MAX(0,MIN(AA475,ROUND($AZ475-SUMPRODUCT($V475:$AE475*($V475:$AE475&gt;0)*(($V$3:$AE$3&gt;AA$3)+($V$3:$AE$3=AA$3)*($V475:$AE475&lt;AA475)+($V$3:$AE$3=AA$3)*($V475:$AE475=AA475)*($V$2:$AE$2&lt;AA$2))),2))))</f>
      </c>
      <c r="AL475" s="33">
        <f>IF(AB475&lt;=0,0,MAX(0,MIN(AB475,ROUND($AZ475-SUMPRODUCT($V475:$AE475*($V475:$AE475&gt;0)*(($V$3:$AE$3&gt;AB$3)+($V$3:$AE$3=AB$3)*($V475:$AE475&lt;AB475)+($V$3:$AE$3=AB$3)*($V475:$AE475=AB475)*($V$2:$AE$2&lt;AB$2))),2))))</f>
      </c>
      <c r="AM475" s="33">
        <f>IF(AC475&lt;=0,0,MAX(0,MIN(AC475,ROUND($AZ475-SUMPRODUCT($V475:$AE475*($V475:$AE475&gt;0)*(($V$3:$AE$3&gt;AC$3)+($V$3:$AE$3=AC$3)*($V475:$AE475&lt;AC475)+($V$3:$AE$3=AC$3)*($V475:$AE475=AC475)*($V$2:$AE$2&lt;AC$2))),2))))</f>
      </c>
      <c r="AN475" s="33">
        <f>IF(AD475&lt;=0,0,MAX(0,MIN(AD475,ROUND($AZ475-SUMPRODUCT($V475:$AE475*($V475:$AE475&gt;0)*(($V$3:$AE$3&gt;AD$3)+($V$3:$AE$3=AD$3)*($V475:$AE475&lt;AD475)+($V$3:$AE$3=AD$3)*($V475:$AE475=AD475)*($V$2:$AE$2&lt;AD$2))),2))))</f>
      </c>
      <c r="AO475" s="33">
        <f>IF(AE475&lt;=0,0,MAX(0,MIN(AE475,ROUND($AZ475-SUMPRODUCT($V475:$AE475*($V475:$AE475&gt;0)*(($V$3:$AE$3&gt;AE$3)+($V$3:$AE$3=AE$3)*($V475:$AE475&lt;AE475)+($V$3:$AE$3=AE$3)*($V475:$AE475=AE475)*($V$2:$AE$2&lt;AE$2))),2))))</f>
      </c>
      <c r="AP475" s="33">
        <f>ROUND(V475-AF475,2)</f>
      </c>
      <c r="AQ475" s="33">
        <f>ROUND(W475-AG475,2)</f>
      </c>
      <c r="AR475" s="33">
        <f>ROUND(X475-AH475,2)</f>
      </c>
      <c r="AS475" s="33">
        <f>ROUND(Y475-AI475,2)</f>
      </c>
      <c r="AT475" s="33">
        <f>ROUND(Z475-AJ475,2)</f>
      </c>
      <c r="AU475" s="33">
        <f>ROUND(AA475-AK475,2)</f>
      </c>
      <c r="AV475" s="33">
        <f>ROUND(AB475-AL475,2)</f>
      </c>
      <c r="AW475" s="33">
        <f>ROUND(AC475-AM475,2)</f>
      </c>
      <c r="AX475" s="33">
        <f>ROUND(AD475-AN475,2)</f>
      </c>
      <c r="AY475" s="33">
        <f>ROUND(AE475-AO475,2)</f>
      </c>
      <c r="AZ475" s="33">
        <f>ROUND(MAX(0,'Your debts'!$D$22-SUM($L475:$U475)),2)</f>
      </c>
      <c r="BA475" s="33">
        <f>ROUND(SUM($B475:$K475)-SUM($AP474:$AY474),2)</f>
      </c>
      <c r="BB475" s="33">
        <f>SUM($AP475:$AY475)</f>
      </c>
      <c r="BC475" s="33">
        <f>ROUND(SUM($L475:$U475)+SUM($AF475:$AO475),2)</f>
      </c>
    </row>
    <row r="476" spans="1:55" x14ac:dyDescent="0.25">
      <c r="A476">
        <v>469</v>
      </c>
      <c r="B476" s="33">
        <f>IF(AP475&lt;=0,0,ROUND(AP475+ROUND(AP475*V$3/12,2),2))</f>
      </c>
      <c r="C476" s="33">
        <f>IF(AQ475&lt;=0,0,ROUND(AQ475+ROUND(AQ475*W$3/12,2),2))</f>
      </c>
      <c r="D476" s="33">
        <f>IF(AR475&lt;=0,0,ROUND(AR475+ROUND(AR475*X$3/12,2),2))</f>
      </c>
      <c r="E476" s="33">
        <f>IF(AS475&lt;=0,0,ROUND(AS475+ROUND(AS475*Y$3/12,2),2))</f>
      </c>
      <c r="F476" s="33">
        <f>IF(AT475&lt;=0,0,ROUND(AT475+ROUND(AT475*Z$3/12,2),2))</f>
      </c>
      <c r="G476" s="33">
        <f>IF(AU475&lt;=0,0,ROUND(AU475+ROUND(AU475*AA$3/12,2),2))</f>
      </c>
      <c r="H476" s="33">
        <f>IF(AV475&lt;=0,0,ROUND(AV475+ROUND(AV475*AB$3/12,2),2))</f>
      </c>
      <c r="I476" s="33">
        <f>IF(AW475&lt;=0,0,ROUND(AW475+ROUND(AW475*AC$3/12,2),2))</f>
      </c>
      <c r="J476" s="33">
        <f>IF(AX475&lt;=0,0,ROUND(AX475+ROUND(AX475*AD$3/12,2),2))</f>
      </c>
      <c r="K476" s="33">
        <f>IF(AY475&lt;=0,0,ROUND(AY475+ROUND(AY475*AE$3/12,2),2))</f>
      </c>
      <c r="L476" s="33">
        <f>ROUND(MIN(MAX(0,N('Your debts'!$E$6)),B476),2)</f>
      </c>
      <c r="M476" s="33">
        <f>ROUND(MIN(MAX(0,N('Your debts'!$E$7)),C476),2)</f>
      </c>
      <c r="N476" s="33">
        <f>ROUND(MIN(MAX(0,N('Your debts'!$E$8)),D476),2)</f>
      </c>
      <c r="O476" s="33">
        <f>ROUND(MIN(MAX(0,N('Your debts'!$E$9)),E476),2)</f>
      </c>
      <c r="P476" s="33">
        <f>ROUND(MIN(MAX(0,N('Your debts'!$E$10)),F476),2)</f>
      </c>
      <c r="Q476" s="33">
        <f>ROUND(MIN(MAX(0,N('Your debts'!$E$11)),G476),2)</f>
      </c>
      <c r="R476" s="33">
        <f>ROUND(MIN(MAX(0,N('Your debts'!$E$12)),H476),2)</f>
      </c>
      <c r="S476" s="33">
        <f>ROUND(MIN(MAX(0,N('Your debts'!$E$13)),I476),2)</f>
      </c>
      <c r="T476" s="33">
        <f>ROUND(MIN(MAX(0,N('Your debts'!$E$14)),J476),2)</f>
      </c>
      <c r="U476" s="33">
        <f>ROUND(MIN(MAX(0,N('Your debts'!$E$15)),K476),2)</f>
      </c>
      <c r="V476" s="33">
        <f>ROUND(B476-L476,2)</f>
      </c>
      <c r="W476" s="33">
        <f>ROUND(C476-M476,2)</f>
      </c>
      <c r="X476" s="33">
        <f>ROUND(D476-N476,2)</f>
      </c>
      <c r="Y476" s="33">
        <f>ROUND(E476-O476,2)</f>
      </c>
      <c r="Z476" s="33">
        <f>ROUND(F476-P476,2)</f>
      </c>
      <c r="AA476" s="33">
        <f>ROUND(G476-Q476,2)</f>
      </c>
      <c r="AB476" s="33">
        <f>ROUND(H476-R476,2)</f>
      </c>
      <c r="AC476" s="33">
        <f>ROUND(I476-S476,2)</f>
      </c>
      <c r="AD476" s="33">
        <f>ROUND(J476-T476,2)</f>
      </c>
      <c r="AE476" s="33">
        <f>ROUND(K476-U476,2)</f>
      </c>
      <c r="AF476" s="33">
        <f>IF(V476&lt;=0,0,MAX(0,MIN(V476,ROUND($AZ476-SUMPRODUCT($V476:$AE476*($V476:$AE476&gt;0)*(($V$3:$AE$3&gt;V$3)+($V$3:$AE$3=V$3)*($V476:$AE476&lt;V476)+($V$3:$AE$3=V$3)*($V476:$AE476=V476)*($V$2:$AE$2&lt;V$2))),2))))</f>
      </c>
      <c r="AG476" s="33">
        <f>IF(W476&lt;=0,0,MAX(0,MIN(W476,ROUND($AZ476-SUMPRODUCT($V476:$AE476*($V476:$AE476&gt;0)*(($V$3:$AE$3&gt;W$3)+($V$3:$AE$3=W$3)*($V476:$AE476&lt;W476)+($V$3:$AE$3=W$3)*($V476:$AE476=W476)*($V$2:$AE$2&lt;W$2))),2))))</f>
      </c>
      <c r="AH476" s="33">
        <f>IF(X476&lt;=0,0,MAX(0,MIN(X476,ROUND($AZ476-SUMPRODUCT($V476:$AE476*($V476:$AE476&gt;0)*(($V$3:$AE$3&gt;X$3)+($V$3:$AE$3=X$3)*($V476:$AE476&lt;X476)+($V$3:$AE$3=X$3)*($V476:$AE476=X476)*($V$2:$AE$2&lt;X$2))),2))))</f>
      </c>
      <c r="AI476" s="33">
        <f>IF(Y476&lt;=0,0,MAX(0,MIN(Y476,ROUND($AZ476-SUMPRODUCT($V476:$AE476*($V476:$AE476&gt;0)*(($V$3:$AE$3&gt;Y$3)+($V$3:$AE$3=Y$3)*($V476:$AE476&lt;Y476)+($V$3:$AE$3=Y$3)*($V476:$AE476=Y476)*($V$2:$AE$2&lt;Y$2))),2))))</f>
      </c>
      <c r="AJ476" s="33">
        <f>IF(Z476&lt;=0,0,MAX(0,MIN(Z476,ROUND($AZ476-SUMPRODUCT($V476:$AE476*($V476:$AE476&gt;0)*(($V$3:$AE$3&gt;Z$3)+($V$3:$AE$3=Z$3)*($V476:$AE476&lt;Z476)+($V$3:$AE$3=Z$3)*($V476:$AE476=Z476)*($V$2:$AE$2&lt;Z$2))),2))))</f>
      </c>
      <c r="AK476" s="33">
        <f>IF(AA476&lt;=0,0,MAX(0,MIN(AA476,ROUND($AZ476-SUMPRODUCT($V476:$AE476*($V476:$AE476&gt;0)*(($V$3:$AE$3&gt;AA$3)+($V$3:$AE$3=AA$3)*($V476:$AE476&lt;AA476)+($V$3:$AE$3=AA$3)*($V476:$AE476=AA476)*($V$2:$AE$2&lt;AA$2))),2))))</f>
      </c>
      <c r="AL476" s="33">
        <f>IF(AB476&lt;=0,0,MAX(0,MIN(AB476,ROUND($AZ476-SUMPRODUCT($V476:$AE476*($V476:$AE476&gt;0)*(($V$3:$AE$3&gt;AB$3)+($V$3:$AE$3=AB$3)*($V476:$AE476&lt;AB476)+($V$3:$AE$3=AB$3)*($V476:$AE476=AB476)*($V$2:$AE$2&lt;AB$2))),2))))</f>
      </c>
      <c r="AM476" s="33">
        <f>IF(AC476&lt;=0,0,MAX(0,MIN(AC476,ROUND($AZ476-SUMPRODUCT($V476:$AE476*($V476:$AE476&gt;0)*(($V$3:$AE$3&gt;AC$3)+($V$3:$AE$3=AC$3)*($V476:$AE476&lt;AC476)+($V$3:$AE$3=AC$3)*($V476:$AE476=AC476)*($V$2:$AE$2&lt;AC$2))),2))))</f>
      </c>
      <c r="AN476" s="33">
        <f>IF(AD476&lt;=0,0,MAX(0,MIN(AD476,ROUND($AZ476-SUMPRODUCT($V476:$AE476*($V476:$AE476&gt;0)*(($V$3:$AE$3&gt;AD$3)+($V$3:$AE$3=AD$3)*($V476:$AE476&lt;AD476)+($V$3:$AE$3=AD$3)*($V476:$AE476=AD476)*($V$2:$AE$2&lt;AD$2))),2))))</f>
      </c>
      <c r="AO476" s="33">
        <f>IF(AE476&lt;=0,0,MAX(0,MIN(AE476,ROUND($AZ476-SUMPRODUCT($V476:$AE476*($V476:$AE476&gt;0)*(($V$3:$AE$3&gt;AE$3)+($V$3:$AE$3=AE$3)*($V476:$AE476&lt;AE476)+($V$3:$AE$3=AE$3)*($V476:$AE476=AE476)*($V$2:$AE$2&lt;AE$2))),2))))</f>
      </c>
      <c r="AP476" s="33">
        <f>ROUND(V476-AF476,2)</f>
      </c>
      <c r="AQ476" s="33">
        <f>ROUND(W476-AG476,2)</f>
      </c>
      <c r="AR476" s="33">
        <f>ROUND(X476-AH476,2)</f>
      </c>
      <c r="AS476" s="33">
        <f>ROUND(Y476-AI476,2)</f>
      </c>
      <c r="AT476" s="33">
        <f>ROUND(Z476-AJ476,2)</f>
      </c>
      <c r="AU476" s="33">
        <f>ROUND(AA476-AK476,2)</f>
      </c>
      <c r="AV476" s="33">
        <f>ROUND(AB476-AL476,2)</f>
      </c>
      <c r="AW476" s="33">
        <f>ROUND(AC476-AM476,2)</f>
      </c>
      <c r="AX476" s="33">
        <f>ROUND(AD476-AN476,2)</f>
      </c>
      <c r="AY476" s="33">
        <f>ROUND(AE476-AO476,2)</f>
      </c>
      <c r="AZ476" s="33">
        <f>ROUND(MAX(0,'Your debts'!$D$22-SUM($L476:$U476)),2)</f>
      </c>
      <c r="BA476" s="33">
        <f>ROUND(SUM($B476:$K476)-SUM($AP475:$AY475),2)</f>
      </c>
      <c r="BB476" s="33">
        <f>SUM($AP476:$AY476)</f>
      </c>
      <c r="BC476" s="33">
        <f>ROUND(SUM($L476:$U476)+SUM($AF476:$AO476),2)</f>
      </c>
    </row>
    <row r="477" spans="1:55" x14ac:dyDescent="0.25">
      <c r="A477">
        <v>470</v>
      </c>
      <c r="B477" s="33">
        <f>IF(AP476&lt;=0,0,ROUND(AP476+ROUND(AP476*V$3/12,2),2))</f>
      </c>
      <c r="C477" s="33">
        <f>IF(AQ476&lt;=0,0,ROUND(AQ476+ROUND(AQ476*W$3/12,2),2))</f>
      </c>
      <c r="D477" s="33">
        <f>IF(AR476&lt;=0,0,ROUND(AR476+ROUND(AR476*X$3/12,2),2))</f>
      </c>
      <c r="E477" s="33">
        <f>IF(AS476&lt;=0,0,ROUND(AS476+ROUND(AS476*Y$3/12,2),2))</f>
      </c>
      <c r="F477" s="33">
        <f>IF(AT476&lt;=0,0,ROUND(AT476+ROUND(AT476*Z$3/12,2),2))</f>
      </c>
      <c r="G477" s="33">
        <f>IF(AU476&lt;=0,0,ROUND(AU476+ROUND(AU476*AA$3/12,2),2))</f>
      </c>
      <c r="H477" s="33">
        <f>IF(AV476&lt;=0,0,ROUND(AV476+ROUND(AV476*AB$3/12,2),2))</f>
      </c>
      <c r="I477" s="33">
        <f>IF(AW476&lt;=0,0,ROUND(AW476+ROUND(AW476*AC$3/12,2),2))</f>
      </c>
      <c r="J477" s="33">
        <f>IF(AX476&lt;=0,0,ROUND(AX476+ROUND(AX476*AD$3/12,2),2))</f>
      </c>
      <c r="K477" s="33">
        <f>IF(AY476&lt;=0,0,ROUND(AY476+ROUND(AY476*AE$3/12,2),2))</f>
      </c>
      <c r="L477" s="33">
        <f>ROUND(MIN(MAX(0,N('Your debts'!$E$6)),B477),2)</f>
      </c>
      <c r="M477" s="33">
        <f>ROUND(MIN(MAX(0,N('Your debts'!$E$7)),C477),2)</f>
      </c>
      <c r="N477" s="33">
        <f>ROUND(MIN(MAX(0,N('Your debts'!$E$8)),D477),2)</f>
      </c>
      <c r="O477" s="33">
        <f>ROUND(MIN(MAX(0,N('Your debts'!$E$9)),E477),2)</f>
      </c>
      <c r="P477" s="33">
        <f>ROUND(MIN(MAX(0,N('Your debts'!$E$10)),F477),2)</f>
      </c>
      <c r="Q477" s="33">
        <f>ROUND(MIN(MAX(0,N('Your debts'!$E$11)),G477),2)</f>
      </c>
      <c r="R477" s="33">
        <f>ROUND(MIN(MAX(0,N('Your debts'!$E$12)),H477),2)</f>
      </c>
      <c r="S477" s="33">
        <f>ROUND(MIN(MAX(0,N('Your debts'!$E$13)),I477),2)</f>
      </c>
      <c r="T477" s="33">
        <f>ROUND(MIN(MAX(0,N('Your debts'!$E$14)),J477),2)</f>
      </c>
      <c r="U477" s="33">
        <f>ROUND(MIN(MAX(0,N('Your debts'!$E$15)),K477),2)</f>
      </c>
      <c r="V477" s="33">
        <f>ROUND(B477-L477,2)</f>
      </c>
      <c r="W477" s="33">
        <f>ROUND(C477-M477,2)</f>
      </c>
      <c r="X477" s="33">
        <f>ROUND(D477-N477,2)</f>
      </c>
      <c r="Y477" s="33">
        <f>ROUND(E477-O477,2)</f>
      </c>
      <c r="Z477" s="33">
        <f>ROUND(F477-P477,2)</f>
      </c>
      <c r="AA477" s="33">
        <f>ROUND(G477-Q477,2)</f>
      </c>
      <c r="AB477" s="33">
        <f>ROUND(H477-R477,2)</f>
      </c>
      <c r="AC477" s="33">
        <f>ROUND(I477-S477,2)</f>
      </c>
      <c r="AD477" s="33">
        <f>ROUND(J477-T477,2)</f>
      </c>
      <c r="AE477" s="33">
        <f>ROUND(K477-U477,2)</f>
      </c>
      <c r="AF477" s="33">
        <f>IF(V477&lt;=0,0,MAX(0,MIN(V477,ROUND($AZ477-SUMPRODUCT($V477:$AE477*($V477:$AE477&gt;0)*(($V$3:$AE$3&gt;V$3)+($V$3:$AE$3=V$3)*($V477:$AE477&lt;V477)+($V$3:$AE$3=V$3)*($V477:$AE477=V477)*($V$2:$AE$2&lt;V$2))),2))))</f>
      </c>
      <c r="AG477" s="33">
        <f>IF(W477&lt;=0,0,MAX(0,MIN(W477,ROUND($AZ477-SUMPRODUCT($V477:$AE477*($V477:$AE477&gt;0)*(($V$3:$AE$3&gt;W$3)+($V$3:$AE$3=W$3)*($V477:$AE477&lt;W477)+($V$3:$AE$3=W$3)*($V477:$AE477=W477)*($V$2:$AE$2&lt;W$2))),2))))</f>
      </c>
      <c r="AH477" s="33">
        <f>IF(X477&lt;=0,0,MAX(0,MIN(X477,ROUND($AZ477-SUMPRODUCT($V477:$AE477*($V477:$AE477&gt;0)*(($V$3:$AE$3&gt;X$3)+($V$3:$AE$3=X$3)*($V477:$AE477&lt;X477)+($V$3:$AE$3=X$3)*($V477:$AE477=X477)*($V$2:$AE$2&lt;X$2))),2))))</f>
      </c>
      <c r="AI477" s="33">
        <f>IF(Y477&lt;=0,0,MAX(0,MIN(Y477,ROUND($AZ477-SUMPRODUCT($V477:$AE477*($V477:$AE477&gt;0)*(($V$3:$AE$3&gt;Y$3)+($V$3:$AE$3=Y$3)*($V477:$AE477&lt;Y477)+($V$3:$AE$3=Y$3)*($V477:$AE477=Y477)*($V$2:$AE$2&lt;Y$2))),2))))</f>
      </c>
      <c r="AJ477" s="33">
        <f>IF(Z477&lt;=0,0,MAX(0,MIN(Z477,ROUND($AZ477-SUMPRODUCT($V477:$AE477*($V477:$AE477&gt;0)*(($V$3:$AE$3&gt;Z$3)+($V$3:$AE$3=Z$3)*($V477:$AE477&lt;Z477)+($V$3:$AE$3=Z$3)*($V477:$AE477=Z477)*($V$2:$AE$2&lt;Z$2))),2))))</f>
      </c>
      <c r="AK477" s="33">
        <f>IF(AA477&lt;=0,0,MAX(0,MIN(AA477,ROUND($AZ477-SUMPRODUCT($V477:$AE477*($V477:$AE477&gt;0)*(($V$3:$AE$3&gt;AA$3)+($V$3:$AE$3=AA$3)*($V477:$AE477&lt;AA477)+($V$3:$AE$3=AA$3)*($V477:$AE477=AA477)*($V$2:$AE$2&lt;AA$2))),2))))</f>
      </c>
      <c r="AL477" s="33">
        <f>IF(AB477&lt;=0,0,MAX(0,MIN(AB477,ROUND($AZ477-SUMPRODUCT($V477:$AE477*($V477:$AE477&gt;0)*(($V$3:$AE$3&gt;AB$3)+($V$3:$AE$3=AB$3)*($V477:$AE477&lt;AB477)+($V$3:$AE$3=AB$3)*($V477:$AE477=AB477)*($V$2:$AE$2&lt;AB$2))),2))))</f>
      </c>
      <c r="AM477" s="33">
        <f>IF(AC477&lt;=0,0,MAX(0,MIN(AC477,ROUND($AZ477-SUMPRODUCT($V477:$AE477*($V477:$AE477&gt;0)*(($V$3:$AE$3&gt;AC$3)+($V$3:$AE$3=AC$3)*($V477:$AE477&lt;AC477)+($V$3:$AE$3=AC$3)*($V477:$AE477=AC477)*($V$2:$AE$2&lt;AC$2))),2))))</f>
      </c>
      <c r="AN477" s="33">
        <f>IF(AD477&lt;=0,0,MAX(0,MIN(AD477,ROUND($AZ477-SUMPRODUCT($V477:$AE477*($V477:$AE477&gt;0)*(($V$3:$AE$3&gt;AD$3)+($V$3:$AE$3=AD$3)*($V477:$AE477&lt;AD477)+($V$3:$AE$3=AD$3)*($V477:$AE477=AD477)*($V$2:$AE$2&lt;AD$2))),2))))</f>
      </c>
      <c r="AO477" s="33">
        <f>IF(AE477&lt;=0,0,MAX(0,MIN(AE477,ROUND($AZ477-SUMPRODUCT($V477:$AE477*($V477:$AE477&gt;0)*(($V$3:$AE$3&gt;AE$3)+($V$3:$AE$3=AE$3)*($V477:$AE477&lt;AE477)+($V$3:$AE$3=AE$3)*($V477:$AE477=AE477)*($V$2:$AE$2&lt;AE$2))),2))))</f>
      </c>
      <c r="AP477" s="33">
        <f>ROUND(V477-AF477,2)</f>
      </c>
      <c r="AQ477" s="33">
        <f>ROUND(W477-AG477,2)</f>
      </c>
      <c r="AR477" s="33">
        <f>ROUND(X477-AH477,2)</f>
      </c>
      <c r="AS477" s="33">
        <f>ROUND(Y477-AI477,2)</f>
      </c>
      <c r="AT477" s="33">
        <f>ROUND(Z477-AJ477,2)</f>
      </c>
      <c r="AU477" s="33">
        <f>ROUND(AA477-AK477,2)</f>
      </c>
      <c r="AV477" s="33">
        <f>ROUND(AB477-AL477,2)</f>
      </c>
      <c r="AW477" s="33">
        <f>ROUND(AC477-AM477,2)</f>
      </c>
      <c r="AX477" s="33">
        <f>ROUND(AD477-AN477,2)</f>
      </c>
      <c r="AY477" s="33">
        <f>ROUND(AE477-AO477,2)</f>
      </c>
      <c r="AZ477" s="33">
        <f>ROUND(MAX(0,'Your debts'!$D$22-SUM($L477:$U477)),2)</f>
      </c>
      <c r="BA477" s="33">
        <f>ROUND(SUM($B477:$K477)-SUM($AP476:$AY476),2)</f>
      </c>
      <c r="BB477" s="33">
        <f>SUM($AP477:$AY477)</f>
      </c>
      <c r="BC477" s="33">
        <f>ROUND(SUM($L477:$U477)+SUM($AF477:$AO477),2)</f>
      </c>
    </row>
    <row r="478" spans="1:55" x14ac:dyDescent="0.25">
      <c r="A478">
        <v>471</v>
      </c>
      <c r="B478" s="33">
        <f>IF(AP477&lt;=0,0,ROUND(AP477+ROUND(AP477*V$3/12,2),2))</f>
      </c>
      <c r="C478" s="33">
        <f>IF(AQ477&lt;=0,0,ROUND(AQ477+ROUND(AQ477*W$3/12,2),2))</f>
      </c>
      <c r="D478" s="33">
        <f>IF(AR477&lt;=0,0,ROUND(AR477+ROUND(AR477*X$3/12,2),2))</f>
      </c>
      <c r="E478" s="33">
        <f>IF(AS477&lt;=0,0,ROUND(AS477+ROUND(AS477*Y$3/12,2),2))</f>
      </c>
      <c r="F478" s="33">
        <f>IF(AT477&lt;=0,0,ROUND(AT477+ROUND(AT477*Z$3/12,2),2))</f>
      </c>
      <c r="G478" s="33">
        <f>IF(AU477&lt;=0,0,ROUND(AU477+ROUND(AU477*AA$3/12,2),2))</f>
      </c>
      <c r="H478" s="33">
        <f>IF(AV477&lt;=0,0,ROUND(AV477+ROUND(AV477*AB$3/12,2),2))</f>
      </c>
      <c r="I478" s="33">
        <f>IF(AW477&lt;=0,0,ROUND(AW477+ROUND(AW477*AC$3/12,2),2))</f>
      </c>
      <c r="J478" s="33">
        <f>IF(AX477&lt;=0,0,ROUND(AX477+ROUND(AX477*AD$3/12,2),2))</f>
      </c>
      <c r="K478" s="33">
        <f>IF(AY477&lt;=0,0,ROUND(AY477+ROUND(AY477*AE$3/12,2),2))</f>
      </c>
      <c r="L478" s="33">
        <f>ROUND(MIN(MAX(0,N('Your debts'!$E$6)),B478),2)</f>
      </c>
      <c r="M478" s="33">
        <f>ROUND(MIN(MAX(0,N('Your debts'!$E$7)),C478),2)</f>
      </c>
      <c r="N478" s="33">
        <f>ROUND(MIN(MAX(0,N('Your debts'!$E$8)),D478),2)</f>
      </c>
      <c r="O478" s="33">
        <f>ROUND(MIN(MAX(0,N('Your debts'!$E$9)),E478),2)</f>
      </c>
      <c r="P478" s="33">
        <f>ROUND(MIN(MAX(0,N('Your debts'!$E$10)),F478),2)</f>
      </c>
      <c r="Q478" s="33">
        <f>ROUND(MIN(MAX(0,N('Your debts'!$E$11)),G478),2)</f>
      </c>
      <c r="R478" s="33">
        <f>ROUND(MIN(MAX(0,N('Your debts'!$E$12)),H478),2)</f>
      </c>
      <c r="S478" s="33">
        <f>ROUND(MIN(MAX(0,N('Your debts'!$E$13)),I478),2)</f>
      </c>
      <c r="T478" s="33">
        <f>ROUND(MIN(MAX(0,N('Your debts'!$E$14)),J478),2)</f>
      </c>
      <c r="U478" s="33">
        <f>ROUND(MIN(MAX(0,N('Your debts'!$E$15)),K478),2)</f>
      </c>
      <c r="V478" s="33">
        <f>ROUND(B478-L478,2)</f>
      </c>
      <c r="W478" s="33">
        <f>ROUND(C478-M478,2)</f>
      </c>
      <c r="X478" s="33">
        <f>ROUND(D478-N478,2)</f>
      </c>
      <c r="Y478" s="33">
        <f>ROUND(E478-O478,2)</f>
      </c>
      <c r="Z478" s="33">
        <f>ROUND(F478-P478,2)</f>
      </c>
      <c r="AA478" s="33">
        <f>ROUND(G478-Q478,2)</f>
      </c>
      <c r="AB478" s="33">
        <f>ROUND(H478-R478,2)</f>
      </c>
      <c r="AC478" s="33">
        <f>ROUND(I478-S478,2)</f>
      </c>
      <c r="AD478" s="33">
        <f>ROUND(J478-T478,2)</f>
      </c>
      <c r="AE478" s="33">
        <f>ROUND(K478-U478,2)</f>
      </c>
      <c r="AF478" s="33">
        <f>IF(V478&lt;=0,0,MAX(0,MIN(V478,ROUND($AZ478-SUMPRODUCT($V478:$AE478*($V478:$AE478&gt;0)*(($V$3:$AE$3&gt;V$3)+($V$3:$AE$3=V$3)*($V478:$AE478&lt;V478)+($V$3:$AE$3=V$3)*($V478:$AE478=V478)*($V$2:$AE$2&lt;V$2))),2))))</f>
      </c>
      <c r="AG478" s="33">
        <f>IF(W478&lt;=0,0,MAX(0,MIN(W478,ROUND($AZ478-SUMPRODUCT($V478:$AE478*($V478:$AE478&gt;0)*(($V$3:$AE$3&gt;W$3)+($V$3:$AE$3=W$3)*($V478:$AE478&lt;W478)+($V$3:$AE$3=W$3)*($V478:$AE478=W478)*($V$2:$AE$2&lt;W$2))),2))))</f>
      </c>
      <c r="AH478" s="33">
        <f>IF(X478&lt;=0,0,MAX(0,MIN(X478,ROUND($AZ478-SUMPRODUCT($V478:$AE478*($V478:$AE478&gt;0)*(($V$3:$AE$3&gt;X$3)+($V$3:$AE$3=X$3)*($V478:$AE478&lt;X478)+($V$3:$AE$3=X$3)*($V478:$AE478=X478)*($V$2:$AE$2&lt;X$2))),2))))</f>
      </c>
      <c r="AI478" s="33">
        <f>IF(Y478&lt;=0,0,MAX(0,MIN(Y478,ROUND($AZ478-SUMPRODUCT($V478:$AE478*($V478:$AE478&gt;0)*(($V$3:$AE$3&gt;Y$3)+($V$3:$AE$3=Y$3)*($V478:$AE478&lt;Y478)+($V$3:$AE$3=Y$3)*($V478:$AE478=Y478)*($V$2:$AE$2&lt;Y$2))),2))))</f>
      </c>
      <c r="AJ478" s="33">
        <f>IF(Z478&lt;=0,0,MAX(0,MIN(Z478,ROUND($AZ478-SUMPRODUCT($V478:$AE478*($V478:$AE478&gt;0)*(($V$3:$AE$3&gt;Z$3)+($V$3:$AE$3=Z$3)*($V478:$AE478&lt;Z478)+($V$3:$AE$3=Z$3)*($V478:$AE478=Z478)*($V$2:$AE$2&lt;Z$2))),2))))</f>
      </c>
      <c r="AK478" s="33">
        <f>IF(AA478&lt;=0,0,MAX(0,MIN(AA478,ROUND($AZ478-SUMPRODUCT($V478:$AE478*($V478:$AE478&gt;0)*(($V$3:$AE$3&gt;AA$3)+($V$3:$AE$3=AA$3)*($V478:$AE478&lt;AA478)+($V$3:$AE$3=AA$3)*($V478:$AE478=AA478)*($V$2:$AE$2&lt;AA$2))),2))))</f>
      </c>
      <c r="AL478" s="33">
        <f>IF(AB478&lt;=0,0,MAX(0,MIN(AB478,ROUND($AZ478-SUMPRODUCT($V478:$AE478*($V478:$AE478&gt;0)*(($V$3:$AE$3&gt;AB$3)+($V$3:$AE$3=AB$3)*($V478:$AE478&lt;AB478)+($V$3:$AE$3=AB$3)*($V478:$AE478=AB478)*($V$2:$AE$2&lt;AB$2))),2))))</f>
      </c>
      <c r="AM478" s="33">
        <f>IF(AC478&lt;=0,0,MAX(0,MIN(AC478,ROUND($AZ478-SUMPRODUCT($V478:$AE478*($V478:$AE478&gt;0)*(($V$3:$AE$3&gt;AC$3)+($V$3:$AE$3=AC$3)*($V478:$AE478&lt;AC478)+($V$3:$AE$3=AC$3)*($V478:$AE478=AC478)*($V$2:$AE$2&lt;AC$2))),2))))</f>
      </c>
      <c r="AN478" s="33">
        <f>IF(AD478&lt;=0,0,MAX(0,MIN(AD478,ROUND($AZ478-SUMPRODUCT($V478:$AE478*($V478:$AE478&gt;0)*(($V$3:$AE$3&gt;AD$3)+($V$3:$AE$3=AD$3)*($V478:$AE478&lt;AD478)+($V$3:$AE$3=AD$3)*($V478:$AE478=AD478)*($V$2:$AE$2&lt;AD$2))),2))))</f>
      </c>
      <c r="AO478" s="33">
        <f>IF(AE478&lt;=0,0,MAX(0,MIN(AE478,ROUND($AZ478-SUMPRODUCT($V478:$AE478*($V478:$AE478&gt;0)*(($V$3:$AE$3&gt;AE$3)+($V$3:$AE$3=AE$3)*($V478:$AE478&lt;AE478)+($V$3:$AE$3=AE$3)*($V478:$AE478=AE478)*($V$2:$AE$2&lt;AE$2))),2))))</f>
      </c>
      <c r="AP478" s="33">
        <f>ROUND(V478-AF478,2)</f>
      </c>
      <c r="AQ478" s="33">
        <f>ROUND(W478-AG478,2)</f>
      </c>
      <c r="AR478" s="33">
        <f>ROUND(X478-AH478,2)</f>
      </c>
      <c r="AS478" s="33">
        <f>ROUND(Y478-AI478,2)</f>
      </c>
      <c r="AT478" s="33">
        <f>ROUND(Z478-AJ478,2)</f>
      </c>
      <c r="AU478" s="33">
        <f>ROUND(AA478-AK478,2)</f>
      </c>
      <c r="AV478" s="33">
        <f>ROUND(AB478-AL478,2)</f>
      </c>
      <c r="AW478" s="33">
        <f>ROUND(AC478-AM478,2)</f>
      </c>
      <c r="AX478" s="33">
        <f>ROUND(AD478-AN478,2)</f>
      </c>
      <c r="AY478" s="33">
        <f>ROUND(AE478-AO478,2)</f>
      </c>
      <c r="AZ478" s="33">
        <f>ROUND(MAX(0,'Your debts'!$D$22-SUM($L478:$U478)),2)</f>
      </c>
      <c r="BA478" s="33">
        <f>ROUND(SUM($B478:$K478)-SUM($AP477:$AY477),2)</f>
      </c>
      <c r="BB478" s="33">
        <f>SUM($AP478:$AY478)</f>
      </c>
      <c r="BC478" s="33">
        <f>ROUND(SUM($L478:$U478)+SUM($AF478:$AO478),2)</f>
      </c>
    </row>
    <row r="479" spans="1:55" x14ac:dyDescent="0.25">
      <c r="A479">
        <v>472</v>
      </c>
      <c r="B479" s="33">
        <f>IF(AP478&lt;=0,0,ROUND(AP478+ROUND(AP478*V$3/12,2),2))</f>
      </c>
      <c r="C479" s="33">
        <f>IF(AQ478&lt;=0,0,ROUND(AQ478+ROUND(AQ478*W$3/12,2),2))</f>
      </c>
      <c r="D479" s="33">
        <f>IF(AR478&lt;=0,0,ROUND(AR478+ROUND(AR478*X$3/12,2),2))</f>
      </c>
      <c r="E479" s="33">
        <f>IF(AS478&lt;=0,0,ROUND(AS478+ROUND(AS478*Y$3/12,2),2))</f>
      </c>
      <c r="F479" s="33">
        <f>IF(AT478&lt;=0,0,ROUND(AT478+ROUND(AT478*Z$3/12,2),2))</f>
      </c>
      <c r="G479" s="33">
        <f>IF(AU478&lt;=0,0,ROUND(AU478+ROUND(AU478*AA$3/12,2),2))</f>
      </c>
      <c r="H479" s="33">
        <f>IF(AV478&lt;=0,0,ROUND(AV478+ROUND(AV478*AB$3/12,2),2))</f>
      </c>
      <c r="I479" s="33">
        <f>IF(AW478&lt;=0,0,ROUND(AW478+ROUND(AW478*AC$3/12,2),2))</f>
      </c>
      <c r="J479" s="33">
        <f>IF(AX478&lt;=0,0,ROUND(AX478+ROUND(AX478*AD$3/12,2),2))</f>
      </c>
      <c r="K479" s="33">
        <f>IF(AY478&lt;=0,0,ROUND(AY478+ROUND(AY478*AE$3/12,2),2))</f>
      </c>
      <c r="L479" s="33">
        <f>ROUND(MIN(MAX(0,N('Your debts'!$E$6)),B479),2)</f>
      </c>
      <c r="M479" s="33">
        <f>ROUND(MIN(MAX(0,N('Your debts'!$E$7)),C479),2)</f>
      </c>
      <c r="N479" s="33">
        <f>ROUND(MIN(MAX(0,N('Your debts'!$E$8)),D479),2)</f>
      </c>
      <c r="O479" s="33">
        <f>ROUND(MIN(MAX(0,N('Your debts'!$E$9)),E479),2)</f>
      </c>
      <c r="P479" s="33">
        <f>ROUND(MIN(MAX(0,N('Your debts'!$E$10)),F479),2)</f>
      </c>
      <c r="Q479" s="33">
        <f>ROUND(MIN(MAX(0,N('Your debts'!$E$11)),G479),2)</f>
      </c>
      <c r="R479" s="33">
        <f>ROUND(MIN(MAX(0,N('Your debts'!$E$12)),H479),2)</f>
      </c>
      <c r="S479" s="33">
        <f>ROUND(MIN(MAX(0,N('Your debts'!$E$13)),I479),2)</f>
      </c>
      <c r="T479" s="33">
        <f>ROUND(MIN(MAX(0,N('Your debts'!$E$14)),J479),2)</f>
      </c>
      <c r="U479" s="33">
        <f>ROUND(MIN(MAX(0,N('Your debts'!$E$15)),K479),2)</f>
      </c>
      <c r="V479" s="33">
        <f>ROUND(B479-L479,2)</f>
      </c>
      <c r="W479" s="33">
        <f>ROUND(C479-M479,2)</f>
      </c>
      <c r="X479" s="33">
        <f>ROUND(D479-N479,2)</f>
      </c>
      <c r="Y479" s="33">
        <f>ROUND(E479-O479,2)</f>
      </c>
      <c r="Z479" s="33">
        <f>ROUND(F479-P479,2)</f>
      </c>
      <c r="AA479" s="33">
        <f>ROUND(G479-Q479,2)</f>
      </c>
      <c r="AB479" s="33">
        <f>ROUND(H479-R479,2)</f>
      </c>
      <c r="AC479" s="33">
        <f>ROUND(I479-S479,2)</f>
      </c>
      <c r="AD479" s="33">
        <f>ROUND(J479-T479,2)</f>
      </c>
      <c r="AE479" s="33">
        <f>ROUND(K479-U479,2)</f>
      </c>
      <c r="AF479" s="33">
        <f>IF(V479&lt;=0,0,MAX(0,MIN(V479,ROUND($AZ479-SUMPRODUCT($V479:$AE479*($V479:$AE479&gt;0)*(($V$3:$AE$3&gt;V$3)+($V$3:$AE$3=V$3)*($V479:$AE479&lt;V479)+($V$3:$AE$3=V$3)*($V479:$AE479=V479)*($V$2:$AE$2&lt;V$2))),2))))</f>
      </c>
      <c r="AG479" s="33">
        <f>IF(W479&lt;=0,0,MAX(0,MIN(W479,ROUND($AZ479-SUMPRODUCT($V479:$AE479*($V479:$AE479&gt;0)*(($V$3:$AE$3&gt;W$3)+($V$3:$AE$3=W$3)*($V479:$AE479&lt;W479)+($V$3:$AE$3=W$3)*($V479:$AE479=W479)*($V$2:$AE$2&lt;W$2))),2))))</f>
      </c>
      <c r="AH479" s="33">
        <f>IF(X479&lt;=0,0,MAX(0,MIN(X479,ROUND($AZ479-SUMPRODUCT($V479:$AE479*($V479:$AE479&gt;0)*(($V$3:$AE$3&gt;X$3)+($V$3:$AE$3=X$3)*($V479:$AE479&lt;X479)+($V$3:$AE$3=X$3)*($V479:$AE479=X479)*($V$2:$AE$2&lt;X$2))),2))))</f>
      </c>
      <c r="AI479" s="33">
        <f>IF(Y479&lt;=0,0,MAX(0,MIN(Y479,ROUND($AZ479-SUMPRODUCT($V479:$AE479*($V479:$AE479&gt;0)*(($V$3:$AE$3&gt;Y$3)+($V$3:$AE$3=Y$3)*($V479:$AE479&lt;Y479)+($V$3:$AE$3=Y$3)*($V479:$AE479=Y479)*($V$2:$AE$2&lt;Y$2))),2))))</f>
      </c>
      <c r="AJ479" s="33">
        <f>IF(Z479&lt;=0,0,MAX(0,MIN(Z479,ROUND($AZ479-SUMPRODUCT($V479:$AE479*($V479:$AE479&gt;0)*(($V$3:$AE$3&gt;Z$3)+($V$3:$AE$3=Z$3)*($V479:$AE479&lt;Z479)+($V$3:$AE$3=Z$3)*($V479:$AE479=Z479)*($V$2:$AE$2&lt;Z$2))),2))))</f>
      </c>
      <c r="AK479" s="33">
        <f>IF(AA479&lt;=0,0,MAX(0,MIN(AA479,ROUND($AZ479-SUMPRODUCT($V479:$AE479*($V479:$AE479&gt;0)*(($V$3:$AE$3&gt;AA$3)+($V$3:$AE$3=AA$3)*($V479:$AE479&lt;AA479)+($V$3:$AE$3=AA$3)*($V479:$AE479=AA479)*($V$2:$AE$2&lt;AA$2))),2))))</f>
      </c>
      <c r="AL479" s="33">
        <f>IF(AB479&lt;=0,0,MAX(0,MIN(AB479,ROUND($AZ479-SUMPRODUCT($V479:$AE479*($V479:$AE479&gt;0)*(($V$3:$AE$3&gt;AB$3)+($V$3:$AE$3=AB$3)*($V479:$AE479&lt;AB479)+($V$3:$AE$3=AB$3)*($V479:$AE479=AB479)*($V$2:$AE$2&lt;AB$2))),2))))</f>
      </c>
      <c r="AM479" s="33">
        <f>IF(AC479&lt;=0,0,MAX(0,MIN(AC479,ROUND($AZ479-SUMPRODUCT($V479:$AE479*($V479:$AE479&gt;0)*(($V$3:$AE$3&gt;AC$3)+($V$3:$AE$3=AC$3)*($V479:$AE479&lt;AC479)+($V$3:$AE$3=AC$3)*($V479:$AE479=AC479)*($V$2:$AE$2&lt;AC$2))),2))))</f>
      </c>
      <c r="AN479" s="33">
        <f>IF(AD479&lt;=0,0,MAX(0,MIN(AD479,ROUND($AZ479-SUMPRODUCT($V479:$AE479*($V479:$AE479&gt;0)*(($V$3:$AE$3&gt;AD$3)+($V$3:$AE$3=AD$3)*($V479:$AE479&lt;AD479)+($V$3:$AE$3=AD$3)*($V479:$AE479=AD479)*($V$2:$AE$2&lt;AD$2))),2))))</f>
      </c>
      <c r="AO479" s="33">
        <f>IF(AE479&lt;=0,0,MAX(0,MIN(AE479,ROUND($AZ479-SUMPRODUCT($V479:$AE479*($V479:$AE479&gt;0)*(($V$3:$AE$3&gt;AE$3)+($V$3:$AE$3=AE$3)*($V479:$AE479&lt;AE479)+($V$3:$AE$3=AE$3)*($V479:$AE479=AE479)*($V$2:$AE$2&lt;AE$2))),2))))</f>
      </c>
      <c r="AP479" s="33">
        <f>ROUND(V479-AF479,2)</f>
      </c>
      <c r="AQ479" s="33">
        <f>ROUND(W479-AG479,2)</f>
      </c>
      <c r="AR479" s="33">
        <f>ROUND(X479-AH479,2)</f>
      </c>
      <c r="AS479" s="33">
        <f>ROUND(Y479-AI479,2)</f>
      </c>
      <c r="AT479" s="33">
        <f>ROUND(Z479-AJ479,2)</f>
      </c>
      <c r="AU479" s="33">
        <f>ROUND(AA479-AK479,2)</f>
      </c>
      <c r="AV479" s="33">
        <f>ROUND(AB479-AL479,2)</f>
      </c>
      <c r="AW479" s="33">
        <f>ROUND(AC479-AM479,2)</f>
      </c>
      <c r="AX479" s="33">
        <f>ROUND(AD479-AN479,2)</f>
      </c>
      <c r="AY479" s="33">
        <f>ROUND(AE479-AO479,2)</f>
      </c>
      <c r="AZ479" s="33">
        <f>ROUND(MAX(0,'Your debts'!$D$22-SUM($L479:$U479)),2)</f>
      </c>
      <c r="BA479" s="33">
        <f>ROUND(SUM($B479:$K479)-SUM($AP478:$AY478),2)</f>
      </c>
      <c r="BB479" s="33">
        <f>SUM($AP479:$AY479)</f>
      </c>
      <c r="BC479" s="33">
        <f>ROUND(SUM($L479:$U479)+SUM($AF479:$AO479),2)</f>
      </c>
    </row>
    <row r="480" spans="1:55" x14ac:dyDescent="0.25">
      <c r="A480">
        <v>473</v>
      </c>
      <c r="B480" s="33">
        <f>IF(AP479&lt;=0,0,ROUND(AP479+ROUND(AP479*V$3/12,2),2))</f>
      </c>
      <c r="C480" s="33">
        <f>IF(AQ479&lt;=0,0,ROUND(AQ479+ROUND(AQ479*W$3/12,2),2))</f>
      </c>
      <c r="D480" s="33">
        <f>IF(AR479&lt;=0,0,ROUND(AR479+ROUND(AR479*X$3/12,2),2))</f>
      </c>
      <c r="E480" s="33">
        <f>IF(AS479&lt;=0,0,ROUND(AS479+ROUND(AS479*Y$3/12,2),2))</f>
      </c>
      <c r="F480" s="33">
        <f>IF(AT479&lt;=0,0,ROUND(AT479+ROUND(AT479*Z$3/12,2),2))</f>
      </c>
      <c r="G480" s="33">
        <f>IF(AU479&lt;=0,0,ROUND(AU479+ROUND(AU479*AA$3/12,2),2))</f>
      </c>
      <c r="H480" s="33">
        <f>IF(AV479&lt;=0,0,ROUND(AV479+ROUND(AV479*AB$3/12,2),2))</f>
      </c>
      <c r="I480" s="33">
        <f>IF(AW479&lt;=0,0,ROUND(AW479+ROUND(AW479*AC$3/12,2),2))</f>
      </c>
      <c r="J480" s="33">
        <f>IF(AX479&lt;=0,0,ROUND(AX479+ROUND(AX479*AD$3/12,2),2))</f>
      </c>
      <c r="K480" s="33">
        <f>IF(AY479&lt;=0,0,ROUND(AY479+ROUND(AY479*AE$3/12,2),2))</f>
      </c>
      <c r="L480" s="33">
        <f>ROUND(MIN(MAX(0,N('Your debts'!$E$6)),B480),2)</f>
      </c>
      <c r="M480" s="33">
        <f>ROUND(MIN(MAX(0,N('Your debts'!$E$7)),C480),2)</f>
      </c>
      <c r="N480" s="33">
        <f>ROUND(MIN(MAX(0,N('Your debts'!$E$8)),D480),2)</f>
      </c>
      <c r="O480" s="33">
        <f>ROUND(MIN(MAX(0,N('Your debts'!$E$9)),E480),2)</f>
      </c>
      <c r="P480" s="33">
        <f>ROUND(MIN(MAX(0,N('Your debts'!$E$10)),F480),2)</f>
      </c>
      <c r="Q480" s="33">
        <f>ROUND(MIN(MAX(0,N('Your debts'!$E$11)),G480),2)</f>
      </c>
      <c r="R480" s="33">
        <f>ROUND(MIN(MAX(0,N('Your debts'!$E$12)),H480),2)</f>
      </c>
      <c r="S480" s="33">
        <f>ROUND(MIN(MAX(0,N('Your debts'!$E$13)),I480),2)</f>
      </c>
      <c r="T480" s="33">
        <f>ROUND(MIN(MAX(0,N('Your debts'!$E$14)),J480),2)</f>
      </c>
      <c r="U480" s="33">
        <f>ROUND(MIN(MAX(0,N('Your debts'!$E$15)),K480),2)</f>
      </c>
      <c r="V480" s="33">
        <f>ROUND(B480-L480,2)</f>
      </c>
      <c r="W480" s="33">
        <f>ROUND(C480-M480,2)</f>
      </c>
      <c r="X480" s="33">
        <f>ROUND(D480-N480,2)</f>
      </c>
      <c r="Y480" s="33">
        <f>ROUND(E480-O480,2)</f>
      </c>
      <c r="Z480" s="33">
        <f>ROUND(F480-P480,2)</f>
      </c>
      <c r="AA480" s="33">
        <f>ROUND(G480-Q480,2)</f>
      </c>
      <c r="AB480" s="33">
        <f>ROUND(H480-R480,2)</f>
      </c>
      <c r="AC480" s="33">
        <f>ROUND(I480-S480,2)</f>
      </c>
      <c r="AD480" s="33">
        <f>ROUND(J480-T480,2)</f>
      </c>
      <c r="AE480" s="33">
        <f>ROUND(K480-U480,2)</f>
      </c>
      <c r="AF480" s="33">
        <f>IF(V480&lt;=0,0,MAX(0,MIN(V480,ROUND($AZ480-SUMPRODUCT($V480:$AE480*($V480:$AE480&gt;0)*(($V$3:$AE$3&gt;V$3)+($V$3:$AE$3=V$3)*($V480:$AE480&lt;V480)+($V$3:$AE$3=V$3)*($V480:$AE480=V480)*($V$2:$AE$2&lt;V$2))),2))))</f>
      </c>
      <c r="AG480" s="33">
        <f>IF(W480&lt;=0,0,MAX(0,MIN(W480,ROUND($AZ480-SUMPRODUCT($V480:$AE480*($V480:$AE480&gt;0)*(($V$3:$AE$3&gt;W$3)+($V$3:$AE$3=W$3)*($V480:$AE480&lt;W480)+($V$3:$AE$3=W$3)*($V480:$AE480=W480)*($V$2:$AE$2&lt;W$2))),2))))</f>
      </c>
      <c r="AH480" s="33">
        <f>IF(X480&lt;=0,0,MAX(0,MIN(X480,ROUND($AZ480-SUMPRODUCT($V480:$AE480*($V480:$AE480&gt;0)*(($V$3:$AE$3&gt;X$3)+($V$3:$AE$3=X$3)*($V480:$AE480&lt;X480)+($V$3:$AE$3=X$3)*($V480:$AE480=X480)*($V$2:$AE$2&lt;X$2))),2))))</f>
      </c>
      <c r="AI480" s="33">
        <f>IF(Y480&lt;=0,0,MAX(0,MIN(Y480,ROUND($AZ480-SUMPRODUCT($V480:$AE480*($V480:$AE480&gt;0)*(($V$3:$AE$3&gt;Y$3)+($V$3:$AE$3=Y$3)*($V480:$AE480&lt;Y480)+($V$3:$AE$3=Y$3)*($V480:$AE480=Y480)*($V$2:$AE$2&lt;Y$2))),2))))</f>
      </c>
      <c r="AJ480" s="33">
        <f>IF(Z480&lt;=0,0,MAX(0,MIN(Z480,ROUND($AZ480-SUMPRODUCT($V480:$AE480*($V480:$AE480&gt;0)*(($V$3:$AE$3&gt;Z$3)+($V$3:$AE$3=Z$3)*($V480:$AE480&lt;Z480)+($V$3:$AE$3=Z$3)*($V480:$AE480=Z480)*($V$2:$AE$2&lt;Z$2))),2))))</f>
      </c>
      <c r="AK480" s="33">
        <f>IF(AA480&lt;=0,0,MAX(0,MIN(AA480,ROUND($AZ480-SUMPRODUCT($V480:$AE480*($V480:$AE480&gt;0)*(($V$3:$AE$3&gt;AA$3)+($V$3:$AE$3=AA$3)*($V480:$AE480&lt;AA480)+($V$3:$AE$3=AA$3)*($V480:$AE480=AA480)*($V$2:$AE$2&lt;AA$2))),2))))</f>
      </c>
      <c r="AL480" s="33">
        <f>IF(AB480&lt;=0,0,MAX(0,MIN(AB480,ROUND($AZ480-SUMPRODUCT($V480:$AE480*($V480:$AE480&gt;0)*(($V$3:$AE$3&gt;AB$3)+($V$3:$AE$3=AB$3)*($V480:$AE480&lt;AB480)+($V$3:$AE$3=AB$3)*($V480:$AE480=AB480)*($V$2:$AE$2&lt;AB$2))),2))))</f>
      </c>
      <c r="AM480" s="33">
        <f>IF(AC480&lt;=0,0,MAX(0,MIN(AC480,ROUND($AZ480-SUMPRODUCT($V480:$AE480*($V480:$AE480&gt;0)*(($V$3:$AE$3&gt;AC$3)+($V$3:$AE$3=AC$3)*($V480:$AE480&lt;AC480)+($V$3:$AE$3=AC$3)*($V480:$AE480=AC480)*($V$2:$AE$2&lt;AC$2))),2))))</f>
      </c>
      <c r="AN480" s="33">
        <f>IF(AD480&lt;=0,0,MAX(0,MIN(AD480,ROUND($AZ480-SUMPRODUCT($V480:$AE480*($V480:$AE480&gt;0)*(($V$3:$AE$3&gt;AD$3)+($V$3:$AE$3=AD$3)*($V480:$AE480&lt;AD480)+($V$3:$AE$3=AD$3)*($V480:$AE480=AD480)*($V$2:$AE$2&lt;AD$2))),2))))</f>
      </c>
      <c r="AO480" s="33">
        <f>IF(AE480&lt;=0,0,MAX(0,MIN(AE480,ROUND($AZ480-SUMPRODUCT($V480:$AE480*($V480:$AE480&gt;0)*(($V$3:$AE$3&gt;AE$3)+($V$3:$AE$3=AE$3)*($V480:$AE480&lt;AE480)+($V$3:$AE$3=AE$3)*($V480:$AE480=AE480)*($V$2:$AE$2&lt;AE$2))),2))))</f>
      </c>
      <c r="AP480" s="33">
        <f>ROUND(V480-AF480,2)</f>
      </c>
      <c r="AQ480" s="33">
        <f>ROUND(W480-AG480,2)</f>
      </c>
      <c r="AR480" s="33">
        <f>ROUND(X480-AH480,2)</f>
      </c>
      <c r="AS480" s="33">
        <f>ROUND(Y480-AI480,2)</f>
      </c>
      <c r="AT480" s="33">
        <f>ROUND(Z480-AJ480,2)</f>
      </c>
      <c r="AU480" s="33">
        <f>ROUND(AA480-AK480,2)</f>
      </c>
      <c r="AV480" s="33">
        <f>ROUND(AB480-AL480,2)</f>
      </c>
      <c r="AW480" s="33">
        <f>ROUND(AC480-AM480,2)</f>
      </c>
      <c r="AX480" s="33">
        <f>ROUND(AD480-AN480,2)</f>
      </c>
      <c r="AY480" s="33">
        <f>ROUND(AE480-AO480,2)</f>
      </c>
      <c r="AZ480" s="33">
        <f>ROUND(MAX(0,'Your debts'!$D$22-SUM($L480:$U480)),2)</f>
      </c>
      <c r="BA480" s="33">
        <f>ROUND(SUM($B480:$K480)-SUM($AP479:$AY479),2)</f>
      </c>
      <c r="BB480" s="33">
        <f>SUM($AP480:$AY480)</f>
      </c>
      <c r="BC480" s="33">
        <f>ROUND(SUM($L480:$U480)+SUM($AF480:$AO480),2)</f>
      </c>
    </row>
    <row r="481" spans="1:55" x14ac:dyDescent="0.25">
      <c r="A481">
        <v>474</v>
      </c>
      <c r="B481" s="33">
        <f>IF(AP480&lt;=0,0,ROUND(AP480+ROUND(AP480*V$3/12,2),2))</f>
      </c>
      <c r="C481" s="33">
        <f>IF(AQ480&lt;=0,0,ROUND(AQ480+ROUND(AQ480*W$3/12,2),2))</f>
      </c>
      <c r="D481" s="33">
        <f>IF(AR480&lt;=0,0,ROUND(AR480+ROUND(AR480*X$3/12,2),2))</f>
      </c>
      <c r="E481" s="33">
        <f>IF(AS480&lt;=0,0,ROUND(AS480+ROUND(AS480*Y$3/12,2),2))</f>
      </c>
      <c r="F481" s="33">
        <f>IF(AT480&lt;=0,0,ROUND(AT480+ROUND(AT480*Z$3/12,2),2))</f>
      </c>
      <c r="G481" s="33">
        <f>IF(AU480&lt;=0,0,ROUND(AU480+ROUND(AU480*AA$3/12,2),2))</f>
      </c>
      <c r="H481" s="33">
        <f>IF(AV480&lt;=0,0,ROUND(AV480+ROUND(AV480*AB$3/12,2),2))</f>
      </c>
      <c r="I481" s="33">
        <f>IF(AW480&lt;=0,0,ROUND(AW480+ROUND(AW480*AC$3/12,2),2))</f>
      </c>
      <c r="J481" s="33">
        <f>IF(AX480&lt;=0,0,ROUND(AX480+ROUND(AX480*AD$3/12,2),2))</f>
      </c>
      <c r="K481" s="33">
        <f>IF(AY480&lt;=0,0,ROUND(AY480+ROUND(AY480*AE$3/12,2),2))</f>
      </c>
      <c r="L481" s="33">
        <f>ROUND(MIN(MAX(0,N('Your debts'!$E$6)),B481),2)</f>
      </c>
      <c r="M481" s="33">
        <f>ROUND(MIN(MAX(0,N('Your debts'!$E$7)),C481),2)</f>
      </c>
      <c r="N481" s="33">
        <f>ROUND(MIN(MAX(0,N('Your debts'!$E$8)),D481),2)</f>
      </c>
      <c r="O481" s="33">
        <f>ROUND(MIN(MAX(0,N('Your debts'!$E$9)),E481),2)</f>
      </c>
      <c r="P481" s="33">
        <f>ROUND(MIN(MAX(0,N('Your debts'!$E$10)),F481),2)</f>
      </c>
      <c r="Q481" s="33">
        <f>ROUND(MIN(MAX(0,N('Your debts'!$E$11)),G481),2)</f>
      </c>
      <c r="R481" s="33">
        <f>ROUND(MIN(MAX(0,N('Your debts'!$E$12)),H481),2)</f>
      </c>
      <c r="S481" s="33">
        <f>ROUND(MIN(MAX(0,N('Your debts'!$E$13)),I481),2)</f>
      </c>
      <c r="T481" s="33">
        <f>ROUND(MIN(MAX(0,N('Your debts'!$E$14)),J481),2)</f>
      </c>
      <c r="U481" s="33">
        <f>ROUND(MIN(MAX(0,N('Your debts'!$E$15)),K481),2)</f>
      </c>
      <c r="V481" s="33">
        <f>ROUND(B481-L481,2)</f>
      </c>
      <c r="W481" s="33">
        <f>ROUND(C481-M481,2)</f>
      </c>
      <c r="X481" s="33">
        <f>ROUND(D481-N481,2)</f>
      </c>
      <c r="Y481" s="33">
        <f>ROUND(E481-O481,2)</f>
      </c>
      <c r="Z481" s="33">
        <f>ROUND(F481-P481,2)</f>
      </c>
      <c r="AA481" s="33">
        <f>ROUND(G481-Q481,2)</f>
      </c>
      <c r="AB481" s="33">
        <f>ROUND(H481-R481,2)</f>
      </c>
      <c r="AC481" s="33">
        <f>ROUND(I481-S481,2)</f>
      </c>
      <c r="AD481" s="33">
        <f>ROUND(J481-T481,2)</f>
      </c>
      <c r="AE481" s="33">
        <f>ROUND(K481-U481,2)</f>
      </c>
      <c r="AF481" s="33">
        <f>IF(V481&lt;=0,0,MAX(0,MIN(V481,ROUND($AZ481-SUMPRODUCT($V481:$AE481*($V481:$AE481&gt;0)*(($V$3:$AE$3&gt;V$3)+($V$3:$AE$3=V$3)*($V481:$AE481&lt;V481)+($V$3:$AE$3=V$3)*($V481:$AE481=V481)*($V$2:$AE$2&lt;V$2))),2))))</f>
      </c>
      <c r="AG481" s="33">
        <f>IF(W481&lt;=0,0,MAX(0,MIN(W481,ROUND($AZ481-SUMPRODUCT($V481:$AE481*($V481:$AE481&gt;0)*(($V$3:$AE$3&gt;W$3)+($V$3:$AE$3=W$3)*($V481:$AE481&lt;W481)+($V$3:$AE$3=W$3)*($V481:$AE481=W481)*($V$2:$AE$2&lt;W$2))),2))))</f>
      </c>
      <c r="AH481" s="33">
        <f>IF(X481&lt;=0,0,MAX(0,MIN(X481,ROUND($AZ481-SUMPRODUCT($V481:$AE481*($V481:$AE481&gt;0)*(($V$3:$AE$3&gt;X$3)+($V$3:$AE$3=X$3)*($V481:$AE481&lt;X481)+($V$3:$AE$3=X$3)*($V481:$AE481=X481)*($V$2:$AE$2&lt;X$2))),2))))</f>
      </c>
      <c r="AI481" s="33">
        <f>IF(Y481&lt;=0,0,MAX(0,MIN(Y481,ROUND($AZ481-SUMPRODUCT($V481:$AE481*($V481:$AE481&gt;0)*(($V$3:$AE$3&gt;Y$3)+($V$3:$AE$3=Y$3)*($V481:$AE481&lt;Y481)+($V$3:$AE$3=Y$3)*($V481:$AE481=Y481)*($V$2:$AE$2&lt;Y$2))),2))))</f>
      </c>
      <c r="AJ481" s="33">
        <f>IF(Z481&lt;=0,0,MAX(0,MIN(Z481,ROUND($AZ481-SUMPRODUCT($V481:$AE481*($V481:$AE481&gt;0)*(($V$3:$AE$3&gt;Z$3)+($V$3:$AE$3=Z$3)*($V481:$AE481&lt;Z481)+($V$3:$AE$3=Z$3)*($V481:$AE481=Z481)*($V$2:$AE$2&lt;Z$2))),2))))</f>
      </c>
      <c r="AK481" s="33">
        <f>IF(AA481&lt;=0,0,MAX(0,MIN(AA481,ROUND($AZ481-SUMPRODUCT($V481:$AE481*($V481:$AE481&gt;0)*(($V$3:$AE$3&gt;AA$3)+($V$3:$AE$3=AA$3)*($V481:$AE481&lt;AA481)+($V$3:$AE$3=AA$3)*($V481:$AE481=AA481)*($V$2:$AE$2&lt;AA$2))),2))))</f>
      </c>
      <c r="AL481" s="33">
        <f>IF(AB481&lt;=0,0,MAX(0,MIN(AB481,ROUND($AZ481-SUMPRODUCT($V481:$AE481*($V481:$AE481&gt;0)*(($V$3:$AE$3&gt;AB$3)+($V$3:$AE$3=AB$3)*($V481:$AE481&lt;AB481)+($V$3:$AE$3=AB$3)*($V481:$AE481=AB481)*($V$2:$AE$2&lt;AB$2))),2))))</f>
      </c>
      <c r="AM481" s="33">
        <f>IF(AC481&lt;=0,0,MAX(0,MIN(AC481,ROUND($AZ481-SUMPRODUCT($V481:$AE481*($V481:$AE481&gt;0)*(($V$3:$AE$3&gt;AC$3)+($V$3:$AE$3=AC$3)*($V481:$AE481&lt;AC481)+($V$3:$AE$3=AC$3)*($V481:$AE481=AC481)*($V$2:$AE$2&lt;AC$2))),2))))</f>
      </c>
      <c r="AN481" s="33">
        <f>IF(AD481&lt;=0,0,MAX(0,MIN(AD481,ROUND($AZ481-SUMPRODUCT($V481:$AE481*($V481:$AE481&gt;0)*(($V$3:$AE$3&gt;AD$3)+($V$3:$AE$3=AD$3)*($V481:$AE481&lt;AD481)+($V$3:$AE$3=AD$3)*($V481:$AE481=AD481)*($V$2:$AE$2&lt;AD$2))),2))))</f>
      </c>
      <c r="AO481" s="33">
        <f>IF(AE481&lt;=0,0,MAX(0,MIN(AE481,ROUND($AZ481-SUMPRODUCT($V481:$AE481*($V481:$AE481&gt;0)*(($V$3:$AE$3&gt;AE$3)+($V$3:$AE$3=AE$3)*($V481:$AE481&lt;AE481)+($V$3:$AE$3=AE$3)*($V481:$AE481=AE481)*($V$2:$AE$2&lt;AE$2))),2))))</f>
      </c>
      <c r="AP481" s="33">
        <f>ROUND(V481-AF481,2)</f>
      </c>
      <c r="AQ481" s="33">
        <f>ROUND(W481-AG481,2)</f>
      </c>
      <c r="AR481" s="33">
        <f>ROUND(X481-AH481,2)</f>
      </c>
      <c r="AS481" s="33">
        <f>ROUND(Y481-AI481,2)</f>
      </c>
      <c r="AT481" s="33">
        <f>ROUND(Z481-AJ481,2)</f>
      </c>
      <c r="AU481" s="33">
        <f>ROUND(AA481-AK481,2)</f>
      </c>
      <c r="AV481" s="33">
        <f>ROUND(AB481-AL481,2)</f>
      </c>
      <c r="AW481" s="33">
        <f>ROUND(AC481-AM481,2)</f>
      </c>
      <c r="AX481" s="33">
        <f>ROUND(AD481-AN481,2)</f>
      </c>
      <c r="AY481" s="33">
        <f>ROUND(AE481-AO481,2)</f>
      </c>
      <c r="AZ481" s="33">
        <f>ROUND(MAX(0,'Your debts'!$D$22-SUM($L481:$U481)),2)</f>
      </c>
      <c r="BA481" s="33">
        <f>ROUND(SUM($B481:$K481)-SUM($AP480:$AY480),2)</f>
      </c>
      <c r="BB481" s="33">
        <f>SUM($AP481:$AY481)</f>
      </c>
      <c r="BC481" s="33">
        <f>ROUND(SUM($L481:$U481)+SUM($AF481:$AO481),2)</f>
      </c>
    </row>
    <row r="482" spans="1:55" x14ac:dyDescent="0.25">
      <c r="A482">
        <v>475</v>
      </c>
      <c r="B482" s="33">
        <f>IF(AP481&lt;=0,0,ROUND(AP481+ROUND(AP481*V$3/12,2),2))</f>
      </c>
      <c r="C482" s="33">
        <f>IF(AQ481&lt;=0,0,ROUND(AQ481+ROUND(AQ481*W$3/12,2),2))</f>
      </c>
      <c r="D482" s="33">
        <f>IF(AR481&lt;=0,0,ROUND(AR481+ROUND(AR481*X$3/12,2),2))</f>
      </c>
      <c r="E482" s="33">
        <f>IF(AS481&lt;=0,0,ROUND(AS481+ROUND(AS481*Y$3/12,2),2))</f>
      </c>
      <c r="F482" s="33">
        <f>IF(AT481&lt;=0,0,ROUND(AT481+ROUND(AT481*Z$3/12,2),2))</f>
      </c>
      <c r="G482" s="33">
        <f>IF(AU481&lt;=0,0,ROUND(AU481+ROUND(AU481*AA$3/12,2),2))</f>
      </c>
      <c r="H482" s="33">
        <f>IF(AV481&lt;=0,0,ROUND(AV481+ROUND(AV481*AB$3/12,2),2))</f>
      </c>
      <c r="I482" s="33">
        <f>IF(AW481&lt;=0,0,ROUND(AW481+ROUND(AW481*AC$3/12,2),2))</f>
      </c>
      <c r="J482" s="33">
        <f>IF(AX481&lt;=0,0,ROUND(AX481+ROUND(AX481*AD$3/12,2),2))</f>
      </c>
      <c r="K482" s="33">
        <f>IF(AY481&lt;=0,0,ROUND(AY481+ROUND(AY481*AE$3/12,2),2))</f>
      </c>
      <c r="L482" s="33">
        <f>ROUND(MIN(MAX(0,N('Your debts'!$E$6)),B482),2)</f>
      </c>
      <c r="M482" s="33">
        <f>ROUND(MIN(MAX(0,N('Your debts'!$E$7)),C482),2)</f>
      </c>
      <c r="N482" s="33">
        <f>ROUND(MIN(MAX(0,N('Your debts'!$E$8)),D482),2)</f>
      </c>
      <c r="O482" s="33">
        <f>ROUND(MIN(MAX(0,N('Your debts'!$E$9)),E482),2)</f>
      </c>
      <c r="P482" s="33">
        <f>ROUND(MIN(MAX(0,N('Your debts'!$E$10)),F482),2)</f>
      </c>
      <c r="Q482" s="33">
        <f>ROUND(MIN(MAX(0,N('Your debts'!$E$11)),G482),2)</f>
      </c>
      <c r="R482" s="33">
        <f>ROUND(MIN(MAX(0,N('Your debts'!$E$12)),H482),2)</f>
      </c>
      <c r="S482" s="33">
        <f>ROUND(MIN(MAX(0,N('Your debts'!$E$13)),I482),2)</f>
      </c>
      <c r="T482" s="33">
        <f>ROUND(MIN(MAX(0,N('Your debts'!$E$14)),J482),2)</f>
      </c>
      <c r="U482" s="33">
        <f>ROUND(MIN(MAX(0,N('Your debts'!$E$15)),K482),2)</f>
      </c>
      <c r="V482" s="33">
        <f>ROUND(B482-L482,2)</f>
      </c>
      <c r="W482" s="33">
        <f>ROUND(C482-M482,2)</f>
      </c>
      <c r="X482" s="33">
        <f>ROUND(D482-N482,2)</f>
      </c>
      <c r="Y482" s="33">
        <f>ROUND(E482-O482,2)</f>
      </c>
      <c r="Z482" s="33">
        <f>ROUND(F482-P482,2)</f>
      </c>
      <c r="AA482" s="33">
        <f>ROUND(G482-Q482,2)</f>
      </c>
      <c r="AB482" s="33">
        <f>ROUND(H482-R482,2)</f>
      </c>
      <c r="AC482" s="33">
        <f>ROUND(I482-S482,2)</f>
      </c>
      <c r="AD482" s="33">
        <f>ROUND(J482-T482,2)</f>
      </c>
      <c r="AE482" s="33">
        <f>ROUND(K482-U482,2)</f>
      </c>
      <c r="AF482" s="33">
        <f>IF(V482&lt;=0,0,MAX(0,MIN(V482,ROUND($AZ482-SUMPRODUCT($V482:$AE482*($V482:$AE482&gt;0)*(($V$3:$AE$3&gt;V$3)+($V$3:$AE$3=V$3)*($V482:$AE482&lt;V482)+($V$3:$AE$3=V$3)*($V482:$AE482=V482)*($V$2:$AE$2&lt;V$2))),2))))</f>
      </c>
      <c r="AG482" s="33">
        <f>IF(W482&lt;=0,0,MAX(0,MIN(W482,ROUND($AZ482-SUMPRODUCT($V482:$AE482*($V482:$AE482&gt;0)*(($V$3:$AE$3&gt;W$3)+($V$3:$AE$3=W$3)*($V482:$AE482&lt;W482)+($V$3:$AE$3=W$3)*($V482:$AE482=W482)*($V$2:$AE$2&lt;W$2))),2))))</f>
      </c>
      <c r="AH482" s="33">
        <f>IF(X482&lt;=0,0,MAX(0,MIN(X482,ROUND($AZ482-SUMPRODUCT($V482:$AE482*($V482:$AE482&gt;0)*(($V$3:$AE$3&gt;X$3)+($V$3:$AE$3=X$3)*($V482:$AE482&lt;X482)+($V$3:$AE$3=X$3)*($V482:$AE482=X482)*($V$2:$AE$2&lt;X$2))),2))))</f>
      </c>
      <c r="AI482" s="33">
        <f>IF(Y482&lt;=0,0,MAX(0,MIN(Y482,ROUND($AZ482-SUMPRODUCT($V482:$AE482*($V482:$AE482&gt;0)*(($V$3:$AE$3&gt;Y$3)+($V$3:$AE$3=Y$3)*($V482:$AE482&lt;Y482)+($V$3:$AE$3=Y$3)*($V482:$AE482=Y482)*($V$2:$AE$2&lt;Y$2))),2))))</f>
      </c>
      <c r="AJ482" s="33">
        <f>IF(Z482&lt;=0,0,MAX(0,MIN(Z482,ROUND($AZ482-SUMPRODUCT($V482:$AE482*($V482:$AE482&gt;0)*(($V$3:$AE$3&gt;Z$3)+($V$3:$AE$3=Z$3)*($V482:$AE482&lt;Z482)+($V$3:$AE$3=Z$3)*($V482:$AE482=Z482)*($V$2:$AE$2&lt;Z$2))),2))))</f>
      </c>
      <c r="AK482" s="33">
        <f>IF(AA482&lt;=0,0,MAX(0,MIN(AA482,ROUND($AZ482-SUMPRODUCT($V482:$AE482*($V482:$AE482&gt;0)*(($V$3:$AE$3&gt;AA$3)+($V$3:$AE$3=AA$3)*($V482:$AE482&lt;AA482)+($V$3:$AE$3=AA$3)*($V482:$AE482=AA482)*($V$2:$AE$2&lt;AA$2))),2))))</f>
      </c>
      <c r="AL482" s="33">
        <f>IF(AB482&lt;=0,0,MAX(0,MIN(AB482,ROUND($AZ482-SUMPRODUCT($V482:$AE482*($V482:$AE482&gt;0)*(($V$3:$AE$3&gt;AB$3)+($V$3:$AE$3=AB$3)*($V482:$AE482&lt;AB482)+($V$3:$AE$3=AB$3)*($V482:$AE482=AB482)*($V$2:$AE$2&lt;AB$2))),2))))</f>
      </c>
      <c r="AM482" s="33">
        <f>IF(AC482&lt;=0,0,MAX(0,MIN(AC482,ROUND($AZ482-SUMPRODUCT($V482:$AE482*($V482:$AE482&gt;0)*(($V$3:$AE$3&gt;AC$3)+($V$3:$AE$3=AC$3)*($V482:$AE482&lt;AC482)+($V$3:$AE$3=AC$3)*($V482:$AE482=AC482)*($V$2:$AE$2&lt;AC$2))),2))))</f>
      </c>
      <c r="AN482" s="33">
        <f>IF(AD482&lt;=0,0,MAX(0,MIN(AD482,ROUND($AZ482-SUMPRODUCT($V482:$AE482*($V482:$AE482&gt;0)*(($V$3:$AE$3&gt;AD$3)+($V$3:$AE$3=AD$3)*($V482:$AE482&lt;AD482)+($V$3:$AE$3=AD$3)*($V482:$AE482=AD482)*($V$2:$AE$2&lt;AD$2))),2))))</f>
      </c>
      <c r="AO482" s="33">
        <f>IF(AE482&lt;=0,0,MAX(0,MIN(AE482,ROUND($AZ482-SUMPRODUCT($V482:$AE482*($V482:$AE482&gt;0)*(($V$3:$AE$3&gt;AE$3)+($V$3:$AE$3=AE$3)*($V482:$AE482&lt;AE482)+($V$3:$AE$3=AE$3)*($V482:$AE482=AE482)*($V$2:$AE$2&lt;AE$2))),2))))</f>
      </c>
      <c r="AP482" s="33">
        <f>ROUND(V482-AF482,2)</f>
      </c>
      <c r="AQ482" s="33">
        <f>ROUND(W482-AG482,2)</f>
      </c>
      <c r="AR482" s="33">
        <f>ROUND(X482-AH482,2)</f>
      </c>
      <c r="AS482" s="33">
        <f>ROUND(Y482-AI482,2)</f>
      </c>
      <c r="AT482" s="33">
        <f>ROUND(Z482-AJ482,2)</f>
      </c>
      <c r="AU482" s="33">
        <f>ROUND(AA482-AK482,2)</f>
      </c>
      <c r="AV482" s="33">
        <f>ROUND(AB482-AL482,2)</f>
      </c>
      <c r="AW482" s="33">
        <f>ROUND(AC482-AM482,2)</f>
      </c>
      <c r="AX482" s="33">
        <f>ROUND(AD482-AN482,2)</f>
      </c>
      <c r="AY482" s="33">
        <f>ROUND(AE482-AO482,2)</f>
      </c>
      <c r="AZ482" s="33">
        <f>ROUND(MAX(0,'Your debts'!$D$22-SUM($L482:$U482)),2)</f>
      </c>
      <c r="BA482" s="33">
        <f>ROUND(SUM($B482:$K482)-SUM($AP481:$AY481),2)</f>
      </c>
      <c r="BB482" s="33">
        <f>SUM($AP482:$AY482)</f>
      </c>
      <c r="BC482" s="33">
        <f>ROUND(SUM($L482:$U482)+SUM($AF482:$AO482),2)</f>
      </c>
    </row>
    <row r="483" spans="1:55" x14ac:dyDescent="0.25">
      <c r="A483">
        <v>476</v>
      </c>
      <c r="B483" s="33">
        <f>IF(AP482&lt;=0,0,ROUND(AP482+ROUND(AP482*V$3/12,2),2))</f>
      </c>
      <c r="C483" s="33">
        <f>IF(AQ482&lt;=0,0,ROUND(AQ482+ROUND(AQ482*W$3/12,2),2))</f>
      </c>
      <c r="D483" s="33">
        <f>IF(AR482&lt;=0,0,ROUND(AR482+ROUND(AR482*X$3/12,2),2))</f>
      </c>
      <c r="E483" s="33">
        <f>IF(AS482&lt;=0,0,ROUND(AS482+ROUND(AS482*Y$3/12,2),2))</f>
      </c>
      <c r="F483" s="33">
        <f>IF(AT482&lt;=0,0,ROUND(AT482+ROUND(AT482*Z$3/12,2),2))</f>
      </c>
      <c r="G483" s="33">
        <f>IF(AU482&lt;=0,0,ROUND(AU482+ROUND(AU482*AA$3/12,2),2))</f>
      </c>
      <c r="H483" s="33">
        <f>IF(AV482&lt;=0,0,ROUND(AV482+ROUND(AV482*AB$3/12,2),2))</f>
      </c>
      <c r="I483" s="33">
        <f>IF(AW482&lt;=0,0,ROUND(AW482+ROUND(AW482*AC$3/12,2),2))</f>
      </c>
      <c r="J483" s="33">
        <f>IF(AX482&lt;=0,0,ROUND(AX482+ROUND(AX482*AD$3/12,2),2))</f>
      </c>
      <c r="K483" s="33">
        <f>IF(AY482&lt;=0,0,ROUND(AY482+ROUND(AY482*AE$3/12,2),2))</f>
      </c>
      <c r="L483" s="33">
        <f>ROUND(MIN(MAX(0,N('Your debts'!$E$6)),B483),2)</f>
      </c>
      <c r="M483" s="33">
        <f>ROUND(MIN(MAX(0,N('Your debts'!$E$7)),C483),2)</f>
      </c>
      <c r="N483" s="33">
        <f>ROUND(MIN(MAX(0,N('Your debts'!$E$8)),D483),2)</f>
      </c>
      <c r="O483" s="33">
        <f>ROUND(MIN(MAX(0,N('Your debts'!$E$9)),E483),2)</f>
      </c>
      <c r="P483" s="33">
        <f>ROUND(MIN(MAX(0,N('Your debts'!$E$10)),F483),2)</f>
      </c>
      <c r="Q483" s="33">
        <f>ROUND(MIN(MAX(0,N('Your debts'!$E$11)),G483),2)</f>
      </c>
      <c r="R483" s="33">
        <f>ROUND(MIN(MAX(0,N('Your debts'!$E$12)),H483),2)</f>
      </c>
      <c r="S483" s="33">
        <f>ROUND(MIN(MAX(0,N('Your debts'!$E$13)),I483),2)</f>
      </c>
      <c r="T483" s="33">
        <f>ROUND(MIN(MAX(0,N('Your debts'!$E$14)),J483),2)</f>
      </c>
      <c r="U483" s="33">
        <f>ROUND(MIN(MAX(0,N('Your debts'!$E$15)),K483),2)</f>
      </c>
      <c r="V483" s="33">
        <f>ROUND(B483-L483,2)</f>
      </c>
      <c r="W483" s="33">
        <f>ROUND(C483-M483,2)</f>
      </c>
      <c r="X483" s="33">
        <f>ROUND(D483-N483,2)</f>
      </c>
      <c r="Y483" s="33">
        <f>ROUND(E483-O483,2)</f>
      </c>
      <c r="Z483" s="33">
        <f>ROUND(F483-P483,2)</f>
      </c>
      <c r="AA483" s="33">
        <f>ROUND(G483-Q483,2)</f>
      </c>
      <c r="AB483" s="33">
        <f>ROUND(H483-R483,2)</f>
      </c>
      <c r="AC483" s="33">
        <f>ROUND(I483-S483,2)</f>
      </c>
      <c r="AD483" s="33">
        <f>ROUND(J483-T483,2)</f>
      </c>
      <c r="AE483" s="33">
        <f>ROUND(K483-U483,2)</f>
      </c>
      <c r="AF483" s="33">
        <f>IF(V483&lt;=0,0,MAX(0,MIN(V483,ROUND($AZ483-SUMPRODUCT($V483:$AE483*($V483:$AE483&gt;0)*(($V$3:$AE$3&gt;V$3)+($V$3:$AE$3=V$3)*($V483:$AE483&lt;V483)+($V$3:$AE$3=V$3)*($V483:$AE483=V483)*($V$2:$AE$2&lt;V$2))),2))))</f>
      </c>
      <c r="AG483" s="33">
        <f>IF(W483&lt;=0,0,MAX(0,MIN(W483,ROUND($AZ483-SUMPRODUCT($V483:$AE483*($V483:$AE483&gt;0)*(($V$3:$AE$3&gt;W$3)+($V$3:$AE$3=W$3)*($V483:$AE483&lt;W483)+($V$3:$AE$3=W$3)*($V483:$AE483=W483)*($V$2:$AE$2&lt;W$2))),2))))</f>
      </c>
      <c r="AH483" s="33">
        <f>IF(X483&lt;=0,0,MAX(0,MIN(X483,ROUND($AZ483-SUMPRODUCT($V483:$AE483*($V483:$AE483&gt;0)*(($V$3:$AE$3&gt;X$3)+($V$3:$AE$3=X$3)*($V483:$AE483&lt;X483)+($V$3:$AE$3=X$3)*($V483:$AE483=X483)*($V$2:$AE$2&lt;X$2))),2))))</f>
      </c>
      <c r="AI483" s="33">
        <f>IF(Y483&lt;=0,0,MAX(0,MIN(Y483,ROUND($AZ483-SUMPRODUCT($V483:$AE483*($V483:$AE483&gt;0)*(($V$3:$AE$3&gt;Y$3)+($V$3:$AE$3=Y$3)*($V483:$AE483&lt;Y483)+($V$3:$AE$3=Y$3)*($V483:$AE483=Y483)*($V$2:$AE$2&lt;Y$2))),2))))</f>
      </c>
      <c r="AJ483" s="33">
        <f>IF(Z483&lt;=0,0,MAX(0,MIN(Z483,ROUND($AZ483-SUMPRODUCT($V483:$AE483*($V483:$AE483&gt;0)*(($V$3:$AE$3&gt;Z$3)+($V$3:$AE$3=Z$3)*($V483:$AE483&lt;Z483)+($V$3:$AE$3=Z$3)*($V483:$AE483=Z483)*($V$2:$AE$2&lt;Z$2))),2))))</f>
      </c>
      <c r="AK483" s="33">
        <f>IF(AA483&lt;=0,0,MAX(0,MIN(AA483,ROUND($AZ483-SUMPRODUCT($V483:$AE483*($V483:$AE483&gt;0)*(($V$3:$AE$3&gt;AA$3)+($V$3:$AE$3=AA$3)*($V483:$AE483&lt;AA483)+($V$3:$AE$3=AA$3)*($V483:$AE483=AA483)*($V$2:$AE$2&lt;AA$2))),2))))</f>
      </c>
      <c r="AL483" s="33">
        <f>IF(AB483&lt;=0,0,MAX(0,MIN(AB483,ROUND($AZ483-SUMPRODUCT($V483:$AE483*($V483:$AE483&gt;0)*(($V$3:$AE$3&gt;AB$3)+($V$3:$AE$3=AB$3)*($V483:$AE483&lt;AB483)+($V$3:$AE$3=AB$3)*($V483:$AE483=AB483)*($V$2:$AE$2&lt;AB$2))),2))))</f>
      </c>
      <c r="AM483" s="33">
        <f>IF(AC483&lt;=0,0,MAX(0,MIN(AC483,ROUND($AZ483-SUMPRODUCT($V483:$AE483*($V483:$AE483&gt;0)*(($V$3:$AE$3&gt;AC$3)+($V$3:$AE$3=AC$3)*($V483:$AE483&lt;AC483)+($V$3:$AE$3=AC$3)*($V483:$AE483=AC483)*($V$2:$AE$2&lt;AC$2))),2))))</f>
      </c>
      <c r="AN483" s="33">
        <f>IF(AD483&lt;=0,0,MAX(0,MIN(AD483,ROUND($AZ483-SUMPRODUCT($V483:$AE483*($V483:$AE483&gt;0)*(($V$3:$AE$3&gt;AD$3)+($V$3:$AE$3=AD$3)*($V483:$AE483&lt;AD483)+($V$3:$AE$3=AD$3)*($V483:$AE483=AD483)*($V$2:$AE$2&lt;AD$2))),2))))</f>
      </c>
      <c r="AO483" s="33">
        <f>IF(AE483&lt;=0,0,MAX(0,MIN(AE483,ROUND($AZ483-SUMPRODUCT($V483:$AE483*($V483:$AE483&gt;0)*(($V$3:$AE$3&gt;AE$3)+($V$3:$AE$3=AE$3)*($V483:$AE483&lt;AE483)+($V$3:$AE$3=AE$3)*($V483:$AE483=AE483)*($V$2:$AE$2&lt;AE$2))),2))))</f>
      </c>
      <c r="AP483" s="33">
        <f>ROUND(V483-AF483,2)</f>
      </c>
      <c r="AQ483" s="33">
        <f>ROUND(W483-AG483,2)</f>
      </c>
      <c r="AR483" s="33">
        <f>ROUND(X483-AH483,2)</f>
      </c>
      <c r="AS483" s="33">
        <f>ROUND(Y483-AI483,2)</f>
      </c>
      <c r="AT483" s="33">
        <f>ROUND(Z483-AJ483,2)</f>
      </c>
      <c r="AU483" s="33">
        <f>ROUND(AA483-AK483,2)</f>
      </c>
      <c r="AV483" s="33">
        <f>ROUND(AB483-AL483,2)</f>
      </c>
      <c r="AW483" s="33">
        <f>ROUND(AC483-AM483,2)</f>
      </c>
      <c r="AX483" s="33">
        <f>ROUND(AD483-AN483,2)</f>
      </c>
      <c r="AY483" s="33">
        <f>ROUND(AE483-AO483,2)</f>
      </c>
      <c r="AZ483" s="33">
        <f>ROUND(MAX(0,'Your debts'!$D$22-SUM($L483:$U483)),2)</f>
      </c>
      <c r="BA483" s="33">
        <f>ROUND(SUM($B483:$K483)-SUM($AP482:$AY482),2)</f>
      </c>
      <c r="BB483" s="33">
        <f>SUM($AP483:$AY483)</f>
      </c>
      <c r="BC483" s="33">
        <f>ROUND(SUM($L483:$U483)+SUM($AF483:$AO483),2)</f>
      </c>
    </row>
    <row r="484" spans="1:55" x14ac:dyDescent="0.25">
      <c r="A484">
        <v>477</v>
      </c>
      <c r="B484" s="33">
        <f>IF(AP483&lt;=0,0,ROUND(AP483+ROUND(AP483*V$3/12,2),2))</f>
      </c>
      <c r="C484" s="33">
        <f>IF(AQ483&lt;=0,0,ROUND(AQ483+ROUND(AQ483*W$3/12,2),2))</f>
      </c>
      <c r="D484" s="33">
        <f>IF(AR483&lt;=0,0,ROUND(AR483+ROUND(AR483*X$3/12,2),2))</f>
      </c>
      <c r="E484" s="33">
        <f>IF(AS483&lt;=0,0,ROUND(AS483+ROUND(AS483*Y$3/12,2),2))</f>
      </c>
      <c r="F484" s="33">
        <f>IF(AT483&lt;=0,0,ROUND(AT483+ROUND(AT483*Z$3/12,2),2))</f>
      </c>
      <c r="G484" s="33">
        <f>IF(AU483&lt;=0,0,ROUND(AU483+ROUND(AU483*AA$3/12,2),2))</f>
      </c>
      <c r="H484" s="33">
        <f>IF(AV483&lt;=0,0,ROUND(AV483+ROUND(AV483*AB$3/12,2),2))</f>
      </c>
      <c r="I484" s="33">
        <f>IF(AW483&lt;=0,0,ROUND(AW483+ROUND(AW483*AC$3/12,2),2))</f>
      </c>
      <c r="J484" s="33">
        <f>IF(AX483&lt;=0,0,ROUND(AX483+ROUND(AX483*AD$3/12,2),2))</f>
      </c>
      <c r="K484" s="33">
        <f>IF(AY483&lt;=0,0,ROUND(AY483+ROUND(AY483*AE$3/12,2),2))</f>
      </c>
      <c r="L484" s="33">
        <f>ROUND(MIN(MAX(0,N('Your debts'!$E$6)),B484),2)</f>
      </c>
      <c r="M484" s="33">
        <f>ROUND(MIN(MAX(0,N('Your debts'!$E$7)),C484),2)</f>
      </c>
      <c r="N484" s="33">
        <f>ROUND(MIN(MAX(0,N('Your debts'!$E$8)),D484),2)</f>
      </c>
      <c r="O484" s="33">
        <f>ROUND(MIN(MAX(0,N('Your debts'!$E$9)),E484),2)</f>
      </c>
      <c r="P484" s="33">
        <f>ROUND(MIN(MAX(0,N('Your debts'!$E$10)),F484),2)</f>
      </c>
      <c r="Q484" s="33">
        <f>ROUND(MIN(MAX(0,N('Your debts'!$E$11)),G484),2)</f>
      </c>
      <c r="R484" s="33">
        <f>ROUND(MIN(MAX(0,N('Your debts'!$E$12)),H484),2)</f>
      </c>
      <c r="S484" s="33">
        <f>ROUND(MIN(MAX(0,N('Your debts'!$E$13)),I484),2)</f>
      </c>
      <c r="T484" s="33">
        <f>ROUND(MIN(MAX(0,N('Your debts'!$E$14)),J484),2)</f>
      </c>
      <c r="U484" s="33">
        <f>ROUND(MIN(MAX(0,N('Your debts'!$E$15)),K484),2)</f>
      </c>
      <c r="V484" s="33">
        <f>ROUND(B484-L484,2)</f>
      </c>
      <c r="W484" s="33">
        <f>ROUND(C484-M484,2)</f>
      </c>
      <c r="X484" s="33">
        <f>ROUND(D484-N484,2)</f>
      </c>
      <c r="Y484" s="33">
        <f>ROUND(E484-O484,2)</f>
      </c>
      <c r="Z484" s="33">
        <f>ROUND(F484-P484,2)</f>
      </c>
      <c r="AA484" s="33">
        <f>ROUND(G484-Q484,2)</f>
      </c>
      <c r="AB484" s="33">
        <f>ROUND(H484-R484,2)</f>
      </c>
      <c r="AC484" s="33">
        <f>ROUND(I484-S484,2)</f>
      </c>
      <c r="AD484" s="33">
        <f>ROUND(J484-T484,2)</f>
      </c>
      <c r="AE484" s="33">
        <f>ROUND(K484-U484,2)</f>
      </c>
      <c r="AF484" s="33">
        <f>IF(V484&lt;=0,0,MAX(0,MIN(V484,ROUND($AZ484-SUMPRODUCT($V484:$AE484*($V484:$AE484&gt;0)*(($V$3:$AE$3&gt;V$3)+($V$3:$AE$3=V$3)*($V484:$AE484&lt;V484)+($V$3:$AE$3=V$3)*($V484:$AE484=V484)*($V$2:$AE$2&lt;V$2))),2))))</f>
      </c>
      <c r="AG484" s="33">
        <f>IF(W484&lt;=0,0,MAX(0,MIN(W484,ROUND($AZ484-SUMPRODUCT($V484:$AE484*($V484:$AE484&gt;0)*(($V$3:$AE$3&gt;W$3)+($V$3:$AE$3=W$3)*($V484:$AE484&lt;W484)+($V$3:$AE$3=W$3)*($V484:$AE484=W484)*($V$2:$AE$2&lt;W$2))),2))))</f>
      </c>
      <c r="AH484" s="33">
        <f>IF(X484&lt;=0,0,MAX(0,MIN(X484,ROUND($AZ484-SUMPRODUCT($V484:$AE484*($V484:$AE484&gt;0)*(($V$3:$AE$3&gt;X$3)+($V$3:$AE$3=X$3)*($V484:$AE484&lt;X484)+($V$3:$AE$3=X$3)*($V484:$AE484=X484)*($V$2:$AE$2&lt;X$2))),2))))</f>
      </c>
      <c r="AI484" s="33">
        <f>IF(Y484&lt;=0,0,MAX(0,MIN(Y484,ROUND($AZ484-SUMPRODUCT($V484:$AE484*($V484:$AE484&gt;0)*(($V$3:$AE$3&gt;Y$3)+($V$3:$AE$3=Y$3)*($V484:$AE484&lt;Y484)+($V$3:$AE$3=Y$3)*($V484:$AE484=Y484)*($V$2:$AE$2&lt;Y$2))),2))))</f>
      </c>
      <c r="AJ484" s="33">
        <f>IF(Z484&lt;=0,0,MAX(0,MIN(Z484,ROUND($AZ484-SUMPRODUCT($V484:$AE484*($V484:$AE484&gt;0)*(($V$3:$AE$3&gt;Z$3)+($V$3:$AE$3=Z$3)*($V484:$AE484&lt;Z484)+($V$3:$AE$3=Z$3)*($V484:$AE484=Z484)*($V$2:$AE$2&lt;Z$2))),2))))</f>
      </c>
      <c r="AK484" s="33">
        <f>IF(AA484&lt;=0,0,MAX(0,MIN(AA484,ROUND($AZ484-SUMPRODUCT($V484:$AE484*($V484:$AE484&gt;0)*(($V$3:$AE$3&gt;AA$3)+($V$3:$AE$3=AA$3)*($V484:$AE484&lt;AA484)+($V$3:$AE$3=AA$3)*($V484:$AE484=AA484)*($V$2:$AE$2&lt;AA$2))),2))))</f>
      </c>
      <c r="AL484" s="33">
        <f>IF(AB484&lt;=0,0,MAX(0,MIN(AB484,ROUND($AZ484-SUMPRODUCT($V484:$AE484*($V484:$AE484&gt;0)*(($V$3:$AE$3&gt;AB$3)+($V$3:$AE$3=AB$3)*($V484:$AE484&lt;AB484)+($V$3:$AE$3=AB$3)*($V484:$AE484=AB484)*($V$2:$AE$2&lt;AB$2))),2))))</f>
      </c>
      <c r="AM484" s="33">
        <f>IF(AC484&lt;=0,0,MAX(0,MIN(AC484,ROUND($AZ484-SUMPRODUCT($V484:$AE484*($V484:$AE484&gt;0)*(($V$3:$AE$3&gt;AC$3)+($V$3:$AE$3=AC$3)*($V484:$AE484&lt;AC484)+($V$3:$AE$3=AC$3)*($V484:$AE484=AC484)*($V$2:$AE$2&lt;AC$2))),2))))</f>
      </c>
      <c r="AN484" s="33">
        <f>IF(AD484&lt;=0,0,MAX(0,MIN(AD484,ROUND($AZ484-SUMPRODUCT($V484:$AE484*($V484:$AE484&gt;0)*(($V$3:$AE$3&gt;AD$3)+($V$3:$AE$3=AD$3)*($V484:$AE484&lt;AD484)+($V$3:$AE$3=AD$3)*($V484:$AE484=AD484)*($V$2:$AE$2&lt;AD$2))),2))))</f>
      </c>
      <c r="AO484" s="33">
        <f>IF(AE484&lt;=0,0,MAX(0,MIN(AE484,ROUND($AZ484-SUMPRODUCT($V484:$AE484*($V484:$AE484&gt;0)*(($V$3:$AE$3&gt;AE$3)+($V$3:$AE$3=AE$3)*($V484:$AE484&lt;AE484)+($V$3:$AE$3=AE$3)*($V484:$AE484=AE484)*($V$2:$AE$2&lt;AE$2))),2))))</f>
      </c>
      <c r="AP484" s="33">
        <f>ROUND(V484-AF484,2)</f>
      </c>
      <c r="AQ484" s="33">
        <f>ROUND(W484-AG484,2)</f>
      </c>
      <c r="AR484" s="33">
        <f>ROUND(X484-AH484,2)</f>
      </c>
      <c r="AS484" s="33">
        <f>ROUND(Y484-AI484,2)</f>
      </c>
      <c r="AT484" s="33">
        <f>ROUND(Z484-AJ484,2)</f>
      </c>
      <c r="AU484" s="33">
        <f>ROUND(AA484-AK484,2)</f>
      </c>
      <c r="AV484" s="33">
        <f>ROUND(AB484-AL484,2)</f>
      </c>
      <c r="AW484" s="33">
        <f>ROUND(AC484-AM484,2)</f>
      </c>
      <c r="AX484" s="33">
        <f>ROUND(AD484-AN484,2)</f>
      </c>
      <c r="AY484" s="33">
        <f>ROUND(AE484-AO484,2)</f>
      </c>
      <c r="AZ484" s="33">
        <f>ROUND(MAX(0,'Your debts'!$D$22-SUM($L484:$U484)),2)</f>
      </c>
      <c r="BA484" s="33">
        <f>ROUND(SUM($B484:$K484)-SUM($AP483:$AY483),2)</f>
      </c>
      <c r="BB484" s="33">
        <f>SUM($AP484:$AY484)</f>
      </c>
      <c r="BC484" s="33">
        <f>ROUND(SUM($L484:$U484)+SUM($AF484:$AO484),2)</f>
      </c>
    </row>
    <row r="485" spans="1:55" x14ac:dyDescent="0.25">
      <c r="A485">
        <v>478</v>
      </c>
      <c r="B485" s="33">
        <f>IF(AP484&lt;=0,0,ROUND(AP484+ROUND(AP484*V$3/12,2),2))</f>
      </c>
      <c r="C485" s="33">
        <f>IF(AQ484&lt;=0,0,ROUND(AQ484+ROUND(AQ484*W$3/12,2),2))</f>
      </c>
      <c r="D485" s="33">
        <f>IF(AR484&lt;=0,0,ROUND(AR484+ROUND(AR484*X$3/12,2),2))</f>
      </c>
      <c r="E485" s="33">
        <f>IF(AS484&lt;=0,0,ROUND(AS484+ROUND(AS484*Y$3/12,2),2))</f>
      </c>
      <c r="F485" s="33">
        <f>IF(AT484&lt;=0,0,ROUND(AT484+ROUND(AT484*Z$3/12,2),2))</f>
      </c>
      <c r="G485" s="33">
        <f>IF(AU484&lt;=0,0,ROUND(AU484+ROUND(AU484*AA$3/12,2),2))</f>
      </c>
      <c r="H485" s="33">
        <f>IF(AV484&lt;=0,0,ROUND(AV484+ROUND(AV484*AB$3/12,2),2))</f>
      </c>
      <c r="I485" s="33">
        <f>IF(AW484&lt;=0,0,ROUND(AW484+ROUND(AW484*AC$3/12,2),2))</f>
      </c>
      <c r="J485" s="33">
        <f>IF(AX484&lt;=0,0,ROUND(AX484+ROUND(AX484*AD$3/12,2),2))</f>
      </c>
      <c r="K485" s="33">
        <f>IF(AY484&lt;=0,0,ROUND(AY484+ROUND(AY484*AE$3/12,2),2))</f>
      </c>
      <c r="L485" s="33">
        <f>ROUND(MIN(MAX(0,N('Your debts'!$E$6)),B485),2)</f>
      </c>
      <c r="M485" s="33">
        <f>ROUND(MIN(MAX(0,N('Your debts'!$E$7)),C485),2)</f>
      </c>
      <c r="N485" s="33">
        <f>ROUND(MIN(MAX(0,N('Your debts'!$E$8)),D485),2)</f>
      </c>
      <c r="O485" s="33">
        <f>ROUND(MIN(MAX(0,N('Your debts'!$E$9)),E485),2)</f>
      </c>
      <c r="P485" s="33">
        <f>ROUND(MIN(MAX(0,N('Your debts'!$E$10)),F485),2)</f>
      </c>
      <c r="Q485" s="33">
        <f>ROUND(MIN(MAX(0,N('Your debts'!$E$11)),G485),2)</f>
      </c>
      <c r="R485" s="33">
        <f>ROUND(MIN(MAX(0,N('Your debts'!$E$12)),H485),2)</f>
      </c>
      <c r="S485" s="33">
        <f>ROUND(MIN(MAX(0,N('Your debts'!$E$13)),I485),2)</f>
      </c>
      <c r="T485" s="33">
        <f>ROUND(MIN(MAX(0,N('Your debts'!$E$14)),J485),2)</f>
      </c>
      <c r="U485" s="33">
        <f>ROUND(MIN(MAX(0,N('Your debts'!$E$15)),K485),2)</f>
      </c>
      <c r="V485" s="33">
        <f>ROUND(B485-L485,2)</f>
      </c>
      <c r="W485" s="33">
        <f>ROUND(C485-M485,2)</f>
      </c>
      <c r="X485" s="33">
        <f>ROUND(D485-N485,2)</f>
      </c>
      <c r="Y485" s="33">
        <f>ROUND(E485-O485,2)</f>
      </c>
      <c r="Z485" s="33">
        <f>ROUND(F485-P485,2)</f>
      </c>
      <c r="AA485" s="33">
        <f>ROUND(G485-Q485,2)</f>
      </c>
      <c r="AB485" s="33">
        <f>ROUND(H485-R485,2)</f>
      </c>
      <c r="AC485" s="33">
        <f>ROUND(I485-S485,2)</f>
      </c>
      <c r="AD485" s="33">
        <f>ROUND(J485-T485,2)</f>
      </c>
      <c r="AE485" s="33">
        <f>ROUND(K485-U485,2)</f>
      </c>
      <c r="AF485" s="33">
        <f>IF(V485&lt;=0,0,MAX(0,MIN(V485,ROUND($AZ485-SUMPRODUCT($V485:$AE485*($V485:$AE485&gt;0)*(($V$3:$AE$3&gt;V$3)+($V$3:$AE$3=V$3)*($V485:$AE485&lt;V485)+($V$3:$AE$3=V$3)*($V485:$AE485=V485)*($V$2:$AE$2&lt;V$2))),2))))</f>
      </c>
      <c r="AG485" s="33">
        <f>IF(W485&lt;=0,0,MAX(0,MIN(W485,ROUND($AZ485-SUMPRODUCT($V485:$AE485*($V485:$AE485&gt;0)*(($V$3:$AE$3&gt;W$3)+($V$3:$AE$3=W$3)*($V485:$AE485&lt;W485)+($V$3:$AE$3=W$3)*($V485:$AE485=W485)*($V$2:$AE$2&lt;W$2))),2))))</f>
      </c>
      <c r="AH485" s="33">
        <f>IF(X485&lt;=0,0,MAX(0,MIN(X485,ROUND($AZ485-SUMPRODUCT($V485:$AE485*($V485:$AE485&gt;0)*(($V$3:$AE$3&gt;X$3)+($V$3:$AE$3=X$3)*($V485:$AE485&lt;X485)+($V$3:$AE$3=X$3)*($V485:$AE485=X485)*($V$2:$AE$2&lt;X$2))),2))))</f>
      </c>
      <c r="AI485" s="33">
        <f>IF(Y485&lt;=0,0,MAX(0,MIN(Y485,ROUND($AZ485-SUMPRODUCT($V485:$AE485*($V485:$AE485&gt;0)*(($V$3:$AE$3&gt;Y$3)+($V$3:$AE$3=Y$3)*($V485:$AE485&lt;Y485)+($V$3:$AE$3=Y$3)*($V485:$AE485=Y485)*($V$2:$AE$2&lt;Y$2))),2))))</f>
      </c>
      <c r="AJ485" s="33">
        <f>IF(Z485&lt;=0,0,MAX(0,MIN(Z485,ROUND($AZ485-SUMPRODUCT($V485:$AE485*($V485:$AE485&gt;0)*(($V$3:$AE$3&gt;Z$3)+($V$3:$AE$3=Z$3)*($V485:$AE485&lt;Z485)+($V$3:$AE$3=Z$3)*($V485:$AE485=Z485)*($V$2:$AE$2&lt;Z$2))),2))))</f>
      </c>
      <c r="AK485" s="33">
        <f>IF(AA485&lt;=0,0,MAX(0,MIN(AA485,ROUND($AZ485-SUMPRODUCT($V485:$AE485*($V485:$AE485&gt;0)*(($V$3:$AE$3&gt;AA$3)+($V$3:$AE$3=AA$3)*($V485:$AE485&lt;AA485)+($V$3:$AE$3=AA$3)*($V485:$AE485=AA485)*($V$2:$AE$2&lt;AA$2))),2))))</f>
      </c>
      <c r="AL485" s="33">
        <f>IF(AB485&lt;=0,0,MAX(0,MIN(AB485,ROUND($AZ485-SUMPRODUCT($V485:$AE485*($V485:$AE485&gt;0)*(($V$3:$AE$3&gt;AB$3)+($V$3:$AE$3=AB$3)*($V485:$AE485&lt;AB485)+($V$3:$AE$3=AB$3)*($V485:$AE485=AB485)*($V$2:$AE$2&lt;AB$2))),2))))</f>
      </c>
      <c r="AM485" s="33">
        <f>IF(AC485&lt;=0,0,MAX(0,MIN(AC485,ROUND($AZ485-SUMPRODUCT($V485:$AE485*($V485:$AE485&gt;0)*(($V$3:$AE$3&gt;AC$3)+($V$3:$AE$3=AC$3)*($V485:$AE485&lt;AC485)+($V$3:$AE$3=AC$3)*($V485:$AE485=AC485)*($V$2:$AE$2&lt;AC$2))),2))))</f>
      </c>
      <c r="AN485" s="33">
        <f>IF(AD485&lt;=0,0,MAX(0,MIN(AD485,ROUND($AZ485-SUMPRODUCT($V485:$AE485*($V485:$AE485&gt;0)*(($V$3:$AE$3&gt;AD$3)+($V$3:$AE$3=AD$3)*($V485:$AE485&lt;AD485)+($V$3:$AE$3=AD$3)*($V485:$AE485=AD485)*($V$2:$AE$2&lt;AD$2))),2))))</f>
      </c>
      <c r="AO485" s="33">
        <f>IF(AE485&lt;=0,0,MAX(0,MIN(AE485,ROUND($AZ485-SUMPRODUCT($V485:$AE485*($V485:$AE485&gt;0)*(($V$3:$AE$3&gt;AE$3)+($V$3:$AE$3=AE$3)*($V485:$AE485&lt;AE485)+($V$3:$AE$3=AE$3)*($V485:$AE485=AE485)*($V$2:$AE$2&lt;AE$2))),2))))</f>
      </c>
      <c r="AP485" s="33">
        <f>ROUND(V485-AF485,2)</f>
      </c>
      <c r="AQ485" s="33">
        <f>ROUND(W485-AG485,2)</f>
      </c>
      <c r="AR485" s="33">
        <f>ROUND(X485-AH485,2)</f>
      </c>
      <c r="AS485" s="33">
        <f>ROUND(Y485-AI485,2)</f>
      </c>
      <c r="AT485" s="33">
        <f>ROUND(Z485-AJ485,2)</f>
      </c>
      <c r="AU485" s="33">
        <f>ROUND(AA485-AK485,2)</f>
      </c>
      <c r="AV485" s="33">
        <f>ROUND(AB485-AL485,2)</f>
      </c>
      <c r="AW485" s="33">
        <f>ROUND(AC485-AM485,2)</f>
      </c>
      <c r="AX485" s="33">
        <f>ROUND(AD485-AN485,2)</f>
      </c>
      <c r="AY485" s="33">
        <f>ROUND(AE485-AO485,2)</f>
      </c>
      <c r="AZ485" s="33">
        <f>ROUND(MAX(0,'Your debts'!$D$22-SUM($L485:$U485)),2)</f>
      </c>
      <c r="BA485" s="33">
        <f>ROUND(SUM($B485:$K485)-SUM($AP484:$AY484),2)</f>
      </c>
      <c r="BB485" s="33">
        <f>SUM($AP485:$AY485)</f>
      </c>
      <c r="BC485" s="33">
        <f>ROUND(SUM($L485:$U485)+SUM($AF485:$AO485),2)</f>
      </c>
    </row>
    <row r="486" spans="1:55" x14ac:dyDescent="0.25">
      <c r="A486">
        <v>479</v>
      </c>
      <c r="B486" s="33">
        <f>IF(AP485&lt;=0,0,ROUND(AP485+ROUND(AP485*V$3/12,2),2))</f>
      </c>
      <c r="C486" s="33">
        <f>IF(AQ485&lt;=0,0,ROUND(AQ485+ROUND(AQ485*W$3/12,2),2))</f>
      </c>
      <c r="D486" s="33">
        <f>IF(AR485&lt;=0,0,ROUND(AR485+ROUND(AR485*X$3/12,2),2))</f>
      </c>
      <c r="E486" s="33">
        <f>IF(AS485&lt;=0,0,ROUND(AS485+ROUND(AS485*Y$3/12,2),2))</f>
      </c>
      <c r="F486" s="33">
        <f>IF(AT485&lt;=0,0,ROUND(AT485+ROUND(AT485*Z$3/12,2),2))</f>
      </c>
      <c r="G486" s="33">
        <f>IF(AU485&lt;=0,0,ROUND(AU485+ROUND(AU485*AA$3/12,2),2))</f>
      </c>
      <c r="H486" s="33">
        <f>IF(AV485&lt;=0,0,ROUND(AV485+ROUND(AV485*AB$3/12,2),2))</f>
      </c>
      <c r="I486" s="33">
        <f>IF(AW485&lt;=0,0,ROUND(AW485+ROUND(AW485*AC$3/12,2),2))</f>
      </c>
      <c r="J486" s="33">
        <f>IF(AX485&lt;=0,0,ROUND(AX485+ROUND(AX485*AD$3/12,2),2))</f>
      </c>
      <c r="K486" s="33">
        <f>IF(AY485&lt;=0,0,ROUND(AY485+ROUND(AY485*AE$3/12,2),2))</f>
      </c>
      <c r="L486" s="33">
        <f>ROUND(MIN(MAX(0,N('Your debts'!$E$6)),B486),2)</f>
      </c>
      <c r="M486" s="33">
        <f>ROUND(MIN(MAX(0,N('Your debts'!$E$7)),C486),2)</f>
      </c>
      <c r="N486" s="33">
        <f>ROUND(MIN(MAX(0,N('Your debts'!$E$8)),D486),2)</f>
      </c>
      <c r="O486" s="33">
        <f>ROUND(MIN(MAX(0,N('Your debts'!$E$9)),E486),2)</f>
      </c>
      <c r="P486" s="33">
        <f>ROUND(MIN(MAX(0,N('Your debts'!$E$10)),F486),2)</f>
      </c>
      <c r="Q486" s="33">
        <f>ROUND(MIN(MAX(0,N('Your debts'!$E$11)),G486),2)</f>
      </c>
      <c r="R486" s="33">
        <f>ROUND(MIN(MAX(0,N('Your debts'!$E$12)),H486),2)</f>
      </c>
      <c r="S486" s="33">
        <f>ROUND(MIN(MAX(0,N('Your debts'!$E$13)),I486),2)</f>
      </c>
      <c r="T486" s="33">
        <f>ROUND(MIN(MAX(0,N('Your debts'!$E$14)),J486),2)</f>
      </c>
      <c r="U486" s="33">
        <f>ROUND(MIN(MAX(0,N('Your debts'!$E$15)),K486),2)</f>
      </c>
      <c r="V486" s="33">
        <f>ROUND(B486-L486,2)</f>
      </c>
      <c r="W486" s="33">
        <f>ROUND(C486-M486,2)</f>
      </c>
      <c r="X486" s="33">
        <f>ROUND(D486-N486,2)</f>
      </c>
      <c r="Y486" s="33">
        <f>ROUND(E486-O486,2)</f>
      </c>
      <c r="Z486" s="33">
        <f>ROUND(F486-P486,2)</f>
      </c>
      <c r="AA486" s="33">
        <f>ROUND(G486-Q486,2)</f>
      </c>
      <c r="AB486" s="33">
        <f>ROUND(H486-R486,2)</f>
      </c>
      <c r="AC486" s="33">
        <f>ROUND(I486-S486,2)</f>
      </c>
      <c r="AD486" s="33">
        <f>ROUND(J486-T486,2)</f>
      </c>
      <c r="AE486" s="33">
        <f>ROUND(K486-U486,2)</f>
      </c>
      <c r="AF486" s="33">
        <f>IF(V486&lt;=0,0,MAX(0,MIN(V486,ROUND($AZ486-SUMPRODUCT($V486:$AE486*($V486:$AE486&gt;0)*(($V$3:$AE$3&gt;V$3)+($V$3:$AE$3=V$3)*($V486:$AE486&lt;V486)+($V$3:$AE$3=V$3)*($V486:$AE486=V486)*($V$2:$AE$2&lt;V$2))),2))))</f>
      </c>
      <c r="AG486" s="33">
        <f>IF(W486&lt;=0,0,MAX(0,MIN(W486,ROUND($AZ486-SUMPRODUCT($V486:$AE486*($V486:$AE486&gt;0)*(($V$3:$AE$3&gt;W$3)+($V$3:$AE$3=W$3)*($V486:$AE486&lt;W486)+($V$3:$AE$3=W$3)*($V486:$AE486=W486)*($V$2:$AE$2&lt;W$2))),2))))</f>
      </c>
      <c r="AH486" s="33">
        <f>IF(X486&lt;=0,0,MAX(0,MIN(X486,ROUND($AZ486-SUMPRODUCT($V486:$AE486*($V486:$AE486&gt;0)*(($V$3:$AE$3&gt;X$3)+($V$3:$AE$3=X$3)*($V486:$AE486&lt;X486)+($V$3:$AE$3=X$3)*($V486:$AE486=X486)*($V$2:$AE$2&lt;X$2))),2))))</f>
      </c>
      <c r="AI486" s="33">
        <f>IF(Y486&lt;=0,0,MAX(0,MIN(Y486,ROUND($AZ486-SUMPRODUCT($V486:$AE486*($V486:$AE486&gt;0)*(($V$3:$AE$3&gt;Y$3)+($V$3:$AE$3=Y$3)*($V486:$AE486&lt;Y486)+($V$3:$AE$3=Y$3)*($V486:$AE486=Y486)*($V$2:$AE$2&lt;Y$2))),2))))</f>
      </c>
      <c r="AJ486" s="33">
        <f>IF(Z486&lt;=0,0,MAX(0,MIN(Z486,ROUND($AZ486-SUMPRODUCT($V486:$AE486*($V486:$AE486&gt;0)*(($V$3:$AE$3&gt;Z$3)+($V$3:$AE$3=Z$3)*($V486:$AE486&lt;Z486)+($V$3:$AE$3=Z$3)*($V486:$AE486=Z486)*($V$2:$AE$2&lt;Z$2))),2))))</f>
      </c>
      <c r="AK486" s="33">
        <f>IF(AA486&lt;=0,0,MAX(0,MIN(AA486,ROUND($AZ486-SUMPRODUCT($V486:$AE486*($V486:$AE486&gt;0)*(($V$3:$AE$3&gt;AA$3)+($V$3:$AE$3=AA$3)*($V486:$AE486&lt;AA486)+($V$3:$AE$3=AA$3)*($V486:$AE486=AA486)*($V$2:$AE$2&lt;AA$2))),2))))</f>
      </c>
      <c r="AL486" s="33">
        <f>IF(AB486&lt;=0,0,MAX(0,MIN(AB486,ROUND($AZ486-SUMPRODUCT($V486:$AE486*($V486:$AE486&gt;0)*(($V$3:$AE$3&gt;AB$3)+($V$3:$AE$3=AB$3)*($V486:$AE486&lt;AB486)+($V$3:$AE$3=AB$3)*($V486:$AE486=AB486)*($V$2:$AE$2&lt;AB$2))),2))))</f>
      </c>
      <c r="AM486" s="33">
        <f>IF(AC486&lt;=0,0,MAX(0,MIN(AC486,ROUND($AZ486-SUMPRODUCT($V486:$AE486*($V486:$AE486&gt;0)*(($V$3:$AE$3&gt;AC$3)+($V$3:$AE$3=AC$3)*($V486:$AE486&lt;AC486)+($V$3:$AE$3=AC$3)*($V486:$AE486=AC486)*($V$2:$AE$2&lt;AC$2))),2))))</f>
      </c>
      <c r="AN486" s="33">
        <f>IF(AD486&lt;=0,0,MAX(0,MIN(AD486,ROUND($AZ486-SUMPRODUCT($V486:$AE486*($V486:$AE486&gt;0)*(($V$3:$AE$3&gt;AD$3)+($V$3:$AE$3=AD$3)*($V486:$AE486&lt;AD486)+($V$3:$AE$3=AD$3)*($V486:$AE486=AD486)*($V$2:$AE$2&lt;AD$2))),2))))</f>
      </c>
      <c r="AO486" s="33">
        <f>IF(AE486&lt;=0,0,MAX(0,MIN(AE486,ROUND($AZ486-SUMPRODUCT($V486:$AE486*($V486:$AE486&gt;0)*(($V$3:$AE$3&gt;AE$3)+($V$3:$AE$3=AE$3)*($V486:$AE486&lt;AE486)+($V$3:$AE$3=AE$3)*($V486:$AE486=AE486)*($V$2:$AE$2&lt;AE$2))),2))))</f>
      </c>
      <c r="AP486" s="33">
        <f>ROUND(V486-AF486,2)</f>
      </c>
      <c r="AQ486" s="33">
        <f>ROUND(W486-AG486,2)</f>
      </c>
      <c r="AR486" s="33">
        <f>ROUND(X486-AH486,2)</f>
      </c>
      <c r="AS486" s="33">
        <f>ROUND(Y486-AI486,2)</f>
      </c>
      <c r="AT486" s="33">
        <f>ROUND(Z486-AJ486,2)</f>
      </c>
      <c r="AU486" s="33">
        <f>ROUND(AA486-AK486,2)</f>
      </c>
      <c r="AV486" s="33">
        <f>ROUND(AB486-AL486,2)</f>
      </c>
      <c r="AW486" s="33">
        <f>ROUND(AC486-AM486,2)</f>
      </c>
      <c r="AX486" s="33">
        <f>ROUND(AD486-AN486,2)</f>
      </c>
      <c r="AY486" s="33">
        <f>ROUND(AE486-AO486,2)</f>
      </c>
      <c r="AZ486" s="33">
        <f>ROUND(MAX(0,'Your debts'!$D$22-SUM($L486:$U486)),2)</f>
      </c>
      <c r="BA486" s="33">
        <f>ROUND(SUM($B486:$K486)-SUM($AP485:$AY485),2)</f>
      </c>
      <c r="BB486" s="33">
        <f>SUM($AP486:$AY486)</f>
      </c>
      <c r="BC486" s="33">
        <f>ROUND(SUM($L486:$U486)+SUM($AF486:$AO486),2)</f>
      </c>
    </row>
    <row r="487" spans="1:55" x14ac:dyDescent="0.25">
      <c r="A487">
        <v>480</v>
      </c>
      <c r="B487" s="33">
        <f>IF(AP486&lt;=0,0,ROUND(AP486+ROUND(AP486*V$3/12,2),2))</f>
      </c>
      <c r="C487" s="33">
        <f>IF(AQ486&lt;=0,0,ROUND(AQ486+ROUND(AQ486*W$3/12,2),2))</f>
      </c>
      <c r="D487" s="33">
        <f>IF(AR486&lt;=0,0,ROUND(AR486+ROUND(AR486*X$3/12,2),2))</f>
      </c>
      <c r="E487" s="33">
        <f>IF(AS486&lt;=0,0,ROUND(AS486+ROUND(AS486*Y$3/12,2),2))</f>
      </c>
      <c r="F487" s="33">
        <f>IF(AT486&lt;=0,0,ROUND(AT486+ROUND(AT486*Z$3/12,2),2))</f>
      </c>
      <c r="G487" s="33">
        <f>IF(AU486&lt;=0,0,ROUND(AU486+ROUND(AU486*AA$3/12,2),2))</f>
      </c>
      <c r="H487" s="33">
        <f>IF(AV486&lt;=0,0,ROUND(AV486+ROUND(AV486*AB$3/12,2),2))</f>
      </c>
      <c r="I487" s="33">
        <f>IF(AW486&lt;=0,0,ROUND(AW486+ROUND(AW486*AC$3/12,2),2))</f>
      </c>
      <c r="J487" s="33">
        <f>IF(AX486&lt;=0,0,ROUND(AX486+ROUND(AX486*AD$3/12,2),2))</f>
      </c>
      <c r="K487" s="33">
        <f>IF(AY486&lt;=0,0,ROUND(AY486+ROUND(AY486*AE$3/12,2),2))</f>
      </c>
      <c r="L487" s="33">
        <f>ROUND(MIN(MAX(0,N('Your debts'!$E$6)),B487),2)</f>
      </c>
      <c r="M487" s="33">
        <f>ROUND(MIN(MAX(0,N('Your debts'!$E$7)),C487),2)</f>
      </c>
      <c r="N487" s="33">
        <f>ROUND(MIN(MAX(0,N('Your debts'!$E$8)),D487),2)</f>
      </c>
      <c r="O487" s="33">
        <f>ROUND(MIN(MAX(0,N('Your debts'!$E$9)),E487),2)</f>
      </c>
      <c r="P487" s="33">
        <f>ROUND(MIN(MAX(0,N('Your debts'!$E$10)),F487),2)</f>
      </c>
      <c r="Q487" s="33">
        <f>ROUND(MIN(MAX(0,N('Your debts'!$E$11)),G487),2)</f>
      </c>
      <c r="R487" s="33">
        <f>ROUND(MIN(MAX(0,N('Your debts'!$E$12)),H487),2)</f>
      </c>
      <c r="S487" s="33">
        <f>ROUND(MIN(MAX(0,N('Your debts'!$E$13)),I487),2)</f>
      </c>
      <c r="T487" s="33">
        <f>ROUND(MIN(MAX(0,N('Your debts'!$E$14)),J487),2)</f>
      </c>
      <c r="U487" s="33">
        <f>ROUND(MIN(MAX(0,N('Your debts'!$E$15)),K487),2)</f>
      </c>
      <c r="V487" s="33">
        <f>ROUND(B487-L487,2)</f>
      </c>
      <c r="W487" s="33">
        <f>ROUND(C487-M487,2)</f>
      </c>
      <c r="X487" s="33">
        <f>ROUND(D487-N487,2)</f>
      </c>
      <c r="Y487" s="33">
        <f>ROUND(E487-O487,2)</f>
      </c>
      <c r="Z487" s="33">
        <f>ROUND(F487-P487,2)</f>
      </c>
      <c r="AA487" s="33">
        <f>ROUND(G487-Q487,2)</f>
      </c>
      <c r="AB487" s="33">
        <f>ROUND(H487-R487,2)</f>
      </c>
      <c r="AC487" s="33">
        <f>ROUND(I487-S487,2)</f>
      </c>
      <c r="AD487" s="33">
        <f>ROUND(J487-T487,2)</f>
      </c>
      <c r="AE487" s="33">
        <f>ROUND(K487-U487,2)</f>
      </c>
      <c r="AF487" s="33">
        <f>IF(V487&lt;=0,0,MAX(0,MIN(V487,ROUND($AZ487-SUMPRODUCT($V487:$AE487*($V487:$AE487&gt;0)*(($V$3:$AE$3&gt;V$3)+($V$3:$AE$3=V$3)*($V487:$AE487&lt;V487)+($V$3:$AE$3=V$3)*($V487:$AE487=V487)*($V$2:$AE$2&lt;V$2))),2))))</f>
      </c>
      <c r="AG487" s="33">
        <f>IF(W487&lt;=0,0,MAX(0,MIN(W487,ROUND($AZ487-SUMPRODUCT($V487:$AE487*($V487:$AE487&gt;0)*(($V$3:$AE$3&gt;W$3)+($V$3:$AE$3=W$3)*($V487:$AE487&lt;W487)+($V$3:$AE$3=W$3)*($V487:$AE487=W487)*($V$2:$AE$2&lt;W$2))),2))))</f>
      </c>
      <c r="AH487" s="33">
        <f>IF(X487&lt;=0,0,MAX(0,MIN(X487,ROUND($AZ487-SUMPRODUCT($V487:$AE487*($V487:$AE487&gt;0)*(($V$3:$AE$3&gt;X$3)+($V$3:$AE$3=X$3)*($V487:$AE487&lt;X487)+($V$3:$AE$3=X$3)*($V487:$AE487=X487)*($V$2:$AE$2&lt;X$2))),2))))</f>
      </c>
      <c r="AI487" s="33">
        <f>IF(Y487&lt;=0,0,MAX(0,MIN(Y487,ROUND($AZ487-SUMPRODUCT($V487:$AE487*($V487:$AE487&gt;0)*(($V$3:$AE$3&gt;Y$3)+($V$3:$AE$3=Y$3)*($V487:$AE487&lt;Y487)+($V$3:$AE$3=Y$3)*($V487:$AE487=Y487)*($V$2:$AE$2&lt;Y$2))),2))))</f>
      </c>
      <c r="AJ487" s="33">
        <f>IF(Z487&lt;=0,0,MAX(0,MIN(Z487,ROUND($AZ487-SUMPRODUCT($V487:$AE487*($V487:$AE487&gt;0)*(($V$3:$AE$3&gt;Z$3)+($V$3:$AE$3=Z$3)*($V487:$AE487&lt;Z487)+($V$3:$AE$3=Z$3)*($V487:$AE487=Z487)*($V$2:$AE$2&lt;Z$2))),2))))</f>
      </c>
      <c r="AK487" s="33">
        <f>IF(AA487&lt;=0,0,MAX(0,MIN(AA487,ROUND($AZ487-SUMPRODUCT($V487:$AE487*($V487:$AE487&gt;0)*(($V$3:$AE$3&gt;AA$3)+($V$3:$AE$3=AA$3)*($V487:$AE487&lt;AA487)+($V$3:$AE$3=AA$3)*($V487:$AE487=AA487)*($V$2:$AE$2&lt;AA$2))),2))))</f>
      </c>
      <c r="AL487" s="33">
        <f>IF(AB487&lt;=0,0,MAX(0,MIN(AB487,ROUND($AZ487-SUMPRODUCT($V487:$AE487*($V487:$AE487&gt;0)*(($V$3:$AE$3&gt;AB$3)+($V$3:$AE$3=AB$3)*($V487:$AE487&lt;AB487)+($V$3:$AE$3=AB$3)*($V487:$AE487=AB487)*($V$2:$AE$2&lt;AB$2))),2))))</f>
      </c>
      <c r="AM487" s="33">
        <f>IF(AC487&lt;=0,0,MAX(0,MIN(AC487,ROUND($AZ487-SUMPRODUCT($V487:$AE487*($V487:$AE487&gt;0)*(($V$3:$AE$3&gt;AC$3)+($V$3:$AE$3=AC$3)*($V487:$AE487&lt;AC487)+($V$3:$AE$3=AC$3)*($V487:$AE487=AC487)*($V$2:$AE$2&lt;AC$2))),2))))</f>
      </c>
      <c r="AN487" s="33">
        <f>IF(AD487&lt;=0,0,MAX(0,MIN(AD487,ROUND($AZ487-SUMPRODUCT($V487:$AE487*($V487:$AE487&gt;0)*(($V$3:$AE$3&gt;AD$3)+($V$3:$AE$3=AD$3)*($V487:$AE487&lt;AD487)+($V$3:$AE$3=AD$3)*($V487:$AE487=AD487)*($V$2:$AE$2&lt;AD$2))),2))))</f>
      </c>
      <c r="AO487" s="33">
        <f>IF(AE487&lt;=0,0,MAX(0,MIN(AE487,ROUND($AZ487-SUMPRODUCT($V487:$AE487*($V487:$AE487&gt;0)*(($V$3:$AE$3&gt;AE$3)+($V$3:$AE$3=AE$3)*($V487:$AE487&lt;AE487)+($V$3:$AE$3=AE$3)*($V487:$AE487=AE487)*($V$2:$AE$2&lt;AE$2))),2))))</f>
      </c>
      <c r="AP487" s="33">
        <f>ROUND(V487-AF487,2)</f>
      </c>
      <c r="AQ487" s="33">
        <f>ROUND(W487-AG487,2)</f>
      </c>
      <c r="AR487" s="33">
        <f>ROUND(X487-AH487,2)</f>
      </c>
      <c r="AS487" s="33">
        <f>ROUND(Y487-AI487,2)</f>
      </c>
      <c r="AT487" s="33">
        <f>ROUND(Z487-AJ487,2)</f>
      </c>
      <c r="AU487" s="33">
        <f>ROUND(AA487-AK487,2)</f>
      </c>
      <c r="AV487" s="33">
        <f>ROUND(AB487-AL487,2)</f>
      </c>
      <c r="AW487" s="33">
        <f>ROUND(AC487-AM487,2)</f>
      </c>
      <c r="AX487" s="33">
        <f>ROUND(AD487-AN487,2)</f>
      </c>
      <c r="AY487" s="33">
        <f>ROUND(AE487-AO487,2)</f>
      </c>
      <c r="AZ487" s="33">
        <f>ROUND(MAX(0,'Your debts'!$D$22-SUM($L487:$U487)),2)</f>
      </c>
      <c r="BA487" s="33">
        <f>ROUND(SUM($B487:$K487)-SUM($AP486:$AY486),2)</f>
      </c>
      <c r="BB487" s="33">
        <f>SUM($AP487:$AY487)</f>
      </c>
      <c r="BC487" s="33">
        <f>ROUND(SUM($L487:$U487)+SUM($AF487:$AO487),2)</f>
      </c>
    </row>
    <row r="488" spans="1:55" x14ac:dyDescent="0.25">
      <c r="A488">
        <v>481</v>
      </c>
      <c r="B488" s="33">
        <f>IF(AP487&lt;=0,0,ROUND(AP487+ROUND(AP487*V$3/12,2),2))</f>
      </c>
      <c r="C488" s="33">
        <f>IF(AQ487&lt;=0,0,ROUND(AQ487+ROUND(AQ487*W$3/12,2),2))</f>
      </c>
      <c r="D488" s="33">
        <f>IF(AR487&lt;=0,0,ROUND(AR487+ROUND(AR487*X$3/12,2),2))</f>
      </c>
      <c r="E488" s="33">
        <f>IF(AS487&lt;=0,0,ROUND(AS487+ROUND(AS487*Y$3/12,2),2))</f>
      </c>
      <c r="F488" s="33">
        <f>IF(AT487&lt;=0,0,ROUND(AT487+ROUND(AT487*Z$3/12,2),2))</f>
      </c>
      <c r="G488" s="33">
        <f>IF(AU487&lt;=0,0,ROUND(AU487+ROUND(AU487*AA$3/12,2),2))</f>
      </c>
      <c r="H488" s="33">
        <f>IF(AV487&lt;=0,0,ROUND(AV487+ROUND(AV487*AB$3/12,2),2))</f>
      </c>
      <c r="I488" s="33">
        <f>IF(AW487&lt;=0,0,ROUND(AW487+ROUND(AW487*AC$3/12,2),2))</f>
      </c>
      <c r="J488" s="33">
        <f>IF(AX487&lt;=0,0,ROUND(AX487+ROUND(AX487*AD$3/12,2),2))</f>
      </c>
      <c r="K488" s="33">
        <f>IF(AY487&lt;=0,0,ROUND(AY487+ROUND(AY487*AE$3/12,2),2))</f>
      </c>
      <c r="L488" s="33">
        <f>ROUND(MIN(MAX(0,N('Your debts'!$E$6)),B488),2)</f>
      </c>
      <c r="M488" s="33">
        <f>ROUND(MIN(MAX(0,N('Your debts'!$E$7)),C488),2)</f>
      </c>
      <c r="N488" s="33">
        <f>ROUND(MIN(MAX(0,N('Your debts'!$E$8)),D488),2)</f>
      </c>
      <c r="O488" s="33">
        <f>ROUND(MIN(MAX(0,N('Your debts'!$E$9)),E488),2)</f>
      </c>
      <c r="P488" s="33">
        <f>ROUND(MIN(MAX(0,N('Your debts'!$E$10)),F488),2)</f>
      </c>
      <c r="Q488" s="33">
        <f>ROUND(MIN(MAX(0,N('Your debts'!$E$11)),G488),2)</f>
      </c>
      <c r="R488" s="33">
        <f>ROUND(MIN(MAX(0,N('Your debts'!$E$12)),H488),2)</f>
      </c>
      <c r="S488" s="33">
        <f>ROUND(MIN(MAX(0,N('Your debts'!$E$13)),I488),2)</f>
      </c>
      <c r="T488" s="33">
        <f>ROUND(MIN(MAX(0,N('Your debts'!$E$14)),J488),2)</f>
      </c>
      <c r="U488" s="33">
        <f>ROUND(MIN(MAX(0,N('Your debts'!$E$15)),K488),2)</f>
      </c>
      <c r="V488" s="33">
        <f>ROUND(B488-L488,2)</f>
      </c>
      <c r="W488" s="33">
        <f>ROUND(C488-M488,2)</f>
      </c>
      <c r="X488" s="33">
        <f>ROUND(D488-N488,2)</f>
      </c>
      <c r="Y488" s="33">
        <f>ROUND(E488-O488,2)</f>
      </c>
      <c r="Z488" s="33">
        <f>ROUND(F488-P488,2)</f>
      </c>
      <c r="AA488" s="33">
        <f>ROUND(G488-Q488,2)</f>
      </c>
      <c r="AB488" s="33">
        <f>ROUND(H488-R488,2)</f>
      </c>
      <c r="AC488" s="33">
        <f>ROUND(I488-S488,2)</f>
      </c>
      <c r="AD488" s="33">
        <f>ROUND(J488-T488,2)</f>
      </c>
      <c r="AE488" s="33">
        <f>ROUND(K488-U488,2)</f>
      </c>
      <c r="AF488" s="33">
        <f>IF(V488&lt;=0,0,MAX(0,MIN(V488,ROUND($AZ488-SUMPRODUCT($V488:$AE488*($V488:$AE488&gt;0)*(($V$3:$AE$3&gt;V$3)+($V$3:$AE$3=V$3)*($V488:$AE488&lt;V488)+($V$3:$AE$3=V$3)*($V488:$AE488=V488)*($V$2:$AE$2&lt;V$2))),2))))</f>
      </c>
      <c r="AG488" s="33">
        <f>IF(W488&lt;=0,0,MAX(0,MIN(W488,ROUND($AZ488-SUMPRODUCT($V488:$AE488*($V488:$AE488&gt;0)*(($V$3:$AE$3&gt;W$3)+($V$3:$AE$3=W$3)*($V488:$AE488&lt;W488)+($V$3:$AE$3=W$3)*($V488:$AE488=W488)*($V$2:$AE$2&lt;W$2))),2))))</f>
      </c>
      <c r="AH488" s="33">
        <f>IF(X488&lt;=0,0,MAX(0,MIN(X488,ROUND($AZ488-SUMPRODUCT($V488:$AE488*($V488:$AE488&gt;0)*(($V$3:$AE$3&gt;X$3)+($V$3:$AE$3=X$3)*($V488:$AE488&lt;X488)+($V$3:$AE$3=X$3)*($V488:$AE488=X488)*($V$2:$AE$2&lt;X$2))),2))))</f>
      </c>
      <c r="AI488" s="33">
        <f>IF(Y488&lt;=0,0,MAX(0,MIN(Y488,ROUND($AZ488-SUMPRODUCT($V488:$AE488*($V488:$AE488&gt;0)*(($V$3:$AE$3&gt;Y$3)+($V$3:$AE$3=Y$3)*($V488:$AE488&lt;Y488)+($V$3:$AE$3=Y$3)*($V488:$AE488=Y488)*($V$2:$AE$2&lt;Y$2))),2))))</f>
      </c>
      <c r="AJ488" s="33">
        <f>IF(Z488&lt;=0,0,MAX(0,MIN(Z488,ROUND($AZ488-SUMPRODUCT($V488:$AE488*($V488:$AE488&gt;0)*(($V$3:$AE$3&gt;Z$3)+($V$3:$AE$3=Z$3)*($V488:$AE488&lt;Z488)+($V$3:$AE$3=Z$3)*($V488:$AE488=Z488)*($V$2:$AE$2&lt;Z$2))),2))))</f>
      </c>
      <c r="AK488" s="33">
        <f>IF(AA488&lt;=0,0,MAX(0,MIN(AA488,ROUND($AZ488-SUMPRODUCT($V488:$AE488*($V488:$AE488&gt;0)*(($V$3:$AE$3&gt;AA$3)+($V$3:$AE$3=AA$3)*($V488:$AE488&lt;AA488)+($V$3:$AE$3=AA$3)*($V488:$AE488=AA488)*($V$2:$AE$2&lt;AA$2))),2))))</f>
      </c>
      <c r="AL488" s="33">
        <f>IF(AB488&lt;=0,0,MAX(0,MIN(AB488,ROUND($AZ488-SUMPRODUCT($V488:$AE488*($V488:$AE488&gt;0)*(($V$3:$AE$3&gt;AB$3)+($V$3:$AE$3=AB$3)*($V488:$AE488&lt;AB488)+($V$3:$AE$3=AB$3)*($V488:$AE488=AB488)*($V$2:$AE$2&lt;AB$2))),2))))</f>
      </c>
      <c r="AM488" s="33">
        <f>IF(AC488&lt;=0,0,MAX(0,MIN(AC488,ROUND($AZ488-SUMPRODUCT($V488:$AE488*($V488:$AE488&gt;0)*(($V$3:$AE$3&gt;AC$3)+($V$3:$AE$3=AC$3)*($V488:$AE488&lt;AC488)+($V$3:$AE$3=AC$3)*($V488:$AE488=AC488)*($V$2:$AE$2&lt;AC$2))),2))))</f>
      </c>
      <c r="AN488" s="33">
        <f>IF(AD488&lt;=0,0,MAX(0,MIN(AD488,ROUND($AZ488-SUMPRODUCT($V488:$AE488*($V488:$AE488&gt;0)*(($V$3:$AE$3&gt;AD$3)+($V$3:$AE$3=AD$3)*($V488:$AE488&lt;AD488)+($V$3:$AE$3=AD$3)*($V488:$AE488=AD488)*($V$2:$AE$2&lt;AD$2))),2))))</f>
      </c>
      <c r="AO488" s="33">
        <f>IF(AE488&lt;=0,0,MAX(0,MIN(AE488,ROUND($AZ488-SUMPRODUCT($V488:$AE488*($V488:$AE488&gt;0)*(($V$3:$AE$3&gt;AE$3)+($V$3:$AE$3=AE$3)*($V488:$AE488&lt;AE488)+($V$3:$AE$3=AE$3)*($V488:$AE488=AE488)*($V$2:$AE$2&lt;AE$2))),2))))</f>
      </c>
      <c r="AP488" s="33">
        <f>ROUND(V488-AF488,2)</f>
      </c>
      <c r="AQ488" s="33">
        <f>ROUND(W488-AG488,2)</f>
      </c>
      <c r="AR488" s="33">
        <f>ROUND(X488-AH488,2)</f>
      </c>
      <c r="AS488" s="33">
        <f>ROUND(Y488-AI488,2)</f>
      </c>
      <c r="AT488" s="33">
        <f>ROUND(Z488-AJ488,2)</f>
      </c>
      <c r="AU488" s="33">
        <f>ROUND(AA488-AK488,2)</f>
      </c>
      <c r="AV488" s="33">
        <f>ROUND(AB488-AL488,2)</f>
      </c>
      <c r="AW488" s="33">
        <f>ROUND(AC488-AM488,2)</f>
      </c>
      <c r="AX488" s="33">
        <f>ROUND(AD488-AN488,2)</f>
      </c>
      <c r="AY488" s="33">
        <f>ROUND(AE488-AO488,2)</f>
      </c>
      <c r="AZ488" s="33">
        <f>ROUND(MAX(0,'Your debts'!$D$22-SUM($L488:$U488)),2)</f>
      </c>
      <c r="BA488" s="33">
        <f>ROUND(SUM($B488:$K488)-SUM($AP487:$AY487),2)</f>
      </c>
      <c r="BB488" s="33">
        <f>SUM($AP488:$AY488)</f>
      </c>
      <c r="BC488" s="33">
        <f>ROUND(SUM($L488:$U488)+SUM($AF488:$AO488),2)</f>
      </c>
    </row>
    <row r="489" spans="1:55" x14ac:dyDescent="0.25">
      <c r="A489">
        <v>482</v>
      </c>
      <c r="B489" s="33">
        <f>IF(AP488&lt;=0,0,ROUND(AP488+ROUND(AP488*V$3/12,2),2))</f>
      </c>
      <c r="C489" s="33">
        <f>IF(AQ488&lt;=0,0,ROUND(AQ488+ROUND(AQ488*W$3/12,2),2))</f>
      </c>
      <c r="D489" s="33">
        <f>IF(AR488&lt;=0,0,ROUND(AR488+ROUND(AR488*X$3/12,2),2))</f>
      </c>
      <c r="E489" s="33">
        <f>IF(AS488&lt;=0,0,ROUND(AS488+ROUND(AS488*Y$3/12,2),2))</f>
      </c>
      <c r="F489" s="33">
        <f>IF(AT488&lt;=0,0,ROUND(AT488+ROUND(AT488*Z$3/12,2),2))</f>
      </c>
      <c r="G489" s="33">
        <f>IF(AU488&lt;=0,0,ROUND(AU488+ROUND(AU488*AA$3/12,2),2))</f>
      </c>
      <c r="H489" s="33">
        <f>IF(AV488&lt;=0,0,ROUND(AV488+ROUND(AV488*AB$3/12,2),2))</f>
      </c>
      <c r="I489" s="33">
        <f>IF(AW488&lt;=0,0,ROUND(AW488+ROUND(AW488*AC$3/12,2),2))</f>
      </c>
      <c r="J489" s="33">
        <f>IF(AX488&lt;=0,0,ROUND(AX488+ROUND(AX488*AD$3/12,2),2))</f>
      </c>
      <c r="K489" s="33">
        <f>IF(AY488&lt;=0,0,ROUND(AY488+ROUND(AY488*AE$3/12,2),2))</f>
      </c>
      <c r="L489" s="33">
        <f>ROUND(MIN(MAX(0,N('Your debts'!$E$6)),B489),2)</f>
      </c>
      <c r="M489" s="33">
        <f>ROUND(MIN(MAX(0,N('Your debts'!$E$7)),C489),2)</f>
      </c>
      <c r="N489" s="33">
        <f>ROUND(MIN(MAX(0,N('Your debts'!$E$8)),D489),2)</f>
      </c>
      <c r="O489" s="33">
        <f>ROUND(MIN(MAX(0,N('Your debts'!$E$9)),E489),2)</f>
      </c>
      <c r="P489" s="33">
        <f>ROUND(MIN(MAX(0,N('Your debts'!$E$10)),F489),2)</f>
      </c>
      <c r="Q489" s="33">
        <f>ROUND(MIN(MAX(0,N('Your debts'!$E$11)),G489),2)</f>
      </c>
      <c r="R489" s="33">
        <f>ROUND(MIN(MAX(0,N('Your debts'!$E$12)),H489),2)</f>
      </c>
      <c r="S489" s="33">
        <f>ROUND(MIN(MAX(0,N('Your debts'!$E$13)),I489),2)</f>
      </c>
      <c r="T489" s="33">
        <f>ROUND(MIN(MAX(0,N('Your debts'!$E$14)),J489),2)</f>
      </c>
      <c r="U489" s="33">
        <f>ROUND(MIN(MAX(0,N('Your debts'!$E$15)),K489),2)</f>
      </c>
      <c r="V489" s="33">
        <f>ROUND(B489-L489,2)</f>
      </c>
      <c r="W489" s="33">
        <f>ROUND(C489-M489,2)</f>
      </c>
      <c r="X489" s="33">
        <f>ROUND(D489-N489,2)</f>
      </c>
      <c r="Y489" s="33">
        <f>ROUND(E489-O489,2)</f>
      </c>
      <c r="Z489" s="33">
        <f>ROUND(F489-P489,2)</f>
      </c>
      <c r="AA489" s="33">
        <f>ROUND(G489-Q489,2)</f>
      </c>
      <c r="AB489" s="33">
        <f>ROUND(H489-R489,2)</f>
      </c>
      <c r="AC489" s="33">
        <f>ROUND(I489-S489,2)</f>
      </c>
      <c r="AD489" s="33">
        <f>ROUND(J489-T489,2)</f>
      </c>
      <c r="AE489" s="33">
        <f>ROUND(K489-U489,2)</f>
      </c>
      <c r="AF489" s="33">
        <f>IF(V489&lt;=0,0,MAX(0,MIN(V489,ROUND($AZ489-SUMPRODUCT($V489:$AE489*($V489:$AE489&gt;0)*(($V$3:$AE$3&gt;V$3)+($V$3:$AE$3=V$3)*($V489:$AE489&lt;V489)+($V$3:$AE$3=V$3)*($V489:$AE489=V489)*($V$2:$AE$2&lt;V$2))),2))))</f>
      </c>
      <c r="AG489" s="33">
        <f>IF(W489&lt;=0,0,MAX(0,MIN(W489,ROUND($AZ489-SUMPRODUCT($V489:$AE489*($V489:$AE489&gt;0)*(($V$3:$AE$3&gt;W$3)+($V$3:$AE$3=W$3)*($V489:$AE489&lt;W489)+($V$3:$AE$3=W$3)*($V489:$AE489=W489)*($V$2:$AE$2&lt;W$2))),2))))</f>
      </c>
      <c r="AH489" s="33">
        <f>IF(X489&lt;=0,0,MAX(0,MIN(X489,ROUND($AZ489-SUMPRODUCT($V489:$AE489*($V489:$AE489&gt;0)*(($V$3:$AE$3&gt;X$3)+($V$3:$AE$3=X$3)*($V489:$AE489&lt;X489)+($V$3:$AE$3=X$3)*($V489:$AE489=X489)*($V$2:$AE$2&lt;X$2))),2))))</f>
      </c>
      <c r="AI489" s="33">
        <f>IF(Y489&lt;=0,0,MAX(0,MIN(Y489,ROUND($AZ489-SUMPRODUCT($V489:$AE489*($V489:$AE489&gt;0)*(($V$3:$AE$3&gt;Y$3)+($V$3:$AE$3=Y$3)*($V489:$AE489&lt;Y489)+($V$3:$AE$3=Y$3)*($V489:$AE489=Y489)*($V$2:$AE$2&lt;Y$2))),2))))</f>
      </c>
      <c r="AJ489" s="33">
        <f>IF(Z489&lt;=0,0,MAX(0,MIN(Z489,ROUND($AZ489-SUMPRODUCT($V489:$AE489*($V489:$AE489&gt;0)*(($V$3:$AE$3&gt;Z$3)+($V$3:$AE$3=Z$3)*($V489:$AE489&lt;Z489)+($V$3:$AE$3=Z$3)*($V489:$AE489=Z489)*($V$2:$AE$2&lt;Z$2))),2))))</f>
      </c>
      <c r="AK489" s="33">
        <f>IF(AA489&lt;=0,0,MAX(0,MIN(AA489,ROUND($AZ489-SUMPRODUCT($V489:$AE489*($V489:$AE489&gt;0)*(($V$3:$AE$3&gt;AA$3)+($V$3:$AE$3=AA$3)*($V489:$AE489&lt;AA489)+($V$3:$AE$3=AA$3)*($V489:$AE489=AA489)*($V$2:$AE$2&lt;AA$2))),2))))</f>
      </c>
      <c r="AL489" s="33">
        <f>IF(AB489&lt;=0,0,MAX(0,MIN(AB489,ROUND($AZ489-SUMPRODUCT($V489:$AE489*($V489:$AE489&gt;0)*(($V$3:$AE$3&gt;AB$3)+($V$3:$AE$3=AB$3)*($V489:$AE489&lt;AB489)+($V$3:$AE$3=AB$3)*($V489:$AE489=AB489)*($V$2:$AE$2&lt;AB$2))),2))))</f>
      </c>
      <c r="AM489" s="33">
        <f>IF(AC489&lt;=0,0,MAX(0,MIN(AC489,ROUND($AZ489-SUMPRODUCT($V489:$AE489*($V489:$AE489&gt;0)*(($V$3:$AE$3&gt;AC$3)+($V$3:$AE$3=AC$3)*($V489:$AE489&lt;AC489)+($V$3:$AE$3=AC$3)*($V489:$AE489=AC489)*($V$2:$AE$2&lt;AC$2))),2))))</f>
      </c>
      <c r="AN489" s="33">
        <f>IF(AD489&lt;=0,0,MAX(0,MIN(AD489,ROUND($AZ489-SUMPRODUCT($V489:$AE489*($V489:$AE489&gt;0)*(($V$3:$AE$3&gt;AD$3)+($V$3:$AE$3=AD$3)*($V489:$AE489&lt;AD489)+($V$3:$AE$3=AD$3)*($V489:$AE489=AD489)*($V$2:$AE$2&lt;AD$2))),2))))</f>
      </c>
      <c r="AO489" s="33">
        <f>IF(AE489&lt;=0,0,MAX(0,MIN(AE489,ROUND($AZ489-SUMPRODUCT($V489:$AE489*($V489:$AE489&gt;0)*(($V$3:$AE$3&gt;AE$3)+($V$3:$AE$3=AE$3)*($V489:$AE489&lt;AE489)+($V$3:$AE$3=AE$3)*($V489:$AE489=AE489)*($V$2:$AE$2&lt;AE$2))),2))))</f>
      </c>
      <c r="AP489" s="33">
        <f>ROUND(V489-AF489,2)</f>
      </c>
      <c r="AQ489" s="33">
        <f>ROUND(W489-AG489,2)</f>
      </c>
      <c r="AR489" s="33">
        <f>ROUND(X489-AH489,2)</f>
      </c>
      <c r="AS489" s="33">
        <f>ROUND(Y489-AI489,2)</f>
      </c>
      <c r="AT489" s="33">
        <f>ROUND(Z489-AJ489,2)</f>
      </c>
      <c r="AU489" s="33">
        <f>ROUND(AA489-AK489,2)</f>
      </c>
      <c r="AV489" s="33">
        <f>ROUND(AB489-AL489,2)</f>
      </c>
      <c r="AW489" s="33">
        <f>ROUND(AC489-AM489,2)</f>
      </c>
      <c r="AX489" s="33">
        <f>ROUND(AD489-AN489,2)</f>
      </c>
      <c r="AY489" s="33">
        <f>ROUND(AE489-AO489,2)</f>
      </c>
      <c r="AZ489" s="33">
        <f>ROUND(MAX(0,'Your debts'!$D$22-SUM($L489:$U489)),2)</f>
      </c>
      <c r="BA489" s="33">
        <f>ROUND(SUM($B489:$K489)-SUM($AP488:$AY488),2)</f>
      </c>
      <c r="BB489" s="33">
        <f>SUM($AP489:$AY489)</f>
      </c>
      <c r="BC489" s="33">
        <f>ROUND(SUM($L489:$U489)+SUM($AF489:$AO489),2)</f>
      </c>
    </row>
    <row r="490" spans="1:55" x14ac:dyDescent="0.25">
      <c r="A490">
        <v>483</v>
      </c>
      <c r="B490" s="33">
        <f>IF(AP489&lt;=0,0,ROUND(AP489+ROUND(AP489*V$3/12,2),2))</f>
      </c>
      <c r="C490" s="33">
        <f>IF(AQ489&lt;=0,0,ROUND(AQ489+ROUND(AQ489*W$3/12,2),2))</f>
      </c>
      <c r="D490" s="33">
        <f>IF(AR489&lt;=0,0,ROUND(AR489+ROUND(AR489*X$3/12,2),2))</f>
      </c>
      <c r="E490" s="33">
        <f>IF(AS489&lt;=0,0,ROUND(AS489+ROUND(AS489*Y$3/12,2),2))</f>
      </c>
      <c r="F490" s="33">
        <f>IF(AT489&lt;=0,0,ROUND(AT489+ROUND(AT489*Z$3/12,2),2))</f>
      </c>
      <c r="G490" s="33">
        <f>IF(AU489&lt;=0,0,ROUND(AU489+ROUND(AU489*AA$3/12,2),2))</f>
      </c>
      <c r="H490" s="33">
        <f>IF(AV489&lt;=0,0,ROUND(AV489+ROUND(AV489*AB$3/12,2),2))</f>
      </c>
      <c r="I490" s="33">
        <f>IF(AW489&lt;=0,0,ROUND(AW489+ROUND(AW489*AC$3/12,2),2))</f>
      </c>
      <c r="J490" s="33">
        <f>IF(AX489&lt;=0,0,ROUND(AX489+ROUND(AX489*AD$3/12,2),2))</f>
      </c>
      <c r="K490" s="33">
        <f>IF(AY489&lt;=0,0,ROUND(AY489+ROUND(AY489*AE$3/12,2),2))</f>
      </c>
      <c r="L490" s="33">
        <f>ROUND(MIN(MAX(0,N('Your debts'!$E$6)),B490),2)</f>
      </c>
      <c r="M490" s="33">
        <f>ROUND(MIN(MAX(0,N('Your debts'!$E$7)),C490),2)</f>
      </c>
      <c r="N490" s="33">
        <f>ROUND(MIN(MAX(0,N('Your debts'!$E$8)),D490),2)</f>
      </c>
      <c r="O490" s="33">
        <f>ROUND(MIN(MAX(0,N('Your debts'!$E$9)),E490),2)</f>
      </c>
      <c r="P490" s="33">
        <f>ROUND(MIN(MAX(0,N('Your debts'!$E$10)),F490),2)</f>
      </c>
      <c r="Q490" s="33">
        <f>ROUND(MIN(MAX(0,N('Your debts'!$E$11)),G490),2)</f>
      </c>
      <c r="R490" s="33">
        <f>ROUND(MIN(MAX(0,N('Your debts'!$E$12)),H490),2)</f>
      </c>
      <c r="S490" s="33">
        <f>ROUND(MIN(MAX(0,N('Your debts'!$E$13)),I490),2)</f>
      </c>
      <c r="T490" s="33">
        <f>ROUND(MIN(MAX(0,N('Your debts'!$E$14)),J490),2)</f>
      </c>
      <c r="U490" s="33">
        <f>ROUND(MIN(MAX(0,N('Your debts'!$E$15)),K490),2)</f>
      </c>
      <c r="V490" s="33">
        <f>ROUND(B490-L490,2)</f>
      </c>
      <c r="W490" s="33">
        <f>ROUND(C490-M490,2)</f>
      </c>
      <c r="X490" s="33">
        <f>ROUND(D490-N490,2)</f>
      </c>
      <c r="Y490" s="33">
        <f>ROUND(E490-O490,2)</f>
      </c>
      <c r="Z490" s="33">
        <f>ROUND(F490-P490,2)</f>
      </c>
      <c r="AA490" s="33">
        <f>ROUND(G490-Q490,2)</f>
      </c>
      <c r="AB490" s="33">
        <f>ROUND(H490-R490,2)</f>
      </c>
      <c r="AC490" s="33">
        <f>ROUND(I490-S490,2)</f>
      </c>
      <c r="AD490" s="33">
        <f>ROUND(J490-T490,2)</f>
      </c>
      <c r="AE490" s="33">
        <f>ROUND(K490-U490,2)</f>
      </c>
      <c r="AF490" s="33">
        <f>IF(V490&lt;=0,0,MAX(0,MIN(V490,ROUND($AZ490-SUMPRODUCT($V490:$AE490*($V490:$AE490&gt;0)*(($V$3:$AE$3&gt;V$3)+($V$3:$AE$3=V$3)*($V490:$AE490&lt;V490)+($V$3:$AE$3=V$3)*($V490:$AE490=V490)*($V$2:$AE$2&lt;V$2))),2))))</f>
      </c>
      <c r="AG490" s="33">
        <f>IF(W490&lt;=0,0,MAX(0,MIN(W490,ROUND($AZ490-SUMPRODUCT($V490:$AE490*($V490:$AE490&gt;0)*(($V$3:$AE$3&gt;W$3)+($V$3:$AE$3=W$3)*($V490:$AE490&lt;W490)+($V$3:$AE$3=W$3)*($V490:$AE490=W490)*($V$2:$AE$2&lt;W$2))),2))))</f>
      </c>
      <c r="AH490" s="33">
        <f>IF(X490&lt;=0,0,MAX(0,MIN(X490,ROUND($AZ490-SUMPRODUCT($V490:$AE490*($V490:$AE490&gt;0)*(($V$3:$AE$3&gt;X$3)+($V$3:$AE$3=X$3)*($V490:$AE490&lt;X490)+($V$3:$AE$3=X$3)*($V490:$AE490=X490)*($V$2:$AE$2&lt;X$2))),2))))</f>
      </c>
      <c r="AI490" s="33">
        <f>IF(Y490&lt;=0,0,MAX(0,MIN(Y490,ROUND($AZ490-SUMPRODUCT($V490:$AE490*($V490:$AE490&gt;0)*(($V$3:$AE$3&gt;Y$3)+($V$3:$AE$3=Y$3)*($V490:$AE490&lt;Y490)+($V$3:$AE$3=Y$3)*($V490:$AE490=Y490)*($V$2:$AE$2&lt;Y$2))),2))))</f>
      </c>
      <c r="AJ490" s="33">
        <f>IF(Z490&lt;=0,0,MAX(0,MIN(Z490,ROUND($AZ490-SUMPRODUCT($V490:$AE490*($V490:$AE490&gt;0)*(($V$3:$AE$3&gt;Z$3)+($V$3:$AE$3=Z$3)*($V490:$AE490&lt;Z490)+($V$3:$AE$3=Z$3)*($V490:$AE490=Z490)*($V$2:$AE$2&lt;Z$2))),2))))</f>
      </c>
      <c r="AK490" s="33">
        <f>IF(AA490&lt;=0,0,MAX(0,MIN(AA490,ROUND($AZ490-SUMPRODUCT($V490:$AE490*($V490:$AE490&gt;0)*(($V$3:$AE$3&gt;AA$3)+($V$3:$AE$3=AA$3)*($V490:$AE490&lt;AA490)+($V$3:$AE$3=AA$3)*($V490:$AE490=AA490)*($V$2:$AE$2&lt;AA$2))),2))))</f>
      </c>
      <c r="AL490" s="33">
        <f>IF(AB490&lt;=0,0,MAX(0,MIN(AB490,ROUND($AZ490-SUMPRODUCT($V490:$AE490*($V490:$AE490&gt;0)*(($V$3:$AE$3&gt;AB$3)+($V$3:$AE$3=AB$3)*($V490:$AE490&lt;AB490)+($V$3:$AE$3=AB$3)*($V490:$AE490=AB490)*($V$2:$AE$2&lt;AB$2))),2))))</f>
      </c>
      <c r="AM490" s="33">
        <f>IF(AC490&lt;=0,0,MAX(0,MIN(AC490,ROUND($AZ490-SUMPRODUCT($V490:$AE490*($V490:$AE490&gt;0)*(($V$3:$AE$3&gt;AC$3)+($V$3:$AE$3=AC$3)*($V490:$AE490&lt;AC490)+($V$3:$AE$3=AC$3)*($V490:$AE490=AC490)*($V$2:$AE$2&lt;AC$2))),2))))</f>
      </c>
      <c r="AN490" s="33">
        <f>IF(AD490&lt;=0,0,MAX(0,MIN(AD490,ROUND($AZ490-SUMPRODUCT($V490:$AE490*($V490:$AE490&gt;0)*(($V$3:$AE$3&gt;AD$3)+($V$3:$AE$3=AD$3)*($V490:$AE490&lt;AD490)+($V$3:$AE$3=AD$3)*($V490:$AE490=AD490)*($V$2:$AE$2&lt;AD$2))),2))))</f>
      </c>
      <c r="AO490" s="33">
        <f>IF(AE490&lt;=0,0,MAX(0,MIN(AE490,ROUND($AZ490-SUMPRODUCT($V490:$AE490*($V490:$AE490&gt;0)*(($V$3:$AE$3&gt;AE$3)+($V$3:$AE$3=AE$3)*($V490:$AE490&lt;AE490)+($V$3:$AE$3=AE$3)*($V490:$AE490=AE490)*($V$2:$AE$2&lt;AE$2))),2))))</f>
      </c>
      <c r="AP490" s="33">
        <f>ROUND(V490-AF490,2)</f>
      </c>
      <c r="AQ490" s="33">
        <f>ROUND(W490-AG490,2)</f>
      </c>
      <c r="AR490" s="33">
        <f>ROUND(X490-AH490,2)</f>
      </c>
      <c r="AS490" s="33">
        <f>ROUND(Y490-AI490,2)</f>
      </c>
      <c r="AT490" s="33">
        <f>ROUND(Z490-AJ490,2)</f>
      </c>
      <c r="AU490" s="33">
        <f>ROUND(AA490-AK490,2)</f>
      </c>
      <c r="AV490" s="33">
        <f>ROUND(AB490-AL490,2)</f>
      </c>
      <c r="AW490" s="33">
        <f>ROUND(AC490-AM490,2)</f>
      </c>
      <c r="AX490" s="33">
        <f>ROUND(AD490-AN490,2)</f>
      </c>
      <c r="AY490" s="33">
        <f>ROUND(AE490-AO490,2)</f>
      </c>
      <c r="AZ490" s="33">
        <f>ROUND(MAX(0,'Your debts'!$D$22-SUM($L490:$U490)),2)</f>
      </c>
      <c r="BA490" s="33">
        <f>ROUND(SUM($B490:$K490)-SUM($AP489:$AY489),2)</f>
      </c>
      <c r="BB490" s="33">
        <f>SUM($AP490:$AY490)</f>
      </c>
      <c r="BC490" s="33">
        <f>ROUND(SUM($L490:$U490)+SUM($AF490:$AO490),2)</f>
      </c>
    </row>
    <row r="491" spans="1:55" x14ac:dyDescent="0.25">
      <c r="A491">
        <v>484</v>
      </c>
      <c r="B491" s="33">
        <f>IF(AP490&lt;=0,0,ROUND(AP490+ROUND(AP490*V$3/12,2),2))</f>
      </c>
      <c r="C491" s="33">
        <f>IF(AQ490&lt;=0,0,ROUND(AQ490+ROUND(AQ490*W$3/12,2),2))</f>
      </c>
      <c r="D491" s="33">
        <f>IF(AR490&lt;=0,0,ROUND(AR490+ROUND(AR490*X$3/12,2),2))</f>
      </c>
      <c r="E491" s="33">
        <f>IF(AS490&lt;=0,0,ROUND(AS490+ROUND(AS490*Y$3/12,2),2))</f>
      </c>
      <c r="F491" s="33">
        <f>IF(AT490&lt;=0,0,ROUND(AT490+ROUND(AT490*Z$3/12,2),2))</f>
      </c>
      <c r="G491" s="33">
        <f>IF(AU490&lt;=0,0,ROUND(AU490+ROUND(AU490*AA$3/12,2),2))</f>
      </c>
      <c r="H491" s="33">
        <f>IF(AV490&lt;=0,0,ROUND(AV490+ROUND(AV490*AB$3/12,2),2))</f>
      </c>
      <c r="I491" s="33">
        <f>IF(AW490&lt;=0,0,ROUND(AW490+ROUND(AW490*AC$3/12,2),2))</f>
      </c>
      <c r="J491" s="33">
        <f>IF(AX490&lt;=0,0,ROUND(AX490+ROUND(AX490*AD$3/12,2),2))</f>
      </c>
      <c r="K491" s="33">
        <f>IF(AY490&lt;=0,0,ROUND(AY490+ROUND(AY490*AE$3/12,2),2))</f>
      </c>
      <c r="L491" s="33">
        <f>ROUND(MIN(MAX(0,N('Your debts'!$E$6)),B491),2)</f>
      </c>
      <c r="M491" s="33">
        <f>ROUND(MIN(MAX(0,N('Your debts'!$E$7)),C491),2)</f>
      </c>
      <c r="N491" s="33">
        <f>ROUND(MIN(MAX(0,N('Your debts'!$E$8)),D491),2)</f>
      </c>
      <c r="O491" s="33">
        <f>ROUND(MIN(MAX(0,N('Your debts'!$E$9)),E491),2)</f>
      </c>
      <c r="P491" s="33">
        <f>ROUND(MIN(MAX(0,N('Your debts'!$E$10)),F491),2)</f>
      </c>
      <c r="Q491" s="33">
        <f>ROUND(MIN(MAX(0,N('Your debts'!$E$11)),G491),2)</f>
      </c>
      <c r="R491" s="33">
        <f>ROUND(MIN(MAX(0,N('Your debts'!$E$12)),H491),2)</f>
      </c>
      <c r="S491" s="33">
        <f>ROUND(MIN(MAX(0,N('Your debts'!$E$13)),I491),2)</f>
      </c>
      <c r="T491" s="33">
        <f>ROUND(MIN(MAX(0,N('Your debts'!$E$14)),J491),2)</f>
      </c>
      <c r="U491" s="33">
        <f>ROUND(MIN(MAX(0,N('Your debts'!$E$15)),K491),2)</f>
      </c>
      <c r="V491" s="33">
        <f>ROUND(B491-L491,2)</f>
      </c>
      <c r="W491" s="33">
        <f>ROUND(C491-M491,2)</f>
      </c>
      <c r="X491" s="33">
        <f>ROUND(D491-N491,2)</f>
      </c>
      <c r="Y491" s="33">
        <f>ROUND(E491-O491,2)</f>
      </c>
      <c r="Z491" s="33">
        <f>ROUND(F491-P491,2)</f>
      </c>
      <c r="AA491" s="33">
        <f>ROUND(G491-Q491,2)</f>
      </c>
      <c r="AB491" s="33">
        <f>ROUND(H491-R491,2)</f>
      </c>
      <c r="AC491" s="33">
        <f>ROUND(I491-S491,2)</f>
      </c>
      <c r="AD491" s="33">
        <f>ROUND(J491-T491,2)</f>
      </c>
      <c r="AE491" s="33">
        <f>ROUND(K491-U491,2)</f>
      </c>
      <c r="AF491" s="33">
        <f>IF(V491&lt;=0,0,MAX(0,MIN(V491,ROUND($AZ491-SUMPRODUCT($V491:$AE491*($V491:$AE491&gt;0)*(($V$3:$AE$3&gt;V$3)+($V$3:$AE$3=V$3)*($V491:$AE491&lt;V491)+($V$3:$AE$3=V$3)*($V491:$AE491=V491)*($V$2:$AE$2&lt;V$2))),2))))</f>
      </c>
      <c r="AG491" s="33">
        <f>IF(W491&lt;=0,0,MAX(0,MIN(W491,ROUND($AZ491-SUMPRODUCT($V491:$AE491*($V491:$AE491&gt;0)*(($V$3:$AE$3&gt;W$3)+($V$3:$AE$3=W$3)*($V491:$AE491&lt;W491)+($V$3:$AE$3=W$3)*($V491:$AE491=W491)*($V$2:$AE$2&lt;W$2))),2))))</f>
      </c>
      <c r="AH491" s="33">
        <f>IF(X491&lt;=0,0,MAX(0,MIN(X491,ROUND($AZ491-SUMPRODUCT($V491:$AE491*($V491:$AE491&gt;0)*(($V$3:$AE$3&gt;X$3)+($V$3:$AE$3=X$3)*($V491:$AE491&lt;X491)+($V$3:$AE$3=X$3)*($V491:$AE491=X491)*($V$2:$AE$2&lt;X$2))),2))))</f>
      </c>
      <c r="AI491" s="33">
        <f>IF(Y491&lt;=0,0,MAX(0,MIN(Y491,ROUND($AZ491-SUMPRODUCT($V491:$AE491*($V491:$AE491&gt;0)*(($V$3:$AE$3&gt;Y$3)+($V$3:$AE$3=Y$3)*($V491:$AE491&lt;Y491)+($V$3:$AE$3=Y$3)*($V491:$AE491=Y491)*($V$2:$AE$2&lt;Y$2))),2))))</f>
      </c>
      <c r="AJ491" s="33">
        <f>IF(Z491&lt;=0,0,MAX(0,MIN(Z491,ROUND($AZ491-SUMPRODUCT($V491:$AE491*($V491:$AE491&gt;0)*(($V$3:$AE$3&gt;Z$3)+($V$3:$AE$3=Z$3)*($V491:$AE491&lt;Z491)+($V$3:$AE$3=Z$3)*($V491:$AE491=Z491)*($V$2:$AE$2&lt;Z$2))),2))))</f>
      </c>
      <c r="AK491" s="33">
        <f>IF(AA491&lt;=0,0,MAX(0,MIN(AA491,ROUND($AZ491-SUMPRODUCT($V491:$AE491*($V491:$AE491&gt;0)*(($V$3:$AE$3&gt;AA$3)+($V$3:$AE$3=AA$3)*($V491:$AE491&lt;AA491)+($V$3:$AE$3=AA$3)*($V491:$AE491=AA491)*($V$2:$AE$2&lt;AA$2))),2))))</f>
      </c>
      <c r="AL491" s="33">
        <f>IF(AB491&lt;=0,0,MAX(0,MIN(AB491,ROUND($AZ491-SUMPRODUCT($V491:$AE491*($V491:$AE491&gt;0)*(($V$3:$AE$3&gt;AB$3)+($V$3:$AE$3=AB$3)*($V491:$AE491&lt;AB491)+($V$3:$AE$3=AB$3)*($V491:$AE491=AB491)*($V$2:$AE$2&lt;AB$2))),2))))</f>
      </c>
      <c r="AM491" s="33">
        <f>IF(AC491&lt;=0,0,MAX(0,MIN(AC491,ROUND($AZ491-SUMPRODUCT($V491:$AE491*($V491:$AE491&gt;0)*(($V$3:$AE$3&gt;AC$3)+($V$3:$AE$3=AC$3)*($V491:$AE491&lt;AC491)+($V$3:$AE$3=AC$3)*($V491:$AE491=AC491)*($V$2:$AE$2&lt;AC$2))),2))))</f>
      </c>
      <c r="AN491" s="33">
        <f>IF(AD491&lt;=0,0,MAX(0,MIN(AD491,ROUND($AZ491-SUMPRODUCT($V491:$AE491*($V491:$AE491&gt;0)*(($V$3:$AE$3&gt;AD$3)+($V$3:$AE$3=AD$3)*($V491:$AE491&lt;AD491)+($V$3:$AE$3=AD$3)*($V491:$AE491=AD491)*($V$2:$AE$2&lt;AD$2))),2))))</f>
      </c>
      <c r="AO491" s="33">
        <f>IF(AE491&lt;=0,0,MAX(0,MIN(AE491,ROUND($AZ491-SUMPRODUCT($V491:$AE491*($V491:$AE491&gt;0)*(($V$3:$AE$3&gt;AE$3)+($V$3:$AE$3=AE$3)*($V491:$AE491&lt;AE491)+($V$3:$AE$3=AE$3)*($V491:$AE491=AE491)*($V$2:$AE$2&lt;AE$2))),2))))</f>
      </c>
      <c r="AP491" s="33">
        <f>ROUND(V491-AF491,2)</f>
      </c>
      <c r="AQ491" s="33">
        <f>ROUND(W491-AG491,2)</f>
      </c>
      <c r="AR491" s="33">
        <f>ROUND(X491-AH491,2)</f>
      </c>
      <c r="AS491" s="33">
        <f>ROUND(Y491-AI491,2)</f>
      </c>
      <c r="AT491" s="33">
        <f>ROUND(Z491-AJ491,2)</f>
      </c>
      <c r="AU491" s="33">
        <f>ROUND(AA491-AK491,2)</f>
      </c>
      <c r="AV491" s="33">
        <f>ROUND(AB491-AL491,2)</f>
      </c>
      <c r="AW491" s="33">
        <f>ROUND(AC491-AM491,2)</f>
      </c>
      <c r="AX491" s="33">
        <f>ROUND(AD491-AN491,2)</f>
      </c>
      <c r="AY491" s="33">
        <f>ROUND(AE491-AO491,2)</f>
      </c>
      <c r="AZ491" s="33">
        <f>ROUND(MAX(0,'Your debts'!$D$22-SUM($L491:$U491)),2)</f>
      </c>
      <c r="BA491" s="33">
        <f>ROUND(SUM($B491:$K491)-SUM($AP490:$AY490),2)</f>
      </c>
      <c r="BB491" s="33">
        <f>SUM($AP491:$AY491)</f>
      </c>
      <c r="BC491" s="33">
        <f>ROUND(SUM($L491:$U491)+SUM($AF491:$AO491),2)</f>
      </c>
    </row>
    <row r="492" spans="1:55" x14ac:dyDescent="0.25">
      <c r="A492">
        <v>485</v>
      </c>
      <c r="B492" s="33">
        <f>IF(AP491&lt;=0,0,ROUND(AP491+ROUND(AP491*V$3/12,2),2))</f>
      </c>
      <c r="C492" s="33">
        <f>IF(AQ491&lt;=0,0,ROUND(AQ491+ROUND(AQ491*W$3/12,2),2))</f>
      </c>
      <c r="D492" s="33">
        <f>IF(AR491&lt;=0,0,ROUND(AR491+ROUND(AR491*X$3/12,2),2))</f>
      </c>
      <c r="E492" s="33">
        <f>IF(AS491&lt;=0,0,ROUND(AS491+ROUND(AS491*Y$3/12,2),2))</f>
      </c>
      <c r="F492" s="33">
        <f>IF(AT491&lt;=0,0,ROUND(AT491+ROUND(AT491*Z$3/12,2),2))</f>
      </c>
      <c r="G492" s="33">
        <f>IF(AU491&lt;=0,0,ROUND(AU491+ROUND(AU491*AA$3/12,2),2))</f>
      </c>
      <c r="H492" s="33">
        <f>IF(AV491&lt;=0,0,ROUND(AV491+ROUND(AV491*AB$3/12,2),2))</f>
      </c>
      <c r="I492" s="33">
        <f>IF(AW491&lt;=0,0,ROUND(AW491+ROUND(AW491*AC$3/12,2),2))</f>
      </c>
      <c r="J492" s="33">
        <f>IF(AX491&lt;=0,0,ROUND(AX491+ROUND(AX491*AD$3/12,2),2))</f>
      </c>
      <c r="K492" s="33">
        <f>IF(AY491&lt;=0,0,ROUND(AY491+ROUND(AY491*AE$3/12,2),2))</f>
      </c>
      <c r="L492" s="33">
        <f>ROUND(MIN(MAX(0,N('Your debts'!$E$6)),B492),2)</f>
      </c>
      <c r="M492" s="33">
        <f>ROUND(MIN(MAX(0,N('Your debts'!$E$7)),C492),2)</f>
      </c>
      <c r="N492" s="33">
        <f>ROUND(MIN(MAX(0,N('Your debts'!$E$8)),D492),2)</f>
      </c>
      <c r="O492" s="33">
        <f>ROUND(MIN(MAX(0,N('Your debts'!$E$9)),E492),2)</f>
      </c>
      <c r="P492" s="33">
        <f>ROUND(MIN(MAX(0,N('Your debts'!$E$10)),F492),2)</f>
      </c>
      <c r="Q492" s="33">
        <f>ROUND(MIN(MAX(0,N('Your debts'!$E$11)),G492),2)</f>
      </c>
      <c r="R492" s="33">
        <f>ROUND(MIN(MAX(0,N('Your debts'!$E$12)),H492),2)</f>
      </c>
      <c r="S492" s="33">
        <f>ROUND(MIN(MAX(0,N('Your debts'!$E$13)),I492),2)</f>
      </c>
      <c r="T492" s="33">
        <f>ROUND(MIN(MAX(0,N('Your debts'!$E$14)),J492),2)</f>
      </c>
      <c r="U492" s="33">
        <f>ROUND(MIN(MAX(0,N('Your debts'!$E$15)),K492),2)</f>
      </c>
      <c r="V492" s="33">
        <f>ROUND(B492-L492,2)</f>
      </c>
      <c r="W492" s="33">
        <f>ROUND(C492-M492,2)</f>
      </c>
      <c r="X492" s="33">
        <f>ROUND(D492-N492,2)</f>
      </c>
      <c r="Y492" s="33">
        <f>ROUND(E492-O492,2)</f>
      </c>
      <c r="Z492" s="33">
        <f>ROUND(F492-P492,2)</f>
      </c>
      <c r="AA492" s="33">
        <f>ROUND(G492-Q492,2)</f>
      </c>
      <c r="AB492" s="33">
        <f>ROUND(H492-R492,2)</f>
      </c>
      <c r="AC492" s="33">
        <f>ROUND(I492-S492,2)</f>
      </c>
      <c r="AD492" s="33">
        <f>ROUND(J492-T492,2)</f>
      </c>
      <c r="AE492" s="33">
        <f>ROUND(K492-U492,2)</f>
      </c>
      <c r="AF492" s="33">
        <f>IF(V492&lt;=0,0,MAX(0,MIN(V492,ROUND($AZ492-SUMPRODUCT($V492:$AE492*($V492:$AE492&gt;0)*(($V$3:$AE$3&gt;V$3)+($V$3:$AE$3=V$3)*($V492:$AE492&lt;V492)+($V$3:$AE$3=V$3)*($V492:$AE492=V492)*($V$2:$AE$2&lt;V$2))),2))))</f>
      </c>
      <c r="AG492" s="33">
        <f>IF(W492&lt;=0,0,MAX(0,MIN(W492,ROUND($AZ492-SUMPRODUCT($V492:$AE492*($V492:$AE492&gt;0)*(($V$3:$AE$3&gt;W$3)+($V$3:$AE$3=W$3)*($V492:$AE492&lt;W492)+($V$3:$AE$3=W$3)*($V492:$AE492=W492)*($V$2:$AE$2&lt;W$2))),2))))</f>
      </c>
      <c r="AH492" s="33">
        <f>IF(X492&lt;=0,0,MAX(0,MIN(X492,ROUND($AZ492-SUMPRODUCT($V492:$AE492*($V492:$AE492&gt;0)*(($V$3:$AE$3&gt;X$3)+($V$3:$AE$3=X$3)*($V492:$AE492&lt;X492)+($V$3:$AE$3=X$3)*($V492:$AE492=X492)*($V$2:$AE$2&lt;X$2))),2))))</f>
      </c>
      <c r="AI492" s="33">
        <f>IF(Y492&lt;=0,0,MAX(0,MIN(Y492,ROUND($AZ492-SUMPRODUCT($V492:$AE492*($V492:$AE492&gt;0)*(($V$3:$AE$3&gt;Y$3)+($V$3:$AE$3=Y$3)*($V492:$AE492&lt;Y492)+($V$3:$AE$3=Y$3)*($V492:$AE492=Y492)*($V$2:$AE$2&lt;Y$2))),2))))</f>
      </c>
      <c r="AJ492" s="33">
        <f>IF(Z492&lt;=0,0,MAX(0,MIN(Z492,ROUND($AZ492-SUMPRODUCT($V492:$AE492*($V492:$AE492&gt;0)*(($V$3:$AE$3&gt;Z$3)+($V$3:$AE$3=Z$3)*($V492:$AE492&lt;Z492)+($V$3:$AE$3=Z$3)*($V492:$AE492=Z492)*($V$2:$AE$2&lt;Z$2))),2))))</f>
      </c>
      <c r="AK492" s="33">
        <f>IF(AA492&lt;=0,0,MAX(0,MIN(AA492,ROUND($AZ492-SUMPRODUCT($V492:$AE492*($V492:$AE492&gt;0)*(($V$3:$AE$3&gt;AA$3)+($V$3:$AE$3=AA$3)*($V492:$AE492&lt;AA492)+($V$3:$AE$3=AA$3)*($V492:$AE492=AA492)*($V$2:$AE$2&lt;AA$2))),2))))</f>
      </c>
      <c r="AL492" s="33">
        <f>IF(AB492&lt;=0,0,MAX(0,MIN(AB492,ROUND($AZ492-SUMPRODUCT($V492:$AE492*($V492:$AE492&gt;0)*(($V$3:$AE$3&gt;AB$3)+($V$3:$AE$3=AB$3)*($V492:$AE492&lt;AB492)+($V$3:$AE$3=AB$3)*($V492:$AE492=AB492)*($V$2:$AE$2&lt;AB$2))),2))))</f>
      </c>
      <c r="AM492" s="33">
        <f>IF(AC492&lt;=0,0,MAX(0,MIN(AC492,ROUND($AZ492-SUMPRODUCT($V492:$AE492*($V492:$AE492&gt;0)*(($V$3:$AE$3&gt;AC$3)+($V$3:$AE$3=AC$3)*($V492:$AE492&lt;AC492)+($V$3:$AE$3=AC$3)*($V492:$AE492=AC492)*($V$2:$AE$2&lt;AC$2))),2))))</f>
      </c>
      <c r="AN492" s="33">
        <f>IF(AD492&lt;=0,0,MAX(0,MIN(AD492,ROUND($AZ492-SUMPRODUCT($V492:$AE492*($V492:$AE492&gt;0)*(($V$3:$AE$3&gt;AD$3)+($V$3:$AE$3=AD$3)*($V492:$AE492&lt;AD492)+($V$3:$AE$3=AD$3)*($V492:$AE492=AD492)*($V$2:$AE$2&lt;AD$2))),2))))</f>
      </c>
      <c r="AO492" s="33">
        <f>IF(AE492&lt;=0,0,MAX(0,MIN(AE492,ROUND($AZ492-SUMPRODUCT($V492:$AE492*($V492:$AE492&gt;0)*(($V$3:$AE$3&gt;AE$3)+($V$3:$AE$3=AE$3)*($V492:$AE492&lt;AE492)+($V$3:$AE$3=AE$3)*($V492:$AE492=AE492)*($V$2:$AE$2&lt;AE$2))),2))))</f>
      </c>
      <c r="AP492" s="33">
        <f>ROUND(V492-AF492,2)</f>
      </c>
      <c r="AQ492" s="33">
        <f>ROUND(W492-AG492,2)</f>
      </c>
      <c r="AR492" s="33">
        <f>ROUND(X492-AH492,2)</f>
      </c>
      <c r="AS492" s="33">
        <f>ROUND(Y492-AI492,2)</f>
      </c>
      <c r="AT492" s="33">
        <f>ROUND(Z492-AJ492,2)</f>
      </c>
      <c r="AU492" s="33">
        <f>ROUND(AA492-AK492,2)</f>
      </c>
      <c r="AV492" s="33">
        <f>ROUND(AB492-AL492,2)</f>
      </c>
      <c r="AW492" s="33">
        <f>ROUND(AC492-AM492,2)</f>
      </c>
      <c r="AX492" s="33">
        <f>ROUND(AD492-AN492,2)</f>
      </c>
      <c r="AY492" s="33">
        <f>ROUND(AE492-AO492,2)</f>
      </c>
      <c r="AZ492" s="33">
        <f>ROUND(MAX(0,'Your debts'!$D$22-SUM($L492:$U492)),2)</f>
      </c>
      <c r="BA492" s="33">
        <f>ROUND(SUM($B492:$K492)-SUM($AP491:$AY491),2)</f>
      </c>
      <c r="BB492" s="33">
        <f>SUM($AP492:$AY492)</f>
      </c>
      <c r="BC492" s="33">
        <f>ROUND(SUM($L492:$U492)+SUM($AF492:$AO492),2)</f>
      </c>
    </row>
    <row r="493" spans="1:55" x14ac:dyDescent="0.25">
      <c r="A493">
        <v>486</v>
      </c>
      <c r="B493" s="33">
        <f>IF(AP492&lt;=0,0,ROUND(AP492+ROUND(AP492*V$3/12,2),2))</f>
      </c>
      <c r="C493" s="33">
        <f>IF(AQ492&lt;=0,0,ROUND(AQ492+ROUND(AQ492*W$3/12,2),2))</f>
      </c>
      <c r="D493" s="33">
        <f>IF(AR492&lt;=0,0,ROUND(AR492+ROUND(AR492*X$3/12,2),2))</f>
      </c>
      <c r="E493" s="33">
        <f>IF(AS492&lt;=0,0,ROUND(AS492+ROUND(AS492*Y$3/12,2),2))</f>
      </c>
      <c r="F493" s="33">
        <f>IF(AT492&lt;=0,0,ROUND(AT492+ROUND(AT492*Z$3/12,2),2))</f>
      </c>
      <c r="G493" s="33">
        <f>IF(AU492&lt;=0,0,ROUND(AU492+ROUND(AU492*AA$3/12,2),2))</f>
      </c>
      <c r="H493" s="33">
        <f>IF(AV492&lt;=0,0,ROUND(AV492+ROUND(AV492*AB$3/12,2),2))</f>
      </c>
      <c r="I493" s="33">
        <f>IF(AW492&lt;=0,0,ROUND(AW492+ROUND(AW492*AC$3/12,2),2))</f>
      </c>
      <c r="J493" s="33">
        <f>IF(AX492&lt;=0,0,ROUND(AX492+ROUND(AX492*AD$3/12,2),2))</f>
      </c>
      <c r="K493" s="33">
        <f>IF(AY492&lt;=0,0,ROUND(AY492+ROUND(AY492*AE$3/12,2),2))</f>
      </c>
      <c r="L493" s="33">
        <f>ROUND(MIN(MAX(0,N('Your debts'!$E$6)),B493),2)</f>
      </c>
      <c r="M493" s="33">
        <f>ROUND(MIN(MAX(0,N('Your debts'!$E$7)),C493),2)</f>
      </c>
      <c r="N493" s="33">
        <f>ROUND(MIN(MAX(0,N('Your debts'!$E$8)),D493),2)</f>
      </c>
      <c r="O493" s="33">
        <f>ROUND(MIN(MAX(0,N('Your debts'!$E$9)),E493),2)</f>
      </c>
      <c r="P493" s="33">
        <f>ROUND(MIN(MAX(0,N('Your debts'!$E$10)),F493),2)</f>
      </c>
      <c r="Q493" s="33">
        <f>ROUND(MIN(MAX(0,N('Your debts'!$E$11)),G493),2)</f>
      </c>
      <c r="R493" s="33">
        <f>ROUND(MIN(MAX(0,N('Your debts'!$E$12)),H493),2)</f>
      </c>
      <c r="S493" s="33">
        <f>ROUND(MIN(MAX(0,N('Your debts'!$E$13)),I493),2)</f>
      </c>
      <c r="T493" s="33">
        <f>ROUND(MIN(MAX(0,N('Your debts'!$E$14)),J493),2)</f>
      </c>
      <c r="U493" s="33">
        <f>ROUND(MIN(MAX(0,N('Your debts'!$E$15)),K493),2)</f>
      </c>
      <c r="V493" s="33">
        <f>ROUND(B493-L493,2)</f>
      </c>
      <c r="W493" s="33">
        <f>ROUND(C493-M493,2)</f>
      </c>
      <c r="X493" s="33">
        <f>ROUND(D493-N493,2)</f>
      </c>
      <c r="Y493" s="33">
        <f>ROUND(E493-O493,2)</f>
      </c>
      <c r="Z493" s="33">
        <f>ROUND(F493-P493,2)</f>
      </c>
      <c r="AA493" s="33">
        <f>ROUND(G493-Q493,2)</f>
      </c>
      <c r="AB493" s="33">
        <f>ROUND(H493-R493,2)</f>
      </c>
      <c r="AC493" s="33">
        <f>ROUND(I493-S493,2)</f>
      </c>
      <c r="AD493" s="33">
        <f>ROUND(J493-T493,2)</f>
      </c>
      <c r="AE493" s="33">
        <f>ROUND(K493-U493,2)</f>
      </c>
      <c r="AF493" s="33">
        <f>IF(V493&lt;=0,0,MAX(0,MIN(V493,ROUND($AZ493-SUMPRODUCT($V493:$AE493*($V493:$AE493&gt;0)*(($V$3:$AE$3&gt;V$3)+($V$3:$AE$3=V$3)*($V493:$AE493&lt;V493)+($V$3:$AE$3=V$3)*($V493:$AE493=V493)*($V$2:$AE$2&lt;V$2))),2))))</f>
      </c>
      <c r="AG493" s="33">
        <f>IF(W493&lt;=0,0,MAX(0,MIN(W493,ROUND($AZ493-SUMPRODUCT($V493:$AE493*($V493:$AE493&gt;0)*(($V$3:$AE$3&gt;W$3)+($V$3:$AE$3=W$3)*($V493:$AE493&lt;W493)+($V$3:$AE$3=W$3)*($V493:$AE493=W493)*($V$2:$AE$2&lt;W$2))),2))))</f>
      </c>
      <c r="AH493" s="33">
        <f>IF(X493&lt;=0,0,MAX(0,MIN(X493,ROUND($AZ493-SUMPRODUCT($V493:$AE493*($V493:$AE493&gt;0)*(($V$3:$AE$3&gt;X$3)+($V$3:$AE$3=X$3)*($V493:$AE493&lt;X493)+($V$3:$AE$3=X$3)*($V493:$AE493=X493)*($V$2:$AE$2&lt;X$2))),2))))</f>
      </c>
      <c r="AI493" s="33">
        <f>IF(Y493&lt;=0,0,MAX(0,MIN(Y493,ROUND($AZ493-SUMPRODUCT($V493:$AE493*($V493:$AE493&gt;0)*(($V$3:$AE$3&gt;Y$3)+($V$3:$AE$3=Y$3)*($V493:$AE493&lt;Y493)+($V$3:$AE$3=Y$3)*($V493:$AE493=Y493)*($V$2:$AE$2&lt;Y$2))),2))))</f>
      </c>
      <c r="AJ493" s="33">
        <f>IF(Z493&lt;=0,0,MAX(0,MIN(Z493,ROUND($AZ493-SUMPRODUCT($V493:$AE493*($V493:$AE493&gt;0)*(($V$3:$AE$3&gt;Z$3)+($V$3:$AE$3=Z$3)*($V493:$AE493&lt;Z493)+($V$3:$AE$3=Z$3)*($V493:$AE493=Z493)*($V$2:$AE$2&lt;Z$2))),2))))</f>
      </c>
      <c r="AK493" s="33">
        <f>IF(AA493&lt;=0,0,MAX(0,MIN(AA493,ROUND($AZ493-SUMPRODUCT($V493:$AE493*($V493:$AE493&gt;0)*(($V$3:$AE$3&gt;AA$3)+($V$3:$AE$3=AA$3)*($V493:$AE493&lt;AA493)+($V$3:$AE$3=AA$3)*($V493:$AE493=AA493)*($V$2:$AE$2&lt;AA$2))),2))))</f>
      </c>
      <c r="AL493" s="33">
        <f>IF(AB493&lt;=0,0,MAX(0,MIN(AB493,ROUND($AZ493-SUMPRODUCT($V493:$AE493*($V493:$AE493&gt;0)*(($V$3:$AE$3&gt;AB$3)+($V$3:$AE$3=AB$3)*($V493:$AE493&lt;AB493)+($V$3:$AE$3=AB$3)*($V493:$AE493=AB493)*($V$2:$AE$2&lt;AB$2))),2))))</f>
      </c>
      <c r="AM493" s="33">
        <f>IF(AC493&lt;=0,0,MAX(0,MIN(AC493,ROUND($AZ493-SUMPRODUCT($V493:$AE493*($V493:$AE493&gt;0)*(($V$3:$AE$3&gt;AC$3)+($V$3:$AE$3=AC$3)*($V493:$AE493&lt;AC493)+($V$3:$AE$3=AC$3)*($V493:$AE493=AC493)*($V$2:$AE$2&lt;AC$2))),2))))</f>
      </c>
      <c r="AN493" s="33">
        <f>IF(AD493&lt;=0,0,MAX(0,MIN(AD493,ROUND($AZ493-SUMPRODUCT($V493:$AE493*($V493:$AE493&gt;0)*(($V$3:$AE$3&gt;AD$3)+($V$3:$AE$3=AD$3)*($V493:$AE493&lt;AD493)+($V$3:$AE$3=AD$3)*($V493:$AE493=AD493)*($V$2:$AE$2&lt;AD$2))),2))))</f>
      </c>
      <c r="AO493" s="33">
        <f>IF(AE493&lt;=0,0,MAX(0,MIN(AE493,ROUND($AZ493-SUMPRODUCT($V493:$AE493*($V493:$AE493&gt;0)*(($V$3:$AE$3&gt;AE$3)+($V$3:$AE$3=AE$3)*($V493:$AE493&lt;AE493)+($V$3:$AE$3=AE$3)*($V493:$AE493=AE493)*($V$2:$AE$2&lt;AE$2))),2))))</f>
      </c>
      <c r="AP493" s="33">
        <f>ROUND(V493-AF493,2)</f>
      </c>
      <c r="AQ493" s="33">
        <f>ROUND(W493-AG493,2)</f>
      </c>
      <c r="AR493" s="33">
        <f>ROUND(X493-AH493,2)</f>
      </c>
      <c r="AS493" s="33">
        <f>ROUND(Y493-AI493,2)</f>
      </c>
      <c r="AT493" s="33">
        <f>ROUND(Z493-AJ493,2)</f>
      </c>
      <c r="AU493" s="33">
        <f>ROUND(AA493-AK493,2)</f>
      </c>
      <c r="AV493" s="33">
        <f>ROUND(AB493-AL493,2)</f>
      </c>
      <c r="AW493" s="33">
        <f>ROUND(AC493-AM493,2)</f>
      </c>
      <c r="AX493" s="33">
        <f>ROUND(AD493-AN493,2)</f>
      </c>
      <c r="AY493" s="33">
        <f>ROUND(AE493-AO493,2)</f>
      </c>
      <c r="AZ493" s="33">
        <f>ROUND(MAX(0,'Your debts'!$D$22-SUM($L493:$U493)),2)</f>
      </c>
      <c r="BA493" s="33">
        <f>ROUND(SUM($B493:$K493)-SUM($AP492:$AY492),2)</f>
      </c>
      <c r="BB493" s="33">
        <f>SUM($AP493:$AY493)</f>
      </c>
      <c r="BC493" s="33">
        <f>ROUND(SUM($L493:$U493)+SUM($AF493:$AO493),2)</f>
      </c>
    </row>
    <row r="494" spans="1:55" x14ac:dyDescent="0.25">
      <c r="A494">
        <v>487</v>
      </c>
      <c r="B494" s="33">
        <f>IF(AP493&lt;=0,0,ROUND(AP493+ROUND(AP493*V$3/12,2),2))</f>
      </c>
      <c r="C494" s="33">
        <f>IF(AQ493&lt;=0,0,ROUND(AQ493+ROUND(AQ493*W$3/12,2),2))</f>
      </c>
      <c r="D494" s="33">
        <f>IF(AR493&lt;=0,0,ROUND(AR493+ROUND(AR493*X$3/12,2),2))</f>
      </c>
      <c r="E494" s="33">
        <f>IF(AS493&lt;=0,0,ROUND(AS493+ROUND(AS493*Y$3/12,2),2))</f>
      </c>
      <c r="F494" s="33">
        <f>IF(AT493&lt;=0,0,ROUND(AT493+ROUND(AT493*Z$3/12,2),2))</f>
      </c>
      <c r="G494" s="33">
        <f>IF(AU493&lt;=0,0,ROUND(AU493+ROUND(AU493*AA$3/12,2),2))</f>
      </c>
      <c r="H494" s="33">
        <f>IF(AV493&lt;=0,0,ROUND(AV493+ROUND(AV493*AB$3/12,2),2))</f>
      </c>
      <c r="I494" s="33">
        <f>IF(AW493&lt;=0,0,ROUND(AW493+ROUND(AW493*AC$3/12,2),2))</f>
      </c>
      <c r="J494" s="33">
        <f>IF(AX493&lt;=0,0,ROUND(AX493+ROUND(AX493*AD$3/12,2),2))</f>
      </c>
      <c r="K494" s="33">
        <f>IF(AY493&lt;=0,0,ROUND(AY493+ROUND(AY493*AE$3/12,2),2))</f>
      </c>
      <c r="L494" s="33">
        <f>ROUND(MIN(MAX(0,N('Your debts'!$E$6)),B494),2)</f>
      </c>
      <c r="M494" s="33">
        <f>ROUND(MIN(MAX(0,N('Your debts'!$E$7)),C494),2)</f>
      </c>
      <c r="N494" s="33">
        <f>ROUND(MIN(MAX(0,N('Your debts'!$E$8)),D494),2)</f>
      </c>
      <c r="O494" s="33">
        <f>ROUND(MIN(MAX(0,N('Your debts'!$E$9)),E494),2)</f>
      </c>
      <c r="P494" s="33">
        <f>ROUND(MIN(MAX(0,N('Your debts'!$E$10)),F494),2)</f>
      </c>
      <c r="Q494" s="33">
        <f>ROUND(MIN(MAX(0,N('Your debts'!$E$11)),G494),2)</f>
      </c>
      <c r="R494" s="33">
        <f>ROUND(MIN(MAX(0,N('Your debts'!$E$12)),H494),2)</f>
      </c>
      <c r="S494" s="33">
        <f>ROUND(MIN(MAX(0,N('Your debts'!$E$13)),I494),2)</f>
      </c>
      <c r="T494" s="33">
        <f>ROUND(MIN(MAX(0,N('Your debts'!$E$14)),J494),2)</f>
      </c>
      <c r="U494" s="33">
        <f>ROUND(MIN(MAX(0,N('Your debts'!$E$15)),K494),2)</f>
      </c>
      <c r="V494" s="33">
        <f>ROUND(B494-L494,2)</f>
      </c>
      <c r="W494" s="33">
        <f>ROUND(C494-M494,2)</f>
      </c>
      <c r="X494" s="33">
        <f>ROUND(D494-N494,2)</f>
      </c>
      <c r="Y494" s="33">
        <f>ROUND(E494-O494,2)</f>
      </c>
      <c r="Z494" s="33">
        <f>ROUND(F494-P494,2)</f>
      </c>
      <c r="AA494" s="33">
        <f>ROUND(G494-Q494,2)</f>
      </c>
      <c r="AB494" s="33">
        <f>ROUND(H494-R494,2)</f>
      </c>
      <c r="AC494" s="33">
        <f>ROUND(I494-S494,2)</f>
      </c>
      <c r="AD494" s="33">
        <f>ROUND(J494-T494,2)</f>
      </c>
      <c r="AE494" s="33">
        <f>ROUND(K494-U494,2)</f>
      </c>
      <c r="AF494" s="33">
        <f>IF(V494&lt;=0,0,MAX(0,MIN(V494,ROUND($AZ494-SUMPRODUCT($V494:$AE494*($V494:$AE494&gt;0)*(($V$3:$AE$3&gt;V$3)+($V$3:$AE$3=V$3)*($V494:$AE494&lt;V494)+($V$3:$AE$3=V$3)*($V494:$AE494=V494)*($V$2:$AE$2&lt;V$2))),2))))</f>
      </c>
      <c r="AG494" s="33">
        <f>IF(W494&lt;=0,0,MAX(0,MIN(W494,ROUND($AZ494-SUMPRODUCT($V494:$AE494*($V494:$AE494&gt;0)*(($V$3:$AE$3&gt;W$3)+($V$3:$AE$3=W$3)*($V494:$AE494&lt;W494)+($V$3:$AE$3=W$3)*($V494:$AE494=W494)*($V$2:$AE$2&lt;W$2))),2))))</f>
      </c>
      <c r="AH494" s="33">
        <f>IF(X494&lt;=0,0,MAX(0,MIN(X494,ROUND($AZ494-SUMPRODUCT($V494:$AE494*($V494:$AE494&gt;0)*(($V$3:$AE$3&gt;X$3)+($V$3:$AE$3=X$3)*($V494:$AE494&lt;X494)+($V$3:$AE$3=X$3)*($V494:$AE494=X494)*($V$2:$AE$2&lt;X$2))),2))))</f>
      </c>
      <c r="AI494" s="33">
        <f>IF(Y494&lt;=0,0,MAX(0,MIN(Y494,ROUND($AZ494-SUMPRODUCT($V494:$AE494*($V494:$AE494&gt;0)*(($V$3:$AE$3&gt;Y$3)+($V$3:$AE$3=Y$3)*($V494:$AE494&lt;Y494)+($V$3:$AE$3=Y$3)*($V494:$AE494=Y494)*($V$2:$AE$2&lt;Y$2))),2))))</f>
      </c>
      <c r="AJ494" s="33">
        <f>IF(Z494&lt;=0,0,MAX(0,MIN(Z494,ROUND($AZ494-SUMPRODUCT($V494:$AE494*($V494:$AE494&gt;0)*(($V$3:$AE$3&gt;Z$3)+($V$3:$AE$3=Z$3)*($V494:$AE494&lt;Z494)+($V$3:$AE$3=Z$3)*($V494:$AE494=Z494)*($V$2:$AE$2&lt;Z$2))),2))))</f>
      </c>
      <c r="AK494" s="33">
        <f>IF(AA494&lt;=0,0,MAX(0,MIN(AA494,ROUND($AZ494-SUMPRODUCT($V494:$AE494*($V494:$AE494&gt;0)*(($V$3:$AE$3&gt;AA$3)+($V$3:$AE$3=AA$3)*($V494:$AE494&lt;AA494)+($V$3:$AE$3=AA$3)*($V494:$AE494=AA494)*($V$2:$AE$2&lt;AA$2))),2))))</f>
      </c>
      <c r="AL494" s="33">
        <f>IF(AB494&lt;=0,0,MAX(0,MIN(AB494,ROUND($AZ494-SUMPRODUCT($V494:$AE494*($V494:$AE494&gt;0)*(($V$3:$AE$3&gt;AB$3)+($V$3:$AE$3=AB$3)*($V494:$AE494&lt;AB494)+($V$3:$AE$3=AB$3)*($V494:$AE494=AB494)*($V$2:$AE$2&lt;AB$2))),2))))</f>
      </c>
      <c r="AM494" s="33">
        <f>IF(AC494&lt;=0,0,MAX(0,MIN(AC494,ROUND($AZ494-SUMPRODUCT($V494:$AE494*($V494:$AE494&gt;0)*(($V$3:$AE$3&gt;AC$3)+($V$3:$AE$3=AC$3)*($V494:$AE494&lt;AC494)+($V$3:$AE$3=AC$3)*($V494:$AE494=AC494)*($V$2:$AE$2&lt;AC$2))),2))))</f>
      </c>
      <c r="AN494" s="33">
        <f>IF(AD494&lt;=0,0,MAX(0,MIN(AD494,ROUND($AZ494-SUMPRODUCT($V494:$AE494*($V494:$AE494&gt;0)*(($V$3:$AE$3&gt;AD$3)+($V$3:$AE$3=AD$3)*($V494:$AE494&lt;AD494)+($V$3:$AE$3=AD$3)*($V494:$AE494=AD494)*($V$2:$AE$2&lt;AD$2))),2))))</f>
      </c>
      <c r="AO494" s="33">
        <f>IF(AE494&lt;=0,0,MAX(0,MIN(AE494,ROUND($AZ494-SUMPRODUCT($V494:$AE494*($V494:$AE494&gt;0)*(($V$3:$AE$3&gt;AE$3)+($V$3:$AE$3=AE$3)*($V494:$AE494&lt;AE494)+($V$3:$AE$3=AE$3)*($V494:$AE494=AE494)*($V$2:$AE$2&lt;AE$2))),2))))</f>
      </c>
      <c r="AP494" s="33">
        <f>ROUND(V494-AF494,2)</f>
      </c>
      <c r="AQ494" s="33">
        <f>ROUND(W494-AG494,2)</f>
      </c>
      <c r="AR494" s="33">
        <f>ROUND(X494-AH494,2)</f>
      </c>
      <c r="AS494" s="33">
        <f>ROUND(Y494-AI494,2)</f>
      </c>
      <c r="AT494" s="33">
        <f>ROUND(Z494-AJ494,2)</f>
      </c>
      <c r="AU494" s="33">
        <f>ROUND(AA494-AK494,2)</f>
      </c>
      <c r="AV494" s="33">
        <f>ROUND(AB494-AL494,2)</f>
      </c>
      <c r="AW494" s="33">
        <f>ROUND(AC494-AM494,2)</f>
      </c>
      <c r="AX494" s="33">
        <f>ROUND(AD494-AN494,2)</f>
      </c>
      <c r="AY494" s="33">
        <f>ROUND(AE494-AO494,2)</f>
      </c>
      <c r="AZ494" s="33">
        <f>ROUND(MAX(0,'Your debts'!$D$22-SUM($L494:$U494)),2)</f>
      </c>
      <c r="BA494" s="33">
        <f>ROUND(SUM($B494:$K494)-SUM($AP493:$AY493),2)</f>
      </c>
      <c r="BB494" s="33">
        <f>SUM($AP494:$AY494)</f>
      </c>
      <c r="BC494" s="33">
        <f>ROUND(SUM($L494:$U494)+SUM($AF494:$AO494),2)</f>
      </c>
    </row>
    <row r="495" spans="1:55" x14ac:dyDescent="0.25">
      <c r="A495">
        <v>488</v>
      </c>
      <c r="B495" s="33">
        <f>IF(AP494&lt;=0,0,ROUND(AP494+ROUND(AP494*V$3/12,2),2))</f>
      </c>
      <c r="C495" s="33">
        <f>IF(AQ494&lt;=0,0,ROUND(AQ494+ROUND(AQ494*W$3/12,2),2))</f>
      </c>
      <c r="D495" s="33">
        <f>IF(AR494&lt;=0,0,ROUND(AR494+ROUND(AR494*X$3/12,2),2))</f>
      </c>
      <c r="E495" s="33">
        <f>IF(AS494&lt;=0,0,ROUND(AS494+ROUND(AS494*Y$3/12,2),2))</f>
      </c>
      <c r="F495" s="33">
        <f>IF(AT494&lt;=0,0,ROUND(AT494+ROUND(AT494*Z$3/12,2),2))</f>
      </c>
      <c r="G495" s="33">
        <f>IF(AU494&lt;=0,0,ROUND(AU494+ROUND(AU494*AA$3/12,2),2))</f>
      </c>
      <c r="H495" s="33">
        <f>IF(AV494&lt;=0,0,ROUND(AV494+ROUND(AV494*AB$3/12,2),2))</f>
      </c>
      <c r="I495" s="33">
        <f>IF(AW494&lt;=0,0,ROUND(AW494+ROUND(AW494*AC$3/12,2),2))</f>
      </c>
      <c r="J495" s="33">
        <f>IF(AX494&lt;=0,0,ROUND(AX494+ROUND(AX494*AD$3/12,2),2))</f>
      </c>
      <c r="K495" s="33">
        <f>IF(AY494&lt;=0,0,ROUND(AY494+ROUND(AY494*AE$3/12,2),2))</f>
      </c>
      <c r="L495" s="33">
        <f>ROUND(MIN(MAX(0,N('Your debts'!$E$6)),B495),2)</f>
      </c>
      <c r="M495" s="33">
        <f>ROUND(MIN(MAX(0,N('Your debts'!$E$7)),C495),2)</f>
      </c>
      <c r="N495" s="33">
        <f>ROUND(MIN(MAX(0,N('Your debts'!$E$8)),D495),2)</f>
      </c>
      <c r="O495" s="33">
        <f>ROUND(MIN(MAX(0,N('Your debts'!$E$9)),E495),2)</f>
      </c>
      <c r="P495" s="33">
        <f>ROUND(MIN(MAX(0,N('Your debts'!$E$10)),F495),2)</f>
      </c>
      <c r="Q495" s="33">
        <f>ROUND(MIN(MAX(0,N('Your debts'!$E$11)),G495),2)</f>
      </c>
      <c r="R495" s="33">
        <f>ROUND(MIN(MAX(0,N('Your debts'!$E$12)),H495),2)</f>
      </c>
      <c r="S495" s="33">
        <f>ROUND(MIN(MAX(0,N('Your debts'!$E$13)),I495),2)</f>
      </c>
      <c r="T495" s="33">
        <f>ROUND(MIN(MAX(0,N('Your debts'!$E$14)),J495),2)</f>
      </c>
      <c r="U495" s="33">
        <f>ROUND(MIN(MAX(0,N('Your debts'!$E$15)),K495),2)</f>
      </c>
      <c r="V495" s="33">
        <f>ROUND(B495-L495,2)</f>
      </c>
      <c r="W495" s="33">
        <f>ROUND(C495-M495,2)</f>
      </c>
      <c r="X495" s="33">
        <f>ROUND(D495-N495,2)</f>
      </c>
      <c r="Y495" s="33">
        <f>ROUND(E495-O495,2)</f>
      </c>
      <c r="Z495" s="33">
        <f>ROUND(F495-P495,2)</f>
      </c>
      <c r="AA495" s="33">
        <f>ROUND(G495-Q495,2)</f>
      </c>
      <c r="AB495" s="33">
        <f>ROUND(H495-R495,2)</f>
      </c>
      <c r="AC495" s="33">
        <f>ROUND(I495-S495,2)</f>
      </c>
      <c r="AD495" s="33">
        <f>ROUND(J495-T495,2)</f>
      </c>
      <c r="AE495" s="33">
        <f>ROUND(K495-U495,2)</f>
      </c>
      <c r="AF495" s="33">
        <f>IF(V495&lt;=0,0,MAX(0,MIN(V495,ROUND($AZ495-SUMPRODUCT($V495:$AE495*($V495:$AE495&gt;0)*(($V$3:$AE$3&gt;V$3)+($V$3:$AE$3=V$3)*($V495:$AE495&lt;V495)+($V$3:$AE$3=V$3)*($V495:$AE495=V495)*($V$2:$AE$2&lt;V$2))),2))))</f>
      </c>
      <c r="AG495" s="33">
        <f>IF(W495&lt;=0,0,MAX(0,MIN(W495,ROUND($AZ495-SUMPRODUCT($V495:$AE495*($V495:$AE495&gt;0)*(($V$3:$AE$3&gt;W$3)+($V$3:$AE$3=W$3)*($V495:$AE495&lt;W495)+($V$3:$AE$3=W$3)*($V495:$AE495=W495)*($V$2:$AE$2&lt;W$2))),2))))</f>
      </c>
      <c r="AH495" s="33">
        <f>IF(X495&lt;=0,0,MAX(0,MIN(X495,ROUND($AZ495-SUMPRODUCT($V495:$AE495*($V495:$AE495&gt;0)*(($V$3:$AE$3&gt;X$3)+($V$3:$AE$3=X$3)*($V495:$AE495&lt;X495)+($V$3:$AE$3=X$3)*($V495:$AE495=X495)*($V$2:$AE$2&lt;X$2))),2))))</f>
      </c>
      <c r="AI495" s="33">
        <f>IF(Y495&lt;=0,0,MAX(0,MIN(Y495,ROUND($AZ495-SUMPRODUCT($V495:$AE495*($V495:$AE495&gt;0)*(($V$3:$AE$3&gt;Y$3)+($V$3:$AE$3=Y$3)*($V495:$AE495&lt;Y495)+($V$3:$AE$3=Y$3)*($V495:$AE495=Y495)*($V$2:$AE$2&lt;Y$2))),2))))</f>
      </c>
      <c r="AJ495" s="33">
        <f>IF(Z495&lt;=0,0,MAX(0,MIN(Z495,ROUND($AZ495-SUMPRODUCT($V495:$AE495*($V495:$AE495&gt;0)*(($V$3:$AE$3&gt;Z$3)+($V$3:$AE$3=Z$3)*($V495:$AE495&lt;Z495)+($V$3:$AE$3=Z$3)*($V495:$AE495=Z495)*($V$2:$AE$2&lt;Z$2))),2))))</f>
      </c>
      <c r="AK495" s="33">
        <f>IF(AA495&lt;=0,0,MAX(0,MIN(AA495,ROUND($AZ495-SUMPRODUCT($V495:$AE495*($V495:$AE495&gt;0)*(($V$3:$AE$3&gt;AA$3)+($V$3:$AE$3=AA$3)*($V495:$AE495&lt;AA495)+($V$3:$AE$3=AA$3)*($V495:$AE495=AA495)*($V$2:$AE$2&lt;AA$2))),2))))</f>
      </c>
      <c r="AL495" s="33">
        <f>IF(AB495&lt;=0,0,MAX(0,MIN(AB495,ROUND($AZ495-SUMPRODUCT($V495:$AE495*($V495:$AE495&gt;0)*(($V$3:$AE$3&gt;AB$3)+($V$3:$AE$3=AB$3)*($V495:$AE495&lt;AB495)+($V$3:$AE$3=AB$3)*($V495:$AE495=AB495)*($V$2:$AE$2&lt;AB$2))),2))))</f>
      </c>
      <c r="AM495" s="33">
        <f>IF(AC495&lt;=0,0,MAX(0,MIN(AC495,ROUND($AZ495-SUMPRODUCT($V495:$AE495*($V495:$AE495&gt;0)*(($V$3:$AE$3&gt;AC$3)+($V$3:$AE$3=AC$3)*($V495:$AE495&lt;AC495)+($V$3:$AE$3=AC$3)*($V495:$AE495=AC495)*($V$2:$AE$2&lt;AC$2))),2))))</f>
      </c>
      <c r="AN495" s="33">
        <f>IF(AD495&lt;=0,0,MAX(0,MIN(AD495,ROUND($AZ495-SUMPRODUCT($V495:$AE495*($V495:$AE495&gt;0)*(($V$3:$AE$3&gt;AD$3)+($V$3:$AE$3=AD$3)*($V495:$AE495&lt;AD495)+($V$3:$AE$3=AD$3)*($V495:$AE495=AD495)*($V$2:$AE$2&lt;AD$2))),2))))</f>
      </c>
      <c r="AO495" s="33">
        <f>IF(AE495&lt;=0,0,MAX(0,MIN(AE495,ROUND($AZ495-SUMPRODUCT($V495:$AE495*($V495:$AE495&gt;0)*(($V$3:$AE$3&gt;AE$3)+($V$3:$AE$3=AE$3)*($V495:$AE495&lt;AE495)+($V$3:$AE$3=AE$3)*($V495:$AE495=AE495)*($V$2:$AE$2&lt;AE$2))),2))))</f>
      </c>
      <c r="AP495" s="33">
        <f>ROUND(V495-AF495,2)</f>
      </c>
      <c r="AQ495" s="33">
        <f>ROUND(W495-AG495,2)</f>
      </c>
      <c r="AR495" s="33">
        <f>ROUND(X495-AH495,2)</f>
      </c>
      <c r="AS495" s="33">
        <f>ROUND(Y495-AI495,2)</f>
      </c>
      <c r="AT495" s="33">
        <f>ROUND(Z495-AJ495,2)</f>
      </c>
      <c r="AU495" s="33">
        <f>ROUND(AA495-AK495,2)</f>
      </c>
      <c r="AV495" s="33">
        <f>ROUND(AB495-AL495,2)</f>
      </c>
      <c r="AW495" s="33">
        <f>ROUND(AC495-AM495,2)</f>
      </c>
      <c r="AX495" s="33">
        <f>ROUND(AD495-AN495,2)</f>
      </c>
      <c r="AY495" s="33">
        <f>ROUND(AE495-AO495,2)</f>
      </c>
      <c r="AZ495" s="33">
        <f>ROUND(MAX(0,'Your debts'!$D$22-SUM($L495:$U495)),2)</f>
      </c>
      <c r="BA495" s="33">
        <f>ROUND(SUM($B495:$K495)-SUM($AP494:$AY494),2)</f>
      </c>
      <c r="BB495" s="33">
        <f>SUM($AP495:$AY495)</f>
      </c>
      <c r="BC495" s="33">
        <f>ROUND(SUM($L495:$U495)+SUM($AF495:$AO495),2)</f>
      </c>
    </row>
    <row r="496" spans="1:55" x14ac:dyDescent="0.25">
      <c r="A496">
        <v>489</v>
      </c>
      <c r="B496" s="33">
        <f>IF(AP495&lt;=0,0,ROUND(AP495+ROUND(AP495*V$3/12,2),2))</f>
      </c>
      <c r="C496" s="33">
        <f>IF(AQ495&lt;=0,0,ROUND(AQ495+ROUND(AQ495*W$3/12,2),2))</f>
      </c>
      <c r="D496" s="33">
        <f>IF(AR495&lt;=0,0,ROUND(AR495+ROUND(AR495*X$3/12,2),2))</f>
      </c>
      <c r="E496" s="33">
        <f>IF(AS495&lt;=0,0,ROUND(AS495+ROUND(AS495*Y$3/12,2),2))</f>
      </c>
      <c r="F496" s="33">
        <f>IF(AT495&lt;=0,0,ROUND(AT495+ROUND(AT495*Z$3/12,2),2))</f>
      </c>
      <c r="G496" s="33">
        <f>IF(AU495&lt;=0,0,ROUND(AU495+ROUND(AU495*AA$3/12,2),2))</f>
      </c>
      <c r="H496" s="33">
        <f>IF(AV495&lt;=0,0,ROUND(AV495+ROUND(AV495*AB$3/12,2),2))</f>
      </c>
      <c r="I496" s="33">
        <f>IF(AW495&lt;=0,0,ROUND(AW495+ROUND(AW495*AC$3/12,2),2))</f>
      </c>
      <c r="J496" s="33">
        <f>IF(AX495&lt;=0,0,ROUND(AX495+ROUND(AX495*AD$3/12,2),2))</f>
      </c>
      <c r="K496" s="33">
        <f>IF(AY495&lt;=0,0,ROUND(AY495+ROUND(AY495*AE$3/12,2),2))</f>
      </c>
      <c r="L496" s="33">
        <f>ROUND(MIN(MAX(0,N('Your debts'!$E$6)),B496),2)</f>
      </c>
      <c r="M496" s="33">
        <f>ROUND(MIN(MAX(0,N('Your debts'!$E$7)),C496),2)</f>
      </c>
      <c r="N496" s="33">
        <f>ROUND(MIN(MAX(0,N('Your debts'!$E$8)),D496),2)</f>
      </c>
      <c r="O496" s="33">
        <f>ROUND(MIN(MAX(0,N('Your debts'!$E$9)),E496),2)</f>
      </c>
      <c r="P496" s="33">
        <f>ROUND(MIN(MAX(0,N('Your debts'!$E$10)),F496),2)</f>
      </c>
      <c r="Q496" s="33">
        <f>ROUND(MIN(MAX(0,N('Your debts'!$E$11)),G496),2)</f>
      </c>
      <c r="R496" s="33">
        <f>ROUND(MIN(MAX(0,N('Your debts'!$E$12)),H496),2)</f>
      </c>
      <c r="S496" s="33">
        <f>ROUND(MIN(MAX(0,N('Your debts'!$E$13)),I496),2)</f>
      </c>
      <c r="T496" s="33">
        <f>ROUND(MIN(MAX(0,N('Your debts'!$E$14)),J496),2)</f>
      </c>
      <c r="U496" s="33">
        <f>ROUND(MIN(MAX(0,N('Your debts'!$E$15)),K496),2)</f>
      </c>
      <c r="V496" s="33">
        <f>ROUND(B496-L496,2)</f>
      </c>
      <c r="W496" s="33">
        <f>ROUND(C496-M496,2)</f>
      </c>
      <c r="X496" s="33">
        <f>ROUND(D496-N496,2)</f>
      </c>
      <c r="Y496" s="33">
        <f>ROUND(E496-O496,2)</f>
      </c>
      <c r="Z496" s="33">
        <f>ROUND(F496-P496,2)</f>
      </c>
      <c r="AA496" s="33">
        <f>ROUND(G496-Q496,2)</f>
      </c>
      <c r="AB496" s="33">
        <f>ROUND(H496-R496,2)</f>
      </c>
      <c r="AC496" s="33">
        <f>ROUND(I496-S496,2)</f>
      </c>
      <c r="AD496" s="33">
        <f>ROUND(J496-T496,2)</f>
      </c>
      <c r="AE496" s="33">
        <f>ROUND(K496-U496,2)</f>
      </c>
      <c r="AF496" s="33">
        <f>IF(V496&lt;=0,0,MAX(0,MIN(V496,ROUND($AZ496-SUMPRODUCT($V496:$AE496*($V496:$AE496&gt;0)*(($V$3:$AE$3&gt;V$3)+($V$3:$AE$3=V$3)*($V496:$AE496&lt;V496)+($V$3:$AE$3=V$3)*($V496:$AE496=V496)*($V$2:$AE$2&lt;V$2))),2))))</f>
      </c>
      <c r="AG496" s="33">
        <f>IF(W496&lt;=0,0,MAX(0,MIN(W496,ROUND($AZ496-SUMPRODUCT($V496:$AE496*($V496:$AE496&gt;0)*(($V$3:$AE$3&gt;W$3)+($V$3:$AE$3=W$3)*($V496:$AE496&lt;W496)+($V$3:$AE$3=W$3)*($V496:$AE496=W496)*($V$2:$AE$2&lt;W$2))),2))))</f>
      </c>
      <c r="AH496" s="33">
        <f>IF(X496&lt;=0,0,MAX(0,MIN(X496,ROUND($AZ496-SUMPRODUCT($V496:$AE496*($V496:$AE496&gt;0)*(($V$3:$AE$3&gt;X$3)+($V$3:$AE$3=X$3)*($V496:$AE496&lt;X496)+($V$3:$AE$3=X$3)*($V496:$AE496=X496)*($V$2:$AE$2&lt;X$2))),2))))</f>
      </c>
      <c r="AI496" s="33">
        <f>IF(Y496&lt;=0,0,MAX(0,MIN(Y496,ROUND($AZ496-SUMPRODUCT($V496:$AE496*($V496:$AE496&gt;0)*(($V$3:$AE$3&gt;Y$3)+($V$3:$AE$3=Y$3)*($V496:$AE496&lt;Y496)+($V$3:$AE$3=Y$3)*($V496:$AE496=Y496)*($V$2:$AE$2&lt;Y$2))),2))))</f>
      </c>
      <c r="AJ496" s="33">
        <f>IF(Z496&lt;=0,0,MAX(0,MIN(Z496,ROUND($AZ496-SUMPRODUCT($V496:$AE496*($V496:$AE496&gt;0)*(($V$3:$AE$3&gt;Z$3)+($V$3:$AE$3=Z$3)*($V496:$AE496&lt;Z496)+($V$3:$AE$3=Z$3)*($V496:$AE496=Z496)*($V$2:$AE$2&lt;Z$2))),2))))</f>
      </c>
      <c r="AK496" s="33">
        <f>IF(AA496&lt;=0,0,MAX(0,MIN(AA496,ROUND($AZ496-SUMPRODUCT($V496:$AE496*($V496:$AE496&gt;0)*(($V$3:$AE$3&gt;AA$3)+($V$3:$AE$3=AA$3)*($V496:$AE496&lt;AA496)+($V$3:$AE$3=AA$3)*($V496:$AE496=AA496)*($V$2:$AE$2&lt;AA$2))),2))))</f>
      </c>
      <c r="AL496" s="33">
        <f>IF(AB496&lt;=0,0,MAX(0,MIN(AB496,ROUND($AZ496-SUMPRODUCT($V496:$AE496*($V496:$AE496&gt;0)*(($V$3:$AE$3&gt;AB$3)+($V$3:$AE$3=AB$3)*($V496:$AE496&lt;AB496)+($V$3:$AE$3=AB$3)*($V496:$AE496=AB496)*($V$2:$AE$2&lt;AB$2))),2))))</f>
      </c>
      <c r="AM496" s="33">
        <f>IF(AC496&lt;=0,0,MAX(0,MIN(AC496,ROUND($AZ496-SUMPRODUCT($V496:$AE496*($V496:$AE496&gt;0)*(($V$3:$AE$3&gt;AC$3)+($V$3:$AE$3=AC$3)*($V496:$AE496&lt;AC496)+($V$3:$AE$3=AC$3)*($V496:$AE496=AC496)*($V$2:$AE$2&lt;AC$2))),2))))</f>
      </c>
      <c r="AN496" s="33">
        <f>IF(AD496&lt;=0,0,MAX(0,MIN(AD496,ROUND($AZ496-SUMPRODUCT($V496:$AE496*($V496:$AE496&gt;0)*(($V$3:$AE$3&gt;AD$3)+($V$3:$AE$3=AD$3)*($V496:$AE496&lt;AD496)+($V$3:$AE$3=AD$3)*($V496:$AE496=AD496)*($V$2:$AE$2&lt;AD$2))),2))))</f>
      </c>
      <c r="AO496" s="33">
        <f>IF(AE496&lt;=0,0,MAX(0,MIN(AE496,ROUND($AZ496-SUMPRODUCT($V496:$AE496*($V496:$AE496&gt;0)*(($V$3:$AE$3&gt;AE$3)+($V$3:$AE$3=AE$3)*($V496:$AE496&lt;AE496)+($V$3:$AE$3=AE$3)*($V496:$AE496=AE496)*($V$2:$AE$2&lt;AE$2))),2))))</f>
      </c>
      <c r="AP496" s="33">
        <f>ROUND(V496-AF496,2)</f>
      </c>
      <c r="AQ496" s="33">
        <f>ROUND(W496-AG496,2)</f>
      </c>
      <c r="AR496" s="33">
        <f>ROUND(X496-AH496,2)</f>
      </c>
      <c r="AS496" s="33">
        <f>ROUND(Y496-AI496,2)</f>
      </c>
      <c r="AT496" s="33">
        <f>ROUND(Z496-AJ496,2)</f>
      </c>
      <c r="AU496" s="33">
        <f>ROUND(AA496-AK496,2)</f>
      </c>
      <c r="AV496" s="33">
        <f>ROUND(AB496-AL496,2)</f>
      </c>
      <c r="AW496" s="33">
        <f>ROUND(AC496-AM496,2)</f>
      </c>
      <c r="AX496" s="33">
        <f>ROUND(AD496-AN496,2)</f>
      </c>
      <c r="AY496" s="33">
        <f>ROUND(AE496-AO496,2)</f>
      </c>
      <c r="AZ496" s="33">
        <f>ROUND(MAX(0,'Your debts'!$D$22-SUM($L496:$U496)),2)</f>
      </c>
      <c r="BA496" s="33">
        <f>ROUND(SUM($B496:$K496)-SUM($AP495:$AY495),2)</f>
      </c>
      <c r="BB496" s="33">
        <f>SUM($AP496:$AY496)</f>
      </c>
      <c r="BC496" s="33">
        <f>ROUND(SUM($L496:$U496)+SUM($AF496:$AO496),2)</f>
      </c>
    </row>
    <row r="497" spans="1:55" x14ac:dyDescent="0.25">
      <c r="A497">
        <v>490</v>
      </c>
      <c r="B497" s="33">
        <f>IF(AP496&lt;=0,0,ROUND(AP496+ROUND(AP496*V$3/12,2),2))</f>
      </c>
      <c r="C497" s="33">
        <f>IF(AQ496&lt;=0,0,ROUND(AQ496+ROUND(AQ496*W$3/12,2),2))</f>
      </c>
      <c r="D497" s="33">
        <f>IF(AR496&lt;=0,0,ROUND(AR496+ROUND(AR496*X$3/12,2),2))</f>
      </c>
      <c r="E497" s="33">
        <f>IF(AS496&lt;=0,0,ROUND(AS496+ROUND(AS496*Y$3/12,2),2))</f>
      </c>
      <c r="F497" s="33">
        <f>IF(AT496&lt;=0,0,ROUND(AT496+ROUND(AT496*Z$3/12,2),2))</f>
      </c>
      <c r="G497" s="33">
        <f>IF(AU496&lt;=0,0,ROUND(AU496+ROUND(AU496*AA$3/12,2),2))</f>
      </c>
      <c r="H497" s="33">
        <f>IF(AV496&lt;=0,0,ROUND(AV496+ROUND(AV496*AB$3/12,2),2))</f>
      </c>
      <c r="I497" s="33">
        <f>IF(AW496&lt;=0,0,ROUND(AW496+ROUND(AW496*AC$3/12,2),2))</f>
      </c>
      <c r="J497" s="33">
        <f>IF(AX496&lt;=0,0,ROUND(AX496+ROUND(AX496*AD$3/12,2),2))</f>
      </c>
      <c r="K497" s="33">
        <f>IF(AY496&lt;=0,0,ROUND(AY496+ROUND(AY496*AE$3/12,2),2))</f>
      </c>
      <c r="L497" s="33">
        <f>ROUND(MIN(MAX(0,N('Your debts'!$E$6)),B497),2)</f>
      </c>
      <c r="M497" s="33">
        <f>ROUND(MIN(MAX(0,N('Your debts'!$E$7)),C497),2)</f>
      </c>
      <c r="N497" s="33">
        <f>ROUND(MIN(MAX(0,N('Your debts'!$E$8)),D497),2)</f>
      </c>
      <c r="O497" s="33">
        <f>ROUND(MIN(MAX(0,N('Your debts'!$E$9)),E497),2)</f>
      </c>
      <c r="P497" s="33">
        <f>ROUND(MIN(MAX(0,N('Your debts'!$E$10)),F497),2)</f>
      </c>
      <c r="Q497" s="33">
        <f>ROUND(MIN(MAX(0,N('Your debts'!$E$11)),G497),2)</f>
      </c>
      <c r="R497" s="33">
        <f>ROUND(MIN(MAX(0,N('Your debts'!$E$12)),H497),2)</f>
      </c>
      <c r="S497" s="33">
        <f>ROUND(MIN(MAX(0,N('Your debts'!$E$13)),I497),2)</f>
      </c>
      <c r="T497" s="33">
        <f>ROUND(MIN(MAX(0,N('Your debts'!$E$14)),J497),2)</f>
      </c>
      <c r="U497" s="33">
        <f>ROUND(MIN(MAX(0,N('Your debts'!$E$15)),K497),2)</f>
      </c>
      <c r="V497" s="33">
        <f>ROUND(B497-L497,2)</f>
      </c>
      <c r="W497" s="33">
        <f>ROUND(C497-M497,2)</f>
      </c>
      <c r="X497" s="33">
        <f>ROUND(D497-N497,2)</f>
      </c>
      <c r="Y497" s="33">
        <f>ROUND(E497-O497,2)</f>
      </c>
      <c r="Z497" s="33">
        <f>ROUND(F497-P497,2)</f>
      </c>
      <c r="AA497" s="33">
        <f>ROUND(G497-Q497,2)</f>
      </c>
      <c r="AB497" s="33">
        <f>ROUND(H497-R497,2)</f>
      </c>
      <c r="AC497" s="33">
        <f>ROUND(I497-S497,2)</f>
      </c>
      <c r="AD497" s="33">
        <f>ROUND(J497-T497,2)</f>
      </c>
      <c r="AE497" s="33">
        <f>ROUND(K497-U497,2)</f>
      </c>
      <c r="AF497" s="33">
        <f>IF(V497&lt;=0,0,MAX(0,MIN(V497,ROUND($AZ497-SUMPRODUCT($V497:$AE497*($V497:$AE497&gt;0)*(($V$3:$AE$3&gt;V$3)+($V$3:$AE$3=V$3)*($V497:$AE497&lt;V497)+($V$3:$AE$3=V$3)*($V497:$AE497=V497)*($V$2:$AE$2&lt;V$2))),2))))</f>
      </c>
      <c r="AG497" s="33">
        <f>IF(W497&lt;=0,0,MAX(0,MIN(W497,ROUND($AZ497-SUMPRODUCT($V497:$AE497*($V497:$AE497&gt;0)*(($V$3:$AE$3&gt;W$3)+($V$3:$AE$3=W$3)*($V497:$AE497&lt;W497)+($V$3:$AE$3=W$3)*($V497:$AE497=W497)*($V$2:$AE$2&lt;W$2))),2))))</f>
      </c>
      <c r="AH497" s="33">
        <f>IF(X497&lt;=0,0,MAX(0,MIN(X497,ROUND($AZ497-SUMPRODUCT($V497:$AE497*($V497:$AE497&gt;0)*(($V$3:$AE$3&gt;X$3)+($V$3:$AE$3=X$3)*($V497:$AE497&lt;X497)+($V$3:$AE$3=X$3)*($V497:$AE497=X497)*($V$2:$AE$2&lt;X$2))),2))))</f>
      </c>
      <c r="AI497" s="33">
        <f>IF(Y497&lt;=0,0,MAX(0,MIN(Y497,ROUND($AZ497-SUMPRODUCT($V497:$AE497*($V497:$AE497&gt;0)*(($V$3:$AE$3&gt;Y$3)+($V$3:$AE$3=Y$3)*($V497:$AE497&lt;Y497)+($V$3:$AE$3=Y$3)*($V497:$AE497=Y497)*($V$2:$AE$2&lt;Y$2))),2))))</f>
      </c>
      <c r="AJ497" s="33">
        <f>IF(Z497&lt;=0,0,MAX(0,MIN(Z497,ROUND($AZ497-SUMPRODUCT($V497:$AE497*($V497:$AE497&gt;0)*(($V$3:$AE$3&gt;Z$3)+($V$3:$AE$3=Z$3)*($V497:$AE497&lt;Z497)+($V$3:$AE$3=Z$3)*($V497:$AE497=Z497)*($V$2:$AE$2&lt;Z$2))),2))))</f>
      </c>
      <c r="AK497" s="33">
        <f>IF(AA497&lt;=0,0,MAX(0,MIN(AA497,ROUND($AZ497-SUMPRODUCT($V497:$AE497*($V497:$AE497&gt;0)*(($V$3:$AE$3&gt;AA$3)+($V$3:$AE$3=AA$3)*($V497:$AE497&lt;AA497)+($V$3:$AE$3=AA$3)*($V497:$AE497=AA497)*($V$2:$AE$2&lt;AA$2))),2))))</f>
      </c>
      <c r="AL497" s="33">
        <f>IF(AB497&lt;=0,0,MAX(0,MIN(AB497,ROUND($AZ497-SUMPRODUCT($V497:$AE497*($V497:$AE497&gt;0)*(($V$3:$AE$3&gt;AB$3)+($V$3:$AE$3=AB$3)*($V497:$AE497&lt;AB497)+($V$3:$AE$3=AB$3)*($V497:$AE497=AB497)*($V$2:$AE$2&lt;AB$2))),2))))</f>
      </c>
      <c r="AM497" s="33">
        <f>IF(AC497&lt;=0,0,MAX(0,MIN(AC497,ROUND($AZ497-SUMPRODUCT($V497:$AE497*($V497:$AE497&gt;0)*(($V$3:$AE$3&gt;AC$3)+($V$3:$AE$3=AC$3)*($V497:$AE497&lt;AC497)+($V$3:$AE$3=AC$3)*($V497:$AE497=AC497)*($V$2:$AE$2&lt;AC$2))),2))))</f>
      </c>
      <c r="AN497" s="33">
        <f>IF(AD497&lt;=0,0,MAX(0,MIN(AD497,ROUND($AZ497-SUMPRODUCT($V497:$AE497*($V497:$AE497&gt;0)*(($V$3:$AE$3&gt;AD$3)+($V$3:$AE$3=AD$3)*($V497:$AE497&lt;AD497)+($V$3:$AE$3=AD$3)*($V497:$AE497=AD497)*($V$2:$AE$2&lt;AD$2))),2))))</f>
      </c>
      <c r="AO497" s="33">
        <f>IF(AE497&lt;=0,0,MAX(0,MIN(AE497,ROUND($AZ497-SUMPRODUCT($V497:$AE497*($V497:$AE497&gt;0)*(($V$3:$AE$3&gt;AE$3)+($V$3:$AE$3=AE$3)*($V497:$AE497&lt;AE497)+($V$3:$AE$3=AE$3)*($V497:$AE497=AE497)*($V$2:$AE$2&lt;AE$2))),2))))</f>
      </c>
      <c r="AP497" s="33">
        <f>ROUND(V497-AF497,2)</f>
      </c>
      <c r="AQ497" s="33">
        <f>ROUND(W497-AG497,2)</f>
      </c>
      <c r="AR497" s="33">
        <f>ROUND(X497-AH497,2)</f>
      </c>
      <c r="AS497" s="33">
        <f>ROUND(Y497-AI497,2)</f>
      </c>
      <c r="AT497" s="33">
        <f>ROUND(Z497-AJ497,2)</f>
      </c>
      <c r="AU497" s="33">
        <f>ROUND(AA497-AK497,2)</f>
      </c>
      <c r="AV497" s="33">
        <f>ROUND(AB497-AL497,2)</f>
      </c>
      <c r="AW497" s="33">
        <f>ROUND(AC497-AM497,2)</f>
      </c>
      <c r="AX497" s="33">
        <f>ROUND(AD497-AN497,2)</f>
      </c>
      <c r="AY497" s="33">
        <f>ROUND(AE497-AO497,2)</f>
      </c>
      <c r="AZ497" s="33">
        <f>ROUND(MAX(0,'Your debts'!$D$22-SUM($L497:$U497)),2)</f>
      </c>
      <c r="BA497" s="33">
        <f>ROUND(SUM($B497:$K497)-SUM($AP496:$AY496),2)</f>
      </c>
      <c r="BB497" s="33">
        <f>SUM($AP497:$AY497)</f>
      </c>
      <c r="BC497" s="33">
        <f>ROUND(SUM($L497:$U497)+SUM($AF497:$AO497),2)</f>
      </c>
    </row>
    <row r="498" spans="1:55" x14ac:dyDescent="0.25">
      <c r="A498">
        <v>491</v>
      </c>
      <c r="B498" s="33">
        <f>IF(AP497&lt;=0,0,ROUND(AP497+ROUND(AP497*V$3/12,2),2))</f>
      </c>
      <c r="C498" s="33">
        <f>IF(AQ497&lt;=0,0,ROUND(AQ497+ROUND(AQ497*W$3/12,2),2))</f>
      </c>
      <c r="D498" s="33">
        <f>IF(AR497&lt;=0,0,ROUND(AR497+ROUND(AR497*X$3/12,2),2))</f>
      </c>
      <c r="E498" s="33">
        <f>IF(AS497&lt;=0,0,ROUND(AS497+ROUND(AS497*Y$3/12,2),2))</f>
      </c>
      <c r="F498" s="33">
        <f>IF(AT497&lt;=0,0,ROUND(AT497+ROUND(AT497*Z$3/12,2),2))</f>
      </c>
      <c r="G498" s="33">
        <f>IF(AU497&lt;=0,0,ROUND(AU497+ROUND(AU497*AA$3/12,2),2))</f>
      </c>
      <c r="H498" s="33">
        <f>IF(AV497&lt;=0,0,ROUND(AV497+ROUND(AV497*AB$3/12,2),2))</f>
      </c>
      <c r="I498" s="33">
        <f>IF(AW497&lt;=0,0,ROUND(AW497+ROUND(AW497*AC$3/12,2),2))</f>
      </c>
      <c r="J498" s="33">
        <f>IF(AX497&lt;=0,0,ROUND(AX497+ROUND(AX497*AD$3/12,2),2))</f>
      </c>
      <c r="K498" s="33">
        <f>IF(AY497&lt;=0,0,ROUND(AY497+ROUND(AY497*AE$3/12,2),2))</f>
      </c>
      <c r="L498" s="33">
        <f>ROUND(MIN(MAX(0,N('Your debts'!$E$6)),B498),2)</f>
      </c>
      <c r="M498" s="33">
        <f>ROUND(MIN(MAX(0,N('Your debts'!$E$7)),C498),2)</f>
      </c>
      <c r="N498" s="33">
        <f>ROUND(MIN(MAX(0,N('Your debts'!$E$8)),D498),2)</f>
      </c>
      <c r="O498" s="33">
        <f>ROUND(MIN(MAX(0,N('Your debts'!$E$9)),E498),2)</f>
      </c>
      <c r="P498" s="33">
        <f>ROUND(MIN(MAX(0,N('Your debts'!$E$10)),F498),2)</f>
      </c>
      <c r="Q498" s="33">
        <f>ROUND(MIN(MAX(0,N('Your debts'!$E$11)),G498),2)</f>
      </c>
      <c r="R498" s="33">
        <f>ROUND(MIN(MAX(0,N('Your debts'!$E$12)),H498),2)</f>
      </c>
      <c r="S498" s="33">
        <f>ROUND(MIN(MAX(0,N('Your debts'!$E$13)),I498),2)</f>
      </c>
      <c r="T498" s="33">
        <f>ROUND(MIN(MAX(0,N('Your debts'!$E$14)),J498),2)</f>
      </c>
      <c r="U498" s="33">
        <f>ROUND(MIN(MAX(0,N('Your debts'!$E$15)),K498),2)</f>
      </c>
      <c r="V498" s="33">
        <f>ROUND(B498-L498,2)</f>
      </c>
      <c r="W498" s="33">
        <f>ROUND(C498-M498,2)</f>
      </c>
      <c r="X498" s="33">
        <f>ROUND(D498-N498,2)</f>
      </c>
      <c r="Y498" s="33">
        <f>ROUND(E498-O498,2)</f>
      </c>
      <c r="Z498" s="33">
        <f>ROUND(F498-P498,2)</f>
      </c>
      <c r="AA498" s="33">
        <f>ROUND(G498-Q498,2)</f>
      </c>
      <c r="AB498" s="33">
        <f>ROUND(H498-R498,2)</f>
      </c>
      <c r="AC498" s="33">
        <f>ROUND(I498-S498,2)</f>
      </c>
      <c r="AD498" s="33">
        <f>ROUND(J498-T498,2)</f>
      </c>
      <c r="AE498" s="33">
        <f>ROUND(K498-U498,2)</f>
      </c>
      <c r="AF498" s="33">
        <f>IF(V498&lt;=0,0,MAX(0,MIN(V498,ROUND($AZ498-SUMPRODUCT($V498:$AE498*($V498:$AE498&gt;0)*(($V$3:$AE$3&gt;V$3)+($V$3:$AE$3=V$3)*($V498:$AE498&lt;V498)+($V$3:$AE$3=V$3)*($V498:$AE498=V498)*($V$2:$AE$2&lt;V$2))),2))))</f>
      </c>
      <c r="AG498" s="33">
        <f>IF(W498&lt;=0,0,MAX(0,MIN(W498,ROUND($AZ498-SUMPRODUCT($V498:$AE498*($V498:$AE498&gt;0)*(($V$3:$AE$3&gt;W$3)+($V$3:$AE$3=W$3)*($V498:$AE498&lt;W498)+($V$3:$AE$3=W$3)*($V498:$AE498=W498)*($V$2:$AE$2&lt;W$2))),2))))</f>
      </c>
      <c r="AH498" s="33">
        <f>IF(X498&lt;=0,0,MAX(0,MIN(X498,ROUND($AZ498-SUMPRODUCT($V498:$AE498*($V498:$AE498&gt;0)*(($V$3:$AE$3&gt;X$3)+($V$3:$AE$3=X$3)*($V498:$AE498&lt;X498)+($V$3:$AE$3=X$3)*($V498:$AE498=X498)*($V$2:$AE$2&lt;X$2))),2))))</f>
      </c>
      <c r="AI498" s="33">
        <f>IF(Y498&lt;=0,0,MAX(0,MIN(Y498,ROUND($AZ498-SUMPRODUCT($V498:$AE498*($V498:$AE498&gt;0)*(($V$3:$AE$3&gt;Y$3)+($V$3:$AE$3=Y$3)*($V498:$AE498&lt;Y498)+($V$3:$AE$3=Y$3)*($V498:$AE498=Y498)*($V$2:$AE$2&lt;Y$2))),2))))</f>
      </c>
      <c r="AJ498" s="33">
        <f>IF(Z498&lt;=0,0,MAX(0,MIN(Z498,ROUND($AZ498-SUMPRODUCT($V498:$AE498*($V498:$AE498&gt;0)*(($V$3:$AE$3&gt;Z$3)+($V$3:$AE$3=Z$3)*($V498:$AE498&lt;Z498)+($V$3:$AE$3=Z$3)*($V498:$AE498=Z498)*($V$2:$AE$2&lt;Z$2))),2))))</f>
      </c>
      <c r="AK498" s="33">
        <f>IF(AA498&lt;=0,0,MAX(0,MIN(AA498,ROUND($AZ498-SUMPRODUCT($V498:$AE498*($V498:$AE498&gt;0)*(($V$3:$AE$3&gt;AA$3)+($V$3:$AE$3=AA$3)*($V498:$AE498&lt;AA498)+($V$3:$AE$3=AA$3)*($V498:$AE498=AA498)*($V$2:$AE$2&lt;AA$2))),2))))</f>
      </c>
      <c r="AL498" s="33">
        <f>IF(AB498&lt;=0,0,MAX(0,MIN(AB498,ROUND($AZ498-SUMPRODUCT($V498:$AE498*($V498:$AE498&gt;0)*(($V$3:$AE$3&gt;AB$3)+($V$3:$AE$3=AB$3)*($V498:$AE498&lt;AB498)+($V$3:$AE$3=AB$3)*($V498:$AE498=AB498)*($V$2:$AE$2&lt;AB$2))),2))))</f>
      </c>
      <c r="AM498" s="33">
        <f>IF(AC498&lt;=0,0,MAX(0,MIN(AC498,ROUND($AZ498-SUMPRODUCT($V498:$AE498*($V498:$AE498&gt;0)*(($V$3:$AE$3&gt;AC$3)+($V$3:$AE$3=AC$3)*($V498:$AE498&lt;AC498)+($V$3:$AE$3=AC$3)*($V498:$AE498=AC498)*($V$2:$AE$2&lt;AC$2))),2))))</f>
      </c>
      <c r="AN498" s="33">
        <f>IF(AD498&lt;=0,0,MAX(0,MIN(AD498,ROUND($AZ498-SUMPRODUCT($V498:$AE498*($V498:$AE498&gt;0)*(($V$3:$AE$3&gt;AD$3)+($V$3:$AE$3=AD$3)*($V498:$AE498&lt;AD498)+($V$3:$AE$3=AD$3)*($V498:$AE498=AD498)*($V$2:$AE$2&lt;AD$2))),2))))</f>
      </c>
      <c r="AO498" s="33">
        <f>IF(AE498&lt;=0,0,MAX(0,MIN(AE498,ROUND($AZ498-SUMPRODUCT($V498:$AE498*($V498:$AE498&gt;0)*(($V$3:$AE$3&gt;AE$3)+($V$3:$AE$3=AE$3)*($V498:$AE498&lt;AE498)+($V$3:$AE$3=AE$3)*($V498:$AE498=AE498)*($V$2:$AE$2&lt;AE$2))),2))))</f>
      </c>
      <c r="AP498" s="33">
        <f>ROUND(V498-AF498,2)</f>
      </c>
      <c r="AQ498" s="33">
        <f>ROUND(W498-AG498,2)</f>
      </c>
      <c r="AR498" s="33">
        <f>ROUND(X498-AH498,2)</f>
      </c>
      <c r="AS498" s="33">
        <f>ROUND(Y498-AI498,2)</f>
      </c>
      <c r="AT498" s="33">
        <f>ROUND(Z498-AJ498,2)</f>
      </c>
      <c r="AU498" s="33">
        <f>ROUND(AA498-AK498,2)</f>
      </c>
      <c r="AV498" s="33">
        <f>ROUND(AB498-AL498,2)</f>
      </c>
      <c r="AW498" s="33">
        <f>ROUND(AC498-AM498,2)</f>
      </c>
      <c r="AX498" s="33">
        <f>ROUND(AD498-AN498,2)</f>
      </c>
      <c r="AY498" s="33">
        <f>ROUND(AE498-AO498,2)</f>
      </c>
      <c r="AZ498" s="33">
        <f>ROUND(MAX(0,'Your debts'!$D$22-SUM($L498:$U498)),2)</f>
      </c>
      <c r="BA498" s="33">
        <f>ROUND(SUM($B498:$K498)-SUM($AP497:$AY497),2)</f>
      </c>
      <c r="BB498" s="33">
        <f>SUM($AP498:$AY498)</f>
      </c>
      <c r="BC498" s="33">
        <f>ROUND(SUM($L498:$U498)+SUM($AF498:$AO498),2)</f>
      </c>
    </row>
    <row r="499" spans="1:55" x14ac:dyDescent="0.25">
      <c r="A499">
        <v>492</v>
      </c>
      <c r="B499" s="33">
        <f>IF(AP498&lt;=0,0,ROUND(AP498+ROUND(AP498*V$3/12,2),2))</f>
      </c>
      <c r="C499" s="33">
        <f>IF(AQ498&lt;=0,0,ROUND(AQ498+ROUND(AQ498*W$3/12,2),2))</f>
      </c>
      <c r="D499" s="33">
        <f>IF(AR498&lt;=0,0,ROUND(AR498+ROUND(AR498*X$3/12,2),2))</f>
      </c>
      <c r="E499" s="33">
        <f>IF(AS498&lt;=0,0,ROUND(AS498+ROUND(AS498*Y$3/12,2),2))</f>
      </c>
      <c r="F499" s="33">
        <f>IF(AT498&lt;=0,0,ROUND(AT498+ROUND(AT498*Z$3/12,2),2))</f>
      </c>
      <c r="G499" s="33">
        <f>IF(AU498&lt;=0,0,ROUND(AU498+ROUND(AU498*AA$3/12,2),2))</f>
      </c>
      <c r="H499" s="33">
        <f>IF(AV498&lt;=0,0,ROUND(AV498+ROUND(AV498*AB$3/12,2),2))</f>
      </c>
      <c r="I499" s="33">
        <f>IF(AW498&lt;=0,0,ROUND(AW498+ROUND(AW498*AC$3/12,2),2))</f>
      </c>
      <c r="J499" s="33">
        <f>IF(AX498&lt;=0,0,ROUND(AX498+ROUND(AX498*AD$3/12,2),2))</f>
      </c>
      <c r="K499" s="33">
        <f>IF(AY498&lt;=0,0,ROUND(AY498+ROUND(AY498*AE$3/12,2),2))</f>
      </c>
      <c r="L499" s="33">
        <f>ROUND(MIN(MAX(0,N('Your debts'!$E$6)),B499),2)</f>
      </c>
      <c r="M499" s="33">
        <f>ROUND(MIN(MAX(0,N('Your debts'!$E$7)),C499),2)</f>
      </c>
      <c r="N499" s="33">
        <f>ROUND(MIN(MAX(0,N('Your debts'!$E$8)),D499),2)</f>
      </c>
      <c r="O499" s="33">
        <f>ROUND(MIN(MAX(0,N('Your debts'!$E$9)),E499),2)</f>
      </c>
      <c r="P499" s="33">
        <f>ROUND(MIN(MAX(0,N('Your debts'!$E$10)),F499),2)</f>
      </c>
      <c r="Q499" s="33">
        <f>ROUND(MIN(MAX(0,N('Your debts'!$E$11)),G499),2)</f>
      </c>
      <c r="R499" s="33">
        <f>ROUND(MIN(MAX(0,N('Your debts'!$E$12)),H499),2)</f>
      </c>
      <c r="S499" s="33">
        <f>ROUND(MIN(MAX(0,N('Your debts'!$E$13)),I499),2)</f>
      </c>
      <c r="T499" s="33">
        <f>ROUND(MIN(MAX(0,N('Your debts'!$E$14)),J499),2)</f>
      </c>
      <c r="U499" s="33">
        <f>ROUND(MIN(MAX(0,N('Your debts'!$E$15)),K499),2)</f>
      </c>
      <c r="V499" s="33">
        <f>ROUND(B499-L499,2)</f>
      </c>
      <c r="W499" s="33">
        <f>ROUND(C499-M499,2)</f>
      </c>
      <c r="X499" s="33">
        <f>ROUND(D499-N499,2)</f>
      </c>
      <c r="Y499" s="33">
        <f>ROUND(E499-O499,2)</f>
      </c>
      <c r="Z499" s="33">
        <f>ROUND(F499-P499,2)</f>
      </c>
      <c r="AA499" s="33">
        <f>ROUND(G499-Q499,2)</f>
      </c>
      <c r="AB499" s="33">
        <f>ROUND(H499-R499,2)</f>
      </c>
      <c r="AC499" s="33">
        <f>ROUND(I499-S499,2)</f>
      </c>
      <c r="AD499" s="33">
        <f>ROUND(J499-T499,2)</f>
      </c>
      <c r="AE499" s="33">
        <f>ROUND(K499-U499,2)</f>
      </c>
      <c r="AF499" s="33">
        <f>IF(V499&lt;=0,0,MAX(0,MIN(V499,ROUND($AZ499-SUMPRODUCT($V499:$AE499*($V499:$AE499&gt;0)*(($V$3:$AE$3&gt;V$3)+($V$3:$AE$3=V$3)*($V499:$AE499&lt;V499)+($V$3:$AE$3=V$3)*($V499:$AE499=V499)*($V$2:$AE$2&lt;V$2))),2))))</f>
      </c>
      <c r="AG499" s="33">
        <f>IF(W499&lt;=0,0,MAX(0,MIN(W499,ROUND($AZ499-SUMPRODUCT($V499:$AE499*($V499:$AE499&gt;0)*(($V$3:$AE$3&gt;W$3)+($V$3:$AE$3=W$3)*($V499:$AE499&lt;W499)+($V$3:$AE$3=W$3)*($V499:$AE499=W499)*($V$2:$AE$2&lt;W$2))),2))))</f>
      </c>
      <c r="AH499" s="33">
        <f>IF(X499&lt;=0,0,MAX(0,MIN(X499,ROUND($AZ499-SUMPRODUCT($V499:$AE499*($V499:$AE499&gt;0)*(($V$3:$AE$3&gt;X$3)+($V$3:$AE$3=X$3)*($V499:$AE499&lt;X499)+($V$3:$AE$3=X$3)*($V499:$AE499=X499)*($V$2:$AE$2&lt;X$2))),2))))</f>
      </c>
      <c r="AI499" s="33">
        <f>IF(Y499&lt;=0,0,MAX(0,MIN(Y499,ROUND($AZ499-SUMPRODUCT($V499:$AE499*($V499:$AE499&gt;0)*(($V$3:$AE$3&gt;Y$3)+($V$3:$AE$3=Y$3)*($V499:$AE499&lt;Y499)+($V$3:$AE$3=Y$3)*($V499:$AE499=Y499)*($V$2:$AE$2&lt;Y$2))),2))))</f>
      </c>
      <c r="AJ499" s="33">
        <f>IF(Z499&lt;=0,0,MAX(0,MIN(Z499,ROUND($AZ499-SUMPRODUCT($V499:$AE499*($V499:$AE499&gt;0)*(($V$3:$AE$3&gt;Z$3)+($V$3:$AE$3=Z$3)*($V499:$AE499&lt;Z499)+($V$3:$AE$3=Z$3)*($V499:$AE499=Z499)*($V$2:$AE$2&lt;Z$2))),2))))</f>
      </c>
      <c r="AK499" s="33">
        <f>IF(AA499&lt;=0,0,MAX(0,MIN(AA499,ROUND($AZ499-SUMPRODUCT($V499:$AE499*($V499:$AE499&gt;0)*(($V$3:$AE$3&gt;AA$3)+($V$3:$AE$3=AA$3)*($V499:$AE499&lt;AA499)+($V$3:$AE$3=AA$3)*($V499:$AE499=AA499)*($V$2:$AE$2&lt;AA$2))),2))))</f>
      </c>
      <c r="AL499" s="33">
        <f>IF(AB499&lt;=0,0,MAX(0,MIN(AB499,ROUND($AZ499-SUMPRODUCT($V499:$AE499*($V499:$AE499&gt;0)*(($V$3:$AE$3&gt;AB$3)+($V$3:$AE$3=AB$3)*($V499:$AE499&lt;AB499)+($V$3:$AE$3=AB$3)*($V499:$AE499=AB499)*($V$2:$AE$2&lt;AB$2))),2))))</f>
      </c>
      <c r="AM499" s="33">
        <f>IF(AC499&lt;=0,0,MAX(0,MIN(AC499,ROUND($AZ499-SUMPRODUCT($V499:$AE499*($V499:$AE499&gt;0)*(($V$3:$AE$3&gt;AC$3)+($V$3:$AE$3=AC$3)*($V499:$AE499&lt;AC499)+($V$3:$AE$3=AC$3)*($V499:$AE499=AC499)*($V$2:$AE$2&lt;AC$2))),2))))</f>
      </c>
      <c r="AN499" s="33">
        <f>IF(AD499&lt;=0,0,MAX(0,MIN(AD499,ROUND($AZ499-SUMPRODUCT($V499:$AE499*($V499:$AE499&gt;0)*(($V$3:$AE$3&gt;AD$3)+($V$3:$AE$3=AD$3)*($V499:$AE499&lt;AD499)+($V$3:$AE$3=AD$3)*($V499:$AE499=AD499)*($V$2:$AE$2&lt;AD$2))),2))))</f>
      </c>
      <c r="AO499" s="33">
        <f>IF(AE499&lt;=0,0,MAX(0,MIN(AE499,ROUND($AZ499-SUMPRODUCT($V499:$AE499*($V499:$AE499&gt;0)*(($V$3:$AE$3&gt;AE$3)+($V$3:$AE$3=AE$3)*($V499:$AE499&lt;AE499)+($V$3:$AE$3=AE$3)*($V499:$AE499=AE499)*($V$2:$AE$2&lt;AE$2))),2))))</f>
      </c>
      <c r="AP499" s="33">
        <f>ROUND(V499-AF499,2)</f>
      </c>
      <c r="AQ499" s="33">
        <f>ROUND(W499-AG499,2)</f>
      </c>
      <c r="AR499" s="33">
        <f>ROUND(X499-AH499,2)</f>
      </c>
      <c r="AS499" s="33">
        <f>ROUND(Y499-AI499,2)</f>
      </c>
      <c r="AT499" s="33">
        <f>ROUND(Z499-AJ499,2)</f>
      </c>
      <c r="AU499" s="33">
        <f>ROUND(AA499-AK499,2)</f>
      </c>
      <c r="AV499" s="33">
        <f>ROUND(AB499-AL499,2)</f>
      </c>
      <c r="AW499" s="33">
        <f>ROUND(AC499-AM499,2)</f>
      </c>
      <c r="AX499" s="33">
        <f>ROUND(AD499-AN499,2)</f>
      </c>
      <c r="AY499" s="33">
        <f>ROUND(AE499-AO499,2)</f>
      </c>
      <c r="AZ499" s="33">
        <f>ROUND(MAX(0,'Your debts'!$D$22-SUM($L499:$U499)),2)</f>
      </c>
      <c r="BA499" s="33">
        <f>ROUND(SUM($B499:$K499)-SUM($AP498:$AY498),2)</f>
      </c>
      <c r="BB499" s="33">
        <f>SUM($AP499:$AY499)</f>
      </c>
      <c r="BC499" s="33">
        <f>ROUND(SUM($L499:$U499)+SUM($AF499:$AO499),2)</f>
      </c>
    </row>
    <row r="500" spans="1:55" x14ac:dyDescent="0.25">
      <c r="A500">
        <v>493</v>
      </c>
      <c r="B500" s="33">
        <f>IF(AP499&lt;=0,0,ROUND(AP499+ROUND(AP499*V$3/12,2),2))</f>
      </c>
      <c r="C500" s="33">
        <f>IF(AQ499&lt;=0,0,ROUND(AQ499+ROUND(AQ499*W$3/12,2),2))</f>
      </c>
      <c r="D500" s="33">
        <f>IF(AR499&lt;=0,0,ROUND(AR499+ROUND(AR499*X$3/12,2),2))</f>
      </c>
      <c r="E500" s="33">
        <f>IF(AS499&lt;=0,0,ROUND(AS499+ROUND(AS499*Y$3/12,2),2))</f>
      </c>
      <c r="F500" s="33">
        <f>IF(AT499&lt;=0,0,ROUND(AT499+ROUND(AT499*Z$3/12,2),2))</f>
      </c>
      <c r="G500" s="33">
        <f>IF(AU499&lt;=0,0,ROUND(AU499+ROUND(AU499*AA$3/12,2),2))</f>
      </c>
      <c r="H500" s="33">
        <f>IF(AV499&lt;=0,0,ROUND(AV499+ROUND(AV499*AB$3/12,2),2))</f>
      </c>
      <c r="I500" s="33">
        <f>IF(AW499&lt;=0,0,ROUND(AW499+ROUND(AW499*AC$3/12,2),2))</f>
      </c>
      <c r="J500" s="33">
        <f>IF(AX499&lt;=0,0,ROUND(AX499+ROUND(AX499*AD$3/12,2),2))</f>
      </c>
      <c r="K500" s="33">
        <f>IF(AY499&lt;=0,0,ROUND(AY499+ROUND(AY499*AE$3/12,2),2))</f>
      </c>
      <c r="L500" s="33">
        <f>ROUND(MIN(MAX(0,N('Your debts'!$E$6)),B500),2)</f>
      </c>
      <c r="M500" s="33">
        <f>ROUND(MIN(MAX(0,N('Your debts'!$E$7)),C500),2)</f>
      </c>
      <c r="N500" s="33">
        <f>ROUND(MIN(MAX(0,N('Your debts'!$E$8)),D500),2)</f>
      </c>
      <c r="O500" s="33">
        <f>ROUND(MIN(MAX(0,N('Your debts'!$E$9)),E500),2)</f>
      </c>
      <c r="P500" s="33">
        <f>ROUND(MIN(MAX(0,N('Your debts'!$E$10)),F500),2)</f>
      </c>
      <c r="Q500" s="33">
        <f>ROUND(MIN(MAX(0,N('Your debts'!$E$11)),G500),2)</f>
      </c>
      <c r="R500" s="33">
        <f>ROUND(MIN(MAX(0,N('Your debts'!$E$12)),H500),2)</f>
      </c>
      <c r="S500" s="33">
        <f>ROUND(MIN(MAX(0,N('Your debts'!$E$13)),I500),2)</f>
      </c>
      <c r="T500" s="33">
        <f>ROUND(MIN(MAX(0,N('Your debts'!$E$14)),J500),2)</f>
      </c>
      <c r="U500" s="33">
        <f>ROUND(MIN(MAX(0,N('Your debts'!$E$15)),K500),2)</f>
      </c>
      <c r="V500" s="33">
        <f>ROUND(B500-L500,2)</f>
      </c>
      <c r="W500" s="33">
        <f>ROUND(C500-M500,2)</f>
      </c>
      <c r="X500" s="33">
        <f>ROUND(D500-N500,2)</f>
      </c>
      <c r="Y500" s="33">
        <f>ROUND(E500-O500,2)</f>
      </c>
      <c r="Z500" s="33">
        <f>ROUND(F500-P500,2)</f>
      </c>
      <c r="AA500" s="33">
        <f>ROUND(G500-Q500,2)</f>
      </c>
      <c r="AB500" s="33">
        <f>ROUND(H500-R500,2)</f>
      </c>
      <c r="AC500" s="33">
        <f>ROUND(I500-S500,2)</f>
      </c>
      <c r="AD500" s="33">
        <f>ROUND(J500-T500,2)</f>
      </c>
      <c r="AE500" s="33">
        <f>ROUND(K500-U500,2)</f>
      </c>
      <c r="AF500" s="33">
        <f>IF(V500&lt;=0,0,MAX(0,MIN(V500,ROUND($AZ500-SUMPRODUCT($V500:$AE500*($V500:$AE500&gt;0)*(($V$3:$AE$3&gt;V$3)+($V$3:$AE$3=V$3)*($V500:$AE500&lt;V500)+($V$3:$AE$3=V$3)*($V500:$AE500=V500)*($V$2:$AE$2&lt;V$2))),2))))</f>
      </c>
      <c r="AG500" s="33">
        <f>IF(W500&lt;=0,0,MAX(0,MIN(W500,ROUND($AZ500-SUMPRODUCT($V500:$AE500*($V500:$AE500&gt;0)*(($V$3:$AE$3&gt;W$3)+($V$3:$AE$3=W$3)*($V500:$AE500&lt;W500)+($V$3:$AE$3=W$3)*($V500:$AE500=W500)*($V$2:$AE$2&lt;W$2))),2))))</f>
      </c>
      <c r="AH500" s="33">
        <f>IF(X500&lt;=0,0,MAX(0,MIN(X500,ROUND($AZ500-SUMPRODUCT($V500:$AE500*($V500:$AE500&gt;0)*(($V$3:$AE$3&gt;X$3)+($V$3:$AE$3=X$3)*($V500:$AE500&lt;X500)+($V$3:$AE$3=X$3)*($V500:$AE500=X500)*($V$2:$AE$2&lt;X$2))),2))))</f>
      </c>
      <c r="AI500" s="33">
        <f>IF(Y500&lt;=0,0,MAX(0,MIN(Y500,ROUND($AZ500-SUMPRODUCT($V500:$AE500*($V500:$AE500&gt;0)*(($V$3:$AE$3&gt;Y$3)+($V$3:$AE$3=Y$3)*($V500:$AE500&lt;Y500)+($V$3:$AE$3=Y$3)*($V500:$AE500=Y500)*($V$2:$AE$2&lt;Y$2))),2))))</f>
      </c>
      <c r="AJ500" s="33">
        <f>IF(Z500&lt;=0,0,MAX(0,MIN(Z500,ROUND($AZ500-SUMPRODUCT($V500:$AE500*($V500:$AE500&gt;0)*(($V$3:$AE$3&gt;Z$3)+($V$3:$AE$3=Z$3)*($V500:$AE500&lt;Z500)+($V$3:$AE$3=Z$3)*($V500:$AE500=Z500)*($V$2:$AE$2&lt;Z$2))),2))))</f>
      </c>
      <c r="AK500" s="33">
        <f>IF(AA500&lt;=0,0,MAX(0,MIN(AA500,ROUND($AZ500-SUMPRODUCT($V500:$AE500*($V500:$AE500&gt;0)*(($V$3:$AE$3&gt;AA$3)+($V$3:$AE$3=AA$3)*($V500:$AE500&lt;AA500)+($V$3:$AE$3=AA$3)*($V500:$AE500=AA500)*($V$2:$AE$2&lt;AA$2))),2))))</f>
      </c>
      <c r="AL500" s="33">
        <f>IF(AB500&lt;=0,0,MAX(0,MIN(AB500,ROUND($AZ500-SUMPRODUCT($V500:$AE500*($V500:$AE500&gt;0)*(($V$3:$AE$3&gt;AB$3)+($V$3:$AE$3=AB$3)*($V500:$AE500&lt;AB500)+($V$3:$AE$3=AB$3)*($V500:$AE500=AB500)*($V$2:$AE$2&lt;AB$2))),2))))</f>
      </c>
      <c r="AM500" s="33">
        <f>IF(AC500&lt;=0,0,MAX(0,MIN(AC500,ROUND($AZ500-SUMPRODUCT($V500:$AE500*($V500:$AE500&gt;0)*(($V$3:$AE$3&gt;AC$3)+($V$3:$AE$3=AC$3)*($V500:$AE500&lt;AC500)+($V$3:$AE$3=AC$3)*($V500:$AE500=AC500)*($V$2:$AE$2&lt;AC$2))),2))))</f>
      </c>
      <c r="AN500" s="33">
        <f>IF(AD500&lt;=0,0,MAX(0,MIN(AD500,ROUND($AZ500-SUMPRODUCT($V500:$AE500*($V500:$AE500&gt;0)*(($V$3:$AE$3&gt;AD$3)+($V$3:$AE$3=AD$3)*($V500:$AE500&lt;AD500)+($V$3:$AE$3=AD$3)*($V500:$AE500=AD500)*($V$2:$AE$2&lt;AD$2))),2))))</f>
      </c>
      <c r="AO500" s="33">
        <f>IF(AE500&lt;=0,0,MAX(0,MIN(AE500,ROUND($AZ500-SUMPRODUCT($V500:$AE500*($V500:$AE500&gt;0)*(($V$3:$AE$3&gt;AE$3)+($V$3:$AE$3=AE$3)*($V500:$AE500&lt;AE500)+($V$3:$AE$3=AE$3)*($V500:$AE500=AE500)*($V$2:$AE$2&lt;AE$2))),2))))</f>
      </c>
      <c r="AP500" s="33">
        <f>ROUND(V500-AF500,2)</f>
      </c>
      <c r="AQ500" s="33">
        <f>ROUND(W500-AG500,2)</f>
      </c>
      <c r="AR500" s="33">
        <f>ROUND(X500-AH500,2)</f>
      </c>
      <c r="AS500" s="33">
        <f>ROUND(Y500-AI500,2)</f>
      </c>
      <c r="AT500" s="33">
        <f>ROUND(Z500-AJ500,2)</f>
      </c>
      <c r="AU500" s="33">
        <f>ROUND(AA500-AK500,2)</f>
      </c>
      <c r="AV500" s="33">
        <f>ROUND(AB500-AL500,2)</f>
      </c>
      <c r="AW500" s="33">
        <f>ROUND(AC500-AM500,2)</f>
      </c>
      <c r="AX500" s="33">
        <f>ROUND(AD500-AN500,2)</f>
      </c>
      <c r="AY500" s="33">
        <f>ROUND(AE500-AO500,2)</f>
      </c>
      <c r="AZ500" s="33">
        <f>ROUND(MAX(0,'Your debts'!$D$22-SUM($L500:$U500)),2)</f>
      </c>
      <c r="BA500" s="33">
        <f>ROUND(SUM($B500:$K500)-SUM($AP499:$AY499),2)</f>
      </c>
      <c r="BB500" s="33">
        <f>SUM($AP500:$AY500)</f>
      </c>
      <c r="BC500" s="33">
        <f>ROUND(SUM($L500:$U500)+SUM($AF500:$AO500),2)</f>
      </c>
    </row>
    <row r="501" spans="1:55" x14ac:dyDescent="0.25">
      <c r="A501">
        <v>494</v>
      </c>
      <c r="B501" s="33">
        <f>IF(AP500&lt;=0,0,ROUND(AP500+ROUND(AP500*V$3/12,2),2))</f>
      </c>
      <c r="C501" s="33">
        <f>IF(AQ500&lt;=0,0,ROUND(AQ500+ROUND(AQ500*W$3/12,2),2))</f>
      </c>
      <c r="D501" s="33">
        <f>IF(AR500&lt;=0,0,ROUND(AR500+ROUND(AR500*X$3/12,2),2))</f>
      </c>
      <c r="E501" s="33">
        <f>IF(AS500&lt;=0,0,ROUND(AS500+ROUND(AS500*Y$3/12,2),2))</f>
      </c>
      <c r="F501" s="33">
        <f>IF(AT500&lt;=0,0,ROUND(AT500+ROUND(AT500*Z$3/12,2),2))</f>
      </c>
      <c r="G501" s="33">
        <f>IF(AU500&lt;=0,0,ROUND(AU500+ROUND(AU500*AA$3/12,2),2))</f>
      </c>
      <c r="H501" s="33">
        <f>IF(AV500&lt;=0,0,ROUND(AV500+ROUND(AV500*AB$3/12,2),2))</f>
      </c>
      <c r="I501" s="33">
        <f>IF(AW500&lt;=0,0,ROUND(AW500+ROUND(AW500*AC$3/12,2),2))</f>
      </c>
      <c r="J501" s="33">
        <f>IF(AX500&lt;=0,0,ROUND(AX500+ROUND(AX500*AD$3/12,2),2))</f>
      </c>
      <c r="K501" s="33">
        <f>IF(AY500&lt;=0,0,ROUND(AY500+ROUND(AY500*AE$3/12,2),2))</f>
      </c>
      <c r="L501" s="33">
        <f>ROUND(MIN(MAX(0,N('Your debts'!$E$6)),B501),2)</f>
      </c>
      <c r="M501" s="33">
        <f>ROUND(MIN(MAX(0,N('Your debts'!$E$7)),C501),2)</f>
      </c>
      <c r="N501" s="33">
        <f>ROUND(MIN(MAX(0,N('Your debts'!$E$8)),D501),2)</f>
      </c>
      <c r="O501" s="33">
        <f>ROUND(MIN(MAX(0,N('Your debts'!$E$9)),E501),2)</f>
      </c>
      <c r="P501" s="33">
        <f>ROUND(MIN(MAX(0,N('Your debts'!$E$10)),F501),2)</f>
      </c>
      <c r="Q501" s="33">
        <f>ROUND(MIN(MAX(0,N('Your debts'!$E$11)),G501),2)</f>
      </c>
      <c r="R501" s="33">
        <f>ROUND(MIN(MAX(0,N('Your debts'!$E$12)),H501),2)</f>
      </c>
      <c r="S501" s="33">
        <f>ROUND(MIN(MAX(0,N('Your debts'!$E$13)),I501),2)</f>
      </c>
      <c r="T501" s="33">
        <f>ROUND(MIN(MAX(0,N('Your debts'!$E$14)),J501),2)</f>
      </c>
      <c r="U501" s="33">
        <f>ROUND(MIN(MAX(0,N('Your debts'!$E$15)),K501),2)</f>
      </c>
      <c r="V501" s="33">
        <f>ROUND(B501-L501,2)</f>
      </c>
      <c r="W501" s="33">
        <f>ROUND(C501-M501,2)</f>
      </c>
      <c r="X501" s="33">
        <f>ROUND(D501-N501,2)</f>
      </c>
      <c r="Y501" s="33">
        <f>ROUND(E501-O501,2)</f>
      </c>
      <c r="Z501" s="33">
        <f>ROUND(F501-P501,2)</f>
      </c>
      <c r="AA501" s="33">
        <f>ROUND(G501-Q501,2)</f>
      </c>
      <c r="AB501" s="33">
        <f>ROUND(H501-R501,2)</f>
      </c>
      <c r="AC501" s="33">
        <f>ROUND(I501-S501,2)</f>
      </c>
      <c r="AD501" s="33">
        <f>ROUND(J501-T501,2)</f>
      </c>
      <c r="AE501" s="33">
        <f>ROUND(K501-U501,2)</f>
      </c>
      <c r="AF501" s="33">
        <f>IF(V501&lt;=0,0,MAX(0,MIN(V501,ROUND($AZ501-SUMPRODUCT($V501:$AE501*($V501:$AE501&gt;0)*(($V$3:$AE$3&gt;V$3)+($V$3:$AE$3=V$3)*($V501:$AE501&lt;V501)+($V$3:$AE$3=V$3)*($V501:$AE501=V501)*($V$2:$AE$2&lt;V$2))),2))))</f>
      </c>
      <c r="AG501" s="33">
        <f>IF(W501&lt;=0,0,MAX(0,MIN(W501,ROUND($AZ501-SUMPRODUCT($V501:$AE501*($V501:$AE501&gt;0)*(($V$3:$AE$3&gt;W$3)+($V$3:$AE$3=W$3)*($V501:$AE501&lt;W501)+($V$3:$AE$3=W$3)*($V501:$AE501=W501)*($V$2:$AE$2&lt;W$2))),2))))</f>
      </c>
      <c r="AH501" s="33">
        <f>IF(X501&lt;=0,0,MAX(0,MIN(X501,ROUND($AZ501-SUMPRODUCT($V501:$AE501*($V501:$AE501&gt;0)*(($V$3:$AE$3&gt;X$3)+($V$3:$AE$3=X$3)*($V501:$AE501&lt;X501)+($V$3:$AE$3=X$3)*($V501:$AE501=X501)*($V$2:$AE$2&lt;X$2))),2))))</f>
      </c>
      <c r="AI501" s="33">
        <f>IF(Y501&lt;=0,0,MAX(0,MIN(Y501,ROUND($AZ501-SUMPRODUCT($V501:$AE501*($V501:$AE501&gt;0)*(($V$3:$AE$3&gt;Y$3)+($V$3:$AE$3=Y$3)*($V501:$AE501&lt;Y501)+($V$3:$AE$3=Y$3)*($V501:$AE501=Y501)*($V$2:$AE$2&lt;Y$2))),2))))</f>
      </c>
      <c r="AJ501" s="33">
        <f>IF(Z501&lt;=0,0,MAX(0,MIN(Z501,ROUND($AZ501-SUMPRODUCT($V501:$AE501*($V501:$AE501&gt;0)*(($V$3:$AE$3&gt;Z$3)+($V$3:$AE$3=Z$3)*($V501:$AE501&lt;Z501)+($V$3:$AE$3=Z$3)*($V501:$AE501=Z501)*($V$2:$AE$2&lt;Z$2))),2))))</f>
      </c>
      <c r="AK501" s="33">
        <f>IF(AA501&lt;=0,0,MAX(0,MIN(AA501,ROUND($AZ501-SUMPRODUCT($V501:$AE501*($V501:$AE501&gt;0)*(($V$3:$AE$3&gt;AA$3)+($V$3:$AE$3=AA$3)*($V501:$AE501&lt;AA501)+($V$3:$AE$3=AA$3)*($V501:$AE501=AA501)*($V$2:$AE$2&lt;AA$2))),2))))</f>
      </c>
      <c r="AL501" s="33">
        <f>IF(AB501&lt;=0,0,MAX(0,MIN(AB501,ROUND($AZ501-SUMPRODUCT($V501:$AE501*($V501:$AE501&gt;0)*(($V$3:$AE$3&gt;AB$3)+($V$3:$AE$3=AB$3)*($V501:$AE501&lt;AB501)+($V$3:$AE$3=AB$3)*($V501:$AE501=AB501)*($V$2:$AE$2&lt;AB$2))),2))))</f>
      </c>
      <c r="AM501" s="33">
        <f>IF(AC501&lt;=0,0,MAX(0,MIN(AC501,ROUND($AZ501-SUMPRODUCT($V501:$AE501*($V501:$AE501&gt;0)*(($V$3:$AE$3&gt;AC$3)+($V$3:$AE$3=AC$3)*($V501:$AE501&lt;AC501)+($V$3:$AE$3=AC$3)*($V501:$AE501=AC501)*($V$2:$AE$2&lt;AC$2))),2))))</f>
      </c>
      <c r="AN501" s="33">
        <f>IF(AD501&lt;=0,0,MAX(0,MIN(AD501,ROUND($AZ501-SUMPRODUCT($V501:$AE501*($V501:$AE501&gt;0)*(($V$3:$AE$3&gt;AD$3)+($V$3:$AE$3=AD$3)*($V501:$AE501&lt;AD501)+($V$3:$AE$3=AD$3)*($V501:$AE501=AD501)*($V$2:$AE$2&lt;AD$2))),2))))</f>
      </c>
      <c r="AO501" s="33">
        <f>IF(AE501&lt;=0,0,MAX(0,MIN(AE501,ROUND($AZ501-SUMPRODUCT($V501:$AE501*($V501:$AE501&gt;0)*(($V$3:$AE$3&gt;AE$3)+($V$3:$AE$3=AE$3)*($V501:$AE501&lt;AE501)+($V$3:$AE$3=AE$3)*($V501:$AE501=AE501)*($V$2:$AE$2&lt;AE$2))),2))))</f>
      </c>
      <c r="AP501" s="33">
        <f>ROUND(V501-AF501,2)</f>
      </c>
      <c r="AQ501" s="33">
        <f>ROUND(W501-AG501,2)</f>
      </c>
      <c r="AR501" s="33">
        <f>ROUND(X501-AH501,2)</f>
      </c>
      <c r="AS501" s="33">
        <f>ROUND(Y501-AI501,2)</f>
      </c>
      <c r="AT501" s="33">
        <f>ROUND(Z501-AJ501,2)</f>
      </c>
      <c r="AU501" s="33">
        <f>ROUND(AA501-AK501,2)</f>
      </c>
      <c r="AV501" s="33">
        <f>ROUND(AB501-AL501,2)</f>
      </c>
      <c r="AW501" s="33">
        <f>ROUND(AC501-AM501,2)</f>
      </c>
      <c r="AX501" s="33">
        <f>ROUND(AD501-AN501,2)</f>
      </c>
      <c r="AY501" s="33">
        <f>ROUND(AE501-AO501,2)</f>
      </c>
      <c r="AZ501" s="33">
        <f>ROUND(MAX(0,'Your debts'!$D$22-SUM($L501:$U501)),2)</f>
      </c>
      <c r="BA501" s="33">
        <f>ROUND(SUM($B501:$K501)-SUM($AP500:$AY500),2)</f>
      </c>
      <c r="BB501" s="33">
        <f>SUM($AP501:$AY501)</f>
      </c>
      <c r="BC501" s="33">
        <f>ROUND(SUM($L501:$U501)+SUM($AF501:$AO501),2)</f>
      </c>
    </row>
    <row r="502" spans="1:55" x14ac:dyDescent="0.25">
      <c r="A502">
        <v>495</v>
      </c>
      <c r="B502" s="33">
        <f>IF(AP501&lt;=0,0,ROUND(AP501+ROUND(AP501*V$3/12,2),2))</f>
      </c>
      <c r="C502" s="33">
        <f>IF(AQ501&lt;=0,0,ROUND(AQ501+ROUND(AQ501*W$3/12,2),2))</f>
      </c>
      <c r="D502" s="33">
        <f>IF(AR501&lt;=0,0,ROUND(AR501+ROUND(AR501*X$3/12,2),2))</f>
      </c>
      <c r="E502" s="33">
        <f>IF(AS501&lt;=0,0,ROUND(AS501+ROUND(AS501*Y$3/12,2),2))</f>
      </c>
      <c r="F502" s="33">
        <f>IF(AT501&lt;=0,0,ROUND(AT501+ROUND(AT501*Z$3/12,2),2))</f>
      </c>
      <c r="G502" s="33">
        <f>IF(AU501&lt;=0,0,ROUND(AU501+ROUND(AU501*AA$3/12,2),2))</f>
      </c>
      <c r="H502" s="33">
        <f>IF(AV501&lt;=0,0,ROUND(AV501+ROUND(AV501*AB$3/12,2),2))</f>
      </c>
      <c r="I502" s="33">
        <f>IF(AW501&lt;=0,0,ROUND(AW501+ROUND(AW501*AC$3/12,2),2))</f>
      </c>
      <c r="J502" s="33">
        <f>IF(AX501&lt;=0,0,ROUND(AX501+ROUND(AX501*AD$3/12,2),2))</f>
      </c>
      <c r="K502" s="33">
        <f>IF(AY501&lt;=0,0,ROUND(AY501+ROUND(AY501*AE$3/12,2),2))</f>
      </c>
      <c r="L502" s="33">
        <f>ROUND(MIN(MAX(0,N('Your debts'!$E$6)),B502),2)</f>
      </c>
      <c r="M502" s="33">
        <f>ROUND(MIN(MAX(0,N('Your debts'!$E$7)),C502),2)</f>
      </c>
      <c r="N502" s="33">
        <f>ROUND(MIN(MAX(0,N('Your debts'!$E$8)),D502),2)</f>
      </c>
      <c r="O502" s="33">
        <f>ROUND(MIN(MAX(0,N('Your debts'!$E$9)),E502),2)</f>
      </c>
      <c r="P502" s="33">
        <f>ROUND(MIN(MAX(0,N('Your debts'!$E$10)),F502),2)</f>
      </c>
      <c r="Q502" s="33">
        <f>ROUND(MIN(MAX(0,N('Your debts'!$E$11)),G502),2)</f>
      </c>
      <c r="R502" s="33">
        <f>ROUND(MIN(MAX(0,N('Your debts'!$E$12)),H502),2)</f>
      </c>
      <c r="S502" s="33">
        <f>ROUND(MIN(MAX(0,N('Your debts'!$E$13)),I502),2)</f>
      </c>
      <c r="T502" s="33">
        <f>ROUND(MIN(MAX(0,N('Your debts'!$E$14)),J502),2)</f>
      </c>
      <c r="U502" s="33">
        <f>ROUND(MIN(MAX(0,N('Your debts'!$E$15)),K502),2)</f>
      </c>
      <c r="V502" s="33">
        <f>ROUND(B502-L502,2)</f>
      </c>
      <c r="W502" s="33">
        <f>ROUND(C502-M502,2)</f>
      </c>
      <c r="X502" s="33">
        <f>ROUND(D502-N502,2)</f>
      </c>
      <c r="Y502" s="33">
        <f>ROUND(E502-O502,2)</f>
      </c>
      <c r="Z502" s="33">
        <f>ROUND(F502-P502,2)</f>
      </c>
      <c r="AA502" s="33">
        <f>ROUND(G502-Q502,2)</f>
      </c>
      <c r="AB502" s="33">
        <f>ROUND(H502-R502,2)</f>
      </c>
      <c r="AC502" s="33">
        <f>ROUND(I502-S502,2)</f>
      </c>
      <c r="AD502" s="33">
        <f>ROUND(J502-T502,2)</f>
      </c>
      <c r="AE502" s="33">
        <f>ROUND(K502-U502,2)</f>
      </c>
      <c r="AF502" s="33">
        <f>IF(V502&lt;=0,0,MAX(0,MIN(V502,ROUND($AZ502-SUMPRODUCT($V502:$AE502*($V502:$AE502&gt;0)*(($V$3:$AE$3&gt;V$3)+($V$3:$AE$3=V$3)*($V502:$AE502&lt;V502)+($V$3:$AE$3=V$3)*($V502:$AE502=V502)*($V$2:$AE$2&lt;V$2))),2))))</f>
      </c>
      <c r="AG502" s="33">
        <f>IF(W502&lt;=0,0,MAX(0,MIN(W502,ROUND($AZ502-SUMPRODUCT($V502:$AE502*($V502:$AE502&gt;0)*(($V$3:$AE$3&gt;W$3)+($V$3:$AE$3=W$3)*($V502:$AE502&lt;W502)+($V$3:$AE$3=W$3)*($V502:$AE502=W502)*($V$2:$AE$2&lt;W$2))),2))))</f>
      </c>
      <c r="AH502" s="33">
        <f>IF(X502&lt;=0,0,MAX(0,MIN(X502,ROUND($AZ502-SUMPRODUCT($V502:$AE502*($V502:$AE502&gt;0)*(($V$3:$AE$3&gt;X$3)+($V$3:$AE$3=X$3)*($V502:$AE502&lt;X502)+($V$3:$AE$3=X$3)*($V502:$AE502=X502)*($V$2:$AE$2&lt;X$2))),2))))</f>
      </c>
      <c r="AI502" s="33">
        <f>IF(Y502&lt;=0,0,MAX(0,MIN(Y502,ROUND($AZ502-SUMPRODUCT($V502:$AE502*($V502:$AE502&gt;0)*(($V$3:$AE$3&gt;Y$3)+($V$3:$AE$3=Y$3)*($V502:$AE502&lt;Y502)+($V$3:$AE$3=Y$3)*($V502:$AE502=Y502)*($V$2:$AE$2&lt;Y$2))),2))))</f>
      </c>
      <c r="AJ502" s="33">
        <f>IF(Z502&lt;=0,0,MAX(0,MIN(Z502,ROUND($AZ502-SUMPRODUCT($V502:$AE502*($V502:$AE502&gt;0)*(($V$3:$AE$3&gt;Z$3)+($V$3:$AE$3=Z$3)*($V502:$AE502&lt;Z502)+($V$3:$AE$3=Z$3)*($V502:$AE502=Z502)*($V$2:$AE$2&lt;Z$2))),2))))</f>
      </c>
      <c r="AK502" s="33">
        <f>IF(AA502&lt;=0,0,MAX(0,MIN(AA502,ROUND($AZ502-SUMPRODUCT($V502:$AE502*($V502:$AE502&gt;0)*(($V$3:$AE$3&gt;AA$3)+($V$3:$AE$3=AA$3)*($V502:$AE502&lt;AA502)+($V$3:$AE$3=AA$3)*($V502:$AE502=AA502)*($V$2:$AE$2&lt;AA$2))),2))))</f>
      </c>
      <c r="AL502" s="33">
        <f>IF(AB502&lt;=0,0,MAX(0,MIN(AB502,ROUND($AZ502-SUMPRODUCT($V502:$AE502*($V502:$AE502&gt;0)*(($V$3:$AE$3&gt;AB$3)+($V$3:$AE$3=AB$3)*($V502:$AE502&lt;AB502)+($V$3:$AE$3=AB$3)*($V502:$AE502=AB502)*($V$2:$AE$2&lt;AB$2))),2))))</f>
      </c>
      <c r="AM502" s="33">
        <f>IF(AC502&lt;=0,0,MAX(0,MIN(AC502,ROUND($AZ502-SUMPRODUCT($V502:$AE502*($V502:$AE502&gt;0)*(($V$3:$AE$3&gt;AC$3)+($V$3:$AE$3=AC$3)*($V502:$AE502&lt;AC502)+($V$3:$AE$3=AC$3)*($V502:$AE502=AC502)*($V$2:$AE$2&lt;AC$2))),2))))</f>
      </c>
      <c r="AN502" s="33">
        <f>IF(AD502&lt;=0,0,MAX(0,MIN(AD502,ROUND($AZ502-SUMPRODUCT($V502:$AE502*($V502:$AE502&gt;0)*(($V$3:$AE$3&gt;AD$3)+($V$3:$AE$3=AD$3)*($V502:$AE502&lt;AD502)+($V$3:$AE$3=AD$3)*($V502:$AE502=AD502)*($V$2:$AE$2&lt;AD$2))),2))))</f>
      </c>
      <c r="AO502" s="33">
        <f>IF(AE502&lt;=0,0,MAX(0,MIN(AE502,ROUND($AZ502-SUMPRODUCT($V502:$AE502*($V502:$AE502&gt;0)*(($V$3:$AE$3&gt;AE$3)+($V$3:$AE$3=AE$3)*($V502:$AE502&lt;AE502)+($V$3:$AE$3=AE$3)*($V502:$AE502=AE502)*($V$2:$AE$2&lt;AE$2))),2))))</f>
      </c>
      <c r="AP502" s="33">
        <f>ROUND(V502-AF502,2)</f>
      </c>
      <c r="AQ502" s="33">
        <f>ROUND(W502-AG502,2)</f>
      </c>
      <c r="AR502" s="33">
        <f>ROUND(X502-AH502,2)</f>
      </c>
      <c r="AS502" s="33">
        <f>ROUND(Y502-AI502,2)</f>
      </c>
      <c r="AT502" s="33">
        <f>ROUND(Z502-AJ502,2)</f>
      </c>
      <c r="AU502" s="33">
        <f>ROUND(AA502-AK502,2)</f>
      </c>
      <c r="AV502" s="33">
        <f>ROUND(AB502-AL502,2)</f>
      </c>
      <c r="AW502" s="33">
        <f>ROUND(AC502-AM502,2)</f>
      </c>
      <c r="AX502" s="33">
        <f>ROUND(AD502-AN502,2)</f>
      </c>
      <c r="AY502" s="33">
        <f>ROUND(AE502-AO502,2)</f>
      </c>
      <c r="AZ502" s="33">
        <f>ROUND(MAX(0,'Your debts'!$D$22-SUM($L502:$U502)),2)</f>
      </c>
      <c r="BA502" s="33">
        <f>ROUND(SUM($B502:$K502)-SUM($AP501:$AY501),2)</f>
      </c>
      <c r="BB502" s="33">
        <f>SUM($AP502:$AY502)</f>
      </c>
      <c r="BC502" s="33">
        <f>ROUND(SUM($L502:$U502)+SUM($AF502:$AO502),2)</f>
      </c>
    </row>
    <row r="503" spans="1:55" x14ac:dyDescent="0.25">
      <c r="A503">
        <v>496</v>
      </c>
      <c r="B503" s="33">
        <f>IF(AP502&lt;=0,0,ROUND(AP502+ROUND(AP502*V$3/12,2),2))</f>
      </c>
      <c r="C503" s="33">
        <f>IF(AQ502&lt;=0,0,ROUND(AQ502+ROUND(AQ502*W$3/12,2),2))</f>
      </c>
      <c r="D503" s="33">
        <f>IF(AR502&lt;=0,0,ROUND(AR502+ROUND(AR502*X$3/12,2),2))</f>
      </c>
      <c r="E503" s="33">
        <f>IF(AS502&lt;=0,0,ROUND(AS502+ROUND(AS502*Y$3/12,2),2))</f>
      </c>
      <c r="F503" s="33">
        <f>IF(AT502&lt;=0,0,ROUND(AT502+ROUND(AT502*Z$3/12,2),2))</f>
      </c>
      <c r="G503" s="33">
        <f>IF(AU502&lt;=0,0,ROUND(AU502+ROUND(AU502*AA$3/12,2),2))</f>
      </c>
      <c r="H503" s="33">
        <f>IF(AV502&lt;=0,0,ROUND(AV502+ROUND(AV502*AB$3/12,2),2))</f>
      </c>
      <c r="I503" s="33">
        <f>IF(AW502&lt;=0,0,ROUND(AW502+ROUND(AW502*AC$3/12,2),2))</f>
      </c>
      <c r="J503" s="33">
        <f>IF(AX502&lt;=0,0,ROUND(AX502+ROUND(AX502*AD$3/12,2),2))</f>
      </c>
      <c r="K503" s="33">
        <f>IF(AY502&lt;=0,0,ROUND(AY502+ROUND(AY502*AE$3/12,2),2))</f>
      </c>
      <c r="L503" s="33">
        <f>ROUND(MIN(MAX(0,N('Your debts'!$E$6)),B503),2)</f>
      </c>
      <c r="M503" s="33">
        <f>ROUND(MIN(MAX(0,N('Your debts'!$E$7)),C503),2)</f>
      </c>
      <c r="N503" s="33">
        <f>ROUND(MIN(MAX(0,N('Your debts'!$E$8)),D503),2)</f>
      </c>
      <c r="O503" s="33">
        <f>ROUND(MIN(MAX(0,N('Your debts'!$E$9)),E503),2)</f>
      </c>
      <c r="P503" s="33">
        <f>ROUND(MIN(MAX(0,N('Your debts'!$E$10)),F503),2)</f>
      </c>
      <c r="Q503" s="33">
        <f>ROUND(MIN(MAX(0,N('Your debts'!$E$11)),G503),2)</f>
      </c>
      <c r="R503" s="33">
        <f>ROUND(MIN(MAX(0,N('Your debts'!$E$12)),H503),2)</f>
      </c>
      <c r="S503" s="33">
        <f>ROUND(MIN(MAX(0,N('Your debts'!$E$13)),I503),2)</f>
      </c>
      <c r="T503" s="33">
        <f>ROUND(MIN(MAX(0,N('Your debts'!$E$14)),J503),2)</f>
      </c>
      <c r="U503" s="33">
        <f>ROUND(MIN(MAX(0,N('Your debts'!$E$15)),K503),2)</f>
      </c>
      <c r="V503" s="33">
        <f>ROUND(B503-L503,2)</f>
      </c>
      <c r="W503" s="33">
        <f>ROUND(C503-M503,2)</f>
      </c>
      <c r="X503" s="33">
        <f>ROUND(D503-N503,2)</f>
      </c>
      <c r="Y503" s="33">
        <f>ROUND(E503-O503,2)</f>
      </c>
      <c r="Z503" s="33">
        <f>ROUND(F503-P503,2)</f>
      </c>
      <c r="AA503" s="33">
        <f>ROUND(G503-Q503,2)</f>
      </c>
      <c r="AB503" s="33">
        <f>ROUND(H503-R503,2)</f>
      </c>
      <c r="AC503" s="33">
        <f>ROUND(I503-S503,2)</f>
      </c>
      <c r="AD503" s="33">
        <f>ROUND(J503-T503,2)</f>
      </c>
      <c r="AE503" s="33">
        <f>ROUND(K503-U503,2)</f>
      </c>
      <c r="AF503" s="33">
        <f>IF(V503&lt;=0,0,MAX(0,MIN(V503,ROUND($AZ503-SUMPRODUCT($V503:$AE503*($V503:$AE503&gt;0)*(($V$3:$AE$3&gt;V$3)+($V$3:$AE$3=V$3)*($V503:$AE503&lt;V503)+($V$3:$AE$3=V$3)*($V503:$AE503=V503)*($V$2:$AE$2&lt;V$2))),2))))</f>
      </c>
      <c r="AG503" s="33">
        <f>IF(W503&lt;=0,0,MAX(0,MIN(W503,ROUND($AZ503-SUMPRODUCT($V503:$AE503*($V503:$AE503&gt;0)*(($V$3:$AE$3&gt;W$3)+($V$3:$AE$3=W$3)*($V503:$AE503&lt;W503)+($V$3:$AE$3=W$3)*($V503:$AE503=W503)*($V$2:$AE$2&lt;W$2))),2))))</f>
      </c>
      <c r="AH503" s="33">
        <f>IF(X503&lt;=0,0,MAX(0,MIN(X503,ROUND($AZ503-SUMPRODUCT($V503:$AE503*($V503:$AE503&gt;0)*(($V$3:$AE$3&gt;X$3)+($V$3:$AE$3=X$3)*($V503:$AE503&lt;X503)+($V$3:$AE$3=X$3)*($V503:$AE503=X503)*($V$2:$AE$2&lt;X$2))),2))))</f>
      </c>
      <c r="AI503" s="33">
        <f>IF(Y503&lt;=0,0,MAX(0,MIN(Y503,ROUND($AZ503-SUMPRODUCT($V503:$AE503*($V503:$AE503&gt;0)*(($V$3:$AE$3&gt;Y$3)+($V$3:$AE$3=Y$3)*($V503:$AE503&lt;Y503)+($V$3:$AE$3=Y$3)*($V503:$AE503=Y503)*($V$2:$AE$2&lt;Y$2))),2))))</f>
      </c>
      <c r="AJ503" s="33">
        <f>IF(Z503&lt;=0,0,MAX(0,MIN(Z503,ROUND($AZ503-SUMPRODUCT($V503:$AE503*($V503:$AE503&gt;0)*(($V$3:$AE$3&gt;Z$3)+($V$3:$AE$3=Z$3)*($V503:$AE503&lt;Z503)+($V$3:$AE$3=Z$3)*($V503:$AE503=Z503)*($V$2:$AE$2&lt;Z$2))),2))))</f>
      </c>
      <c r="AK503" s="33">
        <f>IF(AA503&lt;=0,0,MAX(0,MIN(AA503,ROUND($AZ503-SUMPRODUCT($V503:$AE503*($V503:$AE503&gt;0)*(($V$3:$AE$3&gt;AA$3)+($V$3:$AE$3=AA$3)*($V503:$AE503&lt;AA503)+($V$3:$AE$3=AA$3)*($V503:$AE503=AA503)*($V$2:$AE$2&lt;AA$2))),2))))</f>
      </c>
      <c r="AL503" s="33">
        <f>IF(AB503&lt;=0,0,MAX(0,MIN(AB503,ROUND($AZ503-SUMPRODUCT($V503:$AE503*($V503:$AE503&gt;0)*(($V$3:$AE$3&gt;AB$3)+($V$3:$AE$3=AB$3)*($V503:$AE503&lt;AB503)+($V$3:$AE$3=AB$3)*($V503:$AE503=AB503)*($V$2:$AE$2&lt;AB$2))),2))))</f>
      </c>
      <c r="AM503" s="33">
        <f>IF(AC503&lt;=0,0,MAX(0,MIN(AC503,ROUND($AZ503-SUMPRODUCT($V503:$AE503*($V503:$AE503&gt;0)*(($V$3:$AE$3&gt;AC$3)+($V$3:$AE$3=AC$3)*($V503:$AE503&lt;AC503)+($V$3:$AE$3=AC$3)*($V503:$AE503=AC503)*($V$2:$AE$2&lt;AC$2))),2))))</f>
      </c>
      <c r="AN503" s="33">
        <f>IF(AD503&lt;=0,0,MAX(0,MIN(AD503,ROUND($AZ503-SUMPRODUCT($V503:$AE503*($V503:$AE503&gt;0)*(($V$3:$AE$3&gt;AD$3)+($V$3:$AE$3=AD$3)*($V503:$AE503&lt;AD503)+($V$3:$AE$3=AD$3)*($V503:$AE503=AD503)*($V$2:$AE$2&lt;AD$2))),2))))</f>
      </c>
      <c r="AO503" s="33">
        <f>IF(AE503&lt;=0,0,MAX(0,MIN(AE503,ROUND($AZ503-SUMPRODUCT($V503:$AE503*($V503:$AE503&gt;0)*(($V$3:$AE$3&gt;AE$3)+($V$3:$AE$3=AE$3)*($V503:$AE503&lt;AE503)+($V$3:$AE$3=AE$3)*($V503:$AE503=AE503)*($V$2:$AE$2&lt;AE$2))),2))))</f>
      </c>
      <c r="AP503" s="33">
        <f>ROUND(V503-AF503,2)</f>
      </c>
      <c r="AQ503" s="33">
        <f>ROUND(W503-AG503,2)</f>
      </c>
      <c r="AR503" s="33">
        <f>ROUND(X503-AH503,2)</f>
      </c>
      <c r="AS503" s="33">
        <f>ROUND(Y503-AI503,2)</f>
      </c>
      <c r="AT503" s="33">
        <f>ROUND(Z503-AJ503,2)</f>
      </c>
      <c r="AU503" s="33">
        <f>ROUND(AA503-AK503,2)</f>
      </c>
      <c r="AV503" s="33">
        <f>ROUND(AB503-AL503,2)</f>
      </c>
      <c r="AW503" s="33">
        <f>ROUND(AC503-AM503,2)</f>
      </c>
      <c r="AX503" s="33">
        <f>ROUND(AD503-AN503,2)</f>
      </c>
      <c r="AY503" s="33">
        <f>ROUND(AE503-AO503,2)</f>
      </c>
      <c r="AZ503" s="33">
        <f>ROUND(MAX(0,'Your debts'!$D$22-SUM($L503:$U503)),2)</f>
      </c>
      <c r="BA503" s="33">
        <f>ROUND(SUM($B503:$K503)-SUM($AP502:$AY502),2)</f>
      </c>
      <c r="BB503" s="33">
        <f>SUM($AP503:$AY503)</f>
      </c>
      <c r="BC503" s="33">
        <f>ROUND(SUM($L503:$U503)+SUM($AF503:$AO503),2)</f>
      </c>
    </row>
    <row r="504" spans="1:55" x14ac:dyDescent="0.25">
      <c r="A504">
        <v>497</v>
      </c>
      <c r="B504" s="33">
        <f>IF(AP503&lt;=0,0,ROUND(AP503+ROUND(AP503*V$3/12,2),2))</f>
      </c>
      <c r="C504" s="33">
        <f>IF(AQ503&lt;=0,0,ROUND(AQ503+ROUND(AQ503*W$3/12,2),2))</f>
      </c>
      <c r="D504" s="33">
        <f>IF(AR503&lt;=0,0,ROUND(AR503+ROUND(AR503*X$3/12,2),2))</f>
      </c>
      <c r="E504" s="33">
        <f>IF(AS503&lt;=0,0,ROUND(AS503+ROUND(AS503*Y$3/12,2),2))</f>
      </c>
      <c r="F504" s="33">
        <f>IF(AT503&lt;=0,0,ROUND(AT503+ROUND(AT503*Z$3/12,2),2))</f>
      </c>
      <c r="G504" s="33">
        <f>IF(AU503&lt;=0,0,ROUND(AU503+ROUND(AU503*AA$3/12,2),2))</f>
      </c>
      <c r="H504" s="33">
        <f>IF(AV503&lt;=0,0,ROUND(AV503+ROUND(AV503*AB$3/12,2),2))</f>
      </c>
      <c r="I504" s="33">
        <f>IF(AW503&lt;=0,0,ROUND(AW503+ROUND(AW503*AC$3/12,2),2))</f>
      </c>
      <c r="J504" s="33">
        <f>IF(AX503&lt;=0,0,ROUND(AX503+ROUND(AX503*AD$3/12,2),2))</f>
      </c>
      <c r="K504" s="33">
        <f>IF(AY503&lt;=0,0,ROUND(AY503+ROUND(AY503*AE$3/12,2),2))</f>
      </c>
      <c r="L504" s="33">
        <f>ROUND(MIN(MAX(0,N('Your debts'!$E$6)),B504),2)</f>
      </c>
      <c r="M504" s="33">
        <f>ROUND(MIN(MAX(0,N('Your debts'!$E$7)),C504),2)</f>
      </c>
      <c r="N504" s="33">
        <f>ROUND(MIN(MAX(0,N('Your debts'!$E$8)),D504),2)</f>
      </c>
      <c r="O504" s="33">
        <f>ROUND(MIN(MAX(0,N('Your debts'!$E$9)),E504),2)</f>
      </c>
      <c r="P504" s="33">
        <f>ROUND(MIN(MAX(0,N('Your debts'!$E$10)),F504),2)</f>
      </c>
      <c r="Q504" s="33">
        <f>ROUND(MIN(MAX(0,N('Your debts'!$E$11)),G504),2)</f>
      </c>
      <c r="R504" s="33">
        <f>ROUND(MIN(MAX(0,N('Your debts'!$E$12)),H504),2)</f>
      </c>
      <c r="S504" s="33">
        <f>ROUND(MIN(MAX(0,N('Your debts'!$E$13)),I504),2)</f>
      </c>
      <c r="T504" s="33">
        <f>ROUND(MIN(MAX(0,N('Your debts'!$E$14)),J504),2)</f>
      </c>
      <c r="U504" s="33">
        <f>ROUND(MIN(MAX(0,N('Your debts'!$E$15)),K504),2)</f>
      </c>
      <c r="V504" s="33">
        <f>ROUND(B504-L504,2)</f>
      </c>
      <c r="W504" s="33">
        <f>ROUND(C504-M504,2)</f>
      </c>
      <c r="X504" s="33">
        <f>ROUND(D504-N504,2)</f>
      </c>
      <c r="Y504" s="33">
        <f>ROUND(E504-O504,2)</f>
      </c>
      <c r="Z504" s="33">
        <f>ROUND(F504-P504,2)</f>
      </c>
      <c r="AA504" s="33">
        <f>ROUND(G504-Q504,2)</f>
      </c>
      <c r="AB504" s="33">
        <f>ROUND(H504-R504,2)</f>
      </c>
      <c r="AC504" s="33">
        <f>ROUND(I504-S504,2)</f>
      </c>
      <c r="AD504" s="33">
        <f>ROUND(J504-T504,2)</f>
      </c>
      <c r="AE504" s="33">
        <f>ROUND(K504-U504,2)</f>
      </c>
      <c r="AF504" s="33">
        <f>IF(V504&lt;=0,0,MAX(0,MIN(V504,ROUND($AZ504-SUMPRODUCT($V504:$AE504*($V504:$AE504&gt;0)*(($V$3:$AE$3&gt;V$3)+($V$3:$AE$3=V$3)*($V504:$AE504&lt;V504)+($V$3:$AE$3=V$3)*($V504:$AE504=V504)*($V$2:$AE$2&lt;V$2))),2))))</f>
      </c>
      <c r="AG504" s="33">
        <f>IF(W504&lt;=0,0,MAX(0,MIN(W504,ROUND($AZ504-SUMPRODUCT($V504:$AE504*($V504:$AE504&gt;0)*(($V$3:$AE$3&gt;W$3)+($V$3:$AE$3=W$3)*($V504:$AE504&lt;W504)+($V$3:$AE$3=W$3)*($V504:$AE504=W504)*($V$2:$AE$2&lt;W$2))),2))))</f>
      </c>
      <c r="AH504" s="33">
        <f>IF(X504&lt;=0,0,MAX(0,MIN(X504,ROUND($AZ504-SUMPRODUCT($V504:$AE504*($V504:$AE504&gt;0)*(($V$3:$AE$3&gt;X$3)+($V$3:$AE$3=X$3)*($V504:$AE504&lt;X504)+($V$3:$AE$3=X$3)*($V504:$AE504=X504)*($V$2:$AE$2&lt;X$2))),2))))</f>
      </c>
      <c r="AI504" s="33">
        <f>IF(Y504&lt;=0,0,MAX(0,MIN(Y504,ROUND($AZ504-SUMPRODUCT($V504:$AE504*($V504:$AE504&gt;0)*(($V$3:$AE$3&gt;Y$3)+($V$3:$AE$3=Y$3)*($V504:$AE504&lt;Y504)+($V$3:$AE$3=Y$3)*($V504:$AE504=Y504)*($V$2:$AE$2&lt;Y$2))),2))))</f>
      </c>
      <c r="AJ504" s="33">
        <f>IF(Z504&lt;=0,0,MAX(0,MIN(Z504,ROUND($AZ504-SUMPRODUCT($V504:$AE504*($V504:$AE504&gt;0)*(($V$3:$AE$3&gt;Z$3)+($V$3:$AE$3=Z$3)*($V504:$AE504&lt;Z504)+($V$3:$AE$3=Z$3)*($V504:$AE504=Z504)*($V$2:$AE$2&lt;Z$2))),2))))</f>
      </c>
      <c r="AK504" s="33">
        <f>IF(AA504&lt;=0,0,MAX(0,MIN(AA504,ROUND($AZ504-SUMPRODUCT($V504:$AE504*($V504:$AE504&gt;0)*(($V$3:$AE$3&gt;AA$3)+($V$3:$AE$3=AA$3)*($V504:$AE504&lt;AA504)+($V$3:$AE$3=AA$3)*($V504:$AE504=AA504)*($V$2:$AE$2&lt;AA$2))),2))))</f>
      </c>
      <c r="AL504" s="33">
        <f>IF(AB504&lt;=0,0,MAX(0,MIN(AB504,ROUND($AZ504-SUMPRODUCT($V504:$AE504*($V504:$AE504&gt;0)*(($V$3:$AE$3&gt;AB$3)+($V$3:$AE$3=AB$3)*($V504:$AE504&lt;AB504)+($V$3:$AE$3=AB$3)*($V504:$AE504=AB504)*($V$2:$AE$2&lt;AB$2))),2))))</f>
      </c>
      <c r="AM504" s="33">
        <f>IF(AC504&lt;=0,0,MAX(0,MIN(AC504,ROUND($AZ504-SUMPRODUCT($V504:$AE504*($V504:$AE504&gt;0)*(($V$3:$AE$3&gt;AC$3)+($V$3:$AE$3=AC$3)*($V504:$AE504&lt;AC504)+($V$3:$AE$3=AC$3)*($V504:$AE504=AC504)*($V$2:$AE$2&lt;AC$2))),2))))</f>
      </c>
      <c r="AN504" s="33">
        <f>IF(AD504&lt;=0,0,MAX(0,MIN(AD504,ROUND($AZ504-SUMPRODUCT($V504:$AE504*($V504:$AE504&gt;0)*(($V$3:$AE$3&gt;AD$3)+($V$3:$AE$3=AD$3)*($V504:$AE504&lt;AD504)+($V$3:$AE$3=AD$3)*($V504:$AE504=AD504)*($V$2:$AE$2&lt;AD$2))),2))))</f>
      </c>
      <c r="AO504" s="33">
        <f>IF(AE504&lt;=0,0,MAX(0,MIN(AE504,ROUND($AZ504-SUMPRODUCT($V504:$AE504*($V504:$AE504&gt;0)*(($V$3:$AE$3&gt;AE$3)+($V$3:$AE$3=AE$3)*($V504:$AE504&lt;AE504)+($V$3:$AE$3=AE$3)*($V504:$AE504=AE504)*($V$2:$AE$2&lt;AE$2))),2))))</f>
      </c>
      <c r="AP504" s="33">
        <f>ROUND(V504-AF504,2)</f>
      </c>
      <c r="AQ504" s="33">
        <f>ROUND(W504-AG504,2)</f>
      </c>
      <c r="AR504" s="33">
        <f>ROUND(X504-AH504,2)</f>
      </c>
      <c r="AS504" s="33">
        <f>ROUND(Y504-AI504,2)</f>
      </c>
      <c r="AT504" s="33">
        <f>ROUND(Z504-AJ504,2)</f>
      </c>
      <c r="AU504" s="33">
        <f>ROUND(AA504-AK504,2)</f>
      </c>
      <c r="AV504" s="33">
        <f>ROUND(AB504-AL504,2)</f>
      </c>
      <c r="AW504" s="33">
        <f>ROUND(AC504-AM504,2)</f>
      </c>
      <c r="AX504" s="33">
        <f>ROUND(AD504-AN504,2)</f>
      </c>
      <c r="AY504" s="33">
        <f>ROUND(AE504-AO504,2)</f>
      </c>
      <c r="AZ504" s="33">
        <f>ROUND(MAX(0,'Your debts'!$D$22-SUM($L504:$U504)),2)</f>
      </c>
      <c r="BA504" s="33">
        <f>ROUND(SUM($B504:$K504)-SUM($AP503:$AY503),2)</f>
      </c>
      <c r="BB504" s="33">
        <f>SUM($AP504:$AY504)</f>
      </c>
      <c r="BC504" s="33">
        <f>ROUND(SUM($L504:$U504)+SUM($AF504:$AO504),2)</f>
      </c>
    </row>
    <row r="505" spans="1:55" x14ac:dyDescent="0.25">
      <c r="A505">
        <v>498</v>
      </c>
      <c r="B505" s="33">
        <f>IF(AP504&lt;=0,0,ROUND(AP504+ROUND(AP504*V$3/12,2),2))</f>
      </c>
      <c r="C505" s="33">
        <f>IF(AQ504&lt;=0,0,ROUND(AQ504+ROUND(AQ504*W$3/12,2),2))</f>
      </c>
      <c r="D505" s="33">
        <f>IF(AR504&lt;=0,0,ROUND(AR504+ROUND(AR504*X$3/12,2),2))</f>
      </c>
      <c r="E505" s="33">
        <f>IF(AS504&lt;=0,0,ROUND(AS504+ROUND(AS504*Y$3/12,2),2))</f>
      </c>
      <c r="F505" s="33">
        <f>IF(AT504&lt;=0,0,ROUND(AT504+ROUND(AT504*Z$3/12,2),2))</f>
      </c>
      <c r="G505" s="33">
        <f>IF(AU504&lt;=0,0,ROUND(AU504+ROUND(AU504*AA$3/12,2),2))</f>
      </c>
      <c r="H505" s="33">
        <f>IF(AV504&lt;=0,0,ROUND(AV504+ROUND(AV504*AB$3/12,2),2))</f>
      </c>
      <c r="I505" s="33">
        <f>IF(AW504&lt;=0,0,ROUND(AW504+ROUND(AW504*AC$3/12,2),2))</f>
      </c>
      <c r="J505" s="33">
        <f>IF(AX504&lt;=0,0,ROUND(AX504+ROUND(AX504*AD$3/12,2),2))</f>
      </c>
      <c r="K505" s="33">
        <f>IF(AY504&lt;=0,0,ROUND(AY504+ROUND(AY504*AE$3/12,2),2))</f>
      </c>
      <c r="L505" s="33">
        <f>ROUND(MIN(MAX(0,N('Your debts'!$E$6)),B505),2)</f>
      </c>
      <c r="M505" s="33">
        <f>ROUND(MIN(MAX(0,N('Your debts'!$E$7)),C505),2)</f>
      </c>
      <c r="N505" s="33">
        <f>ROUND(MIN(MAX(0,N('Your debts'!$E$8)),D505),2)</f>
      </c>
      <c r="O505" s="33">
        <f>ROUND(MIN(MAX(0,N('Your debts'!$E$9)),E505),2)</f>
      </c>
      <c r="P505" s="33">
        <f>ROUND(MIN(MAX(0,N('Your debts'!$E$10)),F505),2)</f>
      </c>
      <c r="Q505" s="33">
        <f>ROUND(MIN(MAX(0,N('Your debts'!$E$11)),G505),2)</f>
      </c>
      <c r="R505" s="33">
        <f>ROUND(MIN(MAX(0,N('Your debts'!$E$12)),H505),2)</f>
      </c>
      <c r="S505" s="33">
        <f>ROUND(MIN(MAX(0,N('Your debts'!$E$13)),I505),2)</f>
      </c>
      <c r="T505" s="33">
        <f>ROUND(MIN(MAX(0,N('Your debts'!$E$14)),J505),2)</f>
      </c>
      <c r="U505" s="33">
        <f>ROUND(MIN(MAX(0,N('Your debts'!$E$15)),K505),2)</f>
      </c>
      <c r="V505" s="33">
        <f>ROUND(B505-L505,2)</f>
      </c>
      <c r="W505" s="33">
        <f>ROUND(C505-M505,2)</f>
      </c>
      <c r="X505" s="33">
        <f>ROUND(D505-N505,2)</f>
      </c>
      <c r="Y505" s="33">
        <f>ROUND(E505-O505,2)</f>
      </c>
      <c r="Z505" s="33">
        <f>ROUND(F505-P505,2)</f>
      </c>
      <c r="AA505" s="33">
        <f>ROUND(G505-Q505,2)</f>
      </c>
      <c r="AB505" s="33">
        <f>ROUND(H505-R505,2)</f>
      </c>
      <c r="AC505" s="33">
        <f>ROUND(I505-S505,2)</f>
      </c>
      <c r="AD505" s="33">
        <f>ROUND(J505-T505,2)</f>
      </c>
      <c r="AE505" s="33">
        <f>ROUND(K505-U505,2)</f>
      </c>
      <c r="AF505" s="33">
        <f>IF(V505&lt;=0,0,MAX(0,MIN(V505,ROUND($AZ505-SUMPRODUCT($V505:$AE505*($V505:$AE505&gt;0)*(($V$3:$AE$3&gt;V$3)+($V$3:$AE$3=V$3)*($V505:$AE505&lt;V505)+($V$3:$AE$3=V$3)*($V505:$AE505=V505)*($V$2:$AE$2&lt;V$2))),2))))</f>
      </c>
      <c r="AG505" s="33">
        <f>IF(W505&lt;=0,0,MAX(0,MIN(W505,ROUND($AZ505-SUMPRODUCT($V505:$AE505*($V505:$AE505&gt;0)*(($V$3:$AE$3&gt;W$3)+($V$3:$AE$3=W$3)*($V505:$AE505&lt;W505)+($V$3:$AE$3=W$3)*($V505:$AE505=W505)*($V$2:$AE$2&lt;W$2))),2))))</f>
      </c>
      <c r="AH505" s="33">
        <f>IF(X505&lt;=0,0,MAX(0,MIN(X505,ROUND($AZ505-SUMPRODUCT($V505:$AE505*($V505:$AE505&gt;0)*(($V$3:$AE$3&gt;X$3)+($V$3:$AE$3=X$3)*($V505:$AE505&lt;X505)+($V$3:$AE$3=X$3)*($V505:$AE505=X505)*($V$2:$AE$2&lt;X$2))),2))))</f>
      </c>
      <c r="AI505" s="33">
        <f>IF(Y505&lt;=0,0,MAX(0,MIN(Y505,ROUND($AZ505-SUMPRODUCT($V505:$AE505*($V505:$AE505&gt;0)*(($V$3:$AE$3&gt;Y$3)+($V$3:$AE$3=Y$3)*($V505:$AE505&lt;Y505)+($V$3:$AE$3=Y$3)*($V505:$AE505=Y505)*($V$2:$AE$2&lt;Y$2))),2))))</f>
      </c>
      <c r="AJ505" s="33">
        <f>IF(Z505&lt;=0,0,MAX(0,MIN(Z505,ROUND($AZ505-SUMPRODUCT($V505:$AE505*($V505:$AE505&gt;0)*(($V$3:$AE$3&gt;Z$3)+($V$3:$AE$3=Z$3)*($V505:$AE505&lt;Z505)+($V$3:$AE$3=Z$3)*($V505:$AE505=Z505)*($V$2:$AE$2&lt;Z$2))),2))))</f>
      </c>
      <c r="AK505" s="33">
        <f>IF(AA505&lt;=0,0,MAX(0,MIN(AA505,ROUND($AZ505-SUMPRODUCT($V505:$AE505*($V505:$AE505&gt;0)*(($V$3:$AE$3&gt;AA$3)+($V$3:$AE$3=AA$3)*($V505:$AE505&lt;AA505)+($V$3:$AE$3=AA$3)*($V505:$AE505=AA505)*($V$2:$AE$2&lt;AA$2))),2))))</f>
      </c>
      <c r="AL505" s="33">
        <f>IF(AB505&lt;=0,0,MAX(0,MIN(AB505,ROUND($AZ505-SUMPRODUCT($V505:$AE505*($V505:$AE505&gt;0)*(($V$3:$AE$3&gt;AB$3)+($V$3:$AE$3=AB$3)*($V505:$AE505&lt;AB505)+($V$3:$AE$3=AB$3)*($V505:$AE505=AB505)*($V$2:$AE$2&lt;AB$2))),2))))</f>
      </c>
      <c r="AM505" s="33">
        <f>IF(AC505&lt;=0,0,MAX(0,MIN(AC505,ROUND($AZ505-SUMPRODUCT($V505:$AE505*($V505:$AE505&gt;0)*(($V$3:$AE$3&gt;AC$3)+($V$3:$AE$3=AC$3)*($V505:$AE505&lt;AC505)+($V$3:$AE$3=AC$3)*($V505:$AE505=AC505)*($V$2:$AE$2&lt;AC$2))),2))))</f>
      </c>
      <c r="AN505" s="33">
        <f>IF(AD505&lt;=0,0,MAX(0,MIN(AD505,ROUND($AZ505-SUMPRODUCT($V505:$AE505*($V505:$AE505&gt;0)*(($V$3:$AE$3&gt;AD$3)+($V$3:$AE$3=AD$3)*($V505:$AE505&lt;AD505)+($V$3:$AE$3=AD$3)*($V505:$AE505=AD505)*($V$2:$AE$2&lt;AD$2))),2))))</f>
      </c>
      <c r="AO505" s="33">
        <f>IF(AE505&lt;=0,0,MAX(0,MIN(AE505,ROUND($AZ505-SUMPRODUCT($V505:$AE505*($V505:$AE505&gt;0)*(($V$3:$AE$3&gt;AE$3)+($V$3:$AE$3=AE$3)*($V505:$AE505&lt;AE505)+($V$3:$AE$3=AE$3)*($V505:$AE505=AE505)*($V$2:$AE$2&lt;AE$2))),2))))</f>
      </c>
      <c r="AP505" s="33">
        <f>ROUND(V505-AF505,2)</f>
      </c>
      <c r="AQ505" s="33">
        <f>ROUND(W505-AG505,2)</f>
      </c>
      <c r="AR505" s="33">
        <f>ROUND(X505-AH505,2)</f>
      </c>
      <c r="AS505" s="33">
        <f>ROUND(Y505-AI505,2)</f>
      </c>
      <c r="AT505" s="33">
        <f>ROUND(Z505-AJ505,2)</f>
      </c>
      <c r="AU505" s="33">
        <f>ROUND(AA505-AK505,2)</f>
      </c>
      <c r="AV505" s="33">
        <f>ROUND(AB505-AL505,2)</f>
      </c>
      <c r="AW505" s="33">
        <f>ROUND(AC505-AM505,2)</f>
      </c>
      <c r="AX505" s="33">
        <f>ROUND(AD505-AN505,2)</f>
      </c>
      <c r="AY505" s="33">
        <f>ROUND(AE505-AO505,2)</f>
      </c>
      <c r="AZ505" s="33">
        <f>ROUND(MAX(0,'Your debts'!$D$22-SUM($L505:$U505)),2)</f>
      </c>
      <c r="BA505" s="33">
        <f>ROUND(SUM($B505:$K505)-SUM($AP504:$AY504),2)</f>
      </c>
      <c r="BB505" s="33">
        <f>SUM($AP505:$AY505)</f>
      </c>
      <c r="BC505" s="33">
        <f>ROUND(SUM($L505:$U505)+SUM($AF505:$AO505),2)</f>
      </c>
    </row>
    <row r="506" spans="1:55" x14ac:dyDescent="0.25">
      <c r="A506">
        <v>499</v>
      </c>
      <c r="B506" s="33">
        <f>IF(AP505&lt;=0,0,ROUND(AP505+ROUND(AP505*V$3/12,2),2))</f>
      </c>
      <c r="C506" s="33">
        <f>IF(AQ505&lt;=0,0,ROUND(AQ505+ROUND(AQ505*W$3/12,2),2))</f>
      </c>
      <c r="D506" s="33">
        <f>IF(AR505&lt;=0,0,ROUND(AR505+ROUND(AR505*X$3/12,2),2))</f>
      </c>
      <c r="E506" s="33">
        <f>IF(AS505&lt;=0,0,ROUND(AS505+ROUND(AS505*Y$3/12,2),2))</f>
      </c>
      <c r="F506" s="33">
        <f>IF(AT505&lt;=0,0,ROUND(AT505+ROUND(AT505*Z$3/12,2),2))</f>
      </c>
      <c r="G506" s="33">
        <f>IF(AU505&lt;=0,0,ROUND(AU505+ROUND(AU505*AA$3/12,2),2))</f>
      </c>
      <c r="H506" s="33">
        <f>IF(AV505&lt;=0,0,ROUND(AV505+ROUND(AV505*AB$3/12,2),2))</f>
      </c>
      <c r="I506" s="33">
        <f>IF(AW505&lt;=0,0,ROUND(AW505+ROUND(AW505*AC$3/12,2),2))</f>
      </c>
      <c r="J506" s="33">
        <f>IF(AX505&lt;=0,0,ROUND(AX505+ROUND(AX505*AD$3/12,2),2))</f>
      </c>
      <c r="K506" s="33">
        <f>IF(AY505&lt;=0,0,ROUND(AY505+ROUND(AY505*AE$3/12,2),2))</f>
      </c>
      <c r="L506" s="33">
        <f>ROUND(MIN(MAX(0,N('Your debts'!$E$6)),B506),2)</f>
      </c>
      <c r="M506" s="33">
        <f>ROUND(MIN(MAX(0,N('Your debts'!$E$7)),C506),2)</f>
      </c>
      <c r="N506" s="33">
        <f>ROUND(MIN(MAX(0,N('Your debts'!$E$8)),D506),2)</f>
      </c>
      <c r="O506" s="33">
        <f>ROUND(MIN(MAX(0,N('Your debts'!$E$9)),E506),2)</f>
      </c>
      <c r="P506" s="33">
        <f>ROUND(MIN(MAX(0,N('Your debts'!$E$10)),F506),2)</f>
      </c>
      <c r="Q506" s="33">
        <f>ROUND(MIN(MAX(0,N('Your debts'!$E$11)),G506),2)</f>
      </c>
      <c r="R506" s="33">
        <f>ROUND(MIN(MAX(0,N('Your debts'!$E$12)),H506),2)</f>
      </c>
      <c r="S506" s="33">
        <f>ROUND(MIN(MAX(0,N('Your debts'!$E$13)),I506),2)</f>
      </c>
      <c r="T506" s="33">
        <f>ROUND(MIN(MAX(0,N('Your debts'!$E$14)),J506),2)</f>
      </c>
      <c r="U506" s="33">
        <f>ROUND(MIN(MAX(0,N('Your debts'!$E$15)),K506),2)</f>
      </c>
      <c r="V506" s="33">
        <f>ROUND(B506-L506,2)</f>
      </c>
      <c r="W506" s="33">
        <f>ROUND(C506-M506,2)</f>
      </c>
      <c r="X506" s="33">
        <f>ROUND(D506-N506,2)</f>
      </c>
      <c r="Y506" s="33">
        <f>ROUND(E506-O506,2)</f>
      </c>
      <c r="Z506" s="33">
        <f>ROUND(F506-P506,2)</f>
      </c>
      <c r="AA506" s="33">
        <f>ROUND(G506-Q506,2)</f>
      </c>
      <c r="AB506" s="33">
        <f>ROUND(H506-R506,2)</f>
      </c>
      <c r="AC506" s="33">
        <f>ROUND(I506-S506,2)</f>
      </c>
      <c r="AD506" s="33">
        <f>ROUND(J506-T506,2)</f>
      </c>
      <c r="AE506" s="33">
        <f>ROUND(K506-U506,2)</f>
      </c>
      <c r="AF506" s="33">
        <f>IF(V506&lt;=0,0,MAX(0,MIN(V506,ROUND($AZ506-SUMPRODUCT($V506:$AE506*($V506:$AE506&gt;0)*(($V$3:$AE$3&gt;V$3)+($V$3:$AE$3=V$3)*($V506:$AE506&lt;V506)+($V$3:$AE$3=V$3)*($V506:$AE506=V506)*($V$2:$AE$2&lt;V$2))),2))))</f>
      </c>
      <c r="AG506" s="33">
        <f>IF(W506&lt;=0,0,MAX(0,MIN(W506,ROUND($AZ506-SUMPRODUCT($V506:$AE506*($V506:$AE506&gt;0)*(($V$3:$AE$3&gt;W$3)+($V$3:$AE$3=W$3)*($V506:$AE506&lt;W506)+($V$3:$AE$3=W$3)*($V506:$AE506=W506)*($V$2:$AE$2&lt;W$2))),2))))</f>
      </c>
      <c r="AH506" s="33">
        <f>IF(X506&lt;=0,0,MAX(0,MIN(X506,ROUND($AZ506-SUMPRODUCT($V506:$AE506*($V506:$AE506&gt;0)*(($V$3:$AE$3&gt;X$3)+($V$3:$AE$3=X$3)*($V506:$AE506&lt;X506)+($V$3:$AE$3=X$3)*($V506:$AE506=X506)*($V$2:$AE$2&lt;X$2))),2))))</f>
      </c>
      <c r="AI506" s="33">
        <f>IF(Y506&lt;=0,0,MAX(0,MIN(Y506,ROUND($AZ506-SUMPRODUCT($V506:$AE506*($V506:$AE506&gt;0)*(($V$3:$AE$3&gt;Y$3)+($V$3:$AE$3=Y$3)*($V506:$AE506&lt;Y506)+($V$3:$AE$3=Y$3)*($V506:$AE506=Y506)*($V$2:$AE$2&lt;Y$2))),2))))</f>
      </c>
      <c r="AJ506" s="33">
        <f>IF(Z506&lt;=0,0,MAX(0,MIN(Z506,ROUND($AZ506-SUMPRODUCT($V506:$AE506*($V506:$AE506&gt;0)*(($V$3:$AE$3&gt;Z$3)+($V$3:$AE$3=Z$3)*($V506:$AE506&lt;Z506)+($V$3:$AE$3=Z$3)*($V506:$AE506=Z506)*($V$2:$AE$2&lt;Z$2))),2))))</f>
      </c>
      <c r="AK506" s="33">
        <f>IF(AA506&lt;=0,0,MAX(0,MIN(AA506,ROUND($AZ506-SUMPRODUCT($V506:$AE506*($V506:$AE506&gt;0)*(($V$3:$AE$3&gt;AA$3)+($V$3:$AE$3=AA$3)*($V506:$AE506&lt;AA506)+($V$3:$AE$3=AA$3)*($V506:$AE506=AA506)*($V$2:$AE$2&lt;AA$2))),2))))</f>
      </c>
      <c r="AL506" s="33">
        <f>IF(AB506&lt;=0,0,MAX(0,MIN(AB506,ROUND($AZ506-SUMPRODUCT($V506:$AE506*($V506:$AE506&gt;0)*(($V$3:$AE$3&gt;AB$3)+($V$3:$AE$3=AB$3)*($V506:$AE506&lt;AB506)+($V$3:$AE$3=AB$3)*($V506:$AE506=AB506)*($V$2:$AE$2&lt;AB$2))),2))))</f>
      </c>
      <c r="AM506" s="33">
        <f>IF(AC506&lt;=0,0,MAX(0,MIN(AC506,ROUND($AZ506-SUMPRODUCT($V506:$AE506*($V506:$AE506&gt;0)*(($V$3:$AE$3&gt;AC$3)+($V$3:$AE$3=AC$3)*($V506:$AE506&lt;AC506)+($V$3:$AE$3=AC$3)*($V506:$AE506=AC506)*($V$2:$AE$2&lt;AC$2))),2))))</f>
      </c>
      <c r="AN506" s="33">
        <f>IF(AD506&lt;=0,0,MAX(0,MIN(AD506,ROUND($AZ506-SUMPRODUCT($V506:$AE506*($V506:$AE506&gt;0)*(($V$3:$AE$3&gt;AD$3)+($V$3:$AE$3=AD$3)*($V506:$AE506&lt;AD506)+($V$3:$AE$3=AD$3)*($V506:$AE506=AD506)*($V$2:$AE$2&lt;AD$2))),2))))</f>
      </c>
      <c r="AO506" s="33">
        <f>IF(AE506&lt;=0,0,MAX(0,MIN(AE506,ROUND($AZ506-SUMPRODUCT($V506:$AE506*($V506:$AE506&gt;0)*(($V$3:$AE$3&gt;AE$3)+($V$3:$AE$3=AE$3)*($V506:$AE506&lt;AE506)+($V$3:$AE$3=AE$3)*($V506:$AE506=AE506)*($V$2:$AE$2&lt;AE$2))),2))))</f>
      </c>
      <c r="AP506" s="33">
        <f>ROUND(V506-AF506,2)</f>
      </c>
      <c r="AQ506" s="33">
        <f>ROUND(W506-AG506,2)</f>
      </c>
      <c r="AR506" s="33">
        <f>ROUND(X506-AH506,2)</f>
      </c>
      <c r="AS506" s="33">
        <f>ROUND(Y506-AI506,2)</f>
      </c>
      <c r="AT506" s="33">
        <f>ROUND(Z506-AJ506,2)</f>
      </c>
      <c r="AU506" s="33">
        <f>ROUND(AA506-AK506,2)</f>
      </c>
      <c r="AV506" s="33">
        <f>ROUND(AB506-AL506,2)</f>
      </c>
      <c r="AW506" s="33">
        <f>ROUND(AC506-AM506,2)</f>
      </c>
      <c r="AX506" s="33">
        <f>ROUND(AD506-AN506,2)</f>
      </c>
      <c r="AY506" s="33">
        <f>ROUND(AE506-AO506,2)</f>
      </c>
      <c r="AZ506" s="33">
        <f>ROUND(MAX(0,'Your debts'!$D$22-SUM($L506:$U506)),2)</f>
      </c>
      <c r="BA506" s="33">
        <f>ROUND(SUM($B506:$K506)-SUM($AP505:$AY505),2)</f>
      </c>
      <c r="BB506" s="33">
        <f>SUM($AP506:$AY506)</f>
      </c>
      <c r="BC506" s="33">
        <f>ROUND(SUM($L506:$U506)+SUM($AF506:$AO506),2)</f>
      </c>
    </row>
    <row r="507" spans="1:55" x14ac:dyDescent="0.25">
      <c r="A507">
        <v>500</v>
      </c>
      <c r="B507" s="33">
        <f>IF(AP506&lt;=0,0,ROUND(AP506+ROUND(AP506*V$3/12,2),2))</f>
      </c>
      <c r="C507" s="33">
        <f>IF(AQ506&lt;=0,0,ROUND(AQ506+ROUND(AQ506*W$3/12,2),2))</f>
      </c>
      <c r="D507" s="33">
        <f>IF(AR506&lt;=0,0,ROUND(AR506+ROUND(AR506*X$3/12,2),2))</f>
      </c>
      <c r="E507" s="33">
        <f>IF(AS506&lt;=0,0,ROUND(AS506+ROUND(AS506*Y$3/12,2),2))</f>
      </c>
      <c r="F507" s="33">
        <f>IF(AT506&lt;=0,0,ROUND(AT506+ROUND(AT506*Z$3/12,2),2))</f>
      </c>
      <c r="G507" s="33">
        <f>IF(AU506&lt;=0,0,ROUND(AU506+ROUND(AU506*AA$3/12,2),2))</f>
      </c>
      <c r="H507" s="33">
        <f>IF(AV506&lt;=0,0,ROUND(AV506+ROUND(AV506*AB$3/12,2),2))</f>
      </c>
      <c r="I507" s="33">
        <f>IF(AW506&lt;=0,0,ROUND(AW506+ROUND(AW506*AC$3/12,2),2))</f>
      </c>
      <c r="J507" s="33">
        <f>IF(AX506&lt;=0,0,ROUND(AX506+ROUND(AX506*AD$3/12,2),2))</f>
      </c>
      <c r="K507" s="33">
        <f>IF(AY506&lt;=0,0,ROUND(AY506+ROUND(AY506*AE$3/12,2),2))</f>
      </c>
      <c r="L507" s="33">
        <f>ROUND(MIN(MAX(0,N('Your debts'!$E$6)),B507),2)</f>
      </c>
      <c r="M507" s="33">
        <f>ROUND(MIN(MAX(0,N('Your debts'!$E$7)),C507),2)</f>
      </c>
      <c r="N507" s="33">
        <f>ROUND(MIN(MAX(0,N('Your debts'!$E$8)),D507),2)</f>
      </c>
      <c r="O507" s="33">
        <f>ROUND(MIN(MAX(0,N('Your debts'!$E$9)),E507),2)</f>
      </c>
      <c r="P507" s="33">
        <f>ROUND(MIN(MAX(0,N('Your debts'!$E$10)),F507),2)</f>
      </c>
      <c r="Q507" s="33">
        <f>ROUND(MIN(MAX(0,N('Your debts'!$E$11)),G507),2)</f>
      </c>
      <c r="R507" s="33">
        <f>ROUND(MIN(MAX(0,N('Your debts'!$E$12)),H507),2)</f>
      </c>
      <c r="S507" s="33">
        <f>ROUND(MIN(MAX(0,N('Your debts'!$E$13)),I507),2)</f>
      </c>
      <c r="T507" s="33">
        <f>ROUND(MIN(MAX(0,N('Your debts'!$E$14)),J507),2)</f>
      </c>
      <c r="U507" s="33">
        <f>ROUND(MIN(MAX(0,N('Your debts'!$E$15)),K507),2)</f>
      </c>
      <c r="V507" s="33">
        <f>ROUND(B507-L507,2)</f>
      </c>
      <c r="W507" s="33">
        <f>ROUND(C507-M507,2)</f>
      </c>
      <c r="X507" s="33">
        <f>ROUND(D507-N507,2)</f>
      </c>
      <c r="Y507" s="33">
        <f>ROUND(E507-O507,2)</f>
      </c>
      <c r="Z507" s="33">
        <f>ROUND(F507-P507,2)</f>
      </c>
      <c r="AA507" s="33">
        <f>ROUND(G507-Q507,2)</f>
      </c>
      <c r="AB507" s="33">
        <f>ROUND(H507-R507,2)</f>
      </c>
      <c r="AC507" s="33">
        <f>ROUND(I507-S507,2)</f>
      </c>
      <c r="AD507" s="33">
        <f>ROUND(J507-T507,2)</f>
      </c>
      <c r="AE507" s="33">
        <f>ROUND(K507-U507,2)</f>
      </c>
      <c r="AF507" s="33">
        <f>IF(V507&lt;=0,0,MAX(0,MIN(V507,ROUND($AZ507-SUMPRODUCT($V507:$AE507*($V507:$AE507&gt;0)*(($V$3:$AE$3&gt;V$3)+($V$3:$AE$3=V$3)*($V507:$AE507&lt;V507)+($V$3:$AE$3=V$3)*($V507:$AE507=V507)*($V$2:$AE$2&lt;V$2))),2))))</f>
      </c>
      <c r="AG507" s="33">
        <f>IF(W507&lt;=0,0,MAX(0,MIN(W507,ROUND($AZ507-SUMPRODUCT($V507:$AE507*($V507:$AE507&gt;0)*(($V$3:$AE$3&gt;W$3)+($V$3:$AE$3=W$3)*($V507:$AE507&lt;W507)+($V$3:$AE$3=W$3)*($V507:$AE507=W507)*($V$2:$AE$2&lt;W$2))),2))))</f>
      </c>
      <c r="AH507" s="33">
        <f>IF(X507&lt;=0,0,MAX(0,MIN(X507,ROUND($AZ507-SUMPRODUCT($V507:$AE507*($V507:$AE507&gt;0)*(($V$3:$AE$3&gt;X$3)+($V$3:$AE$3=X$3)*($V507:$AE507&lt;X507)+($V$3:$AE$3=X$3)*($V507:$AE507=X507)*($V$2:$AE$2&lt;X$2))),2))))</f>
      </c>
      <c r="AI507" s="33">
        <f>IF(Y507&lt;=0,0,MAX(0,MIN(Y507,ROUND($AZ507-SUMPRODUCT($V507:$AE507*($V507:$AE507&gt;0)*(($V$3:$AE$3&gt;Y$3)+($V$3:$AE$3=Y$3)*($V507:$AE507&lt;Y507)+($V$3:$AE$3=Y$3)*($V507:$AE507=Y507)*($V$2:$AE$2&lt;Y$2))),2))))</f>
      </c>
      <c r="AJ507" s="33">
        <f>IF(Z507&lt;=0,0,MAX(0,MIN(Z507,ROUND($AZ507-SUMPRODUCT($V507:$AE507*($V507:$AE507&gt;0)*(($V$3:$AE$3&gt;Z$3)+($V$3:$AE$3=Z$3)*($V507:$AE507&lt;Z507)+($V$3:$AE$3=Z$3)*($V507:$AE507=Z507)*($V$2:$AE$2&lt;Z$2))),2))))</f>
      </c>
      <c r="AK507" s="33">
        <f>IF(AA507&lt;=0,0,MAX(0,MIN(AA507,ROUND($AZ507-SUMPRODUCT($V507:$AE507*($V507:$AE507&gt;0)*(($V$3:$AE$3&gt;AA$3)+($V$3:$AE$3=AA$3)*($V507:$AE507&lt;AA507)+($V$3:$AE$3=AA$3)*($V507:$AE507=AA507)*($V$2:$AE$2&lt;AA$2))),2))))</f>
      </c>
      <c r="AL507" s="33">
        <f>IF(AB507&lt;=0,0,MAX(0,MIN(AB507,ROUND($AZ507-SUMPRODUCT($V507:$AE507*($V507:$AE507&gt;0)*(($V$3:$AE$3&gt;AB$3)+($V$3:$AE$3=AB$3)*($V507:$AE507&lt;AB507)+($V$3:$AE$3=AB$3)*($V507:$AE507=AB507)*($V$2:$AE$2&lt;AB$2))),2))))</f>
      </c>
      <c r="AM507" s="33">
        <f>IF(AC507&lt;=0,0,MAX(0,MIN(AC507,ROUND($AZ507-SUMPRODUCT($V507:$AE507*($V507:$AE507&gt;0)*(($V$3:$AE$3&gt;AC$3)+($V$3:$AE$3=AC$3)*($V507:$AE507&lt;AC507)+($V$3:$AE$3=AC$3)*($V507:$AE507=AC507)*($V$2:$AE$2&lt;AC$2))),2))))</f>
      </c>
      <c r="AN507" s="33">
        <f>IF(AD507&lt;=0,0,MAX(0,MIN(AD507,ROUND($AZ507-SUMPRODUCT($V507:$AE507*($V507:$AE507&gt;0)*(($V$3:$AE$3&gt;AD$3)+($V$3:$AE$3=AD$3)*($V507:$AE507&lt;AD507)+($V$3:$AE$3=AD$3)*($V507:$AE507=AD507)*($V$2:$AE$2&lt;AD$2))),2))))</f>
      </c>
      <c r="AO507" s="33">
        <f>IF(AE507&lt;=0,0,MAX(0,MIN(AE507,ROUND($AZ507-SUMPRODUCT($V507:$AE507*($V507:$AE507&gt;0)*(($V$3:$AE$3&gt;AE$3)+($V$3:$AE$3=AE$3)*($V507:$AE507&lt;AE507)+($V$3:$AE$3=AE$3)*($V507:$AE507=AE507)*($V$2:$AE$2&lt;AE$2))),2))))</f>
      </c>
      <c r="AP507" s="33">
        <f>ROUND(V507-AF507,2)</f>
      </c>
      <c r="AQ507" s="33">
        <f>ROUND(W507-AG507,2)</f>
      </c>
      <c r="AR507" s="33">
        <f>ROUND(X507-AH507,2)</f>
      </c>
      <c r="AS507" s="33">
        <f>ROUND(Y507-AI507,2)</f>
      </c>
      <c r="AT507" s="33">
        <f>ROUND(Z507-AJ507,2)</f>
      </c>
      <c r="AU507" s="33">
        <f>ROUND(AA507-AK507,2)</f>
      </c>
      <c r="AV507" s="33">
        <f>ROUND(AB507-AL507,2)</f>
      </c>
      <c r="AW507" s="33">
        <f>ROUND(AC507-AM507,2)</f>
      </c>
      <c r="AX507" s="33">
        <f>ROUND(AD507-AN507,2)</f>
      </c>
      <c r="AY507" s="33">
        <f>ROUND(AE507-AO507,2)</f>
      </c>
      <c r="AZ507" s="33">
        <f>ROUND(MAX(0,'Your debts'!$D$22-SUM($L507:$U507)),2)</f>
      </c>
      <c r="BA507" s="33">
        <f>ROUND(SUM($B507:$K507)-SUM($AP506:$AY506),2)</f>
      </c>
      <c r="BB507" s="33">
        <f>SUM($AP507:$AY507)</f>
      </c>
      <c r="BC507" s="33">
        <f>ROUND(SUM($L507:$U507)+SUM($AF507:$AO507),2)</f>
      </c>
    </row>
    <row r="508" spans="1:55" x14ac:dyDescent="0.25">
      <c r="A508">
        <v>501</v>
      </c>
      <c r="B508" s="33">
        <f>IF(AP507&lt;=0,0,ROUND(AP507+ROUND(AP507*V$3/12,2),2))</f>
      </c>
      <c r="C508" s="33">
        <f>IF(AQ507&lt;=0,0,ROUND(AQ507+ROUND(AQ507*W$3/12,2),2))</f>
      </c>
      <c r="D508" s="33">
        <f>IF(AR507&lt;=0,0,ROUND(AR507+ROUND(AR507*X$3/12,2),2))</f>
      </c>
      <c r="E508" s="33">
        <f>IF(AS507&lt;=0,0,ROUND(AS507+ROUND(AS507*Y$3/12,2),2))</f>
      </c>
      <c r="F508" s="33">
        <f>IF(AT507&lt;=0,0,ROUND(AT507+ROUND(AT507*Z$3/12,2),2))</f>
      </c>
      <c r="G508" s="33">
        <f>IF(AU507&lt;=0,0,ROUND(AU507+ROUND(AU507*AA$3/12,2),2))</f>
      </c>
      <c r="H508" s="33">
        <f>IF(AV507&lt;=0,0,ROUND(AV507+ROUND(AV507*AB$3/12,2),2))</f>
      </c>
      <c r="I508" s="33">
        <f>IF(AW507&lt;=0,0,ROUND(AW507+ROUND(AW507*AC$3/12,2),2))</f>
      </c>
      <c r="J508" s="33">
        <f>IF(AX507&lt;=0,0,ROUND(AX507+ROUND(AX507*AD$3/12,2),2))</f>
      </c>
      <c r="K508" s="33">
        <f>IF(AY507&lt;=0,0,ROUND(AY507+ROUND(AY507*AE$3/12,2),2))</f>
      </c>
      <c r="L508" s="33">
        <f>ROUND(MIN(MAX(0,N('Your debts'!$E$6)),B508),2)</f>
      </c>
      <c r="M508" s="33">
        <f>ROUND(MIN(MAX(0,N('Your debts'!$E$7)),C508),2)</f>
      </c>
      <c r="N508" s="33">
        <f>ROUND(MIN(MAX(0,N('Your debts'!$E$8)),D508),2)</f>
      </c>
      <c r="O508" s="33">
        <f>ROUND(MIN(MAX(0,N('Your debts'!$E$9)),E508),2)</f>
      </c>
      <c r="P508" s="33">
        <f>ROUND(MIN(MAX(0,N('Your debts'!$E$10)),F508),2)</f>
      </c>
      <c r="Q508" s="33">
        <f>ROUND(MIN(MAX(0,N('Your debts'!$E$11)),G508),2)</f>
      </c>
      <c r="R508" s="33">
        <f>ROUND(MIN(MAX(0,N('Your debts'!$E$12)),H508),2)</f>
      </c>
      <c r="S508" s="33">
        <f>ROUND(MIN(MAX(0,N('Your debts'!$E$13)),I508),2)</f>
      </c>
      <c r="T508" s="33">
        <f>ROUND(MIN(MAX(0,N('Your debts'!$E$14)),J508),2)</f>
      </c>
      <c r="U508" s="33">
        <f>ROUND(MIN(MAX(0,N('Your debts'!$E$15)),K508),2)</f>
      </c>
      <c r="V508" s="33">
        <f>ROUND(B508-L508,2)</f>
      </c>
      <c r="W508" s="33">
        <f>ROUND(C508-M508,2)</f>
      </c>
      <c r="X508" s="33">
        <f>ROUND(D508-N508,2)</f>
      </c>
      <c r="Y508" s="33">
        <f>ROUND(E508-O508,2)</f>
      </c>
      <c r="Z508" s="33">
        <f>ROUND(F508-P508,2)</f>
      </c>
      <c r="AA508" s="33">
        <f>ROUND(G508-Q508,2)</f>
      </c>
      <c r="AB508" s="33">
        <f>ROUND(H508-R508,2)</f>
      </c>
      <c r="AC508" s="33">
        <f>ROUND(I508-S508,2)</f>
      </c>
      <c r="AD508" s="33">
        <f>ROUND(J508-T508,2)</f>
      </c>
      <c r="AE508" s="33">
        <f>ROUND(K508-U508,2)</f>
      </c>
      <c r="AF508" s="33">
        <f>IF(V508&lt;=0,0,MAX(0,MIN(V508,ROUND($AZ508-SUMPRODUCT($V508:$AE508*($V508:$AE508&gt;0)*(($V$3:$AE$3&gt;V$3)+($V$3:$AE$3=V$3)*($V508:$AE508&lt;V508)+($V$3:$AE$3=V$3)*($V508:$AE508=V508)*($V$2:$AE$2&lt;V$2))),2))))</f>
      </c>
      <c r="AG508" s="33">
        <f>IF(W508&lt;=0,0,MAX(0,MIN(W508,ROUND($AZ508-SUMPRODUCT($V508:$AE508*($V508:$AE508&gt;0)*(($V$3:$AE$3&gt;W$3)+($V$3:$AE$3=W$3)*($V508:$AE508&lt;W508)+($V$3:$AE$3=W$3)*($V508:$AE508=W508)*($V$2:$AE$2&lt;W$2))),2))))</f>
      </c>
      <c r="AH508" s="33">
        <f>IF(X508&lt;=0,0,MAX(0,MIN(X508,ROUND($AZ508-SUMPRODUCT($V508:$AE508*($V508:$AE508&gt;0)*(($V$3:$AE$3&gt;X$3)+($V$3:$AE$3=X$3)*($V508:$AE508&lt;X508)+($V$3:$AE$3=X$3)*($V508:$AE508=X508)*($V$2:$AE$2&lt;X$2))),2))))</f>
      </c>
      <c r="AI508" s="33">
        <f>IF(Y508&lt;=0,0,MAX(0,MIN(Y508,ROUND($AZ508-SUMPRODUCT($V508:$AE508*($V508:$AE508&gt;0)*(($V$3:$AE$3&gt;Y$3)+($V$3:$AE$3=Y$3)*($V508:$AE508&lt;Y508)+($V$3:$AE$3=Y$3)*($V508:$AE508=Y508)*($V$2:$AE$2&lt;Y$2))),2))))</f>
      </c>
      <c r="AJ508" s="33">
        <f>IF(Z508&lt;=0,0,MAX(0,MIN(Z508,ROUND($AZ508-SUMPRODUCT($V508:$AE508*($V508:$AE508&gt;0)*(($V$3:$AE$3&gt;Z$3)+($V$3:$AE$3=Z$3)*($V508:$AE508&lt;Z508)+($V$3:$AE$3=Z$3)*($V508:$AE508=Z508)*($V$2:$AE$2&lt;Z$2))),2))))</f>
      </c>
      <c r="AK508" s="33">
        <f>IF(AA508&lt;=0,0,MAX(0,MIN(AA508,ROUND($AZ508-SUMPRODUCT($V508:$AE508*($V508:$AE508&gt;0)*(($V$3:$AE$3&gt;AA$3)+($V$3:$AE$3=AA$3)*($V508:$AE508&lt;AA508)+($V$3:$AE$3=AA$3)*($V508:$AE508=AA508)*($V$2:$AE$2&lt;AA$2))),2))))</f>
      </c>
      <c r="AL508" s="33">
        <f>IF(AB508&lt;=0,0,MAX(0,MIN(AB508,ROUND($AZ508-SUMPRODUCT($V508:$AE508*($V508:$AE508&gt;0)*(($V$3:$AE$3&gt;AB$3)+($V$3:$AE$3=AB$3)*($V508:$AE508&lt;AB508)+($V$3:$AE$3=AB$3)*($V508:$AE508=AB508)*($V$2:$AE$2&lt;AB$2))),2))))</f>
      </c>
      <c r="AM508" s="33">
        <f>IF(AC508&lt;=0,0,MAX(0,MIN(AC508,ROUND($AZ508-SUMPRODUCT($V508:$AE508*($V508:$AE508&gt;0)*(($V$3:$AE$3&gt;AC$3)+($V$3:$AE$3=AC$3)*($V508:$AE508&lt;AC508)+($V$3:$AE$3=AC$3)*($V508:$AE508=AC508)*($V$2:$AE$2&lt;AC$2))),2))))</f>
      </c>
      <c r="AN508" s="33">
        <f>IF(AD508&lt;=0,0,MAX(0,MIN(AD508,ROUND($AZ508-SUMPRODUCT($V508:$AE508*($V508:$AE508&gt;0)*(($V$3:$AE$3&gt;AD$3)+($V$3:$AE$3=AD$3)*($V508:$AE508&lt;AD508)+($V$3:$AE$3=AD$3)*($V508:$AE508=AD508)*($V$2:$AE$2&lt;AD$2))),2))))</f>
      </c>
      <c r="AO508" s="33">
        <f>IF(AE508&lt;=0,0,MAX(0,MIN(AE508,ROUND($AZ508-SUMPRODUCT($V508:$AE508*($V508:$AE508&gt;0)*(($V$3:$AE$3&gt;AE$3)+($V$3:$AE$3=AE$3)*($V508:$AE508&lt;AE508)+($V$3:$AE$3=AE$3)*($V508:$AE508=AE508)*($V$2:$AE$2&lt;AE$2))),2))))</f>
      </c>
      <c r="AP508" s="33">
        <f>ROUND(V508-AF508,2)</f>
      </c>
      <c r="AQ508" s="33">
        <f>ROUND(W508-AG508,2)</f>
      </c>
      <c r="AR508" s="33">
        <f>ROUND(X508-AH508,2)</f>
      </c>
      <c r="AS508" s="33">
        <f>ROUND(Y508-AI508,2)</f>
      </c>
      <c r="AT508" s="33">
        <f>ROUND(Z508-AJ508,2)</f>
      </c>
      <c r="AU508" s="33">
        <f>ROUND(AA508-AK508,2)</f>
      </c>
      <c r="AV508" s="33">
        <f>ROUND(AB508-AL508,2)</f>
      </c>
      <c r="AW508" s="33">
        <f>ROUND(AC508-AM508,2)</f>
      </c>
      <c r="AX508" s="33">
        <f>ROUND(AD508-AN508,2)</f>
      </c>
      <c r="AY508" s="33">
        <f>ROUND(AE508-AO508,2)</f>
      </c>
      <c r="AZ508" s="33">
        <f>ROUND(MAX(0,'Your debts'!$D$22-SUM($L508:$U508)),2)</f>
      </c>
      <c r="BA508" s="33">
        <f>ROUND(SUM($B508:$K508)-SUM($AP507:$AY507),2)</f>
      </c>
      <c r="BB508" s="33">
        <f>SUM($AP508:$AY508)</f>
      </c>
      <c r="BC508" s="33">
        <f>ROUND(SUM($L508:$U508)+SUM($AF508:$AO508),2)</f>
      </c>
    </row>
    <row r="509" spans="1:55" x14ac:dyDescent="0.25">
      <c r="A509">
        <v>502</v>
      </c>
      <c r="B509" s="33">
        <f>IF(AP508&lt;=0,0,ROUND(AP508+ROUND(AP508*V$3/12,2),2))</f>
      </c>
      <c r="C509" s="33">
        <f>IF(AQ508&lt;=0,0,ROUND(AQ508+ROUND(AQ508*W$3/12,2),2))</f>
      </c>
      <c r="D509" s="33">
        <f>IF(AR508&lt;=0,0,ROUND(AR508+ROUND(AR508*X$3/12,2),2))</f>
      </c>
      <c r="E509" s="33">
        <f>IF(AS508&lt;=0,0,ROUND(AS508+ROUND(AS508*Y$3/12,2),2))</f>
      </c>
      <c r="F509" s="33">
        <f>IF(AT508&lt;=0,0,ROUND(AT508+ROUND(AT508*Z$3/12,2),2))</f>
      </c>
      <c r="G509" s="33">
        <f>IF(AU508&lt;=0,0,ROUND(AU508+ROUND(AU508*AA$3/12,2),2))</f>
      </c>
      <c r="H509" s="33">
        <f>IF(AV508&lt;=0,0,ROUND(AV508+ROUND(AV508*AB$3/12,2),2))</f>
      </c>
      <c r="I509" s="33">
        <f>IF(AW508&lt;=0,0,ROUND(AW508+ROUND(AW508*AC$3/12,2),2))</f>
      </c>
      <c r="J509" s="33">
        <f>IF(AX508&lt;=0,0,ROUND(AX508+ROUND(AX508*AD$3/12,2),2))</f>
      </c>
      <c r="K509" s="33">
        <f>IF(AY508&lt;=0,0,ROUND(AY508+ROUND(AY508*AE$3/12,2),2))</f>
      </c>
      <c r="L509" s="33">
        <f>ROUND(MIN(MAX(0,N('Your debts'!$E$6)),B509),2)</f>
      </c>
      <c r="M509" s="33">
        <f>ROUND(MIN(MAX(0,N('Your debts'!$E$7)),C509),2)</f>
      </c>
      <c r="N509" s="33">
        <f>ROUND(MIN(MAX(0,N('Your debts'!$E$8)),D509),2)</f>
      </c>
      <c r="O509" s="33">
        <f>ROUND(MIN(MAX(0,N('Your debts'!$E$9)),E509),2)</f>
      </c>
      <c r="P509" s="33">
        <f>ROUND(MIN(MAX(0,N('Your debts'!$E$10)),F509),2)</f>
      </c>
      <c r="Q509" s="33">
        <f>ROUND(MIN(MAX(0,N('Your debts'!$E$11)),G509),2)</f>
      </c>
      <c r="R509" s="33">
        <f>ROUND(MIN(MAX(0,N('Your debts'!$E$12)),H509),2)</f>
      </c>
      <c r="S509" s="33">
        <f>ROUND(MIN(MAX(0,N('Your debts'!$E$13)),I509),2)</f>
      </c>
      <c r="T509" s="33">
        <f>ROUND(MIN(MAX(0,N('Your debts'!$E$14)),J509),2)</f>
      </c>
      <c r="U509" s="33">
        <f>ROUND(MIN(MAX(0,N('Your debts'!$E$15)),K509),2)</f>
      </c>
      <c r="V509" s="33">
        <f>ROUND(B509-L509,2)</f>
      </c>
      <c r="W509" s="33">
        <f>ROUND(C509-M509,2)</f>
      </c>
      <c r="X509" s="33">
        <f>ROUND(D509-N509,2)</f>
      </c>
      <c r="Y509" s="33">
        <f>ROUND(E509-O509,2)</f>
      </c>
      <c r="Z509" s="33">
        <f>ROUND(F509-P509,2)</f>
      </c>
      <c r="AA509" s="33">
        <f>ROUND(G509-Q509,2)</f>
      </c>
      <c r="AB509" s="33">
        <f>ROUND(H509-R509,2)</f>
      </c>
      <c r="AC509" s="33">
        <f>ROUND(I509-S509,2)</f>
      </c>
      <c r="AD509" s="33">
        <f>ROUND(J509-T509,2)</f>
      </c>
      <c r="AE509" s="33">
        <f>ROUND(K509-U509,2)</f>
      </c>
      <c r="AF509" s="33">
        <f>IF(V509&lt;=0,0,MAX(0,MIN(V509,ROUND($AZ509-SUMPRODUCT($V509:$AE509*($V509:$AE509&gt;0)*(($V$3:$AE$3&gt;V$3)+($V$3:$AE$3=V$3)*($V509:$AE509&lt;V509)+($V$3:$AE$3=V$3)*($V509:$AE509=V509)*($V$2:$AE$2&lt;V$2))),2))))</f>
      </c>
      <c r="AG509" s="33">
        <f>IF(W509&lt;=0,0,MAX(0,MIN(W509,ROUND($AZ509-SUMPRODUCT($V509:$AE509*($V509:$AE509&gt;0)*(($V$3:$AE$3&gt;W$3)+($V$3:$AE$3=W$3)*($V509:$AE509&lt;W509)+($V$3:$AE$3=W$3)*($V509:$AE509=W509)*($V$2:$AE$2&lt;W$2))),2))))</f>
      </c>
      <c r="AH509" s="33">
        <f>IF(X509&lt;=0,0,MAX(0,MIN(X509,ROUND($AZ509-SUMPRODUCT($V509:$AE509*($V509:$AE509&gt;0)*(($V$3:$AE$3&gt;X$3)+($V$3:$AE$3=X$3)*($V509:$AE509&lt;X509)+($V$3:$AE$3=X$3)*($V509:$AE509=X509)*($V$2:$AE$2&lt;X$2))),2))))</f>
      </c>
      <c r="AI509" s="33">
        <f>IF(Y509&lt;=0,0,MAX(0,MIN(Y509,ROUND($AZ509-SUMPRODUCT($V509:$AE509*($V509:$AE509&gt;0)*(($V$3:$AE$3&gt;Y$3)+($V$3:$AE$3=Y$3)*($V509:$AE509&lt;Y509)+($V$3:$AE$3=Y$3)*($V509:$AE509=Y509)*($V$2:$AE$2&lt;Y$2))),2))))</f>
      </c>
      <c r="AJ509" s="33">
        <f>IF(Z509&lt;=0,0,MAX(0,MIN(Z509,ROUND($AZ509-SUMPRODUCT($V509:$AE509*($V509:$AE509&gt;0)*(($V$3:$AE$3&gt;Z$3)+($V$3:$AE$3=Z$3)*($V509:$AE509&lt;Z509)+($V$3:$AE$3=Z$3)*($V509:$AE509=Z509)*($V$2:$AE$2&lt;Z$2))),2))))</f>
      </c>
      <c r="AK509" s="33">
        <f>IF(AA509&lt;=0,0,MAX(0,MIN(AA509,ROUND($AZ509-SUMPRODUCT($V509:$AE509*($V509:$AE509&gt;0)*(($V$3:$AE$3&gt;AA$3)+($V$3:$AE$3=AA$3)*($V509:$AE509&lt;AA509)+($V$3:$AE$3=AA$3)*($V509:$AE509=AA509)*($V$2:$AE$2&lt;AA$2))),2))))</f>
      </c>
      <c r="AL509" s="33">
        <f>IF(AB509&lt;=0,0,MAX(0,MIN(AB509,ROUND($AZ509-SUMPRODUCT($V509:$AE509*($V509:$AE509&gt;0)*(($V$3:$AE$3&gt;AB$3)+($V$3:$AE$3=AB$3)*($V509:$AE509&lt;AB509)+($V$3:$AE$3=AB$3)*($V509:$AE509=AB509)*($V$2:$AE$2&lt;AB$2))),2))))</f>
      </c>
      <c r="AM509" s="33">
        <f>IF(AC509&lt;=0,0,MAX(0,MIN(AC509,ROUND($AZ509-SUMPRODUCT($V509:$AE509*($V509:$AE509&gt;0)*(($V$3:$AE$3&gt;AC$3)+($V$3:$AE$3=AC$3)*($V509:$AE509&lt;AC509)+($V$3:$AE$3=AC$3)*($V509:$AE509=AC509)*($V$2:$AE$2&lt;AC$2))),2))))</f>
      </c>
      <c r="AN509" s="33">
        <f>IF(AD509&lt;=0,0,MAX(0,MIN(AD509,ROUND($AZ509-SUMPRODUCT($V509:$AE509*($V509:$AE509&gt;0)*(($V$3:$AE$3&gt;AD$3)+($V$3:$AE$3=AD$3)*($V509:$AE509&lt;AD509)+($V$3:$AE$3=AD$3)*($V509:$AE509=AD509)*($V$2:$AE$2&lt;AD$2))),2))))</f>
      </c>
      <c r="AO509" s="33">
        <f>IF(AE509&lt;=0,0,MAX(0,MIN(AE509,ROUND($AZ509-SUMPRODUCT($V509:$AE509*($V509:$AE509&gt;0)*(($V$3:$AE$3&gt;AE$3)+($V$3:$AE$3=AE$3)*($V509:$AE509&lt;AE509)+($V$3:$AE$3=AE$3)*($V509:$AE509=AE509)*($V$2:$AE$2&lt;AE$2))),2))))</f>
      </c>
      <c r="AP509" s="33">
        <f>ROUND(V509-AF509,2)</f>
      </c>
      <c r="AQ509" s="33">
        <f>ROUND(W509-AG509,2)</f>
      </c>
      <c r="AR509" s="33">
        <f>ROUND(X509-AH509,2)</f>
      </c>
      <c r="AS509" s="33">
        <f>ROUND(Y509-AI509,2)</f>
      </c>
      <c r="AT509" s="33">
        <f>ROUND(Z509-AJ509,2)</f>
      </c>
      <c r="AU509" s="33">
        <f>ROUND(AA509-AK509,2)</f>
      </c>
      <c r="AV509" s="33">
        <f>ROUND(AB509-AL509,2)</f>
      </c>
      <c r="AW509" s="33">
        <f>ROUND(AC509-AM509,2)</f>
      </c>
      <c r="AX509" s="33">
        <f>ROUND(AD509-AN509,2)</f>
      </c>
      <c r="AY509" s="33">
        <f>ROUND(AE509-AO509,2)</f>
      </c>
      <c r="AZ509" s="33">
        <f>ROUND(MAX(0,'Your debts'!$D$22-SUM($L509:$U509)),2)</f>
      </c>
      <c r="BA509" s="33">
        <f>ROUND(SUM($B509:$K509)-SUM($AP508:$AY508),2)</f>
      </c>
      <c r="BB509" s="33">
        <f>SUM($AP509:$AY509)</f>
      </c>
      <c r="BC509" s="33">
        <f>ROUND(SUM($L509:$U509)+SUM($AF509:$AO509),2)</f>
      </c>
    </row>
    <row r="510" spans="1:55" x14ac:dyDescent="0.25">
      <c r="A510">
        <v>503</v>
      </c>
      <c r="B510" s="33">
        <f>IF(AP509&lt;=0,0,ROUND(AP509+ROUND(AP509*V$3/12,2),2))</f>
      </c>
      <c r="C510" s="33">
        <f>IF(AQ509&lt;=0,0,ROUND(AQ509+ROUND(AQ509*W$3/12,2),2))</f>
      </c>
      <c r="D510" s="33">
        <f>IF(AR509&lt;=0,0,ROUND(AR509+ROUND(AR509*X$3/12,2),2))</f>
      </c>
      <c r="E510" s="33">
        <f>IF(AS509&lt;=0,0,ROUND(AS509+ROUND(AS509*Y$3/12,2),2))</f>
      </c>
      <c r="F510" s="33">
        <f>IF(AT509&lt;=0,0,ROUND(AT509+ROUND(AT509*Z$3/12,2),2))</f>
      </c>
      <c r="G510" s="33">
        <f>IF(AU509&lt;=0,0,ROUND(AU509+ROUND(AU509*AA$3/12,2),2))</f>
      </c>
      <c r="H510" s="33">
        <f>IF(AV509&lt;=0,0,ROUND(AV509+ROUND(AV509*AB$3/12,2),2))</f>
      </c>
      <c r="I510" s="33">
        <f>IF(AW509&lt;=0,0,ROUND(AW509+ROUND(AW509*AC$3/12,2),2))</f>
      </c>
      <c r="J510" s="33">
        <f>IF(AX509&lt;=0,0,ROUND(AX509+ROUND(AX509*AD$3/12,2),2))</f>
      </c>
      <c r="K510" s="33">
        <f>IF(AY509&lt;=0,0,ROUND(AY509+ROUND(AY509*AE$3/12,2),2))</f>
      </c>
      <c r="L510" s="33">
        <f>ROUND(MIN(MAX(0,N('Your debts'!$E$6)),B510),2)</f>
      </c>
      <c r="M510" s="33">
        <f>ROUND(MIN(MAX(0,N('Your debts'!$E$7)),C510),2)</f>
      </c>
      <c r="N510" s="33">
        <f>ROUND(MIN(MAX(0,N('Your debts'!$E$8)),D510),2)</f>
      </c>
      <c r="O510" s="33">
        <f>ROUND(MIN(MAX(0,N('Your debts'!$E$9)),E510),2)</f>
      </c>
      <c r="P510" s="33">
        <f>ROUND(MIN(MAX(0,N('Your debts'!$E$10)),F510),2)</f>
      </c>
      <c r="Q510" s="33">
        <f>ROUND(MIN(MAX(0,N('Your debts'!$E$11)),G510),2)</f>
      </c>
      <c r="R510" s="33">
        <f>ROUND(MIN(MAX(0,N('Your debts'!$E$12)),H510),2)</f>
      </c>
      <c r="S510" s="33">
        <f>ROUND(MIN(MAX(0,N('Your debts'!$E$13)),I510),2)</f>
      </c>
      <c r="T510" s="33">
        <f>ROUND(MIN(MAX(0,N('Your debts'!$E$14)),J510),2)</f>
      </c>
      <c r="U510" s="33">
        <f>ROUND(MIN(MAX(0,N('Your debts'!$E$15)),K510),2)</f>
      </c>
      <c r="V510" s="33">
        <f>ROUND(B510-L510,2)</f>
      </c>
      <c r="W510" s="33">
        <f>ROUND(C510-M510,2)</f>
      </c>
      <c r="X510" s="33">
        <f>ROUND(D510-N510,2)</f>
      </c>
      <c r="Y510" s="33">
        <f>ROUND(E510-O510,2)</f>
      </c>
      <c r="Z510" s="33">
        <f>ROUND(F510-P510,2)</f>
      </c>
      <c r="AA510" s="33">
        <f>ROUND(G510-Q510,2)</f>
      </c>
      <c r="AB510" s="33">
        <f>ROUND(H510-R510,2)</f>
      </c>
      <c r="AC510" s="33">
        <f>ROUND(I510-S510,2)</f>
      </c>
      <c r="AD510" s="33">
        <f>ROUND(J510-T510,2)</f>
      </c>
      <c r="AE510" s="33">
        <f>ROUND(K510-U510,2)</f>
      </c>
      <c r="AF510" s="33">
        <f>IF(V510&lt;=0,0,MAX(0,MIN(V510,ROUND($AZ510-SUMPRODUCT($V510:$AE510*($V510:$AE510&gt;0)*(($V$3:$AE$3&gt;V$3)+($V$3:$AE$3=V$3)*($V510:$AE510&lt;V510)+($V$3:$AE$3=V$3)*($V510:$AE510=V510)*($V$2:$AE$2&lt;V$2))),2))))</f>
      </c>
      <c r="AG510" s="33">
        <f>IF(W510&lt;=0,0,MAX(0,MIN(W510,ROUND($AZ510-SUMPRODUCT($V510:$AE510*($V510:$AE510&gt;0)*(($V$3:$AE$3&gt;W$3)+($V$3:$AE$3=W$3)*($V510:$AE510&lt;W510)+($V$3:$AE$3=W$3)*($V510:$AE510=W510)*($V$2:$AE$2&lt;W$2))),2))))</f>
      </c>
      <c r="AH510" s="33">
        <f>IF(X510&lt;=0,0,MAX(0,MIN(X510,ROUND($AZ510-SUMPRODUCT($V510:$AE510*($V510:$AE510&gt;0)*(($V$3:$AE$3&gt;X$3)+($V$3:$AE$3=X$3)*($V510:$AE510&lt;X510)+($V$3:$AE$3=X$3)*($V510:$AE510=X510)*($V$2:$AE$2&lt;X$2))),2))))</f>
      </c>
      <c r="AI510" s="33">
        <f>IF(Y510&lt;=0,0,MAX(0,MIN(Y510,ROUND($AZ510-SUMPRODUCT($V510:$AE510*($V510:$AE510&gt;0)*(($V$3:$AE$3&gt;Y$3)+($V$3:$AE$3=Y$3)*($V510:$AE510&lt;Y510)+($V$3:$AE$3=Y$3)*($V510:$AE510=Y510)*($V$2:$AE$2&lt;Y$2))),2))))</f>
      </c>
      <c r="AJ510" s="33">
        <f>IF(Z510&lt;=0,0,MAX(0,MIN(Z510,ROUND($AZ510-SUMPRODUCT($V510:$AE510*($V510:$AE510&gt;0)*(($V$3:$AE$3&gt;Z$3)+($V$3:$AE$3=Z$3)*($V510:$AE510&lt;Z510)+($V$3:$AE$3=Z$3)*($V510:$AE510=Z510)*($V$2:$AE$2&lt;Z$2))),2))))</f>
      </c>
      <c r="AK510" s="33">
        <f>IF(AA510&lt;=0,0,MAX(0,MIN(AA510,ROUND($AZ510-SUMPRODUCT($V510:$AE510*($V510:$AE510&gt;0)*(($V$3:$AE$3&gt;AA$3)+($V$3:$AE$3=AA$3)*($V510:$AE510&lt;AA510)+($V$3:$AE$3=AA$3)*($V510:$AE510=AA510)*($V$2:$AE$2&lt;AA$2))),2))))</f>
      </c>
      <c r="AL510" s="33">
        <f>IF(AB510&lt;=0,0,MAX(0,MIN(AB510,ROUND($AZ510-SUMPRODUCT($V510:$AE510*($V510:$AE510&gt;0)*(($V$3:$AE$3&gt;AB$3)+($V$3:$AE$3=AB$3)*($V510:$AE510&lt;AB510)+($V$3:$AE$3=AB$3)*($V510:$AE510=AB510)*($V$2:$AE$2&lt;AB$2))),2))))</f>
      </c>
      <c r="AM510" s="33">
        <f>IF(AC510&lt;=0,0,MAX(0,MIN(AC510,ROUND($AZ510-SUMPRODUCT($V510:$AE510*($V510:$AE510&gt;0)*(($V$3:$AE$3&gt;AC$3)+($V$3:$AE$3=AC$3)*($V510:$AE510&lt;AC510)+($V$3:$AE$3=AC$3)*($V510:$AE510=AC510)*($V$2:$AE$2&lt;AC$2))),2))))</f>
      </c>
      <c r="AN510" s="33">
        <f>IF(AD510&lt;=0,0,MAX(0,MIN(AD510,ROUND($AZ510-SUMPRODUCT($V510:$AE510*($V510:$AE510&gt;0)*(($V$3:$AE$3&gt;AD$3)+($V$3:$AE$3=AD$3)*($V510:$AE510&lt;AD510)+($V$3:$AE$3=AD$3)*($V510:$AE510=AD510)*($V$2:$AE$2&lt;AD$2))),2))))</f>
      </c>
      <c r="AO510" s="33">
        <f>IF(AE510&lt;=0,0,MAX(0,MIN(AE510,ROUND($AZ510-SUMPRODUCT($V510:$AE510*($V510:$AE510&gt;0)*(($V$3:$AE$3&gt;AE$3)+($V$3:$AE$3=AE$3)*($V510:$AE510&lt;AE510)+($V$3:$AE$3=AE$3)*($V510:$AE510=AE510)*($V$2:$AE$2&lt;AE$2))),2))))</f>
      </c>
      <c r="AP510" s="33">
        <f>ROUND(V510-AF510,2)</f>
      </c>
      <c r="AQ510" s="33">
        <f>ROUND(W510-AG510,2)</f>
      </c>
      <c r="AR510" s="33">
        <f>ROUND(X510-AH510,2)</f>
      </c>
      <c r="AS510" s="33">
        <f>ROUND(Y510-AI510,2)</f>
      </c>
      <c r="AT510" s="33">
        <f>ROUND(Z510-AJ510,2)</f>
      </c>
      <c r="AU510" s="33">
        <f>ROUND(AA510-AK510,2)</f>
      </c>
      <c r="AV510" s="33">
        <f>ROUND(AB510-AL510,2)</f>
      </c>
      <c r="AW510" s="33">
        <f>ROUND(AC510-AM510,2)</f>
      </c>
      <c r="AX510" s="33">
        <f>ROUND(AD510-AN510,2)</f>
      </c>
      <c r="AY510" s="33">
        <f>ROUND(AE510-AO510,2)</f>
      </c>
      <c r="AZ510" s="33">
        <f>ROUND(MAX(0,'Your debts'!$D$22-SUM($L510:$U510)),2)</f>
      </c>
      <c r="BA510" s="33">
        <f>ROUND(SUM($B510:$K510)-SUM($AP509:$AY509),2)</f>
      </c>
      <c r="BB510" s="33">
        <f>SUM($AP510:$AY510)</f>
      </c>
      <c r="BC510" s="33">
        <f>ROUND(SUM($L510:$U510)+SUM($AF510:$AO510),2)</f>
      </c>
    </row>
    <row r="511" spans="1:55" x14ac:dyDescent="0.25">
      <c r="A511">
        <v>504</v>
      </c>
      <c r="B511" s="33">
        <f>IF(AP510&lt;=0,0,ROUND(AP510+ROUND(AP510*V$3/12,2),2))</f>
      </c>
      <c r="C511" s="33">
        <f>IF(AQ510&lt;=0,0,ROUND(AQ510+ROUND(AQ510*W$3/12,2),2))</f>
      </c>
      <c r="D511" s="33">
        <f>IF(AR510&lt;=0,0,ROUND(AR510+ROUND(AR510*X$3/12,2),2))</f>
      </c>
      <c r="E511" s="33">
        <f>IF(AS510&lt;=0,0,ROUND(AS510+ROUND(AS510*Y$3/12,2),2))</f>
      </c>
      <c r="F511" s="33">
        <f>IF(AT510&lt;=0,0,ROUND(AT510+ROUND(AT510*Z$3/12,2),2))</f>
      </c>
      <c r="G511" s="33">
        <f>IF(AU510&lt;=0,0,ROUND(AU510+ROUND(AU510*AA$3/12,2),2))</f>
      </c>
      <c r="H511" s="33">
        <f>IF(AV510&lt;=0,0,ROUND(AV510+ROUND(AV510*AB$3/12,2),2))</f>
      </c>
      <c r="I511" s="33">
        <f>IF(AW510&lt;=0,0,ROUND(AW510+ROUND(AW510*AC$3/12,2),2))</f>
      </c>
      <c r="J511" s="33">
        <f>IF(AX510&lt;=0,0,ROUND(AX510+ROUND(AX510*AD$3/12,2),2))</f>
      </c>
      <c r="K511" s="33">
        <f>IF(AY510&lt;=0,0,ROUND(AY510+ROUND(AY510*AE$3/12,2),2))</f>
      </c>
      <c r="L511" s="33">
        <f>ROUND(MIN(MAX(0,N('Your debts'!$E$6)),B511),2)</f>
      </c>
      <c r="M511" s="33">
        <f>ROUND(MIN(MAX(0,N('Your debts'!$E$7)),C511),2)</f>
      </c>
      <c r="N511" s="33">
        <f>ROUND(MIN(MAX(0,N('Your debts'!$E$8)),D511),2)</f>
      </c>
      <c r="O511" s="33">
        <f>ROUND(MIN(MAX(0,N('Your debts'!$E$9)),E511),2)</f>
      </c>
      <c r="P511" s="33">
        <f>ROUND(MIN(MAX(0,N('Your debts'!$E$10)),F511),2)</f>
      </c>
      <c r="Q511" s="33">
        <f>ROUND(MIN(MAX(0,N('Your debts'!$E$11)),G511),2)</f>
      </c>
      <c r="R511" s="33">
        <f>ROUND(MIN(MAX(0,N('Your debts'!$E$12)),H511),2)</f>
      </c>
      <c r="S511" s="33">
        <f>ROUND(MIN(MAX(0,N('Your debts'!$E$13)),I511),2)</f>
      </c>
      <c r="T511" s="33">
        <f>ROUND(MIN(MAX(0,N('Your debts'!$E$14)),J511),2)</f>
      </c>
      <c r="U511" s="33">
        <f>ROUND(MIN(MAX(0,N('Your debts'!$E$15)),K511),2)</f>
      </c>
      <c r="V511" s="33">
        <f>ROUND(B511-L511,2)</f>
      </c>
      <c r="W511" s="33">
        <f>ROUND(C511-M511,2)</f>
      </c>
      <c r="X511" s="33">
        <f>ROUND(D511-N511,2)</f>
      </c>
      <c r="Y511" s="33">
        <f>ROUND(E511-O511,2)</f>
      </c>
      <c r="Z511" s="33">
        <f>ROUND(F511-P511,2)</f>
      </c>
      <c r="AA511" s="33">
        <f>ROUND(G511-Q511,2)</f>
      </c>
      <c r="AB511" s="33">
        <f>ROUND(H511-R511,2)</f>
      </c>
      <c r="AC511" s="33">
        <f>ROUND(I511-S511,2)</f>
      </c>
      <c r="AD511" s="33">
        <f>ROUND(J511-T511,2)</f>
      </c>
      <c r="AE511" s="33">
        <f>ROUND(K511-U511,2)</f>
      </c>
      <c r="AF511" s="33">
        <f>IF(V511&lt;=0,0,MAX(0,MIN(V511,ROUND($AZ511-SUMPRODUCT($V511:$AE511*($V511:$AE511&gt;0)*(($V$3:$AE$3&gt;V$3)+($V$3:$AE$3=V$3)*($V511:$AE511&lt;V511)+($V$3:$AE$3=V$3)*($V511:$AE511=V511)*($V$2:$AE$2&lt;V$2))),2))))</f>
      </c>
      <c r="AG511" s="33">
        <f>IF(W511&lt;=0,0,MAX(0,MIN(W511,ROUND($AZ511-SUMPRODUCT($V511:$AE511*($V511:$AE511&gt;0)*(($V$3:$AE$3&gt;W$3)+($V$3:$AE$3=W$3)*($V511:$AE511&lt;W511)+($V$3:$AE$3=W$3)*($V511:$AE511=W511)*($V$2:$AE$2&lt;W$2))),2))))</f>
      </c>
      <c r="AH511" s="33">
        <f>IF(X511&lt;=0,0,MAX(0,MIN(X511,ROUND($AZ511-SUMPRODUCT($V511:$AE511*($V511:$AE511&gt;0)*(($V$3:$AE$3&gt;X$3)+($V$3:$AE$3=X$3)*($V511:$AE511&lt;X511)+($V$3:$AE$3=X$3)*($V511:$AE511=X511)*($V$2:$AE$2&lt;X$2))),2))))</f>
      </c>
      <c r="AI511" s="33">
        <f>IF(Y511&lt;=0,0,MAX(0,MIN(Y511,ROUND($AZ511-SUMPRODUCT($V511:$AE511*($V511:$AE511&gt;0)*(($V$3:$AE$3&gt;Y$3)+($V$3:$AE$3=Y$3)*($V511:$AE511&lt;Y511)+($V$3:$AE$3=Y$3)*($V511:$AE511=Y511)*($V$2:$AE$2&lt;Y$2))),2))))</f>
      </c>
      <c r="AJ511" s="33">
        <f>IF(Z511&lt;=0,0,MAX(0,MIN(Z511,ROUND($AZ511-SUMPRODUCT($V511:$AE511*($V511:$AE511&gt;0)*(($V$3:$AE$3&gt;Z$3)+($V$3:$AE$3=Z$3)*($V511:$AE511&lt;Z511)+($V$3:$AE$3=Z$3)*($V511:$AE511=Z511)*($V$2:$AE$2&lt;Z$2))),2))))</f>
      </c>
      <c r="AK511" s="33">
        <f>IF(AA511&lt;=0,0,MAX(0,MIN(AA511,ROUND($AZ511-SUMPRODUCT($V511:$AE511*($V511:$AE511&gt;0)*(($V$3:$AE$3&gt;AA$3)+($V$3:$AE$3=AA$3)*($V511:$AE511&lt;AA511)+($V$3:$AE$3=AA$3)*($V511:$AE511=AA511)*($V$2:$AE$2&lt;AA$2))),2))))</f>
      </c>
      <c r="AL511" s="33">
        <f>IF(AB511&lt;=0,0,MAX(0,MIN(AB511,ROUND($AZ511-SUMPRODUCT($V511:$AE511*($V511:$AE511&gt;0)*(($V$3:$AE$3&gt;AB$3)+($V$3:$AE$3=AB$3)*($V511:$AE511&lt;AB511)+($V$3:$AE$3=AB$3)*($V511:$AE511=AB511)*($V$2:$AE$2&lt;AB$2))),2))))</f>
      </c>
      <c r="AM511" s="33">
        <f>IF(AC511&lt;=0,0,MAX(0,MIN(AC511,ROUND($AZ511-SUMPRODUCT($V511:$AE511*($V511:$AE511&gt;0)*(($V$3:$AE$3&gt;AC$3)+($V$3:$AE$3=AC$3)*($V511:$AE511&lt;AC511)+($V$3:$AE$3=AC$3)*($V511:$AE511=AC511)*($V$2:$AE$2&lt;AC$2))),2))))</f>
      </c>
      <c r="AN511" s="33">
        <f>IF(AD511&lt;=0,0,MAX(0,MIN(AD511,ROUND($AZ511-SUMPRODUCT($V511:$AE511*($V511:$AE511&gt;0)*(($V$3:$AE$3&gt;AD$3)+($V$3:$AE$3=AD$3)*($V511:$AE511&lt;AD511)+($V$3:$AE$3=AD$3)*($V511:$AE511=AD511)*($V$2:$AE$2&lt;AD$2))),2))))</f>
      </c>
      <c r="AO511" s="33">
        <f>IF(AE511&lt;=0,0,MAX(0,MIN(AE511,ROUND($AZ511-SUMPRODUCT($V511:$AE511*($V511:$AE511&gt;0)*(($V$3:$AE$3&gt;AE$3)+($V$3:$AE$3=AE$3)*($V511:$AE511&lt;AE511)+($V$3:$AE$3=AE$3)*($V511:$AE511=AE511)*($V$2:$AE$2&lt;AE$2))),2))))</f>
      </c>
      <c r="AP511" s="33">
        <f>ROUND(V511-AF511,2)</f>
      </c>
      <c r="AQ511" s="33">
        <f>ROUND(W511-AG511,2)</f>
      </c>
      <c r="AR511" s="33">
        <f>ROUND(X511-AH511,2)</f>
      </c>
      <c r="AS511" s="33">
        <f>ROUND(Y511-AI511,2)</f>
      </c>
      <c r="AT511" s="33">
        <f>ROUND(Z511-AJ511,2)</f>
      </c>
      <c r="AU511" s="33">
        <f>ROUND(AA511-AK511,2)</f>
      </c>
      <c r="AV511" s="33">
        <f>ROUND(AB511-AL511,2)</f>
      </c>
      <c r="AW511" s="33">
        <f>ROUND(AC511-AM511,2)</f>
      </c>
      <c r="AX511" s="33">
        <f>ROUND(AD511-AN511,2)</f>
      </c>
      <c r="AY511" s="33">
        <f>ROUND(AE511-AO511,2)</f>
      </c>
      <c r="AZ511" s="33">
        <f>ROUND(MAX(0,'Your debts'!$D$22-SUM($L511:$U511)),2)</f>
      </c>
      <c r="BA511" s="33">
        <f>ROUND(SUM($B511:$K511)-SUM($AP510:$AY510),2)</f>
      </c>
      <c r="BB511" s="33">
        <f>SUM($AP511:$AY511)</f>
      </c>
      <c r="BC511" s="33">
        <f>ROUND(SUM($L511:$U511)+SUM($AF511:$AO511),2)</f>
      </c>
    </row>
    <row r="512" spans="1:55" x14ac:dyDescent="0.25">
      <c r="A512">
        <v>505</v>
      </c>
      <c r="B512" s="33">
        <f>IF(AP511&lt;=0,0,ROUND(AP511+ROUND(AP511*V$3/12,2),2))</f>
      </c>
      <c r="C512" s="33">
        <f>IF(AQ511&lt;=0,0,ROUND(AQ511+ROUND(AQ511*W$3/12,2),2))</f>
      </c>
      <c r="D512" s="33">
        <f>IF(AR511&lt;=0,0,ROUND(AR511+ROUND(AR511*X$3/12,2),2))</f>
      </c>
      <c r="E512" s="33">
        <f>IF(AS511&lt;=0,0,ROUND(AS511+ROUND(AS511*Y$3/12,2),2))</f>
      </c>
      <c r="F512" s="33">
        <f>IF(AT511&lt;=0,0,ROUND(AT511+ROUND(AT511*Z$3/12,2),2))</f>
      </c>
      <c r="G512" s="33">
        <f>IF(AU511&lt;=0,0,ROUND(AU511+ROUND(AU511*AA$3/12,2),2))</f>
      </c>
      <c r="H512" s="33">
        <f>IF(AV511&lt;=0,0,ROUND(AV511+ROUND(AV511*AB$3/12,2),2))</f>
      </c>
      <c r="I512" s="33">
        <f>IF(AW511&lt;=0,0,ROUND(AW511+ROUND(AW511*AC$3/12,2),2))</f>
      </c>
      <c r="J512" s="33">
        <f>IF(AX511&lt;=0,0,ROUND(AX511+ROUND(AX511*AD$3/12,2),2))</f>
      </c>
      <c r="K512" s="33">
        <f>IF(AY511&lt;=0,0,ROUND(AY511+ROUND(AY511*AE$3/12,2),2))</f>
      </c>
      <c r="L512" s="33">
        <f>ROUND(MIN(MAX(0,N('Your debts'!$E$6)),B512),2)</f>
      </c>
      <c r="M512" s="33">
        <f>ROUND(MIN(MAX(0,N('Your debts'!$E$7)),C512),2)</f>
      </c>
      <c r="N512" s="33">
        <f>ROUND(MIN(MAX(0,N('Your debts'!$E$8)),D512),2)</f>
      </c>
      <c r="O512" s="33">
        <f>ROUND(MIN(MAX(0,N('Your debts'!$E$9)),E512),2)</f>
      </c>
      <c r="P512" s="33">
        <f>ROUND(MIN(MAX(0,N('Your debts'!$E$10)),F512),2)</f>
      </c>
      <c r="Q512" s="33">
        <f>ROUND(MIN(MAX(0,N('Your debts'!$E$11)),G512),2)</f>
      </c>
      <c r="R512" s="33">
        <f>ROUND(MIN(MAX(0,N('Your debts'!$E$12)),H512),2)</f>
      </c>
      <c r="S512" s="33">
        <f>ROUND(MIN(MAX(0,N('Your debts'!$E$13)),I512),2)</f>
      </c>
      <c r="T512" s="33">
        <f>ROUND(MIN(MAX(0,N('Your debts'!$E$14)),J512),2)</f>
      </c>
      <c r="U512" s="33">
        <f>ROUND(MIN(MAX(0,N('Your debts'!$E$15)),K512),2)</f>
      </c>
      <c r="V512" s="33">
        <f>ROUND(B512-L512,2)</f>
      </c>
      <c r="W512" s="33">
        <f>ROUND(C512-M512,2)</f>
      </c>
      <c r="X512" s="33">
        <f>ROUND(D512-N512,2)</f>
      </c>
      <c r="Y512" s="33">
        <f>ROUND(E512-O512,2)</f>
      </c>
      <c r="Z512" s="33">
        <f>ROUND(F512-P512,2)</f>
      </c>
      <c r="AA512" s="33">
        <f>ROUND(G512-Q512,2)</f>
      </c>
      <c r="AB512" s="33">
        <f>ROUND(H512-R512,2)</f>
      </c>
      <c r="AC512" s="33">
        <f>ROUND(I512-S512,2)</f>
      </c>
      <c r="AD512" s="33">
        <f>ROUND(J512-T512,2)</f>
      </c>
      <c r="AE512" s="33">
        <f>ROUND(K512-U512,2)</f>
      </c>
      <c r="AF512" s="33">
        <f>IF(V512&lt;=0,0,MAX(0,MIN(V512,ROUND($AZ512-SUMPRODUCT($V512:$AE512*($V512:$AE512&gt;0)*(($V$3:$AE$3&gt;V$3)+($V$3:$AE$3=V$3)*($V512:$AE512&lt;V512)+($V$3:$AE$3=V$3)*($V512:$AE512=V512)*($V$2:$AE$2&lt;V$2))),2))))</f>
      </c>
      <c r="AG512" s="33">
        <f>IF(W512&lt;=0,0,MAX(0,MIN(W512,ROUND($AZ512-SUMPRODUCT($V512:$AE512*($V512:$AE512&gt;0)*(($V$3:$AE$3&gt;W$3)+($V$3:$AE$3=W$3)*($V512:$AE512&lt;W512)+($V$3:$AE$3=W$3)*($V512:$AE512=W512)*($V$2:$AE$2&lt;W$2))),2))))</f>
      </c>
      <c r="AH512" s="33">
        <f>IF(X512&lt;=0,0,MAX(0,MIN(X512,ROUND($AZ512-SUMPRODUCT($V512:$AE512*($V512:$AE512&gt;0)*(($V$3:$AE$3&gt;X$3)+($V$3:$AE$3=X$3)*($V512:$AE512&lt;X512)+($V$3:$AE$3=X$3)*($V512:$AE512=X512)*($V$2:$AE$2&lt;X$2))),2))))</f>
      </c>
      <c r="AI512" s="33">
        <f>IF(Y512&lt;=0,0,MAX(0,MIN(Y512,ROUND($AZ512-SUMPRODUCT($V512:$AE512*($V512:$AE512&gt;0)*(($V$3:$AE$3&gt;Y$3)+($V$3:$AE$3=Y$3)*($V512:$AE512&lt;Y512)+($V$3:$AE$3=Y$3)*($V512:$AE512=Y512)*($V$2:$AE$2&lt;Y$2))),2))))</f>
      </c>
      <c r="AJ512" s="33">
        <f>IF(Z512&lt;=0,0,MAX(0,MIN(Z512,ROUND($AZ512-SUMPRODUCT($V512:$AE512*($V512:$AE512&gt;0)*(($V$3:$AE$3&gt;Z$3)+($V$3:$AE$3=Z$3)*($V512:$AE512&lt;Z512)+($V$3:$AE$3=Z$3)*($V512:$AE512=Z512)*($V$2:$AE$2&lt;Z$2))),2))))</f>
      </c>
      <c r="AK512" s="33">
        <f>IF(AA512&lt;=0,0,MAX(0,MIN(AA512,ROUND($AZ512-SUMPRODUCT($V512:$AE512*($V512:$AE512&gt;0)*(($V$3:$AE$3&gt;AA$3)+($V$3:$AE$3=AA$3)*($V512:$AE512&lt;AA512)+($V$3:$AE$3=AA$3)*($V512:$AE512=AA512)*($V$2:$AE$2&lt;AA$2))),2))))</f>
      </c>
      <c r="AL512" s="33">
        <f>IF(AB512&lt;=0,0,MAX(0,MIN(AB512,ROUND($AZ512-SUMPRODUCT($V512:$AE512*($V512:$AE512&gt;0)*(($V$3:$AE$3&gt;AB$3)+($V$3:$AE$3=AB$3)*($V512:$AE512&lt;AB512)+($V$3:$AE$3=AB$3)*($V512:$AE512=AB512)*($V$2:$AE$2&lt;AB$2))),2))))</f>
      </c>
      <c r="AM512" s="33">
        <f>IF(AC512&lt;=0,0,MAX(0,MIN(AC512,ROUND($AZ512-SUMPRODUCT($V512:$AE512*($V512:$AE512&gt;0)*(($V$3:$AE$3&gt;AC$3)+($V$3:$AE$3=AC$3)*($V512:$AE512&lt;AC512)+($V$3:$AE$3=AC$3)*($V512:$AE512=AC512)*($V$2:$AE$2&lt;AC$2))),2))))</f>
      </c>
      <c r="AN512" s="33">
        <f>IF(AD512&lt;=0,0,MAX(0,MIN(AD512,ROUND($AZ512-SUMPRODUCT($V512:$AE512*($V512:$AE512&gt;0)*(($V$3:$AE$3&gt;AD$3)+($V$3:$AE$3=AD$3)*($V512:$AE512&lt;AD512)+($V$3:$AE$3=AD$3)*($V512:$AE512=AD512)*($V$2:$AE$2&lt;AD$2))),2))))</f>
      </c>
      <c r="AO512" s="33">
        <f>IF(AE512&lt;=0,0,MAX(0,MIN(AE512,ROUND($AZ512-SUMPRODUCT($V512:$AE512*($V512:$AE512&gt;0)*(($V$3:$AE$3&gt;AE$3)+($V$3:$AE$3=AE$3)*($V512:$AE512&lt;AE512)+($V$3:$AE$3=AE$3)*($V512:$AE512=AE512)*($V$2:$AE$2&lt;AE$2))),2))))</f>
      </c>
      <c r="AP512" s="33">
        <f>ROUND(V512-AF512,2)</f>
      </c>
      <c r="AQ512" s="33">
        <f>ROUND(W512-AG512,2)</f>
      </c>
      <c r="AR512" s="33">
        <f>ROUND(X512-AH512,2)</f>
      </c>
      <c r="AS512" s="33">
        <f>ROUND(Y512-AI512,2)</f>
      </c>
      <c r="AT512" s="33">
        <f>ROUND(Z512-AJ512,2)</f>
      </c>
      <c r="AU512" s="33">
        <f>ROUND(AA512-AK512,2)</f>
      </c>
      <c r="AV512" s="33">
        <f>ROUND(AB512-AL512,2)</f>
      </c>
      <c r="AW512" s="33">
        <f>ROUND(AC512-AM512,2)</f>
      </c>
      <c r="AX512" s="33">
        <f>ROUND(AD512-AN512,2)</f>
      </c>
      <c r="AY512" s="33">
        <f>ROUND(AE512-AO512,2)</f>
      </c>
      <c r="AZ512" s="33">
        <f>ROUND(MAX(0,'Your debts'!$D$22-SUM($L512:$U512)),2)</f>
      </c>
      <c r="BA512" s="33">
        <f>ROUND(SUM($B512:$K512)-SUM($AP511:$AY511),2)</f>
      </c>
      <c r="BB512" s="33">
        <f>SUM($AP512:$AY512)</f>
      </c>
      <c r="BC512" s="33">
        <f>ROUND(SUM($L512:$U512)+SUM($AF512:$AO512),2)</f>
      </c>
    </row>
    <row r="513" spans="1:55" x14ac:dyDescent="0.25">
      <c r="A513">
        <v>506</v>
      </c>
      <c r="B513" s="33">
        <f>IF(AP512&lt;=0,0,ROUND(AP512+ROUND(AP512*V$3/12,2),2))</f>
      </c>
      <c r="C513" s="33">
        <f>IF(AQ512&lt;=0,0,ROUND(AQ512+ROUND(AQ512*W$3/12,2),2))</f>
      </c>
      <c r="D513" s="33">
        <f>IF(AR512&lt;=0,0,ROUND(AR512+ROUND(AR512*X$3/12,2),2))</f>
      </c>
      <c r="E513" s="33">
        <f>IF(AS512&lt;=0,0,ROUND(AS512+ROUND(AS512*Y$3/12,2),2))</f>
      </c>
      <c r="F513" s="33">
        <f>IF(AT512&lt;=0,0,ROUND(AT512+ROUND(AT512*Z$3/12,2),2))</f>
      </c>
      <c r="G513" s="33">
        <f>IF(AU512&lt;=0,0,ROUND(AU512+ROUND(AU512*AA$3/12,2),2))</f>
      </c>
      <c r="H513" s="33">
        <f>IF(AV512&lt;=0,0,ROUND(AV512+ROUND(AV512*AB$3/12,2),2))</f>
      </c>
      <c r="I513" s="33">
        <f>IF(AW512&lt;=0,0,ROUND(AW512+ROUND(AW512*AC$3/12,2),2))</f>
      </c>
      <c r="J513" s="33">
        <f>IF(AX512&lt;=0,0,ROUND(AX512+ROUND(AX512*AD$3/12,2),2))</f>
      </c>
      <c r="K513" s="33">
        <f>IF(AY512&lt;=0,0,ROUND(AY512+ROUND(AY512*AE$3/12,2),2))</f>
      </c>
      <c r="L513" s="33">
        <f>ROUND(MIN(MAX(0,N('Your debts'!$E$6)),B513),2)</f>
      </c>
      <c r="M513" s="33">
        <f>ROUND(MIN(MAX(0,N('Your debts'!$E$7)),C513),2)</f>
      </c>
      <c r="N513" s="33">
        <f>ROUND(MIN(MAX(0,N('Your debts'!$E$8)),D513),2)</f>
      </c>
      <c r="O513" s="33">
        <f>ROUND(MIN(MAX(0,N('Your debts'!$E$9)),E513),2)</f>
      </c>
      <c r="P513" s="33">
        <f>ROUND(MIN(MAX(0,N('Your debts'!$E$10)),F513),2)</f>
      </c>
      <c r="Q513" s="33">
        <f>ROUND(MIN(MAX(0,N('Your debts'!$E$11)),G513),2)</f>
      </c>
      <c r="R513" s="33">
        <f>ROUND(MIN(MAX(0,N('Your debts'!$E$12)),H513),2)</f>
      </c>
      <c r="S513" s="33">
        <f>ROUND(MIN(MAX(0,N('Your debts'!$E$13)),I513),2)</f>
      </c>
      <c r="T513" s="33">
        <f>ROUND(MIN(MAX(0,N('Your debts'!$E$14)),J513),2)</f>
      </c>
      <c r="U513" s="33">
        <f>ROUND(MIN(MAX(0,N('Your debts'!$E$15)),K513),2)</f>
      </c>
      <c r="V513" s="33">
        <f>ROUND(B513-L513,2)</f>
      </c>
      <c r="W513" s="33">
        <f>ROUND(C513-M513,2)</f>
      </c>
      <c r="X513" s="33">
        <f>ROUND(D513-N513,2)</f>
      </c>
      <c r="Y513" s="33">
        <f>ROUND(E513-O513,2)</f>
      </c>
      <c r="Z513" s="33">
        <f>ROUND(F513-P513,2)</f>
      </c>
      <c r="AA513" s="33">
        <f>ROUND(G513-Q513,2)</f>
      </c>
      <c r="AB513" s="33">
        <f>ROUND(H513-R513,2)</f>
      </c>
      <c r="AC513" s="33">
        <f>ROUND(I513-S513,2)</f>
      </c>
      <c r="AD513" s="33">
        <f>ROUND(J513-T513,2)</f>
      </c>
      <c r="AE513" s="33">
        <f>ROUND(K513-U513,2)</f>
      </c>
      <c r="AF513" s="33">
        <f>IF(V513&lt;=0,0,MAX(0,MIN(V513,ROUND($AZ513-SUMPRODUCT($V513:$AE513*($V513:$AE513&gt;0)*(($V$3:$AE$3&gt;V$3)+($V$3:$AE$3=V$3)*($V513:$AE513&lt;V513)+($V$3:$AE$3=V$3)*($V513:$AE513=V513)*($V$2:$AE$2&lt;V$2))),2))))</f>
      </c>
      <c r="AG513" s="33">
        <f>IF(W513&lt;=0,0,MAX(0,MIN(W513,ROUND($AZ513-SUMPRODUCT($V513:$AE513*($V513:$AE513&gt;0)*(($V$3:$AE$3&gt;W$3)+($V$3:$AE$3=W$3)*($V513:$AE513&lt;W513)+($V$3:$AE$3=W$3)*($V513:$AE513=W513)*($V$2:$AE$2&lt;W$2))),2))))</f>
      </c>
      <c r="AH513" s="33">
        <f>IF(X513&lt;=0,0,MAX(0,MIN(X513,ROUND($AZ513-SUMPRODUCT($V513:$AE513*($V513:$AE513&gt;0)*(($V$3:$AE$3&gt;X$3)+($V$3:$AE$3=X$3)*($V513:$AE513&lt;X513)+($V$3:$AE$3=X$3)*($V513:$AE513=X513)*($V$2:$AE$2&lt;X$2))),2))))</f>
      </c>
      <c r="AI513" s="33">
        <f>IF(Y513&lt;=0,0,MAX(0,MIN(Y513,ROUND($AZ513-SUMPRODUCT($V513:$AE513*($V513:$AE513&gt;0)*(($V$3:$AE$3&gt;Y$3)+($V$3:$AE$3=Y$3)*($V513:$AE513&lt;Y513)+($V$3:$AE$3=Y$3)*($V513:$AE513=Y513)*($V$2:$AE$2&lt;Y$2))),2))))</f>
      </c>
      <c r="AJ513" s="33">
        <f>IF(Z513&lt;=0,0,MAX(0,MIN(Z513,ROUND($AZ513-SUMPRODUCT($V513:$AE513*($V513:$AE513&gt;0)*(($V$3:$AE$3&gt;Z$3)+($V$3:$AE$3=Z$3)*($V513:$AE513&lt;Z513)+($V$3:$AE$3=Z$3)*($V513:$AE513=Z513)*($V$2:$AE$2&lt;Z$2))),2))))</f>
      </c>
      <c r="AK513" s="33">
        <f>IF(AA513&lt;=0,0,MAX(0,MIN(AA513,ROUND($AZ513-SUMPRODUCT($V513:$AE513*($V513:$AE513&gt;0)*(($V$3:$AE$3&gt;AA$3)+($V$3:$AE$3=AA$3)*($V513:$AE513&lt;AA513)+($V$3:$AE$3=AA$3)*($V513:$AE513=AA513)*($V$2:$AE$2&lt;AA$2))),2))))</f>
      </c>
      <c r="AL513" s="33">
        <f>IF(AB513&lt;=0,0,MAX(0,MIN(AB513,ROUND($AZ513-SUMPRODUCT($V513:$AE513*($V513:$AE513&gt;0)*(($V$3:$AE$3&gt;AB$3)+($V$3:$AE$3=AB$3)*($V513:$AE513&lt;AB513)+($V$3:$AE$3=AB$3)*($V513:$AE513=AB513)*($V$2:$AE$2&lt;AB$2))),2))))</f>
      </c>
      <c r="AM513" s="33">
        <f>IF(AC513&lt;=0,0,MAX(0,MIN(AC513,ROUND($AZ513-SUMPRODUCT($V513:$AE513*($V513:$AE513&gt;0)*(($V$3:$AE$3&gt;AC$3)+($V$3:$AE$3=AC$3)*($V513:$AE513&lt;AC513)+($V$3:$AE$3=AC$3)*($V513:$AE513=AC513)*($V$2:$AE$2&lt;AC$2))),2))))</f>
      </c>
      <c r="AN513" s="33">
        <f>IF(AD513&lt;=0,0,MAX(0,MIN(AD513,ROUND($AZ513-SUMPRODUCT($V513:$AE513*($V513:$AE513&gt;0)*(($V$3:$AE$3&gt;AD$3)+($V$3:$AE$3=AD$3)*($V513:$AE513&lt;AD513)+($V$3:$AE$3=AD$3)*($V513:$AE513=AD513)*($V$2:$AE$2&lt;AD$2))),2))))</f>
      </c>
      <c r="AO513" s="33">
        <f>IF(AE513&lt;=0,0,MAX(0,MIN(AE513,ROUND($AZ513-SUMPRODUCT($V513:$AE513*($V513:$AE513&gt;0)*(($V$3:$AE$3&gt;AE$3)+($V$3:$AE$3=AE$3)*($V513:$AE513&lt;AE513)+($V$3:$AE$3=AE$3)*($V513:$AE513=AE513)*($V$2:$AE$2&lt;AE$2))),2))))</f>
      </c>
      <c r="AP513" s="33">
        <f>ROUND(V513-AF513,2)</f>
      </c>
      <c r="AQ513" s="33">
        <f>ROUND(W513-AG513,2)</f>
      </c>
      <c r="AR513" s="33">
        <f>ROUND(X513-AH513,2)</f>
      </c>
      <c r="AS513" s="33">
        <f>ROUND(Y513-AI513,2)</f>
      </c>
      <c r="AT513" s="33">
        <f>ROUND(Z513-AJ513,2)</f>
      </c>
      <c r="AU513" s="33">
        <f>ROUND(AA513-AK513,2)</f>
      </c>
      <c r="AV513" s="33">
        <f>ROUND(AB513-AL513,2)</f>
      </c>
      <c r="AW513" s="33">
        <f>ROUND(AC513-AM513,2)</f>
      </c>
      <c r="AX513" s="33">
        <f>ROUND(AD513-AN513,2)</f>
      </c>
      <c r="AY513" s="33">
        <f>ROUND(AE513-AO513,2)</f>
      </c>
      <c r="AZ513" s="33">
        <f>ROUND(MAX(0,'Your debts'!$D$22-SUM($L513:$U513)),2)</f>
      </c>
      <c r="BA513" s="33">
        <f>ROUND(SUM($B513:$K513)-SUM($AP512:$AY512),2)</f>
      </c>
      <c r="BB513" s="33">
        <f>SUM($AP513:$AY513)</f>
      </c>
      <c r="BC513" s="33">
        <f>ROUND(SUM($L513:$U513)+SUM($AF513:$AO513),2)</f>
      </c>
    </row>
    <row r="514" spans="1:55" x14ac:dyDescent="0.25">
      <c r="A514">
        <v>507</v>
      </c>
      <c r="B514" s="33">
        <f>IF(AP513&lt;=0,0,ROUND(AP513+ROUND(AP513*V$3/12,2),2))</f>
      </c>
      <c r="C514" s="33">
        <f>IF(AQ513&lt;=0,0,ROUND(AQ513+ROUND(AQ513*W$3/12,2),2))</f>
      </c>
      <c r="D514" s="33">
        <f>IF(AR513&lt;=0,0,ROUND(AR513+ROUND(AR513*X$3/12,2),2))</f>
      </c>
      <c r="E514" s="33">
        <f>IF(AS513&lt;=0,0,ROUND(AS513+ROUND(AS513*Y$3/12,2),2))</f>
      </c>
      <c r="F514" s="33">
        <f>IF(AT513&lt;=0,0,ROUND(AT513+ROUND(AT513*Z$3/12,2),2))</f>
      </c>
      <c r="G514" s="33">
        <f>IF(AU513&lt;=0,0,ROUND(AU513+ROUND(AU513*AA$3/12,2),2))</f>
      </c>
      <c r="H514" s="33">
        <f>IF(AV513&lt;=0,0,ROUND(AV513+ROUND(AV513*AB$3/12,2),2))</f>
      </c>
      <c r="I514" s="33">
        <f>IF(AW513&lt;=0,0,ROUND(AW513+ROUND(AW513*AC$3/12,2),2))</f>
      </c>
      <c r="J514" s="33">
        <f>IF(AX513&lt;=0,0,ROUND(AX513+ROUND(AX513*AD$3/12,2),2))</f>
      </c>
      <c r="K514" s="33">
        <f>IF(AY513&lt;=0,0,ROUND(AY513+ROUND(AY513*AE$3/12,2),2))</f>
      </c>
      <c r="L514" s="33">
        <f>ROUND(MIN(MAX(0,N('Your debts'!$E$6)),B514),2)</f>
      </c>
      <c r="M514" s="33">
        <f>ROUND(MIN(MAX(0,N('Your debts'!$E$7)),C514),2)</f>
      </c>
      <c r="N514" s="33">
        <f>ROUND(MIN(MAX(0,N('Your debts'!$E$8)),D514),2)</f>
      </c>
      <c r="O514" s="33">
        <f>ROUND(MIN(MAX(0,N('Your debts'!$E$9)),E514),2)</f>
      </c>
      <c r="P514" s="33">
        <f>ROUND(MIN(MAX(0,N('Your debts'!$E$10)),F514),2)</f>
      </c>
      <c r="Q514" s="33">
        <f>ROUND(MIN(MAX(0,N('Your debts'!$E$11)),G514),2)</f>
      </c>
      <c r="R514" s="33">
        <f>ROUND(MIN(MAX(0,N('Your debts'!$E$12)),H514),2)</f>
      </c>
      <c r="S514" s="33">
        <f>ROUND(MIN(MAX(0,N('Your debts'!$E$13)),I514),2)</f>
      </c>
      <c r="T514" s="33">
        <f>ROUND(MIN(MAX(0,N('Your debts'!$E$14)),J514),2)</f>
      </c>
      <c r="U514" s="33">
        <f>ROUND(MIN(MAX(0,N('Your debts'!$E$15)),K514),2)</f>
      </c>
      <c r="V514" s="33">
        <f>ROUND(B514-L514,2)</f>
      </c>
      <c r="W514" s="33">
        <f>ROUND(C514-M514,2)</f>
      </c>
      <c r="X514" s="33">
        <f>ROUND(D514-N514,2)</f>
      </c>
      <c r="Y514" s="33">
        <f>ROUND(E514-O514,2)</f>
      </c>
      <c r="Z514" s="33">
        <f>ROUND(F514-P514,2)</f>
      </c>
      <c r="AA514" s="33">
        <f>ROUND(G514-Q514,2)</f>
      </c>
      <c r="AB514" s="33">
        <f>ROUND(H514-R514,2)</f>
      </c>
      <c r="AC514" s="33">
        <f>ROUND(I514-S514,2)</f>
      </c>
      <c r="AD514" s="33">
        <f>ROUND(J514-T514,2)</f>
      </c>
      <c r="AE514" s="33">
        <f>ROUND(K514-U514,2)</f>
      </c>
      <c r="AF514" s="33">
        <f>IF(V514&lt;=0,0,MAX(0,MIN(V514,ROUND($AZ514-SUMPRODUCT($V514:$AE514*($V514:$AE514&gt;0)*(($V$3:$AE$3&gt;V$3)+($V$3:$AE$3=V$3)*($V514:$AE514&lt;V514)+($V$3:$AE$3=V$3)*($V514:$AE514=V514)*($V$2:$AE$2&lt;V$2))),2))))</f>
      </c>
      <c r="AG514" s="33">
        <f>IF(W514&lt;=0,0,MAX(0,MIN(W514,ROUND($AZ514-SUMPRODUCT($V514:$AE514*($V514:$AE514&gt;0)*(($V$3:$AE$3&gt;W$3)+($V$3:$AE$3=W$3)*($V514:$AE514&lt;W514)+($V$3:$AE$3=W$3)*($V514:$AE514=W514)*($V$2:$AE$2&lt;W$2))),2))))</f>
      </c>
      <c r="AH514" s="33">
        <f>IF(X514&lt;=0,0,MAX(0,MIN(X514,ROUND($AZ514-SUMPRODUCT($V514:$AE514*($V514:$AE514&gt;0)*(($V$3:$AE$3&gt;X$3)+($V$3:$AE$3=X$3)*($V514:$AE514&lt;X514)+($V$3:$AE$3=X$3)*($V514:$AE514=X514)*($V$2:$AE$2&lt;X$2))),2))))</f>
      </c>
      <c r="AI514" s="33">
        <f>IF(Y514&lt;=0,0,MAX(0,MIN(Y514,ROUND($AZ514-SUMPRODUCT($V514:$AE514*($V514:$AE514&gt;0)*(($V$3:$AE$3&gt;Y$3)+($V$3:$AE$3=Y$3)*($V514:$AE514&lt;Y514)+($V$3:$AE$3=Y$3)*($V514:$AE514=Y514)*($V$2:$AE$2&lt;Y$2))),2))))</f>
      </c>
      <c r="AJ514" s="33">
        <f>IF(Z514&lt;=0,0,MAX(0,MIN(Z514,ROUND($AZ514-SUMPRODUCT($V514:$AE514*($V514:$AE514&gt;0)*(($V$3:$AE$3&gt;Z$3)+($V$3:$AE$3=Z$3)*($V514:$AE514&lt;Z514)+($V$3:$AE$3=Z$3)*($V514:$AE514=Z514)*($V$2:$AE$2&lt;Z$2))),2))))</f>
      </c>
      <c r="AK514" s="33">
        <f>IF(AA514&lt;=0,0,MAX(0,MIN(AA514,ROUND($AZ514-SUMPRODUCT($V514:$AE514*($V514:$AE514&gt;0)*(($V$3:$AE$3&gt;AA$3)+($V$3:$AE$3=AA$3)*($V514:$AE514&lt;AA514)+($V$3:$AE$3=AA$3)*($V514:$AE514=AA514)*($V$2:$AE$2&lt;AA$2))),2))))</f>
      </c>
      <c r="AL514" s="33">
        <f>IF(AB514&lt;=0,0,MAX(0,MIN(AB514,ROUND($AZ514-SUMPRODUCT($V514:$AE514*($V514:$AE514&gt;0)*(($V$3:$AE$3&gt;AB$3)+($V$3:$AE$3=AB$3)*($V514:$AE514&lt;AB514)+($V$3:$AE$3=AB$3)*($V514:$AE514=AB514)*($V$2:$AE$2&lt;AB$2))),2))))</f>
      </c>
      <c r="AM514" s="33">
        <f>IF(AC514&lt;=0,0,MAX(0,MIN(AC514,ROUND($AZ514-SUMPRODUCT($V514:$AE514*($V514:$AE514&gt;0)*(($V$3:$AE$3&gt;AC$3)+($V$3:$AE$3=AC$3)*($V514:$AE514&lt;AC514)+($V$3:$AE$3=AC$3)*($V514:$AE514=AC514)*($V$2:$AE$2&lt;AC$2))),2))))</f>
      </c>
      <c r="AN514" s="33">
        <f>IF(AD514&lt;=0,0,MAX(0,MIN(AD514,ROUND($AZ514-SUMPRODUCT($V514:$AE514*($V514:$AE514&gt;0)*(($V$3:$AE$3&gt;AD$3)+($V$3:$AE$3=AD$3)*($V514:$AE514&lt;AD514)+($V$3:$AE$3=AD$3)*($V514:$AE514=AD514)*($V$2:$AE$2&lt;AD$2))),2))))</f>
      </c>
      <c r="AO514" s="33">
        <f>IF(AE514&lt;=0,0,MAX(0,MIN(AE514,ROUND($AZ514-SUMPRODUCT($V514:$AE514*($V514:$AE514&gt;0)*(($V$3:$AE$3&gt;AE$3)+($V$3:$AE$3=AE$3)*($V514:$AE514&lt;AE514)+($V$3:$AE$3=AE$3)*($V514:$AE514=AE514)*($V$2:$AE$2&lt;AE$2))),2))))</f>
      </c>
      <c r="AP514" s="33">
        <f>ROUND(V514-AF514,2)</f>
      </c>
      <c r="AQ514" s="33">
        <f>ROUND(W514-AG514,2)</f>
      </c>
      <c r="AR514" s="33">
        <f>ROUND(X514-AH514,2)</f>
      </c>
      <c r="AS514" s="33">
        <f>ROUND(Y514-AI514,2)</f>
      </c>
      <c r="AT514" s="33">
        <f>ROUND(Z514-AJ514,2)</f>
      </c>
      <c r="AU514" s="33">
        <f>ROUND(AA514-AK514,2)</f>
      </c>
      <c r="AV514" s="33">
        <f>ROUND(AB514-AL514,2)</f>
      </c>
      <c r="AW514" s="33">
        <f>ROUND(AC514-AM514,2)</f>
      </c>
      <c r="AX514" s="33">
        <f>ROUND(AD514-AN514,2)</f>
      </c>
      <c r="AY514" s="33">
        <f>ROUND(AE514-AO514,2)</f>
      </c>
      <c r="AZ514" s="33">
        <f>ROUND(MAX(0,'Your debts'!$D$22-SUM($L514:$U514)),2)</f>
      </c>
      <c r="BA514" s="33">
        <f>ROUND(SUM($B514:$K514)-SUM($AP513:$AY513),2)</f>
      </c>
      <c r="BB514" s="33">
        <f>SUM($AP514:$AY514)</f>
      </c>
      <c r="BC514" s="33">
        <f>ROUND(SUM($L514:$U514)+SUM($AF514:$AO514),2)</f>
      </c>
    </row>
    <row r="515" spans="1:55" x14ac:dyDescent="0.25">
      <c r="A515">
        <v>508</v>
      </c>
      <c r="B515" s="33">
        <f>IF(AP514&lt;=0,0,ROUND(AP514+ROUND(AP514*V$3/12,2),2))</f>
      </c>
      <c r="C515" s="33">
        <f>IF(AQ514&lt;=0,0,ROUND(AQ514+ROUND(AQ514*W$3/12,2),2))</f>
      </c>
      <c r="D515" s="33">
        <f>IF(AR514&lt;=0,0,ROUND(AR514+ROUND(AR514*X$3/12,2),2))</f>
      </c>
      <c r="E515" s="33">
        <f>IF(AS514&lt;=0,0,ROUND(AS514+ROUND(AS514*Y$3/12,2),2))</f>
      </c>
      <c r="F515" s="33">
        <f>IF(AT514&lt;=0,0,ROUND(AT514+ROUND(AT514*Z$3/12,2),2))</f>
      </c>
      <c r="G515" s="33">
        <f>IF(AU514&lt;=0,0,ROUND(AU514+ROUND(AU514*AA$3/12,2),2))</f>
      </c>
      <c r="H515" s="33">
        <f>IF(AV514&lt;=0,0,ROUND(AV514+ROUND(AV514*AB$3/12,2),2))</f>
      </c>
      <c r="I515" s="33">
        <f>IF(AW514&lt;=0,0,ROUND(AW514+ROUND(AW514*AC$3/12,2),2))</f>
      </c>
      <c r="J515" s="33">
        <f>IF(AX514&lt;=0,0,ROUND(AX514+ROUND(AX514*AD$3/12,2),2))</f>
      </c>
      <c r="K515" s="33">
        <f>IF(AY514&lt;=0,0,ROUND(AY514+ROUND(AY514*AE$3/12,2),2))</f>
      </c>
      <c r="L515" s="33">
        <f>ROUND(MIN(MAX(0,N('Your debts'!$E$6)),B515),2)</f>
      </c>
      <c r="M515" s="33">
        <f>ROUND(MIN(MAX(0,N('Your debts'!$E$7)),C515),2)</f>
      </c>
      <c r="N515" s="33">
        <f>ROUND(MIN(MAX(0,N('Your debts'!$E$8)),D515),2)</f>
      </c>
      <c r="O515" s="33">
        <f>ROUND(MIN(MAX(0,N('Your debts'!$E$9)),E515),2)</f>
      </c>
      <c r="P515" s="33">
        <f>ROUND(MIN(MAX(0,N('Your debts'!$E$10)),F515),2)</f>
      </c>
      <c r="Q515" s="33">
        <f>ROUND(MIN(MAX(0,N('Your debts'!$E$11)),G515),2)</f>
      </c>
      <c r="R515" s="33">
        <f>ROUND(MIN(MAX(0,N('Your debts'!$E$12)),H515),2)</f>
      </c>
      <c r="S515" s="33">
        <f>ROUND(MIN(MAX(0,N('Your debts'!$E$13)),I515),2)</f>
      </c>
      <c r="T515" s="33">
        <f>ROUND(MIN(MAX(0,N('Your debts'!$E$14)),J515),2)</f>
      </c>
      <c r="U515" s="33">
        <f>ROUND(MIN(MAX(0,N('Your debts'!$E$15)),K515),2)</f>
      </c>
      <c r="V515" s="33">
        <f>ROUND(B515-L515,2)</f>
      </c>
      <c r="W515" s="33">
        <f>ROUND(C515-M515,2)</f>
      </c>
      <c r="X515" s="33">
        <f>ROUND(D515-N515,2)</f>
      </c>
      <c r="Y515" s="33">
        <f>ROUND(E515-O515,2)</f>
      </c>
      <c r="Z515" s="33">
        <f>ROUND(F515-P515,2)</f>
      </c>
      <c r="AA515" s="33">
        <f>ROUND(G515-Q515,2)</f>
      </c>
      <c r="AB515" s="33">
        <f>ROUND(H515-R515,2)</f>
      </c>
      <c r="AC515" s="33">
        <f>ROUND(I515-S515,2)</f>
      </c>
      <c r="AD515" s="33">
        <f>ROUND(J515-T515,2)</f>
      </c>
      <c r="AE515" s="33">
        <f>ROUND(K515-U515,2)</f>
      </c>
      <c r="AF515" s="33">
        <f>IF(V515&lt;=0,0,MAX(0,MIN(V515,ROUND($AZ515-SUMPRODUCT($V515:$AE515*($V515:$AE515&gt;0)*(($V$3:$AE$3&gt;V$3)+($V$3:$AE$3=V$3)*($V515:$AE515&lt;V515)+($V$3:$AE$3=V$3)*($V515:$AE515=V515)*($V$2:$AE$2&lt;V$2))),2))))</f>
      </c>
      <c r="AG515" s="33">
        <f>IF(W515&lt;=0,0,MAX(0,MIN(W515,ROUND($AZ515-SUMPRODUCT($V515:$AE515*($V515:$AE515&gt;0)*(($V$3:$AE$3&gt;W$3)+($V$3:$AE$3=W$3)*($V515:$AE515&lt;W515)+($V$3:$AE$3=W$3)*($V515:$AE515=W515)*($V$2:$AE$2&lt;W$2))),2))))</f>
      </c>
      <c r="AH515" s="33">
        <f>IF(X515&lt;=0,0,MAX(0,MIN(X515,ROUND($AZ515-SUMPRODUCT($V515:$AE515*($V515:$AE515&gt;0)*(($V$3:$AE$3&gt;X$3)+($V$3:$AE$3=X$3)*($V515:$AE515&lt;X515)+($V$3:$AE$3=X$3)*($V515:$AE515=X515)*($V$2:$AE$2&lt;X$2))),2))))</f>
      </c>
      <c r="AI515" s="33">
        <f>IF(Y515&lt;=0,0,MAX(0,MIN(Y515,ROUND($AZ515-SUMPRODUCT($V515:$AE515*($V515:$AE515&gt;0)*(($V$3:$AE$3&gt;Y$3)+($V$3:$AE$3=Y$3)*($V515:$AE515&lt;Y515)+($V$3:$AE$3=Y$3)*($V515:$AE515=Y515)*($V$2:$AE$2&lt;Y$2))),2))))</f>
      </c>
      <c r="AJ515" s="33">
        <f>IF(Z515&lt;=0,0,MAX(0,MIN(Z515,ROUND($AZ515-SUMPRODUCT($V515:$AE515*($V515:$AE515&gt;0)*(($V$3:$AE$3&gt;Z$3)+($V$3:$AE$3=Z$3)*($V515:$AE515&lt;Z515)+($V$3:$AE$3=Z$3)*($V515:$AE515=Z515)*($V$2:$AE$2&lt;Z$2))),2))))</f>
      </c>
      <c r="AK515" s="33">
        <f>IF(AA515&lt;=0,0,MAX(0,MIN(AA515,ROUND($AZ515-SUMPRODUCT($V515:$AE515*($V515:$AE515&gt;0)*(($V$3:$AE$3&gt;AA$3)+($V$3:$AE$3=AA$3)*($V515:$AE515&lt;AA515)+($V$3:$AE$3=AA$3)*($V515:$AE515=AA515)*($V$2:$AE$2&lt;AA$2))),2))))</f>
      </c>
      <c r="AL515" s="33">
        <f>IF(AB515&lt;=0,0,MAX(0,MIN(AB515,ROUND($AZ515-SUMPRODUCT($V515:$AE515*($V515:$AE515&gt;0)*(($V$3:$AE$3&gt;AB$3)+($V$3:$AE$3=AB$3)*($V515:$AE515&lt;AB515)+($V$3:$AE$3=AB$3)*($V515:$AE515=AB515)*($V$2:$AE$2&lt;AB$2))),2))))</f>
      </c>
      <c r="AM515" s="33">
        <f>IF(AC515&lt;=0,0,MAX(0,MIN(AC515,ROUND($AZ515-SUMPRODUCT($V515:$AE515*($V515:$AE515&gt;0)*(($V$3:$AE$3&gt;AC$3)+($V$3:$AE$3=AC$3)*($V515:$AE515&lt;AC515)+($V$3:$AE$3=AC$3)*($V515:$AE515=AC515)*($V$2:$AE$2&lt;AC$2))),2))))</f>
      </c>
      <c r="AN515" s="33">
        <f>IF(AD515&lt;=0,0,MAX(0,MIN(AD515,ROUND($AZ515-SUMPRODUCT($V515:$AE515*($V515:$AE515&gt;0)*(($V$3:$AE$3&gt;AD$3)+($V$3:$AE$3=AD$3)*($V515:$AE515&lt;AD515)+($V$3:$AE$3=AD$3)*($V515:$AE515=AD515)*($V$2:$AE$2&lt;AD$2))),2))))</f>
      </c>
      <c r="AO515" s="33">
        <f>IF(AE515&lt;=0,0,MAX(0,MIN(AE515,ROUND($AZ515-SUMPRODUCT($V515:$AE515*($V515:$AE515&gt;0)*(($V$3:$AE$3&gt;AE$3)+($V$3:$AE$3=AE$3)*($V515:$AE515&lt;AE515)+($V$3:$AE$3=AE$3)*($V515:$AE515=AE515)*($V$2:$AE$2&lt;AE$2))),2))))</f>
      </c>
      <c r="AP515" s="33">
        <f>ROUND(V515-AF515,2)</f>
      </c>
      <c r="AQ515" s="33">
        <f>ROUND(W515-AG515,2)</f>
      </c>
      <c r="AR515" s="33">
        <f>ROUND(X515-AH515,2)</f>
      </c>
      <c r="AS515" s="33">
        <f>ROUND(Y515-AI515,2)</f>
      </c>
      <c r="AT515" s="33">
        <f>ROUND(Z515-AJ515,2)</f>
      </c>
      <c r="AU515" s="33">
        <f>ROUND(AA515-AK515,2)</f>
      </c>
      <c r="AV515" s="33">
        <f>ROUND(AB515-AL515,2)</f>
      </c>
      <c r="AW515" s="33">
        <f>ROUND(AC515-AM515,2)</f>
      </c>
      <c r="AX515" s="33">
        <f>ROUND(AD515-AN515,2)</f>
      </c>
      <c r="AY515" s="33">
        <f>ROUND(AE515-AO515,2)</f>
      </c>
      <c r="AZ515" s="33">
        <f>ROUND(MAX(0,'Your debts'!$D$22-SUM($L515:$U515)),2)</f>
      </c>
      <c r="BA515" s="33">
        <f>ROUND(SUM($B515:$K515)-SUM($AP514:$AY514),2)</f>
      </c>
      <c r="BB515" s="33">
        <f>SUM($AP515:$AY515)</f>
      </c>
      <c r="BC515" s="33">
        <f>ROUND(SUM($L515:$U515)+SUM($AF515:$AO515),2)</f>
      </c>
    </row>
    <row r="516" spans="1:55" x14ac:dyDescent="0.25">
      <c r="A516">
        <v>509</v>
      </c>
      <c r="B516" s="33">
        <f>IF(AP515&lt;=0,0,ROUND(AP515+ROUND(AP515*V$3/12,2),2))</f>
      </c>
      <c r="C516" s="33">
        <f>IF(AQ515&lt;=0,0,ROUND(AQ515+ROUND(AQ515*W$3/12,2),2))</f>
      </c>
      <c r="D516" s="33">
        <f>IF(AR515&lt;=0,0,ROUND(AR515+ROUND(AR515*X$3/12,2),2))</f>
      </c>
      <c r="E516" s="33">
        <f>IF(AS515&lt;=0,0,ROUND(AS515+ROUND(AS515*Y$3/12,2),2))</f>
      </c>
      <c r="F516" s="33">
        <f>IF(AT515&lt;=0,0,ROUND(AT515+ROUND(AT515*Z$3/12,2),2))</f>
      </c>
      <c r="G516" s="33">
        <f>IF(AU515&lt;=0,0,ROUND(AU515+ROUND(AU515*AA$3/12,2),2))</f>
      </c>
      <c r="H516" s="33">
        <f>IF(AV515&lt;=0,0,ROUND(AV515+ROUND(AV515*AB$3/12,2),2))</f>
      </c>
      <c r="I516" s="33">
        <f>IF(AW515&lt;=0,0,ROUND(AW515+ROUND(AW515*AC$3/12,2),2))</f>
      </c>
      <c r="J516" s="33">
        <f>IF(AX515&lt;=0,0,ROUND(AX515+ROUND(AX515*AD$3/12,2),2))</f>
      </c>
      <c r="K516" s="33">
        <f>IF(AY515&lt;=0,0,ROUND(AY515+ROUND(AY515*AE$3/12,2),2))</f>
      </c>
      <c r="L516" s="33">
        <f>ROUND(MIN(MAX(0,N('Your debts'!$E$6)),B516),2)</f>
      </c>
      <c r="M516" s="33">
        <f>ROUND(MIN(MAX(0,N('Your debts'!$E$7)),C516),2)</f>
      </c>
      <c r="N516" s="33">
        <f>ROUND(MIN(MAX(0,N('Your debts'!$E$8)),D516),2)</f>
      </c>
      <c r="O516" s="33">
        <f>ROUND(MIN(MAX(0,N('Your debts'!$E$9)),E516),2)</f>
      </c>
      <c r="P516" s="33">
        <f>ROUND(MIN(MAX(0,N('Your debts'!$E$10)),F516),2)</f>
      </c>
      <c r="Q516" s="33">
        <f>ROUND(MIN(MAX(0,N('Your debts'!$E$11)),G516),2)</f>
      </c>
      <c r="R516" s="33">
        <f>ROUND(MIN(MAX(0,N('Your debts'!$E$12)),H516),2)</f>
      </c>
      <c r="S516" s="33">
        <f>ROUND(MIN(MAX(0,N('Your debts'!$E$13)),I516),2)</f>
      </c>
      <c r="T516" s="33">
        <f>ROUND(MIN(MAX(0,N('Your debts'!$E$14)),J516),2)</f>
      </c>
      <c r="U516" s="33">
        <f>ROUND(MIN(MAX(0,N('Your debts'!$E$15)),K516),2)</f>
      </c>
      <c r="V516" s="33">
        <f>ROUND(B516-L516,2)</f>
      </c>
      <c r="W516" s="33">
        <f>ROUND(C516-M516,2)</f>
      </c>
      <c r="X516" s="33">
        <f>ROUND(D516-N516,2)</f>
      </c>
      <c r="Y516" s="33">
        <f>ROUND(E516-O516,2)</f>
      </c>
      <c r="Z516" s="33">
        <f>ROUND(F516-P516,2)</f>
      </c>
      <c r="AA516" s="33">
        <f>ROUND(G516-Q516,2)</f>
      </c>
      <c r="AB516" s="33">
        <f>ROUND(H516-R516,2)</f>
      </c>
      <c r="AC516" s="33">
        <f>ROUND(I516-S516,2)</f>
      </c>
      <c r="AD516" s="33">
        <f>ROUND(J516-T516,2)</f>
      </c>
      <c r="AE516" s="33">
        <f>ROUND(K516-U516,2)</f>
      </c>
      <c r="AF516" s="33">
        <f>IF(V516&lt;=0,0,MAX(0,MIN(V516,ROUND($AZ516-SUMPRODUCT($V516:$AE516*($V516:$AE516&gt;0)*(($V$3:$AE$3&gt;V$3)+($V$3:$AE$3=V$3)*($V516:$AE516&lt;V516)+($V$3:$AE$3=V$3)*($V516:$AE516=V516)*($V$2:$AE$2&lt;V$2))),2))))</f>
      </c>
      <c r="AG516" s="33">
        <f>IF(W516&lt;=0,0,MAX(0,MIN(W516,ROUND($AZ516-SUMPRODUCT($V516:$AE516*($V516:$AE516&gt;0)*(($V$3:$AE$3&gt;W$3)+($V$3:$AE$3=W$3)*($V516:$AE516&lt;W516)+($V$3:$AE$3=W$3)*($V516:$AE516=W516)*($V$2:$AE$2&lt;W$2))),2))))</f>
      </c>
      <c r="AH516" s="33">
        <f>IF(X516&lt;=0,0,MAX(0,MIN(X516,ROUND($AZ516-SUMPRODUCT($V516:$AE516*($V516:$AE516&gt;0)*(($V$3:$AE$3&gt;X$3)+($V$3:$AE$3=X$3)*($V516:$AE516&lt;X516)+($V$3:$AE$3=X$3)*($V516:$AE516=X516)*($V$2:$AE$2&lt;X$2))),2))))</f>
      </c>
      <c r="AI516" s="33">
        <f>IF(Y516&lt;=0,0,MAX(0,MIN(Y516,ROUND($AZ516-SUMPRODUCT($V516:$AE516*($V516:$AE516&gt;0)*(($V$3:$AE$3&gt;Y$3)+($V$3:$AE$3=Y$3)*($V516:$AE516&lt;Y516)+($V$3:$AE$3=Y$3)*($V516:$AE516=Y516)*($V$2:$AE$2&lt;Y$2))),2))))</f>
      </c>
      <c r="AJ516" s="33">
        <f>IF(Z516&lt;=0,0,MAX(0,MIN(Z516,ROUND($AZ516-SUMPRODUCT($V516:$AE516*($V516:$AE516&gt;0)*(($V$3:$AE$3&gt;Z$3)+($V$3:$AE$3=Z$3)*($V516:$AE516&lt;Z516)+($V$3:$AE$3=Z$3)*($V516:$AE516=Z516)*($V$2:$AE$2&lt;Z$2))),2))))</f>
      </c>
      <c r="AK516" s="33">
        <f>IF(AA516&lt;=0,0,MAX(0,MIN(AA516,ROUND($AZ516-SUMPRODUCT($V516:$AE516*($V516:$AE516&gt;0)*(($V$3:$AE$3&gt;AA$3)+($V$3:$AE$3=AA$3)*($V516:$AE516&lt;AA516)+($V$3:$AE$3=AA$3)*($V516:$AE516=AA516)*($V$2:$AE$2&lt;AA$2))),2))))</f>
      </c>
      <c r="AL516" s="33">
        <f>IF(AB516&lt;=0,0,MAX(0,MIN(AB516,ROUND($AZ516-SUMPRODUCT($V516:$AE516*($V516:$AE516&gt;0)*(($V$3:$AE$3&gt;AB$3)+($V$3:$AE$3=AB$3)*($V516:$AE516&lt;AB516)+($V$3:$AE$3=AB$3)*($V516:$AE516=AB516)*($V$2:$AE$2&lt;AB$2))),2))))</f>
      </c>
      <c r="AM516" s="33">
        <f>IF(AC516&lt;=0,0,MAX(0,MIN(AC516,ROUND($AZ516-SUMPRODUCT($V516:$AE516*($V516:$AE516&gt;0)*(($V$3:$AE$3&gt;AC$3)+($V$3:$AE$3=AC$3)*($V516:$AE516&lt;AC516)+($V$3:$AE$3=AC$3)*($V516:$AE516=AC516)*($V$2:$AE$2&lt;AC$2))),2))))</f>
      </c>
      <c r="AN516" s="33">
        <f>IF(AD516&lt;=0,0,MAX(0,MIN(AD516,ROUND($AZ516-SUMPRODUCT($V516:$AE516*($V516:$AE516&gt;0)*(($V$3:$AE$3&gt;AD$3)+($V$3:$AE$3=AD$3)*($V516:$AE516&lt;AD516)+($V$3:$AE$3=AD$3)*($V516:$AE516=AD516)*($V$2:$AE$2&lt;AD$2))),2))))</f>
      </c>
      <c r="AO516" s="33">
        <f>IF(AE516&lt;=0,0,MAX(0,MIN(AE516,ROUND($AZ516-SUMPRODUCT($V516:$AE516*($V516:$AE516&gt;0)*(($V$3:$AE$3&gt;AE$3)+($V$3:$AE$3=AE$3)*($V516:$AE516&lt;AE516)+($V$3:$AE$3=AE$3)*($V516:$AE516=AE516)*($V$2:$AE$2&lt;AE$2))),2))))</f>
      </c>
      <c r="AP516" s="33">
        <f>ROUND(V516-AF516,2)</f>
      </c>
      <c r="AQ516" s="33">
        <f>ROUND(W516-AG516,2)</f>
      </c>
      <c r="AR516" s="33">
        <f>ROUND(X516-AH516,2)</f>
      </c>
      <c r="AS516" s="33">
        <f>ROUND(Y516-AI516,2)</f>
      </c>
      <c r="AT516" s="33">
        <f>ROUND(Z516-AJ516,2)</f>
      </c>
      <c r="AU516" s="33">
        <f>ROUND(AA516-AK516,2)</f>
      </c>
      <c r="AV516" s="33">
        <f>ROUND(AB516-AL516,2)</f>
      </c>
      <c r="AW516" s="33">
        <f>ROUND(AC516-AM516,2)</f>
      </c>
      <c r="AX516" s="33">
        <f>ROUND(AD516-AN516,2)</f>
      </c>
      <c r="AY516" s="33">
        <f>ROUND(AE516-AO516,2)</f>
      </c>
      <c r="AZ516" s="33">
        <f>ROUND(MAX(0,'Your debts'!$D$22-SUM($L516:$U516)),2)</f>
      </c>
      <c r="BA516" s="33">
        <f>ROUND(SUM($B516:$K516)-SUM($AP515:$AY515),2)</f>
      </c>
      <c r="BB516" s="33">
        <f>SUM($AP516:$AY516)</f>
      </c>
      <c r="BC516" s="33">
        <f>ROUND(SUM($L516:$U516)+SUM($AF516:$AO516),2)</f>
      </c>
    </row>
    <row r="517" spans="1:55" x14ac:dyDescent="0.25">
      <c r="A517">
        <v>510</v>
      </c>
      <c r="B517" s="33">
        <f>IF(AP516&lt;=0,0,ROUND(AP516+ROUND(AP516*V$3/12,2),2))</f>
      </c>
      <c r="C517" s="33">
        <f>IF(AQ516&lt;=0,0,ROUND(AQ516+ROUND(AQ516*W$3/12,2),2))</f>
      </c>
      <c r="D517" s="33">
        <f>IF(AR516&lt;=0,0,ROUND(AR516+ROUND(AR516*X$3/12,2),2))</f>
      </c>
      <c r="E517" s="33">
        <f>IF(AS516&lt;=0,0,ROUND(AS516+ROUND(AS516*Y$3/12,2),2))</f>
      </c>
      <c r="F517" s="33">
        <f>IF(AT516&lt;=0,0,ROUND(AT516+ROUND(AT516*Z$3/12,2),2))</f>
      </c>
      <c r="G517" s="33">
        <f>IF(AU516&lt;=0,0,ROUND(AU516+ROUND(AU516*AA$3/12,2),2))</f>
      </c>
      <c r="H517" s="33">
        <f>IF(AV516&lt;=0,0,ROUND(AV516+ROUND(AV516*AB$3/12,2),2))</f>
      </c>
      <c r="I517" s="33">
        <f>IF(AW516&lt;=0,0,ROUND(AW516+ROUND(AW516*AC$3/12,2),2))</f>
      </c>
      <c r="J517" s="33">
        <f>IF(AX516&lt;=0,0,ROUND(AX516+ROUND(AX516*AD$3/12,2),2))</f>
      </c>
      <c r="K517" s="33">
        <f>IF(AY516&lt;=0,0,ROUND(AY516+ROUND(AY516*AE$3/12,2),2))</f>
      </c>
      <c r="L517" s="33">
        <f>ROUND(MIN(MAX(0,N('Your debts'!$E$6)),B517),2)</f>
      </c>
      <c r="M517" s="33">
        <f>ROUND(MIN(MAX(0,N('Your debts'!$E$7)),C517),2)</f>
      </c>
      <c r="N517" s="33">
        <f>ROUND(MIN(MAX(0,N('Your debts'!$E$8)),D517),2)</f>
      </c>
      <c r="O517" s="33">
        <f>ROUND(MIN(MAX(0,N('Your debts'!$E$9)),E517),2)</f>
      </c>
      <c r="P517" s="33">
        <f>ROUND(MIN(MAX(0,N('Your debts'!$E$10)),F517),2)</f>
      </c>
      <c r="Q517" s="33">
        <f>ROUND(MIN(MAX(0,N('Your debts'!$E$11)),G517),2)</f>
      </c>
      <c r="R517" s="33">
        <f>ROUND(MIN(MAX(0,N('Your debts'!$E$12)),H517),2)</f>
      </c>
      <c r="S517" s="33">
        <f>ROUND(MIN(MAX(0,N('Your debts'!$E$13)),I517),2)</f>
      </c>
      <c r="T517" s="33">
        <f>ROUND(MIN(MAX(0,N('Your debts'!$E$14)),J517),2)</f>
      </c>
      <c r="U517" s="33">
        <f>ROUND(MIN(MAX(0,N('Your debts'!$E$15)),K517),2)</f>
      </c>
      <c r="V517" s="33">
        <f>ROUND(B517-L517,2)</f>
      </c>
      <c r="W517" s="33">
        <f>ROUND(C517-M517,2)</f>
      </c>
      <c r="X517" s="33">
        <f>ROUND(D517-N517,2)</f>
      </c>
      <c r="Y517" s="33">
        <f>ROUND(E517-O517,2)</f>
      </c>
      <c r="Z517" s="33">
        <f>ROUND(F517-P517,2)</f>
      </c>
      <c r="AA517" s="33">
        <f>ROUND(G517-Q517,2)</f>
      </c>
      <c r="AB517" s="33">
        <f>ROUND(H517-R517,2)</f>
      </c>
      <c r="AC517" s="33">
        <f>ROUND(I517-S517,2)</f>
      </c>
      <c r="AD517" s="33">
        <f>ROUND(J517-T517,2)</f>
      </c>
      <c r="AE517" s="33">
        <f>ROUND(K517-U517,2)</f>
      </c>
      <c r="AF517" s="33">
        <f>IF(V517&lt;=0,0,MAX(0,MIN(V517,ROUND($AZ517-SUMPRODUCT($V517:$AE517*($V517:$AE517&gt;0)*(($V$3:$AE$3&gt;V$3)+($V$3:$AE$3=V$3)*($V517:$AE517&lt;V517)+($V$3:$AE$3=V$3)*($V517:$AE517=V517)*($V$2:$AE$2&lt;V$2))),2))))</f>
      </c>
      <c r="AG517" s="33">
        <f>IF(W517&lt;=0,0,MAX(0,MIN(W517,ROUND($AZ517-SUMPRODUCT($V517:$AE517*($V517:$AE517&gt;0)*(($V$3:$AE$3&gt;W$3)+($V$3:$AE$3=W$3)*($V517:$AE517&lt;W517)+($V$3:$AE$3=W$3)*($V517:$AE517=W517)*($V$2:$AE$2&lt;W$2))),2))))</f>
      </c>
      <c r="AH517" s="33">
        <f>IF(X517&lt;=0,0,MAX(0,MIN(X517,ROUND($AZ517-SUMPRODUCT($V517:$AE517*($V517:$AE517&gt;0)*(($V$3:$AE$3&gt;X$3)+($V$3:$AE$3=X$3)*($V517:$AE517&lt;X517)+($V$3:$AE$3=X$3)*($V517:$AE517=X517)*($V$2:$AE$2&lt;X$2))),2))))</f>
      </c>
      <c r="AI517" s="33">
        <f>IF(Y517&lt;=0,0,MAX(0,MIN(Y517,ROUND($AZ517-SUMPRODUCT($V517:$AE517*($V517:$AE517&gt;0)*(($V$3:$AE$3&gt;Y$3)+($V$3:$AE$3=Y$3)*($V517:$AE517&lt;Y517)+($V$3:$AE$3=Y$3)*($V517:$AE517=Y517)*($V$2:$AE$2&lt;Y$2))),2))))</f>
      </c>
      <c r="AJ517" s="33">
        <f>IF(Z517&lt;=0,0,MAX(0,MIN(Z517,ROUND($AZ517-SUMPRODUCT($V517:$AE517*($V517:$AE517&gt;0)*(($V$3:$AE$3&gt;Z$3)+($V$3:$AE$3=Z$3)*($V517:$AE517&lt;Z517)+($V$3:$AE$3=Z$3)*($V517:$AE517=Z517)*($V$2:$AE$2&lt;Z$2))),2))))</f>
      </c>
      <c r="AK517" s="33">
        <f>IF(AA517&lt;=0,0,MAX(0,MIN(AA517,ROUND($AZ517-SUMPRODUCT($V517:$AE517*($V517:$AE517&gt;0)*(($V$3:$AE$3&gt;AA$3)+($V$3:$AE$3=AA$3)*($V517:$AE517&lt;AA517)+($V$3:$AE$3=AA$3)*($V517:$AE517=AA517)*($V$2:$AE$2&lt;AA$2))),2))))</f>
      </c>
      <c r="AL517" s="33">
        <f>IF(AB517&lt;=0,0,MAX(0,MIN(AB517,ROUND($AZ517-SUMPRODUCT($V517:$AE517*($V517:$AE517&gt;0)*(($V$3:$AE$3&gt;AB$3)+($V$3:$AE$3=AB$3)*($V517:$AE517&lt;AB517)+($V$3:$AE$3=AB$3)*($V517:$AE517=AB517)*($V$2:$AE$2&lt;AB$2))),2))))</f>
      </c>
      <c r="AM517" s="33">
        <f>IF(AC517&lt;=0,0,MAX(0,MIN(AC517,ROUND($AZ517-SUMPRODUCT($V517:$AE517*($V517:$AE517&gt;0)*(($V$3:$AE$3&gt;AC$3)+($V$3:$AE$3=AC$3)*($V517:$AE517&lt;AC517)+($V$3:$AE$3=AC$3)*($V517:$AE517=AC517)*($V$2:$AE$2&lt;AC$2))),2))))</f>
      </c>
      <c r="AN517" s="33">
        <f>IF(AD517&lt;=0,0,MAX(0,MIN(AD517,ROUND($AZ517-SUMPRODUCT($V517:$AE517*($V517:$AE517&gt;0)*(($V$3:$AE$3&gt;AD$3)+($V$3:$AE$3=AD$3)*($V517:$AE517&lt;AD517)+($V$3:$AE$3=AD$3)*($V517:$AE517=AD517)*($V$2:$AE$2&lt;AD$2))),2))))</f>
      </c>
      <c r="AO517" s="33">
        <f>IF(AE517&lt;=0,0,MAX(0,MIN(AE517,ROUND($AZ517-SUMPRODUCT($V517:$AE517*($V517:$AE517&gt;0)*(($V$3:$AE$3&gt;AE$3)+($V$3:$AE$3=AE$3)*($V517:$AE517&lt;AE517)+($V$3:$AE$3=AE$3)*($V517:$AE517=AE517)*($V$2:$AE$2&lt;AE$2))),2))))</f>
      </c>
      <c r="AP517" s="33">
        <f>ROUND(V517-AF517,2)</f>
      </c>
      <c r="AQ517" s="33">
        <f>ROUND(W517-AG517,2)</f>
      </c>
      <c r="AR517" s="33">
        <f>ROUND(X517-AH517,2)</f>
      </c>
      <c r="AS517" s="33">
        <f>ROUND(Y517-AI517,2)</f>
      </c>
      <c r="AT517" s="33">
        <f>ROUND(Z517-AJ517,2)</f>
      </c>
      <c r="AU517" s="33">
        <f>ROUND(AA517-AK517,2)</f>
      </c>
      <c r="AV517" s="33">
        <f>ROUND(AB517-AL517,2)</f>
      </c>
      <c r="AW517" s="33">
        <f>ROUND(AC517-AM517,2)</f>
      </c>
      <c r="AX517" s="33">
        <f>ROUND(AD517-AN517,2)</f>
      </c>
      <c r="AY517" s="33">
        <f>ROUND(AE517-AO517,2)</f>
      </c>
      <c r="AZ517" s="33">
        <f>ROUND(MAX(0,'Your debts'!$D$22-SUM($L517:$U517)),2)</f>
      </c>
      <c r="BA517" s="33">
        <f>ROUND(SUM($B517:$K517)-SUM($AP516:$AY516),2)</f>
      </c>
      <c r="BB517" s="33">
        <f>SUM($AP517:$AY517)</f>
      </c>
      <c r="BC517" s="33">
        <f>ROUND(SUM($L517:$U517)+SUM($AF517:$AO517),2)</f>
      </c>
    </row>
    <row r="518" spans="1:55" x14ac:dyDescent="0.25">
      <c r="A518">
        <v>511</v>
      </c>
      <c r="B518" s="33">
        <f>IF(AP517&lt;=0,0,ROUND(AP517+ROUND(AP517*V$3/12,2),2))</f>
      </c>
      <c r="C518" s="33">
        <f>IF(AQ517&lt;=0,0,ROUND(AQ517+ROUND(AQ517*W$3/12,2),2))</f>
      </c>
      <c r="D518" s="33">
        <f>IF(AR517&lt;=0,0,ROUND(AR517+ROUND(AR517*X$3/12,2),2))</f>
      </c>
      <c r="E518" s="33">
        <f>IF(AS517&lt;=0,0,ROUND(AS517+ROUND(AS517*Y$3/12,2),2))</f>
      </c>
      <c r="F518" s="33">
        <f>IF(AT517&lt;=0,0,ROUND(AT517+ROUND(AT517*Z$3/12,2),2))</f>
      </c>
      <c r="G518" s="33">
        <f>IF(AU517&lt;=0,0,ROUND(AU517+ROUND(AU517*AA$3/12,2),2))</f>
      </c>
      <c r="H518" s="33">
        <f>IF(AV517&lt;=0,0,ROUND(AV517+ROUND(AV517*AB$3/12,2),2))</f>
      </c>
      <c r="I518" s="33">
        <f>IF(AW517&lt;=0,0,ROUND(AW517+ROUND(AW517*AC$3/12,2),2))</f>
      </c>
      <c r="J518" s="33">
        <f>IF(AX517&lt;=0,0,ROUND(AX517+ROUND(AX517*AD$3/12,2),2))</f>
      </c>
      <c r="K518" s="33">
        <f>IF(AY517&lt;=0,0,ROUND(AY517+ROUND(AY517*AE$3/12,2),2))</f>
      </c>
      <c r="L518" s="33">
        <f>ROUND(MIN(MAX(0,N('Your debts'!$E$6)),B518),2)</f>
      </c>
      <c r="M518" s="33">
        <f>ROUND(MIN(MAX(0,N('Your debts'!$E$7)),C518),2)</f>
      </c>
      <c r="N518" s="33">
        <f>ROUND(MIN(MAX(0,N('Your debts'!$E$8)),D518),2)</f>
      </c>
      <c r="O518" s="33">
        <f>ROUND(MIN(MAX(0,N('Your debts'!$E$9)),E518),2)</f>
      </c>
      <c r="P518" s="33">
        <f>ROUND(MIN(MAX(0,N('Your debts'!$E$10)),F518),2)</f>
      </c>
      <c r="Q518" s="33">
        <f>ROUND(MIN(MAX(0,N('Your debts'!$E$11)),G518),2)</f>
      </c>
      <c r="R518" s="33">
        <f>ROUND(MIN(MAX(0,N('Your debts'!$E$12)),H518),2)</f>
      </c>
      <c r="S518" s="33">
        <f>ROUND(MIN(MAX(0,N('Your debts'!$E$13)),I518),2)</f>
      </c>
      <c r="T518" s="33">
        <f>ROUND(MIN(MAX(0,N('Your debts'!$E$14)),J518),2)</f>
      </c>
      <c r="U518" s="33">
        <f>ROUND(MIN(MAX(0,N('Your debts'!$E$15)),K518),2)</f>
      </c>
      <c r="V518" s="33">
        <f>ROUND(B518-L518,2)</f>
      </c>
      <c r="W518" s="33">
        <f>ROUND(C518-M518,2)</f>
      </c>
      <c r="X518" s="33">
        <f>ROUND(D518-N518,2)</f>
      </c>
      <c r="Y518" s="33">
        <f>ROUND(E518-O518,2)</f>
      </c>
      <c r="Z518" s="33">
        <f>ROUND(F518-P518,2)</f>
      </c>
      <c r="AA518" s="33">
        <f>ROUND(G518-Q518,2)</f>
      </c>
      <c r="AB518" s="33">
        <f>ROUND(H518-R518,2)</f>
      </c>
      <c r="AC518" s="33">
        <f>ROUND(I518-S518,2)</f>
      </c>
      <c r="AD518" s="33">
        <f>ROUND(J518-T518,2)</f>
      </c>
      <c r="AE518" s="33">
        <f>ROUND(K518-U518,2)</f>
      </c>
      <c r="AF518" s="33">
        <f>IF(V518&lt;=0,0,MAX(0,MIN(V518,ROUND($AZ518-SUMPRODUCT($V518:$AE518*($V518:$AE518&gt;0)*(($V$3:$AE$3&gt;V$3)+($V$3:$AE$3=V$3)*($V518:$AE518&lt;V518)+($V$3:$AE$3=V$3)*($V518:$AE518=V518)*($V$2:$AE$2&lt;V$2))),2))))</f>
      </c>
      <c r="AG518" s="33">
        <f>IF(W518&lt;=0,0,MAX(0,MIN(W518,ROUND($AZ518-SUMPRODUCT($V518:$AE518*($V518:$AE518&gt;0)*(($V$3:$AE$3&gt;W$3)+($V$3:$AE$3=W$3)*($V518:$AE518&lt;W518)+($V$3:$AE$3=W$3)*($V518:$AE518=W518)*($V$2:$AE$2&lt;W$2))),2))))</f>
      </c>
      <c r="AH518" s="33">
        <f>IF(X518&lt;=0,0,MAX(0,MIN(X518,ROUND($AZ518-SUMPRODUCT($V518:$AE518*($V518:$AE518&gt;0)*(($V$3:$AE$3&gt;X$3)+($V$3:$AE$3=X$3)*($V518:$AE518&lt;X518)+($V$3:$AE$3=X$3)*($V518:$AE518=X518)*($V$2:$AE$2&lt;X$2))),2))))</f>
      </c>
      <c r="AI518" s="33">
        <f>IF(Y518&lt;=0,0,MAX(0,MIN(Y518,ROUND($AZ518-SUMPRODUCT($V518:$AE518*($V518:$AE518&gt;0)*(($V$3:$AE$3&gt;Y$3)+($V$3:$AE$3=Y$3)*($V518:$AE518&lt;Y518)+($V$3:$AE$3=Y$3)*($V518:$AE518=Y518)*($V$2:$AE$2&lt;Y$2))),2))))</f>
      </c>
      <c r="AJ518" s="33">
        <f>IF(Z518&lt;=0,0,MAX(0,MIN(Z518,ROUND($AZ518-SUMPRODUCT($V518:$AE518*($V518:$AE518&gt;0)*(($V$3:$AE$3&gt;Z$3)+($V$3:$AE$3=Z$3)*($V518:$AE518&lt;Z518)+($V$3:$AE$3=Z$3)*($V518:$AE518=Z518)*($V$2:$AE$2&lt;Z$2))),2))))</f>
      </c>
      <c r="AK518" s="33">
        <f>IF(AA518&lt;=0,0,MAX(0,MIN(AA518,ROUND($AZ518-SUMPRODUCT($V518:$AE518*($V518:$AE518&gt;0)*(($V$3:$AE$3&gt;AA$3)+($V$3:$AE$3=AA$3)*($V518:$AE518&lt;AA518)+($V$3:$AE$3=AA$3)*($V518:$AE518=AA518)*($V$2:$AE$2&lt;AA$2))),2))))</f>
      </c>
      <c r="AL518" s="33">
        <f>IF(AB518&lt;=0,0,MAX(0,MIN(AB518,ROUND($AZ518-SUMPRODUCT($V518:$AE518*($V518:$AE518&gt;0)*(($V$3:$AE$3&gt;AB$3)+($V$3:$AE$3=AB$3)*($V518:$AE518&lt;AB518)+($V$3:$AE$3=AB$3)*($V518:$AE518=AB518)*($V$2:$AE$2&lt;AB$2))),2))))</f>
      </c>
      <c r="AM518" s="33">
        <f>IF(AC518&lt;=0,0,MAX(0,MIN(AC518,ROUND($AZ518-SUMPRODUCT($V518:$AE518*($V518:$AE518&gt;0)*(($V$3:$AE$3&gt;AC$3)+($V$3:$AE$3=AC$3)*($V518:$AE518&lt;AC518)+($V$3:$AE$3=AC$3)*($V518:$AE518=AC518)*($V$2:$AE$2&lt;AC$2))),2))))</f>
      </c>
      <c r="AN518" s="33">
        <f>IF(AD518&lt;=0,0,MAX(0,MIN(AD518,ROUND($AZ518-SUMPRODUCT($V518:$AE518*($V518:$AE518&gt;0)*(($V$3:$AE$3&gt;AD$3)+($V$3:$AE$3=AD$3)*($V518:$AE518&lt;AD518)+($V$3:$AE$3=AD$3)*($V518:$AE518=AD518)*($V$2:$AE$2&lt;AD$2))),2))))</f>
      </c>
      <c r="AO518" s="33">
        <f>IF(AE518&lt;=0,0,MAX(0,MIN(AE518,ROUND($AZ518-SUMPRODUCT($V518:$AE518*($V518:$AE518&gt;0)*(($V$3:$AE$3&gt;AE$3)+($V$3:$AE$3=AE$3)*($V518:$AE518&lt;AE518)+($V$3:$AE$3=AE$3)*($V518:$AE518=AE518)*($V$2:$AE$2&lt;AE$2))),2))))</f>
      </c>
      <c r="AP518" s="33">
        <f>ROUND(V518-AF518,2)</f>
      </c>
      <c r="AQ518" s="33">
        <f>ROUND(W518-AG518,2)</f>
      </c>
      <c r="AR518" s="33">
        <f>ROUND(X518-AH518,2)</f>
      </c>
      <c r="AS518" s="33">
        <f>ROUND(Y518-AI518,2)</f>
      </c>
      <c r="AT518" s="33">
        <f>ROUND(Z518-AJ518,2)</f>
      </c>
      <c r="AU518" s="33">
        <f>ROUND(AA518-AK518,2)</f>
      </c>
      <c r="AV518" s="33">
        <f>ROUND(AB518-AL518,2)</f>
      </c>
      <c r="AW518" s="33">
        <f>ROUND(AC518-AM518,2)</f>
      </c>
      <c r="AX518" s="33">
        <f>ROUND(AD518-AN518,2)</f>
      </c>
      <c r="AY518" s="33">
        <f>ROUND(AE518-AO518,2)</f>
      </c>
      <c r="AZ518" s="33">
        <f>ROUND(MAX(0,'Your debts'!$D$22-SUM($L518:$U518)),2)</f>
      </c>
      <c r="BA518" s="33">
        <f>ROUND(SUM($B518:$K518)-SUM($AP517:$AY517),2)</f>
      </c>
      <c r="BB518" s="33">
        <f>SUM($AP518:$AY518)</f>
      </c>
      <c r="BC518" s="33">
        <f>ROUND(SUM($L518:$U518)+SUM($AF518:$AO518),2)</f>
      </c>
    </row>
    <row r="519" spans="1:55" x14ac:dyDescent="0.25">
      <c r="A519">
        <v>512</v>
      </c>
      <c r="B519" s="33">
        <f>IF(AP518&lt;=0,0,ROUND(AP518+ROUND(AP518*V$3/12,2),2))</f>
      </c>
      <c r="C519" s="33">
        <f>IF(AQ518&lt;=0,0,ROUND(AQ518+ROUND(AQ518*W$3/12,2),2))</f>
      </c>
      <c r="D519" s="33">
        <f>IF(AR518&lt;=0,0,ROUND(AR518+ROUND(AR518*X$3/12,2),2))</f>
      </c>
      <c r="E519" s="33">
        <f>IF(AS518&lt;=0,0,ROUND(AS518+ROUND(AS518*Y$3/12,2),2))</f>
      </c>
      <c r="F519" s="33">
        <f>IF(AT518&lt;=0,0,ROUND(AT518+ROUND(AT518*Z$3/12,2),2))</f>
      </c>
      <c r="G519" s="33">
        <f>IF(AU518&lt;=0,0,ROUND(AU518+ROUND(AU518*AA$3/12,2),2))</f>
      </c>
      <c r="H519" s="33">
        <f>IF(AV518&lt;=0,0,ROUND(AV518+ROUND(AV518*AB$3/12,2),2))</f>
      </c>
      <c r="I519" s="33">
        <f>IF(AW518&lt;=0,0,ROUND(AW518+ROUND(AW518*AC$3/12,2),2))</f>
      </c>
      <c r="J519" s="33">
        <f>IF(AX518&lt;=0,0,ROUND(AX518+ROUND(AX518*AD$3/12,2),2))</f>
      </c>
      <c r="K519" s="33">
        <f>IF(AY518&lt;=0,0,ROUND(AY518+ROUND(AY518*AE$3/12,2),2))</f>
      </c>
      <c r="L519" s="33">
        <f>ROUND(MIN(MAX(0,N('Your debts'!$E$6)),B519),2)</f>
      </c>
      <c r="M519" s="33">
        <f>ROUND(MIN(MAX(0,N('Your debts'!$E$7)),C519),2)</f>
      </c>
      <c r="N519" s="33">
        <f>ROUND(MIN(MAX(0,N('Your debts'!$E$8)),D519),2)</f>
      </c>
      <c r="O519" s="33">
        <f>ROUND(MIN(MAX(0,N('Your debts'!$E$9)),E519),2)</f>
      </c>
      <c r="P519" s="33">
        <f>ROUND(MIN(MAX(0,N('Your debts'!$E$10)),F519),2)</f>
      </c>
      <c r="Q519" s="33">
        <f>ROUND(MIN(MAX(0,N('Your debts'!$E$11)),G519),2)</f>
      </c>
      <c r="R519" s="33">
        <f>ROUND(MIN(MAX(0,N('Your debts'!$E$12)),H519),2)</f>
      </c>
      <c r="S519" s="33">
        <f>ROUND(MIN(MAX(0,N('Your debts'!$E$13)),I519),2)</f>
      </c>
      <c r="T519" s="33">
        <f>ROUND(MIN(MAX(0,N('Your debts'!$E$14)),J519),2)</f>
      </c>
      <c r="U519" s="33">
        <f>ROUND(MIN(MAX(0,N('Your debts'!$E$15)),K519),2)</f>
      </c>
      <c r="V519" s="33">
        <f>ROUND(B519-L519,2)</f>
      </c>
      <c r="W519" s="33">
        <f>ROUND(C519-M519,2)</f>
      </c>
      <c r="X519" s="33">
        <f>ROUND(D519-N519,2)</f>
      </c>
      <c r="Y519" s="33">
        <f>ROUND(E519-O519,2)</f>
      </c>
      <c r="Z519" s="33">
        <f>ROUND(F519-P519,2)</f>
      </c>
      <c r="AA519" s="33">
        <f>ROUND(G519-Q519,2)</f>
      </c>
      <c r="AB519" s="33">
        <f>ROUND(H519-R519,2)</f>
      </c>
      <c r="AC519" s="33">
        <f>ROUND(I519-S519,2)</f>
      </c>
      <c r="AD519" s="33">
        <f>ROUND(J519-T519,2)</f>
      </c>
      <c r="AE519" s="33">
        <f>ROUND(K519-U519,2)</f>
      </c>
      <c r="AF519" s="33">
        <f>IF(V519&lt;=0,0,MAX(0,MIN(V519,ROUND($AZ519-SUMPRODUCT($V519:$AE519*($V519:$AE519&gt;0)*(($V$3:$AE$3&gt;V$3)+($V$3:$AE$3=V$3)*($V519:$AE519&lt;V519)+($V$3:$AE$3=V$3)*($V519:$AE519=V519)*($V$2:$AE$2&lt;V$2))),2))))</f>
      </c>
      <c r="AG519" s="33">
        <f>IF(W519&lt;=0,0,MAX(0,MIN(W519,ROUND($AZ519-SUMPRODUCT($V519:$AE519*($V519:$AE519&gt;0)*(($V$3:$AE$3&gt;W$3)+($V$3:$AE$3=W$3)*($V519:$AE519&lt;W519)+($V$3:$AE$3=W$3)*($V519:$AE519=W519)*($V$2:$AE$2&lt;W$2))),2))))</f>
      </c>
      <c r="AH519" s="33">
        <f>IF(X519&lt;=0,0,MAX(0,MIN(X519,ROUND($AZ519-SUMPRODUCT($V519:$AE519*($V519:$AE519&gt;0)*(($V$3:$AE$3&gt;X$3)+($V$3:$AE$3=X$3)*($V519:$AE519&lt;X519)+($V$3:$AE$3=X$3)*($V519:$AE519=X519)*($V$2:$AE$2&lt;X$2))),2))))</f>
      </c>
      <c r="AI519" s="33">
        <f>IF(Y519&lt;=0,0,MAX(0,MIN(Y519,ROUND($AZ519-SUMPRODUCT($V519:$AE519*($V519:$AE519&gt;0)*(($V$3:$AE$3&gt;Y$3)+($V$3:$AE$3=Y$3)*($V519:$AE519&lt;Y519)+($V$3:$AE$3=Y$3)*($V519:$AE519=Y519)*($V$2:$AE$2&lt;Y$2))),2))))</f>
      </c>
      <c r="AJ519" s="33">
        <f>IF(Z519&lt;=0,0,MAX(0,MIN(Z519,ROUND($AZ519-SUMPRODUCT($V519:$AE519*($V519:$AE519&gt;0)*(($V$3:$AE$3&gt;Z$3)+($V$3:$AE$3=Z$3)*($V519:$AE519&lt;Z519)+($V$3:$AE$3=Z$3)*($V519:$AE519=Z519)*($V$2:$AE$2&lt;Z$2))),2))))</f>
      </c>
      <c r="AK519" s="33">
        <f>IF(AA519&lt;=0,0,MAX(0,MIN(AA519,ROUND($AZ519-SUMPRODUCT($V519:$AE519*($V519:$AE519&gt;0)*(($V$3:$AE$3&gt;AA$3)+($V$3:$AE$3=AA$3)*($V519:$AE519&lt;AA519)+($V$3:$AE$3=AA$3)*($V519:$AE519=AA519)*($V$2:$AE$2&lt;AA$2))),2))))</f>
      </c>
      <c r="AL519" s="33">
        <f>IF(AB519&lt;=0,0,MAX(0,MIN(AB519,ROUND($AZ519-SUMPRODUCT($V519:$AE519*($V519:$AE519&gt;0)*(($V$3:$AE$3&gt;AB$3)+($V$3:$AE$3=AB$3)*($V519:$AE519&lt;AB519)+($V$3:$AE$3=AB$3)*($V519:$AE519=AB519)*($V$2:$AE$2&lt;AB$2))),2))))</f>
      </c>
      <c r="AM519" s="33">
        <f>IF(AC519&lt;=0,0,MAX(0,MIN(AC519,ROUND($AZ519-SUMPRODUCT($V519:$AE519*($V519:$AE519&gt;0)*(($V$3:$AE$3&gt;AC$3)+($V$3:$AE$3=AC$3)*($V519:$AE519&lt;AC519)+($V$3:$AE$3=AC$3)*($V519:$AE519=AC519)*($V$2:$AE$2&lt;AC$2))),2))))</f>
      </c>
      <c r="AN519" s="33">
        <f>IF(AD519&lt;=0,0,MAX(0,MIN(AD519,ROUND($AZ519-SUMPRODUCT($V519:$AE519*($V519:$AE519&gt;0)*(($V$3:$AE$3&gt;AD$3)+($V$3:$AE$3=AD$3)*($V519:$AE519&lt;AD519)+($V$3:$AE$3=AD$3)*($V519:$AE519=AD519)*($V$2:$AE$2&lt;AD$2))),2))))</f>
      </c>
      <c r="AO519" s="33">
        <f>IF(AE519&lt;=0,0,MAX(0,MIN(AE519,ROUND($AZ519-SUMPRODUCT($V519:$AE519*($V519:$AE519&gt;0)*(($V$3:$AE$3&gt;AE$3)+($V$3:$AE$3=AE$3)*($V519:$AE519&lt;AE519)+($V$3:$AE$3=AE$3)*($V519:$AE519=AE519)*($V$2:$AE$2&lt;AE$2))),2))))</f>
      </c>
      <c r="AP519" s="33">
        <f>ROUND(V519-AF519,2)</f>
      </c>
      <c r="AQ519" s="33">
        <f>ROUND(W519-AG519,2)</f>
      </c>
      <c r="AR519" s="33">
        <f>ROUND(X519-AH519,2)</f>
      </c>
      <c r="AS519" s="33">
        <f>ROUND(Y519-AI519,2)</f>
      </c>
      <c r="AT519" s="33">
        <f>ROUND(Z519-AJ519,2)</f>
      </c>
      <c r="AU519" s="33">
        <f>ROUND(AA519-AK519,2)</f>
      </c>
      <c r="AV519" s="33">
        <f>ROUND(AB519-AL519,2)</f>
      </c>
      <c r="AW519" s="33">
        <f>ROUND(AC519-AM519,2)</f>
      </c>
      <c r="AX519" s="33">
        <f>ROUND(AD519-AN519,2)</f>
      </c>
      <c r="AY519" s="33">
        <f>ROUND(AE519-AO519,2)</f>
      </c>
      <c r="AZ519" s="33">
        <f>ROUND(MAX(0,'Your debts'!$D$22-SUM($L519:$U519)),2)</f>
      </c>
      <c r="BA519" s="33">
        <f>ROUND(SUM($B519:$K519)-SUM($AP518:$AY518),2)</f>
      </c>
      <c r="BB519" s="33">
        <f>SUM($AP519:$AY519)</f>
      </c>
      <c r="BC519" s="33">
        <f>ROUND(SUM($L519:$U519)+SUM($AF519:$AO519),2)</f>
      </c>
    </row>
    <row r="520" spans="1:55" x14ac:dyDescent="0.25">
      <c r="A520">
        <v>513</v>
      </c>
      <c r="B520" s="33">
        <f>IF(AP519&lt;=0,0,ROUND(AP519+ROUND(AP519*V$3/12,2),2))</f>
      </c>
      <c r="C520" s="33">
        <f>IF(AQ519&lt;=0,0,ROUND(AQ519+ROUND(AQ519*W$3/12,2),2))</f>
      </c>
      <c r="D520" s="33">
        <f>IF(AR519&lt;=0,0,ROUND(AR519+ROUND(AR519*X$3/12,2),2))</f>
      </c>
      <c r="E520" s="33">
        <f>IF(AS519&lt;=0,0,ROUND(AS519+ROUND(AS519*Y$3/12,2),2))</f>
      </c>
      <c r="F520" s="33">
        <f>IF(AT519&lt;=0,0,ROUND(AT519+ROUND(AT519*Z$3/12,2),2))</f>
      </c>
      <c r="G520" s="33">
        <f>IF(AU519&lt;=0,0,ROUND(AU519+ROUND(AU519*AA$3/12,2),2))</f>
      </c>
      <c r="H520" s="33">
        <f>IF(AV519&lt;=0,0,ROUND(AV519+ROUND(AV519*AB$3/12,2),2))</f>
      </c>
      <c r="I520" s="33">
        <f>IF(AW519&lt;=0,0,ROUND(AW519+ROUND(AW519*AC$3/12,2),2))</f>
      </c>
      <c r="J520" s="33">
        <f>IF(AX519&lt;=0,0,ROUND(AX519+ROUND(AX519*AD$3/12,2),2))</f>
      </c>
      <c r="K520" s="33">
        <f>IF(AY519&lt;=0,0,ROUND(AY519+ROUND(AY519*AE$3/12,2),2))</f>
      </c>
      <c r="L520" s="33">
        <f>ROUND(MIN(MAX(0,N('Your debts'!$E$6)),B520),2)</f>
      </c>
      <c r="M520" s="33">
        <f>ROUND(MIN(MAX(0,N('Your debts'!$E$7)),C520),2)</f>
      </c>
      <c r="N520" s="33">
        <f>ROUND(MIN(MAX(0,N('Your debts'!$E$8)),D520),2)</f>
      </c>
      <c r="O520" s="33">
        <f>ROUND(MIN(MAX(0,N('Your debts'!$E$9)),E520),2)</f>
      </c>
      <c r="P520" s="33">
        <f>ROUND(MIN(MAX(0,N('Your debts'!$E$10)),F520),2)</f>
      </c>
      <c r="Q520" s="33">
        <f>ROUND(MIN(MAX(0,N('Your debts'!$E$11)),G520),2)</f>
      </c>
      <c r="R520" s="33">
        <f>ROUND(MIN(MAX(0,N('Your debts'!$E$12)),H520),2)</f>
      </c>
      <c r="S520" s="33">
        <f>ROUND(MIN(MAX(0,N('Your debts'!$E$13)),I520),2)</f>
      </c>
      <c r="T520" s="33">
        <f>ROUND(MIN(MAX(0,N('Your debts'!$E$14)),J520),2)</f>
      </c>
      <c r="U520" s="33">
        <f>ROUND(MIN(MAX(0,N('Your debts'!$E$15)),K520),2)</f>
      </c>
      <c r="V520" s="33">
        <f>ROUND(B520-L520,2)</f>
      </c>
      <c r="W520" s="33">
        <f>ROUND(C520-M520,2)</f>
      </c>
      <c r="X520" s="33">
        <f>ROUND(D520-N520,2)</f>
      </c>
      <c r="Y520" s="33">
        <f>ROUND(E520-O520,2)</f>
      </c>
      <c r="Z520" s="33">
        <f>ROUND(F520-P520,2)</f>
      </c>
      <c r="AA520" s="33">
        <f>ROUND(G520-Q520,2)</f>
      </c>
      <c r="AB520" s="33">
        <f>ROUND(H520-R520,2)</f>
      </c>
      <c r="AC520" s="33">
        <f>ROUND(I520-S520,2)</f>
      </c>
      <c r="AD520" s="33">
        <f>ROUND(J520-T520,2)</f>
      </c>
      <c r="AE520" s="33">
        <f>ROUND(K520-U520,2)</f>
      </c>
      <c r="AF520" s="33">
        <f>IF(V520&lt;=0,0,MAX(0,MIN(V520,ROUND($AZ520-SUMPRODUCT($V520:$AE520*($V520:$AE520&gt;0)*(($V$3:$AE$3&gt;V$3)+($V$3:$AE$3=V$3)*($V520:$AE520&lt;V520)+($V$3:$AE$3=V$3)*($V520:$AE520=V520)*($V$2:$AE$2&lt;V$2))),2))))</f>
      </c>
      <c r="AG520" s="33">
        <f>IF(W520&lt;=0,0,MAX(0,MIN(W520,ROUND($AZ520-SUMPRODUCT($V520:$AE520*($V520:$AE520&gt;0)*(($V$3:$AE$3&gt;W$3)+($V$3:$AE$3=W$3)*($V520:$AE520&lt;W520)+($V$3:$AE$3=W$3)*($V520:$AE520=W520)*($V$2:$AE$2&lt;W$2))),2))))</f>
      </c>
      <c r="AH520" s="33">
        <f>IF(X520&lt;=0,0,MAX(0,MIN(X520,ROUND($AZ520-SUMPRODUCT($V520:$AE520*($V520:$AE520&gt;0)*(($V$3:$AE$3&gt;X$3)+($V$3:$AE$3=X$3)*($V520:$AE520&lt;X520)+($V$3:$AE$3=X$3)*($V520:$AE520=X520)*($V$2:$AE$2&lt;X$2))),2))))</f>
      </c>
      <c r="AI520" s="33">
        <f>IF(Y520&lt;=0,0,MAX(0,MIN(Y520,ROUND($AZ520-SUMPRODUCT($V520:$AE520*($V520:$AE520&gt;0)*(($V$3:$AE$3&gt;Y$3)+($V$3:$AE$3=Y$3)*($V520:$AE520&lt;Y520)+($V$3:$AE$3=Y$3)*($V520:$AE520=Y520)*($V$2:$AE$2&lt;Y$2))),2))))</f>
      </c>
      <c r="AJ520" s="33">
        <f>IF(Z520&lt;=0,0,MAX(0,MIN(Z520,ROUND($AZ520-SUMPRODUCT($V520:$AE520*($V520:$AE520&gt;0)*(($V$3:$AE$3&gt;Z$3)+($V$3:$AE$3=Z$3)*($V520:$AE520&lt;Z520)+($V$3:$AE$3=Z$3)*($V520:$AE520=Z520)*($V$2:$AE$2&lt;Z$2))),2))))</f>
      </c>
      <c r="AK520" s="33">
        <f>IF(AA520&lt;=0,0,MAX(0,MIN(AA520,ROUND($AZ520-SUMPRODUCT($V520:$AE520*($V520:$AE520&gt;0)*(($V$3:$AE$3&gt;AA$3)+($V$3:$AE$3=AA$3)*($V520:$AE520&lt;AA520)+($V$3:$AE$3=AA$3)*($V520:$AE520=AA520)*($V$2:$AE$2&lt;AA$2))),2))))</f>
      </c>
      <c r="AL520" s="33">
        <f>IF(AB520&lt;=0,0,MAX(0,MIN(AB520,ROUND($AZ520-SUMPRODUCT($V520:$AE520*($V520:$AE520&gt;0)*(($V$3:$AE$3&gt;AB$3)+($V$3:$AE$3=AB$3)*($V520:$AE520&lt;AB520)+($V$3:$AE$3=AB$3)*($V520:$AE520=AB520)*($V$2:$AE$2&lt;AB$2))),2))))</f>
      </c>
      <c r="AM520" s="33">
        <f>IF(AC520&lt;=0,0,MAX(0,MIN(AC520,ROUND($AZ520-SUMPRODUCT($V520:$AE520*($V520:$AE520&gt;0)*(($V$3:$AE$3&gt;AC$3)+($V$3:$AE$3=AC$3)*($V520:$AE520&lt;AC520)+($V$3:$AE$3=AC$3)*($V520:$AE520=AC520)*($V$2:$AE$2&lt;AC$2))),2))))</f>
      </c>
      <c r="AN520" s="33">
        <f>IF(AD520&lt;=0,0,MAX(0,MIN(AD520,ROUND($AZ520-SUMPRODUCT($V520:$AE520*($V520:$AE520&gt;0)*(($V$3:$AE$3&gt;AD$3)+($V$3:$AE$3=AD$3)*($V520:$AE520&lt;AD520)+($V$3:$AE$3=AD$3)*($V520:$AE520=AD520)*($V$2:$AE$2&lt;AD$2))),2))))</f>
      </c>
      <c r="AO520" s="33">
        <f>IF(AE520&lt;=0,0,MAX(0,MIN(AE520,ROUND($AZ520-SUMPRODUCT($V520:$AE520*($V520:$AE520&gt;0)*(($V$3:$AE$3&gt;AE$3)+($V$3:$AE$3=AE$3)*($V520:$AE520&lt;AE520)+($V$3:$AE$3=AE$3)*($V520:$AE520=AE520)*($V$2:$AE$2&lt;AE$2))),2))))</f>
      </c>
      <c r="AP520" s="33">
        <f>ROUND(V520-AF520,2)</f>
      </c>
      <c r="AQ520" s="33">
        <f>ROUND(W520-AG520,2)</f>
      </c>
      <c r="AR520" s="33">
        <f>ROUND(X520-AH520,2)</f>
      </c>
      <c r="AS520" s="33">
        <f>ROUND(Y520-AI520,2)</f>
      </c>
      <c r="AT520" s="33">
        <f>ROUND(Z520-AJ520,2)</f>
      </c>
      <c r="AU520" s="33">
        <f>ROUND(AA520-AK520,2)</f>
      </c>
      <c r="AV520" s="33">
        <f>ROUND(AB520-AL520,2)</f>
      </c>
      <c r="AW520" s="33">
        <f>ROUND(AC520-AM520,2)</f>
      </c>
      <c r="AX520" s="33">
        <f>ROUND(AD520-AN520,2)</f>
      </c>
      <c r="AY520" s="33">
        <f>ROUND(AE520-AO520,2)</f>
      </c>
      <c r="AZ520" s="33">
        <f>ROUND(MAX(0,'Your debts'!$D$22-SUM($L520:$U520)),2)</f>
      </c>
      <c r="BA520" s="33">
        <f>ROUND(SUM($B520:$K520)-SUM($AP519:$AY519),2)</f>
      </c>
      <c r="BB520" s="33">
        <f>SUM($AP520:$AY520)</f>
      </c>
      <c r="BC520" s="33">
        <f>ROUND(SUM($L520:$U520)+SUM($AF520:$AO520),2)</f>
      </c>
    </row>
    <row r="521" spans="1:55" x14ac:dyDescent="0.25">
      <c r="A521">
        <v>514</v>
      </c>
      <c r="B521" s="33">
        <f>IF(AP520&lt;=0,0,ROUND(AP520+ROUND(AP520*V$3/12,2),2))</f>
      </c>
      <c r="C521" s="33">
        <f>IF(AQ520&lt;=0,0,ROUND(AQ520+ROUND(AQ520*W$3/12,2),2))</f>
      </c>
      <c r="D521" s="33">
        <f>IF(AR520&lt;=0,0,ROUND(AR520+ROUND(AR520*X$3/12,2),2))</f>
      </c>
      <c r="E521" s="33">
        <f>IF(AS520&lt;=0,0,ROUND(AS520+ROUND(AS520*Y$3/12,2),2))</f>
      </c>
      <c r="F521" s="33">
        <f>IF(AT520&lt;=0,0,ROUND(AT520+ROUND(AT520*Z$3/12,2),2))</f>
      </c>
      <c r="G521" s="33">
        <f>IF(AU520&lt;=0,0,ROUND(AU520+ROUND(AU520*AA$3/12,2),2))</f>
      </c>
      <c r="H521" s="33">
        <f>IF(AV520&lt;=0,0,ROUND(AV520+ROUND(AV520*AB$3/12,2),2))</f>
      </c>
      <c r="I521" s="33">
        <f>IF(AW520&lt;=0,0,ROUND(AW520+ROUND(AW520*AC$3/12,2),2))</f>
      </c>
      <c r="J521" s="33">
        <f>IF(AX520&lt;=0,0,ROUND(AX520+ROUND(AX520*AD$3/12,2),2))</f>
      </c>
      <c r="K521" s="33">
        <f>IF(AY520&lt;=0,0,ROUND(AY520+ROUND(AY520*AE$3/12,2),2))</f>
      </c>
      <c r="L521" s="33">
        <f>ROUND(MIN(MAX(0,N('Your debts'!$E$6)),B521),2)</f>
      </c>
      <c r="M521" s="33">
        <f>ROUND(MIN(MAX(0,N('Your debts'!$E$7)),C521),2)</f>
      </c>
      <c r="N521" s="33">
        <f>ROUND(MIN(MAX(0,N('Your debts'!$E$8)),D521),2)</f>
      </c>
      <c r="O521" s="33">
        <f>ROUND(MIN(MAX(0,N('Your debts'!$E$9)),E521),2)</f>
      </c>
      <c r="P521" s="33">
        <f>ROUND(MIN(MAX(0,N('Your debts'!$E$10)),F521),2)</f>
      </c>
      <c r="Q521" s="33">
        <f>ROUND(MIN(MAX(0,N('Your debts'!$E$11)),G521),2)</f>
      </c>
      <c r="R521" s="33">
        <f>ROUND(MIN(MAX(0,N('Your debts'!$E$12)),H521),2)</f>
      </c>
      <c r="S521" s="33">
        <f>ROUND(MIN(MAX(0,N('Your debts'!$E$13)),I521),2)</f>
      </c>
      <c r="T521" s="33">
        <f>ROUND(MIN(MAX(0,N('Your debts'!$E$14)),J521),2)</f>
      </c>
      <c r="U521" s="33">
        <f>ROUND(MIN(MAX(0,N('Your debts'!$E$15)),K521),2)</f>
      </c>
      <c r="V521" s="33">
        <f>ROUND(B521-L521,2)</f>
      </c>
      <c r="W521" s="33">
        <f>ROUND(C521-M521,2)</f>
      </c>
      <c r="X521" s="33">
        <f>ROUND(D521-N521,2)</f>
      </c>
      <c r="Y521" s="33">
        <f>ROUND(E521-O521,2)</f>
      </c>
      <c r="Z521" s="33">
        <f>ROUND(F521-P521,2)</f>
      </c>
      <c r="AA521" s="33">
        <f>ROUND(G521-Q521,2)</f>
      </c>
      <c r="AB521" s="33">
        <f>ROUND(H521-R521,2)</f>
      </c>
      <c r="AC521" s="33">
        <f>ROUND(I521-S521,2)</f>
      </c>
      <c r="AD521" s="33">
        <f>ROUND(J521-T521,2)</f>
      </c>
      <c r="AE521" s="33">
        <f>ROUND(K521-U521,2)</f>
      </c>
      <c r="AF521" s="33">
        <f>IF(V521&lt;=0,0,MAX(0,MIN(V521,ROUND($AZ521-SUMPRODUCT($V521:$AE521*($V521:$AE521&gt;0)*(($V$3:$AE$3&gt;V$3)+($V$3:$AE$3=V$3)*($V521:$AE521&lt;V521)+($V$3:$AE$3=V$3)*($V521:$AE521=V521)*($V$2:$AE$2&lt;V$2))),2))))</f>
      </c>
      <c r="AG521" s="33">
        <f>IF(W521&lt;=0,0,MAX(0,MIN(W521,ROUND($AZ521-SUMPRODUCT($V521:$AE521*($V521:$AE521&gt;0)*(($V$3:$AE$3&gt;W$3)+($V$3:$AE$3=W$3)*($V521:$AE521&lt;W521)+($V$3:$AE$3=W$3)*($V521:$AE521=W521)*($V$2:$AE$2&lt;W$2))),2))))</f>
      </c>
      <c r="AH521" s="33">
        <f>IF(X521&lt;=0,0,MAX(0,MIN(X521,ROUND($AZ521-SUMPRODUCT($V521:$AE521*($V521:$AE521&gt;0)*(($V$3:$AE$3&gt;X$3)+($V$3:$AE$3=X$3)*($V521:$AE521&lt;X521)+($V$3:$AE$3=X$3)*($V521:$AE521=X521)*($V$2:$AE$2&lt;X$2))),2))))</f>
      </c>
      <c r="AI521" s="33">
        <f>IF(Y521&lt;=0,0,MAX(0,MIN(Y521,ROUND($AZ521-SUMPRODUCT($V521:$AE521*($V521:$AE521&gt;0)*(($V$3:$AE$3&gt;Y$3)+($V$3:$AE$3=Y$3)*($V521:$AE521&lt;Y521)+($V$3:$AE$3=Y$3)*($V521:$AE521=Y521)*($V$2:$AE$2&lt;Y$2))),2))))</f>
      </c>
      <c r="AJ521" s="33">
        <f>IF(Z521&lt;=0,0,MAX(0,MIN(Z521,ROUND($AZ521-SUMPRODUCT($V521:$AE521*($V521:$AE521&gt;0)*(($V$3:$AE$3&gt;Z$3)+($V$3:$AE$3=Z$3)*($V521:$AE521&lt;Z521)+($V$3:$AE$3=Z$3)*($V521:$AE521=Z521)*($V$2:$AE$2&lt;Z$2))),2))))</f>
      </c>
      <c r="AK521" s="33">
        <f>IF(AA521&lt;=0,0,MAX(0,MIN(AA521,ROUND($AZ521-SUMPRODUCT($V521:$AE521*($V521:$AE521&gt;0)*(($V$3:$AE$3&gt;AA$3)+($V$3:$AE$3=AA$3)*($V521:$AE521&lt;AA521)+($V$3:$AE$3=AA$3)*($V521:$AE521=AA521)*($V$2:$AE$2&lt;AA$2))),2))))</f>
      </c>
      <c r="AL521" s="33">
        <f>IF(AB521&lt;=0,0,MAX(0,MIN(AB521,ROUND($AZ521-SUMPRODUCT($V521:$AE521*($V521:$AE521&gt;0)*(($V$3:$AE$3&gt;AB$3)+($V$3:$AE$3=AB$3)*($V521:$AE521&lt;AB521)+($V$3:$AE$3=AB$3)*($V521:$AE521=AB521)*($V$2:$AE$2&lt;AB$2))),2))))</f>
      </c>
      <c r="AM521" s="33">
        <f>IF(AC521&lt;=0,0,MAX(0,MIN(AC521,ROUND($AZ521-SUMPRODUCT($V521:$AE521*($V521:$AE521&gt;0)*(($V$3:$AE$3&gt;AC$3)+($V$3:$AE$3=AC$3)*($V521:$AE521&lt;AC521)+($V$3:$AE$3=AC$3)*($V521:$AE521=AC521)*($V$2:$AE$2&lt;AC$2))),2))))</f>
      </c>
      <c r="AN521" s="33">
        <f>IF(AD521&lt;=0,0,MAX(0,MIN(AD521,ROUND($AZ521-SUMPRODUCT($V521:$AE521*($V521:$AE521&gt;0)*(($V$3:$AE$3&gt;AD$3)+($V$3:$AE$3=AD$3)*($V521:$AE521&lt;AD521)+($V$3:$AE$3=AD$3)*($V521:$AE521=AD521)*($V$2:$AE$2&lt;AD$2))),2))))</f>
      </c>
      <c r="AO521" s="33">
        <f>IF(AE521&lt;=0,0,MAX(0,MIN(AE521,ROUND($AZ521-SUMPRODUCT($V521:$AE521*($V521:$AE521&gt;0)*(($V$3:$AE$3&gt;AE$3)+($V$3:$AE$3=AE$3)*($V521:$AE521&lt;AE521)+($V$3:$AE$3=AE$3)*($V521:$AE521=AE521)*($V$2:$AE$2&lt;AE$2))),2))))</f>
      </c>
      <c r="AP521" s="33">
        <f>ROUND(V521-AF521,2)</f>
      </c>
      <c r="AQ521" s="33">
        <f>ROUND(W521-AG521,2)</f>
      </c>
      <c r="AR521" s="33">
        <f>ROUND(X521-AH521,2)</f>
      </c>
      <c r="AS521" s="33">
        <f>ROUND(Y521-AI521,2)</f>
      </c>
      <c r="AT521" s="33">
        <f>ROUND(Z521-AJ521,2)</f>
      </c>
      <c r="AU521" s="33">
        <f>ROUND(AA521-AK521,2)</f>
      </c>
      <c r="AV521" s="33">
        <f>ROUND(AB521-AL521,2)</f>
      </c>
      <c r="AW521" s="33">
        <f>ROUND(AC521-AM521,2)</f>
      </c>
      <c r="AX521" s="33">
        <f>ROUND(AD521-AN521,2)</f>
      </c>
      <c r="AY521" s="33">
        <f>ROUND(AE521-AO521,2)</f>
      </c>
      <c r="AZ521" s="33">
        <f>ROUND(MAX(0,'Your debts'!$D$22-SUM($L521:$U521)),2)</f>
      </c>
      <c r="BA521" s="33">
        <f>ROUND(SUM($B521:$K521)-SUM($AP520:$AY520),2)</f>
      </c>
      <c r="BB521" s="33">
        <f>SUM($AP521:$AY521)</f>
      </c>
      <c r="BC521" s="33">
        <f>ROUND(SUM($L521:$U521)+SUM($AF521:$AO521),2)</f>
      </c>
    </row>
    <row r="522" spans="1:55" x14ac:dyDescent="0.25">
      <c r="A522">
        <v>515</v>
      </c>
      <c r="B522" s="33">
        <f>IF(AP521&lt;=0,0,ROUND(AP521+ROUND(AP521*V$3/12,2),2))</f>
      </c>
      <c r="C522" s="33">
        <f>IF(AQ521&lt;=0,0,ROUND(AQ521+ROUND(AQ521*W$3/12,2),2))</f>
      </c>
      <c r="D522" s="33">
        <f>IF(AR521&lt;=0,0,ROUND(AR521+ROUND(AR521*X$3/12,2),2))</f>
      </c>
      <c r="E522" s="33">
        <f>IF(AS521&lt;=0,0,ROUND(AS521+ROUND(AS521*Y$3/12,2),2))</f>
      </c>
      <c r="F522" s="33">
        <f>IF(AT521&lt;=0,0,ROUND(AT521+ROUND(AT521*Z$3/12,2),2))</f>
      </c>
      <c r="G522" s="33">
        <f>IF(AU521&lt;=0,0,ROUND(AU521+ROUND(AU521*AA$3/12,2),2))</f>
      </c>
      <c r="H522" s="33">
        <f>IF(AV521&lt;=0,0,ROUND(AV521+ROUND(AV521*AB$3/12,2),2))</f>
      </c>
      <c r="I522" s="33">
        <f>IF(AW521&lt;=0,0,ROUND(AW521+ROUND(AW521*AC$3/12,2),2))</f>
      </c>
      <c r="J522" s="33">
        <f>IF(AX521&lt;=0,0,ROUND(AX521+ROUND(AX521*AD$3/12,2),2))</f>
      </c>
      <c r="K522" s="33">
        <f>IF(AY521&lt;=0,0,ROUND(AY521+ROUND(AY521*AE$3/12,2),2))</f>
      </c>
      <c r="L522" s="33">
        <f>ROUND(MIN(MAX(0,N('Your debts'!$E$6)),B522),2)</f>
      </c>
      <c r="M522" s="33">
        <f>ROUND(MIN(MAX(0,N('Your debts'!$E$7)),C522),2)</f>
      </c>
      <c r="N522" s="33">
        <f>ROUND(MIN(MAX(0,N('Your debts'!$E$8)),D522),2)</f>
      </c>
      <c r="O522" s="33">
        <f>ROUND(MIN(MAX(0,N('Your debts'!$E$9)),E522),2)</f>
      </c>
      <c r="P522" s="33">
        <f>ROUND(MIN(MAX(0,N('Your debts'!$E$10)),F522),2)</f>
      </c>
      <c r="Q522" s="33">
        <f>ROUND(MIN(MAX(0,N('Your debts'!$E$11)),G522),2)</f>
      </c>
      <c r="R522" s="33">
        <f>ROUND(MIN(MAX(0,N('Your debts'!$E$12)),H522),2)</f>
      </c>
      <c r="S522" s="33">
        <f>ROUND(MIN(MAX(0,N('Your debts'!$E$13)),I522),2)</f>
      </c>
      <c r="T522" s="33">
        <f>ROUND(MIN(MAX(0,N('Your debts'!$E$14)),J522),2)</f>
      </c>
      <c r="U522" s="33">
        <f>ROUND(MIN(MAX(0,N('Your debts'!$E$15)),K522),2)</f>
      </c>
      <c r="V522" s="33">
        <f>ROUND(B522-L522,2)</f>
      </c>
      <c r="W522" s="33">
        <f>ROUND(C522-M522,2)</f>
      </c>
      <c r="X522" s="33">
        <f>ROUND(D522-N522,2)</f>
      </c>
      <c r="Y522" s="33">
        <f>ROUND(E522-O522,2)</f>
      </c>
      <c r="Z522" s="33">
        <f>ROUND(F522-P522,2)</f>
      </c>
      <c r="AA522" s="33">
        <f>ROUND(G522-Q522,2)</f>
      </c>
      <c r="AB522" s="33">
        <f>ROUND(H522-R522,2)</f>
      </c>
      <c r="AC522" s="33">
        <f>ROUND(I522-S522,2)</f>
      </c>
      <c r="AD522" s="33">
        <f>ROUND(J522-T522,2)</f>
      </c>
      <c r="AE522" s="33">
        <f>ROUND(K522-U522,2)</f>
      </c>
      <c r="AF522" s="33">
        <f>IF(V522&lt;=0,0,MAX(0,MIN(V522,ROUND($AZ522-SUMPRODUCT($V522:$AE522*($V522:$AE522&gt;0)*(($V$3:$AE$3&gt;V$3)+($V$3:$AE$3=V$3)*($V522:$AE522&lt;V522)+($V$3:$AE$3=V$3)*($V522:$AE522=V522)*($V$2:$AE$2&lt;V$2))),2))))</f>
      </c>
      <c r="AG522" s="33">
        <f>IF(W522&lt;=0,0,MAX(0,MIN(W522,ROUND($AZ522-SUMPRODUCT($V522:$AE522*($V522:$AE522&gt;0)*(($V$3:$AE$3&gt;W$3)+($V$3:$AE$3=W$3)*($V522:$AE522&lt;W522)+($V$3:$AE$3=W$3)*($V522:$AE522=W522)*($V$2:$AE$2&lt;W$2))),2))))</f>
      </c>
      <c r="AH522" s="33">
        <f>IF(X522&lt;=0,0,MAX(0,MIN(X522,ROUND($AZ522-SUMPRODUCT($V522:$AE522*($V522:$AE522&gt;0)*(($V$3:$AE$3&gt;X$3)+($V$3:$AE$3=X$3)*($V522:$AE522&lt;X522)+($V$3:$AE$3=X$3)*($V522:$AE522=X522)*($V$2:$AE$2&lt;X$2))),2))))</f>
      </c>
      <c r="AI522" s="33">
        <f>IF(Y522&lt;=0,0,MAX(0,MIN(Y522,ROUND($AZ522-SUMPRODUCT($V522:$AE522*($V522:$AE522&gt;0)*(($V$3:$AE$3&gt;Y$3)+($V$3:$AE$3=Y$3)*($V522:$AE522&lt;Y522)+($V$3:$AE$3=Y$3)*($V522:$AE522=Y522)*($V$2:$AE$2&lt;Y$2))),2))))</f>
      </c>
      <c r="AJ522" s="33">
        <f>IF(Z522&lt;=0,0,MAX(0,MIN(Z522,ROUND($AZ522-SUMPRODUCT($V522:$AE522*($V522:$AE522&gt;0)*(($V$3:$AE$3&gt;Z$3)+($V$3:$AE$3=Z$3)*($V522:$AE522&lt;Z522)+($V$3:$AE$3=Z$3)*($V522:$AE522=Z522)*($V$2:$AE$2&lt;Z$2))),2))))</f>
      </c>
      <c r="AK522" s="33">
        <f>IF(AA522&lt;=0,0,MAX(0,MIN(AA522,ROUND($AZ522-SUMPRODUCT($V522:$AE522*($V522:$AE522&gt;0)*(($V$3:$AE$3&gt;AA$3)+($V$3:$AE$3=AA$3)*($V522:$AE522&lt;AA522)+($V$3:$AE$3=AA$3)*($V522:$AE522=AA522)*($V$2:$AE$2&lt;AA$2))),2))))</f>
      </c>
      <c r="AL522" s="33">
        <f>IF(AB522&lt;=0,0,MAX(0,MIN(AB522,ROUND($AZ522-SUMPRODUCT($V522:$AE522*($V522:$AE522&gt;0)*(($V$3:$AE$3&gt;AB$3)+($V$3:$AE$3=AB$3)*($V522:$AE522&lt;AB522)+($V$3:$AE$3=AB$3)*($V522:$AE522=AB522)*($V$2:$AE$2&lt;AB$2))),2))))</f>
      </c>
      <c r="AM522" s="33">
        <f>IF(AC522&lt;=0,0,MAX(0,MIN(AC522,ROUND($AZ522-SUMPRODUCT($V522:$AE522*($V522:$AE522&gt;0)*(($V$3:$AE$3&gt;AC$3)+($V$3:$AE$3=AC$3)*($V522:$AE522&lt;AC522)+($V$3:$AE$3=AC$3)*($V522:$AE522=AC522)*($V$2:$AE$2&lt;AC$2))),2))))</f>
      </c>
      <c r="AN522" s="33">
        <f>IF(AD522&lt;=0,0,MAX(0,MIN(AD522,ROUND($AZ522-SUMPRODUCT($V522:$AE522*($V522:$AE522&gt;0)*(($V$3:$AE$3&gt;AD$3)+($V$3:$AE$3=AD$3)*($V522:$AE522&lt;AD522)+($V$3:$AE$3=AD$3)*($V522:$AE522=AD522)*($V$2:$AE$2&lt;AD$2))),2))))</f>
      </c>
      <c r="AO522" s="33">
        <f>IF(AE522&lt;=0,0,MAX(0,MIN(AE522,ROUND($AZ522-SUMPRODUCT($V522:$AE522*($V522:$AE522&gt;0)*(($V$3:$AE$3&gt;AE$3)+($V$3:$AE$3=AE$3)*($V522:$AE522&lt;AE522)+($V$3:$AE$3=AE$3)*($V522:$AE522=AE522)*($V$2:$AE$2&lt;AE$2))),2))))</f>
      </c>
      <c r="AP522" s="33">
        <f>ROUND(V522-AF522,2)</f>
      </c>
      <c r="AQ522" s="33">
        <f>ROUND(W522-AG522,2)</f>
      </c>
      <c r="AR522" s="33">
        <f>ROUND(X522-AH522,2)</f>
      </c>
      <c r="AS522" s="33">
        <f>ROUND(Y522-AI522,2)</f>
      </c>
      <c r="AT522" s="33">
        <f>ROUND(Z522-AJ522,2)</f>
      </c>
      <c r="AU522" s="33">
        <f>ROUND(AA522-AK522,2)</f>
      </c>
      <c r="AV522" s="33">
        <f>ROUND(AB522-AL522,2)</f>
      </c>
      <c r="AW522" s="33">
        <f>ROUND(AC522-AM522,2)</f>
      </c>
      <c r="AX522" s="33">
        <f>ROUND(AD522-AN522,2)</f>
      </c>
      <c r="AY522" s="33">
        <f>ROUND(AE522-AO522,2)</f>
      </c>
      <c r="AZ522" s="33">
        <f>ROUND(MAX(0,'Your debts'!$D$22-SUM($L522:$U522)),2)</f>
      </c>
      <c r="BA522" s="33">
        <f>ROUND(SUM($B522:$K522)-SUM($AP521:$AY521),2)</f>
      </c>
      <c r="BB522" s="33">
        <f>SUM($AP522:$AY522)</f>
      </c>
      <c r="BC522" s="33">
        <f>ROUND(SUM($L522:$U522)+SUM($AF522:$AO522),2)</f>
      </c>
    </row>
    <row r="523" spans="1:55" x14ac:dyDescent="0.25">
      <c r="A523">
        <v>516</v>
      </c>
      <c r="B523" s="33">
        <f>IF(AP522&lt;=0,0,ROUND(AP522+ROUND(AP522*V$3/12,2),2))</f>
      </c>
      <c r="C523" s="33">
        <f>IF(AQ522&lt;=0,0,ROUND(AQ522+ROUND(AQ522*W$3/12,2),2))</f>
      </c>
      <c r="D523" s="33">
        <f>IF(AR522&lt;=0,0,ROUND(AR522+ROUND(AR522*X$3/12,2),2))</f>
      </c>
      <c r="E523" s="33">
        <f>IF(AS522&lt;=0,0,ROUND(AS522+ROUND(AS522*Y$3/12,2),2))</f>
      </c>
      <c r="F523" s="33">
        <f>IF(AT522&lt;=0,0,ROUND(AT522+ROUND(AT522*Z$3/12,2),2))</f>
      </c>
      <c r="G523" s="33">
        <f>IF(AU522&lt;=0,0,ROUND(AU522+ROUND(AU522*AA$3/12,2),2))</f>
      </c>
      <c r="H523" s="33">
        <f>IF(AV522&lt;=0,0,ROUND(AV522+ROUND(AV522*AB$3/12,2),2))</f>
      </c>
      <c r="I523" s="33">
        <f>IF(AW522&lt;=0,0,ROUND(AW522+ROUND(AW522*AC$3/12,2),2))</f>
      </c>
      <c r="J523" s="33">
        <f>IF(AX522&lt;=0,0,ROUND(AX522+ROUND(AX522*AD$3/12,2),2))</f>
      </c>
      <c r="K523" s="33">
        <f>IF(AY522&lt;=0,0,ROUND(AY522+ROUND(AY522*AE$3/12,2),2))</f>
      </c>
      <c r="L523" s="33">
        <f>ROUND(MIN(MAX(0,N('Your debts'!$E$6)),B523),2)</f>
      </c>
      <c r="M523" s="33">
        <f>ROUND(MIN(MAX(0,N('Your debts'!$E$7)),C523),2)</f>
      </c>
      <c r="N523" s="33">
        <f>ROUND(MIN(MAX(0,N('Your debts'!$E$8)),D523),2)</f>
      </c>
      <c r="O523" s="33">
        <f>ROUND(MIN(MAX(0,N('Your debts'!$E$9)),E523),2)</f>
      </c>
      <c r="P523" s="33">
        <f>ROUND(MIN(MAX(0,N('Your debts'!$E$10)),F523),2)</f>
      </c>
      <c r="Q523" s="33">
        <f>ROUND(MIN(MAX(0,N('Your debts'!$E$11)),G523),2)</f>
      </c>
      <c r="R523" s="33">
        <f>ROUND(MIN(MAX(0,N('Your debts'!$E$12)),H523),2)</f>
      </c>
      <c r="S523" s="33">
        <f>ROUND(MIN(MAX(0,N('Your debts'!$E$13)),I523),2)</f>
      </c>
      <c r="T523" s="33">
        <f>ROUND(MIN(MAX(0,N('Your debts'!$E$14)),J523),2)</f>
      </c>
      <c r="U523" s="33">
        <f>ROUND(MIN(MAX(0,N('Your debts'!$E$15)),K523),2)</f>
      </c>
      <c r="V523" s="33">
        <f>ROUND(B523-L523,2)</f>
      </c>
      <c r="W523" s="33">
        <f>ROUND(C523-M523,2)</f>
      </c>
      <c r="X523" s="33">
        <f>ROUND(D523-N523,2)</f>
      </c>
      <c r="Y523" s="33">
        <f>ROUND(E523-O523,2)</f>
      </c>
      <c r="Z523" s="33">
        <f>ROUND(F523-P523,2)</f>
      </c>
      <c r="AA523" s="33">
        <f>ROUND(G523-Q523,2)</f>
      </c>
      <c r="AB523" s="33">
        <f>ROUND(H523-R523,2)</f>
      </c>
      <c r="AC523" s="33">
        <f>ROUND(I523-S523,2)</f>
      </c>
      <c r="AD523" s="33">
        <f>ROUND(J523-T523,2)</f>
      </c>
      <c r="AE523" s="33">
        <f>ROUND(K523-U523,2)</f>
      </c>
      <c r="AF523" s="33">
        <f>IF(V523&lt;=0,0,MAX(0,MIN(V523,ROUND($AZ523-SUMPRODUCT($V523:$AE523*($V523:$AE523&gt;0)*(($V$3:$AE$3&gt;V$3)+($V$3:$AE$3=V$3)*($V523:$AE523&lt;V523)+($V$3:$AE$3=V$3)*($V523:$AE523=V523)*($V$2:$AE$2&lt;V$2))),2))))</f>
      </c>
      <c r="AG523" s="33">
        <f>IF(W523&lt;=0,0,MAX(0,MIN(W523,ROUND($AZ523-SUMPRODUCT($V523:$AE523*($V523:$AE523&gt;0)*(($V$3:$AE$3&gt;W$3)+($V$3:$AE$3=W$3)*($V523:$AE523&lt;W523)+($V$3:$AE$3=W$3)*($V523:$AE523=W523)*($V$2:$AE$2&lt;W$2))),2))))</f>
      </c>
      <c r="AH523" s="33">
        <f>IF(X523&lt;=0,0,MAX(0,MIN(X523,ROUND($AZ523-SUMPRODUCT($V523:$AE523*($V523:$AE523&gt;0)*(($V$3:$AE$3&gt;X$3)+($V$3:$AE$3=X$3)*($V523:$AE523&lt;X523)+($V$3:$AE$3=X$3)*($V523:$AE523=X523)*($V$2:$AE$2&lt;X$2))),2))))</f>
      </c>
      <c r="AI523" s="33">
        <f>IF(Y523&lt;=0,0,MAX(0,MIN(Y523,ROUND($AZ523-SUMPRODUCT($V523:$AE523*($V523:$AE523&gt;0)*(($V$3:$AE$3&gt;Y$3)+($V$3:$AE$3=Y$3)*($V523:$AE523&lt;Y523)+($V$3:$AE$3=Y$3)*($V523:$AE523=Y523)*($V$2:$AE$2&lt;Y$2))),2))))</f>
      </c>
      <c r="AJ523" s="33">
        <f>IF(Z523&lt;=0,0,MAX(0,MIN(Z523,ROUND($AZ523-SUMPRODUCT($V523:$AE523*($V523:$AE523&gt;0)*(($V$3:$AE$3&gt;Z$3)+($V$3:$AE$3=Z$3)*($V523:$AE523&lt;Z523)+($V$3:$AE$3=Z$3)*($V523:$AE523=Z523)*($V$2:$AE$2&lt;Z$2))),2))))</f>
      </c>
      <c r="AK523" s="33">
        <f>IF(AA523&lt;=0,0,MAX(0,MIN(AA523,ROUND($AZ523-SUMPRODUCT($V523:$AE523*($V523:$AE523&gt;0)*(($V$3:$AE$3&gt;AA$3)+($V$3:$AE$3=AA$3)*($V523:$AE523&lt;AA523)+($V$3:$AE$3=AA$3)*($V523:$AE523=AA523)*($V$2:$AE$2&lt;AA$2))),2))))</f>
      </c>
      <c r="AL523" s="33">
        <f>IF(AB523&lt;=0,0,MAX(0,MIN(AB523,ROUND($AZ523-SUMPRODUCT($V523:$AE523*($V523:$AE523&gt;0)*(($V$3:$AE$3&gt;AB$3)+($V$3:$AE$3=AB$3)*($V523:$AE523&lt;AB523)+($V$3:$AE$3=AB$3)*($V523:$AE523=AB523)*($V$2:$AE$2&lt;AB$2))),2))))</f>
      </c>
      <c r="AM523" s="33">
        <f>IF(AC523&lt;=0,0,MAX(0,MIN(AC523,ROUND($AZ523-SUMPRODUCT($V523:$AE523*($V523:$AE523&gt;0)*(($V$3:$AE$3&gt;AC$3)+($V$3:$AE$3=AC$3)*($V523:$AE523&lt;AC523)+($V$3:$AE$3=AC$3)*($V523:$AE523=AC523)*($V$2:$AE$2&lt;AC$2))),2))))</f>
      </c>
      <c r="AN523" s="33">
        <f>IF(AD523&lt;=0,0,MAX(0,MIN(AD523,ROUND($AZ523-SUMPRODUCT($V523:$AE523*($V523:$AE523&gt;0)*(($V$3:$AE$3&gt;AD$3)+($V$3:$AE$3=AD$3)*($V523:$AE523&lt;AD523)+($V$3:$AE$3=AD$3)*($V523:$AE523=AD523)*($V$2:$AE$2&lt;AD$2))),2))))</f>
      </c>
      <c r="AO523" s="33">
        <f>IF(AE523&lt;=0,0,MAX(0,MIN(AE523,ROUND($AZ523-SUMPRODUCT($V523:$AE523*($V523:$AE523&gt;0)*(($V$3:$AE$3&gt;AE$3)+($V$3:$AE$3=AE$3)*($V523:$AE523&lt;AE523)+($V$3:$AE$3=AE$3)*($V523:$AE523=AE523)*($V$2:$AE$2&lt;AE$2))),2))))</f>
      </c>
      <c r="AP523" s="33">
        <f>ROUND(V523-AF523,2)</f>
      </c>
      <c r="AQ523" s="33">
        <f>ROUND(W523-AG523,2)</f>
      </c>
      <c r="AR523" s="33">
        <f>ROUND(X523-AH523,2)</f>
      </c>
      <c r="AS523" s="33">
        <f>ROUND(Y523-AI523,2)</f>
      </c>
      <c r="AT523" s="33">
        <f>ROUND(Z523-AJ523,2)</f>
      </c>
      <c r="AU523" s="33">
        <f>ROUND(AA523-AK523,2)</f>
      </c>
      <c r="AV523" s="33">
        <f>ROUND(AB523-AL523,2)</f>
      </c>
      <c r="AW523" s="33">
        <f>ROUND(AC523-AM523,2)</f>
      </c>
      <c r="AX523" s="33">
        <f>ROUND(AD523-AN523,2)</f>
      </c>
      <c r="AY523" s="33">
        <f>ROUND(AE523-AO523,2)</f>
      </c>
      <c r="AZ523" s="33">
        <f>ROUND(MAX(0,'Your debts'!$D$22-SUM($L523:$U523)),2)</f>
      </c>
      <c r="BA523" s="33">
        <f>ROUND(SUM($B523:$K523)-SUM($AP522:$AY522),2)</f>
      </c>
      <c r="BB523" s="33">
        <f>SUM($AP523:$AY523)</f>
      </c>
      <c r="BC523" s="33">
        <f>ROUND(SUM($L523:$U523)+SUM($AF523:$AO523),2)</f>
      </c>
    </row>
    <row r="524" spans="1:55" x14ac:dyDescent="0.25">
      <c r="A524">
        <v>517</v>
      </c>
      <c r="B524" s="33">
        <f>IF(AP523&lt;=0,0,ROUND(AP523+ROUND(AP523*V$3/12,2),2))</f>
      </c>
      <c r="C524" s="33">
        <f>IF(AQ523&lt;=0,0,ROUND(AQ523+ROUND(AQ523*W$3/12,2),2))</f>
      </c>
      <c r="D524" s="33">
        <f>IF(AR523&lt;=0,0,ROUND(AR523+ROUND(AR523*X$3/12,2),2))</f>
      </c>
      <c r="E524" s="33">
        <f>IF(AS523&lt;=0,0,ROUND(AS523+ROUND(AS523*Y$3/12,2),2))</f>
      </c>
      <c r="F524" s="33">
        <f>IF(AT523&lt;=0,0,ROUND(AT523+ROUND(AT523*Z$3/12,2),2))</f>
      </c>
      <c r="G524" s="33">
        <f>IF(AU523&lt;=0,0,ROUND(AU523+ROUND(AU523*AA$3/12,2),2))</f>
      </c>
      <c r="H524" s="33">
        <f>IF(AV523&lt;=0,0,ROUND(AV523+ROUND(AV523*AB$3/12,2),2))</f>
      </c>
      <c r="I524" s="33">
        <f>IF(AW523&lt;=0,0,ROUND(AW523+ROUND(AW523*AC$3/12,2),2))</f>
      </c>
      <c r="J524" s="33">
        <f>IF(AX523&lt;=0,0,ROUND(AX523+ROUND(AX523*AD$3/12,2),2))</f>
      </c>
      <c r="K524" s="33">
        <f>IF(AY523&lt;=0,0,ROUND(AY523+ROUND(AY523*AE$3/12,2),2))</f>
      </c>
      <c r="L524" s="33">
        <f>ROUND(MIN(MAX(0,N('Your debts'!$E$6)),B524),2)</f>
      </c>
      <c r="M524" s="33">
        <f>ROUND(MIN(MAX(0,N('Your debts'!$E$7)),C524),2)</f>
      </c>
      <c r="N524" s="33">
        <f>ROUND(MIN(MAX(0,N('Your debts'!$E$8)),D524),2)</f>
      </c>
      <c r="O524" s="33">
        <f>ROUND(MIN(MAX(0,N('Your debts'!$E$9)),E524),2)</f>
      </c>
      <c r="P524" s="33">
        <f>ROUND(MIN(MAX(0,N('Your debts'!$E$10)),F524),2)</f>
      </c>
      <c r="Q524" s="33">
        <f>ROUND(MIN(MAX(0,N('Your debts'!$E$11)),G524),2)</f>
      </c>
      <c r="R524" s="33">
        <f>ROUND(MIN(MAX(0,N('Your debts'!$E$12)),H524),2)</f>
      </c>
      <c r="S524" s="33">
        <f>ROUND(MIN(MAX(0,N('Your debts'!$E$13)),I524),2)</f>
      </c>
      <c r="T524" s="33">
        <f>ROUND(MIN(MAX(0,N('Your debts'!$E$14)),J524),2)</f>
      </c>
      <c r="U524" s="33">
        <f>ROUND(MIN(MAX(0,N('Your debts'!$E$15)),K524),2)</f>
      </c>
      <c r="V524" s="33">
        <f>ROUND(B524-L524,2)</f>
      </c>
      <c r="W524" s="33">
        <f>ROUND(C524-M524,2)</f>
      </c>
      <c r="X524" s="33">
        <f>ROUND(D524-N524,2)</f>
      </c>
      <c r="Y524" s="33">
        <f>ROUND(E524-O524,2)</f>
      </c>
      <c r="Z524" s="33">
        <f>ROUND(F524-P524,2)</f>
      </c>
      <c r="AA524" s="33">
        <f>ROUND(G524-Q524,2)</f>
      </c>
      <c r="AB524" s="33">
        <f>ROUND(H524-R524,2)</f>
      </c>
      <c r="AC524" s="33">
        <f>ROUND(I524-S524,2)</f>
      </c>
      <c r="AD524" s="33">
        <f>ROUND(J524-T524,2)</f>
      </c>
      <c r="AE524" s="33">
        <f>ROUND(K524-U524,2)</f>
      </c>
      <c r="AF524" s="33">
        <f>IF(V524&lt;=0,0,MAX(0,MIN(V524,ROUND($AZ524-SUMPRODUCT($V524:$AE524*($V524:$AE524&gt;0)*(($V$3:$AE$3&gt;V$3)+($V$3:$AE$3=V$3)*($V524:$AE524&lt;V524)+($V$3:$AE$3=V$3)*($V524:$AE524=V524)*($V$2:$AE$2&lt;V$2))),2))))</f>
      </c>
      <c r="AG524" s="33">
        <f>IF(W524&lt;=0,0,MAX(0,MIN(W524,ROUND($AZ524-SUMPRODUCT($V524:$AE524*($V524:$AE524&gt;0)*(($V$3:$AE$3&gt;W$3)+($V$3:$AE$3=W$3)*($V524:$AE524&lt;W524)+($V$3:$AE$3=W$3)*($V524:$AE524=W524)*($V$2:$AE$2&lt;W$2))),2))))</f>
      </c>
      <c r="AH524" s="33">
        <f>IF(X524&lt;=0,0,MAX(0,MIN(X524,ROUND($AZ524-SUMPRODUCT($V524:$AE524*($V524:$AE524&gt;0)*(($V$3:$AE$3&gt;X$3)+($V$3:$AE$3=X$3)*($V524:$AE524&lt;X524)+($V$3:$AE$3=X$3)*($V524:$AE524=X524)*($V$2:$AE$2&lt;X$2))),2))))</f>
      </c>
      <c r="AI524" s="33">
        <f>IF(Y524&lt;=0,0,MAX(0,MIN(Y524,ROUND($AZ524-SUMPRODUCT($V524:$AE524*($V524:$AE524&gt;0)*(($V$3:$AE$3&gt;Y$3)+($V$3:$AE$3=Y$3)*($V524:$AE524&lt;Y524)+($V$3:$AE$3=Y$3)*($V524:$AE524=Y524)*($V$2:$AE$2&lt;Y$2))),2))))</f>
      </c>
      <c r="AJ524" s="33">
        <f>IF(Z524&lt;=0,0,MAX(0,MIN(Z524,ROUND($AZ524-SUMPRODUCT($V524:$AE524*($V524:$AE524&gt;0)*(($V$3:$AE$3&gt;Z$3)+($V$3:$AE$3=Z$3)*($V524:$AE524&lt;Z524)+($V$3:$AE$3=Z$3)*($V524:$AE524=Z524)*($V$2:$AE$2&lt;Z$2))),2))))</f>
      </c>
      <c r="AK524" s="33">
        <f>IF(AA524&lt;=0,0,MAX(0,MIN(AA524,ROUND($AZ524-SUMPRODUCT($V524:$AE524*($V524:$AE524&gt;0)*(($V$3:$AE$3&gt;AA$3)+($V$3:$AE$3=AA$3)*($V524:$AE524&lt;AA524)+($V$3:$AE$3=AA$3)*($V524:$AE524=AA524)*($V$2:$AE$2&lt;AA$2))),2))))</f>
      </c>
      <c r="AL524" s="33">
        <f>IF(AB524&lt;=0,0,MAX(0,MIN(AB524,ROUND($AZ524-SUMPRODUCT($V524:$AE524*($V524:$AE524&gt;0)*(($V$3:$AE$3&gt;AB$3)+($V$3:$AE$3=AB$3)*($V524:$AE524&lt;AB524)+($V$3:$AE$3=AB$3)*($V524:$AE524=AB524)*($V$2:$AE$2&lt;AB$2))),2))))</f>
      </c>
      <c r="AM524" s="33">
        <f>IF(AC524&lt;=0,0,MAX(0,MIN(AC524,ROUND($AZ524-SUMPRODUCT($V524:$AE524*($V524:$AE524&gt;0)*(($V$3:$AE$3&gt;AC$3)+($V$3:$AE$3=AC$3)*($V524:$AE524&lt;AC524)+($V$3:$AE$3=AC$3)*($V524:$AE524=AC524)*($V$2:$AE$2&lt;AC$2))),2))))</f>
      </c>
      <c r="AN524" s="33">
        <f>IF(AD524&lt;=0,0,MAX(0,MIN(AD524,ROUND($AZ524-SUMPRODUCT($V524:$AE524*($V524:$AE524&gt;0)*(($V$3:$AE$3&gt;AD$3)+($V$3:$AE$3=AD$3)*($V524:$AE524&lt;AD524)+($V$3:$AE$3=AD$3)*($V524:$AE524=AD524)*($V$2:$AE$2&lt;AD$2))),2))))</f>
      </c>
      <c r="AO524" s="33">
        <f>IF(AE524&lt;=0,0,MAX(0,MIN(AE524,ROUND($AZ524-SUMPRODUCT($V524:$AE524*($V524:$AE524&gt;0)*(($V$3:$AE$3&gt;AE$3)+($V$3:$AE$3=AE$3)*($V524:$AE524&lt;AE524)+($V$3:$AE$3=AE$3)*($V524:$AE524=AE524)*($V$2:$AE$2&lt;AE$2))),2))))</f>
      </c>
      <c r="AP524" s="33">
        <f>ROUND(V524-AF524,2)</f>
      </c>
      <c r="AQ524" s="33">
        <f>ROUND(W524-AG524,2)</f>
      </c>
      <c r="AR524" s="33">
        <f>ROUND(X524-AH524,2)</f>
      </c>
      <c r="AS524" s="33">
        <f>ROUND(Y524-AI524,2)</f>
      </c>
      <c r="AT524" s="33">
        <f>ROUND(Z524-AJ524,2)</f>
      </c>
      <c r="AU524" s="33">
        <f>ROUND(AA524-AK524,2)</f>
      </c>
      <c r="AV524" s="33">
        <f>ROUND(AB524-AL524,2)</f>
      </c>
      <c r="AW524" s="33">
        <f>ROUND(AC524-AM524,2)</f>
      </c>
      <c r="AX524" s="33">
        <f>ROUND(AD524-AN524,2)</f>
      </c>
      <c r="AY524" s="33">
        <f>ROUND(AE524-AO524,2)</f>
      </c>
      <c r="AZ524" s="33">
        <f>ROUND(MAX(0,'Your debts'!$D$22-SUM($L524:$U524)),2)</f>
      </c>
      <c r="BA524" s="33">
        <f>ROUND(SUM($B524:$K524)-SUM($AP523:$AY523),2)</f>
      </c>
      <c r="BB524" s="33">
        <f>SUM($AP524:$AY524)</f>
      </c>
      <c r="BC524" s="33">
        <f>ROUND(SUM($L524:$U524)+SUM($AF524:$AO524),2)</f>
      </c>
    </row>
    <row r="525" spans="1:55" x14ac:dyDescent="0.25">
      <c r="A525">
        <v>518</v>
      </c>
      <c r="B525" s="33">
        <f>IF(AP524&lt;=0,0,ROUND(AP524+ROUND(AP524*V$3/12,2),2))</f>
      </c>
      <c r="C525" s="33">
        <f>IF(AQ524&lt;=0,0,ROUND(AQ524+ROUND(AQ524*W$3/12,2),2))</f>
      </c>
      <c r="D525" s="33">
        <f>IF(AR524&lt;=0,0,ROUND(AR524+ROUND(AR524*X$3/12,2),2))</f>
      </c>
      <c r="E525" s="33">
        <f>IF(AS524&lt;=0,0,ROUND(AS524+ROUND(AS524*Y$3/12,2),2))</f>
      </c>
      <c r="F525" s="33">
        <f>IF(AT524&lt;=0,0,ROUND(AT524+ROUND(AT524*Z$3/12,2),2))</f>
      </c>
      <c r="G525" s="33">
        <f>IF(AU524&lt;=0,0,ROUND(AU524+ROUND(AU524*AA$3/12,2),2))</f>
      </c>
      <c r="H525" s="33">
        <f>IF(AV524&lt;=0,0,ROUND(AV524+ROUND(AV524*AB$3/12,2),2))</f>
      </c>
      <c r="I525" s="33">
        <f>IF(AW524&lt;=0,0,ROUND(AW524+ROUND(AW524*AC$3/12,2),2))</f>
      </c>
      <c r="J525" s="33">
        <f>IF(AX524&lt;=0,0,ROUND(AX524+ROUND(AX524*AD$3/12,2),2))</f>
      </c>
      <c r="K525" s="33">
        <f>IF(AY524&lt;=0,0,ROUND(AY524+ROUND(AY524*AE$3/12,2),2))</f>
      </c>
      <c r="L525" s="33">
        <f>ROUND(MIN(MAX(0,N('Your debts'!$E$6)),B525),2)</f>
      </c>
      <c r="M525" s="33">
        <f>ROUND(MIN(MAX(0,N('Your debts'!$E$7)),C525),2)</f>
      </c>
      <c r="N525" s="33">
        <f>ROUND(MIN(MAX(0,N('Your debts'!$E$8)),D525),2)</f>
      </c>
      <c r="O525" s="33">
        <f>ROUND(MIN(MAX(0,N('Your debts'!$E$9)),E525),2)</f>
      </c>
      <c r="P525" s="33">
        <f>ROUND(MIN(MAX(0,N('Your debts'!$E$10)),F525),2)</f>
      </c>
      <c r="Q525" s="33">
        <f>ROUND(MIN(MAX(0,N('Your debts'!$E$11)),G525),2)</f>
      </c>
      <c r="R525" s="33">
        <f>ROUND(MIN(MAX(0,N('Your debts'!$E$12)),H525),2)</f>
      </c>
      <c r="S525" s="33">
        <f>ROUND(MIN(MAX(0,N('Your debts'!$E$13)),I525),2)</f>
      </c>
      <c r="T525" s="33">
        <f>ROUND(MIN(MAX(0,N('Your debts'!$E$14)),J525),2)</f>
      </c>
      <c r="U525" s="33">
        <f>ROUND(MIN(MAX(0,N('Your debts'!$E$15)),K525),2)</f>
      </c>
      <c r="V525" s="33">
        <f>ROUND(B525-L525,2)</f>
      </c>
      <c r="W525" s="33">
        <f>ROUND(C525-M525,2)</f>
      </c>
      <c r="X525" s="33">
        <f>ROUND(D525-N525,2)</f>
      </c>
      <c r="Y525" s="33">
        <f>ROUND(E525-O525,2)</f>
      </c>
      <c r="Z525" s="33">
        <f>ROUND(F525-P525,2)</f>
      </c>
      <c r="AA525" s="33">
        <f>ROUND(G525-Q525,2)</f>
      </c>
      <c r="AB525" s="33">
        <f>ROUND(H525-R525,2)</f>
      </c>
      <c r="AC525" s="33">
        <f>ROUND(I525-S525,2)</f>
      </c>
      <c r="AD525" s="33">
        <f>ROUND(J525-T525,2)</f>
      </c>
      <c r="AE525" s="33">
        <f>ROUND(K525-U525,2)</f>
      </c>
      <c r="AF525" s="33">
        <f>IF(V525&lt;=0,0,MAX(0,MIN(V525,ROUND($AZ525-SUMPRODUCT($V525:$AE525*($V525:$AE525&gt;0)*(($V$3:$AE$3&gt;V$3)+($V$3:$AE$3=V$3)*($V525:$AE525&lt;V525)+($V$3:$AE$3=V$3)*($V525:$AE525=V525)*($V$2:$AE$2&lt;V$2))),2))))</f>
      </c>
      <c r="AG525" s="33">
        <f>IF(W525&lt;=0,0,MAX(0,MIN(W525,ROUND($AZ525-SUMPRODUCT($V525:$AE525*($V525:$AE525&gt;0)*(($V$3:$AE$3&gt;W$3)+($V$3:$AE$3=W$3)*($V525:$AE525&lt;W525)+($V$3:$AE$3=W$3)*($V525:$AE525=W525)*($V$2:$AE$2&lt;W$2))),2))))</f>
      </c>
      <c r="AH525" s="33">
        <f>IF(X525&lt;=0,0,MAX(0,MIN(X525,ROUND($AZ525-SUMPRODUCT($V525:$AE525*($V525:$AE525&gt;0)*(($V$3:$AE$3&gt;X$3)+($V$3:$AE$3=X$3)*($V525:$AE525&lt;X525)+($V$3:$AE$3=X$3)*($V525:$AE525=X525)*($V$2:$AE$2&lt;X$2))),2))))</f>
      </c>
      <c r="AI525" s="33">
        <f>IF(Y525&lt;=0,0,MAX(0,MIN(Y525,ROUND($AZ525-SUMPRODUCT($V525:$AE525*($V525:$AE525&gt;0)*(($V$3:$AE$3&gt;Y$3)+($V$3:$AE$3=Y$3)*($V525:$AE525&lt;Y525)+($V$3:$AE$3=Y$3)*($V525:$AE525=Y525)*($V$2:$AE$2&lt;Y$2))),2))))</f>
      </c>
      <c r="AJ525" s="33">
        <f>IF(Z525&lt;=0,0,MAX(0,MIN(Z525,ROUND($AZ525-SUMPRODUCT($V525:$AE525*($V525:$AE525&gt;0)*(($V$3:$AE$3&gt;Z$3)+($V$3:$AE$3=Z$3)*($V525:$AE525&lt;Z525)+($V$3:$AE$3=Z$3)*($V525:$AE525=Z525)*($V$2:$AE$2&lt;Z$2))),2))))</f>
      </c>
      <c r="AK525" s="33">
        <f>IF(AA525&lt;=0,0,MAX(0,MIN(AA525,ROUND($AZ525-SUMPRODUCT($V525:$AE525*($V525:$AE525&gt;0)*(($V$3:$AE$3&gt;AA$3)+($V$3:$AE$3=AA$3)*($V525:$AE525&lt;AA525)+($V$3:$AE$3=AA$3)*($V525:$AE525=AA525)*($V$2:$AE$2&lt;AA$2))),2))))</f>
      </c>
      <c r="AL525" s="33">
        <f>IF(AB525&lt;=0,0,MAX(0,MIN(AB525,ROUND($AZ525-SUMPRODUCT($V525:$AE525*($V525:$AE525&gt;0)*(($V$3:$AE$3&gt;AB$3)+($V$3:$AE$3=AB$3)*($V525:$AE525&lt;AB525)+($V$3:$AE$3=AB$3)*($V525:$AE525=AB525)*($V$2:$AE$2&lt;AB$2))),2))))</f>
      </c>
      <c r="AM525" s="33">
        <f>IF(AC525&lt;=0,0,MAX(0,MIN(AC525,ROUND($AZ525-SUMPRODUCT($V525:$AE525*($V525:$AE525&gt;0)*(($V$3:$AE$3&gt;AC$3)+($V$3:$AE$3=AC$3)*($V525:$AE525&lt;AC525)+($V$3:$AE$3=AC$3)*($V525:$AE525=AC525)*($V$2:$AE$2&lt;AC$2))),2))))</f>
      </c>
      <c r="AN525" s="33">
        <f>IF(AD525&lt;=0,0,MAX(0,MIN(AD525,ROUND($AZ525-SUMPRODUCT($V525:$AE525*($V525:$AE525&gt;0)*(($V$3:$AE$3&gt;AD$3)+($V$3:$AE$3=AD$3)*($V525:$AE525&lt;AD525)+($V$3:$AE$3=AD$3)*($V525:$AE525=AD525)*($V$2:$AE$2&lt;AD$2))),2))))</f>
      </c>
      <c r="AO525" s="33">
        <f>IF(AE525&lt;=0,0,MAX(0,MIN(AE525,ROUND($AZ525-SUMPRODUCT($V525:$AE525*($V525:$AE525&gt;0)*(($V$3:$AE$3&gt;AE$3)+($V$3:$AE$3=AE$3)*($V525:$AE525&lt;AE525)+($V$3:$AE$3=AE$3)*($V525:$AE525=AE525)*($V$2:$AE$2&lt;AE$2))),2))))</f>
      </c>
      <c r="AP525" s="33">
        <f>ROUND(V525-AF525,2)</f>
      </c>
      <c r="AQ525" s="33">
        <f>ROUND(W525-AG525,2)</f>
      </c>
      <c r="AR525" s="33">
        <f>ROUND(X525-AH525,2)</f>
      </c>
      <c r="AS525" s="33">
        <f>ROUND(Y525-AI525,2)</f>
      </c>
      <c r="AT525" s="33">
        <f>ROUND(Z525-AJ525,2)</f>
      </c>
      <c r="AU525" s="33">
        <f>ROUND(AA525-AK525,2)</f>
      </c>
      <c r="AV525" s="33">
        <f>ROUND(AB525-AL525,2)</f>
      </c>
      <c r="AW525" s="33">
        <f>ROUND(AC525-AM525,2)</f>
      </c>
      <c r="AX525" s="33">
        <f>ROUND(AD525-AN525,2)</f>
      </c>
      <c r="AY525" s="33">
        <f>ROUND(AE525-AO525,2)</f>
      </c>
      <c r="AZ525" s="33">
        <f>ROUND(MAX(0,'Your debts'!$D$22-SUM($L525:$U525)),2)</f>
      </c>
      <c r="BA525" s="33">
        <f>ROUND(SUM($B525:$K525)-SUM($AP524:$AY524),2)</f>
      </c>
      <c r="BB525" s="33">
        <f>SUM($AP525:$AY525)</f>
      </c>
      <c r="BC525" s="33">
        <f>ROUND(SUM($L525:$U525)+SUM($AF525:$AO525),2)</f>
      </c>
    </row>
    <row r="526" spans="1:55" x14ac:dyDescent="0.25">
      <c r="A526">
        <v>519</v>
      </c>
      <c r="B526" s="33">
        <f>IF(AP525&lt;=0,0,ROUND(AP525+ROUND(AP525*V$3/12,2),2))</f>
      </c>
      <c r="C526" s="33">
        <f>IF(AQ525&lt;=0,0,ROUND(AQ525+ROUND(AQ525*W$3/12,2),2))</f>
      </c>
      <c r="D526" s="33">
        <f>IF(AR525&lt;=0,0,ROUND(AR525+ROUND(AR525*X$3/12,2),2))</f>
      </c>
      <c r="E526" s="33">
        <f>IF(AS525&lt;=0,0,ROUND(AS525+ROUND(AS525*Y$3/12,2),2))</f>
      </c>
      <c r="F526" s="33">
        <f>IF(AT525&lt;=0,0,ROUND(AT525+ROUND(AT525*Z$3/12,2),2))</f>
      </c>
      <c r="G526" s="33">
        <f>IF(AU525&lt;=0,0,ROUND(AU525+ROUND(AU525*AA$3/12,2),2))</f>
      </c>
      <c r="H526" s="33">
        <f>IF(AV525&lt;=0,0,ROUND(AV525+ROUND(AV525*AB$3/12,2),2))</f>
      </c>
      <c r="I526" s="33">
        <f>IF(AW525&lt;=0,0,ROUND(AW525+ROUND(AW525*AC$3/12,2),2))</f>
      </c>
      <c r="J526" s="33">
        <f>IF(AX525&lt;=0,0,ROUND(AX525+ROUND(AX525*AD$3/12,2),2))</f>
      </c>
      <c r="K526" s="33">
        <f>IF(AY525&lt;=0,0,ROUND(AY525+ROUND(AY525*AE$3/12,2),2))</f>
      </c>
      <c r="L526" s="33">
        <f>ROUND(MIN(MAX(0,N('Your debts'!$E$6)),B526),2)</f>
      </c>
      <c r="M526" s="33">
        <f>ROUND(MIN(MAX(0,N('Your debts'!$E$7)),C526),2)</f>
      </c>
      <c r="N526" s="33">
        <f>ROUND(MIN(MAX(0,N('Your debts'!$E$8)),D526),2)</f>
      </c>
      <c r="O526" s="33">
        <f>ROUND(MIN(MAX(0,N('Your debts'!$E$9)),E526),2)</f>
      </c>
      <c r="P526" s="33">
        <f>ROUND(MIN(MAX(0,N('Your debts'!$E$10)),F526),2)</f>
      </c>
      <c r="Q526" s="33">
        <f>ROUND(MIN(MAX(0,N('Your debts'!$E$11)),G526),2)</f>
      </c>
      <c r="R526" s="33">
        <f>ROUND(MIN(MAX(0,N('Your debts'!$E$12)),H526),2)</f>
      </c>
      <c r="S526" s="33">
        <f>ROUND(MIN(MAX(0,N('Your debts'!$E$13)),I526),2)</f>
      </c>
      <c r="T526" s="33">
        <f>ROUND(MIN(MAX(0,N('Your debts'!$E$14)),J526),2)</f>
      </c>
      <c r="U526" s="33">
        <f>ROUND(MIN(MAX(0,N('Your debts'!$E$15)),K526),2)</f>
      </c>
      <c r="V526" s="33">
        <f>ROUND(B526-L526,2)</f>
      </c>
      <c r="W526" s="33">
        <f>ROUND(C526-M526,2)</f>
      </c>
      <c r="X526" s="33">
        <f>ROUND(D526-N526,2)</f>
      </c>
      <c r="Y526" s="33">
        <f>ROUND(E526-O526,2)</f>
      </c>
      <c r="Z526" s="33">
        <f>ROUND(F526-P526,2)</f>
      </c>
      <c r="AA526" s="33">
        <f>ROUND(G526-Q526,2)</f>
      </c>
      <c r="AB526" s="33">
        <f>ROUND(H526-R526,2)</f>
      </c>
      <c r="AC526" s="33">
        <f>ROUND(I526-S526,2)</f>
      </c>
      <c r="AD526" s="33">
        <f>ROUND(J526-T526,2)</f>
      </c>
      <c r="AE526" s="33">
        <f>ROUND(K526-U526,2)</f>
      </c>
      <c r="AF526" s="33">
        <f>IF(V526&lt;=0,0,MAX(0,MIN(V526,ROUND($AZ526-SUMPRODUCT($V526:$AE526*($V526:$AE526&gt;0)*(($V$3:$AE$3&gt;V$3)+($V$3:$AE$3=V$3)*($V526:$AE526&lt;V526)+($V$3:$AE$3=V$3)*($V526:$AE526=V526)*($V$2:$AE$2&lt;V$2))),2))))</f>
      </c>
      <c r="AG526" s="33">
        <f>IF(W526&lt;=0,0,MAX(0,MIN(W526,ROUND($AZ526-SUMPRODUCT($V526:$AE526*($V526:$AE526&gt;0)*(($V$3:$AE$3&gt;W$3)+($V$3:$AE$3=W$3)*($V526:$AE526&lt;W526)+($V$3:$AE$3=W$3)*($V526:$AE526=W526)*($V$2:$AE$2&lt;W$2))),2))))</f>
      </c>
      <c r="AH526" s="33">
        <f>IF(X526&lt;=0,0,MAX(0,MIN(X526,ROUND($AZ526-SUMPRODUCT($V526:$AE526*($V526:$AE526&gt;0)*(($V$3:$AE$3&gt;X$3)+($V$3:$AE$3=X$3)*($V526:$AE526&lt;X526)+($V$3:$AE$3=X$3)*($V526:$AE526=X526)*($V$2:$AE$2&lt;X$2))),2))))</f>
      </c>
      <c r="AI526" s="33">
        <f>IF(Y526&lt;=0,0,MAX(0,MIN(Y526,ROUND($AZ526-SUMPRODUCT($V526:$AE526*($V526:$AE526&gt;0)*(($V$3:$AE$3&gt;Y$3)+($V$3:$AE$3=Y$3)*($V526:$AE526&lt;Y526)+($V$3:$AE$3=Y$3)*($V526:$AE526=Y526)*($V$2:$AE$2&lt;Y$2))),2))))</f>
      </c>
      <c r="AJ526" s="33">
        <f>IF(Z526&lt;=0,0,MAX(0,MIN(Z526,ROUND($AZ526-SUMPRODUCT($V526:$AE526*($V526:$AE526&gt;0)*(($V$3:$AE$3&gt;Z$3)+($V$3:$AE$3=Z$3)*($V526:$AE526&lt;Z526)+($V$3:$AE$3=Z$3)*($V526:$AE526=Z526)*($V$2:$AE$2&lt;Z$2))),2))))</f>
      </c>
      <c r="AK526" s="33">
        <f>IF(AA526&lt;=0,0,MAX(0,MIN(AA526,ROUND($AZ526-SUMPRODUCT($V526:$AE526*($V526:$AE526&gt;0)*(($V$3:$AE$3&gt;AA$3)+($V$3:$AE$3=AA$3)*($V526:$AE526&lt;AA526)+($V$3:$AE$3=AA$3)*($V526:$AE526=AA526)*($V$2:$AE$2&lt;AA$2))),2))))</f>
      </c>
      <c r="AL526" s="33">
        <f>IF(AB526&lt;=0,0,MAX(0,MIN(AB526,ROUND($AZ526-SUMPRODUCT($V526:$AE526*($V526:$AE526&gt;0)*(($V$3:$AE$3&gt;AB$3)+($V$3:$AE$3=AB$3)*($V526:$AE526&lt;AB526)+($V$3:$AE$3=AB$3)*($V526:$AE526=AB526)*($V$2:$AE$2&lt;AB$2))),2))))</f>
      </c>
      <c r="AM526" s="33">
        <f>IF(AC526&lt;=0,0,MAX(0,MIN(AC526,ROUND($AZ526-SUMPRODUCT($V526:$AE526*($V526:$AE526&gt;0)*(($V$3:$AE$3&gt;AC$3)+($V$3:$AE$3=AC$3)*($V526:$AE526&lt;AC526)+($V$3:$AE$3=AC$3)*($V526:$AE526=AC526)*($V$2:$AE$2&lt;AC$2))),2))))</f>
      </c>
      <c r="AN526" s="33">
        <f>IF(AD526&lt;=0,0,MAX(0,MIN(AD526,ROUND($AZ526-SUMPRODUCT($V526:$AE526*($V526:$AE526&gt;0)*(($V$3:$AE$3&gt;AD$3)+($V$3:$AE$3=AD$3)*($V526:$AE526&lt;AD526)+($V$3:$AE$3=AD$3)*($V526:$AE526=AD526)*($V$2:$AE$2&lt;AD$2))),2))))</f>
      </c>
      <c r="AO526" s="33">
        <f>IF(AE526&lt;=0,0,MAX(0,MIN(AE526,ROUND($AZ526-SUMPRODUCT($V526:$AE526*($V526:$AE526&gt;0)*(($V$3:$AE$3&gt;AE$3)+($V$3:$AE$3=AE$3)*($V526:$AE526&lt;AE526)+($V$3:$AE$3=AE$3)*($V526:$AE526=AE526)*($V$2:$AE$2&lt;AE$2))),2))))</f>
      </c>
      <c r="AP526" s="33">
        <f>ROUND(V526-AF526,2)</f>
      </c>
      <c r="AQ526" s="33">
        <f>ROUND(W526-AG526,2)</f>
      </c>
      <c r="AR526" s="33">
        <f>ROUND(X526-AH526,2)</f>
      </c>
      <c r="AS526" s="33">
        <f>ROUND(Y526-AI526,2)</f>
      </c>
      <c r="AT526" s="33">
        <f>ROUND(Z526-AJ526,2)</f>
      </c>
      <c r="AU526" s="33">
        <f>ROUND(AA526-AK526,2)</f>
      </c>
      <c r="AV526" s="33">
        <f>ROUND(AB526-AL526,2)</f>
      </c>
      <c r="AW526" s="33">
        <f>ROUND(AC526-AM526,2)</f>
      </c>
      <c r="AX526" s="33">
        <f>ROUND(AD526-AN526,2)</f>
      </c>
      <c r="AY526" s="33">
        <f>ROUND(AE526-AO526,2)</f>
      </c>
      <c r="AZ526" s="33">
        <f>ROUND(MAX(0,'Your debts'!$D$22-SUM($L526:$U526)),2)</f>
      </c>
      <c r="BA526" s="33">
        <f>ROUND(SUM($B526:$K526)-SUM($AP525:$AY525),2)</f>
      </c>
      <c r="BB526" s="33">
        <f>SUM($AP526:$AY526)</f>
      </c>
      <c r="BC526" s="33">
        <f>ROUND(SUM($L526:$U526)+SUM($AF526:$AO526),2)</f>
      </c>
    </row>
    <row r="527" spans="1:55" x14ac:dyDescent="0.25">
      <c r="A527">
        <v>520</v>
      </c>
      <c r="B527" s="33">
        <f>IF(AP526&lt;=0,0,ROUND(AP526+ROUND(AP526*V$3/12,2),2))</f>
      </c>
      <c r="C527" s="33">
        <f>IF(AQ526&lt;=0,0,ROUND(AQ526+ROUND(AQ526*W$3/12,2),2))</f>
      </c>
      <c r="D527" s="33">
        <f>IF(AR526&lt;=0,0,ROUND(AR526+ROUND(AR526*X$3/12,2),2))</f>
      </c>
      <c r="E527" s="33">
        <f>IF(AS526&lt;=0,0,ROUND(AS526+ROUND(AS526*Y$3/12,2),2))</f>
      </c>
      <c r="F527" s="33">
        <f>IF(AT526&lt;=0,0,ROUND(AT526+ROUND(AT526*Z$3/12,2),2))</f>
      </c>
      <c r="G527" s="33">
        <f>IF(AU526&lt;=0,0,ROUND(AU526+ROUND(AU526*AA$3/12,2),2))</f>
      </c>
      <c r="H527" s="33">
        <f>IF(AV526&lt;=0,0,ROUND(AV526+ROUND(AV526*AB$3/12,2),2))</f>
      </c>
      <c r="I527" s="33">
        <f>IF(AW526&lt;=0,0,ROUND(AW526+ROUND(AW526*AC$3/12,2),2))</f>
      </c>
      <c r="J527" s="33">
        <f>IF(AX526&lt;=0,0,ROUND(AX526+ROUND(AX526*AD$3/12,2),2))</f>
      </c>
      <c r="K527" s="33">
        <f>IF(AY526&lt;=0,0,ROUND(AY526+ROUND(AY526*AE$3/12,2),2))</f>
      </c>
      <c r="L527" s="33">
        <f>ROUND(MIN(MAX(0,N('Your debts'!$E$6)),B527),2)</f>
      </c>
      <c r="M527" s="33">
        <f>ROUND(MIN(MAX(0,N('Your debts'!$E$7)),C527),2)</f>
      </c>
      <c r="N527" s="33">
        <f>ROUND(MIN(MAX(0,N('Your debts'!$E$8)),D527),2)</f>
      </c>
      <c r="O527" s="33">
        <f>ROUND(MIN(MAX(0,N('Your debts'!$E$9)),E527),2)</f>
      </c>
      <c r="P527" s="33">
        <f>ROUND(MIN(MAX(0,N('Your debts'!$E$10)),F527),2)</f>
      </c>
      <c r="Q527" s="33">
        <f>ROUND(MIN(MAX(0,N('Your debts'!$E$11)),G527),2)</f>
      </c>
      <c r="R527" s="33">
        <f>ROUND(MIN(MAX(0,N('Your debts'!$E$12)),H527),2)</f>
      </c>
      <c r="S527" s="33">
        <f>ROUND(MIN(MAX(0,N('Your debts'!$E$13)),I527),2)</f>
      </c>
      <c r="T527" s="33">
        <f>ROUND(MIN(MAX(0,N('Your debts'!$E$14)),J527),2)</f>
      </c>
      <c r="U527" s="33">
        <f>ROUND(MIN(MAX(0,N('Your debts'!$E$15)),K527),2)</f>
      </c>
      <c r="V527" s="33">
        <f>ROUND(B527-L527,2)</f>
      </c>
      <c r="W527" s="33">
        <f>ROUND(C527-M527,2)</f>
      </c>
      <c r="X527" s="33">
        <f>ROUND(D527-N527,2)</f>
      </c>
      <c r="Y527" s="33">
        <f>ROUND(E527-O527,2)</f>
      </c>
      <c r="Z527" s="33">
        <f>ROUND(F527-P527,2)</f>
      </c>
      <c r="AA527" s="33">
        <f>ROUND(G527-Q527,2)</f>
      </c>
      <c r="AB527" s="33">
        <f>ROUND(H527-R527,2)</f>
      </c>
      <c r="AC527" s="33">
        <f>ROUND(I527-S527,2)</f>
      </c>
      <c r="AD527" s="33">
        <f>ROUND(J527-T527,2)</f>
      </c>
      <c r="AE527" s="33">
        <f>ROUND(K527-U527,2)</f>
      </c>
      <c r="AF527" s="33">
        <f>IF(V527&lt;=0,0,MAX(0,MIN(V527,ROUND($AZ527-SUMPRODUCT($V527:$AE527*($V527:$AE527&gt;0)*(($V$3:$AE$3&gt;V$3)+($V$3:$AE$3=V$3)*($V527:$AE527&lt;V527)+($V$3:$AE$3=V$3)*($V527:$AE527=V527)*($V$2:$AE$2&lt;V$2))),2))))</f>
      </c>
      <c r="AG527" s="33">
        <f>IF(W527&lt;=0,0,MAX(0,MIN(W527,ROUND($AZ527-SUMPRODUCT($V527:$AE527*($V527:$AE527&gt;0)*(($V$3:$AE$3&gt;W$3)+($V$3:$AE$3=W$3)*($V527:$AE527&lt;W527)+($V$3:$AE$3=W$3)*($V527:$AE527=W527)*($V$2:$AE$2&lt;W$2))),2))))</f>
      </c>
      <c r="AH527" s="33">
        <f>IF(X527&lt;=0,0,MAX(0,MIN(X527,ROUND($AZ527-SUMPRODUCT($V527:$AE527*($V527:$AE527&gt;0)*(($V$3:$AE$3&gt;X$3)+($V$3:$AE$3=X$3)*($V527:$AE527&lt;X527)+($V$3:$AE$3=X$3)*($V527:$AE527=X527)*($V$2:$AE$2&lt;X$2))),2))))</f>
      </c>
      <c r="AI527" s="33">
        <f>IF(Y527&lt;=0,0,MAX(0,MIN(Y527,ROUND($AZ527-SUMPRODUCT($V527:$AE527*($V527:$AE527&gt;0)*(($V$3:$AE$3&gt;Y$3)+($V$3:$AE$3=Y$3)*($V527:$AE527&lt;Y527)+($V$3:$AE$3=Y$3)*($V527:$AE527=Y527)*($V$2:$AE$2&lt;Y$2))),2))))</f>
      </c>
      <c r="AJ527" s="33">
        <f>IF(Z527&lt;=0,0,MAX(0,MIN(Z527,ROUND($AZ527-SUMPRODUCT($V527:$AE527*($V527:$AE527&gt;0)*(($V$3:$AE$3&gt;Z$3)+($V$3:$AE$3=Z$3)*($V527:$AE527&lt;Z527)+($V$3:$AE$3=Z$3)*($V527:$AE527=Z527)*($V$2:$AE$2&lt;Z$2))),2))))</f>
      </c>
      <c r="AK527" s="33">
        <f>IF(AA527&lt;=0,0,MAX(0,MIN(AA527,ROUND($AZ527-SUMPRODUCT($V527:$AE527*($V527:$AE527&gt;0)*(($V$3:$AE$3&gt;AA$3)+($V$3:$AE$3=AA$3)*($V527:$AE527&lt;AA527)+($V$3:$AE$3=AA$3)*($V527:$AE527=AA527)*($V$2:$AE$2&lt;AA$2))),2))))</f>
      </c>
      <c r="AL527" s="33">
        <f>IF(AB527&lt;=0,0,MAX(0,MIN(AB527,ROUND($AZ527-SUMPRODUCT($V527:$AE527*($V527:$AE527&gt;0)*(($V$3:$AE$3&gt;AB$3)+($V$3:$AE$3=AB$3)*($V527:$AE527&lt;AB527)+($V$3:$AE$3=AB$3)*($V527:$AE527=AB527)*($V$2:$AE$2&lt;AB$2))),2))))</f>
      </c>
      <c r="AM527" s="33">
        <f>IF(AC527&lt;=0,0,MAX(0,MIN(AC527,ROUND($AZ527-SUMPRODUCT($V527:$AE527*($V527:$AE527&gt;0)*(($V$3:$AE$3&gt;AC$3)+($V$3:$AE$3=AC$3)*($V527:$AE527&lt;AC527)+($V$3:$AE$3=AC$3)*($V527:$AE527=AC527)*($V$2:$AE$2&lt;AC$2))),2))))</f>
      </c>
      <c r="AN527" s="33">
        <f>IF(AD527&lt;=0,0,MAX(0,MIN(AD527,ROUND($AZ527-SUMPRODUCT($V527:$AE527*($V527:$AE527&gt;0)*(($V$3:$AE$3&gt;AD$3)+($V$3:$AE$3=AD$3)*($V527:$AE527&lt;AD527)+($V$3:$AE$3=AD$3)*($V527:$AE527=AD527)*($V$2:$AE$2&lt;AD$2))),2))))</f>
      </c>
      <c r="AO527" s="33">
        <f>IF(AE527&lt;=0,0,MAX(0,MIN(AE527,ROUND($AZ527-SUMPRODUCT($V527:$AE527*($V527:$AE527&gt;0)*(($V$3:$AE$3&gt;AE$3)+($V$3:$AE$3=AE$3)*($V527:$AE527&lt;AE527)+($V$3:$AE$3=AE$3)*($V527:$AE527=AE527)*($V$2:$AE$2&lt;AE$2))),2))))</f>
      </c>
      <c r="AP527" s="33">
        <f>ROUND(V527-AF527,2)</f>
      </c>
      <c r="AQ527" s="33">
        <f>ROUND(W527-AG527,2)</f>
      </c>
      <c r="AR527" s="33">
        <f>ROUND(X527-AH527,2)</f>
      </c>
      <c r="AS527" s="33">
        <f>ROUND(Y527-AI527,2)</f>
      </c>
      <c r="AT527" s="33">
        <f>ROUND(Z527-AJ527,2)</f>
      </c>
      <c r="AU527" s="33">
        <f>ROUND(AA527-AK527,2)</f>
      </c>
      <c r="AV527" s="33">
        <f>ROUND(AB527-AL527,2)</f>
      </c>
      <c r="AW527" s="33">
        <f>ROUND(AC527-AM527,2)</f>
      </c>
      <c r="AX527" s="33">
        <f>ROUND(AD527-AN527,2)</f>
      </c>
      <c r="AY527" s="33">
        <f>ROUND(AE527-AO527,2)</f>
      </c>
      <c r="AZ527" s="33">
        <f>ROUND(MAX(0,'Your debts'!$D$22-SUM($L527:$U527)),2)</f>
      </c>
      <c r="BA527" s="33">
        <f>ROUND(SUM($B527:$K527)-SUM($AP526:$AY526),2)</f>
      </c>
      <c r="BB527" s="33">
        <f>SUM($AP527:$AY527)</f>
      </c>
      <c r="BC527" s="33">
        <f>ROUND(SUM($L527:$U527)+SUM($AF527:$AO527),2)</f>
      </c>
    </row>
    <row r="528" spans="1:55" x14ac:dyDescent="0.25">
      <c r="A528">
        <v>521</v>
      </c>
      <c r="B528" s="33">
        <f>IF(AP527&lt;=0,0,ROUND(AP527+ROUND(AP527*V$3/12,2),2))</f>
      </c>
      <c r="C528" s="33">
        <f>IF(AQ527&lt;=0,0,ROUND(AQ527+ROUND(AQ527*W$3/12,2),2))</f>
      </c>
      <c r="D528" s="33">
        <f>IF(AR527&lt;=0,0,ROUND(AR527+ROUND(AR527*X$3/12,2),2))</f>
      </c>
      <c r="E528" s="33">
        <f>IF(AS527&lt;=0,0,ROUND(AS527+ROUND(AS527*Y$3/12,2),2))</f>
      </c>
      <c r="F528" s="33">
        <f>IF(AT527&lt;=0,0,ROUND(AT527+ROUND(AT527*Z$3/12,2),2))</f>
      </c>
      <c r="G528" s="33">
        <f>IF(AU527&lt;=0,0,ROUND(AU527+ROUND(AU527*AA$3/12,2),2))</f>
      </c>
      <c r="H528" s="33">
        <f>IF(AV527&lt;=0,0,ROUND(AV527+ROUND(AV527*AB$3/12,2),2))</f>
      </c>
      <c r="I528" s="33">
        <f>IF(AW527&lt;=0,0,ROUND(AW527+ROUND(AW527*AC$3/12,2),2))</f>
      </c>
      <c r="J528" s="33">
        <f>IF(AX527&lt;=0,0,ROUND(AX527+ROUND(AX527*AD$3/12,2),2))</f>
      </c>
      <c r="K528" s="33">
        <f>IF(AY527&lt;=0,0,ROUND(AY527+ROUND(AY527*AE$3/12,2),2))</f>
      </c>
      <c r="L528" s="33">
        <f>ROUND(MIN(MAX(0,N('Your debts'!$E$6)),B528),2)</f>
      </c>
      <c r="M528" s="33">
        <f>ROUND(MIN(MAX(0,N('Your debts'!$E$7)),C528),2)</f>
      </c>
      <c r="N528" s="33">
        <f>ROUND(MIN(MAX(0,N('Your debts'!$E$8)),D528),2)</f>
      </c>
      <c r="O528" s="33">
        <f>ROUND(MIN(MAX(0,N('Your debts'!$E$9)),E528),2)</f>
      </c>
      <c r="P528" s="33">
        <f>ROUND(MIN(MAX(0,N('Your debts'!$E$10)),F528),2)</f>
      </c>
      <c r="Q528" s="33">
        <f>ROUND(MIN(MAX(0,N('Your debts'!$E$11)),G528),2)</f>
      </c>
      <c r="R528" s="33">
        <f>ROUND(MIN(MAX(0,N('Your debts'!$E$12)),H528),2)</f>
      </c>
      <c r="S528" s="33">
        <f>ROUND(MIN(MAX(0,N('Your debts'!$E$13)),I528),2)</f>
      </c>
      <c r="T528" s="33">
        <f>ROUND(MIN(MAX(0,N('Your debts'!$E$14)),J528),2)</f>
      </c>
      <c r="U528" s="33">
        <f>ROUND(MIN(MAX(0,N('Your debts'!$E$15)),K528),2)</f>
      </c>
      <c r="V528" s="33">
        <f>ROUND(B528-L528,2)</f>
      </c>
      <c r="W528" s="33">
        <f>ROUND(C528-M528,2)</f>
      </c>
      <c r="X528" s="33">
        <f>ROUND(D528-N528,2)</f>
      </c>
      <c r="Y528" s="33">
        <f>ROUND(E528-O528,2)</f>
      </c>
      <c r="Z528" s="33">
        <f>ROUND(F528-P528,2)</f>
      </c>
      <c r="AA528" s="33">
        <f>ROUND(G528-Q528,2)</f>
      </c>
      <c r="AB528" s="33">
        <f>ROUND(H528-R528,2)</f>
      </c>
      <c r="AC528" s="33">
        <f>ROUND(I528-S528,2)</f>
      </c>
      <c r="AD528" s="33">
        <f>ROUND(J528-T528,2)</f>
      </c>
      <c r="AE528" s="33">
        <f>ROUND(K528-U528,2)</f>
      </c>
      <c r="AF528" s="33">
        <f>IF(V528&lt;=0,0,MAX(0,MIN(V528,ROUND($AZ528-SUMPRODUCT($V528:$AE528*($V528:$AE528&gt;0)*(($V$3:$AE$3&gt;V$3)+($V$3:$AE$3=V$3)*($V528:$AE528&lt;V528)+($V$3:$AE$3=V$3)*($V528:$AE528=V528)*($V$2:$AE$2&lt;V$2))),2))))</f>
      </c>
      <c r="AG528" s="33">
        <f>IF(W528&lt;=0,0,MAX(0,MIN(W528,ROUND($AZ528-SUMPRODUCT($V528:$AE528*($V528:$AE528&gt;0)*(($V$3:$AE$3&gt;W$3)+($V$3:$AE$3=W$3)*($V528:$AE528&lt;W528)+($V$3:$AE$3=W$3)*($V528:$AE528=W528)*($V$2:$AE$2&lt;W$2))),2))))</f>
      </c>
      <c r="AH528" s="33">
        <f>IF(X528&lt;=0,0,MAX(0,MIN(X528,ROUND($AZ528-SUMPRODUCT($V528:$AE528*($V528:$AE528&gt;0)*(($V$3:$AE$3&gt;X$3)+($V$3:$AE$3=X$3)*($V528:$AE528&lt;X528)+($V$3:$AE$3=X$3)*($V528:$AE528=X528)*($V$2:$AE$2&lt;X$2))),2))))</f>
      </c>
      <c r="AI528" s="33">
        <f>IF(Y528&lt;=0,0,MAX(0,MIN(Y528,ROUND($AZ528-SUMPRODUCT($V528:$AE528*($V528:$AE528&gt;0)*(($V$3:$AE$3&gt;Y$3)+($V$3:$AE$3=Y$3)*($V528:$AE528&lt;Y528)+($V$3:$AE$3=Y$3)*($V528:$AE528=Y528)*($V$2:$AE$2&lt;Y$2))),2))))</f>
      </c>
      <c r="AJ528" s="33">
        <f>IF(Z528&lt;=0,0,MAX(0,MIN(Z528,ROUND($AZ528-SUMPRODUCT($V528:$AE528*($V528:$AE528&gt;0)*(($V$3:$AE$3&gt;Z$3)+($V$3:$AE$3=Z$3)*($V528:$AE528&lt;Z528)+($V$3:$AE$3=Z$3)*($V528:$AE528=Z528)*($V$2:$AE$2&lt;Z$2))),2))))</f>
      </c>
      <c r="AK528" s="33">
        <f>IF(AA528&lt;=0,0,MAX(0,MIN(AA528,ROUND($AZ528-SUMPRODUCT($V528:$AE528*($V528:$AE528&gt;0)*(($V$3:$AE$3&gt;AA$3)+($V$3:$AE$3=AA$3)*($V528:$AE528&lt;AA528)+($V$3:$AE$3=AA$3)*($V528:$AE528=AA528)*($V$2:$AE$2&lt;AA$2))),2))))</f>
      </c>
      <c r="AL528" s="33">
        <f>IF(AB528&lt;=0,0,MAX(0,MIN(AB528,ROUND($AZ528-SUMPRODUCT($V528:$AE528*($V528:$AE528&gt;0)*(($V$3:$AE$3&gt;AB$3)+($V$3:$AE$3=AB$3)*($V528:$AE528&lt;AB528)+($V$3:$AE$3=AB$3)*($V528:$AE528=AB528)*($V$2:$AE$2&lt;AB$2))),2))))</f>
      </c>
      <c r="AM528" s="33">
        <f>IF(AC528&lt;=0,0,MAX(0,MIN(AC528,ROUND($AZ528-SUMPRODUCT($V528:$AE528*($V528:$AE528&gt;0)*(($V$3:$AE$3&gt;AC$3)+($V$3:$AE$3=AC$3)*($V528:$AE528&lt;AC528)+($V$3:$AE$3=AC$3)*($V528:$AE528=AC528)*($V$2:$AE$2&lt;AC$2))),2))))</f>
      </c>
      <c r="AN528" s="33">
        <f>IF(AD528&lt;=0,0,MAX(0,MIN(AD528,ROUND($AZ528-SUMPRODUCT($V528:$AE528*($V528:$AE528&gt;0)*(($V$3:$AE$3&gt;AD$3)+($V$3:$AE$3=AD$3)*($V528:$AE528&lt;AD528)+($V$3:$AE$3=AD$3)*($V528:$AE528=AD528)*($V$2:$AE$2&lt;AD$2))),2))))</f>
      </c>
      <c r="AO528" s="33">
        <f>IF(AE528&lt;=0,0,MAX(0,MIN(AE528,ROUND($AZ528-SUMPRODUCT($V528:$AE528*($V528:$AE528&gt;0)*(($V$3:$AE$3&gt;AE$3)+($V$3:$AE$3=AE$3)*($V528:$AE528&lt;AE528)+($V$3:$AE$3=AE$3)*($V528:$AE528=AE528)*($V$2:$AE$2&lt;AE$2))),2))))</f>
      </c>
      <c r="AP528" s="33">
        <f>ROUND(V528-AF528,2)</f>
      </c>
      <c r="AQ528" s="33">
        <f>ROUND(W528-AG528,2)</f>
      </c>
      <c r="AR528" s="33">
        <f>ROUND(X528-AH528,2)</f>
      </c>
      <c r="AS528" s="33">
        <f>ROUND(Y528-AI528,2)</f>
      </c>
      <c r="AT528" s="33">
        <f>ROUND(Z528-AJ528,2)</f>
      </c>
      <c r="AU528" s="33">
        <f>ROUND(AA528-AK528,2)</f>
      </c>
      <c r="AV528" s="33">
        <f>ROUND(AB528-AL528,2)</f>
      </c>
      <c r="AW528" s="33">
        <f>ROUND(AC528-AM528,2)</f>
      </c>
      <c r="AX528" s="33">
        <f>ROUND(AD528-AN528,2)</f>
      </c>
      <c r="AY528" s="33">
        <f>ROUND(AE528-AO528,2)</f>
      </c>
      <c r="AZ528" s="33">
        <f>ROUND(MAX(0,'Your debts'!$D$22-SUM($L528:$U528)),2)</f>
      </c>
      <c r="BA528" s="33">
        <f>ROUND(SUM($B528:$K528)-SUM($AP527:$AY527),2)</f>
      </c>
      <c r="BB528" s="33">
        <f>SUM($AP528:$AY528)</f>
      </c>
      <c r="BC528" s="33">
        <f>ROUND(SUM($L528:$U528)+SUM($AF528:$AO528),2)</f>
      </c>
    </row>
    <row r="529" spans="1:55" x14ac:dyDescent="0.25">
      <c r="A529">
        <v>522</v>
      </c>
      <c r="B529" s="33">
        <f>IF(AP528&lt;=0,0,ROUND(AP528+ROUND(AP528*V$3/12,2),2))</f>
      </c>
      <c r="C529" s="33">
        <f>IF(AQ528&lt;=0,0,ROUND(AQ528+ROUND(AQ528*W$3/12,2),2))</f>
      </c>
      <c r="D529" s="33">
        <f>IF(AR528&lt;=0,0,ROUND(AR528+ROUND(AR528*X$3/12,2),2))</f>
      </c>
      <c r="E529" s="33">
        <f>IF(AS528&lt;=0,0,ROUND(AS528+ROUND(AS528*Y$3/12,2),2))</f>
      </c>
      <c r="F529" s="33">
        <f>IF(AT528&lt;=0,0,ROUND(AT528+ROUND(AT528*Z$3/12,2),2))</f>
      </c>
      <c r="G529" s="33">
        <f>IF(AU528&lt;=0,0,ROUND(AU528+ROUND(AU528*AA$3/12,2),2))</f>
      </c>
      <c r="H529" s="33">
        <f>IF(AV528&lt;=0,0,ROUND(AV528+ROUND(AV528*AB$3/12,2),2))</f>
      </c>
      <c r="I529" s="33">
        <f>IF(AW528&lt;=0,0,ROUND(AW528+ROUND(AW528*AC$3/12,2),2))</f>
      </c>
      <c r="J529" s="33">
        <f>IF(AX528&lt;=0,0,ROUND(AX528+ROUND(AX528*AD$3/12,2),2))</f>
      </c>
      <c r="K529" s="33">
        <f>IF(AY528&lt;=0,0,ROUND(AY528+ROUND(AY528*AE$3/12,2),2))</f>
      </c>
      <c r="L529" s="33">
        <f>ROUND(MIN(MAX(0,N('Your debts'!$E$6)),B529),2)</f>
      </c>
      <c r="M529" s="33">
        <f>ROUND(MIN(MAX(0,N('Your debts'!$E$7)),C529),2)</f>
      </c>
      <c r="N529" s="33">
        <f>ROUND(MIN(MAX(0,N('Your debts'!$E$8)),D529),2)</f>
      </c>
      <c r="O529" s="33">
        <f>ROUND(MIN(MAX(0,N('Your debts'!$E$9)),E529),2)</f>
      </c>
      <c r="P529" s="33">
        <f>ROUND(MIN(MAX(0,N('Your debts'!$E$10)),F529),2)</f>
      </c>
      <c r="Q529" s="33">
        <f>ROUND(MIN(MAX(0,N('Your debts'!$E$11)),G529),2)</f>
      </c>
      <c r="R529" s="33">
        <f>ROUND(MIN(MAX(0,N('Your debts'!$E$12)),H529),2)</f>
      </c>
      <c r="S529" s="33">
        <f>ROUND(MIN(MAX(0,N('Your debts'!$E$13)),I529),2)</f>
      </c>
      <c r="T529" s="33">
        <f>ROUND(MIN(MAX(0,N('Your debts'!$E$14)),J529),2)</f>
      </c>
      <c r="U529" s="33">
        <f>ROUND(MIN(MAX(0,N('Your debts'!$E$15)),K529),2)</f>
      </c>
      <c r="V529" s="33">
        <f>ROUND(B529-L529,2)</f>
      </c>
      <c r="W529" s="33">
        <f>ROUND(C529-M529,2)</f>
      </c>
      <c r="X529" s="33">
        <f>ROUND(D529-N529,2)</f>
      </c>
      <c r="Y529" s="33">
        <f>ROUND(E529-O529,2)</f>
      </c>
      <c r="Z529" s="33">
        <f>ROUND(F529-P529,2)</f>
      </c>
      <c r="AA529" s="33">
        <f>ROUND(G529-Q529,2)</f>
      </c>
      <c r="AB529" s="33">
        <f>ROUND(H529-R529,2)</f>
      </c>
      <c r="AC529" s="33">
        <f>ROUND(I529-S529,2)</f>
      </c>
      <c r="AD529" s="33">
        <f>ROUND(J529-T529,2)</f>
      </c>
      <c r="AE529" s="33">
        <f>ROUND(K529-U529,2)</f>
      </c>
      <c r="AF529" s="33">
        <f>IF(V529&lt;=0,0,MAX(0,MIN(V529,ROUND($AZ529-SUMPRODUCT($V529:$AE529*($V529:$AE529&gt;0)*(($V$3:$AE$3&gt;V$3)+($V$3:$AE$3=V$3)*($V529:$AE529&lt;V529)+($V$3:$AE$3=V$3)*($V529:$AE529=V529)*($V$2:$AE$2&lt;V$2))),2))))</f>
      </c>
      <c r="AG529" s="33">
        <f>IF(W529&lt;=0,0,MAX(0,MIN(W529,ROUND($AZ529-SUMPRODUCT($V529:$AE529*($V529:$AE529&gt;0)*(($V$3:$AE$3&gt;W$3)+($V$3:$AE$3=W$3)*($V529:$AE529&lt;W529)+($V$3:$AE$3=W$3)*($V529:$AE529=W529)*($V$2:$AE$2&lt;W$2))),2))))</f>
      </c>
      <c r="AH529" s="33">
        <f>IF(X529&lt;=0,0,MAX(0,MIN(X529,ROUND($AZ529-SUMPRODUCT($V529:$AE529*($V529:$AE529&gt;0)*(($V$3:$AE$3&gt;X$3)+($V$3:$AE$3=X$3)*($V529:$AE529&lt;X529)+($V$3:$AE$3=X$3)*($V529:$AE529=X529)*($V$2:$AE$2&lt;X$2))),2))))</f>
      </c>
      <c r="AI529" s="33">
        <f>IF(Y529&lt;=0,0,MAX(0,MIN(Y529,ROUND($AZ529-SUMPRODUCT($V529:$AE529*($V529:$AE529&gt;0)*(($V$3:$AE$3&gt;Y$3)+($V$3:$AE$3=Y$3)*($V529:$AE529&lt;Y529)+($V$3:$AE$3=Y$3)*($V529:$AE529=Y529)*($V$2:$AE$2&lt;Y$2))),2))))</f>
      </c>
      <c r="AJ529" s="33">
        <f>IF(Z529&lt;=0,0,MAX(0,MIN(Z529,ROUND($AZ529-SUMPRODUCT($V529:$AE529*($V529:$AE529&gt;0)*(($V$3:$AE$3&gt;Z$3)+($V$3:$AE$3=Z$3)*($V529:$AE529&lt;Z529)+($V$3:$AE$3=Z$3)*($V529:$AE529=Z529)*($V$2:$AE$2&lt;Z$2))),2))))</f>
      </c>
      <c r="AK529" s="33">
        <f>IF(AA529&lt;=0,0,MAX(0,MIN(AA529,ROUND($AZ529-SUMPRODUCT($V529:$AE529*($V529:$AE529&gt;0)*(($V$3:$AE$3&gt;AA$3)+($V$3:$AE$3=AA$3)*($V529:$AE529&lt;AA529)+($V$3:$AE$3=AA$3)*($V529:$AE529=AA529)*($V$2:$AE$2&lt;AA$2))),2))))</f>
      </c>
      <c r="AL529" s="33">
        <f>IF(AB529&lt;=0,0,MAX(0,MIN(AB529,ROUND($AZ529-SUMPRODUCT($V529:$AE529*($V529:$AE529&gt;0)*(($V$3:$AE$3&gt;AB$3)+($V$3:$AE$3=AB$3)*($V529:$AE529&lt;AB529)+($V$3:$AE$3=AB$3)*($V529:$AE529=AB529)*($V$2:$AE$2&lt;AB$2))),2))))</f>
      </c>
      <c r="AM529" s="33">
        <f>IF(AC529&lt;=0,0,MAX(0,MIN(AC529,ROUND($AZ529-SUMPRODUCT($V529:$AE529*($V529:$AE529&gt;0)*(($V$3:$AE$3&gt;AC$3)+($V$3:$AE$3=AC$3)*($V529:$AE529&lt;AC529)+($V$3:$AE$3=AC$3)*($V529:$AE529=AC529)*($V$2:$AE$2&lt;AC$2))),2))))</f>
      </c>
      <c r="AN529" s="33">
        <f>IF(AD529&lt;=0,0,MAX(0,MIN(AD529,ROUND($AZ529-SUMPRODUCT($V529:$AE529*($V529:$AE529&gt;0)*(($V$3:$AE$3&gt;AD$3)+($V$3:$AE$3=AD$3)*($V529:$AE529&lt;AD529)+($V$3:$AE$3=AD$3)*($V529:$AE529=AD529)*($V$2:$AE$2&lt;AD$2))),2))))</f>
      </c>
      <c r="AO529" s="33">
        <f>IF(AE529&lt;=0,0,MAX(0,MIN(AE529,ROUND($AZ529-SUMPRODUCT($V529:$AE529*($V529:$AE529&gt;0)*(($V$3:$AE$3&gt;AE$3)+($V$3:$AE$3=AE$3)*($V529:$AE529&lt;AE529)+($V$3:$AE$3=AE$3)*($V529:$AE529=AE529)*($V$2:$AE$2&lt;AE$2))),2))))</f>
      </c>
      <c r="AP529" s="33">
        <f>ROUND(V529-AF529,2)</f>
      </c>
      <c r="AQ529" s="33">
        <f>ROUND(W529-AG529,2)</f>
      </c>
      <c r="AR529" s="33">
        <f>ROUND(X529-AH529,2)</f>
      </c>
      <c r="AS529" s="33">
        <f>ROUND(Y529-AI529,2)</f>
      </c>
      <c r="AT529" s="33">
        <f>ROUND(Z529-AJ529,2)</f>
      </c>
      <c r="AU529" s="33">
        <f>ROUND(AA529-AK529,2)</f>
      </c>
      <c r="AV529" s="33">
        <f>ROUND(AB529-AL529,2)</f>
      </c>
      <c r="AW529" s="33">
        <f>ROUND(AC529-AM529,2)</f>
      </c>
      <c r="AX529" s="33">
        <f>ROUND(AD529-AN529,2)</f>
      </c>
      <c r="AY529" s="33">
        <f>ROUND(AE529-AO529,2)</f>
      </c>
      <c r="AZ529" s="33">
        <f>ROUND(MAX(0,'Your debts'!$D$22-SUM($L529:$U529)),2)</f>
      </c>
      <c r="BA529" s="33">
        <f>ROUND(SUM($B529:$K529)-SUM($AP528:$AY528),2)</f>
      </c>
      <c r="BB529" s="33">
        <f>SUM($AP529:$AY529)</f>
      </c>
      <c r="BC529" s="33">
        <f>ROUND(SUM($L529:$U529)+SUM($AF529:$AO529),2)</f>
      </c>
    </row>
    <row r="530" spans="1:55" x14ac:dyDescent="0.25">
      <c r="A530">
        <v>523</v>
      </c>
      <c r="B530" s="33">
        <f>IF(AP529&lt;=0,0,ROUND(AP529+ROUND(AP529*V$3/12,2),2))</f>
      </c>
      <c r="C530" s="33">
        <f>IF(AQ529&lt;=0,0,ROUND(AQ529+ROUND(AQ529*W$3/12,2),2))</f>
      </c>
      <c r="D530" s="33">
        <f>IF(AR529&lt;=0,0,ROUND(AR529+ROUND(AR529*X$3/12,2),2))</f>
      </c>
      <c r="E530" s="33">
        <f>IF(AS529&lt;=0,0,ROUND(AS529+ROUND(AS529*Y$3/12,2),2))</f>
      </c>
      <c r="F530" s="33">
        <f>IF(AT529&lt;=0,0,ROUND(AT529+ROUND(AT529*Z$3/12,2),2))</f>
      </c>
      <c r="G530" s="33">
        <f>IF(AU529&lt;=0,0,ROUND(AU529+ROUND(AU529*AA$3/12,2),2))</f>
      </c>
      <c r="H530" s="33">
        <f>IF(AV529&lt;=0,0,ROUND(AV529+ROUND(AV529*AB$3/12,2),2))</f>
      </c>
      <c r="I530" s="33">
        <f>IF(AW529&lt;=0,0,ROUND(AW529+ROUND(AW529*AC$3/12,2),2))</f>
      </c>
      <c r="J530" s="33">
        <f>IF(AX529&lt;=0,0,ROUND(AX529+ROUND(AX529*AD$3/12,2),2))</f>
      </c>
      <c r="K530" s="33">
        <f>IF(AY529&lt;=0,0,ROUND(AY529+ROUND(AY529*AE$3/12,2),2))</f>
      </c>
      <c r="L530" s="33">
        <f>ROUND(MIN(MAX(0,N('Your debts'!$E$6)),B530),2)</f>
      </c>
      <c r="M530" s="33">
        <f>ROUND(MIN(MAX(0,N('Your debts'!$E$7)),C530),2)</f>
      </c>
      <c r="N530" s="33">
        <f>ROUND(MIN(MAX(0,N('Your debts'!$E$8)),D530),2)</f>
      </c>
      <c r="O530" s="33">
        <f>ROUND(MIN(MAX(0,N('Your debts'!$E$9)),E530),2)</f>
      </c>
      <c r="P530" s="33">
        <f>ROUND(MIN(MAX(0,N('Your debts'!$E$10)),F530),2)</f>
      </c>
      <c r="Q530" s="33">
        <f>ROUND(MIN(MAX(0,N('Your debts'!$E$11)),G530),2)</f>
      </c>
      <c r="R530" s="33">
        <f>ROUND(MIN(MAX(0,N('Your debts'!$E$12)),H530),2)</f>
      </c>
      <c r="S530" s="33">
        <f>ROUND(MIN(MAX(0,N('Your debts'!$E$13)),I530),2)</f>
      </c>
      <c r="T530" s="33">
        <f>ROUND(MIN(MAX(0,N('Your debts'!$E$14)),J530),2)</f>
      </c>
      <c r="U530" s="33">
        <f>ROUND(MIN(MAX(0,N('Your debts'!$E$15)),K530),2)</f>
      </c>
      <c r="V530" s="33">
        <f>ROUND(B530-L530,2)</f>
      </c>
      <c r="W530" s="33">
        <f>ROUND(C530-M530,2)</f>
      </c>
      <c r="X530" s="33">
        <f>ROUND(D530-N530,2)</f>
      </c>
      <c r="Y530" s="33">
        <f>ROUND(E530-O530,2)</f>
      </c>
      <c r="Z530" s="33">
        <f>ROUND(F530-P530,2)</f>
      </c>
      <c r="AA530" s="33">
        <f>ROUND(G530-Q530,2)</f>
      </c>
      <c r="AB530" s="33">
        <f>ROUND(H530-R530,2)</f>
      </c>
      <c r="AC530" s="33">
        <f>ROUND(I530-S530,2)</f>
      </c>
      <c r="AD530" s="33">
        <f>ROUND(J530-T530,2)</f>
      </c>
      <c r="AE530" s="33">
        <f>ROUND(K530-U530,2)</f>
      </c>
      <c r="AF530" s="33">
        <f>IF(V530&lt;=0,0,MAX(0,MIN(V530,ROUND($AZ530-SUMPRODUCT($V530:$AE530*($V530:$AE530&gt;0)*(($V$3:$AE$3&gt;V$3)+($V$3:$AE$3=V$3)*($V530:$AE530&lt;V530)+($V$3:$AE$3=V$3)*($V530:$AE530=V530)*($V$2:$AE$2&lt;V$2))),2))))</f>
      </c>
      <c r="AG530" s="33">
        <f>IF(W530&lt;=0,0,MAX(0,MIN(W530,ROUND($AZ530-SUMPRODUCT($V530:$AE530*($V530:$AE530&gt;0)*(($V$3:$AE$3&gt;W$3)+($V$3:$AE$3=W$3)*($V530:$AE530&lt;W530)+($V$3:$AE$3=W$3)*($V530:$AE530=W530)*($V$2:$AE$2&lt;W$2))),2))))</f>
      </c>
      <c r="AH530" s="33">
        <f>IF(X530&lt;=0,0,MAX(0,MIN(X530,ROUND($AZ530-SUMPRODUCT($V530:$AE530*($V530:$AE530&gt;0)*(($V$3:$AE$3&gt;X$3)+($V$3:$AE$3=X$3)*($V530:$AE530&lt;X530)+($V$3:$AE$3=X$3)*($V530:$AE530=X530)*($V$2:$AE$2&lt;X$2))),2))))</f>
      </c>
      <c r="AI530" s="33">
        <f>IF(Y530&lt;=0,0,MAX(0,MIN(Y530,ROUND($AZ530-SUMPRODUCT($V530:$AE530*($V530:$AE530&gt;0)*(($V$3:$AE$3&gt;Y$3)+($V$3:$AE$3=Y$3)*($V530:$AE530&lt;Y530)+($V$3:$AE$3=Y$3)*($V530:$AE530=Y530)*($V$2:$AE$2&lt;Y$2))),2))))</f>
      </c>
      <c r="AJ530" s="33">
        <f>IF(Z530&lt;=0,0,MAX(0,MIN(Z530,ROUND($AZ530-SUMPRODUCT($V530:$AE530*($V530:$AE530&gt;0)*(($V$3:$AE$3&gt;Z$3)+($V$3:$AE$3=Z$3)*($V530:$AE530&lt;Z530)+($V$3:$AE$3=Z$3)*($V530:$AE530=Z530)*($V$2:$AE$2&lt;Z$2))),2))))</f>
      </c>
      <c r="AK530" s="33">
        <f>IF(AA530&lt;=0,0,MAX(0,MIN(AA530,ROUND($AZ530-SUMPRODUCT($V530:$AE530*($V530:$AE530&gt;0)*(($V$3:$AE$3&gt;AA$3)+($V$3:$AE$3=AA$3)*($V530:$AE530&lt;AA530)+($V$3:$AE$3=AA$3)*($V530:$AE530=AA530)*($V$2:$AE$2&lt;AA$2))),2))))</f>
      </c>
      <c r="AL530" s="33">
        <f>IF(AB530&lt;=0,0,MAX(0,MIN(AB530,ROUND($AZ530-SUMPRODUCT($V530:$AE530*($V530:$AE530&gt;0)*(($V$3:$AE$3&gt;AB$3)+($V$3:$AE$3=AB$3)*($V530:$AE530&lt;AB530)+($V$3:$AE$3=AB$3)*($V530:$AE530=AB530)*($V$2:$AE$2&lt;AB$2))),2))))</f>
      </c>
      <c r="AM530" s="33">
        <f>IF(AC530&lt;=0,0,MAX(0,MIN(AC530,ROUND($AZ530-SUMPRODUCT($V530:$AE530*($V530:$AE530&gt;0)*(($V$3:$AE$3&gt;AC$3)+($V$3:$AE$3=AC$3)*($V530:$AE530&lt;AC530)+($V$3:$AE$3=AC$3)*($V530:$AE530=AC530)*($V$2:$AE$2&lt;AC$2))),2))))</f>
      </c>
      <c r="AN530" s="33">
        <f>IF(AD530&lt;=0,0,MAX(0,MIN(AD530,ROUND($AZ530-SUMPRODUCT($V530:$AE530*($V530:$AE530&gt;0)*(($V$3:$AE$3&gt;AD$3)+($V$3:$AE$3=AD$3)*($V530:$AE530&lt;AD530)+($V$3:$AE$3=AD$3)*($V530:$AE530=AD530)*($V$2:$AE$2&lt;AD$2))),2))))</f>
      </c>
      <c r="AO530" s="33">
        <f>IF(AE530&lt;=0,0,MAX(0,MIN(AE530,ROUND($AZ530-SUMPRODUCT($V530:$AE530*($V530:$AE530&gt;0)*(($V$3:$AE$3&gt;AE$3)+($V$3:$AE$3=AE$3)*($V530:$AE530&lt;AE530)+($V$3:$AE$3=AE$3)*($V530:$AE530=AE530)*($V$2:$AE$2&lt;AE$2))),2))))</f>
      </c>
      <c r="AP530" s="33">
        <f>ROUND(V530-AF530,2)</f>
      </c>
      <c r="AQ530" s="33">
        <f>ROUND(W530-AG530,2)</f>
      </c>
      <c r="AR530" s="33">
        <f>ROUND(X530-AH530,2)</f>
      </c>
      <c r="AS530" s="33">
        <f>ROUND(Y530-AI530,2)</f>
      </c>
      <c r="AT530" s="33">
        <f>ROUND(Z530-AJ530,2)</f>
      </c>
      <c r="AU530" s="33">
        <f>ROUND(AA530-AK530,2)</f>
      </c>
      <c r="AV530" s="33">
        <f>ROUND(AB530-AL530,2)</f>
      </c>
      <c r="AW530" s="33">
        <f>ROUND(AC530-AM530,2)</f>
      </c>
      <c r="AX530" s="33">
        <f>ROUND(AD530-AN530,2)</f>
      </c>
      <c r="AY530" s="33">
        <f>ROUND(AE530-AO530,2)</f>
      </c>
      <c r="AZ530" s="33">
        <f>ROUND(MAX(0,'Your debts'!$D$22-SUM($L530:$U530)),2)</f>
      </c>
      <c r="BA530" s="33">
        <f>ROUND(SUM($B530:$K530)-SUM($AP529:$AY529),2)</f>
      </c>
      <c r="BB530" s="33">
        <f>SUM($AP530:$AY530)</f>
      </c>
      <c r="BC530" s="33">
        <f>ROUND(SUM($L530:$U530)+SUM($AF530:$AO530),2)</f>
      </c>
    </row>
    <row r="531" spans="1:55" x14ac:dyDescent="0.25">
      <c r="A531">
        <v>524</v>
      </c>
      <c r="B531" s="33">
        <f>IF(AP530&lt;=0,0,ROUND(AP530+ROUND(AP530*V$3/12,2),2))</f>
      </c>
      <c r="C531" s="33">
        <f>IF(AQ530&lt;=0,0,ROUND(AQ530+ROUND(AQ530*W$3/12,2),2))</f>
      </c>
      <c r="D531" s="33">
        <f>IF(AR530&lt;=0,0,ROUND(AR530+ROUND(AR530*X$3/12,2),2))</f>
      </c>
      <c r="E531" s="33">
        <f>IF(AS530&lt;=0,0,ROUND(AS530+ROUND(AS530*Y$3/12,2),2))</f>
      </c>
      <c r="F531" s="33">
        <f>IF(AT530&lt;=0,0,ROUND(AT530+ROUND(AT530*Z$3/12,2),2))</f>
      </c>
      <c r="G531" s="33">
        <f>IF(AU530&lt;=0,0,ROUND(AU530+ROUND(AU530*AA$3/12,2),2))</f>
      </c>
      <c r="H531" s="33">
        <f>IF(AV530&lt;=0,0,ROUND(AV530+ROUND(AV530*AB$3/12,2),2))</f>
      </c>
      <c r="I531" s="33">
        <f>IF(AW530&lt;=0,0,ROUND(AW530+ROUND(AW530*AC$3/12,2),2))</f>
      </c>
      <c r="J531" s="33">
        <f>IF(AX530&lt;=0,0,ROUND(AX530+ROUND(AX530*AD$3/12,2),2))</f>
      </c>
      <c r="K531" s="33">
        <f>IF(AY530&lt;=0,0,ROUND(AY530+ROUND(AY530*AE$3/12,2),2))</f>
      </c>
      <c r="L531" s="33">
        <f>ROUND(MIN(MAX(0,N('Your debts'!$E$6)),B531),2)</f>
      </c>
      <c r="M531" s="33">
        <f>ROUND(MIN(MAX(0,N('Your debts'!$E$7)),C531),2)</f>
      </c>
      <c r="N531" s="33">
        <f>ROUND(MIN(MAX(0,N('Your debts'!$E$8)),D531),2)</f>
      </c>
      <c r="O531" s="33">
        <f>ROUND(MIN(MAX(0,N('Your debts'!$E$9)),E531),2)</f>
      </c>
      <c r="P531" s="33">
        <f>ROUND(MIN(MAX(0,N('Your debts'!$E$10)),F531),2)</f>
      </c>
      <c r="Q531" s="33">
        <f>ROUND(MIN(MAX(0,N('Your debts'!$E$11)),G531),2)</f>
      </c>
      <c r="R531" s="33">
        <f>ROUND(MIN(MAX(0,N('Your debts'!$E$12)),H531),2)</f>
      </c>
      <c r="S531" s="33">
        <f>ROUND(MIN(MAX(0,N('Your debts'!$E$13)),I531),2)</f>
      </c>
      <c r="T531" s="33">
        <f>ROUND(MIN(MAX(0,N('Your debts'!$E$14)),J531),2)</f>
      </c>
      <c r="U531" s="33">
        <f>ROUND(MIN(MAX(0,N('Your debts'!$E$15)),K531),2)</f>
      </c>
      <c r="V531" s="33">
        <f>ROUND(B531-L531,2)</f>
      </c>
      <c r="W531" s="33">
        <f>ROUND(C531-M531,2)</f>
      </c>
      <c r="X531" s="33">
        <f>ROUND(D531-N531,2)</f>
      </c>
      <c r="Y531" s="33">
        <f>ROUND(E531-O531,2)</f>
      </c>
      <c r="Z531" s="33">
        <f>ROUND(F531-P531,2)</f>
      </c>
      <c r="AA531" s="33">
        <f>ROUND(G531-Q531,2)</f>
      </c>
      <c r="AB531" s="33">
        <f>ROUND(H531-R531,2)</f>
      </c>
      <c r="AC531" s="33">
        <f>ROUND(I531-S531,2)</f>
      </c>
      <c r="AD531" s="33">
        <f>ROUND(J531-T531,2)</f>
      </c>
      <c r="AE531" s="33">
        <f>ROUND(K531-U531,2)</f>
      </c>
      <c r="AF531" s="33">
        <f>IF(V531&lt;=0,0,MAX(0,MIN(V531,ROUND($AZ531-SUMPRODUCT($V531:$AE531*($V531:$AE531&gt;0)*(($V$3:$AE$3&gt;V$3)+($V$3:$AE$3=V$3)*($V531:$AE531&lt;V531)+($V$3:$AE$3=V$3)*($V531:$AE531=V531)*($V$2:$AE$2&lt;V$2))),2))))</f>
      </c>
      <c r="AG531" s="33">
        <f>IF(W531&lt;=0,0,MAX(0,MIN(W531,ROUND($AZ531-SUMPRODUCT($V531:$AE531*($V531:$AE531&gt;0)*(($V$3:$AE$3&gt;W$3)+($V$3:$AE$3=W$3)*($V531:$AE531&lt;W531)+($V$3:$AE$3=W$3)*($V531:$AE531=W531)*($V$2:$AE$2&lt;W$2))),2))))</f>
      </c>
      <c r="AH531" s="33">
        <f>IF(X531&lt;=0,0,MAX(0,MIN(X531,ROUND($AZ531-SUMPRODUCT($V531:$AE531*($V531:$AE531&gt;0)*(($V$3:$AE$3&gt;X$3)+($V$3:$AE$3=X$3)*($V531:$AE531&lt;X531)+($V$3:$AE$3=X$3)*($V531:$AE531=X531)*($V$2:$AE$2&lt;X$2))),2))))</f>
      </c>
      <c r="AI531" s="33">
        <f>IF(Y531&lt;=0,0,MAX(0,MIN(Y531,ROUND($AZ531-SUMPRODUCT($V531:$AE531*($V531:$AE531&gt;0)*(($V$3:$AE$3&gt;Y$3)+($V$3:$AE$3=Y$3)*($V531:$AE531&lt;Y531)+($V$3:$AE$3=Y$3)*($V531:$AE531=Y531)*($V$2:$AE$2&lt;Y$2))),2))))</f>
      </c>
      <c r="AJ531" s="33">
        <f>IF(Z531&lt;=0,0,MAX(0,MIN(Z531,ROUND($AZ531-SUMPRODUCT($V531:$AE531*($V531:$AE531&gt;0)*(($V$3:$AE$3&gt;Z$3)+($V$3:$AE$3=Z$3)*($V531:$AE531&lt;Z531)+($V$3:$AE$3=Z$3)*($V531:$AE531=Z531)*($V$2:$AE$2&lt;Z$2))),2))))</f>
      </c>
      <c r="AK531" s="33">
        <f>IF(AA531&lt;=0,0,MAX(0,MIN(AA531,ROUND($AZ531-SUMPRODUCT($V531:$AE531*($V531:$AE531&gt;0)*(($V$3:$AE$3&gt;AA$3)+($V$3:$AE$3=AA$3)*($V531:$AE531&lt;AA531)+($V$3:$AE$3=AA$3)*($V531:$AE531=AA531)*($V$2:$AE$2&lt;AA$2))),2))))</f>
      </c>
      <c r="AL531" s="33">
        <f>IF(AB531&lt;=0,0,MAX(0,MIN(AB531,ROUND($AZ531-SUMPRODUCT($V531:$AE531*($V531:$AE531&gt;0)*(($V$3:$AE$3&gt;AB$3)+($V$3:$AE$3=AB$3)*($V531:$AE531&lt;AB531)+($V$3:$AE$3=AB$3)*($V531:$AE531=AB531)*($V$2:$AE$2&lt;AB$2))),2))))</f>
      </c>
      <c r="AM531" s="33">
        <f>IF(AC531&lt;=0,0,MAX(0,MIN(AC531,ROUND($AZ531-SUMPRODUCT($V531:$AE531*($V531:$AE531&gt;0)*(($V$3:$AE$3&gt;AC$3)+($V$3:$AE$3=AC$3)*($V531:$AE531&lt;AC531)+($V$3:$AE$3=AC$3)*($V531:$AE531=AC531)*($V$2:$AE$2&lt;AC$2))),2))))</f>
      </c>
      <c r="AN531" s="33">
        <f>IF(AD531&lt;=0,0,MAX(0,MIN(AD531,ROUND($AZ531-SUMPRODUCT($V531:$AE531*($V531:$AE531&gt;0)*(($V$3:$AE$3&gt;AD$3)+($V$3:$AE$3=AD$3)*($V531:$AE531&lt;AD531)+($V$3:$AE$3=AD$3)*($V531:$AE531=AD531)*($V$2:$AE$2&lt;AD$2))),2))))</f>
      </c>
      <c r="AO531" s="33">
        <f>IF(AE531&lt;=0,0,MAX(0,MIN(AE531,ROUND($AZ531-SUMPRODUCT($V531:$AE531*($V531:$AE531&gt;0)*(($V$3:$AE$3&gt;AE$3)+($V$3:$AE$3=AE$3)*($V531:$AE531&lt;AE531)+($V$3:$AE$3=AE$3)*($V531:$AE531=AE531)*($V$2:$AE$2&lt;AE$2))),2))))</f>
      </c>
      <c r="AP531" s="33">
        <f>ROUND(V531-AF531,2)</f>
      </c>
      <c r="AQ531" s="33">
        <f>ROUND(W531-AG531,2)</f>
      </c>
      <c r="AR531" s="33">
        <f>ROUND(X531-AH531,2)</f>
      </c>
      <c r="AS531" s="33">
        <f>ROUND(Y531-AI531,2)</f>
      </c>
      <c r="AT531" s="33">
        <f>ROUND(Z531-AJ531,2)</f>
      </c>
      <c r="AU531" s="33">
        <f>ROUND(AA531-AK531,2)</f>
      </c>
      <c r="AV531" s="33">
        <f>ROUND(AB531-AL531,2)</f>
      </c>
      <c r="AW531" s="33">
        <f>ROUND(AC531-AM531,2)</f>
      </c>
      <c r="AX531" s="33">
        <f>ROUND(AD531-AN531,2)</f>
      </c>
      <c r="AY531" s="33">
        <f>ROUND(AE531-AO531,2)</f>
      </c>
      <c r="AZ531" s="33">
        <f>ROUND(MAX(0,'Your debts'!$D$22-SUM($L531:$U531)),2)</f>
      </c>
      <c r="BA531" s="33">
        <f>ROUND(SUM($B531:$K531)-SUM($AP530:$AY530),2)</f>
      </c>
      <c r="BB531" s="33">
        <f>SUM($AP531:$AY531)</f>
      </c>
      <c r="BC531" s="33">
        <f>ROUND(SUM($L531:$U531)+SUM($AF531:$AO531),2)</f>
      </c>
    </row>
    <row r="532" spans="1:55" x14ac:dyDescent="0.25">
      <c r="A532">
        <v>525</v>
      </c>
      <c r="B532" s="33">
        <f>IF(AP531&lt;=0,0,ROUND(AP531+ROUND(AP531*V$3/12,2),2))</f>
      </c>
      <c r="C532" s="33">
        <f>IF(AQ531&lt;=0,0,ROUND(AQ531+ROUND(AQ531*W$3/12,2),2))</f>
      </c>
      <c r="D532" s="33">
        <f>IF(AR531&lt;=0,0,ROUND(AR531+ROUND(AR531*X$3/12,2),2))</f>
      </c>
      <c r="E532" s="33">
        <f>IF(AS531&lt;=0,0,ROUND(AS531+ROUND(AS531*Y$3/12,2),2))</f>
      </c>
      <c r="F532" s="33">
        <f>IF(AT531&lt;=0,0,ROUND(AT531+ROUND(AT531*Z$3/12,2),2))</f>
      </c>
      <c r="G532" s="33">
        <f>IF(AU531&lt;=0,0,ROUND(AU531+ROUND(AU531*AA$3/12,2),2))</f>
      </c>
      <c r="H532" s="33">
        <f>IF(AV531&lt;=0,0,ROUND(AV531+ROUND(AV531*AB$3/12,2),2))</f>
      </c>
      <c r="I532" s="33">
        <f>IF(AW531&lt;=0,0,ROUND(AW531+ROUND(AW531*AC$3/12,2),2))</f>
      </c>
      <c r="J532" s="33">
        <f>IF(AX531&lt;=0,0,ROUND(AX531+ROUND(AX531*AD$3/12,2),2))</f>
      </c>
      <c r="K532" s="33">
        <f>IF(AY531&lt;=0,0,ROUND(AY531+ROUND(AY531*AE$3/12,2),2))</f>
      </c>
      <c r="L532" s="33">
        <f>ROUND(MIN(MAX(0,N('Your debts'!$E$6)),B532),2)</f>
      </c>
      <c r="M532" s="33">
        <f>ROUND(MIN(MAX(0,N('Your debts'!$E$7)),C532),2)</f>
      </c>
      <c r="N532" s="33">
        <f>ROUND(MIN(MAX(0,N('Your debts'!$E$8)),D532),2)</f>
      </c>
      <c r="O532" s="33">
        <f>ROUND(MIN(MAX(0,N('Your debts'!$E$9)),E532),2)</f>
      </c>
      <c r="P532" s="33">
        <f>ROUND(MIN(MAX(0,N('Your debts'!$E$10)),F532),2)</f>
      </c>
      <c r="Q532" s="33">
        <f>ROUND(MIN(MAX(0,N('Your debts'!$E$11)),G532),2)</f>
      </c>
      <c r="R532" s="33">
        <f>ROUND(MIN(MAX(0,N('Your debts'!$E$12)),H532),2)</f>
      </c>
      <c r="S532" s="33">
        <f>ROUND(MIN(MAX(0,N('Your debts'!$E$13)),I532),2)</f>
      </c>
      <c r="T532" s="33">
        <f>ROUND(MIN(MAX(0,N('Your debts'!$E$14)),J532),2)</f>
      </c>
      <c r="U532" s="33">
        <f>ROUND(MIN(MAX(0,N('Your debts'!$E$15)),K532),2)</f>
      </c>
      <c r="V532" s="33">
        <f>ROUND(B532-L532,2)</f>
      </c>
      <c r="W532" s="33">
        <f>ROUND(C532-M532,2)</f>
      </c>
      <c r="X532" s="33">
        <f>ROUND(D532-N532,2)</f>
      </c>
      <c r="Y532" s="33">
        <f>ROUND(E532-O532,2)</f>
      </c>
      <c r="Z532" s="33">
        <f>ROUND(F532-P532,2)</f>
      </c>
      <c r="AA532" s="33">
        <f>ROUND(G532-Q532,2)</f>
      </c>
      <c r="AB532" s="33">
        <f>ROUND(H532-R532,2)</f>
      </c>
      <c r="AC532" s="33">
        <f>ROUND(I532-S532,2)</f>
      </c>
      <c r="AD532" s="33">
        <f>ROUND(J532-T532,2)</f>
      </c>
      <c r="AE532" s="33">
        <f>ROUND(K532-U532,2)</f>
      </c>
      <c r="AF532" s="33">
        <f>IF(V532&lt;=0,0,MAX(0,MIN(V532,ROUND($AZ532-SUMPRODUCT($V532:$AE532*($V532:$AE532&gt;0)*(($V$3:$AE$3&gt;V$3)+($V$3:$AE$3=V$3)*($V532:$AE532&lt;V532)+($V$3:$AE$3=V$3)*($V532:$AE532=V532)*($V$2:$AE$2&lt;V$2))),2))))</f>
      </c>
      <c r="AG532" s="33">
        <f>IF(W532&lt;=0,0,MAX(0,MIN(W532,ROUND($AZ532-SUMPRODUCT($V532:$AE532*($V532:$AE532&gt;0)*(($V$3:$AE$3&gt;W$3)+($V$3:$AE$3=W$3)*($V532:$AE532&lt;W532)+($V$3:$AE$3=W$3)*($V532:$AE532=W532)*($V$2:$AE$2&lt;W$2))),2))))</f>
      </c>
      <c r="AH532" s="33">
        <f>IF(X532&lt;=0,0,MAX(0,MIN(X532,ROUND($AZ532-SUMPRODUCT($V532:$AE532*($V532:$AE532&gt;0)*(($V$3:$AE$3&gt;X$3)+($V$3:$AE$3=X$3)*($V532:$AE532&lt;X532)+($V$3:$AE$3=X$3)*($V532:$AE532=X532)*($V$2:$AE$2&lt;X$2))),2))))</f>
      </c>
      <c r="AI532" s="33">
        <f>IF(Y532&lt;=0,0,MAX(0,MIN(Y532,ROUND($AZ532-SUMPRODUCT($V532:$AE532*($V532:$AE532&gt;0)*(($V$3:$AE$3&gt;Y$3)+($V$3:$AE$3=Y$3)*($V532:$AE532&lt;Y532)+($V$3:$AE$3=Y$3)*($V532:$AE532=Y532)*($V$2:$AE$2&lt;Y$2))),2))))</f>
      </c>
      <c r="AJ532" s="33">
        <f>IF(Z532&lt;=0,0,MAX(0,MIN(Z532,ROUND($AZ532-SUMPRODUCT($V532:$AE532*($V532:$AE532&gt;0)*(($V$3:$AE$3&gt;Z$3)+($V$3:$AE$3=Z$3)*($V532:$AE532&lt;Z532)+($V$3:$AE$3=Z$3)*($V532:$AE532=Z532)*($V$2:$AE$2&lt;Z$2))),2))))</f>
      </c>
      <c r="AK532" s="33">
        <f>IF(AA532&lt;=0,0,MAX(0,MIN(AA532,ROUND($AZ532-SUMPRODUCT($V532:$AE532*($V532:$AE532&gt;0)*(($V$3:$AE$3&gt;AA$3)+($V$3:$AE$3=AA$3)*($V532:$AE532&lt;AA532)+($V$3:$AE$3=AA$3)*($V532:$AE532=AA532)*($V$2:$AE$2&lt;AA$2))),2))))</f>
      </c>
      <c r="AL532" s="33">
        <f>IF(AB532&lt;=0,0,MAX(0,MIN(AB532,ROUND($AZ532-SUMPRODUCT($V532:$AE532*($V532:$AE532&gt;0)*(($V$3:$AE$3&gt;AB$3)+($V$3:$AE$3=AB$3)*($V532:$AE532&lt;AB532)+($V$3:$AE$3=AB$3)*($V532:$AE532=AB532)*($V$2:$AE$2&lt;AB$2))),2))))</f>
      </c>
      <c r="AM532" s="33">
        <f>IF(AC532&lt;=0,0,MAX(0,MIN(AC532,ROUND($AZ532-SUMPRODUCT($V532:$AE532*($V532:$AE532&gt;0)*(($V$3:$AE$3&gt;AC$3)+($V$3:$AE$3=AC$3)*($V532:$AE532&lt;AC532)+($V$3:$AE$3=AC$3)*($V532:$AE532=AC532)*($V$2:$AE$2&lt;AC$2))),2))))</f>
      </c>
      <c r="AN532" s="33">
        <f>IF(AD532&lt;=0,0,MAX(0,MIN(AD532,ROUND($AZ532-SUMPRODUCT($V532:$AE532*($V532:$AE532&gt;0)*(($V$3:$AE$3&gt;AD$3)+($V$3:$AE$3=AD$3)*($V532:$AE532&lt;AD532)+($V$3:$AE$3=AD$3)*($V532:$AE532=AD532)*($V$2:$AE$2&lt;AD$2))),2))))</f>
      </c>
      <c r="AO532" s="33">
        <f>IF(AE532&lt;=0,0,MAX(0,MIN(AE532,ROUND($AZ532-SUMPRODUCT($V532:$AE532*($V532:$AE532&gt;0)*(($V$3:$AE$3&gt;AE$3)+($V$3:$AE$3=AE$3)*($V532:$AE532&lt;AE532)+($V$3:$AE$3=AE$3)*($V532:$AE532=AE532)*($V$2:$AE$2&lt;AE$2))),2))))</f>
      </c>
      <c r="AP532" s="33">
        <f>ROUND(V532-AF532,2)</f>
      </c>
      <c r="AQ532" s="33">
        <f>ROUND(W532-AG532,2)</f>
      </c>
      <c r="AR532" s="33">
        <f>ROUND(X532-AH532,2)</f>
      </c>
      <c r="AS532" s="33">
        <f>ROUND(Y532-AI532,2)</f>
      </c>
      <c r="AT532" s="33">
        <f>ROUND(Z532-AJ532,2)</f>
      </c>
      <c r="AU532" s="33">
        <f>ROUND(AA532-AK532,2)</f>
      </c>
      <c r="AV532" s="33">
        <f>ROUND(AB532-AL532,2)</f>
      </c>
      <c r="AW532" s="33">
        <f>ROUND(AC532-AM532,2)</f>
      </c>
      <c r="AX532" s="33">
        <f>ROUND(AD532-AN532,2)</f>
      </c>
      <c r="AY532" s="33">
        <f>ROUND(AE532-AO532,2)</f>
      </c>
      <c r="AZ532" s="33">
        <f>ROUND(MAX(0,'Your debts'!$D$22-SUM($L532:$U532)),2)</f>
      </c>
      <c r="BA532" s="33">
        <f>ROUND(SUM($B532:$K532)-SUM($AP531:$AY531),2)</f>
      </c>
      <c r="BB532" s="33">
        <f>SUM($AP532:$AY532)</f>
      </c>
      <c r="BC532" s="33">
        <f>ROUND(SUM($L532:$U532)+SUM($AF532:$AO532),2)</f>
      </c>
    </row>
    <row r="533" spans="1:55" x14ac:dyDescent="0.25">
      <c r="A533">
        <v>526</v>
      </c>
      <c r="B533" s="33">
        <f>IF(AP532&lt;=0,0,ROUND(AP532+ROUND(AP532*V$3/12,2),2))</f>
      </c>
      <c r="C533" s="33">
        <f>IF(AQ532&lt;=0,0,ROUND(AQ532+ROUND(AQ532*W$3/12,2),2))</f>
      </c>
      <c r="D533" s="33">
        <f>IF(AR532&lt;=0,0,ROUND(AR532+ROUND(AR532*X$3/12,2),2))</f>
      </c>
      <c r="E533" s="33">
        <f>IF(AS532&lt;=0,0,ROUND(AS532+ROUND(AS532*Y$3/12,2),2))</f>
      </c>
      <c r="F533" s="33">
        <f>IF(AT532&lt;=0,0,ROUND(AT532+ROUND(AT532*Z$3/12,2),2))</f>
      </c>
      <c r="G533" s="33">
        <f>IF(AU532&lt;=0,0,ROUND(AU532+ROUND(AU532*AA$3/12,2),2))</f>
      </c>
      <c r="H533" s="33">
        <f>IF(AV532&lt;=0,0,ROUND(AV532+ROUND(AV532*AB$3/12,2),2))</f>
      </c>
      <c r="I533" s="33">
        <f>IF(AW532&lt;=0,0,ROUND(AW532+ROUND(AW532*AC$3/12,2),2))</f>
      </c>
      <c r="J533" s="33">
        <f>IF(AX532&lt;=0,0,ROUND(AX532+ROUND(AX532*AD$3/12,2),2))</f>
      </c>
      <c r="K533" s="33">
        <f>IF(AY532&lt;=0,0,ROUND(AY532+ROUND(AY532*AE$3/12,2),2))</f>
      </c>
      <c r="L533" s="33">
        <f>ROUND(MIN(MAX(0,N('Your debts'!$E$6)),B533),2)</f>
      </c>
      <c r="M533" s="33">
        <f>ROUND(MIN(MAX(0,N('Your debts'!$E$7)),C533),2)</f>
      </c>
      <c r="N533" s="33">
        <f>ROUND(MIN(MAX(0,N('Your debts'!$E$8)),D533),2)</f>
      </c>
      <c r="O533" s="33">
        <f>ROUND(MIN(MAX(0,N('Your debts'!$E$9)),E533),2)</f>
      </c>
      <c r="P533" s="33">
        <f>ROUND(MIN(MAX(0,N('Your debts'!$E$10)),F533),2)</f>
      </c>
      <c r="Q533" s="33">
        <f>ROUND(MIN(MAX(0,N('Your debts'!$E$11)),G533),2)</f>
      </c>
      <c r="R533" s="33">
        <f>ROUND(MIN(MAX(0,N('Your debts'!$E$12)),H533),2)</f>
      </c>
      <c r="S533" s="33">
        <f>ROUND(MIN(MAX(0,N('Your debts'!$E$13)),I533),2)</f>
      </c>
      <c r="T533" s="33">
        <f>ROUND(MIN(MAX(0,N('Your debts'!$E$14)),J533),2)</f>
      </c>
      <c r="U533" s="33">
        <f>ROUND(MIN(MAX(0,N('Your debts'!$E$15)),K533),2)</f>
      </c>
      <c r="V533" s="33">
        <f>ROUND(B533-L533,2)</f>
      </c>
      <c r="W533" s="33">
        <f>ROUND(C533-M533,2)</f>
      </c>
      <c r="X533" s="33">
        <f>ROUND(D533-N533,2)</f>
      </c>
      <c r="Y533" s="33">
        <f>ROUND(E533-O533,2)</f>
      </c>
      <c r="Z533" s="33">
        <f>ROUND(F533-P533,2)</f>
      </c>
      <c r="AA533" s="33">
        <f>ROUND(G533-Q533,2)</f>
      </c>
      <c r="AB533" s="33">
        <f>ROUND(H533-R533,2)</f>
      </c>
      <c r="AC533" s="33">
        <f>ROUND(I533-S533,2)</f>
      </c>
      <c r="AD533" s="33">
        <f>ROUND(J533-T533,2)</f>
      </c>
      <c r="AE533" s="33">
        <f>ROUND(K533-U533,2)</f>
      </c>
      <c r="AF533" s="33">
        <f>IF(V533&lt;=0,0,MAX(0,MIN(V533,ROUND($AZ533-SUMPRODUCT($V533:$AE533*($V533:$AE533&gt;0)*(($V$3:$AE$3&gt;V$3)+($V$3:$AE$3=V$3)*($V533:$AE533&lt;V533)+($V$3:$AE$3=V$3)*($V533:$AE533=V533)*($V$2:$AE$2&lt;V$2))),2))))</f>
      </c>
      <c r="AG533" s="33">
        <f>IF(W533&lt;=0,0,MAX(0,MIN(W533,ROUND($AZ533-SUMPRODUCT($V533:$AE533*($V533:$AE533&gt;0)*(($V$3:$AE$3&gt;W$3)+($V$3:$AE$3=W$3)*($V533:$AE533&lt;W533)+($V$3:$AE$3=W$3)*($V533:$AE533=W533)*($V$2:$AE$2&lt;W$2))),2))))</f>
      </c>
      <c r="AH533" s="33">
        <f>IF(X533&lt;=0,0,MAX(0,MIN(X533,ROUND($AZ533-SUMPRODUCT($V533:$AE533*($V533:$AE533&gt;0)*(($V$3:$AE$3&gt;X$3)+($V$3:$AE$3=X$3)*($V533:$AE533&lt;X533)+($V$3:$AE$3=X$3)*($V533:$AE533=X533)*($V$2:$AE$2&lt;X$2))),2))))</f>
      </c>
      <c r="AI533" s="33">
        <f>IF(Y533&lt;=0,0,MAX(0,MIN(Y533,ROUND($AZ533-SUMPRODUCT($V533:$AE533*($V533:$AE533&gt;0)*(($V$3:$AE$3&gt;Y$3)+($V$3:$AE$3=Y$3)*($V533:$AE533&lt;Y533)+($V$3:$AE$3=Y$3)*($V533:$AE533=Y533)*($V$2:$AE$2&lt;Y$2))),2))))</f>
      </c>
      <c r="AJ533" s="33">
        <f>IF(Z533&lt;=0,0,MAX(0,MIN(Z533,ROUND($AZ533-SUMPRODUCT($V533:$AE533*($V533:$AE533&gt;0)*(($V$3:$AE$3&gt;Z$3)+($V$3:$AE$3=Z$3)*($V533:$AE533&lt;Z533)+($V$3:$AE$3=Z$3)*($V533:$AE533=Z533)*($V$2:$AE$2&lt;Z$2))),2))))</f>
      </c>
      <c r="AK533" s="33">
        <f>IF(AA533&lt;=0,0,MAX(0,MIN(AA533,ROUND($AZ533-SUMPRODUCT($V533:$AE533*($V533:$AE533&gt;0)*(($V$3:$AE$3&gt;AA$3)+($V$3:$AE$3=AA$3)*($V533:$AE533&lt;AA533)+($V$3:$AE$3=AA$3)*($V533:$AE533=AA533)*($V$2:$AE$2&lt;AA$2))),2))))</f>
      </c>
      <c r="AL533" s="33">
        <f>IF(AB533&lt;=0,0,MAX(0,MIN(AB533,ROUND($AZ533-SUMPRODUCT($V533:$AE533*($V533:$AE533&gt;0)*(($V$3:$AE$3&gt;AB$3)+($V$3:$AE$3=AB$3)*($V533:$AE533&lt;AB533)+($V$3:$AE$3=AB$3)*($V533:$AE533=AB533)*($V$2:$AE$2&lt;AB$2))),2))))</f>
      </c>
      <c r="AM533" s="33">
        <f>IF(AC533&lt;=0,0,MAX(0,MIN(AC533,ROUND($AZ533-SUMPRODUCT($V533:$AE533*($V533:$AE533&gt;0)*(($V$3:$AE$3&gt;AC$3)+($V$3:$AE$3=AC$3)*($V533:$AE533&lt;AC533)+($V$3:$AE$3=AC$3)*($V533:$AE533=AC533)*($V$2:$AE$2&lt;AC$2))),2))))</f>
      </c>
      <c r="AN533" s="33">
        <f>IF(AD533&lt;=0,0,MAX(0,MIN(AD533,ROUND($AZ533-SUMPRODUCT($V533:$AE533*($V533:$AE533&gt;0)*(($V$3:$AE$3&gt;AD$3)+($V$3:$AE$3=AD$3)*($V533:$AE533&lt;AD533)+($V$3:$AE$3=AD$3)*($V533:$AE533=AD533)*($V$2:$AE$2&lt;AD$2))),2))))</f>
      </c>
      <c r="AO533" s="33">
        <f>IF(AE533&lt;=0,0,MAX(0,MIN(AE533,ROUND($AZ533-SUMPRODUCT($V533:$AE533*($V533:$AE533&gt;0)*(($V$3:$AE$3&gt;AE$3)+($V$3:$AE$3=AE$3)*($V533:$AE533&lt;AE533)+($V$3:$AE$3=AE$3)*($V533:$AE533=AE533)*($V$2:$AE$2&lt;AE$2))),2))))</f>
      </c>
      <c r="AP533" s="33">
        <f>ROUND(V533-AF533,2)</f>
      </c>
      <c r="AQ533" s="33">
        <f>ROUND(W533-AG533,2)</f>
      </c>
      <c r="AR533" s="33">
        <f>ROUND(X533-AH533,2)</f>
      </c>
      <c r="AS533" s="33">
        <f>ROUND(Y533-AI533,2)</f>
      </c>
      <c r="AT533" s="33">
        <f>ROUND(Z533-AJ533,2)</f>
      </c>
      <c r="AU533" s="33">
        <f>ROUND(AA533-AK533,2)</f>
      </c>
      <c r="AV533" s="33">
        <f>ROUND(AB533-AL533,2)</f>
      </c>
      <c r="AW533" s="33">
        <f>ROUND(AC533-AM533,2)</f>
      </c>
      <c r="AX533" s="33">
        <f>ROUND(AD533-AN533,2)</f>
      </c>
      <c r="AY533" s="33">
        <f>ROUND(AE533-AO533,2)</f>
      </c>
      <c r="AZ533" s="33">
        <f>ROUND(MAX(0,'Your debts'!$D$22-SUM($L533:$U533)),2)</f>
      </c>
      <c r="BA533" s="33">
        <f>ROUND(SUM($B533:$K533)-SUM($AP532:$AY532),2)</f>
      </c>
      <c r="BB533" s="33">
        <f>SUM($AP533:$AY533)</f>
      </c>
      <c r="BC533" s="33">
        <f>ROUND(SUM($L533:$U533)+SUM($AF533:$AO533),2)</f>
      </c>
    </row>
    <row r="534" spans="1:55" x14ac:dyDescent="0.25">
      <c r="A534">
        <v>527</v>
      </c>
      <c r="B534" s="33">
        <f>IF(AP533&lt;=0,0,ROUND(AP533+ROUND(AP533*V$3/12,2),2))</f>
      </c>
      <c r="C534" s="33">
        <f>IF(AQ533&lt;=0,0,ROUND(AQ533+ROUND(AQ533*W$3/12,2),2))</f>
      </c>
      <c r="D534" s="33">
        <f>IF(AR533&lt;=0,0,ROUND(AR533+ROUND(AR533*X$3/12,2),2))</f>
      </c>
      <c r="E534" s="33">
        <f>IF(AS533&lt;=0,0,ROUND(AS533+ROUND(AS533*Y$3/12,2),2))</f>
      </c>
      <c r="F534" s="33">
        <f>IF(AT533&lt;=0,0,ROUND(AT533+ROUND(AT533*Z$3/12,2),2))</f>
      </c>
      <c r="G534" s="33">
        <f>IF(AU533&lt;=0,0,ROUND(AU533+ROUND(AU533*AA$3/12,2),2))</f>
      </c>
      <c r="H534" s="33">
        <f>IF(AV533&lt;=0,0,ROUND(AV533+ROUND(AV533*AB$3/12,2),2))</f>
      </c>
      <c r="I534" s="33">
        <f>IF(AW533&lt;=0,0,ROUND(AW533+ROUND(AW533*AC$3/12,2),2))</f>
      </c>
      <c r="J534" s="33">
        <f>IF(AX533&lt;=0,0,ROUND(AX533+ROUND(AX533*AD$3/12,2),2))</f>
      </c>
      <c r="K534" s="33">
        <f>IF(AY533&lt;=0,0,ROUND(AY533+ROUND(AY533*AE$3/12,2),2))</f>
      </c>
      <c r="L534" s="33">
        <f>ROUND(MIN(MAX(0,N('Your debts'!$E$6)),B534),2)</f>
      </c>
      <c r="M534" s="33">
        <f>ROUND(MIN(MAX(0,N('Your debts'!$E$7)),C534),2)</f>
      </c>
      <c r="N534" s="33">
        <f>ROUND(MIN(MAX(0,N('Your debts'!$E$8)),D534),2)</f>
      </c>
      <c r="O534" s="33">
        <f>ROUND(MIN(MAX(0,N('Your debts'!$E$9)),E534),2)</f>
      </c>
      <c r="P534" s="33">
        <f>ROUND(MIN(MAX(0,N('Your debts'!$E$10)),F534),2)</f>
      </c>
      <c r="Q534" s="33">
        <f>ROUND(MIN(MAX(0,N('Your debts'!$E$11)),G534),2)</f>
      </c>
      <c r="R534" s="33">
        <f>ROUND(MIN(MAX(0,N('Your debts'!$E$12)),H534),2)</f>
      </c>
      <c r="S534" s="33">
        <f>ROUND(MIN(MAX(0,N('Your debts'!$E$13)),I534),2)</f>
      </c>
      <c r="T534" s="33">
        <f>ROUND(MIN(MAX(0,N('Your debts'!$E$14)),J534),2)</f>
      </c>
      <c r="U534" s="33">
        <f>ROUND(MIN(MAX(0,N('Your debts'!$E$15)),K534),2)</f>
      </c>
      <c r="V534" s="33">
        <f>ROUND(B534-L534,2)</f>
      </c>
      <c r="W534" s="33">
        <f>ROUND(C534-M534,2)</f>
      </c>
      <c r="X534" s="33">
        <f>ROUND(D534-N534,2)</f>
      </c>
      <c r="Y534" s="33">
        <f>ROUND(E534-O534,2)</f>
      </c>
      <c r="Z534" s="33">
        <f>ROUND(F534-P534,2)</f>
      </c>
      <c r="AA534" s="33">
        <f>ROUND(G534-Q534,2)</f>
      </c>
      <c r="AB534" s="33">
        <f>ROUND(H534-R534,2)</f>
      </c>
      <c r="AC534" s="33">
        <f>ROUND(I534-S534,2)</f>
      </c>
      <c r="AD534" s="33">
        <f>ROUND(J534-T534,2)</f>
      </c>
      <c r="AE534" s="33">
        <f>ROUND(K534-U534,2)</f>
      </c>
      <c r="AF534" s="33">
        <f>IF(V534&lt;=0,0,MAX(0,MIN(V534,ROUND($AZ534-SUMPRODUCT($V534:$AE534*($V534:$AE534&gt;0)*(($V$3:$AE$3&gt;V$3)+($V$3:$AE$3=V$3)*($V534:$AE534&lt;V534)+($V$3:$AE$3=V$3)*($V534:$AE534=V534)*($V$2:$AE$2&lt;V$2))),2))))</f>
      </c>
      <c r="AG534" s="33">
        <f>IF(W534&lt;=0,0,MAX(0,MIN(W534,ROUND($AZ534-SUMPRODUCT($V534:$AE534*($V534:$AE534&gt;0)*(($V$3:$AE$3&gt;W$3)+($V$3:$AE$3=W$3)*($V534:$AE534&lt;W534)+($V$3:$AE$3=W$3)*($V534:$AE534=W534)*($V$2:$AE$2&lt;W$2))),2))))</f>
      </c>
      <c r="AH534" s="33">
        <f>IF(X534&lt;=0,0,MAX(0,MIN(X534,ROUND($AZ534-SUMPRODUCT($V534:$AE534*($V534:$AE534&gt;0)*(($V$3:$AE$3&gt;X$3)+($V$3:$AE$3=X$3)*($V534:$AE534&lt;X534)+($V$3:$AE$3=X$3)*($V534:$AE534=X534)*($V$2:$AE$2&lt;X$2))),2))))</f>
      </c>
      <c r="AI534" s="33">
        <f>IF(Y534&lt;=0,0,MAX(0,MIN(Y534,ROUND($AZ534-SUMPRODUCT($V534:$AE534*($V534:$AE534&gt;0)*(($V$3:$AE$3&gt;Y$3)+($V$3:$AE$3=Y$3)*($V534:$AE534&lt;Y534)+($V$3:$AE$3=Y$3)*($V534:$AE534=Y534)*($V$2:$AE$2&lt;Y$2))),2))))</f>
      </c>
      <c r="AJ534" s="33">
        <f>IF(Z534&lt;=0,0,MAX(0,MIN(Z534,ROUND($AZ534-SUMPRODUCT($V534:$AE534*($V534:$AE534&gt;0)*(($V$3:$AE$3&gt;Z$3)+($V$3:$AE$3=Z$3)*($V534:$AE534&lt;Z534)+($V$3:$AE$3=Z$3)*($V534:$AE534=Z534)*($V$2:$AE$2&lt;Z$2))),2))))</f>
      </c>
      <c r="AK534" s="33">
        <f>IF(AA534&lt;=0,0,MAX(0,MIN(AA534,ROUND($AZ534-SUMPRODUCT($V534:$AE534*($V534:$AE534&gt;0)*(($V$3:$AE$3&gt;AA$3)+($V$3:$AE$3=AA$3)*($V534:$AE534&lt;AA534)+($V$3:$AE$3=AA$3)*($V534:$AE534=AA534)*($V$2:$AE$2&lt;AA$2))),2))))</f>
      </c>
      <c r="AL534" s="33">
        <f>IF(AB534&lt;=0,0,MAX(0,MIN(AB534,ROUND($AZ534-SUMPRODUCT($V534:$AE534*($V534:$AE534&gt;0)*(($V$3:$AE$3&gt;AB$3)+($V$3:$AE$3=AB$3)*($V534:$AE534&lt;AB534)+($V$3:$AE$3=AB$3)*($V534:$AE534=AB534)*($V$2:$AE$2&lt;AB$2))),2))))</f>
      </c>
      <c r="AM534" s="33">
        <f>IF(AC534&lt;=0,0,MAX(0,MIN(AC534,ROUND($AZ534-SUMPRODUCT($V534:$AE534*($V534:$AE534&gt;0)*(($V$3:$AE$3&gt;AC$3)+($V$3:$AE$3=AC$3)*($V534:$AE534&lt;AC534)+($V$3:$AE$3=AC$3)*($V534:$AE534=AC534)*($V$2:$AE$2&lt;AC$2))),2))))</f>
      </c>
      <c r="AN534" s="33">
        <f>IF(AD534&lt;=0,0,MAX(0,MIN(AD534,ROUND($AZ534-SUMPRODUCT($V534:$AE534*($V534:$AE534&gt;0)*(($V$3:$AE$3&gt;AD$3)+($V$3:$AE$3=AD$3)*($V534:$AE534&lt;AD534)+($V$3:$AE$3=AD$3)*($V534:$AE534=AD534)*($V$2:$AE$2&lt;AD$2))),2))))</f>
      </c>
      <c r="AO534" s="33">
        <f>IF(AE534&lt;=0,0,MAX(0,MIN(AE534,ROUND($AZ534-SUMPRODUCT($V534:$AE534*($V534:$AE534&gt;0)*(($V$3:$AE$3&gt;AE$3)+($V$3:$AE$3=AE$3)*($V534:$AE534&lt;AE534)+($V$3:$AE$3=AE$3)*($V534:$AE534=AE534)*($V$2:$AE$2&lt;AE$2))),2))))</f>
      </c>
      <c r="AP534" s="33">
        <f>ROUND(V534-AF534,2)</f>
      </c>
      <c r="AQ534" s="33">
        <f>ROUND(W534-AG534,2)</f>
      </c>
      <c r="AR534" s="33">
        <f>ROUND(X534-AH534,2)</f>
      </c>
      <c r="AS534" s="33">
        <f>ROUND(Y534-AI534,2)</f>
      </c>
      <c r="AT534" s="33">
        <f>ROUND(Z534-AJ534,2)</f>
      </c>
      <c r="AU534" s="33">
        <f>ROUND(AA534-AK534,2)</f>
      </c>
      <c r="AV534" s="33">
        <f>ROUND(AB534-AL534,2)</f>
      </c>
      <c r="AW534" s="33">
        <f>ROUND(AC534-AM534,2)</f>
      </c>
      <c r="AX534" s="33">
        <f>ROUND(AD534-AN534,2)</f>
      </c>
      <c r="AY534" s="33">
        <f>ROUND(AE534-AO534,2)</f>
      </c>
      <c r="AZ534" s="33">
        <f>ROUND(MAX(0,'Your debts'!$D$22-SUM($L534:$U534)),2)</f>
      </c>
      <c r="BA534" s="33">
        <f>ROUND(SUM($B534:$K534)-SUM($AP533:$AY533),2)</f>
      </c>
      <c r="BB534" s="33">
        <f>SUM($AP534:$AY534)</f>
      </c>
      <c r="BC534" s="33">
        <f>ROUND(SUM($L534:$U534)+SUM($AF534:$AO534),2)</f>
      </c>
    </row>
    <row r="535" spans="1:55" x14ac:dyDescent="0.25">
      <c r="A535">
        <v>528</v>
      </c>
      <c r="B535" s="33">
        <f>IF(AP534&lt;=0,0,ROUND(AP534+ROUND(AP534*V$3/12,2),2))</f>
      </c>
      <c r="C535" s="33">
        <f>IF(AQ534&lt;=0,0,ROUND(AQ534+ROUND(AQ534*W$3/12,2),2))</f>
      </c>
      <c r="D535" s="33">
        <f>IF(AR534&lt;=0,0,ROUND(AR534+ROUND(AR534*X$3/12,2),2))</f>
      </c>
      <c r="E535" s="33">
        <f>IF(AS534&lt;=0,0,ROUND(AS534+ROUND(AS534*Y$3/12,2),2))</f>
      </c>
      <c r="F535" s="33">
        <f>IF(AT534&lt;=0,0,ROUND(AT534+ROUND(AT534*Z$3/12,2),2))</f>
      </c>
      <c r="G535" s="33">
        <f>IF(AU534&lt;=0,0,ROUND(AU534+ROUND(AU534*AA$3/12,2),2))</f>
      </c>
      <c r="H535" s="33">
        <f>IF(AV534&lt;=0,0,ROUND(AV534+ROUND(AV534*AB$3/12,2),2))</f>
      </c>
      <c r="I535" s="33">
        <f>IF(AW534&lt;=0,0,ROUND(AW534+ROUND(AW534*AC$3/12,2),2))</f>
      </c>
      <c r="J535" s="33">
        <f>IF(AX534&lt;=0,0,ROUND(AX534+ROUND(AX534*AD$3/12,2),2))</f>
      </c>
      <c r="K535" s="33">
        <f>IF(AY534&lt;=0,0,ROUND(AY534+ROUND(AY534*AE$3/12,2),2))</f>
      </c>
      <c r="L535" s="33">
        <f>ROUND(MIN(MAX(0,N('Your debts'!$E$6)),B535),2)</f>
      </c>
      <c r="M535" s="33">
        <f>ROUND(MIN(MAX(0,N('Your debts'!$E$7)),C535),2)</f>
      </c>
      <c r="N535" s="33">
        <f>ROUND(MIN(MAX(0,N('Your debts'!$E$8)),D535),2)</f>
      </c>
      <c r="O535" s="33">
        <f>ROUND(MIN(MAX(0,N('Your debts'!$E$9)),E535),2)</f>
      </c>
      <c r="P535" s="33">
        <f>ROUND(MIN(MAX(0,N('Your debts'!$E$10)),F535),2)</f>
      </c>
      <c r="Q535" s="33">
        <f>ROUND(MIN(MAX(0,N('Your debts'!$E$11)),G535),2)</f>
      </c>
      <c r="R535" s="33">
        <f>ROUND(MIN(MAX(0,N('Your debts'!$E$12)),H535),2)</f>
      </c>
      <c r="S535" s="33">
        <f>ROUND(MIN(MAX(0,N('Your debts'!$E$13)),I535),2)</f>
      </c>
      <c r="T535" s="33">
        <f>ROUND(MIN(MAX(0,N('Your debts'!$E$14)),J535),2)</f>
      </c>
      <c r="U535" s="33">
        <f>ROUND(MIN(MAX(0,N('Your debts'!$E$15)),K535),2)</f>
      </c>
      <c r="V535" s="33">
        <f>ROUND(B535-L535,2)</f>
      </c>
      <c r="W535" s="33">
        <f>ROUND(C535-M535,2)</f>
      </c>
      <c r="X535" s="33">
        <f>ROUND(D535-N535,2)</f>
      </c>
      <c r="Y535" s="33">
        <f>ROUND(E535-O535,2)</f>
      </c>
      <c r="Z535" s="33">
        <f>ROUND(F535-P535,2)</f>
      </c>
      <c r="AA535" s="33">
        <f>ROUND(G535-Q535,2)</f>
      </c>
      <c r="AB535" s="33">
        <f>ROUND(H535-R535,2)</f>
      </c>
      <c r="AC535" s="33">
        <f>ROUND(I535-S535,2)</f>
      </c>
      <c r="AD535" s="33">
        <f>ROUND(J535-T535,2)</f>
      </c>
      <c r="AE535" s="33">
        <f>ROUND(K535-U535,2)</f>
      </c>
      <c r="AF535" s="33">
        <f>IF(V535&lt;=0,0,MAX(0,MIN(V535,ROUND($AZ535-SUMPRODUCT($V535:$AE535*($V535:$AE535&gt;0)*(($V$3:$AE$3&gt;V$3)+($V$3:$AE$3=V$3)*($V535:$AE535&lt;V535)+($V$3:$AE$3=V$3)*($V535:$AE535=V535)*($V$2:$AE$2&lt;V$2))),2))))</f>
      </c>
      <c r="AG535" s="33">
        <f>IF(W535&lt;=0,0,MAX(0,MIN(W535,ROUND($AZ535-SUMPRODUCT($V535:$AE535*($V535:$AE535&gt;0)*(($V$3:$AE$3&gt;W$3)+($V$3:$AE$3=W$3)*($V535:$AE535&lt;W535)+($V$3:$AE$3=W$3)*($V535:$AE535=W535)*($V$2:$AE$2&lt;W$2))),2))))</f>
      </c>
      <c r="AH535" s="33">
        <f>IF(X535&lt;=0,0,MAX(0,MIN(X535,ROUND($AZ535-SUMPRODUCT($V535:$AE535*($V535:$AE535&gt;0)*(($V$3:$AE$3&gt;X$3)+($V$3:$AE$3=X$3)*($V535:$AE535&lt;X535)+($V$3:$AE$3=X$3)*($V535:$AE535=X535)*($V$2:$AE$2&lt;X$2))),2))))</f>
      </c>
      <c r="AI535" s="33">
        <f>IF(Y535&lt;=0,0,MAX(0,MIN(Y535,ROUND($AZ535-SUMPRODUCT($V535:$AE535*($V535:$AE535&gt;0)*(($V$3:$AE$3&gt;Y$3)+($V$3:$AE$3=Y$3)*($V535:$AE535&lt;Y535)+($V$3:$AE$3=Y$3)*($V535:$AE535=Y535)*($V$2:$AE$2&lt;Y$2))),2))))</f>
      </c>
      <c r="AJ535" s="33">
        <f>IF(Z535&lt;=0,0,MAX(0,MIN(Z535,ROUND($AZ535-SUMPRODUCT($V535:$AE535*($V535:$AE535&gt;0)*(($V$3:$AE$3&gt;Z$3)+($V$3:$AE$3=Z$3)*($V535:$AE535&lt;Z535)+($V$3:$AE$3=Z$3)*($V535:$AE535=Z535)*($V$2:$AE$2&lt;Z$2))),2))))</f>
      </c>
      <c r="AK535" s="33">
        <f>IF(AA535&lt;=0,0,MAX(0,MIN(AA535,ROUND($AZ535-SUMPRODUCT($V535:$AE535*($V535:$AE535&gt;0)*(($V$3:$AE$3&gt;AA$3)+($V$3:$AE$3=AA$3)*($V535:$AE535&lt;AA535)+($V$3:$AE$3=AA$3)*($V535:$AE535=AA535)*($V$2:$AE$2&lt;AA$2))),2))))</f>
      </c>
      <c r="AL535" s="33">
        <f>IF(AB535&lt;=0,0,MAX(0,MIN(AB535,ROUND($AZ535-SUMPRODUCT($V535:$AE535*($V535:$AE535&gt;0)*(($V$3:$AE$3&gt;AB$3)+($V$3:$AE$3=AB$3)*($V535:$AE535&lt;AB535)+($V$3:$AE$3=AB$3)*($V535:$AE535=AB535)*($V$2:$AE$2&lt;AB$2))),2))))</f>
      </c>
      <c r="AM535" s="33">
        <f>IF(AC535&lt;=0,0,MAX(0,MIN(AC535,ROUND($AZ535-SUMPRODUCT($V535:$AE535*($V535:$AE535&gt;0)*(($V$3:$AE$3&gt;AC$3)+($V$3:$AE$3=AC$3)*($V535:$AE535&lt;AC535)+($V$3:$AE$3=AC$3)*($V535:$AE535=AC535)*($V$2:$AE$2&lt;AC$2))),2))))</f>
      </c>
      <c r="AN535" s="33">
        <f>IF(AD535&lt;=0,0,MAX(0,MIN(AD535,ROUND($AZ535-SUMPRODUCT($V535:$AE535*($V535:$AE535&gt;0)*(($V$3:$AE$3&gt;AD$3)+($V$3:$AE$3=AD$3)*($V535:$AE535&lt;AD535)+($V$3:$AE$3=AD$3)*($V535:$AE535=AD535)*($V$2:$AE$2&lt;AD$2))),2))))</f>
      </c>
      <c r="AO535" s="33">
        <f>IF(AE535&lt;=0,0,MAX(0,MIN(AE535,ROUND($AZ535-SUMPRODUCT($V535:$AE535*($V535:$AE535&gt;0)*(($V$3:$AE$3&gt;AE$3)+($V$3:$AE$3=AE$3)*($V535:$AE535&lt;AE535)+($V$3:$AE$3=AE$3)*($V535:$AE535=AE535)*($V$2:$AE$2&lt;AE$2))),2))))</f>
      </c>
      <c r="AP535" s="33">
        <f>ROUND(V535-AF535,2)</f>
      </c>
      <c r="AQ535" s="33">
        <f>ROUND(W535-AG535,2)</f>
      </c>
      <c r="AR535" s="33">
        <f>ROUND(X535-AH535,2)</f>
      </c>
      <c r="AS535" s="33">
        <f>ROUND(Y535-AI535,2)</f>
      </c>
      <c r="AT535" s="33">
        <f>ROUND(Z535-AJ535,2)</f>
      </c>
      <c r="AU535" s="33">
        <f>ROUND(AA535-AK535,2)</f>
      </c>
      <c r="AV535" s="33">
        <f>ROUND(AB535-AL535,2)</f>
      </c>
      <c r="AW535" s="33">
        <f>ROUND(AC535-AM535,2)</f>
      </c>
      <c r="AX535" s="33">
        <f>ROUND(AD535-AN535,2)</f>
      </c>
      <c r="AY535" s="33">
        <f>ROUND(AE535-AO535,2)</f>
      </c>
      <c r="AZ535" s="33">
        <f>ROUND(MAX(0,'Your debts'!$D$22-SUM($L535:$U535)),2)</f>
      </c>
      <c r="BA535" s="33">
        <f>ROUND(SUM($B535:$K535)-SUM($AP534:$AY534),2)</f>
      </c>
      <c r="BB535" s="33">
        <f>SUM($AP535:$AY535)</f>
      </c>
      <c r="BC535" s="33">
        <f>ROUND(SUM($L535:$U535)+SUM($AF535:$AO535),2)</f>
      </c>
    </row>
    <row r="536" spans="1:55" x14ac:dyDescent="0.25">
      <c r="A536">
        <v>529</v>
      </c>
      <c r="B536" s="33">
        <f>IF(AP535&lt;=0,0,ROUND(AP535+ROUND(AP535*V$3/12,2),2))</f>
      </c>
      <c r="C536" s="33">
        <f>IF(AQ535&lt;=0,0,ROUND(AQ535+ROUND(AQ535*W$3/12,2),2))</f>
      </c>
      <c r="D536" s="33">
        <f>IF(AR535&lt;=0,0,ROUND(AR535+ROUND(AR535*X$3/12,2),2))</f>
      </c>
      <c r="E536" s="33">
        <f>IF(AS535&lt;=0,0,ROUND(AS535+ROUND(AS535*Y$3/12,2),2))</f>
      </c>
      <c r="F536" s="33">
        <f>IF(AT535&lt;=0,0,ROUND(AT535+ROUND(AT535*Z$3/12,2),2))</f>
      </c>
      <c r="G536" s="33">
        <f>IF(AU535&lt;=0,0,ROUND(AU535+ROUND(AU535*AA$3/12,2),2))</f>
      </c>
      <c r="H536" s="33">
        <f>IF(AV535&lt;=0,0,ROUND(AV535+ROUND(AV535*AB$3/12,2),2))</f>
      </c>
      <c r="I536" s="33">
        <f>IF(AW535&lt;=0,0,ROUND(AW535+ROUND(AW535*AC$3/12,2),2))</f>
      </c>
      <c r="J536" s="33">
        <f>IF(AX535&lt;=0,0,ROUND(AX535+ROUND(AX535*AD$3/12,2),2))</f>
      </c>
      <c r="K536" s="33">
        <f>IF(AY535&lt;=0,0,ROUND(AY535+ROUND(AY535*AE$3/12,2),2))</f>
      </c>
      <c r="L536" s="33">
        <f>ROUND(MIN(MAX(0,N('Your debts'!$E$6)),B536),2)</f>
      </c>
      <c r="M536" s="33">
        <f>ROUND(MIN(MAX(0,N('Your debts'!$E$7)),C536),2)</f>
      </c>
      <c r="N536" s="33">
        <f>ROUND(MIN(MAX(0,N('Your debts'!$E$8)),D536),2)</f>
      </c>
      <c r="O536" s="33">
        <f>ROUND(MIN(MAX(0,N('Your debts'!$E$9)),E536),2)</f>
      </c>
      <c r="P536" s="33">
        <f>ROUND(MIN(MAX(0,N('Your debts'!$E$10)),F536),2)</f>
      </c>
      <c r="Q536" s="33">
        <f>ROUND(MIN(MAX(0,N('Your debts'!$E$11)),G536),2)</f>
      </c>
      <c r="R536" s="33">
        <f>ROUND(MIN(MAX(0,N('Your debts'!$E$12)),H536),2)</f>
      </c>
      <c r="S536" s="33">
        <f>ROUND(MIN(MAX(0,N('Your debts'!$E$13)),I536),2)</f>
      </c>
      <c r="T536" s="33">
        <f>ROUND(MIN(MAX(0,N('Your debts'!$E$14)),J536),2)</f>
      </c>
      <c r="U536" s="33">
        <f>ROUND(MIN(MAX(0,N('Your debts'!$E$15)),K536),2)</f>
      </c>
      <c r="V536" s="33">
        <f>ROUND(B536-L536,2)</f>
      </c>
      <c r="W536" s="33">
        <f>ROUND(C536-M536,2)</f>
      </c>
      <c r="X536" s="33">
        <f>ROUND(D536-N536,2)</f>
      </c>
      <c r="Y536" s="33">
        <f>ROUND(E536-O536,2)</f>
      </c>
      <c r="Z536" s="33">
        <f>ROUND(F536-P536,2)</f>
      </c>
      <c r="AA536" s="33">
        <f>ROUND(G536-Q536,2)</f>
      </c>
      <c r="AB536" s="33">
        <f>ROUND(H536-R536,2)</f>
      </c>
      <c r="AC536" s="33">
        <f>ROUND(I536-S536,2)</f>
      </c>
      <c r="AD536" s="33">
        <f>ROUND(J536-T536,2)</f>
      </c>
      <c r="AE536" s="33">
        <f>ROUND(K536-U536,2)</f>
      </c>
      <c r="AF536" s="33">
        <f>IF(V536&lt;=0,0,MAX(0,MIN(V536,ROUND($AZ536-SUMPRODUCT($V536:$AE536*($V536:$AE536&gt;0)*(($V$3:$AE$3&gt;V$3)+($V$3:$AE$3=V$3)*($V536:$AE536&lt;V536)+($V$3:$AE$3=V$3)*($V536:$AE536=V536)*($V$2:$AE$2&lt;V$2))),2))))</f>
      </c>
      <c r="AG536" s="33">
        <f>IF(W536&lt;=0,0,MAX(0,MIN(W536,ROUND($AZ536-SUMPRODUCT($V536:$AE536*($V536:$AE536&gt;0)*(($V$3:$AE$3&gt;W$3)+($V$3:$AE$3=W$3)*($V536:$AE536&lt;W536)+($V$3:$AE$3=W$3)*($V536:$AE536=W536)*($V$2:$AE$2&lt;W$2))),2))))</f>
      </c>
      <c r="AH536" s="33">
        <f>IF(X536&lt;=0,0,MAX(0,MIN(X536,ROUND($AZ536-SUMPRODUCT($V536:$AE536*($V536:$AE536&gt;0)*(($V$3:$AE$3&gt;X$3)+($V$3:$AE$3=X$3)*($V536:$AE536&lt;X536)+($V$3:$AE$3=X$3)*($V536:$AE536=X536)*($V$2:$AE$2&lt;X$2))),2))))</f>
      </c>
      <c r="AI536" s="33">
        <f>IF(Y536&lt;=0,0,MAX(0,MIN(Y536,ROUND($AZ536-SUMPRODUCT($V536:$AE536*($V536:$AE536&gt;0)*(($V$3:$AE$3&gt;Y$3)+($V$3:$AE$3=Y$3)*($V536:$AE536&lt;Y536)+($V$3:$AE$3=Y$3)*($V536:$AE536=Y536)*($V$2:$AE$2&lt;Y$2))),2))))</f>
      </c>
      <c r="AJ536" s="33">
        <f>IF(Z536&lt;=0,0,MAX(0,MIN(Z536,ROUND($AZ536-SUMPRODUCT($V536:$AE536*($V536:$AE536&gt;0)*(($V$3:$AE$3&gt;Z$3)+($V$3:$AE$3=Z$3)*($V536:$AE536&lt;Z536)+($V$3:$AE$3=Z$3)*($V536:$AE536=Z536)*($V$2:$AE$2&lt;Z$2))),2))))</f>
      </c>
      <c r="AK536" s="33">
        <f>IF(AA536&lt;=0,0,MAX(0,MIN(AA536,ROUND($AZ536-SUMPRODUCT($V536:$AE536*($V536:$AE536&gt;0)*(($V$3:$AE$3&gt;AA$3)+($V$3:$AE$3=AA$3)*($V536:$AE536&lt;AA536)+($V$3:$AE$3=AA$3)*($V536:$AE536=AA536)*($V$2:$AE$2&lt;AA$2))),2))))</f>
      </c>
      <c r="AL536" s="33">
        <f>IF(AB536&lt;=0,0,MAX(0,MIN(AB536,ROUND($AZ536-SUMPRODUCT($V536:$AE536*($V536:$AE536&gt;0)*(($V$3:$AE$3&gt;AB$3)+($V$3:$AE$3=AB$3)*($V536:$AE536&lt;AB536)+($V$3:$AE$3=AB$3)*($V536:$AE536=AB536)*($V$2:$AE$2&lt;AB$2))),2))))</f>
      </c>
      <c r="AM536" s="33">
        <f>IF(AC536&lt;=0,0,MAX(0,MIN(AC536,ROUND($AZ536-SUMPRODUCT($V536:$AE536*($V536:$AE536&gt;0)*(($V$3:$AE$3&gt;AC$3)+($V$3:$AE$3=AC$3)*($V536:$AE536&lt;AC536)+($V$3:$AE$3=AC$3)*($V536:$AE536=AC536)*($V$2:$AE$2&lt;AC$2))),2))))</f>
      </c>
      <c r="AN536" s="33">
        <f>IF(AD536&lt;=0,0,MAX(0,MIN(AD536,ROUND($AZ536-SUMPRODUCT($V536:$AE536*($V536:$AE536&gt;0)*(($V$3:$AE$3&gt;AD$3)+($V$3:$AE$3=AD$3)*($V536:$AE536&lt;AD536)+($V$3:$AE$3=AD$3)*($V536:$AE536=AD536)*($V$2:$AE$2&lt;AD$2))),2))))</f>
      </c>
      <c r="AO536" s="33">
        <f>IF(AE536&lt;=0,0,MAX(0,MIN(AE536,ROUND($AZ536-SUMPRODUCT($V536:$AE536*($V536:$AE536&gt;0)*(($V$3:$AE$3&gt;AE$3)+($V$3:$AE$3=AE$3)*($V536:$AE536&lt;AE536)+($V$3:$AE$3=AE$3)*($V536:$AE536=AE536)*($V$2:$AE$2&lt;AE$2))),2))))</f>
      </c>
      <c r="AP536" s="33">
        <f>ROUND(V536-AF536,2)</f>
      </c>
      <c r="AQ536" s="33">
        <f>ROUND(W536-AG536,2)</f>
      </c>
      <c r="AR536" s="33">
        <f>ROUND(X536-AH536,2)</f>
      </c>
      <c r="AS536" s="33">
        <f>ROUND(Y536-AI536,2)</f>
      </c>
      <c r="AT536" s="33">
        <f>ROUND(Z536-AJ536,2)</f>
      </c>
      <c r="AU536" s="33">
        <f>ROUND(AA536-AK536,2)</f>
      </c>
      <c r="AV536" s="33">
        <f>ROUND(AB536-AL536,2)</f>
      </c>
      <c r="AW536" s="33">
        <f>ROUND(AC536-AM536,2)</f>
      </c>
      <c r="AX536" s="33">
        <f>ROUND(AD536-AN536,2)</f>
      </c>
      <c r="AY536" s="33">
        <f>ROUND(AE536-AO536,2)</f>
      </c>
      <c r="AZ536" s="33">
        <f>ROUND(MAX(0,'Your debts'!$D$22-SUM($L536:$U536)),2)</f>
      </c>
      <c r="BA536" s="33">
        <f>ROUND(SUM($B536:$K536)-SUM($AP535:$AY535),2)</f>
      </c>
      <c r="BB536" s="33">
        <f>SUM($AP536:$AY536)</f>
      </c>
      <c r="BC536" s="33">
        <f>ROUND(SUM($L536:$U536)+SUM($AF536:$AO536),2)</f>
      </c>
    </row>
    <row r="537" spans="1:55" x14ac:dyDescent="0.25">
      <c r="A537">
        <v>530</v>
      </c>
      <c r="B537" s="33">
        <f>IF(AP536&lt;=0,0,ROUND(AP536+ROUND(AP536*V$3/12,2),2))</f>
      </c>
      <c r="C537" s="33">
        <f>IF(AQ536&lt;=0,0,ROUND(AQ536+ROUND(AQ536*W$3/12,2),2))</f>
      </c>
      <c r="D537" s="33">
        <f>IF(AR536&lt;=0,0,ROUND(AR536+ROUND(AR536*X$3/12,2),2))</f>
      </c>
      <c r="E537" s="33">
        <f>IF(AS536&lt;=0,0,ROUND(AS536+ROUND(AS536*Y$3/12,2),2))</f>
      </c>
      <c r="F537" s="33">
        <f>IF(AT536&lt;=0,0,ROUND(AT536+ROUND(AT536*Z$3/12,2),2))</f>
      </c>
      <c r="G537" s="33">
        <f>IF(AU536&lt;=0,0,ROUND(AU536+ROUND(AU536*AA$3/12,2),2))</f>
      </c>
      <c r="H537" s="33">
        <f>IF(AV536&lt;=0,0,ROUND(AV536+ROUND(AV536*AB$3/12,2),2))</f>
      </c>
      <c r="I537" s="33">
        <f>IF(AW536&lt;=0,0,ROUND(AW536+ROUND(AW536*AC$3/12,2),2))</f>
      </c>
      <c r="J537" s="33">
        <f>IF(AX536&lt;=0,0,ROUND(AX536+ROUND(AX536*AD$3/12,2),2))</f>
      </c>
      <c r="K537" s="33">
        <f>IF(AY536&lt;=0,0,ROUND(AY536+ROUND(AY536*AE$3/12,2),2))</f>
      </c>
      <c r="L537" s="33">
        <f>ROUND(MIN(MAX(0,N('Your debts'!$E$6)),B537),2)</f>
      </c>
      <c r="M537" s="33">
        <f>ROUND(MIN(MAX(0,N('Your debts'!$E$7)),C537),2)</f>
      </c>
      <c r="N537" s="33">
        <f>ROUND(MIN(MAX(0,N('Your debts'!$E$8)),D537),2)</f>
      </c>
      <c r="O537" s="33">
        <f>ROUND(MIN(MAX(0,N('Your debts'!$E$9)),E537),2)</f>
      </c>
      <c r="P537" s="33">
        <f>ROUND(MIN(MAX(0,N('Your debts'!$E$10)),F537),2)</f>
      </c>
      <c r="Q537" s="33">
        <f>ROUND(MIN(MAX(0,N('Your debts'!$E$11)),G537),2)</f>
      </c>
      <c r="R537" s="33">
        <f>ROUND(MIN(MAX(0,N('Your debts'!$E$12)),H537),2)</f>
      </c>
      <c r="S537" s="33">
        <f>ROUND(MIN(MAX(0,N('Your debts'!$E$13)),I537),2)</f>
      </c>
      <c r="T537" s="33">
        <f>ROUND(MIN(MAX(0,N('Your debts'!$E$14)),J537),2)</f>
      </c>
      <c r="U537" s="33">
        <f>ROUND(MIN(MAX(0,N('Your debts'!$E$15)),K537),2)</f>
      </c>
      <c r="V537" s="33">
        <f>ROUND(B537-L537,2)</f>
      </c>
      <c r="W537" s="33">
        <f>ROUND(C537-M537,2)</f>
      </c>
      <c r="X537" s="33">
        <f>ROUND(D537-N537,2)</f>
      </c>
      <c r="Y537" s="33">
        <f>ROUND(E537-O537,2)</f>
      </c>
      <c r="Z537" s="33">
        <f>ROUND(F537-P537,2)</f>
      </c>
      <c r="AA537" s="33">
        <f>ROUND(G537-Q537,2)</f>
      </c>
      <c r="AB537" s="33">
        <f>ROUND(H537-R537,2)</f>
      </c>
      <c r="AC537" s="33">
        <f>ROUND(I537-S537,2)</f>
      </c>
      <c r="AD537" s="33">
        <f>ROUND(J537-T537,2)</f>
      </c>
      <c r="AE537" s="33">
        <f>ROUND(K537-U537,2)</f>
      </c>
      <c r="AF537" s="33">
        <f>IF(V537&lt;=0,0,MAX(0,MIN(V537,ROUND($AZ537-SUMPRODUCT($V537:$AE537*($V537:$AE537&gt;0)*(($V$3:$AE$3&gt;V$3)+($V$3:$AE$3=V$3)*($V537:$AE537&lt;V537)+($V$3:$AE$3=V$3)*($V537:$AE537=V537)*($V$2:$AE$2&lt;V$2))),2))))</f>
      </c>
      <c r="AG537" s="33">
        <f>IF(W537&lt;=0,0,MAX(0,MIN(W537,ROUND($AZ537-SUMPRODUCT($V537:$AE537*($V537:$AE537&gt;0)*(($V$3:$AE$3&gt;W$3)+($V$3:$AE$3=W$3)*($V537:$AE537&lt;W537)+($V$3:$AE$3=W$3)*($V537:$AE537=W537)*($V$2:$AE$2&lt;W$2))),2))))</f>
      </c>
      <c r="AH537" s="33">
        <f>IF(X537&lt;=0,0,MAX(0,MIN(X537,ROUND($AZ537-SUMPRODUCT($V537:$AE537*($V537:$AE537&gt;0)*(($V$3:$AE$3&gt;X$3)+($V$3:$AE$3=X$3)*($V537:$AE537&lt;X537)+($V$3:$AE$3=X$3)*($V537:$AE537=X537)*($V$2:$AE$2&lt;X$2))),2))))</f>
      </c>
      <c r="AI537" s="33">
        <f>IF(Y537&lt;=0,0,MAX(0,MIN(Y537,ROUND($AZ537-SUMPRODUCT($V537:$AE537*($V537:$AE537&gt;0)*(($V$3:$AE$3&gt;Y$3)+($V$3:$AE$3=Y$3)*($V537:$AE537&lt;Y537)+($V$3:$AE$3=Y$3)*($V537:$AE537=Y537)*($V$2:$AE$2&lt;Y$2))),2))))</f>
      </c>
      <c r="AJ537" s="33">
        <f>IF(Z537&lt;=0,0,MAX(0,MIN(Z537,ROUND($AZ537-SUMPRODUCT($V537:$AE537*($V537:$AE537&gt;0)*(($V$3:$AE$3&gt;Z$3)+($V$3:$AE$3=Z$3)*($V537:$AE537&lt;Z537)+($V$3:$AE$3=Z$3)*($V537:$AE537=Z537)*($V$2:$AE$2&lt;Z$2))),2))))</f>
      </c>
      <c r="AK537" s="33">
        <f>IF(AA537&lt;=0,0,MAX(0,MIN(AA537,ROUND($AZ537-SUMPRODUCT($V537:$AE537*($V537:$AE537&gt;0)*(($V$3:$AE$3&gt;AA$3)+($V$3:$AE$3=AA$3)*($V537:$AE537&lt;AA537)+($V$3:$AE$3=AA$3)*($V537:$AE537=AA537)*($V$2:$AE$2&lt;AA$2))),2))))</f>
      </c>
      <c r="AL537" s="33">
        <f>IF(AB537&lt;=0,0,MAX(0,MIN(AB537,ROUND($AZ537-SUMPRODUCT($V537:$AE537*($V537:$AE537&gt;0)*(($V$3:$AE$3&gt;AB$3)+($V$3:$AE$3=AB$3)*($V537:$AE537&lt;AB537)+($V$3:$AE$3=AB$3)*($V537:$AE537=AB537)*($V$2:$AE$2&lt;AB$2))),2))))</f>
      </c>
      <c r="AM537" s="33">
        <f>IF(AC537&lt;=0,0,MAX(0,MIN(AC537,ROUND($AZ537-SUMPRODUCT($V537:$AE537*($V537:$AE537&gt;0)*(($V$3:$AE$3&gt;AC$3)+($V$3:$AE$3=AC$3)*($V537:$AE537&lt;AC537)+($V$3:$AE$3=AC$3)*($V537:$AE537=AC537)*($V$2:$AE$2&lt;AC$2))),2))))</f>
      </c>
      <c r="AN537" s="33">
        <f>IF(AD537&lt;=0,0,MAX(0,MIN(AD537,ROUND($AZ537-SUMPRODUCT($V537:$AE537*($V537:$AE537&gt;0)*(($V$3:$AE$3&gt;AD$3)+($V$3:$AE$3=AD$3)*($V537:$AE537&lt;AD537)+($V$3:$AE$3=AD$3)*($V537:$AE537=AD537)*($V$2:$AE$2&lt;AD$2))),2))))</f>
      </c>
      <c r="AO537" s="33">
        <f>IF(AE537&lt;=0,0,MAX(0,MIN(AE537,ROUND($AZ537-SUMPRODUCT($V537:$AE537*($V537:$AE537&gt;0)*(($V$3:$AE$3&gt;AE$3)+($V$3:$AE$3=AE$3)*($V537:$AE537&lt;AE537)+($V$3:$AE$3=AE$3)*($V537:$AE537=AE537)*($V$2:$AE$2&lt;AE$2))),2))))</f>
      </c>
      <c r="AP537" s="33">
        <f>ROUND(V537-AF537,2)</f>
      </c>
      <c r="AQ537" s="33">
        <f>ROUND(W537-AG537,2)</f>
      </c>
      <c r="AR537" s="33">
        <f>ROUND(X537-AH537,2)</f>
      </c>
      <c r="AS537" s="33">
        <f>ROUND(Y537-AI537,2)</f>
      </c>
      <c r="AT537" s="33">
        <f>ROUND(Z537-AJ537,2)</f>
      </c>
      <c r="AU537" s="33">
        <f>ROUND(AA537-AK537,2)</f>
      </c>
      <c r="AV537" s="33">
        <f>ROUND(AB537-AL537,2)</f>
      </c>
      <c r="AW537" s="33">
        <f>ROUND(AC537-AM537,2)</f>
      </c>
      <c r="AX537" s="33">
        <f>ROUND(AD537-AN537,2)</f>
      </c>
      <c r="AY537" s="33">
        <f>ROUND(AE537-AO537,2)</f>
      </c>
      <c r="AZ537" s="33">
        <f>ROUND(MAX(0,'Your debts'!$D$22-SUM($L537:$U537)),2)</f>
      </c>
      <c r="BA537" s="33">
        <f>ROUND(SUM($B537:$K537)-SUM($AP536:$AY536),2)</f>
      </c>
      <c r="BB537" s="33">
        <f>SUM($AP537:$AY537)</f>
      </c>
      <c r="BC537" s="33">
        <f>ROUND(SUM($L537:$U537)+SUM($AF537:$AO537),2)</f>
      </c>
    </row>
    <row r="538" spans="1:55" x14ac:dyDescent="0.25">
      <c r="A538">
        <v>531</v>
      </c>
      <c r="B538" s="33">
        <f>IF(AP537&lt;=0,0,ROUND(AP537+ROUND(AP537*V$3/12,2),2))</f>
      </c>
      <c r="C538" s="33">
        <f>IF(AQ537&lt;=0,0,ROUND(AQ537+ROUND(AQ537*W$3/12,2),2))</f>
      </c>
      <c r="D538" s="33">
        <f>IF(AR537&lt;=0,0,ROUND(AR537+ROUND(AR537*X$3/12,2),2))</f>
      </c>
      <c r="E538" s="33">
        <f>IF(AS537&lt;=0,0,ROUND(AS537+ROUND(AS537*Y$3/12,2),2))</f>
      </c>
      <c r="F538" s="33">
        <f>IF(AT537&lt;=0,0,ROUND(AT537+ROUND(AT537*Z$3/12,2),2))</f>
      </c>
      <c r="G538" s="33">
        <f>IF(AU537&lt;=0,0,ROUND(AU537+ROUND(AU537*AA$3/12,2),2))</f>
      </c>
      <c r="H538" s="33">
        <f>IF(AV537&lt;=0,0,ROUND(AV537+ROUND(AV537*AB$3/12,2),2))</f>
      </c>
      <c r="I538" s="33">
        <f>IF(AW537&lt;=0,0,ROUND(AW537+ROUND(AW537*AC$3/12,2),2))</f>
      </c>
      <c r="J538" s="33">
        <f>IF(AX537&lt;=0,0,ROUND(AX537+ROUND(AX537*AD$3/12,2),2))</f>
      </c>
      <c r="K538" s="33">
        <f>IF(AY537&lt;=0,0,ROUND(AY537+ROUND(AY537*AE$3/12,2),2))</f>
      </c>
      <c r="L538" s="33">
        <f>ROUND(MIN(MAX(0,N('Your debts'!$E$6)),B538),2)</f>
      </c>
      <c r="M538" s="33">
        <f>ROUND(MIN(MAX(0,N('Your debts'!$E$7)),C538),2)</f>
      </c>
      <c r="N538" s="33">
        <f>ROUND(MIN(MAX(0,N('Your debts'!$E$8)),D538),2)</f>
      </c>
      <c r="O538" s="33">
        <f>ROUND(MIN(MAX(0,N('Your debts'!$E$9)),E538),2)</f>
      </c>
      <c r="P538" s="33">
        <f>ROUND(MIN(MAX(0,N('Your debts'!$E$10)),F538),2)</f>
      </c>
      <c r="Q538" s="33">
        <f>ROUND(MIN(MAX(0,N('Your debts'!$E$11)),G538),2)</f>
      </c>
      <c r="R538" s="33">
        <f>ROUND(MIN(MAX(0,N('Your debts'!$E$12)),H538),2)</f>
      </c>
      <c r="S538" s="33">
        <f>ROUND(MIN(MAX(0,N('Your debts'!$E$13)),I538),2)</f>
      </c>
      <c r="T538" s="33">
        <f>ROUND(MIN(MAX(0,N('Your debts'!$E$14)),J538),2)</f>
      </c>
      <c r="U538" s="33">
        <f>ROUND(MIN(MAX(0,N('Your debts'!$E$15)),K538),2)</f>
      </c>
      <c r="V538" s="33">
        <f>ROUND(B538-L538,2)</f>
      </c>
      <c r="W538" s="33">
        <f>ROUND(C538-M538,2)</f>
      </c>
      <c r="X538" s="33">
        <f>ROUND(D538-N538,2)</f>
      </c>
      <c r="Y538" s="33">
        <f>ROUND(E538-O538,2)</f>
      </c>
      <c r="Z538" s="33">
        <f>ROUND(F538-P538,2)</f>
      </c>
      <c r="AA538" s="33">
        <f>ROUND(G538-Q538,2)</f>
      </c>
      <c r="AB538" s="33">
        <f>ROUND(H538-R538,2)</f>
      </c>
      <c r="AC538" s="33">
        <f>ROUND(I538-S538,2)</f>
      </c>
      <c r="AD538" s="33">
        <f>ROUND(J538-T538,2)</f>
      </c>
      <c r="AE538" s="33">
        <f>ROUND(K538-U538,2)</f>
      </c>
      <c r="AF538" s="33">
        <f>IF(V538&lt;=0,0,MAX(0,MIN(V538,ROUND($AZ538-SUMPRODUCT($V538:$AE538*($V538:$AE538&gt;0)*(($V$3:$AE$3&gt;V$3)+($V$3:$AE$3=V$3)*($V538:$AE538&lt;V538)+($V$3:$AE$3=V$3)*($V538:$AE538=V538)*($V$2:$AE$2&lt;V$2))),2))))</f>
      </c>
      <c r="AG538" s="33">
        <f>IF(W538&lt;=0,0,MAX(0,MIN(W538,ROUND($AZ538-SUMPRODUCT($V538:$AE538*($V538:$AE538&gt;0)*(($V$3:$AE$3&gt;W$3)+($V$3:$AE$3=W$3)*($V538:$AE538&lt;W538)+($V$3:$AE$3=W$3)*($V538:$AE538=W538)*($V$2:$AE$2&lt;W$2))),2))))</f>
      </c>
      <c r="AH538" s="33">
        <f>IF(X538&lt;=0,0,MAX(0,MIN(X538,ROUND($AZ538-SUMPRODUCT($V538:$AE538*($V538:$AE538&gt;0)*(($V$3:$AE$3&gt;X$3)+($V$3:$AE$3=X$3)*($V538:$AE538&lt;X538)+($V$3:$AE$3=X$3)*($V538:$AE538=X538)*($V$2:$AE$2&lt;X$2))),2))))</f>
      </c>
      <c r="AI538" s="33">
        <f>IF(Y538&lt;=0,0,MAX(0,MIN(Y538,ROUND($AZ538-SUMPRODUCT($V538:$AE538*($V538:$AE538&gt;0)*(($V$3:$AE$3&gt;Y$3)+($V$3:$AE$3=Y$3)*($V538:$AE538&lt;Y538)+($V$3:$AE$3=Y$3)*($V538:$AE538=Y538)*($V$2:$AE$2&lt;Y$2))),2))))</f>
      </c>
      <c r="AJ538" s="33">
        <f>IF(Z538&lt;=0,0,MAX(0,MIN(Z538,ROUND($AZ538-SUMPRODUCT($V538:$AE538*($V538:$AE538&gt;0)*(($V$3:$AE$3&gt;Z$3)+($V$3:$AE$3=Z$3)*($V538:$AE538&lt;Z538)+($V$3:$AE$3=Z$3)*($V538:$AE538=Z538)*($V$2:$AE$2&lt;Z$2))),2))))</f>
      </c>
      <c r="AK538" s="33">
        <f>IF(AA538&lt;=0,0,MAX(0,MIN(AA538,ROUND($AZ538-SUMPRODUCT($V538:$AE538*($V538:$AE538&gt;0)*(($V$3:$AE$3&gt;AA$3)+($V$3:$AE$3=AA$3)*($V538:$AE538&lt;AA538)+($V$3:$AE$3=AA$3)*($V538:$AE538=AA538)*($V$2:$AE$2&lt;AA$2))),2))))</f>
      </c>
      <c r="AL538" s="33">
        <f>IF(AB538&lt;=0,0,MAX(0,MIN(AB538,ROUND($AZ538-SUMPRODUCT($V538:$AE538*($V538:$AE538&gt;0)*(($V$3:$AE$3&gt;AB$3)+($V$3:$AE$3=AB$3)*($V538:$AE538&lt;AB538)+($V$3:$AE$3=AB$3)*($V538:$AE538=AB538)*($V$2:$AE$2&lt;AB$2))),2))))</f>
      </c>
      <c r="AM538" s="33">
        <f>IF(AC538&lt;=0,0,MAX(0,MIN(AC538,ROUND($AZ538-SUMPRODUCT($V538:$AE538*($V538:$AE538&gt;0)*(($V$3:$AE$3&gt;AC$3)+($V$3:$AE$3=AC$3)*($V538:$AE538&lt;AC538)+($V$3:$AE$3=AC$3)*($V538:$AE538=AC538)*($V$2:$AE$2&lt;AC$2))),2))))</f>
      </c>
      <c r="AN538" s="33">
        <f>IF(AD538&lt;=0,0,MAX(0,MIN(AD538,ROUND($AZ538-SUMPRODUCT($V538:$AE538*($V538:$AE538&gt;0)*(($V$3:$AE$3&gt;AD$3)+($V$3:$AE$3=AD$3)*($V538:$AE538&lt;AD538)+($V$3:$AE$3=AD$3)*($V538:$AE538=AD538)*($V$2:$AE$2&lt;AD$2))),2))))</f>
      </c>
      <c r="AO538" s="33">
        <f>IF(AE538&lt;=0,0,MAX(0,MIN(AE538,ROUND($AZ538-SUMPRODUCT($V538:$AE538*($V538:$AE538&gt;0)*(($V$3:$AE$3&gt;AE$3)+($V$3:$AE$3=AE$3)*($V538:$AE538&lt;AE538)+($V$3:$AE$3=AE$3)*($V538:$AE538=AE538)*($V$2:$AE$2&lt;AE$2))),2))))</f>
      </c>
      <c r="AP538" s="33">
        <f>ROUND(V538-AF538,2)</f>
      </c>
      <c r="AQ538" s="33">
        <f>ROUND(W538-AG538,2)</f>
      </c>
      <c r="AR538" s="33">
        <f>ROUND(X538-AH538,2)</f>
      </c>
      <c r="AS538" s="33">
        <f>ROUND(Y538-AI538,2)</f>
      </c>
      <c r="AT538" s="33">
        <f>ROUND(Z538-AJ538,2)</f>
      </c>
      <c r="AU538" s="33">
        <f>ROUND(AA538-AK538,2)</f>
      </c>
      <c r="AV538" s="33">
        <f>ROUND(AB538-AL538,2)</f>
      </c>
      <c r="AW538" s="33">
        <f>ROUND(AC538-AM538,2)</f>
      </c>
      <c r="AX538" s="33">
        <f>ROUND(AD538-AN538,2)</f>
      </c>
      <c r="AY538" s="33">
        <f>ROUND(AE538-AO538,2)</f>
      </c>
      <c r="AZ538" s="33">
        <f>ROUND(MAX(0,'Your debts'!$D$22-SUM($L538:$U538)),2)</f>
      </c>
      <c r="BA538" s="33">
        <f>ROUND(SUM($B538:$K538)-SUM($AP537:$AY537),2)</f>
      </c>
      <c r="BB538" s="33">
        <f>SUM($AP538:$AY538)</f>
      </c>
      <c r="BC538" s="33">
        <f>ROUND(SUM($L538:$U538)+SUM($AF538:$AO538),2)</f>
      </c>
    </row>
    <row r="539" spans="1:55" x14ac:dyDescent="0.25">
      <c r="A539">
        <v>532</v>
      </c>
      <c r="B539" s="33">
        <f>IF(AP538&lt;=0,0,ROUND(AP538+ROUND(AP538*V$3/12,2),2))</f>
      </c>
      <c r="C539" s="33">
        <f>IF(AQ538&lt;=0,0,ROUND(AQ538+ROUND(AQ538*W$3/12,2),2))</f>
      </c>
      <c r="D539" s="33">
        <f>IF(AR538&lt;=0,0,ROUND(AR538+ROUND(AR538*X$3/12,2),2))</f>
      </c>
      <c r="E539" s="33">
        <f>IF(AS538&lt;=0,0,ROUND(AS538+ROUND(AS538*Y$3/12,2),2))</f>
      </c>
      <c r="F539" s="33">
        <f>IF(AT538&lt;=0,0,ROUND(AT538+ROUND(AT538*Z$3/12,2),2))</f>
      </c>
      <c r="G539" s="33">
        <f>IF(AU538&lt;=0,0,ROUND(AU538+ROUND(AU538*AA$3/12,2),2))</f>
      </c>
      <c r="H539" s="33">
        <f>IF(AV538&lt;=0,0,ROUND(AV538+ROUND(AV538*AB$3/12,2),2))</f>
      </c>
      <c r="I539" s="33">
        <f>IF(AW538&lt;=0,0,ROUND(AW538+ROUND(AW538*AC$3/12,2),2))</f>
      </c>
      <c r="J539" s="33">
        <f>IF(AX538&lt;=0,0,ROUND(AX538+ROUND(AX538*AD$3/12,2),2))</f>
      </c>
      <c r="K539" s="33">
        <f>IF(AY538&lt;=0,0,ROUND(AY538+ROUND(AY538*AE$3/12,2),2))</f>
      </c>
      <c r="L539" s="33">
        <f>ROUND(MIN(MAX(0,N('Your debts'!$E$6)),B539),2)</f>
      </c>
      <c r="M539" s="33">
        <f>ROUND(MIN(MAX(0,N('Your debts'!$E$7)),C539),2)</f>
      </c>
      <c r="N539" s="33">
        <f>ROUND(MIN(MAX(0,N('Your debts'!$E$8)),D539),2)</f>
      </c>
      <c r="O539" s="33">
        <f>ROUND(MIN(MAX(0,N('Your debts'!$E$9)),E539),2)</f>
      </c>
      <c r="P539" s="33">
        <f>ROUND(MIN(MAX(0,N('Your debts'!$E$10)),F539),2)</f>
      </c>
      <c r="Q539" s="33">
        <f>ROUND(MIN(MAX(0,N('Your debts'!$E$11)),G539),2)</f>
      </c>
      <c r="R539" s="33">
        <f>ROUND(MIN(MAX(0,N('Your debts'!$E$12)),H539),2)</f>
      </c>
      <c r="S539" s="33">
        <f>ROUND(MIN(MAX(0,N('Your debts'!$E$13)),I539),2)</f>
      </c>
      <c r="T539" s="33">
        <f>ROUND(MIN(MAX(0,N('Your debts'!$E$14)),J539),2)</f>
      </c>
      <c r="U539" s="33">
        <f>ROUND(MIN(MAX(0,N('Your debts'!$E$15)),K539),2)</f>
      </c>
      <c r="V539" s="33">
        <f>ROUND(B539-L539,2)</f>
      </c>
      <c r="W539" s="33">
        <f>ROUND(C539-M539,2)</f>
      </c>
      <c r="X539" s="33">
        <f>ROUND(D539-N539,2)</f>
      </c>
      <c r="Y539" s="33">
        <f>ROUND(E539-O539,2)</f>
      </c>
      <c r="Z539" s="33">
        <f>ROUND(F539-P539,2)</f>
      </c>
      <c r="AA539" s="33">
        <f>ROUND(G539-Q539,2)</f>
      </c>
      <c r="AB539" s="33">
        <f>ROUND(H539-R539,2)</f>
      </c>
      <c r="AC539" s="33">
        <f>ROUND(I539-S539,2)</f>
      </c>
      <c r="AD539" s="33">
        <f>ROUND(J539-T539,2)</f>
      </c>
      <c r="AE539" s="33">
        <f>ROUND(K539-U539,2)</f>
      </c>
      <c r="AF539" s="33">
        <f>IF(V539&lt;=0,0,MAX(0,MIN(V539,ROUND($AZ539-SUMPRODUCT($V539:$AE539*($V539:$AE539&gt;0)*(($V$3:$AE$3&gt;V$3)+($V$3:$AE$3=V$3)*($V539:$AE539&lt;V539)+($V$3:$AE$3=V$3)*($V539:$AE539=V539)*($V$2:$AE$2&lt;V$2))),2))))</f>
      </c>
      <c r="AG539" s="33">
        <f>IF(W539&lt;=0,0,MAX(0,MIN(W539,ROUND($AZ539-SUMPRODUCT($V539:$AE539*($V539:$AE539&gt;0)*(($V$3:$AE$3&gt;W$3)+($V$3:$AE$3=W$3)*($V539:$AE539&lt;W539)+($V$3:$AE$3=W$3)*($V539:$AE539=W539)*($V$2:$AE$2&lt;W$2))),2))))</f>
      </c>
      <c r="AH539" s="33">
        <f>IF(X539&lt;=0,0,MAX(0,MIN(X539,ROUND($AZ539-SUMPRODUCT($V539:$AE539*($V539:$AE539&gt;0)*(($V$3:$AE$3&gt;X$3)+($V$3:$AE$3=X$3)*($V539:$AE539&lt;X539)+($V$3:$AE$3=X$3)*($V539:$AE539=X539)*($V$2:$AE$2&lt;X$2))),2))))</f>
      </c>
      <c r="AI539" s="33">
        <f>IF(Y539&lt;=0,0,MAX(0,MIN(Y539,ROUND($AZ539-SUMPRODUCT($V539:$AE539*($V539:$AE539&gt;0)*(($V$3:$AE$3&gt;Y$3)+($V$3:$AE$3=Y$3)*($V539:$AE539&lt;Y539)+($V$3:$AE$3=Y$3)*($V539:$AE539=Y539)*($V$2:$AE$2&lt;Y$2))),2))))</f>
      </c>
      <c r="AJ539" s="33">
        <f>IF(Z539&lt;=0,0,MAX(0,MIN(Z539,ROUND($AZ539-SUMPRODUCT($V539:$AE539*($V539:$AE539&gt;0)*(($V$3:$AE$3&gt;Z$3)+($V$3:$AE$3=Z$3)*($V539:$AE539&lt;Z539)+($V$3:$AE$3=Z$3)*($V539:$AE539=Z539)*($V$2:$AE$2&lt;Z$2))),2))))</f>
      </c>
      <c r="AK539" s="33">
        <f>IF(AA539&lt;=0,0,MAX(0,MIN(AA539,ROUND($AZ539-SUMPRODUCT($V539:$AE539*($V539:$AE539&gt;0)*(($V$3:$AE$3&gt;AA$3)+($V$3:$AE$3=AA$3)*($V539:$AE539&lt;AA539)+($V$3:$AE$3=AA$3)*($V539:$AE539=AA539)*($V$2:$AE$2&lt;AA$2))),2))))</f>
      </c>
      <c r="AL539" s="33">
        <f>IF(AB539&lt;=0,0,MAX(0,MIN(AB539,ROUND($AZ539-SUMPRODUCT($V539:$AE539*($V539:$AE539&gt;0)*(($V$3:$AE$3&gt;AB$3)+($V$3:$AE$3=AB$3)*($V539:$AE539&lt;AB539)+($V$3:$AE$3=AB$3)*($V539:$AE539=AB539)*($V$2:$AE$2&lt;AB$2))),2))))</f>
      </c>
      <c r="AM539" s="33">
        <f>IF(AC539&lt;=0,0,MAX(0,MIN(AC539,ROUND($AZ539-SUMPRODUCT($V539:$AE539*($V539:$AE539&gt;0)*(($V$3:$AE$3&gt;AC$3)+($V$3:$AE$3=AC$3)*($V539:$AE539&lt;AC539)+($V$3:$AE$3=AC$3)*($V539:$AE539=AC539)*($V$2:$AE$2&lt;AC$2))),2))))</f>
      </c>
      <c r="AN539" s="33">
        <f>IF(AD539&lt;=0,0,MAX(0,MIN(AD539,ROUND($AZ539-SUMPRODUCT($V539:$AE539*($V539:$AE539&gt;0)*(($V$3:$AE$3&gt;AD$3)+($V$3:$AE$3=AD$3)*($V539:$AE539&lt;AD539)+($V$3:$AE$3=AD$3)*($V539:$AE539=AD539)*($V$2:$AE$2&lt;AD$2))),2))))</f>
      </c>
      <c r="AO539" s="33">
        <f>IF(AE539&lt;=0,0,MAX(0,MIN(AE539,ROUND($AZ539-SUMPRODUCT($V539:$AE539*($V539:$AE539&gt;0)*(($V$3:$AE$3&gt;AE$3)+($V$3:$AE$3=AE$3)*($V539:$AE539&lt;AE539)+($V$3:$AE$3=AE$3)*($V539:$AE539=AE539)*($V$2:$AE$2&lt;AE$2))),2))))</f>
      </c>
      <c r="AP539" s="33">
        <f>ROUND(V539-AF539,2)</f>
      </c>
      <c r="AQ539" s="33">
        <f>ROUND(W539-AG539,2)</f>
      </c>
      <c r="AR539" s="33">
        <f>ROUND(X539-AH539,2)</f>
      </c>
      <c r="AS539" s="33">
        <f>ROUND(Y539-AI539,2)</f>
      </c>
      <c r="AT539" s="33">
        <f>ROUND(Z539-AJ539,2)</f>
      </c>
      <c r="AU539" s="33">
        <f>ROUND(AA539-AK539,2)</f>
      </c>
      <c r="AV539" s="33">
        <f>ROUND(AB539-AL539,2)</f>
      </c>
      <c r="AW539" s="33">
        <f>ROUND(AC539-AM539,2)</f>
      </c>
      <c r="AX539" s="33">
        <f>ROUND(AD539-AN539,2)</f>
      </c>
      <c r="AY539" s="33">
        <f>ROUND(AE539-AO539,2)</f>
      </c>
      <c r="AZ539" s="33">
        <f>ROUND(MAX(0,'Your debts'!$D$22-SUM($L539:$U539)),2)</f>
      </c>
      <c r="BA539" s="33">
        <f>ROUND(SUM($B539:$K539)-SUM($AP538:$AY538),2)</f>
      </c>
      <c r="BB539" s="33">
        <f>SUM($AP539:$AY539)</f>
      </c>
      <c r="BC539" s="33">
        <f>ROUND(SUM($L539:$U539)+SUM($AF539:$AO539),2)</f>
      </c>
    </row>
    <row r="540" spans="1:55" x14ac:dyDescent="0.25">
      <c r="A540">
        <v>533</v>
      </c>
      <c r="B540" s="33">
        <f>IF(AP539&lt;=0,0,ROUND(AP539+ROUND(AP539*V$3/12,2),2))</f>
      </c>
      <c r="C540" s="33">
        <f>IF(AQ539&lt;=0,0,ROUND(AQ539+ROUND(AQ539*W$3/12,2),2))</f>
      </c>
      <c r="D540" s="33">
        <f>IF(AR539&lt;=0,0,ROUND(AR539+ROUND(AR539*X$3/12,2),2))</f>
      </c>
      <c r="E540" s="33">
        <f>IF(AS539&lt;=0,0,ROUND(AS539+ROUND(AS539*Y$3/12,2),2))</f>
      </c>
      <c r="F540" s="33">
        <f>IF(AT539&lt;=0,0,ROUND(AT539+ROUND(AT539*Z$3/12,2),2))</f>
      </c>
      <c r="G540" s="33">
        <f>IF(AU539&lt;=0,0,ROUND(AU539+ROUND(AU539*AA$3/12,2),2))</f>
      </c>
      <c r="H540" s="33">
        <f>IF(AV539&lt;=0,0,ROUND(AV539+ROUND(AV539*AB$3/12,2),2))</f>
      </c>
      <c r="I540" s="33">
        <f>IF(AW539&lt;=0,0,ROUND(AW539+ROUND(AW539*AC$3/12,2),2))</f>
      </c>
      <c r="J540" s="33">
        <f>IF(AX539&lt;=0,0,ROUND(AX539+ROUND(AX539*AD$3/12,2),2))</f>
      </c>
      <c r="K540" s="33">
        <f>IF(AY539&lt;=0,0,ROUND(AY539+ROUND(AY539*AE$3/12,2),2))</f>
      </c>
      <c r="L540" s="33">
        <f>ROUND(MIN(MAX(0,N('Your debts'!$E$6)),B540),2)</f>
      </c>
      <c r="M540" s="33">
        <f>ROUND(MIN(MAX(0,N('Your debts'!$E$7)),C540),2)</f>
      </c>
      <c r="N540" s="33">
        <f>ROUND(MIN(MAX(0,N('Your debts'!$E$8)),D540),2)</f>
      </c>
      <c r="O540" s="33">
        <f>ROUND(MIN(MAX(0,N('Your debts'!$E$9)),E540),2)</f>
      </c>
      <c r="P540" s="33">
        <f>ROUND(MIN(MAX(0,N('Your debts'!$E$10)),F540),2)</f>
      </c>
      <c r="Q540" s="33">
        <f>ROUND(MIN(MAX(0,N('Your debts'!$E$11)),G540),2)</f>
      </c>
      <c r="R540" s="33">
        <f>ROUND(MIN(MAX(0,N('Your debts'!$E$12)),H540),2)</f>
      </c>
      <c r="S540" s="33">
        <f>ROUND(MIN(MAX(0,N('Your debts'!$E$13)),I540),2)</f>
      </c>
      <c r="T540" s="33">
        <f>ROUND(MIN(MAX(0,N('Your debts'!$E$14)),J540),2)</f>
      </c>
      <c r="U540" s="33">
        <f>ROUND(MIN(MAX(0,N('Your debts'!$E$15)),K540),2)</f>
      </c>
      <c r="V540" s="33">
        <f>ROUND(B540-L540,2)</f>
      </c>
      <c r="W540" s="33">
        <f>ROUND(C540-M540,2)</f>
      </c>
      <c r="X540" s="33">
        <f>ROUND(D540-N540,2)</f>
      </c>
      <c r="Y540" s="33">
        <f>ROUND(E540-O540,2)</f>
      </c>
      <c r="Z540" s="33">
        <f>ROUND(F540-P540,2)</f>
      </c>
      <c r="AA540" s="33">
        <f>ROUND(G540-Q540,2)</f>
      </c>
      <c r="AB540" s="33">
        <f>ROUND(H540-R540,2)</f>
      </c>
      <c r="AC540" s="33">
        <f>ROUND(I540-S540,2)</f>
      </c>
      <c r="AD540" s="33">
        <f>ROUND(J540-T540,2)</f>
      </c>
      <c r="AE540" s="33">
        <f>ROUND(K540-U540,2)</f>
      </c>
      <c r="AF540" s="33">
        <f>IF(V540&lt;=0,0,MAX(0,MIN(V540,ROUND($AZ540-SUMPRODUCT($V540:$AE540*($V540:$AE540&gt;0)*(($V$3:$AE$3&gt;V$3)+($V$3:$AE$3=V$3)*($V540:$AE540&lt;V540)+($V$3:$AE$3=V$3)*($V540:$AE540=V540)*($V$2:$AE$2&lt;V$2))),2))))</f>
      </c>
      <c r="AG540" s="33">
        <f>IF(W540&lt;=0,0,MAX(0,MIN(W540,ROUND($AZ540-SUMPRODUCT($V540:$AE540*($V540:$AE540&gt;0)*(($V$3:$AE$3&gt;W$3)+($V$3:$AE$3=W$3)*($V540:$AE540&lt;W540)+($V$3:$AE$3=W$3)*($V540:$AE540=W540)*($V$2:$AE$2&lt;W$2))),2))))</f>
      </c>
      <c r="AH540" s="33">
        <f>IF(X540&lt;=0,0,MAX(0,MIN(X540,ROUND($AZ540-SUMPRODUCT($V540:$AE540*($V540:$AE540&gt;0)*(($V$3:$AE$3&gt;X$3)+($V$3:$AE$3=X$3)*($V540:$AE540&lt;X540)+($V$3:$AE$3=X$3)*($V540:$AE540=X540)*($V$2:$AE$2&lt;X$2))),2))))</f>
      </c>
      <c r="AI540" s="33">
        <f>IF(Y540&lt;=0,0,MAX(0,MIN(Y540,ROUND($AZ540-SUMPRODUCT($V540:$AE540*($V540:$AE540&gt;0)*(($V$3:$AE$3&gt;Y$3)+($V$3:$AE$3=Y$3)*($V540:$AE540&lt;Y540)+($V$3:$AE$3=Y$3)*($V540:$AE540=Y540)*($V$2:$AE$2&lt;Y$2))),2))))</f>
      </c>
      <c r="AJ540" s="33">
        <f>IF(Z540&lt;=0,0,MAX(0,MIN(Z540,ROUND($AZ540-SUMPRODUCT($V540:$AE540*($V540:$AE540&gt;0)*(($V$3:$AE$3&gt;Z$3)+($V$3:$AE$3=Z$3)*($V540:$AE540&lt;Z540)+($V$3:$AE$3=Z$3)*($V540:$AE540=Z540)*($V$2:$AE$2&lt;Z$2))),2))))</f>
      </c>
      <c r="AK540" s="33">
        <f>IF(AA540&lt;=0,0,MAX(0,MIN(AA540,ROUND($AZ540-SUMPRODUCT($V540:$AE540*($V540:$AE540&gt;0)*(($V$3:$AE$3&gt;AA$3)+($V$3:$AE$3=AA$3)*($V540:$AE540&lt;AA540)+($V$3:$AE$3=AA$3)*($V540:$AE540=AA540)*($V$2:$AE$2&lt;AA$2))),2))))</f>
      </c>
      <c r="AL540" s="33">
        <f>IF(AB540&lt;=0,0,MAX(0,MIN(AB540,ROUND($AZ540-SUMPRODUCT($V540:$AE540*($V540:$AE540&gt;0)*(($V$3:$AE$3&gt;AB$3)+($V$3:$AE$3=AB$3)*($V540:$AE540&lt;AB540)+($V$3:$AE$3=AB$3)*($V540:$AE540=AB540)*($V$2:$AE$2&lt;AB$2))),2))))</f>
      </c>
      <c r="AM540" s="33">
        <f>IF(AC540&lt;=0,0,MAX(0,MIN(AC540,ROUND($AZ540-SUMPRODUCT($V540:$AE540*($V540:$AE540&gt;0)*(($V$3:$AE$3&gt;AC$3)+($V$3:$AE$3=AC$3)*($V540:$AE540&lt;AC540)+($V$3:$AE$3=AC$3)*($V540:$AE540=AC540)*($V$2:$AE$2&lt;AC$2))),2))))</f>
      </c>
      <c r="AN540" s="33">
        <f>IF(AD540&lt;=0,0,MAX(0,MIN(AD540,ROUND($AZ540-SUMPRODUCT($V540:$AE540*($V540:$AE540&gt;0)*(($V$3:$AE$3&gt;AD$3)+($V$3:$AE$3=AD$3)*($V540:$AE540&lt;AD540)+($V$3:$AE$3=AD$3)*($V540:$AE540=AD540)*($V$2:$AE$2&lt;AD$2))),2))))</f>
      </c>
      <c r="AO540" s="33">
        <f>IF(AE540&lt;=0,0,MAX(0,MIN(AE540,ROUND($AZ540-SUMPRODUCT($V540:$AE540*($V540:$AE540&gt;0)*(($V$3:$AE$3&gt;AE$3)+($V$3:$AE$3=AE$3)*($V540:$AE540&lt;AE540)+($V$3:$AE$3=AE$3)*($V540:$AE540=AE540)*($V$2:$AE$2&lt;AE$2))),2))))</f>
      </c>
      <c r="AP540" s="33">
        <f>ROUND(V540-AF540,2)</f>
      </c>
      <c r="AQ540" s="33">
        <f>ROUND(W540-AG540,2)</f>
      </c>
      <c r="AR540" s="33">
        <f>ROUND(X540-AH540,2)</f>
      </c>
      <c r="AS540" s="33">
        <f>ROUND(Y540-AI540,2)</f>
      </c>
      <c r="AT540" s="33">
        <f>ROUND(Z540-AJ540,2)</f>
      </c>
      <c r="AU540" s="33">
        <f>ROUND(AA540-AK540,2)</f>
      </c>
      <c r="AV540" s="33">
        <f>ROUND(AB540-AL540,2)</f>
      </c>
      <c r="AW540" s="33">
        <f>ROUND(AC540-AM540,2)</f>
      </c>
      <c r="AX540" s="33">
        <f>ROUND(AD540-AN540,2)</f>
      </c>
      <c r="AY540" s="33">
        <f>ROUND(AE540-AO540,2)</f>
      </c>
      <c r="AZ540" s="33">
        <f>ROUND(MAX(0,'Your debts'!$D$22-SUM($L540:$U540)),2)</f>
      </c>
      <c r="BA540" s="33">
        <f>ROUND(SUM($B540:$K540)-SUM($AP539:$AY539),2)</f>
      </c>
      <c r="BB540" s="33">
        <f>SUM($AP540:$AY540)</f>
      </c>
      <c r="BC540" s="33">
        <f>ROUND(SUM($L540:$U540)+SUM($AF540:$AO540),2)</f>
      </c>
    </row>
    <row r="541" spans="1:55" x14ac:dyDescent="0.25">
      <c r="A541">
        <v>534</v>
      </c>
      <c r="B541" s="33">
        <f>IF(AP540&lt;=0,0,ROUND(AP540+ROUND(AP540*V$3/12,2),2))</f>
      </c>
      <c r="C541" s="33">
        <f>IF(AQ540&lt;=0,0,ROUND(AQ540+ROUND(AQ540*W$3/12,2),2))</f>
      </c>
      <c r="D541" s="33">
        <f>IF(AR540&lt;=0,0,ROUND(AR540+ROUND(AR540*X$3/12,2),2))</f>
      </c>
      <c r="E541" s="33">
        <f>IF(AS540&lt;=0,0,ROUND(AS540+ROUND(AS540*Y$3/12,2),2))</f>
      </c>
      <c r="F541" s="33">
        <f>IF(AT540&lt;=0,0,ROUND(AT540+ROUND(AT540*Z$3/12,2),2))</f>
      </c>
      <c r="G541" s="33">
        <f>IF(AU540&lt;=0,0,ROUND(AU540+ROUND(AU540*AA$3/12,2),2))</f>
      </c>
      <c r="H541" s="33">
        <f>IF(AV540&lt;=0,0,ROUND(AV540+ROUND(AV540*AB$3/12,2),2))</f>
      </c>
      <c r="I541" s="33">
        <f>IF(AW540&lt;=0,0,ROUND(AW540+ROUND(AW540*AC$3/12,2),2))</f>
      </c>
      <c r="J541" s="33">
        <f>IF(AX540&lt;=0,0,ROUND(AX540+ROUND(AX540*AD$3/12,2),2))</f>
      </c>
      <c r="K541" s="33">
        <f>IF(AY540&lt;=0,0,ROUND(AY540+ROUND(AY540*AE$3/12,2),2))</f>
      </c>
      <c r="L541" s="33">
        <f>ROUND(MIN(MAX(0,N('Your debts'!$E$6)),B541),2)</f>
      </c>
      <c r="M541" s="33">
        <f>ROUND(MIN(MAX(0,N('Your debts'!$E$7)),C541),2)</f>
      </c>
      <c r="N541" s="33">
        <f>ROUND(MIN(MAX(0,N('Your debts'!$E$8)),D541),2)</f>
      </c>
      <c r="O541" s="33">
        <f>ROUND(MIN(MAX(0,N('Your debts'!$E$9)),E541),2)</f>
      </c>
      <c r="P541" s="33">
        <f>ROUND(MIN(MAX(0,N('Your debts'!$E$10)),F541),2)</f>
      </c>
      <c r="Q541" s="33">
        <f>ROUND(MIN(MAX(0,N('Your debts'!$E$11)),G541),2)</f>
      </c>
      <c r="R541" s="33">
        <f>ROUND(MIN(MAX(0,N('Your debts'!$E$12)),H541),2)</f>
      </c>
      <c r="S541" s="33">
        <f>ROUND(MIN(MAX(0,N('Your debts'!$E$13)),I541),2)</f>
      </c>
      <c r="T541" s="33">
        <f>ROUND(MIN(MAX(0,N('Your debts'!$E$14)),J541),2)</f>
      </c>
      <c r="U541" s="33">
        <f>ROUND(MIN(MAX(0,N('Your debts'!$E$15)),K541),2)</f>
      </c>
      <c r="V541" s="33">
        <f>ROUND(B541-L541,2)</f>
      </c>
      <c r="W541" s="33">
        <f>ROUND(C541-M541,2)</f>
      </c>
      <c r="X541" s="33">
        <f>ROUND(D541-N541,2)</f>
      </c>
      <c r="Y541" s="33">
        <f>ROUND(E541-O541,2)</f>
      </c>
      <c r="Z541" s="33">
        <f>ROUND(F541-P541,2)</f>
      </c>
      <c r="AA541" s="33">
        <f>ROUND(G541-Q541,2)</f>
      </c>
      <c r="AB541" s="33">
        <f>ROUND(H541-R541,2)</f>
      </c>
      <c r="AC541" s="33">
        <f>ROUND(I541-S541,2)</f>
      </c>
      <c r="AD541" s="33">
        <f>ROUND(J541-T541,2)</f>
      </c>
      <c r="AE541" s="33">
        <f>ROUND(K541-U541,2)</f>
      </c>
      <c r="AF541" s="33">
        <f>IF(V541&lt;=0,0,MAX(0,MIN(V541,ROUND($AZ541-SUMPRODUCT($V541:$AE541*($V541:$AE541&gt;0)*(($V$3:$AE$3&gt;V$3)+($V$3:$AE$3=V$3)*($V541:$AE541&lt;V541)+($V$3:$AE$3=V$3)*($V541:$AE541=V541)*($V$2:$AE$2&lt;V$2))),2))))</f>
      </c>
      <c r="AG541" s="33">
        <f>IF(W541&lt;=0,0,MAX(0,MIN(W541,ROUND($AZ541-SUMPRODUCT($V541:$AE541*($V541:$AE541&gt;0)*(($V$3:$AE$3&gt;W$3)+($V$3:$AE$3=W$3)*($V541:$AE541&lt;W541)+($V$3:$AE$3=W$3)*($V541:$AE541=W541)*($V$2:$AE$2&lt;W$2))),2))))</f>
      </c>
      <c r="AH541" s="33">
        <f>IF(X541&lt;=0,0,MAX(0,MIN(X541,ROUND($AZ541-SUMPRODUCT($V541:$AE541*($V541:$AE541&gt;0)*(($V$3:$AE$3&gt;X$3)+($V$3:$AE$3=X$3)*($V541:$AE541&lt;X541)+($V$3:$AE$3=X$3)*($V541:$AE541=X541)*($V$2:$AE$2&lt;X$2))),2))))</f>
      </c>
      <c r="AI541" s="33">
        <f>IF(Y541&lt;=0,0,MAX(0,MIN(Y541,ROUND($AZ541-SUMPRODUCT($V541:$AE541*($V541:$AE541&gt;0)*(($V$3:$AE$3&gt;Y$3)+($V$3:$AE$3=Y$3)*($V541:$AE541&lt;Y541)+($V$3:$AE$3=Y$3)*($V541:$AE541=Y541)*($V$2:$AE$2&lt;Y$2))),2))))</f>
      </c>
      <c r="AJ541" s="33">
        <f>IF(Z541&lt;=0,0,MAX(0,MIN(Z541,ROUND($AZ541-SUMPRODUCT($V541:$AE541*($V541:$AE541&gt;0)*(($V$3:$AE$3&gt;Z$3)+($V$3:$AE$3=Z$3)*($V541:$AE541&lt;Z541)+($V$3:$AE$3=Z$3)*($V541:$AE541=Z541)*($V$2:$AE$2&lt;Z$2))),2))))</f>
      </c>
      <c r="AK541" s="33">
        <f>IF(AA541&lt;=0,0,MAX(0,MIN(AA541,ROUND($AZ541-SUMPRODUCT($V541:$AE541*($V541:$AE541&gt;0)*(($V$3:$AE$3&gt;AA$3)+($V$3:$AE$3=AA$3)*($V541:$AE541&lt;AA541)+($V$3:$AE$3=AA$3)*($V541:$AE541=AA541)*($V$2:$AE$2&lt;AA$2))),2))))</f>
      </c>
      <c r="AL541" s="33">
        <f>IF(AB541&lt;=0,0,MAX(0,MIN(AB541,ROUND($AZ541-SUMPRODUCT($V541:$AE541*($V541:$AE541&gt;0)*(($V$3:$AE$3&gt;AB$3)+($V$3:$AE$3=AB$3)*($V541:$AE541&lt;AB541)+($V$3:$AE$3=AB$3)*($V541:$AE541=AB541)*($V$2:$AE$2&lt;AB$2))),2))))</f>
      </c>
      <c r="AM541" s="33">
        <f>IF(AC541&lt;=0,0,MAX(0,MIN(AC541,ROUND($AZ541-SUMPRODUCT($V541:$AE541*($V541:$AE541&gt;0)*(($V$3:$AE$3&gt;AC$3)+($V$3:$AE$3=AC$3)*($V541:$AE541&lt;AC541)+($V$3:$AE$3=AC$3)*($V541:$AE541=AC541)*($V$2:$AE$2&lt;AC$2))),2))))</f>
      </c>
      <c r="AN541" s="33">
        <f>IF(AD541&lt;=0,0,MAX(0,MIN(AD541,ROUND($AZ541-SUMPRODUCT($V541:$AE541*($V541:$AE541&gt;0)*(($V$3:$AE$3&gt;AD$3)+($V$3:$AE$3=AD$3)*($V541:$AE541&lt;AD541)+($V$3:$AE$3=AD$3)*($V541:$AE541=AD541)*($V$2:$AE$2&lt;AD$2))),2))))</f>
      </c>
      <c r="AO541" s="33">
        <f>IF(AE541&lt;=0,0,MAX(0,MIN(AE541,ROUND($AZ541-SUMPRODUCT($V541:$AE541*($V541:$AE541&gt;0)*(($V$3:$AE$3&gt;AE$3)+($V$3:$AE$3=AE$3)*($V541:$AE541&lt;AE541)+($V$3:$AE$3=AE$3)*($V541:$AE541=AE541)*($V$2:$AE$2&lt;AE$2))),2))))</f>
      </c>
      <c r="AP541" s="33">
        <f>ROUND(V541-AF541,2)</f>
      </c>
      <c r="AQ541" s="33">
        <f>ROUND(W541-AG541,2)</f>
      </c>
      <c r="AR541" s="33">
        <f>ROUND(X541-AH541,2)</f>
      </c>
      <c r="AS541" s="33">
        <f>ROUND(Y541-AI541,2)</f>
      </c>
      <c r="AT541" s="33">
        <f>ROUND(Z541-AJ541,2)</f>
      </c>
      <c r="AU541" s="33">
        <f>ROUND(AA541-AK541,2)</f>
      </c>
      <c r="AV541" s="33">
        <f>ROUND(AB541-AL541,2)</f>
      </c>
      <c r="AW541" s="33">
        <f>ROUND(AC541-AM541,2)</f>
      </c>
      <c r="AX541" s="33">
        <f>ROUND(AD541-AN541,2)</f>
      </c>
      <c r="AY541" s="33">
        <f>ROUND(AE541-AO541,2)</f>
      </c>
      <c r="AZ541" s="33">
        <f>ROUND(MAX(0,'Your debts'!$D$22-SUM($L541:$U541)),2)</f>
      </c>
      <c r="BA541" s="33">
        <f>ROUND(SUM($B541:$K541)-SUM($AP540:$AY540),2)</f>
      </c>
      <c r="BB541" s="33">
        <f>SUM($AP541:$AY541)</f>
      </c>
      <c r="BC541" s="33">
        <f>ROUND(SUM($L541:$U541)+SUM($AF541:$AO541),2)</f>
      </c>
    </row>
    <row r="542" spans="1:55" x14ac:dyDescent="0.25">
      <c r="A542">
        <v>535</v>
      </c>
      <c r="B542" s="33">
        <f>IF(AP541&lt;=0,0,ROUND(AP541+ROUND(AP541*V$3/12,2),2))</f>
      </c>
      <c r="C542" s="33">
        <f>IF(AQ541&lt;=0,0,ROUND(AQ541+ROUND(AQ541*W$3/12,2),2))</f>
      </c>
      <c r="D542" s="33">
        <f>IF(AR541&lt;=0,0,ROUND(AR541+ROUND(AR541*X$3/12,2),2))</f>
      </c>
      <c r="E542" s="33">
        <f>IF(AS541&lt;=0,0,ROUND(AS541+ROUND(AS541*Y$3/12,2),2))</f>
      </c>
      <c r="F542" s="33">
        <f>IF(AT541&lt;=0,0,ROUND(AT541+ROUND(AT541*Z$3/12,2),2))</f>
      </c>
      <c r="G542" s="33">
        <f>IF(AU541&lt;=0,0,ROUND(AU541+ROUND(AU541*AA$3/12,2),2))</f>
      </c>
      <c r="H542" s="33">
        <f>IF(AV541&lt;=0,0,ROUND(AV541+ROUND(AV541*AB$3/12,2),2))</f>
      </c>
      <c r="I542" s="33">
        <f>IF(AW541&lt;=0,0,ROUND(AW541+ROUND(AW541*AC$3/12,2),2))</f>
      </c>
      <c r="J542" s="33">
        <f>IF(AX541&lt;=0,0,ROUND(AX541+ROUND(AX541*AD$3/12,2),2))</f>
      </c>
      <c r="K542" s="33">
        <f>IF(AY541&lt;=0,0,ROUND(AY541+ROUND(AY541*AE$3/12,2),2))</f>
      </c>
      <c r="L542" s="33">
        <f>ROUND(MIN(MAX(0,N('Your debts'!$E$6)),B542),2)</f>
      </c>
      <c r="M542" s="33">
        <f>ROUND(MIN(MAX(0,N('Your debts'!$E$7)),C542),2)</f>
      </c>
      <c r="N542" s="33">
        <f>ROUND(MIN(MAX(0,N('Your debts'!$E$8)),D542),2)</f>
      </c>
      <c r="O542" s="33">
        <f>ROUND(MIN(MAX(0,N('Your debts'!$E$9)),E542),2)</f>
      </c>
      <c r="P542" s="33">
        <f>ROUND(MIN(MAX(0,N('Your debts'!$E$10)),F542),2)</f>
      </c>
      <c r="Q542" s="33">
        <f>ROUND(MIN(MAX(0,N('Your debts'!$E$11)),G542),2)</f>
      </c>
      <c r="R542" s="33">
        <f>ROUND(MIN(MAX(0,N('Your debts'!$E$12)),H542),2)</f>
      </c>
      <c r="S542" s="33">
        <f>ROUND(MIN(MAX(0,N('Your debts'!$E$13)),I542),2)</f>
      </c>
      <c r="T542" s="33">
        <f>ROUND(MIN(MAX(0,N('Your debts'!$E$14)),J542),2)</f>
      </c>
      <c r="U542" s="33">
        <f>ROUND(MIN(MAX(0,N('Your debts'!$E$15)),K542),2)</f>
      </c>
      <c r="V542" s="33">
        <f>ROUND(B542-L542,2)</f>
      </c>
      <c r="W542" s="33">
        <f>ROUND(C542-M542,2)</f>
      </c>
      <c r="X542" s="33">
        <f>ROUND(D542-N542,2)</f>
      </c>
      <c r="Y542" s="33">
        <f>ROUND(E542-O542,2)</f>
      </c>
      <c r="Z542" s="33">
        <f>ROUND(F542-P542,2)</f>
      </c>
      <c r="AA542" s="33">
        <f>ROUND(G542-Q542,2)</f>
      </c>
      <c r="AB542" s="33">
        <f>ROUND(H542-R542,2)</f>
      </c>
      <c r="AC542" s="33">
        <f>ROUND(I542-S542,2)</f>
      </c>
      <c r="AD542" s="33">
        <f>ROUND(J542-T542,2)</f>
      </c>
      <c r="AE542" s="33">
        <f>ROUND(K542-U542,2)</f>
      </c>
      <c r="AF542" s="33">
        <f>IF(V542&lt;=0,0,MAX(0,MIN(V542,ROUND($AZ542-SUMPRODUCT($V542:$AE542*($V542:$AE542&gt;0)*(($V$3:$AE$3&gt;V$3)+($V$3:$AE$3=V$3)*($V542:$AE542&lt;V542)+($V$3:$AE$3=V$3)*($V542:$AE542=V542)*($V$2:$AE$2&lt;V$2))),2))))</f>
      </c>
      <c r="AG542" s="33">
        <f>IF(W542&lt;=0,0,MAX(0,MIN(W542,ROUND($AZ542-SUMPRODUCT($V542:$AE542*($V542:$AE542&gt;0)*(($V$3:$AE$3&gt;W$3)+($V$3:$AE$3=W$3)*($V542:$AE542&lt;W542)+($V$3:$AE$3=W$3)*($V542:$AE542=W542)*($V$2:$AE$2&lt;W$2))),2))))</f>
      </c>
      <c r="AH542" s="33">
        <f>IF(X542&lt;=0,0,MAX(0,MIN(X542,ROUND($AZ542-SUMPRODUCT($V542:$AE542*($V542:$AE542&gt;0)*(($V$3:$AE$3&gt;X$3)+($V$3:$AE$3=X$3)*($V542:$AE542&lt;X542)+($V$3:$AE$3=X$3)*($V542:$AE542=X542)*($V$2:$AE$2&lt;X$2))),2))))</f>
      </c>
      <c r="AI542" s="33">
        <f>IF(Y542&lt;=0,0,MAX(0,MIN(Y542,ROUND($AZ542-SUMPRODUCT($V542:$AE542*($V542:$AE542&gt;0)*(($V$3:$AE$3&gt;Y$3)+($V$3:$AE$3=Y$3)*($V542:$AE542&lt;Y542)+($V$3:$AE$3=Y$3)*($V542:$AE542=Y542)*($V$2:$AE$2&lt;Y$2))),2))))</f>
      </c>
      <c r="AJ542" s="33">
        <f>IF(Z542&lt;=0,0,MAX(0,MIN(Z542,ROUND($AZ542-SUMPRODUCT($V542:$AE542*($V542:$AE542&gt;0)*(($V$3:$AE$3&gt;Z$3)+($V$3:$AE$3=Z$3)*($V542:$AE542&lt;Z542)+($V$3:$AE$3=Z$3)*($V542:$AE542=Z542)*($V$2:$AE$2&lt;Z$2))),2))))</f>
      </c>
      <c r="AK542" s="33">
        <f>IF(AA542&lt;=0,0,MAX(0,MIN(AA542,ROUND($AZ542-SUMPRODUCT($V542:$AE542*($V542:$AE542&gt;0)*(($V$3:$AE$3&gt;AA$3)+($V$3:$AE$3=AA$3)*($V542:$AE542&lt;AA542)+($V$3:$AE$3=AA$3)*($V542:$AE542=AA542)*($V$2:$AE$2&lt;AA$2))),2))))</f>
      </c>
      <c r="AL542" s="33">
        <f>IF(AB542&lt;=0,0,MAX(0,MIN(AB542,ROUND($AZ542-SUMPRODUCT($V542:$AE542*($V542:$AE542&gt;0)*(($V$3:$AE$3&gt;AB$3)+($V$3:$AE$3=AB$3)*($V542:$AE542&lt;AB542)+($V$3:$AE$3=AB$3)*($V542:$AE542=AB542)*($V$2:$AE$2&lt;AB$2))),2))))</f>
      </c>
      <c r="AM542" s="33">
        <f>IF(AC542&lt;=0,0,MAX(0,MIN(AC542,ROUND($AZ542-SUMPRODUCT($V542:$AE542*($V542:$AE542&gt;0)*(($V$3:$AE$3&gt;AC$3)+($V$3:$AE$3=AC$3)*($V542:$AE542&lt;AC542)+($V$3:$AE$3=AC$3)*($V542:$AE542=AC542)*($V$2:$AE$2&lt;AC$2))),2))))</f>
      </c>
      <c r="AN542" s="33">
        <f>IF(AD542&lt;=0,0,MAX(0,MIN(AD542,ROUND($AZ542-SUMPRODUCT($V542:$AE542*($V542:$AE542&gt;0)*(($V$3:$AE$3&gt;AD$3)+($V$3:$AE$3=AD$3)*($V542:$AE542&lt;AD542)+($V$3:$AE$3=AD$3)*($V542:$AE542=AD542)*($V$2:$AE$2&lt;AD$2))),2))))</f>
      </c>
      <c r="AO542" s="33">
        <f>IF(AE542&lt;=0,0,MAX(0,MIN(AE542,ROUND($AZ542-SUMPRODUCT($V542:$AE542*($V542:$AE542&gt;0)*(($V$3:$AE$3&gt;AE$3)+($V$3:$AE$3=AE$3)*($V542:$AE542&lt;AE542)+($V$3:$AE$3=AE$3)*($V542:$AE542=AE542)*($V$2:$AE$2&lt;AE$2))),2))))</f>
      </c>
      <c r="AP542" s="33">
        <f>ROUND(V542-AF542,2)</f>
      </c>
      <c r="AQ542" s="33">
        <f>ROUND(W542-AG542,2)</f>
      </c>
      <c r="AR542" s="33">
        <f>ROUND(X542-AH542,2)</f>
      </c>
      <c r="AS542" s="33">
        <f>ROUND(Y542-AI542,2)</f>
      </c>
      <c r="AT542" s="33">
        <f>ROUND(Z542-AJ542,2)</f>
      </c>
      <c r="AU542" s="33">
        <f>ROUND(AA542-AK542,2)</f>
      </c>
      <c r="AV542" s="33">
        <f>ROUND(AB542-AL542,2)</f>
      </c>
      <c r="AW542" s="33">
        <f>ROUND(AC542-AM542,2)</f>
      </c>
      <c r="AX542" s="33">
        <f>ROUND(AD542-AN542,2)</f>
      </c>
      <c r="AY542" s="33">
        <f>ROUND(AE542-AO542,2)</f>
      </c>
      <c r="AZ542" s="33">
        <f>ROUND(MAX(0,'Your debts'!$D$22-SUM($L542:$U542)),2)</f>
      </c>
      <c r="BA542" s="33">
        <f>ROUND(SUM($B542:$K542)-SUM($AP541:$AY541),2)</f>
      </c>
      <c r="BB542" s="33">
        <f>SUM($AP542:$AY542)</f>
      </c>
      <c r="BC542" s="33">
        <f>ROUND(SUM($L542:$U542)+SUM($AF542:$AO542),2)</f>
      </c>
    </row>
    <row r="543" spans="1:55" x14ac:dyDescent="0.25">
      <c r="A543">
        <v>536</v>
      </c>
      <c r="B543" s="33">
        <f>IF(AP542&lt;=0,0,ROUND(AP542+ROUND(AP542*V$3/12,2),2))</f>
      </c>
      <c r="C543" s="33">
        <f>IF(AQ542&lt;=0,0,ROUND(AQ542+ROUND(AQ542*W$3/12,2),2))</f>
      </c>
      <c r="D543" s="33">
        <f>IF(AR542&lt;=0,0,ROUND(AR542+ROUND(AR542*X$3/12,2),2))</f>
      </c>
      <c r="E543" s="33">
        <f>IF(AS542&lt;=0,0,ROUND(AS542+ROUND(AS542*Y$3/12,2),2))</f>
      </c>
      <c r="F543" s="33">
        <f>IF(AT542&lt;=0,0,ROUND(AT542+ROUND(AT542*Z$3/12,2),2))</f>
      </c>
      <c r="G543" s="33">
        <f>IF(AU542&lt;=0,0,ROUND(AU542+ROUND(AU542*AA$3/12,2),2))</f>
      </c>
      <c r="H543" s="33">
        <f>IF(AV542&lt;=0,0,ROUND(AV542+ROUND(AV542*AB$3/12,2),2))</f>
      </c>
      <c r="I543" s="33">
        <f>IF(AW542&lt;=0,0,ROUND(AW542+ROUND(AW542*AC$3/12,2),2))</f>
      </c>
      <c r="J543" s="33">
        <f>IF(AX542&lt;=0,0,ROUND(AX542+ROUND(AX542*AD$3/12,2),2))</f>
      </c>
      <c r="K543" s="33">
        <f>IF(AY542&lt;=0,0,ROUND(AY542+ROUND(AY542*AE$3/12,2),2))</f>
      </c>
      <c r="L543" s="33">
        <f>ROUND(MIN(MAX(0,N('Your debts'!$E$6)),B543),2)</f>
      </c>
      <c r="M543" s="33">
        <f>ROUND(MIN(MAX(0,N('Your debts'!$E$7)),C543),2)</f>
      </c>
      <c r="N543" s="33">
        <f>ROUND(MIN(MAX(0,N('Your debts'!$E$8)),D543),2)</f>
      </c>
      <c r="O543" s="33">
        <f>ROUND(MIN(MAX(0,N('Your debts'!$E$9)),E543),2)</f>
      </c>
      <c r="P543" s="33">
        <f>ROUND(MIN(MAX(0,N('Your debts'!$E$10)),F543),2)</f>
      </c>
      <c r="Q543" s="33">
        <f>ROUND(MIN(MAX(0,N('Your debts'!$E$11)),G543),2)</f>
      </c>
      <c r="R543" s="33">
        <f>ROUND(MIN(MAX(0,N('Your debts'!$E$12)),H543),2)</f>
      </c>
      <c r="S543" s="33">
        <f>ROUND(MIN(MAX(0,N('Your debts'!$E$13)),I543),2)</f>
      </c>
      <c r="T543" s="33">
        <f>ROUND(MIN(MAX(0,N('Your debts'!$E$14)),J543),2)</f>
      </c>
      <c r="U543" s="33">
        <f>ROUND(MIN(MAX(0,N('Your debts'!$E$15)),K543),2)</f>
      </c>
      <c r="V543" s="33">
        <f>ROUND(B543-L543,2)</f>
      </c>
      <c r="W543" s="33">
        <f>ROUND(C543-M543,2)</f>
      </c>
      <c r="X543" s="33">
        <f>ROUND(D543-N543,2)</f>
      </c>
      <c r="Y543" s="33">
        <f>ROUND(E543-O543,2)</f>
      </c>
      <c r="Z543" s="33">
        <f>ROUND(F543-P543,2)</f>
      </c>
      <c r="AA543" s="33">
        <f>ROUND(G543-Q543,2)</f>
      </c>
      <c r="AB543" s="33">
        <f>ROUND(H543-R543,2)</f>
      </c>
      <c r="AC543" s="33">
        <f>ROUND(I543-S543,2)</f>
      </c>
      <c r="AD543" s="33">
        <f>ROUND(J543-T543,2)</f>
      </c>
      <c r="AE543" s="33">
        <f>ROUND(K543-U543,2)</f>
      </c>
      <c r="AF543" s="33">
        <f>IF(V543&lt;=0,0,MAX(0,MIN(V543,ROUND($AZ543-SUMPRODUCT($V543:$AE543*($V543:$AE543&gt;0)*(($V$3:$AE$3&gt;V$3)+($V$3:$AE$3=V$3)*($V543:$AE543&lt;V543)+($V$3:$AE$3=V$3)*($V543:$AE543=V543)*($V$2:$AE$2&lt;V$2))),2))))</f>
      </c>
      <c r="AG543" s="33">
        <f>IF(W543&lt;=0,0,MAX(0,MIN(W543,ROUND($AZ543-SUMPRODUCT($V543:$AE543*($V543:$AE543&gt;0)*(($V$3:$AE$3&gt;W$3)+($V$3:$AE$3=W$3)*($V543:$AE543&lt;W543)+($V$3:$AE$3=W$3)*($V543:$AE543=W543)*($V$2:$AE$2&lt;W$2))),2))))</f>
      </c>
      <c r="AH543" s="33">
        <f>IF(X543&lt;=0,0,MAX(0,MIN(X543,ROUND($AZ543-SUMPRODUCT($V543:$AE543*($V543:$AE543&gt;0)*(($V$3:$AE$3&gt;X$3)+($V$3:$AE$3=X$3)*($V543:$AE543&lt;X543)+($V$3:$AE$3=X$3)*($V543:$AE543=X543)*($V$2:$AE$2&lt;X$2))),2))))</f>
      </c>
      <c r="AI543" s="33">
        <f>IF(Y543&lt;=0,0,MAX(0,MIN(Y543,ROUND($AZ543-SUMPRODUCT($V543:$AE543*($V543:$AE543&gt;0)*(($V$3:$AE$3&gt;Y$3)+($V$3:$AE$3=Y$3)*($V543:$AE543&lt;Y543)+($V$3:$AE$3=Y$3)*($V543:$AE543=Y543)*($V$2:$AE$2&lt;Y$2))),2))))</f>
      </c>
      <c r="AJ543" s="33">
        <f>IF(Z543&lt;=0,0,MAX(0,MIN(Z543,ROUND($AZ543-SUMPRODUCT($V543:$AE543*($V543:$AE543&gt;0)*(($V$3:$AE$3&gt;Z$3)+($V$3:$AE$3=Z$3)*($V543:$AE543&lt;Z543)+($V$3:$AE$3=Z$3)*($V543:$AE543=Z543)*($V$2:$AE$2&lt;Z$2))),2))))</f>
      </c>
      <c r="AK543" s="33">
        <f>IF(AA543&lt;=0,0,MAX(0,MIN(AA543,ROUND($AZ543-SUMPRODUCT($V543:$AE543*($V543:$AE543&gt;0)*(($V$3:$AE$3&gt;AA$3)+($V$3:$AE$3=AA$3)*($V543:$AE543&lt;AA543)+($V$3:$AE$3=AA$3)*($V543:$AE543=AA543)*($V$2:$AE$2&lt;AA$2))),2))))</f>
      </c>
      <c r="AL543" s="33">
        <f>IF(AB543&lt;=0,0,MAX(0,MIN(AB543,ROUND($AZ543-SUMPRODUCT($V543:$AE543*($V543:$AE543&gt;0)*(($V$3:$AE$3&gt;AB$3)+($V$3:$AE$3=AB$3)*($V543:$AE543&lt;AB543)+($V$3:$AE$3=AB$3)*($V543:$AE543=AB543)*($V$2:$AE$2&lt;AB$2))),2))))</f>
      </c>
      <c r="AM543" s="33">
        <f>IF(AC543&lt;=0,0,MAX(0,MIN(AC543,ROUND($AZ543-SUMPRODUCT($V543:$AE543*($V543:$AE543&gt;0)*(($V$3:$AE$3&gt;AC$3)+($V$3:$AE$3=AC$3)*($V543:$AE543&lt;AC543)+($V$3:$AE$3=AC$3)*($V543:$AE543=AC543)*($V$2:$AE$2&lt;AC$2))),2))))</f>
      </c>
      <c r="AN543" s="33">
        <f>IF(AD543&lt;=0,0,MAX(0,MIN(AD543,ROUND($AZ543-SUMPRODUCT($V543:$AE543*($V543:$AE543&gt;0)*(($V$3:$AE$3&gt;AD$3)+($V$3:$AE$3=AD$3)*($V543:$AE543&lt;AD543)+($V$3:$AE$3=AD$3)*($V543:$AE543=AD543)*($V$2:$AE$2&lt;AD$2))),2))))</f>
      </c>
      <c r="AO543" s="33">
        <f>IF(AE543&lt;=0,0,MAX(0,MIN(AE543,ROUND($AZ543-SUMPRODUCT($V543:$AE543*($V543:$AE543&gt;0)*(($V$3:$AE$3&gt;AE$3)+($V$3:$AE$3=AE$3)*($V543:$AE543&lt;AE543)+($V$3:$AE$3=AE$3)*($V543:$AE543=AE543)*($V$2:$AE$2&lt;AE$2))),2))))</f>
      </c>
      <c r="AP543" s="33">
        <f>ROUND(V543-AF543,2)</f>
      </c>
      <c r="AQ543" s="33">
        <f>ROUND(W543-AG543,2)</f>
      </c>
      <c r="AR543" s="33">
        <f>ROUND(X543-AH543,2)</f>
      </c>
      <c r="AS543" s="33">
        <f>ROUND(Y543-AI543,2)</f>
      </c>
      <c r="AT543" s="33">
        <f>ROUND(Z543-AJ543,2)</f>
      </c>
      <c r="AU543" s="33">
        <f>ROUND(AA543-AK543,2)</f>
      </c>
      <c r="AV543" s="33">
        <f>ROUND(AB543-AL543,2)</f>
      </c>
      <c r="AW543" s="33">
        <f>ROUND(AC543-AM543,2)</f>
      </c>
      <c r="AX543" s="33">
        <f>ROUND(AD543-AN543,2)</f>
      </c>
      <c r="AY543" s="33">
        <f>ROUND(AE543-AO543,2)</f>
      </c>
      <c r="AZ543" s="33">
        <f>ROUND(MAX(0,'Your debts'!$D$22-SUM($L543:$U543)),2)</f>
      </c>
      <c r="BA543" s="33">
        <f>ROUND(SUM($B543:$K543)-SUM($AP542:$AY542),2)</f>
      </c>
      <c r="BB543" s="33">
        <f>SUM($AP543:$AY543)</f>
      </c>
      <c r="BC543" s="33">
        <f>ROUND(SUM($L543:$U543)+SUM($AF543:$AO543),2)</f>
      </c>
    </row>
    <row r="544" spans="1:55" x14ac:dyDescent="0.25">
      <c r="A544">
        <v>537</v>
      </c>
      <c r="B544" s="33">
        <f>IF(AP543&lt;=0,0,ROUND(AP543+ROUND(AP543*V$3/12,2),2))</f>
      </c>
      <c r="C544" s="33">
        <f>IF(AQ543&lt;=0,0,ROUND(AQ543+ROUND(AQ543*W$3/12,2),2))</f>
      </c>
      <c r="D544" s="33">
        <f>IF(AR543&lt;=0,0,ROUND(AR543+ROUND(AR543*X$3/12,2),2))</f>
      </c>
      <c r="E544" s="33">
        <f>IF(AS543&lt;=0,0,ROUND(AS543+ROUND(AS543*Y$3/12,2),2))</f>
      </c>
      <c r="F544" s="33">
        <f>IF(AT543&lt;=0,0,ROUND(AT543+ROUND(AT543*Z$3/12,2),2))</f>
      </c>
      <c r="G544" s="33">
        <f>IF(AU543&lt;=0,0,ROUND(AU543+ROUND(AU543*AA$3/12,2),2))</f>
      </c>
      <c r="H544" s="33">
        <f>IF(AV543&lt;=0,0,ROUND(AV543+ROUND(AV543*AB$3/12,2),2))</f>
      </c>
      <c r="I544" s="33">
        <f>IF(AW543&lt;=0,0,ROUND(AW543+ROUND(AW543*AC$3/12,2),2))</f>
      </c>
      <c r="J544" s="33">
        <f>IF(AX543&lt;=0,0,ROUND(AX543+ROUND(AX543*AD$3/12,2),2))</f>
      </c>
      <c r="K544" s="33">
        <f>IF(AY543&lt;=0,0,ROUND(AY543+ROUND(AY543*AE$3/12,2),2))</f>
      </c>
      <c r="L544" s="33">
        <f>ROUND(MIN(MAX(0,N('Your debts'!$E$6)),B544),2)</f>
      </c>
      <c r="M544" s="33">
        <f>ROUND(MIN(MAX(0,N('Your debts'!$E$7)),C544),2)</f>
      </c>
      <c r="N544" s="33">
        <f>ROUND(MIN(MAX(0,N('Your debts'!$E$8)),D544),2)</f>
      </c>
      <c r="O544" s="33">
        <f>ROUND(MIN(MAX(0,N('Your debts'!$E$9)),E544),2)</f>
      </c>
      <c r="P544" s="33">
        <f>ROUND(MIN(MAX(0,N('Your debts'!$E$10)),F544),2)</f>
      </c>
      <c r="Q544" s="33">
        <f>ROUND(MIN(MAX(0,N('Your debts'!$E$11)),G544),2)</f>
      </c>
      <c r="R544" s="33">
        <f>ROUND(MIN(MAX(0,N('Your debts'!$E$12)),H544),2)</f>
      </c>
      <c r="S544" s="33">
        <f>ROUND(MIN(MAX(0,N('Your debts'!$E$13)),I544),2)</f>
      </c>
      <c r="T544" s="33">
        <f>ROUND(MIN(MAX(0,N('Your debts'!$E$14)),J544),2)</f>
      </c>
      <c r="U544" s="33">
        <f>ROUND(MIN(MAX(0,N('Your debts'!$E$15)),K544),2)</f>
      </c>
      <c r="V544" s="33">
        <f>ROUND(B544-L544,2)</f>
      </c>
      <c r="W544" s="33">
        <f>ROUND(C544-M544,2)</f>
      </c>
      <c r="X544" s="33">
        <f>ROUND(D544-N544,2)</f>
      </c>
      <c r="Y544" s="33">
        <f>ROUND(E544-O544,2)</f>
      </c>
      <c r="Z544" s="33">
        <f>ROUND(F544-P544,2)</f>
      </c>
      <c r="AA544" s="33">
        <f>ROUND(G544-Q544,2)</f>
      </c>
      <c r="AB544" s="33">
        <f>ROUND(H544-R544,2)</f>
      </c>
      <c r="AC544" s="33">
        <f>ROUND(I544-S544,2)</f>
      </c>
      <c r="AD544" s="33">
        <f>ROUND(J544-T544,2)</f>
      </c>
      <c r="AE544" s="33">
        <f>ROUND(K544-U544,2)</f>
      </c>
      <c r="AF544" s="33">
        <f>IF(V544&lt;=0,0,MAX(0,MIN(V544,ROUND($AZ544-SUMPRODUCT($V544:$AE544*($V544:$AE544&gt;0)*(($V$3:$AE$3&gt;V$3)+($V$3:$AE$3=V$3)*($V544:$AE544&lt;V544)+($V$3:$AE$3=V$3)*($V544:$AE544=V544)*($V$2:$AE$2&lt;V$2))),2))))</f>
      </c>
      <c r="AG544" s="33">
        <f>IF(W544&lt;=0,0,MAX(0,MIN(W544,ROUND($AZ544-SUMPRODUCT($V544:$AE544*($V544:$AE544&gt;0)*(($V$3:$AE$3&gt;W$3)+($V$3:$AE$3=W$3)*($V544:$AE544&lt;W544)+($V$3:$AE$3=W$3)*($V544:$AE544=W544)*($V$2:$AE$2&lt;W$2))),2))))</f>
      </c>
      <c r="AH544" s="33">
        <f>IF(X544&lt;=0,0,MAX(0,MIN(X544,ROUND($AZ544-SUMPRODUCT($V544:$AE544*($V544:$AE544&gt;0)*(($V$3:$AE$3&gt;X$3)+($V$3:$AE$3=X$3)*($V544:$AE544&lt;X544)+($V$3:$AE$3=X$3)*($V544:$AE544=X544)*($V$2:$AE$2&lt;X$2))),2))))</f>
      </c>
      <c r="AI544" s="33">
        <f>IF(Y544&lt;=0,0,MAX(0,MIN(Y544,ROUND($AZ544-SUMPRODUCT($V544:$AE544*($V544:$AE544&gt;0)*(($V$3:$AE$3&gt;Y$3)+($V$3:$AE$3=Y$3)*($V544:$AE544&lt;Y544)+($V$3:$AE$3=Y$3)*($V544:$AE544=Y544)*($V$2:$AE$2&lt;Y$2))),2))))</f>
      </c>
      <c r="AJ544" s="33">
        <f>IF(Z544&lt;=0,0,MAX(0,MIN(Z544,ROUND($AZ544-SUMPRODUCT($V544:$AE544*($V544:$AE544&gt;0)*(($V$3:$AE$3&gt;Z$3)+($V$3:$AE$3=Z$3)*($V544:$AE544&lt;Z544)+($V$3:$AE$3=Z$3)*($V544:$AE544=Z544)*($V$2:$AE$2&lt;Z$2))),2))))</f>
      </c>
      <c r="AK544" s="33">
        <f>IF(AA544&lt;=0,0,MAX(0,MIN(AA544,ROUND($AZ544-SUMPRODUCT($V544:$AE544*($V544:$AE544&gt;0)*(($V$3:$AE$3&gt;AA$3)+($V$3:$AE$3=AA$3)*($V544:$AE544&lt;AA544)+($V$3:$AE$3=AA$3)*($V544:$AE544=AA544)*($V$2:$AE$2&lt;AA$2))),2))))</f>
      </c>
      <c r="AL544" s="33">
        <f>IF(AB544&lt;=0,0,MAX(0,MIN(AB544,ROUND($AZ544-SUMPRODUCT($V544:$AE544*($V544:$AE544&gt;0)*(($V$3:$AE$3&gt;AB$3)+($V$3:$AE$3=AB$3)*($V544:$AE544&lt;AB544)+($V$3:$AE$3=AB$3)*($V544:$AE544=AB544)*($V$2:$AE$2&lt;AB$2))),2))))</f>
      </c>
      <c r="AM544" s="33">
        <f>IF(AC544&lt;=0,0,MAX(0,MIN(AC544,ROUND($AZ544-SUMPRODUCT($V544:$AE544*($V544:$AE544&gt;0)*(($V$3:$AE$3&gt;AC$3)+($V$3:$AE$3=AC$3)*($V544:$AE544&lt;AC544)+($V$3:$AE$3=AC$3)*($V544:$AE544=AC544)*($V$2:$AE$2&lt;AC$2))),2))))</f>
      </c>
      <c r="AN544" s="33">
        <f>IF(AD544&lt;=0,0,MAX(0,MIN(AD544,ROUND($AZ544-SUMPRODUCT($V544:$AE544*($V544:$AE544&gt;0)*(($V$3:$AE$3&gt;AD$3)+($V$3:$AE$3=AD$3)*($V544:$AE544&lt;AD544)+($V$3:$AE$3=AD$3)*($V544:$AE544=AD544)*($V$2:$AE$2&lt;AD$2))),2))))</f>
      </c>
      <c r="AO544" s="33">
        <f>IF(AE544&lt;=0,0,MAX(0,MIN(AE544,ROUND($AZ544-SUMPRODUCT($V544:$AE544*($V544:$AE544&gt;0)*(($V$3:$AE$3&gt;AE$3)+($V$3:$AE$3=AE$3)*($V544:$AE544&lt;AE544)+($V$3:$AE$3=AE$3)*($V544:$AE544=AE544)*($V$2:$AE$2&lt;AE$2))),2))))</f>
      </c>
      <c r="AP544" s="33">
        <f>ROUND(V544-AF544,2)</f>
      </c>
      <c r="AQ544" s="33">
        <f>ROUND(W544-AG544,2)</f>
      </c>
      <c r="AR544" s="33">
        <f>ROUND(X544-AH544,2)</f>
      </c>
      <c r="AS544" s="33">
        <f>ROUND(Y544-AI544,2)</f>
      </c>
      <c r="AT544" s="33">
        <f>ROUND(Z544-AJ544,2)</f>
      </c>
      <c r="AU544" s="33">
        <f>ROUND(AA544-AK544,2)</f>
      </c>
      <c r="AV544" s="33">
        <f>ROUND(AB544-AL544,2)</f>
      </c>
      <c r="AW544" s="33">
        <f>ROUND(AC544-AM544,2)</f>
      </c>
      <c r="AX544" s="33">
        <f>ROUND(AD544-AN544,2)</f>
      </c>
      <c r="AY544" s="33">
        <f>ROUND(AE544-AO544,2)</f>
      </c>
      <c r="AZ544" s="33">
        <f>ROUND(MAX(0,'Your debts'!$D$22-SUM($L544:$U544)),2)</f>
      </c>
      <c r="BA544" s="33">
        <f>ROUND(SUM($B544:$K544)-SUM($AP543:$AY543),2)</f>
      </c>
      <c r="BB544" s="33">
        <f>SUM($AP544:$AY544)</f>
      </c>
      <c r="BC544" s="33">
        <f>ROUND(SUM($L544:$U544)+SUM($AF544:$AO544),2)</f>
      </c>
    </row>
    <row r="545" spans="1:55" x14ac:dyDescent="0.25">
      <c r="A545">
        <v>538</v>
      </c>
      <c r="B545" s="33">
        <f>IF(AP544&lt;=0,0,ROUND(AP544+ROUND(AP544*V$3/12,2),2))</f>
      </c>
      <c r="C545" s="33">
        <f>IF(AQ544&lt;=0,0,ROUND(AQ544+ROUND(AQ544*W$3/12,2),2))</f>
      </c>
      <c r="D545" s="33">
        <f>IF(AR544&lt;=0,0,ROUND(AR544+ROUND(AR544*X$3/12,2),2))</f>
      </c>
      <c r="E545" s="33">
        <f>IF(AS544&lt;=0,0,ROUND(AS544+ROUND(AS544*Y$3/12,2),2))</f>
      </c>
      <c r="F545" s="33">
        <f>IF(AT544&lt;=0,0,ROUND(AT544+ROUND(AT544*Z$3/12,2),2))</f>
      </c>
      <c r="G545" s="33">
        <f>IF(AU544&lt;=0,0,ROUND(AU544+ROUND(AU544*AA$3/12,2),2))</f>
      </c>
      <c r="H545" s="33">
        <f>IF(AV544&lt;=0,0,ROUND(AV544+ROUND(AV544*AB$3/12,2),2))</f>
      </c>
      <c r="I545" s="33">
        <f>IF(AW544&lt;=0,0,ROUND(AW544+ROUND(AW544*AC$3/12,2),2))</f>
      </c>
      <c r="J545" s="33">
        <f>IF(AX544&lt;=0,0,ROUND(AX544+ROUND(AX544*AD$3/12,2),2))</f>
      </c>
      <c r="K545" s="33">
        <f>IF(AY544&lt;=0,0,ROUND(AY544+ROUND(AY544*AE$3/12,2),2))</f>
      </c>
      <c r="L545" s="33">
        <f>ROUND(MIN(MAX(0,N('Your debts'!$E$6)),B545),2)</f>
      </c>
      <c r="M545" s="33">
        <f>ROUND(MIN(MAX(0,N('Your debts'!$E$7)),C545),2)</f>
      </c>
      <c r="N545" s="33">
        <f>ROUND(MIN(MAX(0,N('Your debts'!$E$8)),D545),2)</f>
      </c>
      <c r="O545" s="33">
        <f>ROUND(MIN(MAX(0,N('Your debts'!$E$9)),E545),2)</f>
      </c>
      <c r="P545" s="33">
        <f>ROUND(MIN(MAX(0,N('Your debts'!$E$10)),F545),2)</f>
      </c>
      <c r="Q545" s="33">
        <f>ROUND(MIN(MAX(0,N('Your debts'!$E$11)),G545),2)</f>
      </c>
      <c r="R545" s="33">
        <f>ROUND(MIN(MAX(0,N('Your debts'!$E$12)),H545),2)</f>
      </c>
      <c r="S545" s="33">
        <f>ROUND(MIN(MAX(0,N('Your debts'!$E$13)),I545),2)</f>
      </c>
      <c r="T545" s="33">
        <f>ROUND(MIN(MAX(0,N('Your debts'!$E$14)),J545),2)</f>
      </c>
      <c r="U545" s="33">
        <f>ROUND(MIN(MAX(0,N('Your debts'!$E$15)),K545),2)</f>
      </c>
      <c r="V545" s="33">
        <f>ROUND(B545-L545,2)</f>
      </c>
      <c r="W545" s="33">
        <f>ROUND(C545-M545,2)</f>
      </c>
      <c r="X545" s="33">
        <f>ROUND(D545-N545,2)</f>
      </c>
      <c r="Y545" s="33">
        <f>ROUND(E545-O545,2)</f>
      </c>
      <c r="Z545" s="33">
        <f>ROUND(F545-P545,2)</f>
      </c>
      <c r="AA545" s="33">
        <f>ROUND(G545-Q545,2)</f>
      </c>
      <c r="AB545" s="33">
        <f>ROUND(H545-R545,2)</f>
      </c>
      <c r="AC545" s="33">
        <f>ROUND(I545-S545,2)</f>
      </c>
      <c r="AD545" s="33">
        <f>ROUND(J545-T545,2)</f>
      </c>
      <c r="AE545" s="33">
        <f>ROUND(K545-U545,2)</f>
      </c>
      <c r="AF545" s="33">
        <f>IF(V545&lt;=0,0,MAX(0,MIN(V545,ROUND($AZ545-SUMPRODUCT($V545:$AE545*($V545:$AE545&gt;0)*(($V$3:$AE$3&gt;V$3)+($V$3:$AE$3=V$3)*($V545:$AE545&lt;V545)+($V$3:$AE$3=V$3)*($V545:$AE545=V545)*($V$2:$AE$2&lt;V$2))),2))))</f>
      </c>
      <c r="AG545" s="33">
        <f>IF(W545&lt;=0,0,MAX(0,MIN(W545,ROUND($AZ545-SUMPRODUCT($V545:$AE545*($V545:$AE545&gt;0)*(($V$3:$AE$3&gt;W$3)+($V$3:$AE$3=W$3)*($V545:$AE545&lt;W545)+($V$3:$AE$3=W$3)*($V545:$AE545=W545)*($V$2:$AE$2&lt;W$2))),2))))</f>
      </c>
      <c r="AH545" s="33">
        <f>IF(X545&lt;=0,0,MAX(0,MIN(X545,ROUND($AZ545-SUMPRODUCT($V545:$AE545*($V545:$AE545&gt;0)*(($V$3:$AE$3&gt;X$3)+($V$3:$AE$3=X$3)*($V545:$AE545&lt;X545)+($V$3:$AE$3=X$3)*($V545:$AE545=X545)*($V$2:$AE$2&lt;X$2))),2))))</f>
      </c>
      <c r="AI545" s="33">
        <f>IF(Y545&lt;=0,0,MAX(0,MIN(Y545,ROUND($AZ545-SUMPRODUCT($V545:$AE545*($V545:$AE545&gt;0)*(($V$3:$AE$3&gt;Y$3)+($V$3:$AE$3=Y$3)*($V545:$AE545&lt;Y545)+($V$3:$AE$3=Y$3)*($V545:$AE545=Y545)*($V$2:$AE$2&lt;Y$2))),2))))</f>
      </c>
      <c r="AJ545" s="33">
        <f>IF(Z545&lt;=0,0,MAX(0,MIN(Z545,ROUND($AZ545-SUMPRODUCT($V545:$AE545*($V545:$AE545&gt;0)*(($V$3:$AE$3&gt;Z$3)+($V$3:$AE$3=Z$3)*($V545:$AE545&lt;Z545)+($V$3:$AE$3=Z$3)*($V545:$AE545=Z545)*($V$2:$AE$2&lt;Z$2))),2))))</f>
      </c>
      <c r="AK545" s="33">
        <f>IF(AA545&lt;=0,0,MAX(0,MIN(AA545,ROUND($AZ545-SUMPRODUCT($V545:$AE545*($V545:$AE545&gt;0)*(($V$3:$AE$3&gt;AA$3)+($V$3:$AE$3=AA$3)*($V545:$AE545&lt;AA545)+($V$3:$AE$3=AA$3)*($V545:$AE545=AA545)*($V$2:$AE$2&lt;AA$2))),2))))</f>
      </c>
      <c r="AL545" s="33">
        <f>IF(AB545&lt;=0,0,MAX(0,MIN(AB545,ROUND($AZ545-SUMPRODUCT($V545:$AE545*($V545:$AE545&gt;0)*(($V$3:$AE$3&gt;AB$3)+($V$3:$AE$3=AB$3)*($V545:$AE545&lt;AB545)+($V$3:$AE$3=AB$3)*($V545:$AE545=AB545)*($V$2:$AE$2&lt;AB$2))),2))))</f>
      </c>
      <c r="AM545" s="33">
        <f>IF(AC545&lt;=0,0,MAX(0,MIN(AC545,ROUND($AZ545-SUMPRODUCT($V545:$AE545*($V545:$AE545&gt;0)*(($V$3:$AE$3&gt;AC$3)+($V$3:$AE$3=AC$3)*($V545:$AE545&lt;AC545)+($V$3:$AE$3=AC$3)*($V545:$AE545=AC545)*($V$2:$AE$2&lt;AC$2))),2))))</f>
      </c>
      <c r="AN545" s="33">
        <f>IF(AD545&lt;=0,0,MAX(0,MIN(AD545,ROUND($AZ545-SUMPRODUCT($V545:$AE545*($V545:$AE545&gt;0)*(($V$3:$AE$3&gt;AD$3)+($V$3:$AE$3=AD$3)*($V545:$AE545&lt;AD545)+($V$3:$AE$3=AD$3)*($V545:$AE545=AD545)*($V$2:$AE$2&lt;AD$2))),2))))</f>
      </c>
      <c r="AO545" s="33">
        <f>IF(AE545&lt;=0,0,MAX(0,MIN(AE545,ROUND($AZ545-SUMPRODUCT($V545:$AE545*($V545:$AE545&gt;0)*(($V$3:$AE$3&gt;AE$3)+($V$3:$AE$3=AE$3)*($V545:$AE545&lt;AE545)+($V$3:$AE$3=AE$3)*($V545:$AE545=AE545)*($V$2:$AE$2&lt;AE$2))),2))))</f>
      </c>
      <c r="AP545" s="33">
        <f>ROUND(V545-AF545,2)</f>
      </c>
      <c r="AQ545" s="33">
        <f>ROUND(W545-AG545,2)</f>
      </c>
      <c r="AR545" s="33">
        <f>ROUND(X545-AH545,2)</f>
      </c>
      <c r="AS545" s="33">
        <f>ROUND(Y545-AI545,2)</f>
      </c>
      <c r="AT545" s="33">
        <f>ROUND(Z545-AJ545,2)</f>
      </c>
      <c r="AU545" s="33">
        <f>ROUND(AA545-AK545,2)</f>
      </c>
      <c r="AV545" s="33">
        <f>ROUND(AB545-AL545,2)</f>
      </c>
      <c r="AW545" s="33">
        <f>ROUND(AC545-AM545,2)</f>
      </c>
      <c r="AX545" s="33">
        <f>ROUND(AD545-AN545,2)</f>
      </c>
      <c r="AY545" s="33">
        <f>ROUND(AE545-AO545,2)</f>
      </c>
      <c r="AZ545" s="33">
        <f>ROUND(MAX(0,'Your debts'!$D$22-SUM($L545:$U545)),2)</f>
      </c>
      <c r="BA545" s="33">
        <f>ROUND(SUM($B545:$K545)-SUM($AP544:$AY544),2)</f>
      </c>
      <c r="BB545" s="33">
        <f>SUM($AP545:$AY545)</f>
      </c>
      <c r="BC545" s="33">
        <f>ROUND(SUM($L545:$U545)+SUM($AF545:$AO545),2)</f>
      </c>
    </row>
    <row r="546" spans="1:55" x14ac:dyDescent="0.25">
      <c r="A546">
        <v>539</v>
      </c>
      <c r="B546" s="33">
        <f>IF(AP545&lt;=0,0,ROUND(AP545+ROUND(AP545*V$3/12,2),2))</f>
      </c>
      <c r="C546" s="33">
        <f>IF(AQ545&lt;=0,0,ROUND(AQ545+ROUND(AQ545*W$3/12,2),2))</f>
      </c>
      <c r="D546" s="33">
        <f>IF(AR545&lt;=0,0,ROUND(AR545+ROUND(AR545*X$3/12,2),2))</f>
      </c>
      <c r="E546" s="33">
        <f>IF(AS545&lt;=0,0,ROUND(AS545+ROUND(AS545*Y$3/12,2),2))</f>
      </c>
      <c r="F546" s="33">
        <f>IF(AT545&lt;=0,0,ROUND(AT545+ROUND(AT545*Z$3/12,2),2))</f>
      </c>
      <c r="G546" s="33">
        <f>IF(AU545&lt;=0,0,ROUND(AU545+ROUND(AU545*AA$3/12,2),2))</f>
      </c>
      <c r="H546" s="33">
        <f>IF(AV545&lt;=0,0,ROUND(AV545+ROUND(AV545*AB$3/12,2),2))</f>
      </c>
      <c r="I546" s="33">
        <f>IF(AW545&lt;=0,0,ROUND(AW545+ROUND(AW545*AC$3/12,2),2))</f>
      </c>
      <c r="J546" s="33">
        <f>IF(AX545&lt;=0,0,ROUND(AX545+ROUND(AX545*AD$3/12,2),2))</f>
      </c>
      <c r="K546" s="33">
        <f>IF(AY545&lt;=0,0,ROUND(AY545+ROUND(AY545*AE$3/12,2),2))</f>
      </c>
      <c r="L546" s="33">
        <f>ROUND(MIN(MAX(0,N('Your debts'!$E$6)),B546),2)</f>
      </c>
      <c r="M546" s="33">
        <f>ROUND(MIN(MAX(0,N('Your debts'!$E$7)),C546),2)</f>
      </c>
      <c r="N546" s="33">
        <f>ROUND(MIN(MAX(0,N('Your debts'!$E$8)),D546),2)</f>
      </c>
      <c r="O546" s="33">
        <f>ROUND(MIN(MAX(0,N('Your debts'!$E$9)),E546),2)</f>
      </c>
      <c r="P546" s="33">
        <f>ROUND(MIN(MAX(0,N('Your debts'!$E$10)),F546),2)</f>
      </c>
      <c r="Q546" s="33">
        <f>ROUND(MIN(MAX(0,N('Your debts'!$E$11)),G546),2)</f>
      </c>
      <c r="R546" s="33">
        <f>ROUND(MIN(MAX(0,N('Your debts'!$E$12)),H546),2)</f>
      </c>
      <c r="S546" s="33">
        <f>ROUND(MIN(MAX(0,N('Your debts'!$E$13)),I546),2)</f>
      </c>
      <c r="T546" s="33">
        <f>ROUND(MIN(MAX(0,N('Your debts'!$E$14)),J546),2)</f>
      </c>
      <c r="U546" s="33">
        <f>ROUND(MIN(MAX(0,N('Your debts'!$E$15)),K546),2)</f>
      </c>
      <c r="V546" s="33">
        <f>ROUND(B546-L546,2)</f>
      </c>
      <c r="W546" s="33">
        <f>ROUND(C546-M546,2)</f>
      </c>
      <c r="X546" s="33">
        <f>ROUND(D546-N546,2)</f>
      </c>
      <c r="Y546" s="33">
        <f>ROUND(E546-O546,2)</f>
      </c>
      <c r="Z546" s="33">
        <f>ROUND(F546-P546,2)</f>
      </c>
      <c r="AA546" s="33">
        <f>ROUND(G546-Q546,2)</f>
      </c>
      <c r="AB546" s="33">
        <f>ROUND(H546-R546,2)</f>
      </c>
      <c r="AC546" s="33">
        <f>ROUND(I546-S546,2)</f>
      </c>
      <c r="AD546" s="33">
        <f>ROUND(J546-T546,2)</f>
      </c>
      <c r="AE546" s="33">
        <f>ROUND(K546-U546,2)</f>
      </c>
      <c r="AF546" s="33">
        <f>IF(V546&lt;=0,0,MAX(0,MIN(V546,ROUND($AZ546-SUMPRODUCT($V546:$AE546*($V546:$AE546&gt;0)*(($V$3:$AE$3&gt;V$3)+($V$3:$AE$3=V$3)*($V546:$AE546&lt;V546)+($V$3:$AE$3=V$3)*($V546:$AE546=V546)*($V$2:$AE$2&lt;V$2))),2))))</f>
      </c>
      <c r="AG546" s="33">
        <f>IF(W546&lt;=0,0,MAX(0,MIN(W546,ROUND($AZ546-SUMPRODUCT($V546:$AE546*($V546:$AE546&gt;0)*(($V$3:$AE$3&gt;W$3)+($V$3:$AE$3=W$3)*($V546:$AE546&lt;W546)+($V$3:$AE$3=W$3)*($V546:$AE546=W546)*($V$2:$AE$2&lt;W$2))),2))))</f>
      </c>
      <c r="AH546" s="33">
        <f>IF(X546&lt;=0,0,MAX(0,MIN(X546,ROUND($AZ546-SUMPRODUCT($V546:$AE546*($V546:$AE546&gt;0)*(($V$3:$AE$3&gt;X$3)+($V$3:$AE$3=X$3)*($V546:$AE546&lt;X546)+($V$3:$AE$3=X$3)*($V546:$AE546=X546)*($V$2:$AE$2&lt;X$2))),2))))</f>
      </c>
      <c r="AI546" s="33">
        <f>IF(Y546&lt;=0,0,MAX(0,MIN(Y546,ROUND($AZ546-SUMPRODUCT($V546:$AE546*($V546:$AE546&gt;0)*(($V$3:$AE$3&gt;Y$3)+($V$3:$AE$3=Y$3)*($V546:$AE546&lt;Y546)+($V$3:$AE$3=Y$3)*($V546:$AE546=Y546)*($V$2:$AE$2&lt;Y$2))),2))))</f>
      </c>
      <c r="AJ546" s="33">
        <f>IF(Z546&lt;=0,0,MAX(0,MIN(Z546,ROUND($AZ546-SUMPRODUCT($V546:$AE546*($V546:$AE546&gt;0)*(($V$3:$AE$3&gt;Z$3)+($V$3:$AE$3=Z$3)*($V546:$AE546&lt;Z546)+($V$3:$AE$3=Z$3)*($V546:$AE546=Z546)*($V$2:$AE$2&lt;Z$2))),2))))</f>
      </c>
      <c r="AK546" s="33">
        <f>IF(AA546&lt;=0,0,MAX(0,MIN(AA546,ROUND($AZ546-SUMPRODUCT($V546:$AE546*($V546:$AE546&gt;0)*(($V$3:$AE$3&gt;AA$3)+($V$3:$AE$3=AA$3)*($V546:$AE546&lt;AA546)+($V$3:$AE$3=AA$3)*($V546:$AE546=AA546)*($V$2:$AE$2&lt;AA$2))),2))))</f>
      </c>
      <c r="AL546" s="33">
        <f>IF(AB546&lt;=0,0,MAX(0,MIN(AB546,ROUND($AZ546-SUMPRODUCT($V546:$AE546*($V546:$AE546&gt;0)*(($V$3:$AE$3&gt;AB$3)+($V$3:$AE$3=AB$3)*($V546:$AE546&lt;AB546)+($V$3:$AE$3=AB$3)*($V546:$AE546=AB546)*($V$2:$AE$2&lt;AB$2))),2))))</f>
      </c>
      <c r="AM546" s="33">
        <f>IF(AC546&lt;=0,0,MAX(0,MIN(AC546,ROUND($AZ546-SUMPRODUCT($V546:$AE546*($V546:$AE546&gt;0)*(($V$3:$AE$3&gt;AC$3)+($V$3:$AE$3=AC$3)*($V546:$AE546&lt;AC546)+($V$3:$AE$3=AC$3)*($V546:$AE546=AC546)*($V$2:$AE$2&lt;AC$2))),2))))</f>
      </c>
      <c r="AN546" s="33">
        <f>IF(AD546&lt;=0,0,MAX(0,MIN(AD546,ROUND($AZ546-SUMPRODUCT($V546:$AE546*($V546:$AE546&gt;0)*(($V$3:$AE$3&gt;AD$3)+($V$3:$AE$3=AD$3)*($V546:$AE546&lt;AD546)+($V$3:$AE$3=AD$3)*($V546:$AE546=AD546)*($V$2:$AE$2&lt;AD$2))),2))))</f>
      </c>
      <c r="AO546" s="33">
        <f>IF(AE546&lt;=0,0,MAX(0,MIN(AE546,ROUND($AZ546-SUMPRODUCT($V546:$AE546*($V546:$AE546&gt;0)*(($V$3:$AE$3&gt;AE$3)+($V$3:$AE$3=AE$3)*($V546:$AE546&lt;AE546)+($V$3:$AE$3=AE$3)*($V546:$AE546=AE546)*($V$2:$AE$2&lt;AE$2))),2))))</f>
      </c>
      <c r="AP546" s="33">
        <f>ROUND(V546-AF546,2)</f>
      </c>
      <c r="AQ546" s="33">
        <f>ROUND(W546-AG546,2)</f>
      </c>
      <c r="AR546" s="33">
        <f>ROUND(X546-AH546,2)</f>
      </c>
      <c r="AS546" s="33">
        <f>ROUND(Y546-AI546,2)</f>
      </c>
      <c r="AT546" s="33">
        <f>ROUND(Z546-AJ546,2)</f>
      </c>
      <c r="AU546" s="33">
        <f>ROUND(AA546-AK546,2)</f>
      </c>
      <c r="AV546" s="33">
        <f>ROUND(AB546-AL546,2)</f>
      </c>
      <c r="AW546" s="33">
        <f>ROUND(AC546-AM546,2)</f>
      </c>
      <c r="AX546" s="33">
        <f>ROUND(AD546-AN546,2)</f>
      </c>
      <c r="AY546" s="33">
        <f>ROUND(AE546-AO546,2)</f>
      </c>
      <c r="AZ546" s="33">
        <f>ROUND(MAX(0,'Your debts'!$D$22-SUM($L546:$U546)),2)</f>
      </c>
      <c r="BA546" s="33">
        <f>ROUND(SUM($B546:$K546)-SUM($AP545:$AY545),2)</f>
      </c>
      <c r="BB546" s="33">
        <f>SUM($AP546:$AY546)</f>
      </c>
      <c r="BC546" s="33">
        <f>ROUND(SUM($L546:$U546)+SUM($AF546:$AO546),2)</f>
      </c>
    </row>
    <row r="547" spans="1:55" x14ac:dyDescent="0.25">
      <c r="A547">
        <v>540</v>
      </c>
      <c r="B547" s="33">
        <f>IF(AP546&lt;=0,0,ROUND(AP546+ROUND(AP546*V$3/12,2),2))</f>
      </c>
      <c r="C547" s="33">
        <f>IF(AQ546&lt;=0,0,ROUND(AQ546+ROUND(AQ546*W$3/12,2),2))</f>
      </c>
      <c r="D547" s="33">
        <f>IF(AR546&lt;=0,0,ROUND(AR546+ROUND(AR546*X$3/12,2),2))</f>
      </c>
      <c r="E547" s="33">
        <f>IF(AS546&lt;=0,0,ROUND(AS546+ROUND(AS546*Y$3/12,2),2))</f>
      </c>
      <c r="F547" s="33">
        <f>IF(AT546&lt;=0,0,ROUND(AT546+ROUND(AT546*Z$3/12,2),2))</f>
      </c>
      <c r="G547" s="33">
        <f>IF(AU546&lt;=0,0,ROUND(AU546+ROUND(AU546*AA$3/12,2),2))</f>
      </c>
      <c r="H547" s="33">
        <f>IF(AV546&lt;=0,0,ROUND(AV546+ROUND(AV546*AB$3/12,2),2))</f>
      </c>
      <c r="I547" s="33">
        <f>IF(AW546&lt;=0,0,ROUND(AW546+ROUND(AW546*AC$3/12,2),2))</f>
      </c>
      <c r="J547" s="33">
        <f>IF(AX546&lt;=0,0,ROUND(AX546+ROUND(AX546*AD$3/12,2),2))</f>
      </c>
      <c r="K547" s="33">
        <f>IF(AY546&lt;=0,0,ROUND(AY546+ROUND(AY546*AE$3/12,2),2))</f>
      </c>
      <c r="L547" s="33">
        <f>ROUND(MIN(MAX(0,N('Your debts'!$E$6)),B547),2)</f>
      </c>
      <c r="M547" s="33">
        <f>ROUND(MIN(MAX(0,N('Your debts'!$E$7)),C547),2)</f>
      </c>
      <c r="N547" s="33">
        <f>ROUND(MIN(MAX(0,N('Your debts'!$E$8)),D547),2)</f>
      </c>
      <c r="O547" s="33">
        <f>ROUND(MIN(MAX(0,N('Your debts'!$E$9)),E547),2)</f>
      </c>
      <c r="P547" s="33">
        <f>ROUND(MIN(MAX(0,N('Your debts'!$E$10)),F547),2)</f>
      </c>
      <c r="Q547" s="33">
        <f>ROUND(MIN(MAX(0,N('Your debts'!$E$11)),G547),2)</f>
      </c>
      <c r="R547" s="33">
        <f>ROUND(MIN(MAX(0,N('Your debts'!$E$12)),H547),2)</f>
      </c>
      <c r="S547" s="33">
        <f>ROUND(MIN(MAX(0,N('Your debts'!$E$13)),I547),2)</f>
      </c>
      <c r="T547" s="33">
        <f>ROUND(MIN(MAX(0,N('Your debts'!$E$14)),J547),2)</f>
      </c>
      <c r="U547" s="33">
        <f>ROUND(MIN(MAX(0,N('Your debts'!$E$15)),K547),2)</f>
      </c>
      <c r="V547" s="33">
        <f>ROUND(B547-L547,2)</f>
      </c>
      <c r="W547" s="33">
        <f>ROUND(C547-M547,2)</f>
      </c>
      <c r="X547" s="33">
        <f>ROUND(D547-N547,2)</f>
      </c>
      <c r="Y547" s="33">
        <f>ROUND(E547-O547,2)</f>
      </c>
      <c r="Z547" s="33">
        <f>ROUND(F547-P547,2)</f>
      </c>
      <c r="AA547" s="33">
        <f>ROUND(G547-Q547,2)</f>
      </c>
      <c r="AB547" s="33">
        <f>ROUND(H547-R547,2)</f>
      </c>
      <c r="AC547" s="33">
        <f>ROUND(I547-S547,2)</f>
      </c>
      <c r="AD547" s="33">
        <f>ROUND(J547-T547,2)</f>
      </c>
      <c r="AE547" s="33">
        <f>ROUND(K547-U547,2)</f>
      </c>
      <c r="AF547" s="33">
        <f>IF(V547&lt;=0,0,MAX(0,MIN(V547,ROUND($AZ547-SUMPRODUCT($V547:$AE547*($V547:$AE547&gt;0)*(($V$3:$AE$3&gt;V$3)+($V$3:$AE$3=V$3)*($V547:$AE547&lt;V547)+($V$3:$AE$3=V$3)*($V547:$AE547=V547)*($V$2:$AE$2&lt;V$2))),2))))</f>
      </c>
      <c r="AG547" s="33">
        <f>IF(W547&lt;=0,0,MAX(0,MIN(W547,ROUND($AZ547-SUMPRODUCT($V547:$AE547*($V547:$AE547&gt;0)*(($V$3:$AE$3&gt;W$3)+($V$3:$AE$3=W$3)*($V547:$AE547&lt;W547)+($V$3:$AE$3=W$3)*($V547:$AE547=W547)*($V$2:$AE$2&lt;W$2))),2))))</f>
      </c>
      <c r="AH547" s="33">
        <f>IF(X547&lt;=0,0,MAX(0,MIN(X547,ROUND($AZ547-SUMPRODUCT($V547:$AE547*($V547:$AE547&gt;0)*(($V$3:$AE$3&gt;X$3)+($V$3:$AE$3=X$3)*($V547:$AE547&lt;X547)+($V$3:$AE$3=X$3)*($V547:$AE547=X547)*($V$2:$AE$2&lt;X$2))),2))))</f>
      </c>
      <c r="AI547" s="33">
        <f>IF(Y547&lt;=0,0,MAX(0,MIN(Y547,ROUND($AZ547-SUMPRODUCT($V547:$AE547*($V547:$AE547&gt;0)*(($V$3:$AE$3&gt;Y$3)+($V$3:$AE$3=Y$3)*($V547:$AE547&lt;Y547)+($V$3:$AE$3=Y$3)*($V547:$AE547=Y547)*($V$2:$AE$2&lt;Y$2))),2))))</f>
      </c>
      <c r="AJ547" s="33">
        <f>IF(Z547&lt;=0,0,MAX(0,MIN(Z547,ROUND($AZ547-SUMPRODUCT($V547:$AE547*($V547:$AE547&gt;0)*(($V$3:$AE$3&gt;Z$3)+($V$3:$AE$3=Z$3)*($V547:$AE547&lt;Z547)+($V$3:$AE$3=Z$3)*($V547:$AE547=Z547)*($V$2:$AE$2&lt;Z$2))),2))))</f>
      </c>
      <c r="AK547" s="33">
        <f>IF(AA547&lt;=0,0,MAX(0,MIN(AA547,ROUND($AZ547-SUMPRODUCT($V547:$AE547*($V547:$AE547&gt;0)*(($V$3:$AE$3&gt;AA$3)+($V$3:$AE$3=AA$3)*($V547:$AE547&lt;AA547)+($V$3:$AE$3=AA$3)*($V547:$AE547=AA547)*($V$2:$AE$2&lt;AA$2))),2))))</f>
      </c>
      <c r="AL547" s="33">
        <f>IF(AB547&lt;=0,0,MAX(0,MIN(AB547,ROUND($AZ547-SUMPRODUCT($V547:$AE547*($V547:$AE547&gt;0)*(($V$3:$AE$3&gt;AB$3)+($V$3:$AE$3=AB$3)*($V547:$AE547&lt;AB547)+($V$3:$AE$3=AB$3)*($V547:$AE547=AB547)*($V$2:$AE$2&lt;AB$2))),2))))</f>
      </c>
      <c r="AM547" s="33">
        <f>IF(AC547&lt;=0,0,MAX(0,MIN(AC547,ROUND($AZ547-SUMPRODUCT($V547:$AE547*($V547:$AE547&gt;0)*(($V$3:$AE$3&gt;AC$3)+($V$3:$AE$3=AC$3)*($V547:$AE547&lt;AC547)+($V$3:$AE$3=AC$3)*($V547:$AE547=AC547)*($V$2:$AE$2&lt;AC$2))),2))))</f>
      </c>
      <c r="AN547" s="33">
        <f>IF(AD547&lt;=0,0,MAX(0,MIN(AD547,ROUND($AZ547-SUMPRODUCT($V547:$AE547*($V547:$AE547&gt;0)*(($V$3:$AE$3&gt;AD$3)+($V$3:$AE$3=AD$3)*($V547:$AE547&lt;AD547)+($V$3:$AE$3=AD$3)*($V547:$AE547=AD547)*($V$2:$AE$2&lt;AD$2))),2))))</f>
      </c>
      <c r="AO547" s="33">
        <f>IF(AE547&lt;=0,0,MAX(0,MIN(AE547,ROUND($AZ547-SUMPRODUCT($V547:$AE547*($V547:$AE547&gt;0)*(($V$3:$AE$3&gt;AE$3)+($V$3:$AE$3=AE$3)*($V547:$AE547&lt;AE547)+($V$3:$AE$3=AE$3)*($V547:$AE547=AE547)*($V$2:$AE$2&lt;AE$2))),2))))</f>
      </c>
      <c r="AP547" s="33">
        <f>ROUND(V547-AF547,2)</f>
      </c>
      <c r="AQ547" s="33">
        <f>ROUND(W547-AG547,2)</f>
      </c>
      <c r="AR547" s="33">
        <f>ROUND(X547-AH547,2)</f>
      </c>
      <c r="AS547" s="33">
        <f>ROUND(Y547-AI547,2)</f>
      </c>
      <c r="AT547" s="33">
        <f>ROUND(Z547-AJ547,2)</f>
      </c>
      <c r="AU547" s="33">
        <f>ROUND(AA547-AK547,2)</f>
      </c>
      <c r="AV547" s="33">
        <f>ROUND(AB547-AL547,2)</f>
      </c>
      <c r="AW547" s="33">
        <f>ROUND(AC547-AM547,2)</f>
      </c>
      <c r="AX547" s="33">
        <f>ROUND(AD547-AN547,2)</f>
      </c>
      <c r="AY547" s="33">
        <f>ROUND(AE547-AO547,2)</f>
      </c>
      <c r="AZ547" s="33">
        <f>ROUND(MAX(0,'Your debts'!$D$22-SUM($L547:$U547)),2)</f>
      </c>
      <c r="BA547" s="33">
        <f>ROUND(SUM($B547:$K547)-SUM($AP546:$AY546),2)</f>
      </c>
      <c r="BB547" s="33">
        <f>SUM($AP547:$AY547)</f>
      </c>
      <c r="BC547" s="33">
        <f>ROUND(SUM($L547:$U547)+SUM($AF547:$AO547),2)</f>
      </c>
    </row>
    <row r="548" spans="1:55" x14ac:dyDescent="0.25">
      <c r="A548">
        <v>541</v>
      </c>
      <c r="B548" s="33">
        <f>IF(AP547&lt;=0,0,ROUND(AP547+ROUND(AP547*V$3/12,2),2))</f>
      </c>
      <c r="C548" s="33">
        <f>IF(AQ547&lt;=0,0,ROUND(AQ547+ROUND(AQ547*W$3/12,2),2))</f>
      </c>
      <c r="D548" s="33">
        <f>IF(AR547&lt;=0,0,ROUND(AR547+ROUND(AR547*X$3/12,2),2))</f>
      </c>
      <c r="E548" s="33">
        <f>IF(AS547&lt;=0,0,ROUND(AS547+ROUND(AS547*Y$3/12,2),2))</f>
      </c>
      <c r="F548" s="33">
        <f>IF(AT547&lt;=0,0,ROUND(AT547+ROUND(AT547*Z$3/12,2),2))</f>
      </c>
      <c r="G548" s="33">
        <f>IF(AU547&lt;=0,0,ROUND(AU547+ROUND(AU547*AA$3/12,2),2))</f>
      </c>
      <c r="H548" s="33">
        <f>IF(AV547&lt;=0,0,ROUND(AV547+ROUND(AV547*AB$3/12,2),2))</f>
      </c>
      <c r="I548" s="33">
        <f>IF(AW547&lt;=0,0,ROUND(AW547+ROUND(AW547*AC$3/12,2),2))</f>
      </c>
      <c r="J548" s="33">
        <f>IF(AX547&lt;=0,0,ROUND(AX547+ROUND(AX547*AD$3/12,2),2))</f>
      </c>
      <c r="K548" s="33">
        <f>IF(AY547&lt;=0,0,ROUND(AY547+ROUND(AY547*AE$3/12,2),2))</f>
      </c>
      <c r="L548" s="33">
        <f>ROUND(MIN(MAX(0,N('Your debts'!$E$6)),B548),2)</f>
      </c>
      <c r="M548" s="33">
        <f>ROUND(MIN(MAX(0,N('Your debts'!$E$7)),C548),2)</f>
      </c>
      <c r="N548" s="33">
        <f>ROUND(MIN(MAX(0,N('Your debts'!$E$8)),D548),2)</f>
      </c>
      <c r="O548" s="33">
        <f>ROUND(MIN(MAX(0,N('Your debts'!$E$9)),E548),2)</f>
      </c>
      <c r="P548" s="33">
        <f>ROUND(MIN(MAX(0,N('Your debts'!$E$10)),F548),2)</f>
      </c>
      <c r="Q548" s="33">
        <f>ROUND(MIN(MAX(0,N('Your debts'!$E$11)),G548),2)</f>
      </c>
      <c r="R548" s="33">
        <f>ROUND(MIN(MAX(0,N('Your debts'!$E$12)),H548),2)</f>
      </c>
      <c r="S548" s="33">
        <f>ROUND(MIN(MAX(0,N('Your debts'!$E$13)),I548),2)</f>
      </c>
      <c r="T548" s="33">
        <f>ROUND(MIN(MAX(0,N('Your debts'!$E$14)),J548),2)</f>
      </c>
      <c r="U548" s="33">
        <f>ROUND(MIN(MAX(0,N('Your debts'!$E$15)),K548),2)</f>
      </c>
      <c r="V548" s="33">
        <f>ROUND(B548-L548,2)</f>
      </c>
      <c r="W548" s="33">
        <f>ROUND(C548-M548,2)</f>
      </c>
      <c r="X548" s="33">
        <f>ROUND(D548-N548,2)</f>
      </c>
      <c r="Y548" s="33">
        <f>ROUND(E548-O548,2)</f>
      </c>
      <c r="Z548" s="33">
        <f>ROUND(F548-P548,2)</f>
      </c>
      <c r="AA548" s="33">
        <f>ROUND(G548-Q548,2)</f>
      </c>
      <c r="AB548" s="33">
        <f>ROUND(H548-R548,2)</f>
      </c>
      <c r="AC548" s="33">
        <f>ROUND(I548-S548,2)</f>
      </c>
      <c r="AD548" s="33">
        <f>ROUND(J548-T548,2)</f>
      </c>
      <c r="AE548" s="33">
        <f>ROUND(K548-U548,2)</f>
      </c>
      <c r="AF548" s="33">
        <f>IF(V548&lt;=0,0,MAX(0,MIN(V548,ROUND($AZ548-SUMPRODUCT($V548:$AE548*($V548:$AE548&gt;0)*(($V$3:$AE$3&gt;V$3)+($V$3:$AE$3=V$3)*($V548:$AE548&lt;V548)+($V$3:$AE$3=V$3)*($V548:$AE548=V548)*($V$2:$AE$2&lt;V$2))),2))))</f>
      </c>
      <c r="AG548" s="33">
        <f>IF(W548&lt;=0,0,MAX(0,MIN(W548,ROUND($AZ548-SUMPRODUCT($V548:$AE548*($V548:$AE548&gt;0)*(($V$3:$AE$3&gt;W$3)+($V$3:$AE$3=W$3)*($V548:$AE548&lt;W548)+($V$3:$AE$3=W$3)*($V548:$AE548=W548)*($V$2:$AE$2&lt;W$2))),2))))</f>
      </c>
      <c r="AH548" s="33">
        <f>IF(X548&lt;=0,0,MAX(0,MIN(X548,ROUND($AZ548-SUMPRODUCT($V548:$AE548*($V548:$AE548&gt;0)*(($V$3:$AE$3&gt;X$3)+($V$3:$AE$3=X$3)*($V548:$AE548&lt;X548)+($V$3:$AE$3=X$3)*($V548:$AE548=X548)*($V$2:$AE$2&lt;X$2))),2))))</f>
      </c>
      <c r="AI548" s="33">
        <f>IF(Y548&lt;=0,0,MAX(0,MIN(Y548,ROUND($AZ548-SUMPRODUCT($V548:$AE548*($V548:$AE548&gt;0)*(($V$3:$AE$3&gt;Y$3)+($V$3:$AE$3=Y$3)*($V548:$AE548&lt;Y548)+($V$3:$AE$3=Y$3)*($V548:$AE548=Y548)*($V$2:$AE$2&lt;Y$2))),2))))</f>
      </c>
      <c r="AJ548" s="33">
        <f>IF(Z548&lt;=0,0,MAX(0,MIN(Z548,ROUND($AZ548-SUMPRODUCT($V548:$AE548*($V548:$AE548&gt;0)*(($V$3:$AE$3&gt;Z$3)+($V$3:$AE$3=Z$3)*($V548:$AE548&lt;Z548)+($V$3:$AE$3=Z$3)*($V548:$AE548=Z548)*($V$2:$AE$2&lt;Z$2))),2))))</f>
      </c>
      <c r="AK548" s="33">
        <f>IF(AA548&lt;=0,0,MAX(0,MIN(AA548,ROUND($AZ548-SUMPRODUCT($V548:$AE548*($V548:$AE548&gt;0)*(($V$3:$AE$3&gt;AA$3)+($V$3:$AE$3=AA$3)*($V548:$AE548&lt;AA548)+($V$3:$AE$3=AA$3)*($V548:$AE548=AA548)*($V$2:$AE$2&lt;AA$2))),2))))</f>
      </c>
      <c r="AL548" s="33">
        <f>IF(AB548&lt;=0,0,MAX(0,MIN(AB548,ROUND($AZ548-SUMPRODUCT($V548:$AE548*($V548:$AE548&gt;0)*(($V$3:$AE$3&gt;AB$3)+($V$3:$AE$3=AB$3)*($V548:$AE548&lt;AB548)+($V$3:$AE$3=AB$3)*($V548:$AE548=AB548)*($V$2:$AE$2&lt;AB$2))),2))))</f>
      </c>
      <c r="AM548" s="33">
        <f>IF(AC548&lt;=0,0,MAX(0,MIN(AC548,ROUND($AZ548-SUMPRODUCT($V548:$AE548*($V548:$AE548&gt;0)*(($V$3:$AE$3&gt;AC$3)+($V$3:$AE$3=AC$3)*($V548:$AE548&lt;AC548)+($V$3:$AE$3=AC$3)*($V548:$AE548=AC548)*($V$2:$AE$2&lt;AC$2))),2))))</f>
      </c>
      <c r="AN548" s="33">
        <f>IF(AD548&lt;=0,0,MAX(0,MIN(AD548,ROUND($AZ548-SUMPRODUCT($V548:$AE548*($V548:$AE548&gt;0)*(($V$3:$AE$3&gt;AD$3)+($V$3:$AE$3=AD$3)*($V548:$AE548&lt;AD548)+($V$3:$AE$3=AD$3)*($V548:$AE548=AD548)*($V$2:$AE$2&lt;AD$2))),2))))</f>
      </c>
      <c r="AO548" s="33">
        <f>IF(AE548&lt;=0,0,MAX(0,MIN(AE548,ROUND($AZ548-SUMPRODUCT($V548:$AE548*($V548:$AE548&gt;0)*(($V$3:$AE$3&gt;AE$3)+($V$3:$AE$3=AE$3)*($V548:$AE548&lt;AE548)+($V$3:$AE$3=AE$3)*($V548:$AE548=AE548)*($V$2:$AE$2&lt;AE$2))),2))))</f>
      </c>
      <c r="AP548" s="33">
        <f>ROUND(V548-AF548,2)</f>
      </c>
      <c r="AQ548" s="33">
        <f>ROUND(W548-AG548,2)</f>
      </c>
      <c r="AR548" s="33">
        <f>ROUND(X548-AH548,2)</f>
      </c>
      <c r="AS548" s="33">
        <f>ROUND(Y548-AI548,2)</f>
      </c>
      <c r="AT548" s="33">
        <f>ROUND(Z548-AJ548,2)</f>
      </c>
      <c r="AU548" s="33">
        <f>ROUND(AA548-AK548,2)</f>
      </c>
      <c r="AV548" s="33">
        <f>ROUND(AB548-AL548,2)</f>
      </c>
      <c r="AW548" s="33">
        <f>ROUND(AC548-AM548,2)</f>
      </c>
      <c r="AX548" s="33">
        <f>ROUND(AD548-AN548,2)</f>
      </c>
      <c r="AY548" s="33">
        <f>ROUND(AE548-AO548,2)</f>
      </c>
      <c r="AZ548" s="33">
        <f>ROUND(MAX(0,'Your debts'!$D$22-SUM($L548:$U548)),2)</f>
      </c>
      <c r="BA548" s="33">
        <f>ROUND(SUM($B548:$K548)-SUM($AP547:$AY547),2)</f>
      </c>
      <c r="BB548" s="33">
        <f>SUM($AP548:$AY548)</f>
      </c>
      <c r="BC548" s="33">
        <f>ROUND(SUM($L548:$U548)+SUM($AF548:$AO548),2)</f>
      </c>
    </row>
    <row r="549" spans="1:55" x14ac:dyDescent="0.25">
      <c r="A549">
        <v>542</v>
      </c>
      <c r="B549" s="33">
        <f>IF(AP548&lt;=0,0,ROUND(AP548+ROUND(AP548*V$3/12,2),2))</f>
      </c>
      <c r="C549" s="33">
        <f>IF(AQ548&lt;=0,0,ROUND(AQ548+ROUND(AQ548*W$3/12,2),2))</f>
      </c>
      <c r="D549" s="33">
        <f>IF(AR548&lt;=0,0,ROUND(AR548+ROUND(AR548*X$3/12,2),2))</f>
      </c>
      <c r="E549" s="33">
        <f>IF(AS548&lt;=0,0,ROUND(AS548+ROUND(AS548*Y$3/12,2),2))</f>
      </c>
      <c r="F549" s="33">
        <f>IF(AT548&lt;=0,0,ROUND(AT548+ROUND(AT548*Z$3/12,2),2))</f>
      </c>
      <c r="G549" s="33">
        <f>IF(AU548&lt;=0,0,ROUND(AU548+ROUND(AU548*AA$3/12,2),2))</f>
      </c>
      <c r="H549" s="33">
        <f>IF(AV548&lt;=0,0,ROUND(AV548+ROUND(AV548*AB$3/12,2),2))</f>
      </c>
      <c r="I549" s="33">
        <f>IF(AW548&lt;=0,0,ROUND(AW548+ROUND(AW548*AC$3/12,2),2))</f>
      </c>
      <c r="J549" s="33">
        <f>IF(AX548&lt;=0,0,ROUND(AX548+ROUND(AX548*AD$3/12,2),2))</f>
      </c>
      <c r="K549" s="33">
        <f>IF(AY548&lt;=0,0,ROUND(AY548+ROUND(AY548*AE$3/12,2),2))</f>
      </c>
      <c r="L549" s="33">
        <f>ROUND(MIN(MAX(0,N('Your debts'!$E$6)),B549),2)</f>
      </c>
      <c r="M549" s="33">
        <f>ROUND(MIN(MAX(0,N('Your debts'!$E$7)),C549),2)</f>
      </c>
      <c r="N549" s="33">
        <f>ROUND(MIN(MAX(0,N('Your debts'!$E$8)),D549),2)</f>
      </c>
      <c r="O549" s="33">
        <f>ROUND(MIN(MAX(0,N('Your debts'!$E$9)),E549),2)</f>
      </c>
      <c r="P549" s="33">
        <f>ROUND(MIN(MAX(0,N('Your debts'!$E$10)),F549),2)</f>
      </c>
      <c r="Q549" s="33">
        <f>ROUND(MIN(MAX(0,N('Your debts'!$E$11)),G549),2)</f>
      </c>
      <c r="R549" s="33">
        <f>ROUND(MIN(MAX(0,N('Your debts'!$E$12)),H549),2)</f>
      </c>
      <c r="S549" s="33">
        <f>ROUND(MIN(MAX(0,N('Your debts'!$E$13)),I549),2)</f>
      </c>
      <c r="T549" s="33">
        <f>ROUND(MIN(MAX(0,N('Your debts'!$E$14)),J549),2)</f>
      </c>
      <c r="U549" s="33">
        <f>ROUND(MIN(MAX(0,N('Your debts'!$E$15)),K549),2)</f>
      </c>
      <c r="V549" s="33">
        <f>ROUND(B549-L549,2)</f>
      </c>
      <c r="W549" s="33">
        <f>ROUND(C549-M549,2)</f>
      </c>
      <c r="X549" s="33">
        <f>ROUND(D549-N549,2)</f>
      </c>
      <c r="Y549" s="33">
        <f>ROUND(E549-O549,2)</f>
      </c>
      <c r="Z549" s="33">
        <f>ROUND(F549-P549,2)</f>
      </c>
      <c r="AA549" s="33">
        <f>ROUND(G549-Q549,2)</f>
      </c>
      <c r="AB549" s="33">
        <f>ROUND(H549-R549,2)</f>
      </c>
      <c r="AC549" s="33">
        <f>ROUND(I549-S549,2)</f>
      </c>
      <c r="AD549" s="33">
        <f>ROUND(J549-T549,2)</f>
      </c>
      <c r="AE549" s="33">
        <f>ROUND(K549-U549,2)</f>
      </c>
      <c r="AF549" s="33">
        <f>IF(V549&lt;=0,0,MAX(0,MIN(V549,ROUND($AZ549-SUMPRODUCT($V549:$AE549*($V549:$AE549&gt;0)*(($V$3:$AE$3&gt;V$3)+($V$3:$AE$3=V$3)*($V549:$AE549&lt;V549)+($V$3:$AE$3=V$3)*($V549:$AE549=V549)*($V$2:$AE$2&lt;V$2))),2))))</f>
      </c>
      <c r="AG549" s="33">
        <f>IF(W549&lt;=0,0,MAX(0,MIN(W549,ROUND($AZ549-SUMPRODUCT($V549:$AE549*($V549:$AE549&gt;0)*(($V$3:$AE$3&gt;W$3)+($V$3:$AE$3=W$3)*($V549:$AE549&lt;W549)+($V$3:$AE$3=W$3)*($V549:$AE549=W549)*($V$2:$AE$2&lt;W$2))),2))))</f>
      </c>
      <c r="AH549" s="33">
        <f>IF(X549&lt;=0,0,MAX(0,MIN(X549,ROUND($AZ549-SUMPRODUCT($V549:$AE549*($V549:$AE549&gt;0)*(($V$3:$AE$3&gt;X$3)+($V$3:$AE$3=X$3)*($V549:$AE549&lt;X549)+($V$3:$AE$3=X$3)*($V549:$AE549=X549)*($V$2:$AE$2&lt;X$2))),2))))</f>
      </c>
      <c r="AI549" s="33">
        <f>IF(Y549&lt;=0,0,MAX(0,MIN(Y549,ROUND($AZ549-SUMPRODUCT($V549:$AE549*($V549:$AE549&gt;0)*(($V$3:$AE$3&gt;Y$3)+($V$3:$AE$3=Y$3)*($V549:$AE549&lt;Y549)+($V$3:$AE$3=Y$3)*($V549:$AE549=Y549)*($V$2:$AE$2&lt;Y$2))),2))))</f>
      </c>
      <c r="AJ549" s="33">
        <f>IF(Z549&lt;=0,0,MAX(0,MIN(Z549,ROUND($AZ549-SUMPRODUCT($V549:$AE549*($V549:$AE549&gt;0)*(($V$3:$AE$3&gt;Z$3)+($V$3:$AE$3=Z$3)*($V549:$AE549&lt;Z549)+($V$3:$AE$3=Z$3)*($V549:$AE549=Z549)*($V$2:$AE$2&lt;Z$2))),2))))</f>
      </c>
      <c r="AK549" s="33">
        <f>IF(AA549&lt;=0,0,MAX(0,MIN(AA549,ROUND($AZ549-SUMPRODUCT($V549:$AE549*($V549:$AE549&gt;0)*(($V$3:$AE$3&gt;AA$3)+($V$3:$AE$3=AA$3)*($V549:$AE549&lt;AA549)+($V$3:$AE$3=AA$3)*($V549:$AE549=AA549)*($V$2:$AE$2&lt;AA$2))),2))))</f>
      </c>
      <c r="AL549" s="33">
        <f>IF(AB549&lt;=0,0,MAX(0,MIN(AB549,ROUND($AZ549-SUMPRODUCT($V549:$AE549*($V549:$AE549&gt;0)*(($V$3:$AE$3&gt;AB$3)+($V$3:$AE$3=AB$3)*($V549:$AE549&lt;AB549)+($V$3:$AE$3=AB$3)*($V549:$AE549=AB549)*($V$2:$AE$2&lt;AB$2))),2))))</f>
      </c>
      <c r="AM549" s="33">
        <f>IF(AC549&lt;=0,0,MAX(0,MIN(AC549,ROUND($AZ549-SUMPRODUCT($V549:$AE549*($V549:$AE549&gt;0)*(($V$3:$AE$3&gt;AC$3)+($V$3:$AE$3=AC$3)*($V549:$AE549&lt;AC549)+($V$3:$AE$3=AC$3)*($V549:$AE549=AC549)*($V$2:$AE$2&lt;AC$2))),2))))</f>
      </c>
      <c r="AN549" s="33">
        <f>IF(AD549&lt;=0,0,MAX(0,MIN(AD549,ROUND($AZ549-SUMPRODUCT($V549:$AE549*($V549:$AE549&gt;0)*(($V$3:$AE$3&gt;AD$3)+($V$3:$AE$3=AD$3)*($V549:$AE549&lt;AD549)+($V$3:$AE$3=AD$3)*($V549:$AE549=AD549)*($V$2:$AE$2&lt;AD$2))),2))))</f>
      </c>
      <c r="AO549" s="33">
        <f>IF(AE549&lt;=0,0,MAX(0,MIN(AE549,ROUND($AZ549-SUMPRODUCT($V549:$AE549*($V549:$AE549&gt;0)*(($V$3:$AE$3&gt;AE$3)+($V$3:$AE$3=AE$3)*($V549:$AE549&lt;AE549)+($V$3:$AE$3=AE$3)*($V549:$AE549=AE549)*($V$2:$AE$2&lt;AE$2))),2))))</f>
      </c>
      <c r="AP549" s="33">
        <f>ROUND(V549-AF549,2)</f>
      </c>
      <c r="AQ549" s="33">
        <f>ROUND(W549-AG549,2)</f>
      </c>
      <c r="AR549" s="33">
        <f>ROUND(X549-AH549,2)</f>
      </c>
      <c r="AS549" s="33">
        <f>ROUND(Y549-AI549,2)</f>
      </c>
      <c r="AT549" s="33">
        <f>ROUND(Z549-AJ549,2)</f>
      </c>
      <c r="AU549" s="33">
        <f>ROUND(AA549-AK549,2)</f>
      </c>
      <c r="AV549" s="33">
        <f>ROUND(AB549-AL549,2)</f>
      </c>
      <c r="AW549" s="33">
        <f>ROUND(AC549-AM549,2)</f>
      </c>
      <c r="AX549" s="33">
        <f>ROUND(AD549-AN549,2)</f>
      </c>
      <c r="AY549" s="33">
        <f>ROUND(AE549-AO549,2)</f>
      </c>
      <c r="AZ549" s="33">
        <f>ROUND(MAX(0,'Your debts'!$D$22-SUM($L549:$U549)),2)</f>
      </c>
      <c r="BA549" s="33">
        <f>ROUND(SUM($B549:$K549)-SUM($AP548:$AY548),2)</f>
      </c>
      <c r="BB549" s="33">
        <f>SUM($AP549:$AY549)</f>
      </c>
      <c r="BC549" s="33">
        <f>ROUND(SUM($L549:$U549)+SUM($AF549:$AO549),2)</f>
      </c>
    </row>
    <row r="550" spans="1:55" x14ac:dyDescent="0.25">
      <c r="A550">
        <v>543</v>
      </c>
      <c r="B550" s="33">
        <f>IF(AP549&lt;=0,0,ROUND(AP549+ROUND(AP549*V$3/12,2),2))</f>
      </c>
      <c r="C550" s="33">
        <f>IF(AQ549&lt;=0,0,ROUND(AQ549+ROUND(AQ549*W$3/12,2),2))</f>
      </c>
      <c r="D550" s="33">
        <f>IF(AR549&lt;=0,0,ROUND(AR549+ROUND(AR549*X$3/12,2),2))</f>
      </c>
      <c r="E550" s="33">
        <f>IF(AS549&lt;=0,0,ROUND(AS549+ROUND(AS549*Y$3/12,2),2))</f>
      </c>
      <c r="F550" s="33">
        <f>IF(AT549&lt;=0,0,ROUND(AT549+ROUND(AT549*Z$3/12,2),2))</f>
      </c>
      <c r="G550" s="33">
        <f>IF(AU549&lt;=0,0,ROUND(AU549+ROUND(AU549*AA$3/12,2),2))</f>
      </c>
      <c r="H550" s="33">
        <f>IF(AV549&lt;=0,0,ROUND(AV549+ROUND(AV549*AB$3/12,2),2))</f>
      </c>
      <c r="I550" s="33">
        <f>IF(AW549&lt;=0,0,ROUND(AW549+ROUND(AW549*AC$3/12,2),2))</f>
      </c>
      <c r="J550" s="33">
        <f>IF(AX549&lt;=0,0,ROUND(AX549+ROUND(AX549*AD$3/12,2),2))</f>
      </c>
      <c r="K550" s="33">
        <f>IF(AY549&lt;=0,0,ROUND(AY549+ROUND(AY549*AE$3/12,2),2))</f>
      </c>
      <c r="L550" s="33">
        <f>ROUND(MIN(MAX(0,N('Your debts'!$E$6)),B550),2)</f>
      </c>
      <c r="M550" s="33">
        <f>ROUND(MIN(MAX(0,N('Your debts'!$E$7)),C550),2)</f>
      </c>
      <c r="N550" s="33">
        <f>ROUND(MIN(MAX(0,N('Your debts'!$E$8)),D550),2)</f>
      </c>
      <c r="O550" s="33">
        <f>ROUND(MIN(MAX(0,N('Your debts'!$E$9)),E550),2)</f>
      </c>
      <c r="P550" s="33">
        <f>ROUND(MIN(MAX(0,N('Your debts'!$E$10)),F550),2)</f>
      </c>
      <c r="Q550" s="33">
        <f>ROUND(MIN(MAX(0,N('Your debts'!$E$11)),G550),2)</f>
      </c>
      <c r="R550" s="33">
        <f>ROUND(MIN(MAX(0,N('Your debts'!$E$12)),H550),2)</f>
      </c>
      <c r="S550" s="33">
        <f>ROUND(MIN(MAX(0,N('Your debts'!$E$13)),I550),2)</f>
      </c>
      <c r="T550" s="33">
        <f>ROUND(MIN(MAX(0,N('Your debts'!$E$14)),J550),2)</f>
      </c>
      <c r="U550" s="33">
        <f>ROUND(MIN(MAX(0,N('Your debts'!$E$15)),K550),2)</f>
      </c>
      <c r="V550" s="33">
        <f>ROUND(B550-L550,2)</f>
      </c>
      <c r="W550" s="33">
        <f>ROUND(C550-M550,2)</f>
      </c>
      <c r="X550" s="33">
        <f>ROUND(D550-N550,2)</f>
      </c>
      <c r="Y550" s="33">
        <f>ROUND(E550-O550,2)</f>
      </c>
      <c r="Z550" s="33">
        <f>ROUND(F550-P550,2)</f>
      </c>
      <c r="AA550" s="33">
        <f>ROUND(G550-Q550,2)</f>
      </c>
      <c r="AB550" s="33">
        <f>ROUND(H550-R550,2)</f>
      </c>
      <c r="AC550" s="33">
        <f>ROUND(I550-S550,2)</f>
      </c>
      <c r="AD550" s="33">
        <f>ROUND(J550-T550,2)</f>
      </c>
      <c r="AE550" s="33">
        <f>ROUND(K550-U550,2)</f>
      </c>
      <c r="AF550" s="33">
        <f>IF(V550&lt;=0,0,MAX(0,MIN(V550,ROUND($AZ550-SUMPRODUCT($V550:$AE550*($V550:$AE550&gt;0)*(($V$3:$AE$3&gt;V$3)+($V$3:$AE$3=V$3)*($V550:$AE550&lt;V550)+($V$3:$AE$3=V$3)*($V550:$AE550=V550)*($V$2:$AE$2&lt;V$2))),2))))</f>
      </c>
      <c r="AG550" s="33">
        <f>IF(W550&lt;=0,0,MAX(0,MIN(W550,ROUND($AZ550-SUMPRODUCT($V550:$AE550*($V550:$AE550&gt;0)*(($V$3:$AE$3&gt;W$3)+($V$3:$AE$3=W$3)*($V550:$AE550&lt;W550)+($V$3:$AE$3=W$3)*($V550:$AE550=W550)*($V$2:$AE$2&lt;W$2))),2))))</f>
      </c>
      <c r="AH550" s="33">
        <f>IF(X550&lt;=0,0,MAX(0,MIN(X550,ROUND($AZ550-SUMPRODUCT($V550:$AE550*($V550:$AE550&gt;0)*(($V$3:$AE$3&gt;X$3)+($V$3:$AE$3=X$3)*($V550:$AE550&lt;X550)+($V$3:$AE$3=X$3)*($V550:$AE550=X550)*($V$2:$AE$2&lt;X$2))),2))))</f>
      </c>
      <c r="AI550" s="33">
        <f>IF(Y550&lt;=0,0,MAX(0,MIN(Y550,ROUND($AZ550-SUMPRODUCT($V550:$AE550*($V550:$AE550&gt;0)*(($V$3:$AE$3&gt;Y$3)+($V$3:$AE$3=Y$3)*($V550:$AE550&lt;Y550)+($V$3:$AE$3=Y$3)*($V550:$AE550=Y550)*($V$2:$AE$2&lt;Y$2))),2))))</f>
      </c>
      <c r="AJ550" s="33">
        <f>IF(Z550&lt;=0,0,MAX(0,MIN(Z550,ROUND($AZ550-SUMPRODUCT($V550:$AE550*($V550:$AE550&gt;0)*(($V$3:$AE$3&gt;Z$3)+($V$3:$AE$3=Z$3)*($V550:$AE550&lt;Z550)+($V$3:$AE$3=Z$3)*($V550:$AE550=Z550)*($V$2:$AE$2&lt;Z$2))),2))))</f>
      </c>
      <c r="AK550" s="33">
        <f>IF(AA550&lt;=0,0,MAX(0,MIN(AA550,ROUND($AZ550-SUMPRODUCT($V550:$AE550*($V550:$AE550&gt;0)*(($V$3:$AE$3&gt;AA$3)+($V$3:$AE$3=AA$3)*($V550:$AE550&lt;AA550)+($V$3:$AE$3=AA$3)*($V550:$AE550=AA550)*($V$2:$AE$2&lt;AA$2))),2))))</f>
      </c>
      <c r="AL550" s="33">
        <f>IF(AB550&lt;=0,0,MAX(0,MIN(AB550,ROUND($AZ550-SUMPRODUCT($V550:$AE550*($V550:$AE550&gt;0)*(($V$3:$AE$3&gt;AB$3)+($V$3:$AE$3=AB$3)*($V550:$AE550&lt;AB550)+($V$3:$AE$3=AB$3)*($V550:$AE550=AB550)*($V$2:$AE$2&lt;AB$2))),2))))</f>
      </c>
      <c r="AM550" s="33">
        <f>IF(AC550&lt;=0,0,MAX(0,MIN(AC550,ROUND($AZ550-SUMPRODUCT($V550:$AE550*($V550:$AE550&gt;0)*(($V$3:$AE$3&gt;AC$3)+($V$3:$AE$3=AC$3)*($V550:$AE550&lt;AC550)+($V$3:$AE$3=AC$3)*($V550:$AE550=AC550)*($V$2:$AE$2&lt;AC$2))),2))))</f>
      </c>
      <c r="AN550" s="33">
        <f>IF(AD550&lt;=0,0,MAX(0,MIN(AD550,ROUND($AZ550-SUMPRODUCT($V550:$AE550*($V550:$AE550&gt;0)*(($V$3:$AE$3&gt;AD$3)+($V$3:$AE$3=AD$3)*($V550:$AE550&lt;AD550)+($V$3:$AE$3=AD$3)*($V550:$AE550=AD550)*($V$2:$AE$2&lt;AD$2))),2))))</f>
      </c>
      <c r="AO550" s="33">
        <f>IF(AE550&lt;=0,0,MAX(0,MIN(AE550,ROUND($AZ550-SUMPRODUCT($V550:$AE550*($V550:$AE550&gt;0)*(($V$3:$AE$3&gt;AE$3)+($V$3:$AE$3=AE$3)*($V550:$AE550&lt;AE550)+($V$3:$AE$3=AE$3)*($V550:$AE550=AE550)*($V$2:$AE$2&lt;AE$2))),2))))</f>
      </c>
      <c r="AP550" s="33">
        <f>ROUND(V550-AF550,2)</f>
      </c>
      <c r="AQ550" s="33">
        <f>ROUND(W550-AG550,2)</f>
      </c>
      <c r="AR550" s="33">
        <f>ROUND(X550-AH550,2)</f>
      </c>
      <c r="AS550" s="33">
        <f>ROUND(Y550-AI550,2)</f>
      </c>
      <c r="AT550" s="33">
        <f>ROUND(Z550-AJ550,2)</f>
      </c>
      <c r="AU550" s="33">
        <f>ROUND(AA550-AK550,2)</f>
      </c>
      <c r="AV550" s="33">
        <f>ROUND(AB550-AL550,2)</f>
      </c>
      <c r="AW550" s="33">
        <f>ROUND(AC550-AM550,2)</f>
      </c>
      <c r="AX550" s="33">
        <f>ROUND(AD550-AN550,2)</f>
      </c>
      <c r="AY550" s="33">
        <f>ROUND(AE550-AO550,2)</f>
      </c>
      <c r="AZ550" s="33">
        <f>ROUND(MAX(0,'Your debts'!$D$22-SUM($L550:$U550)),2)</f>
      </c>
      <c r="BA550" s="33">
        <f>ROUND(SUM($B550:$K550)-SUM($AP549:$AY549),2)</f>
      </c>
      <c r="BB550" s="33">
        <f>SUM($AP550:$AY550)</f>
      </c>
      <c r="BC550" s="33">
        <f>ROUND(SUM($L550:$U550)+SUM($AF550:$AO550),2)</f>
      </c>
    </row>
    <row r="551" spans="1:55" x14ac:dyDescent="0.25">
      <c r="A551">
        <v>544</v>
      </c>
      <c r="B551" s="33">
        <f>IF(AP550&lt;=0,0,ROUND(AP550+ROUND(AP550*V$3/12,2),2))</f>
      </c>
      <c r="C551" s="33">
        <f>IF(AQ550&lt;=0,0,ROUND(AQ550+ROUND(AQ550*W$3/12,2),2))</f>
      </c>
      <c r="D551" s="33">
        <f>IF(AR550&lt;=0,0,ROUND(AR550+ROUND(AR550*X$3/12,2),2))</f>
      </c>
      <c r="E551" s="33">
        <f>IF(AS550&lt;=0,0,ROUND(AS550+ROUND(AS550*Y$3/12,2),2))</f>
      </c>
      <c r="F551" s="33">
        <f>IF(AT550&lt;=0,0,ROUND(AT550+ROUND(AT550*Z$3/12,2),2))</f>
      </c>
      <c r="G551" s="33">
        <f>IF(AU550&lt;=0,0,ROUND(AU550+ROUND(AU550*AA$3/12,2),2))</f>
      </c>
      <c r="H551" s="33">
        <f>IF(AV550&lt;=0,0,ROUND(AV550+ROUND(AV550*AB$3/12,2),2))</f>
      </c>
      <c r="I551" s="33">
        <f>IF(AW550&lt;=0,0,ROUND(AW550+ROUND(AW550*AC$3/12,2),2))</f>
      </c>
      <c r="J551" s="33">
        <f>IF(AX550&lt;=0,0,ROUND(AX550+ROUND(AX550*AD$3/12,2),2))</f>
      </c>
      <c r="K551" s="33">
        <f>IF(AY550&lt;=0,0,ROUND(AY550+ROUND(AY550*AE$3/12,2),2))</f>
      </c>
      <c r="L551" s="33">
        <f>ROUND(MIN(MAX(0,N('Your debts'!$E$6)),B551),2)</f>
      </c>
      <c r="M551" s="33">
        <f>ROUND(MIN(MAX(0,N('Your debts'!$E$7)),C551),2)</f>
      </c>
      <c r="N551" s="33">
        <f>ROUND(MIN(MAX(0,N('Your debts'!$E$8)),D551),2)</f>
      </c>
      <c r="O551" s="33">
        <f>ROUND(MIN(MAX(0,N('Your debts'!$E$9)),E551),2)</f>
      </c>
      <c r="P551" s="33">
        <f>ROUND(MIN(MAX(0,N('Your debts'!$E$10)),F551),2)</f>
      </c>
      <c r="Q551" s="33">
        <f>ROUND(MIN(MAX(0,N('Your debts'!$E$11)),G551),2)</f>
      </c>
      <c r="R551" s="33">
        <f>ROUND(MIN(MAX(0,N('Your debts'!$E$12)),H551),2)</f>
      </c>
      <c r="S551" s="33">
        <f>ROUND(MIN(MAX(0,N('Your debts'!$E$13)),I551),2)</f>
      </c>
      <c r="T551" s="33">
        <f>ROUND(MIN(MAX(0,N('Your debts'!$E$14)),J551),2)</f>
      </c>
      <c r="U551" s="33">
        <f>ROUND(MIN(MAX(0,N('Your debts'!$E$15)),K551),2)</f>
      </c>
      <c r="V551" s="33">
        <f>ROUND(B551-L551,2)</f>
      </c>
      <c r="W551" s="33">
        <f>ROUND(C551-M551,2)</f>
      </c>
      <c r="X551" s="33">
        <f>ROUND(D551-N551,2)</f>
      </c>
      <c r="Y551" s="33">
        <f>ROUND(E551-O551,2)</f>
      </c>
      <c r="Z551" s="33">
        <f>ROUND(F551-P551,2)</f>
      </c>
      <c r="AA551" s="33">
        <f>ROUND(G551-Q551,2)</f>
      </c>
      <c r="AB551" s="33">
        <f>ROUND(H551-R551,2)</f>
      </c>
      <c r="AC551" s="33">
        <f>ROUND(I551-S551,2)</f>
      </c>
      <c r="AD551" s="33">
        <f>ROUND(J551-T551,2)</f>
      </c>
      <c r="AE551" s="33">
        <f>ROUND(K551-U551,2)</f>
      </c>
      <c r="AF551" s="33">
        <f>IF(V551&lt;=0,0,MAX(0,MIN(V551,ROUND($AZ551-SUMPRODUCT($V551:$AE551*($V551:$AE551&gt;0)*(($V$3:$AE$3&gt;V$3)+($V$3:$AE$3=V$3)*($V551:$AE551&lt;V551)+($V$3:$AE$3=V$3)*($V551:$AE551=V551)*($V$2:$AE$2&lt;V$2))),2))))</f>
      </c>
      <c r="AG551" s="33">
        <f>IF(W551&lt;=0,0,MAX(0,MIN(W551,ROUND($AZ551-SUMPRODUCT($V551:$AE551*($V551:$AE551&gt;0)*(($V$3:$AE$3&gt;W$3)+($V$3:$AE$3=W$3)*($V551:$AE551&lt;W551)+($V$3:$AE$3=W$3)*($V551:$AE551=W551)*($V$2:$AE$2&lt;W$2))),2))))</f>
      </c>
      <c r="AH551" s="33">
        <f>IF(X551&lt;=0,0,MAX(0,MIN(X551,ROUND($AZ551-SUMPRODUCT($V551:$AE551*($V551:$AE551&gt;0)*(($V$3:$AE$3&gt;X$3)+($V$3:$AE$3=X$3)*($V551:$AE551&lt;X551)+($V$3:$AE$3=X$3)*($V551:$AE551=X551)*($V$2:$AE$2&lt;X$2))),2))))</f>
      </c>
      <c r="AI551" s="33">
        <f>IF(Y551&lt;=0,0,MAX(0,MIN(Y551,ROUND($AZ551-SUMPRODUCT($V551:$AE551*($V551:$AE551&gt;0)*(($V$3:$AE$3&gt;Y$3)+($V$3:$AE$3=Y$3)*($V551:$AE551&lt;Y551)+($V$3:$AE$3=Y$3)*($V551:$AE551=Y551)*($V$2:$AE$2&lt;Y$2))),2))))</f>
      </c>
      <c r="AJ551" s="33">
        <f>IF(Z551&lt;=0,0,MAX(0,MIN(Z551,ROUND($AZ551-SUMPRODUCT($V551:$AE551*($V551:$AE551&gt;0)*(($V$3:$AE$3&gt;Z$3)+($V$3:$AE$3=Z$3)*($V551:$AE551&lt;Z551)+($V$3:$AE$3=Z$3)*($V551:$AE551=Z551)*($V$2:$AE$2&lt;Z$2))),2))))</f>
      </c>
      <c r="AK551" s="33">
        <f>IF(AA551&lt;=0,0,MAX(0,MIN(AA551,ROUND($AZ551-SUMPRODUCT($V551:$AE551*($V551:$AE551&gt;0)*(($V$3:$AE$3&gt;AA$3)+($V$3:$AE$3=AA$3)*($V551:$AE551&lt;AA551)+($V$3:$AE$3=AA$3)*($V551:$AE551=AA551)*($V$2:$AE$2&lt;AA$2))),2))))</f>
      </c>
      <c r="AL551" s="33">
        <f>IF(AB551&lt;=0,0,MAX(0,MIN(AB551,ROUND($AZ551-SUMPRODUCT($V551:$AE551*($V551:$AE551&gt;0)*(($V$3:$AE$3&gt;AB$3)+($V$3:$AE$3=AB$3)*($V551:$AE551&lt;AB551)+($V$3:$AE$3=AB$3)*($V551:$AE551=AB551)*($V$2:$AE$2&lt;AB$2))),2))))</f>
      </c>
      <c r="AM551" s="33">
        <f>IF(AC551&lt;=0,0,MAX(0,MIN(AC551,ROUND($AZ551-SUMPRODUCT($V551:$AE551*($V551:$AE551&gt;0)*(($V$3:$AE$3&gt;AC$3)+($V$3:$AE$3=AC$3)*($V551:$AE551&lt;AC551)+($V$3:$AE$3=AC$3)*($V551:$AE551=AC551)*($V$2:$AE$2&lt;AC$2))),2))))</f>
      </c>
      <c r="AN551" s="33">
        <f>IF(AD551&lt;=0,0,MAX(0,MIN(AD551,ROUND($AZ551-SUMPRODUCT($V551:$AE551*($V551:$AE551&gt;0)*(($V$3:$AE$3&gt;AD$3)+($V$3:$AE$3=AD$3)*($V551:$AE551&lt;AD551)+($V$3:$AE$3=AD$3)*($V551:$AE551=AD551)*($V$2:$AE$2&lt;AD$2))),2))))</f>
      </c>
      <c r="AO551" s="33">
        <f>IF(AE551&lt;=0,0,MAX(0,MIN(AE551,ROUND($AZ551-SUMPRODUCT($V551:$AE551*($V551:$AE551&gt;0)*(($V$3:$AE$3&gt;AE$3)+($V$3:$AE$3=AE$3)*($V551:$AE551&lt;AE551)+($V$3:$AE$3=AE$3)*($V551:$AE551=AE551)*($V$2:$AE$2&lt;AE$2))),2))))</f>
      </c>
      <c r="AP551" s="33">
        <f>ROUND(V551-AF551,2)</f>
      </c>
      <c r="AQ551" s="33">
        <f>ROUND(W551-AG551,2)</f>
      </c>
      <c r="AR551" s="33">
        <f>ROUND(X551-AH551,2)</f>
      </c>
      <c r="AS551" s="33">
        <f>ROUND(Y551-AI551,2)</f>
      </c>
      <c r="AT551" s="33">
        <f>ROUND(Z551-AJ551,2)</f>
      </c>
      <c r="AU551" s="33">
        <f>ROUND(AA551-AK551,2)</f>
      </c>
      <c r="AV551" s="33">
        <f>ROUND(AB551-AL551,2)</f>
      </c>
      <c r="AW551" s="33">
        <f>ROUND(AC551-AM551,2)</f>
      </c>
      <c r="AX551" s="33">
        <f>ROUND(AD551-AN551,2)</f>
      </c>
      <c r="AY551" s="33">
        <f>ROUND(AE551-AO551,2)</f>
      </c>
      <c r="AZ551" s="33">
        <f>ROUND(MAX(0,'Your debts'!$D$22-SUM($L551:$U551)),2)</f>
      </c>
      <c r="BA551" s="33">
        <f>ROUND(SUM($B551:$K551)-SUM($AP550:$AY550),2)</f>
      </c>
      <c r="BB551" s="33">
        <f>SUM($AP551:$AY551)</f>
      </c>
      <c r="BC551" s="33">
        <f>ROUND(SUM($L551:$U551)+SUM($AF551:$AO551),2)</f>
      </c>
    </row>
    <row r="552" spans="1:55" x14ac:dyDescent="0.25">
      <c r="A552">
        <v>545</v>
      </c>
      <c r="B552" s="33">
        <f>IF(AP551&lt;=0,0,ROUND(AP551+ROUND(AP551*V$3/12,2),2))</f>
      </c>
      <c r="C552" s="33">
        <f>IF(AQ551&lt;=0,0,ROUND(AQ551+ROUND(AQ551*W$3/12,2),2))</f>
      </c>
      <c r="D552" s="33">
        <f>IF(AR551&lt;=0,0,ROUND(AR551+ROUND(AR551*X$3/12,2),2))</f>
      </c>
      <c r="E552" s="33">
        <f>IF(AS551&lt;=0,0,ROUND(AS551+ROUND(AS551*Y$3/12,2),2))</f>
      </c>
      <c r="F552" s="33">
        <f>IF(AT551&lt;=0,0,ROUND(AT551+ROUND(AT551*Z$3/12,2),2))</f>
      </c>
      <c r="G552" s="33">
        <f>IF(AU551&lt;=0,0,ROUND(AU551+ROUND(AU551*AA$3/12,2),2))</f>
      </c>
      <c r="H552" s="33">
        <f>IF(AV551&lt;=0,0,ROUND(AV551+ROUND(AV551*AB$3/12,2),2))</f>
      </c>
      <c r="I552" s="33">
        <f>IF(AW551&lt;=0,0,ROUND(AW551+ROUND(AW551*AC$3/12,2),2))</f>
      </c>
      <c r="J552" s="33">
        <f>IF(AX551&lt;=0,0,ROUND(AX551+ROUND(AX551*AD$3/12,2),2))</f>
      </c>
      <c r="K552" s="33">
        <f>IF(AY551&lt;=0,0,ROUND(AY551+ROUND(AY551*AE$3/12,2),2))</f>
      </c>
      <c r="L552" s="33">
        <f>ROUND(MIN(MAX(0,N('Your debts'!$E$6)),B552),2)</f>
      </c>
      <c r="M552" s="33">
        <f>ROUND(MIN(MAX(0,N('Your debts'!$E$7)),C552),2)</f>
      </c>
      <c r="N552" s="33">
        <f>ROUND(MIN(MAX(0,N('Your debts'!$E$8)),D552),2)</f>
      </c>
      <c r="O552" s="33">
        <f>ROUND(MIN(MAX(0,N('Your debts'!$E$9)),E552),2)</f>
      </c>
      <c r="P552" s="33">
        <f>ROUND(MIN(MAX(0,N('Your debts'!$E$10)),F552),2)</f>
      </c>
      <c r="Q552" s="33">
        <f>ROUND(MIN(MAX(0,N('Your debts'!$E$11)),G552),2)</f>
      </c>
      <c r="R552" s="33">
        <f>ROUND(MIN(MAX(0,N('Your debts'!$E$12)),H552),2)</f>
      </c>
      <c r="S552" s="33">
        <f>ROUND(MIN(MAX(0,N('Your debts'!$E$13)),I552),2)</f>
      </c>
      <c r="T552" s="33">
        <f>ROUND(MIN(MAX(0,N('Your debts'!$E$14)),J552),2)</f>
      </c>
      <c r="U552" s="33">
        <f>ROUND(MIN(MAX(0,N('Your debts'!$E$15)),K552),2)</f>
      </c>
      <c r="V552" s="33">
        <f>ROUND(B552-L552,2)</f>
      </c>
      <c r="W552" s="33">
        <f>ROUND(C552-M552,2)</f>
      </c>
      <c r="X552" s="33">
        <f>ROUND(D552-N552,2)</f>
      </c>
      <c r="Y552" s="33">
        <f>ROUND(E552-O552,2)</f>
      </c>
      <c r="Z552" s="33">
        <f>ROUND(F552-P552,2)</f>
      </c>
      <c r="AA552" s="33">
        <f>ROUND(G552-Q552,2)</f>
      </c>
      <c r="AB552" s="33">
        <f>ROUND(H552-R552,2)</f>
      </c>
      <c r="AC552" s="33">
        <f>ROUND(I552-S552,2)</f>
      </c>
      <c r="AD552" s="33">
        <f>ROUND(J552-T552,2)</f>
      </c>
      <c r="AE552" s="33">
        <f>ROUND(K552-U552,2)</f>
      </c>
      <c r="AF552" s="33">
        <f>IF(V552&lt;=0,0,MAX(0,MIN(V552,ROUND($AZ552-SUMPRODUCT($V552:$AE552*($V552:$AE552&gt;0)*(($V$3:$AE$3&gt;V$3)+($V$3:$AE$3=V$3)*($V552:$AE552&lt;V552)+($V$3:$AE$3=V$3)*($V552:$AE552=V552)*($V$2:$AE$2&lt;V$2))),2))))</f>
      </c>
      <c r="AG552" s="33">
        <f>IF(W552&lt;=0,0,MAX(0,MIN(W552,ROUND($AZ552-SUMPRODUCT($V552:$AE552*($V552:$AE552&gt;0)*(($V$3:$AE$3&gt;W$3)+($V$3:$AE$3=W$3)*($V552:$AE552&lt;W552)+($V$3:$AE$3=W$3)*($V552:$AE552=W552)*($V$2:$AE$2&lt;W$2))),2))))</f>
      </c>
      <c r="AH552" s="33">
        <f>IF(X552&lt;=0,0,MAX(0,MIN(X552,ROUND($AZ552-SUMPRODUCT($V552:$AE552*($V552:$AE552&gt;0)*(($V$3:$AE$3&gt;X$3)+($V$3:$AE$3=X$3)*($V552:$AE552&lt;X552)+($V$3:$AE$3=X$3)*($V552:$AE552=X552)*($V$2:$AE$2&lt;X$2))),2))))</f>
      </c>
      <c r="AI552" s="33">
        <f>IF(Y552&lt;=0,0,MAX(0,MIN(Y552,ROUND($AZ552-SUMPRODUCT($V552:$AE552*($V552:$AE552&gt;0)*(($V$3:$AE$3&gt;Y$3)+($V$3:$AE$3=Y$3)*($V552:$AE552&lt;Y552)+($V$3:$AE$3=Y$3)*($V552:$AE552=Y552)*($V$2:$AE$2&lt;Y$2))),2))))</f>
      </c>
      <c r="AJ552" s="33">
        <f>IF(Z552&lt;=0,0,MAX(0,MIN(Z552,ROUND($AZ552-SUMPRODUCT($V552:$AE552*($V552:$AE552&gt;0)*(($V$3:$AE$3&gt;Z$3)+($V$3:$AE$3=Z$3)*($V552:$AE552&lt;Z552)+($V$3:$AE$3=Z$3)*($V552:$AE552=Z552)*($V$2:$AE$2&lt;Z$2))),2))))</f>
      </c>
      <c r="AK552" s="33">
        <f>IF(AA552&lt;=0,0,MAX(0,MIN(AA552,ROUND($AZ552-SUMPRODUCT($V552:$AE552*($V552:$AE552&gt;0)*(($V$3:$AE$3&gt;AA$3)+($V$3:$AE$3=AA$3)*($V552:$AE552&lt;AA552)+($V$3:$AE$3=AA$3)*($V552:$AE552=AA552)*($V$2:$AE$2&lt;AA$2))),2))))</f>
      </c>
      <c r="AL552" s="33">
        <f>IF(AB552&lt;=0,0,MAX(0,MIN(AB552,ROUND($AZ552-SUMPRODUCT($V552:$AE552*($V552:$AE552&gt;0)*(($V$3:$AE$3&gt;AB$3)+($V$3:$AE$3=AB$3)*($V552:$AE552&lt;AB552)+($V$3:$AE$3=AB$3)*($V552:$AE552=AB552)*($V$2:$AE$2&lt;AB$2))),2))))</f>
      </c>
      <c r="AM552" s="33">
        <f>IF(AC552&lt;=0,0,MAX(0,MIN(AC552,ROUND($AZ552-SUMPRODUCT($V552:$AE552*($V552:$AE552&gt;0)*(($V$3:$AE$3&gt;AC$3)+($V$3:$AE$3=AC$3)*($V552:$AE552&lt;AC552)+($V$3:$AE$3=AC$3)*($V552:$AE552=AC552)*($V$2:$AE$2&lt;AC$2))),2))))</f>
      </c>
      <c r="AN552" s="33">
        <f>IF(AD552&lt;=0,0,MAX(0,MIN(AD552,ROUND($AZ552-SUMPRODUCT($V552:$AE552*($V552:$AE552&gt;0)*(($V$3:$AE$3&gt;AD$3)+($V$3:$AE$3=AD$3)*($V552:$AE552&lt;AD552)+($V$3:$AE$3=AD$3)*($V552:$AE552=AD552)*($V$2:$AE$2&lt;AD$2))),2))))</f>
      </c>
      <c r="AO552" s="33">
        <f>IF(AE552&lt;=0,0,MAX(0,MIN(AE552,ROUND($AZ552-SUMPRODUCT($V552:$AE552*($V552:$AE552&gt;0)*(($V$3:$AE$3&gt;AE$3)+($V$3:$AE$3=AE$3)*($V552:$AE552&lt;AE552)+($V$3:$AE$3=AE$3)*($V552:$AE552=AE552)*($V$2:$AE$2&lt;AE$2))),2))))</f>
      </c>
      <c r="AP552" s="33">
        <f>ROUND(V552-AF552,2)</f>
      </c>
      <c r="AQ552" s="33">
        <f>ROUND(W552-AG552,2)</f>
      </c>
      <c r="AR552" s="33">
        <f>ROUND(X552-AH552,2)</f>
      </c>
      <c r="AS552" s="33">
        <f>ROUND(Y552-AI552,2)</f>
      </c>
      <c r="AT552" s="33">
        <f>ROUND(Z552-AJ552,2)</f>
      </c>
      <c r="AU552" s="33">
        <f>ROUND(AA552-AK552,2)</f>
      </c>
      <c r="AV552" s="33">
        <f>ROUND(AB552-AL552,2)</f>
      </c>
      <c r="AW552" s="33">
        <f>ROUND(AC552-AM552,2)</f>
      </c>
      <c r="AX552" s="33">
        <f>ROUND(AD552-AN552,2)</f>
      </c>
      <c r="AY552" s="33">
        <f>ROUND(AE552-AO552,2)</f>
      </c>
      <c r="AZ552" s="33">
        <f>ROUND(MAX(0,'Your debts'!$D$22-SUM($L552:$U552)),2)</f>
      </c>
      <c r="BA552" s="33">
        <f>ROUND(SUM($B552:$K552)-SUM($AP551:$AY551),2)</f>
      </c>
      <c r="BB552" s="33">
        <f>SUM($AP552:$AY552)</f>
      </c>
      <c r="BC552" s="33">
        <f>ROUND(SUM($L552:$U552)+SUM($AF552:$AO552),2)</f>
      </c>
    </row>
    <row r="553" spans="1:55" x14ac:dyDescent="0.25">
      <c r="A553">
        <v>546</v>
      </c>
      <c r="B553" s="33">
        <f>IF(AP552&lt;=0,0,ROUND(AP552+ROUND(AP552*V$3/12,2),2))</f>
      </c>
      <c r="C553" s="33">
        <f>IF(AQ552&lt;=0,0,ROUND(AQ552+ROUND(AQ552*W$3/12,2),2))</f>
      </c>
      <c r="D553" s="33">
        <f>IF(AR552&lt;=0,0,ROUND(AR552+ROUND(AR552*X$3/12,2),2))</f>
      </c>
      <c r="E553" s="33">
        <f>IF(AS552&lt;=0,0,ROUND(AS552+ROUND(AS552*Y$3/12,2),2))</f>
      </c>
      <c r="F553" s="33">
        <f>IF(AT552&lt;=0,0,ROUND(AT552+ROUND(AT552*Z$3/12,2),2))</f>
      </c>
      <c r="G553" s="33">
        <f>IF(AU552&lt;=0,0,ROUND(AU552+ROUND(AU552*AA$3/12,2),2))</f>
      </c>
      <c r="H553" s="33">
        <f>IF(AV552&lt;=0,0,ROUND(AV552+ROUND(AV552*AB$3/12,2),2))</f>
      </c>
      <c r="I553" s="33">
        <f>IF(AW552&lt;=0,0,ROUND(AW552+ROUND(AW552*AC$3/12,2),2))</f>
      </c>
      <c r="J553" s="33">
        <f>IF(AX552&lt;=0,0,ROUND(AX552+ROUND(AX552*AD$3/12,2),2))</f>
      </c>
      <c r="K553" s="33">
        <f>IF(AY552&lt;=0,0,ROUND(AY552+ROUND(AY552*AE$3/12,2),2))</f>
      </c>
      <c r="L553" s="33">
        <f>ROUND(MIN(MAX(0,N('Your debts'!$E$6)),B553),2)</f>
      </c>
      <c r="M553" s="33">
        <f>ROUND(MIN(MAX(0,N('Your debts'!$E$7)),C553),2)</f>
      </c>
      <c r="N553" s="33">
        <f>ROUND(MIN(MAX(0,N('Your debts'!$E$8)),D553),2)</f>
      </c>
      <c r="O553" s="33">
        <f>ROUND(MIN(MAX(0,N('Your debts'!$E$9)),E553),2)</f>
      </c>
      <c r="P553" s="33">
        <f>ROUND(MIN(MAX(0,N('Your debts'!$E$10)),F553),2)</f>
      </c>
      <c r="Q553" s="33">
        <f>ROUND(MIN(MAX(0,N('Your debts'!$E$11)),G553),2)</f>
      </c>
      <c r="R553" s="33">
        <f>ROUND(MIN(MAX(0,N('Your debts'!$E$12)),H553),2)</f>
      </c>
      <c r="S553" s="33">
        <f>ROUND(MIN(MAX(0,N('Your debts'!$E$13)),I553),2)</f>
      </c>
      <c r="T553" s="33">
        <f>ROUND(MIN(MAX(0,N('Your debts'!$E$14)),J553),2)</f>
      </c>
      <c r="U553" s="33">
        <f>ROUND(MIN(MAX(0,N('Your debts'!$E$15)),K553),2)</f>
      </c>
      <c r="V553" s="33">
        <f>ROUND(B553-L553,2)</f>
      </c>
      <c r="W553" s="33">
        <f>ROUND(C553-M553,2)</f>
      </c>
      <c r="X553" s="33">
        <f>ROUND(D553-N553,2)</f>
      </c>
      <c r="Y553" s="33">
        <f>ROUND(E553-O553,2)</f>
      </c>
      <c r="Z553" s="33">
        <f>ROUND(F553-P553,2)</f>
      </c>
      <c r="AA553" s="33">
        <f>ROUND(G553-Q553,2)</f>
      </c>
      <c r="AB553" s="33">
        <f>ROUND(H553-R553,2)</f>
      </c>
      <c r="AC553" s="33">
        <f>ROUND(I553-S553,2)</f>
      </c>
      <c r="AD553" s="33">
        <f>ROUND(J553-T553,2)</f>
      </c>
      <c r="AE553" s="33">
        <f>ROUND(K553-U553,2)</f>
      </c>
      <c r="AF553" s="33">
        <f>IF(V553&lt;=0,0,MAX(0,MIN(V553,ROUND($AZ553-SUMPRODUCT($V553:$AE553*($V553:$AE553&gt;0)*(($V$3:$AE$3&gt;V$3)+($V$3:$AE$3=V$3)*($V553:$AE553&lt;V553)+($V$3:$AE$3=V$3)*($V553:$AE553=V553)*($V$2:$AE$2&lt;V$2))),2))))</f>
      </c>
      <c r="AG553" s="33">
        <f>IF(W553&lt;=0,0,MAX(0,MIN(W553,ROUND($AZ553-SUMPRODUCT($V553:$AE553*($V553:$AE553&gt;0)*(($V$3:$AE$3&gt;W$3)+($V$3:$AE$3=W$3)*($V553:$AE553&lt;W553)+($V$3:$AE$3=W$3)*($V553:$AE553=W553)*($V$2:$AE$2&lt;W$2))),2))))</f>
      </c>
      <c r="AH553" s="33">
        <f>IF(X553&lt;=0,0,MAX(0,MIN(X553,ROUND($AZ553-SUMPRODUCT($V553:$AE553*($V553:$AE553&gt;0)*(($V$3:$AE$3&gt;X$3)+($V$3:$AE$3=X$3)*($V553:$AE553&lt;X553)+($V$3:$AE$3=X$3)*($V553:$AE553=X553)*($V$2:$AE$2&lt;X$2))),2))))</f>
      </c>
      <c r="AI553" s="33">
        <f>IF(Y553&lt;=0,0,MAX(0,MIN(Y553,ROUND($AZ553-SUMPRODUCT($V553:$AE553*($V553:$AE553&gt;0)*(($V$3:$AE$3&gt;Y$3)+($V$3:$AE$3=Y$3)*($V553:$AE553&lt;Y553)+($V$3:$AE$3=Y$3)*($V553:$AE553=Y553)*($V$2:$AE$2&lt;Y$2))),2))))</f>
      </c>
      <c r="AJ553" s="33">
        <f>IF(Z553&lt;=0,0,MAX(0,MIN(Z553,ROUND($AZ553-SUMPRODUCT($V553:$AE553*($V553:$AE553&gt;0)*(($V$3:$AE$3&gt;Z$3)+($V$3:$AE$3=Z$3)*($V553:$AE553&lt;Z553)+($V$3:$AE$3=Z$3)*($V553:$AE553=Z553)*($V$2:$AE$2&lt;Z$2))),2))))</f>
      </c>
      <c r="AK553" s="33">
        <f>IF(AA553&lt;=0,0,MAX(0,MIN(AA553,ROUND($AZ553-SUMPRODUCT($V553:$AE553*($V553:$AE553&gt;0)*(($V$3:$AE$3&gt;AA$3)+($V$3:$AE$3=AA$3)*($V553:$AE553&lt;AA553)+($V$3:$AE$3=AA$3)*($V553:$AE553=AA553)*($V$2:$AE$2&lt;AA$2))),2))))</f>
      </c>
      <c r="AL553" s="33">
        <f>IF(AB553&lt;=0,0,MAX(0,MIN(AB553,ROUND($AZ553-SUMPRODUCT($V553:$AE553*($V553:$AE553&gt;0)*(($V$3:$AE$3&gt;AB$3)+($V$3:$AE$3=AB$3)*($V553:$AE553&lt;AB553)+($V$3:$AE$3=AB$3)*($V553:$AE553=AB553)*($V$2:$AE$2&lt;AB$2))),2))))</f>
      </c>
      <c r="AM553" s="33">
        <f>IF(AC553&lt;=0,0,MAX(0,MIN(AC553,ROUND($AZ553-SUMPRODUCT($V553:$AE553*($V553:$AE553&gt;0)*(($V$3:$AE$3&gt;AC$3)+($V$3:$AE$3=AC$3)*($V553:$AE553&lt;AC553)+($V$3:$AE$3=AC$3)*($V553:$AE553=AC553)*($V$2:$AE$2&lt;AC$2))),2))))</f>
      </c>
      <c r="AN553" s="33">
        <f>IF(AD553&lt;=0,0,MAX(0,MIN(AD553,ROUND($AZ553-SUMPRODUCT($V553:$AE553*($V553:$AE553&gt;0)*(($V$3:$AE$3&gt;AD$3)+($V$3:$AE$3=AD$3)*($V553:$AE553&lt;AD553)+($V$3:$AE$3=AD$3)*($V553:$AE553=AD553)*($V$2:$AE$2&lt;AD$2))),2))))</f>
      </c>
      <c r="AO553" s="33">
        <f>IF(AE553&lt;=0,0,MAX(0,MIN(AE553,ROUND($AZ553-SUMPRODUCT($V553:$AE553*($V553:$AE553&gt;0)*(($V$3:$AE$3&gt;AE$3)+($V$3:$AE$3=AE$3)*($V553:$AE553&lt;AE553)+($V$3:$AE$3=AE$3)*($V553:$AE553=AE553)*($V$2:$AE$2&lt;AE$2))),2))))</f>
      </c>
      <c r="AP553" s="33">
        <f>ROUND(V553-AF553,2)</f>
      </c>
      <c r="AQ553" s="33">
        <f>ROUND(W553-AG553,2)</f>
      </c>
      <c r="AR553" s="33">
        <f>ROUND(X553-AH553,2)</f>
      </c>
      <c r="AS553" s="33">
        <f>ROUND(Y553-AI553,2)</f>
      </c>
      <c r="AT553" s="33">
        <f>ROUND(Z553-AJ553,2)</f>
      </c>
      <c r="AU553" s="33">
        <f>ROUND(AA553-AK553,2)</f>
      </c>
      <c r="AV553" s="33">
        <f>ROUND(AB553-AL553,2)</f>
      </c>
      <c r="AW553" s="33">
        <f>ROUND(AC553-AM553,2)</f>
      </c>
      <c r="AX553" s="33">
        <f>ROUND(AD553-AN553,2)</f>
      </c>
      <c r="AY553" s="33">
        <f>ROUND(AE553-AO553,2)</f>
      </c>
      <c r="AZ553" s="33">
        <f>ROUND(MAX(0,'Your debts'!$D$22-SUM($L553:$U553)),2)</f>
      </c>
      <c r="BA553" s="33">
        <f>ROUND(SUM($B553:$K553)-SUM($AP552:$AY552),2)</f>
      </c>
      <c r="BB553" s="33">
        <f>SUM($AP553:$AY553)</f>
      </c>
      <c r="BC553" s="33">
        <f>ROUND(SUM($L553:$U553)+SUM($AF553:$AO553),2)</f>
      </c>
    </row>
    <row r="554" spans="1:55" x14ac:dyDescent="0.25">
      <c r="A554">
        <v>547</v>
      </c>
      <c r="B554" s="33">
        <f>IF(AP553&lt;=0,0,ROUND(AP553+ROUND(AP553*V$3/12,2),2))</f>
      </c>
      <c r="C554" s="33">
        <f>IF(AQ553&lt;=0,0,ROUND(AQ553+ROUND(AQ553*W$3/12,2),2))</f>
      </c>
      <c r="D554" s="33">
        <f>IF(AR553&lt;=0,0,ROUND(AR553+ROUND(AR553*X$3/12,2),2))</f>
      </c>
      <c r="E554" s="33">
        <f>IF(AS553&lt;=0,0,ROUND(AS553+ROUND(AS553*Y$3/12,2),2))</f>
      </c>
      <c r="F554" s="33">
        <f>IF(AT553&lt;=0,0,ROUND(AT553+ROUND(AT553*Z$3/12,2),2))</f>
      </c>
      <c r="G554" s="33">
        <f>IF(AU553&lt;=0,0,ROUND(AU553+ROUND(AU553*AA$3/12,2),2))</f>
      </c>
      <c r="H554" s="33">
        <f>IF(AV553&lt;=0,0,ROUND(AV553+ROUND(AV553*AB$3/12,2),2))</f>
      </c>
      <c r="I554" s="33">
        <f>IF(AW553&lt;=0,0,ROUND(AW553+ROUND(AW553*AC$3/12,2),2))</f>
      </c>
      <c r="J554" s="33">
        <f>IF(AX553&lt;=0,0,ROUND(AX553+ROUND(AX553*AD$3/12,2),2))</f>
      </c>
      <c r="K554" s="33">
        <f>IF(AY553&lt;=0,0,ROUND(AY553+ROUND(AY553*AE$3/12,2),2))</f>
      </c>
      <c r="L554" s="33">
        <f>ROUND(MIN(MAX(0,N('Your debts'!$E$6)),B554),2)</f>
      </c>
      <c r="M554" s="33">
        <f>ROUND(MIN(MAX(0,N('Your debts'!$E$7)),C554),2)</f>
      </c>
      <c r="N554" s="33">
        <f>ROUND(MIN(MAX(0,N('Your debts'!$E$8)),D554),2)</f>
      </c>
      <c r="O554" s="33">
        <f>ROUND(MIN(MAX(0,N('Your debts'!$E$9)),E554),2)</f>
      </c>
      <c r="P554" s="33">
        <f>ROUND(MIN(MAX(0,N('Your debts'!$E$10)),F554),2)</f>
      </c>
      <c r="Q554" s="33">
        <f>ROUND(MIN(MAX(0,N('Your debts'!$E$11)),G554),2)</f>
      </c>
      <c r="R554" s="33">
        <f>ROUND(MIN(MAX(0,N('Your debts'!$E$12)),H554),2)</f>
      </c>
      <c r="S554" s="33">
        <f>ROUND(MIN(MAX(0,N('Your debts'!$E$13)),I554),2)</f>
      </c>
      <c r="T554" s="33">
        <f>ROUND(MIN(MAX(0,N('Your debts'!$E$14)),J554),2)</f>
      </c>
      <c r="U554" s="33">
        <f>ROUND(MIN(MAX(0,N('Your debts'!$E$15)),K554),2)</f>
      </c>
      <c r="V554" s="33">
        <f>ROUND(B554-L554,2)</f>
      </c>
      <c r="W554" s="33">
        <f>ROUND(C554-M554,2)</f>
      </c>
      <c r="X554" s="33">
        <f>ROUND(D554-N554,2)</f>
      </c>
      <c r="Y554" s="33">
        <f>ROUND(E554-O554,2)</f>
      </c>
      <c r="Z554" s="33">
        <f>ROUND(F554-P554,2)</f>
      </c>
      <c r="AA554" s="33">
        <f>ROUND(G554-Q554,2)</f>
      </c>
      <c r="AB554" s="33">
        <f>ROUND(H554-R554,2)</f>
      </c>
      <c r="AC554" s="33">
        <f>ROUND(I554-S554,2)</f>
      </c>
      <c r="AD554" s="33">
        <f>ROUND(J554-T554,2)</f>
      </c>
      <c r="AE554" s="33">
        <f>ROUND(K554-U554,2)</f>
      </c>
      <c r="AF554" s="33">
        <f>IF(V554&lt;=0,0,MAX(0,MIN(V554,ROUND($AZ554-SUMPRODUCT($V554:$AE554*($V554:$AE554&gt;0)*(($V$3:$AE$3&gt;V$3)+($V$3:$AE$3=V$3)*($V554:$AE554&lt;V554)+($V$3:$AE$3=V$3)*($V554:$AE554=V554)*($V$2:$AE$2&lt;V$2))),2))))</f>
      </c>
      <c r="AG554" s="33">
        <f>IF(W554&lt;=0,0,MAX(0,MIN(W554,ROUND($AZ554-SUMPRODUCT($V554:$AE554*($V554:$AE554&gt;0)*(($V$3:$AE$3&gt;W$3)+($V$3:$AE$3=W$3)*($V554:$AE554&lt;W554)+($V$3:$AE$3=W$3)*($V554:$AE554=W554)*($V$2:$AE$2&lt;W$2))),2))))</f>
      </c>
      <c r="AH554" s="33">
        <f>IF(X554&lt;=0,0,MAX(0,MIN(X554,ROUND($AZ554-SUMPRODUCT($V554:$AE554*($V554:$AE554&gt;0)*(($V$3:$AE$3&gt;X$3)+($V$3:$AE$3=X$3)*($V554:$AE554&lt;X554)+($V$3:$AE$3=X$3)*($V554:$AE554=X554)*($V$2:$AE$2&lt;X$2))),2))))</f>
      </c>
      <c r="AI554" s="33">
        <f>IF(Y554&lt;=0,0,MAX(0,MIN(Y554,ROUND($AZ554-SUMPRODUCT($V554:$AE554*($V554:$AE554&gt;0)*(($V$3:$AE$3&gt;Y$3)+($V$3:$AE$3=Y$3)*($V554:$AE554&lt;Y554)+($V$3:$AE$3=Y$3)*($V554:$AE554=Y554)*($V$2:$AE$2&lt;Y$2))),2))))</f>
      </c>
      <c r="AJ554" s="33">
        <f>IF(Z554&lt;=0,0,MAX(0,MIN(Z554,ROUND($AZ554-SUMPRODUCT($V554:$AE554*($V554:$AE554&gt;0)*(($V$3:$AE$3&gt;Z$3)+($V$3:$AE$3=Z$3)*($V554:$AE554&lt;Z554)+($V$3:$AE$3=Z$3)*($V554:$AE554=Z554)*($V$2:$AE$2&lt;Z$2))),2))))</f>
      </c>
      <c r="AK554" s="33">
        <f>IF(AA554&lt;=0,0,MAX(0,MIN(AA554,ROUND($AZ554-SUMPRODUCT($V554:$AE554*($V554:$AE554&gt;0)*(($V$3:$AE$3&gt;AA$3)+($V$3:$AE$3=AA$3)*($V554:$AE554&lt;AA554)+($V$3:$AE$3=AA$3)*($V554:$AE554=AA554)*($V$2:$AE$2&lt;AA$2))),2))))</f>
      </c>
      <c r="AL554" s="33">
        <f>IF(AB554&lt;=0,0,MAX(0,MIN(AB554,ROUND($AZ554-SUMPRODUCT($V554:$AE554*($V554:$AE554&gt;0)*(($V$3:$AE$3&gt;AB$3)+($V$3:$AE$3=AB$3)*($V554:$AE554&lt;AB554)+($V$3:$AE$3=AB$3)*($V554:$AE554=AB554)*($V$2:$AE$2&lt;AB$2))),2))))</f>
      </c>
      <c r="AM554" s="33">
        <f>IF(AC554&lt;=0,0,MAX(0,MIN(AC554,ROUND($AZ554-SUMPRODUCT($V554:$AE554*($V554:$AE554&gt;0)*(($V$3:$AE$3&gt;AC$3)+($V$3:$AE$3=AC$3)*($V554:$AE554&lt;AC554)+($V$3:$AE$3=AC$3)*($V554:$AE554=AC554)*($V$2:$AE$2&lt;AC$2))),2))))</f>
      </c>
      <c r="AN554" s="33">
        <f>IF(AD554&lt;=0,0,MAX(0,MIN(AD554,ROUND($AZ554-SUMPRODUCT($V554:$AE554*($V554:$AE554&gt;0)*(($V$3:$AE$3&gt;AD$3)+($V$3:$AE$3=AD$3)*($V554:$AE554&lt;AD554)+($V$3:$AE$3=AD$3)*($V554:$AE554=AD554)*($V$2:$AE$2&lt;AD$2))),2))))</f>
      </c>
      <c r="AO554" s="33">
        <f>IF(AE554&lt;=0,0,MAX(0,MIN(AE554,ROUND($AZ554-SUMPRODUCT($V554:$AE554*($V554:$AE554&gt;0)*(($V$3:$AE$3&gt;AE$3)+($V$3:$AE$3=AE$3)*($V554:$AE554&lt;AE554)+($V$3:$AE$3=AE$3)*($V554:$AE554=AE554)*($V$2:$AE$2&lt;AE$2))),2))))</f>
      </c>
      <c r="AP554" s="33">
        <f>ROUND(V554-AF554,2)</f>
      </c>
      <c r="AQ554" s="33">
        <f>ROUND(W554-AG554,2)</f>
      </c>
      <c r="AR554" s="33">
        <f>ROUND(X554-AH554,2)</f>
      </c>
      <c r="AS554" s="33">
        <f>ROUND(Y554-AI554,2)</f>
      </c>
      <c r="AT554" s="33">
        <f>ROUND(Z554-AJ554,2)</f>
      </c>
      <c r="AU554" s="33">
        <f>ROUND(AA554-AK554,2)</f>
      </c>
      <c r="AV554" s="33">
        <f>ROUND(AB554-AL554,2)</f>
      </c>
      <c r="AW554" s="33">
        <f>ROUND(AC554-AM554,2)</f>
      </c>
      <c r="AX554" s="33">
        <f>ROUND(AD554-AN554,2)</f>
      </c>
      <c r="AY554" s="33">
        <f>ROUND(AE554-AO554,2)</f>
      </c>
      <c r="AZ554" s="33">
        <f>ROUND(MAX(0,'Your debts'!$D$22-SUM($L554:$U554)),2)</f>
      </c>
      <c r="BA554" s="33">
        <f>ROUND(SUM($B554:$K554)-SUM($AP553:$AY553),2)</f>
      </c>
      <c r="BB554" s="33">
        <f>SUM($AP554:$AY554)</f>
      </c>
      <c r="BC554" s="33">
        <f>ROUND(SUM($L554:$U554)+SUM($AF554:$AO554),2)</f>
      </c>
    </row>
    <row r="555" spans="1:55" x14ac:dyDescent="0.25">
      <c r="A555">
        <v>548</v>
      </c>
      <c r="B555" s="33">
        <f>IF(AP554&lt;=0,0,ROUND(AP554+ROUND(AP554*V$3/12,2),2))</f>
      </c>
      <c r="C555" s="33">
        <f>IF(AQ554&lt;=0,0,ROUND(AQ554+ROUND(AQ554*W$3/12,2),2))</f>
      </c>
      <c r="D555" s="33">
        <f>IF(AR554&lt;=0,0,ROUND(AR554+ROUND(AR554*X$3/12,2),2))</f>
      </c>
      <c r="E555" s="33">
        <f>IF(AS554&lt;=0,0,ROUND(AS554+ROUND(AS554*Y$3/12,2),2))</f>
      </c>
      <c r="F555" s="33">
        <f>IF(AT554&lt;=0,0,ROUND(AT554+ROUND(AT554*Z$3/12,2),2))</f>
      </c>
      <c r="G555" s="33">
        <f>IF(AU554&lt;=0,0,ROUND(AU554+ROUND(AU554*AA$3/12,2),2))</f>
      </c>
      <c r="H555" s="33">
        <f>IF(AV554&lt;=0,0,ROUND(AV554+ROUND(AV554*AB$3/12,2),2))</f>
      </c>
      <c r="I555" s="33">
        <f>IF(AW554&lt;=0,0,ROUND(AW554+ROUND(AW554*AC$3/12,2),2))</f>
      </c>
      <c r="J555" s="33">
        <f>IF(AX554&lt;=0,0,ROUND(AX554+ROUND(AX554*AD$3/12,2),2))</f>
      </c>
      <c r="K555" s="33">
        <f>IF(AY554&lt;=0,0,ROUND(AY554+ROUND(AY554*AE$3/12,2),2))</f>
      </c>
      <c r="L555" s="33">
        <f>ROUND(MIN(MAX(0,N('Your debts'!$E$6)),B555),2)</f>
      </c>
      <c r="M555" s="33">
        <f>ROUND(MIN(MAX(0,N('Your debts'!$E$7)),C555),2)</f>
      </c>
      <c r="N555" s="33">
        <f>ROUND(MIN(MAX(0,N('Your debts'!$E$8)),D555),2)</f>
      </c>
      <c r="O555" s="33">
        <f>ROUND(MIN(MAX(0,N('Your debts'!$E$9)),E555),2)</f>
      </c>
      <c r="P555" s="33">
        <f>ROUND(MIN(MAX(0,N('Your debts'!$E$10)),F555),2)</f>
      </c>
      <c r="Q555" s="33">
        <f>ROUND(MIN(MAX(0,N('Your debts'!$E$11)),G555),2)</f>
      </c>
      <c r="R555" s="33">
        <f>ROUND(MIN(MAX(0,N('Your debts'!$E$12)),H555),2)</f>
      </c>
      <c r="S555" s="33">
        <f>ROUND(MIN(MAX(0,N('Your debts'!$E$13)),I555),2)</f>
      </c>
      <c r="T555" s="33">
        <f>ROUND(MIN(MAX(0,N('Your debts'!$E$14)),J555),2)</f>
      </c>
      <c r="U555" s="33">
        <f>ROUND(MIN(MAX(0,N('Your debts'!$E$15)),K555),2)</f>
      </c>
      <c r="V555" s="33">
        <f>ROUND(B555-L555,2)</f>
      </c>
      <c r="W555" s="33">
        <f>ROUND(C555-M555,2)</f>
      </c>
      <c r="X555" s="33">
        <f>ROUND(D555-N555,2)</f>
      </c>
      <c r="Y555" s="33">
        <f>ROUND(E555-O555,2)</f>
      </c>
      <c r="Z555" s="33">
        <f>ROUND(F555-P555,2)</f>
      </c>
      <c r="AA555" s="33">
        <f>ROUND(G555-Q555,2)</f>
      </c>
      <c r="AB555" s="33">
        <f>ROUND(H555-R555,2)</f>
      </c>
      <c r="AC555" s="33">
        <f>ROUND(I555-S555,2)</f>
      </c>
      <c r="AD555" s="33">
        <f>ROUND(J555-T555,2)</f>
      </c>
      <c r="AE555" s="33">
        <f>ROUND(K555-U555,2)</f>
      </c>
      <c r="AF555" s="33">
        <f>IF(V555&lt;=0,0,MAX(0,MIN(V555,ROUND($AZ555-SUMPRODUCT($V555:$AE555*($V555:$AE555&gt;0)*(($V$3:$AE$3&gt;V$3)+($V$3:$AE$3=V$3)*($V555:$AE555&lt;V555)+($V$3:$AE$3=V$3)*($V555:$AE555=V555)*($V$2:$AE$2&lt;V$2))),2))))</f>
      </c>
      <c r="AG555" s="33">
        <f>IF(W555&lt;=0,0,MAX(0,MIN(W555,ROUND($AZ555-SUMPRODUCT($V555:$AE555*($V555:$AE555&gt;0)*(($V$3:$AE$3&gt;W$3)+($V$3:$AE$3=W$3)*($V555:$AE555&lt;W555)+($V$3:$AE$3=W$3)*($V555:$AE555=W555)*($V$2:$AE$2&lt;W$2))),2))))</f>
      </c>
      <c r="AH555" s="33">
        <f>IF(X555&lt;=0,0,MAX(0,MIN(X555,ROUND($AZ555-SUMPRODUCT($V555:$AE555*($V555:$AE555&gt;0)*(($V$3:$AE$3&gt;X$3)+($V$3:$AE$3=X$3)*($V555:$AE555&lt;X555)+($V$3:$AE$3=X$3)*($V555:$AE555=X555)*($V$2:$AE$2&lt;X$2))),2))))</f>
      </c>
      <c r="AI555" s="33">
        <f>IF(Y555&lt;=0,0,MAX(0,MIN(Y555,ROUND($AZ555-SUMPRODUCT($V555:$AE555*($V555:$AE555&gt;0)*(($V$3:$AE$3&gt;Y$3)+($V$3:$AE$3=Y$3)*($V555:$AE555&lt;Y555)+($V$3:$AE$3=Y$3)*($V555:$AE555=Y555)*($V$2:$AE$2&lt;Y$2))),2))))</f>
      </c>
      <c r="AJ555" s="33">
        <f>IF(Z555&lt;=0,0,MAX(0,MIN(Z555,ROUND($AZ555-SUMPRODUCT($V555:$AE555*($V555:$AE555&gt;0)*(($V$3:$AE$3&gt;Z$3)+($V$3:$AE$3=Z$3)*($V555:$AE555&lt;Z555)+($V$3:$AE$3=Z$3)*($V555:$AE555=Z555)*($V$2:$AE$2&lt;Z$2))),2))))</f>
      </c>
      <c r="AK555" s="33">
        <f>IF(AA555&lt;=0,0,MAX(0,MIN(AA555,ROUND($AZ555-SUMPRODUCT($V555:$AE555*($V555:$AE555&gt;0)*(($V$3:$AE$3&gt;AA$3)+($V$3:$AE$3=AA$3)*($V555:$AE555&lt;AA555)+($V$3:$AE$3=AA$3)*($V555:$AE555=AA555)*($V$2:$AE$2&lt;AA$2))),2))))</f>
      </c>
      <c r="AL555" s="33">
        <f>IF(AB555&lt;=0,0,MAX(0,MIN(AB555,ROUND($AZ555-SUMPRODUCT($V555:$AE555*($V555:$AE555&gt;0)*(($V$3:$AE$3&gt;AB$3)+($V$3:$AE$3=AB$3)*($V555:$AE555&lt;AB555)+($V$3:$AE$3=AB$3)*($V555:$AE555=AB555)*($V$2:$AE$2&lt;AB$2))),2))))</f>
      </c>
      <c r="AM555" s="33">
        <f>IF(AC555&lt;=0,0,MAX(0,MIN(AC555,ROUND($AZ555-SUMPRODUCT($V555:$AE555*($V555:$AE555&gt;0)*(($V$3:$AE$3&gt;AC$3)+($V$3:$AE$3=AC$3)*($V555:$AE555&lt;AC555)+($V$3:$AE$3=AC$3)*($V555:$AE555=AC555)*($V$2:$AE$2&lt;AC$2))),2))))</f>
      </c>
      <c r="AN555" s="33">
        <f>IF(AD555&lt;=0,0,MAX(0,MIN(AD555,ROUND($AZ555-SUMPRODUCT($V555:$AE555*($V555:$AE555&gt;0)*(($V$3:$AE$3&gt;AD$3)+($V$3:$AE$3=AD$3)*($V555:$AE555&lt;AD555)+($V$3:$AE$3=AD$3)*($V555:$AE555=AD555)*($V$2:$AE$2&lt;AD$2))),2))))</f>
      </c>
      <c r="AO555" s="33">
        <f>IF(AE555&lt;=0,0,MAX(0,MIN(AE555,ROUND($AZ555-SUMPRODUCT($V555:$AE555*($V555:$AE555&gt;0)*(($V$3:$AE$3&gt;AE$3)+($V$3:$AE$3=AE$3)*($V555:$AE555&lt;AE555)+($V$3:$AE$3=AE$3)*($V555:$AE555=AE555)*($V$2:$AE$2&lt;AE$2))),2))))</f>
      </c>
      <c r="AP555" s="33">
        <f>ROUND(V555-AF555,2)</f>
      </c>
      <c r="AQ555" s="33">
        <f>ROUND(W555-AG555,2)</f>
      </c>
      <c r="AR555" s="33">
        <f>ROUND(X555-AH555,2)</f>
      </c>
      <c r="AS555" s="33">
        <f>ROUND(Y555-AI555,2)</f>
      </c>
      <c r="AT555" s="33">
        <f>ROUND(Z555-AJ555,2)</f>
      </c>
      <c r="AU555" s="33">
        <f>ROUND(AA555-AK555,2)</f>
      </c>
      <c r="AV555" s="33">
        <f>ROUND(AB555-AL555,2)</f>
      </c>
      <c r="AW555" s="33">
        <f>ROUND(AC555-AM555,2)</f>
      </c>
      <c r="AX555" s="33">
        <f>ROUND(AD555-AN555,2)</f>
      </c>
      <c r="AY555" s="33">
        <f>ROUND(AE555-AO555,2)</f>
      </c>
      <c r="AZ555" s="33">
        <f>ROUND(MAX(0,'Your debts'!$D$22-SUM($L555:$U555)),2)</f>
      </c>
      <c r="BA555" s="33">
        <f>ROUND(SUM($B555:$K555)-SUM($AP554:$AY554),2)</f>
      </c>
      <c r="BB555" s="33">
        <f>SUM($AP555:$AY555)</f>
      </c>
      <c r="BC555" s="33">
        <f>ROUND(SUM($L555:$U555)+SUM($AF555:$AO555),2)</f>
      </c>
    </row>
    <row r="556" spans="1:55" x14ac:dyDescent="0.25">
      <c r="A556">
        <v>549</v>
      </c>
      <c r="B556" s="33">
        <f>IF(AP555&lt;=0,0,ROUND(AP555+ROUND(AP555*V$3/12,2),2))</f>
      </c>
      <c r="C556" s="33">
        <f>IF(AQ555&lt;=0,0,ROUND(AQ555+ROUND(AQ555*W$3/12,2),2))</f>
      </c>
      <c r="D556" s="33">
        <f>IF(AR555&lt;=0,0,ROUND(AR555+ROUND(AR555*X$3/12,2),2))</f>
      </c>
      <c r="E556" s="33">
        <f>IF(AS555&lt;=0,0,ROUND(AS555+ROUND(AS555*Y$3/12,2),2))</f>
      </c>
      <c r="F556" s="33">
        <f>IF(AT555&lt;=0,0,ROUND(AT555+ROUND(AT555*Z$3/12,2),2))</f>
      </c>
      <c r="G556" s="33">
        <f>IF(AU555&lt;=0,0,ROUND(AU555+ROUND(AU555*AA$3/12,2),2))</f>
      </c>
      <c r="H556" s="33">
        <f>IF(AV555&lt;=0,0,ROUND(AV555+ROUND(AV555*AB$3/12,2),2))</f>
      </c>
      <c r="I556" s="33">
        <f>IF(AW555&lt;=0,0,ROUND(AW555+ROUND(AW555*AC$3/12,2),2))</f>
      </c>
      <c r="J556" s="33">
        <f>IF(AX555&lt;=0,0,ROUND(AX555+ROUND(AX555*AD$3/12,2),2))</f>
      </c>
      <c r="K556" s="33">
        <f>IF(AY555&lt;=0,0,ROUND(AY555+ROUND(AY555*AE$3/12,2),2))</f>
      </c>
      <c r="L556" s="33">
        <f>ROUND(MIN(MAX(0,N('Your debts'!$E$6)),B556),2)</f>
      </c>
      <c r="M556" s="33">
        <f>ROUND(MIN(MAX(0,N('Your debts'!$E$7)),C556),2)</f>
      </c>
      <c r="N556" s="33">
        <f>ROUND(MIN(MAX(0,N('Your debts'!$E$8)),D556),2)</f>
      </c>
      <c r="O556" s="33">
        <f>ROUND(MIN(MAX(0,N('Your debts'!$E$9)),E556),2)</f>
      </c>
      <c r="P556" s="33">
        <f>ROUND(MIN(MAX(0,N('Your debts'!$E$10)),F556),2)</f>
      </c>
      <c r="Q556" s="33">
        <f>ROUND(MIN(MAX(0,N('Your debts'!$E$11)),G556),2)</f>
      </c>
      <c r="R556" s="33">
        <f>ROUND(MIN(MAX(0,N('Your debts'!$E$12)),H556),2)</f>
      </c>
      <c r="S556" s="33">
        <f>ROUND(MIN(MAX(0,N('Your debts'!$E$13)),I556),2)</f>
      </c>
      <c r="T556" s="33">
        <f>ROUND(MIN(MAX(0,N('Your debts'!$E$14)),J556),2)</f>
      </c>
      <c r="U556" s="33">
        <f>ROUND(MIN(MAX(0,N('Your debts'!$E$15)),K556),2)</f>
      </c>
      <c r="V556" s="33">
        <f>ROUND(B556-L556,2)</f>
      </c>
      <c r="W556" s="33">
        <f>ROUND(C556-M556,2)</f>
      </c>
      <c r="X556" s="33">
        <f>ROUND(D556-N556,2)</f>
      </c>
      <c r="Y556" s="33">
        <f>ROUND(E556-O556,2)</f>
      </c>
      <c r="Z556" s="33">
        <f>ROUND(F556-P556,2)</f>
      </c>
      <c r="AA556" s="33">
        <f>ROUND(G556-Q556,2)</f>
      </c>
      <c r="AB556" s="33">
        <f>ROUND(H556-R556,2)</f>
      </c>
      <c r="AC556" s="33">
        <f>ROUND(I556-S556,2)</f>
      </c>
      <c r="AD556" s="33">
        <f>ROUND(J556-T556,2)</f>
      </c>
      <c r="AE556" s="33">
        <f>ROUND(K556-U556,2)</f>
      </c>
      <c r="AF556" s="33">
        <f>IF(V556&lt;=0,0,MAX(0,MIN(V556,ROUND($AZ556-SUMPRODUCT($V556:$AE556*($V556:$AE556&gt;0)*(($V$3:$AE$3&gt;V$3)+($V$3:$AE$3=V$3)*($V556:$AE556&lt;V556)+($V$3:$AE$3=V$3)*($V556:$AE556=V556)*($V$2:$AE$2&lt;V$2))),2))))</f>
      </c>
      <c r="AG556" s="33">
        <f>IF(W556&lt;=0,0,MAX(0,MIN(W556,ROUND($AZ556-SUMPRODUCT($V556:$AE556*($V556:$AE556&gt;0)*(($V$3:$AE$3&gt;W$3)+($V$3:$AE$3=W$3)*($V556:$AE556&lt;W556)+($V$3:$AE$3=W$3)*($V556:$AE556=W556)*($V$2:$AE$2&lt;W$2))),2))))</f>
      </c>
      <c r="AH556" s="33">
        <f>IF(X556&lt;=0,0,MAX(0,MIN(X556,ROUND($AZ556-SUMPRODUCT($V556:$AE556*($V556:$AE556&gt;0)*(($V$3:$AE$3&gt;X$3)+($V$3:$AE$3=X$3)*($V556:$AE556&lt;X556)+($V$3:$AE$3=X$3)*($V556:$AE556=X556)*($V$2:$AE$2&lt;X$2))),2))))</f>
      </c>
      <c r="AI556" s="33">
        <f>IF(Y556&lt;=0,0,MAX(0,MIN(Y556,ROUND($AZ556-SUMPRODUCT($V556:$AE556*($V556:$AE556&gt;0)*(($V$3:$AE$3&gt;Y$3)+($V$3:$AE$3=Y$3)*($V556:$AE556&lt;Y556)+($V$3:$AE$3=Y$3)*($V556:$AE556=Y556)*($V$2:$AE$2&lt;Y$2))),2))))</f>
      </c>
      <c r="AJ556" s="33">
        <f>IF(Z556&lt;=0,0,MAX(0,MIN(Z556,ROUND($AZ556-SUMPRODUCT($V556:$AE556*($V556:$AE556&gt;0)*(($V$3:$AE$3&gt;Z$3)+($V$3:$AE$3=Z$3)*($V556:$AE556&lt;Z556)+($V$3:$AE$3=Z$3)*($V556:$AE556=Z556)*($V$2:$AE$2&lt;Z$2))),2))))</f>
      </c>
      <c r="AK556" s="33">
        <f>IF(AA556&lt;=0,0,MAX(0,MIN(AA556,ROUND($AZ556-SUMPRODUCT($V556:$AE556*($V556:$AE556&gt;0)*(($V$3:$AE$3&gt;AA$3)+($V$3:$AE$3=AA$3)*($V556:$AE556&lt;AA556)+($V$3:$AE$3=AA$3)*($V556:$AE556=AA556)*($V$2:$AE$2&lt;AA$2))),2))))</f>
      </c>
      <c r="AL556" s="33">
        <f>IF(AB556&lt;=0,0,MAX(0,MIN(AB556,ROUND($AZ556-SUMPRODUCT($V556:$AE556*($V556:$AE556&gt;0)*(($V$3:$AE$3&gt;AB$3)+($V$3:$AE$3=AB$3)*($V556:$AE556&lt;AB556)+($V$3:$AE$3=AB$3)*($V556:$AE556=AB556)*($V$2:$AE$2&lt;AB$2))),2))))</f>
      </c>
      <c r="AM556" s="33">
        <f>IF(AC556&lt;=0,0,MAX(0,MIN(AC556,ROUND($AZ556-SUMPRODUCT($V556:$AE556*($V556:$AE556&gt;0)*(($V$3:$AE$3&gt;AC$3)+($V$3:$AE$3=AC$3)*($V556:$AE556&lt;AC556)+($V$3:$AE$3=AC$3)*($V556:$AE556=AC556)*($V$2:$AE$2&lt;AC$2))),2))))</f>
      </c>
      <c r="AN556" s="33">
        <f>IF(AD556&lt;=0,0,MAX(0,MIN(AD556,ROUND($AZ556-SUMPRODUCT($V556:$AE556*($V556:$AE556&gt;0)*(($V$3:$AE$3&gt;AD$3)+($V$3:$AE$3=AD$3)*($V556:$AE556&lt;AD556)+($V$3:$AE$3=AD$3)*($V556:$AE556=AD556)*($V$2:$AE$2&lt;AD$2))),2))))</f>
      </c>
      <c r="AO556" s="33">
        <f>IF(AE556&lt;=0,0,MAX(0,MIN(AE556,ROUND($AZ556-SUMPRODUCT($V556:$AE556*($V556:$AE556&gt;0)*(($V$3:$AE$3&gt;AE$3)+($V$3:$AE$3=AE$3)*($V556:$AE556&lt;AE556)+($V$3:$AE$3=AE$3)*($V556:$AE556=AE556)*($V$2:$AE$2&lt;AE$2))),2))))</f>
      </c>
      <c r="AP556" s="33">
        <f>ROUND(V556-AF556,2)</f>
      </c>
      <c r="AQ556" s="33">
        <f>ROUND(W556-AG556,2)</f>
      </c>
      <c r="AR556" s="33">
        <f>ROUND(X556-AH556,2)</f>
      </c>
      <c r="AS556" s="33">
        <f>ROUND(Y556-AI556,2)</f>
      </c>
      <c r="AT556" s="33">
        <f>ROUND(Z556-AJ556,2)</f>
      </c>
      <c r="AU556" s="33">
        <f>ROUND(AA556-AK556,2)</f>
      </c>
      <c r="AV556" s="33">
        <f>ROUND(AB556-AL556,2)</f>
      </c>
      <c r="AW556" s="33">
        <f>ROUND(AC556-AM556,2)</f>
      </c>
      <c r="AX556" s="33">
        <f>ROUND(AD556-AN556,2)</f>
      </c>
      <c r="AY556" s="33">
        <f>ROUND(AE556-AO556,2)</f>
      </c>
      <c r="AZ556" s="33">
        <f>ROUND(MAX(0,'Your debts'!$D$22-SUM($L556:$U556)),2)</f>
      </c>
      <c r="BA556" s="33">
        <f>ROUND(SUM($B556:$K556)-SUM($AP555:$AY555),2)</f>
      </c>
      <c r="BB556" s="33">
        <f>SUM($AP556:$AY556)</f>
      </c>
      <c r="BC556" s="33">
        <f>ROUND(SUM($L556:$U556)+SUM($AF556:$AO556),2)</f>
      </c>
    </row>
    <row r="557" spans="1:55" x14ac:dyDescent="0.25">
      <c r="A557">
        <v>550</v>
      </c>
      <c r="B557" s="33">
        <f>IF(AP556&lt;=0,0,ROUND(AP556+ROUND(AP556*V$3/12,2),2))</f>
      </c>
      <c r="C557" s="33">
        <f>IF(AQ556&lt;=0,0,ROUND(AQ556+ROUND(AQ556*W$3/12,2),2))</f>
      </c>
      <c r="D557" s="33">
        <f>IF(AR556&lt;=0,0,ROUND(AR556+ROUND(AR556*X$3/12,2),2))</f>
      </c>
      <c r="E557" s="33">
        <f>IF(AS556&lt;=0,0,ROUND(AS556+ROUND(AS556*Y$3/12,2),2))</f>
      </c>
      <c r="F557" s="33">
        <f>IF(AT556&lt;=0,0,ROUND(AT556+ROUND(AT556*Z$3/12,2),2))</f>
      </c>
      <c r="G557" s="33">
        <f>IF(AU556&lt;=0,0,ROUND(AU556+ROUND(AU556*AA$3/12,2),2))</f>
      </c>
      <c r="H557" s="33">
        <f>IF(AV556&lt;=0,0,ROUND(AV556+ROUND(AV556*AB$3/12,2),2))</f>
      </c>
      <c r="I557" s="33">
        <f>IF(AW556&lt;=0,0,ROUND(AW556+ROUND(AW556*AC$3/12,2),2))</f>
      </c>
      <c r="J557" s="33">
        <f>IF(AX556&lt;=0,0,ROUND(AX556+ROUND(AX556*AD$3/12,2),2))</f>
      </c>
      <c r="K557" s="33">
        <f>IF(AY556&lt;=0,0,ROUND(AY556+ROUND(AY556*AE$3/12,2),2))</f>
      </c>
      <c r="L557" s="33">
        <f>ROUND(MIN(MAX(0,N('Your debts'!$E$6)),B557),2)</f>
      </c>
      <c r="M557" s="33">
        <f>ROUND(MIN(MAX(0,N('Your debts'!$E$7)),C557),2)</f>
      </c>
      <c r="N557" s="33">
        <f>ROUND(MIN(MAX(0,N('Your debts'!$E$8)),D557),2)</f>
      </c>
      <c r="O557" s="33">
        <f>ROUND(MIN(MAX(0,N('Your debts'!$E$9)),E557),2)</f>
      </c>
      <c r="P557" s="33">
        <f>ROUND(MIN(MAX(0,N('Your debts'!$E$10)),F557),2)</f>
      </c>
      <c r="Q557" s="33">
        <f>ROUND(MIN(MAX(0,N('Your debts'!$E$11)),G557),2)</f>
      </c>
      <c r="R557" s="33">
        <f>ROUND(MIN(MAX(0,N('Your debts'!$E$12)),H557),2)</f>
      </c>
      <c r="S557" s="33">
        <f>ROUND(MIN(MAX(0,N('Your debts'!$E$13)),I557),2)</f>
      </c>
      <c r="T557" s="33">
        <f>ROUND(MIN(MAX(0,N('Your debts'!$E$14)),J557),2)</f>
      </c>
      <c r="U557" s="33">
        <f>ROUND(MIN(MAX(0,N('Your debts'!$E$15)),K557),2)</f>
      </c>
      <c r="V557" s="33">
        <f>ROUND(B557-L557,2)</f>
      </c>
      <c r="W557" s="33">
        <f>ROUND(C557-M557,2)</f>
      </c>
      <c r="X557" s="33">
        <f>ROUND(D557-N557,2)</f>
      </c>
      <c r="Y557" s="33">
        <f>ROUND(E557-O557,2)</f>
      </c>
      <c r="Z557" s="33">
        <f>ROUND(F557-P557,2)</f>
      </c>
      <c r="AA557" s="33">
        <f>ROUND(G557-Q557,2)</f>
      </c>
      <c r="AB557" s="33">
        <f>ROUND(H557-R557,2)</f>
      </c>
      <c r="AC557" s="33">
        <f>ROUND(I557-S557,2)</f>
      </c>
      <c r="AD557" s="33">
        <f>ROUND(J557-T557,2)</f>
      </c>
      <c r="AE557" s="33">
        <f>ROUND(K557-U557,2)</f>
      </c>
      <c r="AF557" s="33">
        <f>IF(V557&lt;=0,0,MAX(0,MIN(V557,ROUND($AZ557-SUMPRODUCT($V557:$AE557*($V557:$AE557&gt;0)*(($V$3:$AE$3&gt;V$3)+($V$3:$AE$3=V$3)*($V557:$AE557&lt;V557)+($V$3:$AE$3=V$3)*($V557:$AE557=V557)*($V$2:$AE$2&lt;V$2))),2))))</f>
      </c>
      <c r="AG557" s="33">
        <f>IF(W557&lt;=0,0,MAX(0,MIN(W557,ROUND($AZ557-SUMPRODUCT($V557:$AE557*($V557:$AE557&gt;0)*(($V$3:$AE$3&gt;W$3)+($V$3:$AE$3=W$3)*($V557:$AE557&lt;W557)+($V$3:$AE$3=W$3)*($V557:$AE557=W557)*($V$2:$AE$2&lt;W$2))),2))))</f>
      </c>
      <c r="AH557" s="33">
        <f>IF(X557&lt;=0,0,MAX(0,MIN(X557,ROUND($AZ557-SUMPRODUCT($V557:$AE557*($V557:$AE557&gt;0)*(($V$3:$AE$3&gt;X$3)+($V$3:$AE$3=X$3)*($V557:$AE557&lt;X557)+($V$3:$AE$3=X$3)*($V557:$AE557=X557)*($V$2:$AE$2&lt;X$2))),2))))</f>
      </c>
      <c r="AI557" s="33">
        <f>IF(Y557&lt;=0,0,MAX(0,MIN(Y557,ROUND($AZ557-SUMPRODUCT($V557:$AE557*($V557:$AE557&gt;0)*(($V$3:$AE$3&gt;Y$3)+($V$3:$AE$3=Y$3)*($V557:$AE557&lt;Y557)+($V$3:$AE$3=Y$3)*($V557:$AE557=Y557)*($V$2:$AE$2&lt;Y$2))),2))))</f>
      </c>
      <c r="AJ557" s="33">
        <f>IF(Z557&lt;=0,0,MAX(0,MIN(Z557,ROUND($AZ557-SUMPRODUCT($V557:$AE557*($V557:$AE557&gt;0)*(($V$3:$AE$3&gt;Z$3)+($V$3:$AE$3=Z$3)*($V557:$AE557&lt;Z557)+($V$3:$AE$3=Z$3)*($V557:$AE557=Z557)*($V$2:$AE$2&lt;Z$2))),2))))</f>
      </c>
      <c r="AK557" s="33">
        <f>IF(AA557&lt;=0,0,MAX(0,MIN(AA557,ROUND($AZ557-SUMPRODUCT($V557:$AE557*($V557:$AE557&gt;0)*(($V$3:$AE$3&gt;AA$3)+($V$3:$AE$3=AA$3)*($V557:$AE557&lt;AA557)+($V$3:$AE$3=AA$3)*($V557:$AE557=AA557)*($V$2:$AE$2&lt;AA$2))),2))))</f>
      </c>
      <c r="AL557" s="33">
        <f>IF(AB557&lt;=0,0,MAX(0,MIN(AB557,ROUND($AZ557-SUMPRODUCT($V557:$AE557*($V557:$AE557&gt;0)*(($V$3:$AE$3&gt;AB$3)+($V$3:$AE$3=AB$3)*($V557:$AE557&lt;AB557)+($V$3:$AE$3=AB$3)*($V557:$AE557=AB557)*($V$2:$AE$2&lt;AB$2))),2))))</f>
      </c>
      <c r="AM557" s="33">
        <f>IF(AC557&lt;=0,0,MAX(0,MIN(AC557,ROUND($AZ557-SUMPRODUCT($V557:$AE557*($V557:$AE557&gt;0)*(($V$3:$AE$3&gt;AC$3)+($V$3:$AE$3=AC$3)*($V557:$AE557&lt;AC557)+($V$3:$AE$3=AC$3)*($V557:$AE557=AC557)*($V$2:$AE$2&lt;AC$2))),2))))</f>
      </c>
      <c r="AN557" s="33">
        <f>IF(AD557&lt;=0,0,MAX(0,MIN(AD557,ROUND($AZ557-SUMPRODUCT($V557:$AE557*($V557:$AE557&gt;0)*(($V$3:$AE$3&gt;AD$3)+($V$3:$AE$3=AD$3)*($V557:$AE557&lt;AD557)+($V$3:$AE$3=AD$3)*($V557:$AE557=AD557)*($V$2:$AE$2&lt;AD$2))),2))))</f>
      </c>
      <c r="AO557" s="33">
        <f>IF(AE557&lt;=0,0,MAX(0,MIN(AE557,ROUND($AZ557-SUMPRODUCT($V557:$AE557*($V557:$AE557&gt;0)*(($V$3:$AE$3&gt;AE$3)+($V$3:$AE$3=AE$3)*($V557:$AE557&lt;AE557)+($V$3:$AE$3=AE$3)*($V557:$AE557=AE557)*($V$2:$AE$2&lt;AE$2))),2))))</f>
      </c>
      <c r="AP557" s="33">
        <f>ROUND(V557-AF557,2)</f>
      </c>
      <c r="AQ557" s="33">
        <f>ROUND(W557-AG557,2)</f>
      </c>
      <c r="AR557" s="33">
        <f>ROUND(X557-AH557,2)</f>
      </c>
      <c r="AS557" s="33">
        <f>ROUND(Y557-AI557,2)</f>
      </c>
      <c r="AT557" s="33">
        <f>ROUND(Z557-AJ557,2)</f>
      </c>
      <c r="AU557" s="33">
        <f>ROUND(AA557-AK557,2)</f>
      </c>
      <c r="AV557" s="33">
        <f>ROUND(AB557-AL557,2)</f>
      </c>
      <c r="AW557" s="33">
        <f>ROUND(AC557-AM557,2)</f>
      </c>
      <c r="AX557" s="33">
        <f>ROUND(AD557-AN557,2)</f>
      </c>
      <c r="AY557" s="33">
        <f>ROUND(AE557-AO557,2)</f>
      </c>
      <c r="AZ557" s="33">
        <f>ROUND(MAX(0,'Your debts'!$D$22-SUM($L557:$U557)),2)</f>
      </c>
      <c r="BA557" s="33">
        <f>ROUND(SUM($B557:$K557)-SUM($AP556:$AY556),2)</f>
      </c>
      <c r="BB557" s="33">
        <f>SUM($AP557:$AY557)</f>
      </c>
      <c r="BC557" s="33">
        <f>ROUND(SUM($L557:$U557)+SUM($AF557:$AO557),2)</f>
      </c>
    </row>
    <row r="558" spans="1:55" x14ac:dyDescent="0.25">
      <c r="A558">
        <v>551</v>
      </c>
      <c r="B558" s="33">
        <f>IF(AP557&lt;=0,0,ROUND(AP557+ROUND(AP557*V$3/12,2),2))</f>
      </c>
      <c r="C558" s="33">
        <f>IF(AQ557&lt;=0,0,ROUND(AQ557+ROUND(AQ557*W$3/12,2),2))</f>
      </c>
      <c r="D558" s="33">
        <f>IF(AR557&lt;=0,0,ROUND(AR557+ROUND(AR557*X$3/12,2),2))</f>
      </c>
      <c r="E558" s="33">
        <f>IF(AS557&lt;=0,0,ROUND(AS557+ROUND(AS557*Y$3/12,2),2))</f>
      </c>
      <c r="F558" s="33">
        <f>IF(AT557&lt;=0,0,ROUND(AT557+ROUND(AT557*Z$3/12,2),2))</f>
      </c>
      <c r="G558" s="33">
        <f>IF(AU557&lt;=0,0,ROUND(AU557+ROUND(AU557*AA$3/12,2),2))</f>
      </c>
      <c r="H558" s="33">
        <f>IF(AV557&lt;=0,0,ROUND(AV557+ROUND(AV557*AB$3/12,2),2))</f>
      </c>
      <c r="I558" s="33">
        <f>IF(AW557&lt;=0,0,ROUND(AW557+ROUND(AW557*AC$3/12,2),2))</f>
      </c>
      <c r="J558" s="33">
        <f>IF(AX557&lt;=0,0,ROUND(AX557+ROUND(AX557*AD$3/12,2),2))</f>
      </c>
      <c r="K558" s="33">
        <f>IF(AY557&lt;=0,0,ROUND(AY557+ROUND(AY557*AE$3/12,2),2))</f>
      </c>
      <c r="L558" s="33">
        <f>ROUND(MIN(MAX(0,N('Your debts'!$E$6)),B558),2)</f>
      </c>
      <c r="M558" s="33">
        <f>ROUND(MIN(MAX(0,N('Your debts'!$E$7)),C558),2)</f>
      </c>
      <c r="N558" s="33">
        <f>ROUND(MIN(MAX(0,N('Your debts'!$E$8)),D558),2)</f>
      </c>
      <c r="O558" s="33">
        <f>ROUND(MIN(MAX(0,N('Your debts'!$E$9)),E558),2)</f>
      </c>
      <c r="P558" s="33">
        <f>ROUND(MIN(MAX(0,N('Your debts'!$E$10)),F558),2)</f>
      </c>
      <c r="Q558" s="33">
        <f>ROUND(MIN(MAX(0,N('Your debts'!$E$11)),G558),2)</f>
      </c>
      <c r="R558" s="33">
        <f>ROUND(MIN(MAX(0,N('Your debts'!$E$12)),H558),2)</f>
      </c>
      <c r="S558" s="33">
        <f>ROUND(MIN(MAX(0,N('Your debts'!$E$13)),I558),2)</f>
      </c>
      <c r="T558" s="33">
        <f>ROUND(MIN(MAX(0,N('Your debts'!$E$14)),J558),2)</f>
      </c>
      <c r="U558" s="33">
        <f>ROUND(MIN(MAX(0,N('Your debts'!$E$15)),K558),2)</f>
      </c>
      <c r="V558" s="33">
        <f>ROUND(B558-L558,2)</f>
      </c>
      <c r="W558" s="33">
        <f>ROUND(C558-M558,2)</f>
      </c>
      <c r="X558" s="33">
        <f>ROUND(D558-N558,2)</f>
      </c>
      <c r="Y558" s="33">
        <f>ROUND(E558-O558,2)</f>
      </c>
      <c r="Z558" s="33">
        <f>ROUND(F558-P558,2)</f>
      </c>
      <c r="AA558" s="33">
        <f>ROUND(G558-Q558,2)</f>
      </c>
      <c r="AB558" s="33">
        <f>ROUND(H558-R558,2)</f>
      </c>
      <c r="AC558" s="33">
        <f>ROUND(I558-S558,2)</f>
      </c>
      <c r="AD558" s="33">
        <f>ROUND(J558-T558,2)</f>
      </c>
      <c r="AE558" s="33">
        <f>ROUND(K558-U558,2)</f>
      </c>
      <c r="AF558" s="33">
        <f>IF(V558&lt;=0,0,MAX(0,MIN(V558,ROUND($AZ558-SUMPRODUCT($V558:$AE558*($V558:$AE558&gt;0)*(($V$3:$AE$3&gt;V$3)+($V$3:$AE$3=V$3)*($V558:$AE558&lt;V558)+($V$3:$AE$3=V$3)*($V558:$AE558=V558)*($V$2:$AE$2&lt;V$2))),2))))</f>
      </c>
      <c r="AG558" s="33">
        <f>IF(W558&lt;=0,0,MAX(0,MIN(W558,ROUND($AZ558-SUMPRODUCT($V558:$AE558*($V558:$AE558&gt;0)*(($V$3:$AE$3&gt;W$3)+($V$3:$AE$3=W$3)*($V558:$AE558&lt;W558)+($V$3:$AE$3=W$3)*($V558:$AE558=W558)*($V$2:$AE$2&lt;W$2))),2))))</f>
      </c>
      <c r="AH558" s="33">
        <f>IF(X558&lt;=0,0,MAX(0,MIN(X558,ROUND($AZ558-SUMPRODUCT($V558:$AE558*($V558:$AE558&gt;0)*(($V$3:$AE$3&gt;X$3)+($V$3:$AE$3=X$3)*($V558:$AE558&lt;X558)+($V$3:$AE$3=X$3)*($V558:$AE558=X558)*($V$2:$AE$2&lt;X$2))),2))))</f>
      </c>
      <c r="AI558" s="33">
        <f>IF(Y558&lt;=0,0,MAX(0,MIN(Y558,ROUND($AZ558-SUMPRODUCT($V558:$AE558*($V558:$AE558&gt;0)*(($V$3:$AE$3&gt;Y$3)+($V$3:$AE$3=Y$3)*($V558:$AE558&lt;Y558)+($V$3:$AE$3=Y$3)*($V558:$AE558=Y558)*($V$2:$AE$2&lt;Y$2))),2))))</f>
      </c>
      <c r="AJ558" s="33">
        <f>IF(Z558&lt;=0,0,MAX(0,MIN(Z558,ROUND($AZ558-SUMPRODUCT($V558:$AE558*($V558:$AE558&gt;0)*(($V$3:$AE$3&gt;Z$3)+($V$3:$AE$3=Z$3)*($V558:$AE558&lt;Z558)+($V$3:$AE$3=Z$3)*($V558:$AE558=Z558)*($V$2:$AE$2&lt;Z$2))),2))))</f>
      </c>
      <c r="AK558" s="33">
        <f>IF(AA558&lt;=0,0,MAX(0,MIN(AA558,ROUND($AZ558-SUMPRODUCT($V558:$AE558*($V558:$AE558&gt;0)*(($V$3:$AE$3&gt;AA$3)+($V$3:$AE$3=AA$3)*($V558:$AE558&lt;AA558)+($V$3:$AE$3=AA$3)*($V558:$AE558=AA558)*($V$2:$AE$2&lt;AA$2))),2))))</f>
      </c>
      <c r="AL558" s="33">
        <f>IF(AB558&lt;=0,0,MAX(0,MIN(AB558,ROUND($AZ558-SUMPRODUCT($V558:$AE558*($V558:$AE558&gt;0)*(($V$3:$AE$3&gt;AB$3)+($V$3:$AE$3=AB$3)*($V558:$AE558&lt;AB558)+($V$3:$AE$3=AB$3)*($V558:$AE558=AB558)*($V$2:$AE$2&lt;AB$2))),2))))</f>
      </c>
      <c r="AM558" s="33">
        <f>IF(AC558&lt;=0,0,MAX(0,MIN(AC558,ROUND($AZ558-SUMPRODUCT($V558:$AE558*($V558:$AE558&gt;0)*(($V$3:$AE$3&gt;AC$3)+($V$3:$AE$3=AC$3)*($V558:$AE558&lt;AC558)+($V$3:$AE$3=AC$3)*($V558:$AE558=AC558)*($V$2:$AE$2&lt;AC$2))),2))))</f>
      </c>
      <c r="AN558" s="33">
        <f>IF(AD558&lt;=0,0,MAX(0,MIN(AD558,ROUND($AZ558-SUMPRODUCT($V558:$AE558*($V558:$AE558&gt;0)*(($V$3:$AE$3&gt;AD$3)+($V$3:$AE$3=AD$3)*($V558:$AE558&lt;AD558)+($V$3:$AE$3=AD$3)*($V558:$AE558=AD558)*($V$2:$AE$2&lt;AD$2))),2))))</f>
      </c>
      <c r="AO558" s="33">
        <f>IF(AE558&lt;=0,0,MAX(0,MIN(AE558,ROUND($AZ558-SUMPRODUCT($V558:$AE558*($V558:$AE558&gt;0)*(($V$3:$AE$3&gt;AE$3)+($V$3:$AE$3=AE$3)*($V558:$AE558&lt;AE558)+($V$3:$AE$3=AE$3)*($V558:$AE558=AE558)*($V$2:$AE$2&lt;AE$2))),2))))</f>
      </c>
      <c r="AP558" s="33">
        <f>ROUND(V558-AF558,2)</f>
      </c>
      <c r="AQ558" s="33">
        <f>ROUND(W558-AG558,2)</f>
      </c>
      <c r="AR558" s="33">
        <f>ROUND(X558-AH558,2)</f>
      </c>
      <c r="AS558" s="33">
        <f>ROUND(Y558-AI558,2)</f>
      </c>
      <c r="AT558" s="33">
        <f>ROUND(Z558-AJ558,2)</f>
      </c>
      <c r="AU558" s="33">
        <f>ROUND(AA558-AK558,2)</f>
      </c>
      <c r="AV558" s="33">
        <f>ROUND(AB558-AL558,2)</f>
      </c>
      <c r="AW558" s="33">
        <f>ROUND(AC558-AM558,2)</f>
      </c>
      <c r="AX558" s="33">
        <f>ROUND(AD558-AN558,2)</f>
      </c>
      <c r="AY558" s="33">
        <f>ROUND(AE558-AO558,2)</f>
      </c>
      <c r="AZ558" s="33">
        <f>ROUND(MAX(0,'Your debts'!$D$22-SUM($L558:$U558)),2)</f>
      </c>
      <c r="BA558" s="33">
        <f>ROUND(SUM($B558:$K558)-SUM($AP557:$AY557),2)</f>
      </c>
      <c r="BB558" s="33">
        <f>SUM($AP558:$AY558)</f>
      </c>
      <c r="BC558" s="33">
        <f>ROUND(SUM($L558:$U558)+SUM($AF558:$AO558),2)</f>
      </c>
    </row>
    <row r="559" spans="1:55" x14ac:dyDescent="0.25">
      <c r="A559">
        <v>552</v>
      </c>
      <c r="B559" s="33">
        <f>IF(AP558&lt;=0,0,ROUND(AP558+ROUND(AP558*V$3/12,2),2))</f>
      </c>
      <c r="C559" s="33">
        <f>IF(AQ558&lt;=0,0,ROUND(AQ558+ROUND(AQ558*W$3/12,2),2))</f>
      </c>
      <c r="D559" s="33">
        <f>IF(AR558&lt;=0,0,ROUND(AR558+ROUND(AR558*X$3/12,2),2))</f>
      </c>
      <c r="E559" s="33">
        <f>IF(AS558&lt;=0,0,ROUND(AS558+ROUND(AS558*Y$3/12,2),2))</f>
      </c>
      <c r="F559" s="33">
        <f>IF(AT558&lt;=0,0,ROUND(AT558+ROUND(AT558*Z$3/12,2),2))</f>
      </c>
      <c r="G559" s="33">
        <f>IF(AU558&lt;=0,0,ROUND(AU558+ROUND(AU558*AA$3/12,2),2))</f>
      </c>
      <c r="H559" s="33">
        <f>IF(AV558&lt;=0,0,ROUND(AV558+ROUND(AV558*AB$3/12,2),2))</f>
      </c>
      <c r="I559" s="33">
        <f>IF(AW558&lt;=0,0,ROUND(AW558+ROUND(AW558*AC$3/12,2),2))</f>
      </c>
      <c r="J559" s="33">
        <f>IF(AX558&lt;=0,0,ROUND(AX558+ROUND(AX558*AD$3/12,2),2))</f>
      </c>
      <c r="K559" s="33">
        <f>IF(AY558&lt;=0,0,ROUND(AY558+ROUND(AY558*AE$3/12,2),2))</f>
      </c>
      <c r="L559" s="33">
        <f>ROUND(MIN(MAX(0,N('Your debts'!$E$6)),B559),2)</f>
      </c>
      <c r="M559" s="33">
        <f>ROUND(MIN(MAX(0,N('Your debts'!$E$7)),C559),2)</f>
      </c>
      <c r="N559" s="33">
        <f>ROUND(MIN(MAX(0,N('Your debts'!$E$8)),D559),2)</f>
      </c>
      <c r="O559" s="33">
        <f>ROUND(MIN(MAX(0,N('Your debts'!$E$9)),E559),2)</f>
      </c>
      <c r="P559" s="33">
        <f>ROUND(MIN(MAX(0,N('Your debts'!$E$10)),F559),2)</f>
      </c>
      <c r="Q559" s="33">
        <f>ROUND(MIN(MAX(0,N('Your debts'!$E$11)),G559),2)</f>
      </c>
      <c r="R559" s="33">
        <f>ROUND(MIN(MAX(0,N('Your debts'!$E$12)),H559),2)</f>
      </c>
      <c r="S559" s="33">
        <f>ROUND(MIN(MAX(0,N('Your debts'!$E$13)),I559),2)</f>
      </c>
      <c r="T559" s="33">
        <f>ROUND(MIN(MAX(0,N('Your debts'!$E$14)),J559),2)</f>
      </c>
      <c r="U559" s="33">
        <f>ROUND(MIN(MAX(0,N('Your debts'!$E$15)),K559),2)</f>
      </c>
      <c r="V559" s="33">
        <f>ROUND(B559-L559,2)</f>
      </c>
      <c r="W559" s="33">
        <f>ROUND(C559-M559,2)</f>
      </c>
      <c r="X559" s="33">
        <f>ROUND(D559-N559,2)</f>
      </c>
      <c r="Y559" s="33">
        <f>ROUND(E559-O559,2)</f>
      </c>
      <c r="Z559" s="33">
        <f>ROUND(F559-P559,2)</f>
      </c>
      <c r="AA559" s="33">
        <f>ROUND(G559-Q559,2)</f>
      </c>
      <c r="AB559" s="33">
        <f>ROUND(H559-R559,2)</f>
      </c>
      <c r="AC559" s="33">
        <f>ROUND(I559-S559,2)</f>
      </c>
      <c r="AD559" s="33">
        <f>ROUND(J559-T559,2)</f>
      </c>
      <c r="AE559" s="33">
        <f>ROUND(K559-U559,2)</f>
      </c>
      <c r="AF559" s="33">
        <f>IF(V559&lt;=0,0,MAX(0,MIN(V559,ROUND($AZ559-SUMPRODUCT($V559:$AE559*($V559:$AE559&gt;0)*(($V$3:$AE$3&gt;V$3)+($V$3:$AE$3=V$3)*($V559:$AE559&lt;V559)+($V$3:$AE$3=V$3)*($V559:$AE559=V559)*($V$2:$AE$2&lt;V$2))),2))))</f>
      </c>
      <c r="AG559" s="33">
        <f>IF(W559&lt;=0,0,MAX(0,MIN(W559,ROUND($AZ559-SUMPRODUCT($V559:$AE559*($V559:$AE559&gt;0)*(($V$3:$AE$3&gt;W$3)+($V$3:$AE$3=W$3)*($V559:$AE559&lt;W559)+($V$3:$AE$3=W$3)*($V559:$AE559=W559)*($V$2:$AE$2&lt;W$2))),2))))</f>
      </c>
      <c r="AH559" s="33">
        <f>IF(X559&lt;=0,0,MAX(0,MIN(X559,ROUND($AZ559-SUMPRODUCT($V559:$AE559*($V559:$AE559&gt;0)*(($V$3:$AE$3&gt;X$3)+($V$3:$AE$3=X$3)*($V559:$AE559&lt;X559)+($V$3:$AE$3=X$3)*($V559:$AE559=X559)*($V$2:$AE$2&lt;X$2))),2))))</f>
      </c>
      <c r="AI559" s="33">
        <f>IF(Y559&lt;=0,0,MAX(0,MIN(Y559,ROUND($AZ559-SUMPRODUCT($V559:$AE559*($V559:$AE559&gt;0)*(($V$3:$AE$3&gt;Y$3)+($V$3:$AE$3=Y$3)*($V559:$AE559&lt;Y559)+($V$3:$AE$3=Y$3)*($V559:$AE559=Y559)*($V$2:$AE$2&lt;Y$2))),2))))</f>
      </c>
      <c r="AJ559" s="33">
        <f>IF(Z559&lt;=0,0,MAX(0,MIN(Z559,ROUND($AZ559-SUMPRODUCT($V559:$AE559*($V559:$AE559&gt;0)*(($V$3:$AE$3&gt;Z$3)+($V$3:$AE$3=Z$3)*($V559:$AE559&lt;Z559)+($V$3:$AE$3=Z$3)*($V559:$AE559=Z559)*($V$2:$AE$2&lt;Z$2))),2))))</f>
      </c>
      <c r="AK559" s="33">
        <f>IF(AA559&lt;=0,0,MAX(0,MIN(AA559,ROUND($AZ559-SUMPRODUCT($V559:$AE559*($V559:$AE559&gt;0)*(($V$3:$AE$3&gt;AA$3)+($V$3:$AE$3=AA$3)*($V559:$AE559&lt;AA559)+($V$3:$AE$3=AA$3)*($V559:$AE559=AA559)*($V$2:$AE$2&lt;AA$2))),2))))</f>
      </c>
      <c r="AL559" s="33">
        <f>IF(AB559&lt;=0,0,MAX(0,MIN(AB559,ROUND($AZ559-SUMPRODUCT($V559:$AE559*($V559:$AE559&gt;0)*(($V$3:$AE$3&gt;AB$3)+($V$3:$AE$3=AB$3)*($V559:$AE559&lt;AB559)+($V$3:$AE$3=AB$3)*($V559:$AE559=AB559)*($V$2:$AE$2&lt;AB$2))),2))))</f>
      </c>
      <c r="AM559" s="33">
        <f>IF(AC559&lt;=0,0,MAX(0,MIN(AC559,ROUND($AZ559-SUMPRODUCT($V559:$AE559*($V559:$AE559&gt;0)*(($V$3:$AE$3&gt;AC$3)+($V$3:$AE$3=AC$3)*($V559:$AE559&lt;AC559)+($V$3:$AE$3=AC$3)*($V559:$AE559=AC559)*($V$2:$AE$2&lt;AC$2))),2))))</f>
      </c>
      <c r="AN559" s="33">
        <f>IF(AD559&lt;=0,0,MAX(0,MIN(AD559,ROUND($AZ559-SUMPRODUCT($V559:$AE559*($V559:$AE559&gt;0)*(($V$3:$AE$3&gt;AD$3)+($V$3:$AE$3=AD$3)*($V559:$AE559&lt;AD559)+($V$3:$AE$3=AD$3)*($V559:$AE559=AD559)*($V$2:$AE$2&lt;AD$2))),2))))</f>
      </c>
      <c r="AO559" s="33">
        <f>IF(AE559&lt;=0,0,MAX(0,MIN(AE559,ROUND($AZ559-SUMPRODUCT($V559:$AE559*($V559:$AE559&gt;0)*(($V$3:$AE$3&gt;AE$3)+($V$3:$AE$3=AE$3)*($V559:$AE559&lt;AE559)+($V$3:$AE$3=AE$3)*($V559:$AE559=AE559)*($V$2:$AE$2&lt;AE$2))),2))))</f>
      </c>
      <c r="AP559" s="33">
        <f>ROUND(V559-AF559,2)</f>
      </c>
      <c r="AQ559" s="33">
        <f>ROUND(W559-AG559,2)</f>
      </c>
      <c r="AR559" s="33">
        <f>ROUND(X559-AH559,2)</f>
      </c>
      <c r="AS559" s="33">
        <f>ROUND(Y559-AI559,2)</f>
      </c>
      <c r="AT559" s="33">
        <f>ROUND(Z559-AJ559,2)</f>
      </c>
      <c r="AU559" s="33">
        <f>ROUND(AA559-AK559,2)</f>
      </c>
      <c r="AV559" s="33">
        <f>ROUND(AB559-AL559,2)</f>
      </c>
      <c r="AW559" s="33">
        <f>ROUND(AC559-AM559,2)</f>
      </c>
      <c r="AX559" s="33">
        <f>ROUND(AD559-AN559,2)</f>
      </c>
      <c r="AY559" s="33">
        <f>ROUND(AE559-AO559,2)</f>
      </c>
      <c r="AZ559" s="33">
        <f>ROUND(MAX(0,'Your debts'!$D$22-SUM($L559:$U559)),2)</f>
      </c>
      <c r="BA559" s="33">
        <f>ROUND(SUM($B559:$K559)-SUM($AP558:$AY558),2)</f>
      </c>
      <c r="BB559" s="33">
        <f>SUM($AP559:$AY559)</f>
      </c>
      <c r="BC559" s="33">
        <f>ROUND(SUM($L559:$U559)+SUM($AF559:$AO559),2)</f>
      </c>
    </row>
    <row r="560" spans="1:55" x14ac:dyDescent="0.25">
      <c r="A560">
        <v>553</v>
      </c>
      <c r="B560" s="33">
        <f>IF(AP559&lt;=0,0,ROUND(AP559+ROUND(AP559*V$3/12,2),2))</f>
      </c>
      <c r="C560" s="33">
        <f>IF(AQ559&lt;=0,0,ROUND(AQ559+ROUND(AQ559*W$3/12,2),2))</f>
      </c>
      <c r="D560" s="33">
        <f>IF(AR559&lt;=0,0,ROUND(AR559+ROUND(AR559*X$3/12,2),2))</f>
      </c>
      <c r="E560" s="33">
        <f>IF(AS559&lt;=0,0,ROUND(AS559+ROUND(AS559*Y$3/12,2),2))</f>
      </c>
      <c r="F560" s="33">
        <f>IF(AT559&lt;=0,0,ROUND(AT559+ROUND(AT559*Z$3/12,2),2))</f>
      </c>
      <c r="G560" s="33">
        <f>IF(AU559&lt;=0,0,ROUND(AU559+ROUND(AU559*AA$3/12,2),2))</f>
      </c>
      <c r="H560" s="33">
        <f>IF(AV559&lt;=0,0,ROUND(AV559+ROUND(AV559*AB$3/12,2),2))</f>
      </c>
      <c r="I560" s="33">
        <f>IF(AW559&lt;=0,0,ROUND(AW559+ROUND(AW559*AC$3/12,2),2))</f>
      </c>
      <c r="J560" s="33">
        <f>IF(AX559&lt;=0,0,ROUND(AX559+ROUND(AX559*AD$3/12,2),2))</f>
      </c>
      <c r="K560" s="33">
        <f>IF(AY559&lt;=0,0,ROUND(AY559+ROUND(AY559*AE$3/12,2),2))</f>
      </c>
      <c r="L560" s="33">
        <f>ROUND(MIN(MAX(0,N('Your debts'!$E$6)),B560),2)</f>
      </c>
      <c r="M560" s="33">
        <f>ROUND(MIN(MAX(0,N('Your debts'!$E$7)),C560),2)</f>
      </c>
      <c r="N560" s="33">
        <f>ROUND(MIN(MAX(0,N('Your debts'!$E$8)),D560),2)</f>
      </c>
      <c r="O560" s="33">
        <f>ROUND(MIN(MAX(0,N('Your debts'!$E$9)),E560),2)</f>
      </c>
      <c r="P560" s="33">
        <f>ROUND(MIN(MAX(0,N('Your debts'!$E$10)),F560),2)</f>
      </c>
      <c r="Q560" s="33">
        <f>ROUND(MIN(MAX(0,N('Your debts'!$E$11)),G560),2)</f>
      </c>
      <c r="R560" s="33">
        <f>ROUND(MIN(MAX(0,N('Your debts'!$E$12)),H560),2)</f>
      </c>
      <c r="S560" s="33">
        <f>ROUND(MIN(MAX(0,N('Your debts'!$E$13)),I560),2)</f>
      </c>
      <c r="T560" s="33">
        <f>ROUND(MIN(MAX(0,N('Your debts'!$E$14)),J560),2)</f>
      </c>
      <c r="U560" s="33">
        <f>ROUND(MIN(MAX(0,N('Your debts'!$E$15)),K560),2)</f>
      </c>
      <c r="V560" s="33">
        <f>ROUND(B560-L560,2)</f>
      </c>
      <c r="W560" s="33">
        <f>ROUND(C560-M560,2)</f>
      </c>
      <c r="X560" s="33">
        <f>ROUND(D560-N560,2)</f>
      </c>
      <c r="Y560" s="33">
        <f>ROUND(E560-O560,2)</f>
      </c>
      <c r="Z560" s="33">
        <f>ROUND(F560-P560,2)</f>
      </c>
      <c r="AA560" s="33">
        <f>ROUND(G560-Q560,2)</f>
      </c>
      <c r="AB560" s="33">
        <f>ROUND(H560-R560,2)</f>
      </c>
      <c r="AC560" s="33">
        <f>ROUND(I560-S560,2)</f>
      </c>
      <c r="AD560" s="33">
        <f>ROUND(J560-T560,2)</f>
      </c>
      <c r="AE560" s="33">
        <f>ROUND(K560-U560,2)</f>
      </c>
      <c r="AF560" s="33">
        <f>IF(V560&lt;=0,0,MAX(0,MIN(V560,ROUND($AZ560-SUMPRODUCT($V560:$AE560*($V560:$AE560&gt;0)*(($V$3:$AE$3&gt;V$3)+($V$3:$AE$3=V$3)*($V560:$AE560&lt;V560)+($V$3:$AE$3=V$3)*($V560:$AE560=V560)*($V$2:$AE$2&lt;V$2))),2))))</f>
      </c>
      <c r="AG560" s="33">
        <f>IF(W560&lt;=0,0,MAX(0,MIN(W560,ROUND($AZ560-SUMPRODUCT($V560:$AE560*($V560:$AE560&gt;0)*(($V$3:$AE$3&gt;W$3)+($V$3:$AE$3=W$3)*($V560:$AE560&lt;W560)+($V$3:$AE$3=W$3)*($V560:$AE560=W560)*($V$2:$AE$2&lt;W$2))),2))))</f>
      </c>
      <c r="AH560" s="33">
        <f>IF(X560&lt;=0,0,MAX(0,MIN(X560,ROUND($AZ560-SUMPRODUCT($V560:$AE560*($V560:$AE560&gt;0)*(($V$3:$AE$3&gt;X$3)+($V$3:$AE$3=X$3)*($V560:$AE560&lt;X560)+($V$3:$AE$3=X$3)*($V560:$AE560=X560)*($V$2:$AE$2&lt;X$2))),2))))</f>
      </c>
      <c r="AI560" s="33">
        <f>IF(Y560&lt;=0,0,MAX(0,MIN(Y560,ROUND($AZ560-SUMPRODUCT($V560:$AE560*($V560:$AE560&gt;0)*(($V$3:$AE$3&gt;Y$3)+($V$3:$AE$3=Y$3)*($V560:$AE560&lt;Y560)+($V$3:$AE$3=Y$3)*($V560:$AE560=Y560)*($V$2:$AE$2&lt;Y$2))),2))))</f>
      </c>
      <c r="AJ560" s="33">
        <f>IF(Z560&lt;=0,0,MAX(0,MIN(Z560,ROUND($AZ560-SUMPRODUCT($V560:$AE560*($V560:$AE560&gt;0)*(($V$3:$AE$3&gt;Z$3)+($V$3:$AE$3=Z$3)*($V560:$AE560&lt;Z560)+($V$3:$AE$3=Z$3)*($V560:$AE560=Z560)*($V$2:$AE$2&lt;Z$2))),2))))</f>
      </c>
      <c r="AK560" s="33">
        <f>IF(AA560&lt;=0,0,MAX(0,MIN(AA560,ROUND($AZ560-SUMPRODUCT($V560:$AE560*($V560:$AE560&gt;0)*(($V$3:$AE$3&gt;AA$3)+($V$3:$AE$3=AA$3)*($V560:$AE560&lt;AA560)+($V$3:$AE$3=AA$3)*($V560:$AE560=AA560)*($V$2:$AE$2&lt;AA$2))),2))))</f>
      </c>
      <c r="AL560" s="33">
        <f>IF(AB560&lt;=0,0,MAX(0,MIN(AB560,ROUND($AZ560-SUMPRODUCT($V560:$AE560*($V560:$AE560&gt;0)*(($V$3:$AE$3&gt;AB$3)+($V$3:$AE$3=AB$3)*($V560:$AE560&lt;AB560)+($V$3:$AE$3=AB$3)*($V560:$AE560=AB560)*($V$2:$AE$2&lt;AB$2))),2))))</f>
      </c>
      <c r="AM560" s="33">
        <f>IF(AC560&lt;=0,0,MAX(0,MIN(AC560,ROUND($AZ560-SUMPRODUCT($V560:$AE560*($V560:$AE560&gt;0)*(($V$3:$AE$3&gt;AC$3)+($V$3:$AE$3=AC$3)*($V560:$AE560&lt;AC560)+($V$3:$AE$3=AC$3)*($V560:$AE560=AC560)*($V$2:$AE$2&lt;AC$2))),2))))</f>
      </c>
      <c r="AN560" s="33">
        <f>IF(AD560&lt;=0,0,MAX(0,MIN(AD560,ROUND($AZ560-SUMPRODUCT($V560:$AE560*($V560:$AE560&gt;0)*(($V$3:$AE$3&gt;AD$3)+($V$3:$AE$3=AD$3)*($V560:$AE560&lt;AD560)+($V$3:$AE$3=AD$3)*($V560:$AE560=AD560)*($V$2:$AE$2&lt;AD$2))),2))))</f>
      </c>
      <c r="AO560" s="33">
        <f>IF(AE560&lt;=0,0,MAX(0,MIN(AE560,ROUND($AZ560-SUMPRODUCT($V560:$AE560*($V560:$AE560&gt;0)*(($V$3:$AE$3&gt;AE$3)+($V$3:$AE$3=AE$3)*($V560:$AE560&lt;AE560)+($V$3:$AE$3=AE$3)*($V560:$AE560=AE560)*($V$2:$AE$2&lt;AE$2))),2))))</f>
      </c>
      <c r="AP560" s="33">
        <f>ROUND(V560-AF560,2)</f>
      </c>
      <c r="AQ560" s="33">
        <f>ROUND(W560-AG560,2)</f>
      </c>
      <c r="AR560" s="33">
        <f>ROUND(X560-AH560,2)</f>
      </c>
      <c r="AS560" s="33">
        <f>ROUND(Y560-AI560,2)</f>
      </c>
      <c r="AT560" s="33">
        <f>ROUND(Z560-AJ560,2)</f>
      </c>
      <c r="AU560" s="33">
        <f>ROUND(AA560-AK560,2)</f>
      </c>
      <c r="AV560" s="33">
        <f>ROUND(AB560-AL560,2)</f>
      </c>
      <c r="AW560" s="33">
        <f>ROUND(AC560-AM560,2)</f>
      </c>
      <c r="AX560" s="33">
        <f>ROUND(AD560-AN560,2)</f>
      </c>
      <c r="AY560" s="33">
        <f>ROUND(AE560-AO560,2)</f>
      </c>
      <c r="AZ560" s="33">
        <f>ROUND(MAX(0,'Your debts'!$D$22-SUM($L560:$U560)),2)</f>
      </c>
      <c r="BA560" s="33">
        <f>ROUND(SUM($B560:$K560)-SUM($AP559:$AY559),2)</f>
      </c>
      <c r="BB560" s="33">
        <f>SUM($AP560:$AY560)</f>
      </c>
      <c r="BC560" s="33">
        <f>ROUND(SUM($L560:$U560)+SUM($AF560:$AO560),2)</f>
      </c>
    </row>
    <row r="561" spans="1:55" x14ac:dyDescent="0.25">
      <c r="A561">
        <v>554</v>
      </c>
      <c r="B561" s="33">
        <f>IF(AP560&lt;=0,0,ROUND(AP560+ROUND(AP560*V$3/12,2),2))</f>
      </c>
      <c r="C561" s="33">
        <f>IF(AQ560&lt;=0,0,ROUND(AQ560+ROUND(AQ560*W$3/12,2),2))</f>
      </c>
      <c r="D561" s="33">
        <f>IF(AR560&lt;=0,0,ROUND(AR560+ROUND(AR560*X$3/12,2),2))</f>
      </c>
      <c r="E561" s="33">
        <f>IF(AS560&lt;=0,0,ROUND(AS560+ROUND(AS560*Y$3/12,2),2))</f>
      </c>
      <c r="F561" s="33">
        <f>IF(AT560&lt;=0,0,ROUND(AT560+ROUND(AT560*Z$3/12,2),2))</f>
      </c>
      <c r="G561" s="33">
        <f>IF(AU560&lt;=0,0,ROUND(AU560+ROUND(AU560*AA$3/12,2),2))</f>
      </c>
      <c r="H561" s="33">
        <f>IF(AV560&lt;=0,0,ROUND(AV560+ROUND(AV560*AB$3/12,2),2))</f>
      </c>
      <c r="I561" s="33">
        <f>IF(AW560&lt;=0,0,ROUND(AW560+ROUND(AW560*AC$3/12,2),2))</f>
      </c>
      <c r="J561" s="33">
        <f>IF(AX560&lt;=0,0,ROUND(AX560+ROUND(AX560*AD$3/12,2),2))</f>
      </c>
      <c r="K561" s="33">
        <f>IF(AY560&lt;=0,0,ROUND(AY560+ROUND(AY560*AE$3/12,2),2))</f>
      </c>
      <c r="L561" s="33">
        <f>ROUND(MIN(MAX(0,N('Your debts'!$E$6)),B561),2)</f>
      </c>
      <c r="M561" s="33">
        <f>ROUND(MIN(MAX(0,N('Your debts'!$E$7)),C561),2)</f>
      </c>
      <c r="N561" s="33">
        <f>ROUND(MIN(MAX(0,N('Your debts'!$E$8)),D561),2)</f>
      </c>
      <c r="O561" s="33">
        <f>ROUND(MIN(MAX(0,N('Your debts'!$E$9)),E561),2)</f>
      </c>
      <c r="P561" s="33">
        <f>ROUND(MIN(MAX(0,N('Your debts'!$E$10)),F561),2)</f>
      </c>
      <c r="Q561" s="33">
        <f>ROUND(MIN(MAX(0,N('Your debts'!$E$11)),G561),2)</f>
      </c>
      <c r="R561" s="33">
        <f>ROUND(MIN(MAX(0,N('Your debts'!$E$12)),H561),2)</f>
      </c>
      <c r="S561" s="33">
        <f>ROUND(MIN(MAX(0,N('Your debts'!$E$13)),I561),2)</f>
      </c>
      <c r="T561" s="33">
        <f>ROUND(MIN(MAX(0,N('Your debts'!$E$14)),J561),2)</f>
      </c>
      <c r="U561" s="33">
        <f>ROUND(MIN(MAX(0,N('Your debts'!$E$15)),K561),2)</f>
      </c>
      <c r="V561" s="33">
        <f>ROUND(B561-L561,2)</f>
      </c>
      <c r="W561" s="33">
        <f>ROUND(C561-M561,2)</f>
      </c>
      <c r="X561" s="33">
        <f>ROUND(D561-N561,2)</f>
      </c>
      <c r="Y561" s="33">
        <f>ROUND(E561-O561,2)</f>
      </c>
      <c r="Z561" s="33">
        <f>ROUND(F561-P561,2)</f>
      </c>
      <c r="AA561" s="33">
        <f>ROUND(G561-Q561,2)</f>
      </c>
      <c r="AB561" s="33">
        <f>ROUND(H561-R561,2)</f>
      </c>
      <c r="AC561" s="33">
        <f>ROUND(I561-S561,2)</f>
      </c>
      <c r="AD561" s="33">
        <f>ROUND(J561-T561,2)</f>
      </c>
      <c r="AE561" s="33">
        <f>ROUND(K561-U561,2)</f>
      </c>
      <c r="AF561" s="33">
        <f>IF(V561&lt;=0,0,MAX(0,MIN(V561,ROUND($AZ561-SUMPRODUCT($V561:$AE561*($V561:$AE561&gt;0)*(($V$3:$AE$3&gt;V$3)+($V$3:$AE$3=V$3)*($V561:$AE561&lt;V561)+($V$3:$AE$3=V$3)*($V561:$AE561=V561)*($V$2:$AE$2&lt;V$2))),2))))</f>
      </c>
      <c r="AG561" s="33">
        <f>IF(W561&lt;=0,0,MAX(0,MIN(W561,ROUND($AZ561-SUMPRODUCT($V561:$AE561*($V561:$AE561&gt;0)*(($V$3:$AE$3&gt;W$3)+($V$3:$AE$3=W$3)*($V561:$AE561&lt;W561)+($V$3:$AE$3=W$3)*($V561:$AE561=W561)*($V$2:$AE$2&lt;W$2))),2))))</f>
      </c>
      <c r="AH561" s="33">
        <f>IF(X561&lt;=0,0,MAX(0,MIN(X561,ROUND($AZ561-SUMPRODUCT($V561:$AE561*($V561:$AE561&gt;0)*(($V$3:$AE$3&gt;X$3)+($V$3:$AE$3=X$3)*($V561:$AE561&lt;X561)+($V$3:$AE$3=X$3)*($V561:$AE561=X561)*($V$2:$AE$2&lt;X$2))),2))))</f>
      </c>
      <c r="AI561" s="33">
        <f>IF(Y561&lt;=0,0,MAX(0,MIN(Y561,ROUND($AZ561-SUMPRODUCT($V561:$AE561*($V561:$AE561&gt;0)*(($V$3:$AE$3&gt;Y$3)+($V$3:$AE$3=Y$3)*($V561:$AE561&lt;Y561)+($V$3:$AE$3=Y$3)*($V561:$AE561=Y561)*($V$2:$AE$2&lt;Y$2))),2))))</f>
      </c>
      <c r="AJ561" s="33">
        <f>IF(Z561&lt;=0,0,MAX(0,MIN(Z561,ROUND($AZ561-SUMPRODUCT($V561:$AE561*($V561:$AE561&gt;0)*(($V$3:$AE$3&gt;Z$3)+($V$3:$AE$3=Z$3)*($V561:$AE561&lt;Z561)+($V$3:$AE$3=Z$3)*($V561:$AE561=Z561)*($V$2:$AE$2&lt;Z$2))),2))))</f>
      </c>
      <c r="AK561" s="33">
        <f>IF(AA561&lt;=0,0,MAX(0,MIN(AA561,ROUND($AZ561-SUMPRODUCT($V561:$AE561*($V561:$AE561&gt;0)*(($V$3:$AE$3&gt;AA$3)+($V$3:$AE$3=AA$3)*($V561:$AE561&lt;AA561)+($V$3:$AE$3=AA$3)*($V561:$AE561=AA561)*($V$2:$AE$2&lt;AA$2))),2))))</f>
      </c>
      <c r="AL561" s="33">
        <f>IF(AB561&lt;=0,0,MAX(0,MIN(AB561,ROUND($AZ561-SUMPRODUCT($V561:$AE561*($V561:$AE561&gt;0)*(($V$3:$AE$3&gt;AB$3)+($V$3:$AE$3=AB$3)*($V561:$AE561&lt;AB561)+($V$3:$AE$3=AB$3)*($V561:$AE561=AB561)*($V$2:$AE$2&lt;AB$2))),2))))</f>
      </c>
      <c r="AM561" s="33">
        <f>IF(AC561&lt;=0,0,MAX(0,MIN(AC561,ROUND($AZ561-SUMPRODUCT($V561:$AE561*($V561:$AE561&gt;0)*(($V$3:$AE$3&gt;AC$3)+($V$3:$AE$3=AC$3)*($V561:$AE561&lt;AC561)+($V$3:$AE$3=AC$3)*($V561:$AE561=AC561)*($V$2:$AE$2&lt;AC$2))),2))))</f>
      </c>
      <c r="AN561" s="33">
        <f>IF(AD561&lt;=0,0,MAX(0,MIN(AD561,ROUND($AZ561-SUMPRODUCT($V561:$AE561*($V561:$AE561&gt;0)*(($V$3:$AE$3&gt;AD$3)+($V$3:$AE$3=AD$3)*($V561:$AE561&lt;AD561)+($V$3:$AE$3=AD$3)*($V561:$AE561=AD561)*($V$2:$AE$2&lt;AD$2))),2))))</f>
      </c>
      <c r="AO561" s="33">
        <f>IF(AE561&lt;=0,0,MAX(0,MIN(AE561,ROUND($AZ561-SUMPRODUCT($V561:$AE561*($V561:$AE561&gt;0)*(($V$3:$AE$3&gt;AE$3)+($V$3:$AE$3=AE$3)*($V561:$AE561&lt;AE561)+($V$3:$AE$3=AE$3)*($V561:$AE561=AE561)*($V$2:$AE$2&lt;AE$2))),2))))</f>
      </c>
      <c r="AP561" s="33">
        <f>ROUND(V561-AF561,2)</f>
      </c>
      <c r="AQ561" s="33">
        <f>ROUND(W561-AG561,2)</f>
      </c>
      <c r="AR561" s="33">
        <f>ROUND(X561-AH561,2)</f>
      </c>
      <c r="AS561" s="33">
        <f>ROUND(Y561-AI561,2)</f>
      </c>
      <c r="AT561" s="33">
        <f>ROUND(Z561-AJ561,2)</f>
      </c>
      <c r="AU561" s="33">
        <f>ROUND(AA561-AK561,2)</f>
      </c>
      <c r="AV561" s="33">
        <f>ROUND(AB561-AL561,2)</f>
      </c>
      <c r="AW561" s="33">
        <f>ROUND(AC561-AM561,2)</f>
      </c>
      <c r="AX561" s="33">
        <f>ROUND(AD561-AN561,2)</f>
      </c>
      <c r="AY561" s="33">
        <f>ROUND(AE561-AO561,2)</f>
      </c>
      <c r="AZ561" s="33">
        <f>ROUND(MAX(0,'Your debts'!$D$22-SUM($L561:$U561)),2)</f>
      </c>
      <c r="BA561" s="33">
        <f>ROUND(SUM($B561:$K561)-SUM($AP560:$AY560),2)</f>
      </c>
      <c r="BB561" s="33">
        <f>SUM($AP561:$AY561)</f>
      </c>
      <c r="BC561" s="33">
        <f>ROUND(SUM($L561:$U561)+SUM($AF561:$AO561),2)</f>
      </c>
    </row>
    <row r="562" spans="1:55" x14ac:dyDescent="0.25">
      <c r="A562">
        <v>555</v>
      </c>
      <c r="B562" s="33">
        <f>IF(AP561&lt;=0,0,ROUND(AP561+ROUND(AP561*V$3/12,2),2))</f>
      </c>
      <c r="C562" s="33">
        <f>IF(AQ561&lt;=0,0,ROUND(AQ561+ROUND(AQ561*W$3/12,2),2))</f>
      </c>
      <c r="D562" s="33">
        <f>IF(AR561&lt;=0,0,ROUND(AR561+ROUND(AR561*X$3/12,2),2))</f>
      </c>
      <c r="E562" s="33">
        <f>IF(AS561&lt;=0,0,ROUND(AS561+ROUND(AS561*Y$3/12,2),2))</f>
      </c>
      <c r="F562" s="33">
        <f>IF(AT561&lt;=0,0,ROUND(AT561+ROUND(AT561*Z$3/12,2),2))</f>
      </c>
      <c r="G562" s="33">
        <f>IF(AU561&lt;=0,0,ROUND(AU561+ROUND(AU561*AA$3/12,2),2))</f>
      </c>
      <c r="H562" s="33">
        <f>IF(AV561&lt;=0,0,ROUND(AV561+ROUND(AV561*AB$3/12,2),2))</f>
      </c>
      <c r="I562" s="33">
        <f>IF(AW561&lt;=0,0,ROUND(AW561+ROUND(AW561*AC$3/12,2),2))</f>
      </c>
      <c r="J562" s="33">
        <f>IF(AX561&lt;=0,0,ROUND(AX561+ROUND(AX561*AD$3/12,2),2))</f>
      </c>
      <c r="K562" s="33">
        <f>IF(AY561&lt;=0,0,ROUND(AY561+ROUND(AY561*AE$3/12,2),2))</f>
      </c>
      <c r="L562" s="33">
        <f>ROUND(MIN(MAX(0,N('Your debts'!$E$6)),B562),2)</f>
      </c>
      <c r="M562" s="33">
        <f>ROUND(MIN(MAX(0,N('Your debts'!$E$7)),C562),2)</f>
      </c>
      <c r="N562" s="33">
        <f>ROUND(MIN(MAX(0,N('Your debts'!$E$8)),D562),2)</f>
      </c>
      <c r="O562" s="33">
        <f>ROUND(MIN(MAX(0,N('Your debts'!$E$9)),E562),2)</f>
      </c>
      <c r="P562" s="33">
        <f>ROUND(MIN(MAX(0,N('Your debts'!$E$10)),F562),2)</f>
      </c>
      <c r="Q562" s="33">
        <f>ROUND(MIN(MAX(0,N('Your debts'!$E$11)),G562),2)</f>
      </c>
      <c r="R562" s="33">
        <f>ROUND(MIN(MAX(0,N('Your debts'!$E$12)),H562),2)</f>
      </c>
      <c r="S562" s="33">
        <f>ROUND(MIN(MAX(0,N('Your debts'!$E$13)),I562),2)</f>
      </c>
      <c r="T562" s="33">
        <f>ROUND(MIN(MAX(0,N('Your debts'!$E$14)),J562),2)</f>
      </c>
      <c r="U562" s="33">
        <f>ROUND(MIN(MAX(0,N('Your debts'!$E$15)),K562),2)</f>
      </c>
      <c r="V562" s="33">
        <f>ROUND(B562-L562,2)</f>
      </c>
      <c r="W562" s="33">
        <f>ROUND(C562-M562,2)</f>
      </c>
      <c r="X562" s="33">
        <f>ROUND(D562-N562,2)</f>
      </c>
      <c r="Y562" s="33">
        <f>ROUND(E562-O562,2)</f>
      </c>
      <c r="Z562" s="33">
        <f>ROUND(F562-P562,2)</f>
      </c>
      <c r="AA562" s="33">
        <f>ROUND(G562-Q562,2)</f>
      </c>
      <c r="AB562" s="33">
        <f>ROUND(H562-R562,2)</f>
      </c>
      <c r="AC562" s="33">
        <f>ROUND(I562-S562,2)</f>
      </c>
      <c r="AD562" s="33">
        <f>ROUND(J562-T562,2)</f>
      </c>
      <c r="AE562" s="33">
        <f>ROUND(K562-U562,2)</f>
      </c>
      <c r="AF562" s="33">
        <f>IF(V562&lt;=0,0,MAX(0,MIN(V562,ROUND($AZ562-SUMPRODUCT($V562:$AE562*($V562:$AE562&gt;0)*(($V$3:$AE$3&gt;V$3)+($V$3:$AE$3=V$3)*($V562:$AE562&lt;V562)+($V$3:$AE$3=V$3)*($V562:$AE562=V562)*($V$2:$AE$2&lt;V$2))),2))))</f>
      </c>
      <c r="AG562" s="33">
        <f>IF(W562&lt;=0,0,MAX(0,MIN(W562,ROUND($AZ562-SUMPRODUCT($V562:$AE562*($V562:$AE562&gt;0)*(($V$3:$AE$3&gt;W$3)+($V$3:$AE$3=W$3)*($V562:$AE562&lt;W562)+($V$3:$AE$3=W$3)*($V562:$AE562=W562)*($V$2:$AE$2&lt;W$2))),2))))</f>
      </c>
      <c r="AH562" s="33">
        <f>IF(X562&lt;=0,0,MAX(0,MIN(X562,ROUND($AZ562-SUMPRODUCT($V562:$AE562*($V562:$AE562&gt;0)*(($V$3:$AE$3&gt;X$3)+($V$3:$AE$3=X$3)*($V562:$AE562&lt;X562)+($V$3:$AE$3=X$3)*($V562:$AE562=X562)*($V$2:$AE$2&lt;X$2))),2))))</f>
      </c>
      <c r="AI562" s="33">
        <f>IF(Y562&lt;=0,0,MAX(0,MIN(Y562,ROUND($AZ562-SUMPRODUCT($V562:$AE562*($V562:$AE562&gt;0)*(($V$3:$AE$3&gt;Y$3)+($V$3:$AE$3=Y$3)*($V562:$AE562&lt;Y562)+($V$3:$AE$3=Y$3)*($V562:$AE562=Y562)*($V$2:$AE$2&lt;Y$2))),2))))</f>
      </c>
      <c r="AJ562" s="33">
        <f>IF(Z562&lt;=0,0,MAX(0,MIN(Z562,ROUND($AZ562-SUMPRODUCT($V562:$AE562*($V562:$AE562&gt;0)*(($V$3:$AE$3&gt;Z$3)+($V$3:$AE$3=Z$3)*($V562:$AE562&lt;Z562)+($V$3:$AE$3=Z$3)*($V562:$AE562=Z562)*($V$2:$AE$2&lt;Z$2))),2))))</f>
      </c>
      <c r="AK562" s="33">
        <f>IF(AA562&lt;=0,0,MAX(0,MIN(AA562,ROUND($AZ562-SUMPRODUCT($V562:$AE562*($V562:$AE562&gt;0)*(($V$3:$AE$3&gt;AA$3)+($V$3:$AE$3=AA$3)*($V562:$AE562&lt;AA562)+($V$3:$AE$3=AA$3)*($V562:$AE562=AA562)*($V$2:$AE$2&lt;AA$2))),2))))</f>
      </c>
      <c r="AL562" s="33">
        <f>IF(AB562&lt;=0,0,MAX(0,MIN(AB562,ROUND($AZ562-SUMPRODUCT($V562:$AE562*($V562:$AE562&gt;0)*(($V$3:$AE$3&gt;AB$3)+($V$3:$AE$3=AB$3)*($V562:$AE562&lt;AB562)+($V$3:$AE$3=AB$3)*($V562:$AE562=AB562)*($V$2:$AE$2&lt;AB$2))),2))))</f>
      </c>
      <c r="AM562" s="33">
        <f>IF(AC562&lt;=0,0,MAX(0,MIN(AC562,ROUND($AZ562-SUMPRODUCT($V562:$AE562*($V562:$AE562&gt;0)*(($V$3:$AE$3&gt;AC$3)+($V$3:$AE$3=AC$3)*($V562:$AE562&lt;AC562)+($V$3:$AE$3=AC$3)*($V562:$AE562=AC562)*($V$2:$AE$2&lt;AC$2))),2))))</f>
      </c>
      <c r="AN562" s="33">
        <f>IF(AD562&lt;=0,0,MAX(0,MIN(AD562,ROUND($AZ562-SUMPRODUCT($V562:$AE562*($V562:$AE562&gt;0)*(($V$3:$AE$3&gt;AD$3)+($V$3:$AE$3=AD$3)*($V562:$AE562&lt;AD562)+($V$3:$AE$3=AD$3)*($V562:$AE562=AD562)*($V$2:$AE$2&lt;AD$2))),2))))</f>
      </c>
      <c r="AO562" s="33">
        <f>IF(AE562&lt;=0,0,MAX(0,MIN(AE562,ROUND($AZ562-SUMPRODUCT($V562:$AE562*($V562:$AE562&gt;0)*(($V$3:$AE$3&gt;AE$3)+($V$3:$AE$3=AE$3)*($V562:$AE562&lt;AE562)+($V$3:$AE$3=AE$3)*($V562:$AE562=AE562)*($V$2:$AE$2&lt;AE$2))),2))))</f>
      </c>
      <c r="AP562" s="33">
        <f>ROUND(V562-AF562,2)</f>
      </c>
      <c r="AQ562" s="33">
        <f>ROUND(W562-AG562,2)</f>
      </c>
      <c r="AR562" s="33">
        <f>ROUND(X562-AH562,2)</f>
      </c>
      <c r="AS562" s="33">
        <f>ROUND(Y562-AI562,2)</f>
      </c>
      <c r="AT562" s="33">
        <f>ROUND(Z562-AJ562,2)</f>
      </c>
      <c r="AU562" s="33">
        <f>ROUND(AA562-AK562,2)</f>
      </c>
      <c r="AV562" s="33">
        <f>ROUND(AB562-AL562,2)</f>
      </c>
      <c r="AW562" s="33">
        <f>ROUND(AC562-AM562,2)</f>
      </c>
      <c r="AX562" s="33">
        <f>ROUND(AD562-AN562,2)</f>
      </c>
      <c r="AY562" s="33">
        <f>ROUND(AE562-AO562,2)</f>
      </c>
      <c r="AZ562" s="33">
        <f>ROUND(MAX(0,'Your debts'!$D$22-SUM($L562:$U562)),2)</f>
      </c>
      <c r="BA562" s="33">
        <f>ROUND(SUM($B562:$K562)-SUM($AP561:$AY561),2)</f>
      </c>
      <c r="BB562" s="33">
        <f>SUM($AP562:$AY562)</f>
      </c>
      <c r="BC562" s="33">
        <f>ROUND(SUM($L562:$U562)+SUM($AF562:$AO562),2)</f>
      </c>
    </row>
    <row r="563" spans="1:55" x14ac:dyDescent="0.25">
      <c r="A563">
        <v>556</v>
      </c>
      <c r="B563" s="33">
        <f>IF(AP562&lt;=0,0,ROUND(AP562+ROUND(AP562*V$3/12,2),2))</f>
      </c>
      <c r="C563" s="33">
        <f>IF(AQ562&lt;=0,0,ROUND(AQ562+ROUND(AQ562*W$3/12,2),2))</f>
      </c>
      <c r="D563" s="33">
        <f>IF(AR562&lt;=0,0,ROUND(AR562+ROUND(AR562*X$3/12,2),2))</f>
      </c>
      <c r="E563" s="33">
        <f>IF(AS562&lt;=0,0,ROUND(AS562+ROUND(AS562*Y$3/12,2),2))</f>
      </c>
      <c r="F563" s="33">
        <f>IF(AT562&lt;=0,0,ROUND(AT562+ROUND(AT562*Z$3/12,2),2))</f>
      </c>
      <c r="G563" s="33">
        <f>IF(AU562&lt;=0,0,ROUND(AU562+ROUND(AU562*AA$3/12,2),2))</f>
      </c>
      <c r="H563" s="33">
        <f>IF(AV562&lt;=0,0,ROUND(AV562+ROUND(AV562*AB$3/12,2),2))</f>
      </c>
      <c r="I563" s="33">
        <f>IF(AW562&lt;=0,0,ROUND(AW562+ROUND(AW562*AC$3/12,2),2))</f>
      </c>
      <c r="J563" s="33">
        <f>IF(AX562&lt;=0,0,ROUND(AX562+ROUND(AX562*AD$3/12,2),2))</f>
      </c>
      <c r="K563" s="33">
        <f>IF(AY562&lt;=0,0,ROUND(AY562+ROUND(AY562*AE$3/12,2),2))</f>
      </c>
      <c r="L563" s="33">
        <f>ROUND(MIN(MAX(0,N('Your debts'!$E$6)),B563),2)</f>
      </c>
      <c r="M563" s="33">
        <f>ROUND(MIN(MAX(0,N('Your debts'!$E$7)),C563),2)</f>
      </c>
      <c r="N563" s="33">
        <f>ROUND(MIN(MAX(0,N('Your debts'!$E$8)),D563),2)</f>
      </c>
      <c r="O563" s="33">
        <f>ROUND(MIN(MAX(0,N('Your debts'!$E$9)),E563),2)</f>
      </c>
      <c r="P563" s="33">
        <f>ROUND(MIN(MAX(0,N('Your debts'!$E$10)),F563),2)</f>
      </c>
      <c r="Q563" s="33">
        <f>ROUND(MIN(MAX(0,N('Your debts'!$E$11)),G563),2)</f>
      </c>
      <c r="R563" s="33">
        <f>ROUND(MIN(MAX(0,N('Your debts'!$E$12)),H563),2)</f>
      </c>
      <c r="S563" s="33">
        <f>ROUND(MIN(MAX(0,N('Your debts'!$E$13)),I563),2)</f>
      </c>
      <c r="T563" s="33">
        <f>ROUND(MIN(MAX(0,N('Your debts'!$E$14)),J563),2)</f>
      </c>
      <c r="U563" s="33">
        <f>ROUND(MIN(MAX(0,N('Your debts'!$E$15)),K563),2)</f>
      </c>
      <c r="V563" s="33">
        <f>ROUND(B563-L563,2)</f>
      </c>
      <c r="W563" s="33">
        <f>ROUND(C563-M563,2)</f>
      </c>
      <c r="X563" s="33">
        <f>ROUND(D563-N563,2)</f>
      </c>
      <c r="Y563" s="33">
        <f>ROUND(E563-O563,2)</f>
      </c>
      <c r="Z563" s="33">
        <f>ROUND(F563-P563,2)</f>
      </c>
      <c r="AA563" s="33">
        <f>ROUND(G563-Q563,2)</f>
      </c>
      <c r="AB563" s="33">
        <f>ROUND(H563-R563,2)</f>
      </c>
      <c r="AC563" s="33">
        <f>ROUND(I563-S563,2)</f>
      </c>
      <c r="AD563" s="33">
        <f>ROUND(J563-T563,2)</f>
      </c>
      <c r="AE563" s="33">
        <f>ROUND(K563-U563,2)</f>
      </c>
      <c r="AF563" s="33">
        <f>IF(V563&lt;=0,0,MAX(0,MIN(V563,ROUND($AZ563-SUMPRODUCT($V563:$AE563*($V563:$AE563&gt;0)*(($V$3:$AE$3&gt;V$3)+($V$3:$AE$3=V$3)*($V563:$AE563&lt;V563)+($V$3:$AE$3=V$3)*($V563:$AE563=V563)*($V$2:$AE$2&lt;V$2))),2))))</f>
      </c>
      <c r="AG563" s="33">
        <f>IF(W563&lt;=0,0,MAX(0,MIN(W563,ROUND($AZ563-SUMPRODUCT($V563:$AE563*($V563:$AE563&gt;0)*(($V$3:$AE$3&gt;W$3)+($V$3:$AE$3=W$3)*($V563:$AE563&lt;W563)+($V$3:$AE$3=W$3)*($V563:$AE563=W563)*($V$2:$AE$2&lt;W$2))),2))))</f>
      </c>
      <c r="AH563" s="33">
        <f>IF(X563&lt;=0,0,MAX(0,MIN(X563,ROUND($AZ563-SUMPRODUCT($V563:$AE563*($V563:$AE563&gt;0)*(($V$3:$AE$3&gt;X$3)+($V$3:$AE$3=X$3)*($V563:$AE563&lt;X563)+($V$3:$AE$3=X$3)*($V563:$AE563=X563)*($V$2:$AE$2&lt;X$2))),2))))</f>
      </c>
      <c r="AI563" s="33">
        <f>IF(Y563&lt;=0,0,MAX(0,MIN(Y563,ROUND($AZ563-SUMPRODUCT($V563:$AE563*($V563:$AE563&gt;0)*(($V$3:$AE$3&gt;Y$3)+($V$3:$AE$3=Y$3)*($V563:$AE563&lt;Y563)+($V$3:$AE$3=Y$3)*($V563:$AE563=Y563)*($V$2:$AE$2&lt;Y$2))),2))))</f>
      </c>
      <c r="AJ563" s="33">
        <f>IF(Z563&lt;=0,0,MAX(0,MIN(Z563,ROUND($AZ563-SUMPRODUCT($V563:$AE563*($V563:$AE563&gt;0)*(($V$3:$AE$3&gt;Z$3)+($V$3:$AE$3=Z$3)*($V563:$AE563&lt;Z563)+($V$3:$AE$3=Z$3)*($V563:$AE563=Z563)*($V$2:$AE$2&lt;Z$2))),2))))</f>
      </c>
      <c r="AK563" s="33">
        <f>IF(AA563&lt;=0,0,MAX(0,MIN(AA563,ROUND($AZ563-SUMPRODUCT($V563:$AE563*($V563:$AE563&gt;0)*(($V$3:$AE$3&gt;AA$3)+($V$3:$AE$3=AA$3)*($V563:$AE563&lt;AA563)+($V$3:$AE$3=AA$3)*($V563:$AE563=AA563)*($V$2:$AE$2&lt;AA$2))),2))))</f>
      </c>
      <c r="AL563" s="33">
        <f>IF(AB563&lt;=0,0,MAX(0,MIN(AB563,ROUND($AZ563-SUMPRODUCT($V563:$AE563*($V563:$AE563&gt;0)*(($V$3:$AE$3&gt;AB$3)+($V$3:$AE$3=AB$3)*($V563:$AE563&lt;AB563)+($V$3:$AE$3=AB$3)*($V563:$AE563=AB563)*($V$2:$AE$2&lt;AB$2))),2))))</f>
      </c>
      <c r="AM563" s="33">
        <f>IF(AC563&lt;=0,0,MAX(0,MIN(AC563,ROUND($AZ563-SUMPRODUCT($V563:$AE563*($V563:$AE563&gt;0)*(($V$3:$AE$3&gt;AC$3)+($V$3:$AE$3=AC$3)*($V563:$AE563&lt;AC563)+($V$3:$AE$3=AC$3)*($V563:$AE563=AC563)*($V$2:$AE$2&lt;AC$2))),2))))</f>
      </c>
      <c r="AN563" s="33">
        <f>IF(AD563&lt;=0,0,MAX(0,MIN(AD563,ROUND($AZ563-SUMPRODUCT($V563:$AE563*($V563:$AE563&gt;0)*(($V$3:$AE$3&gt;AD$3)+($V$3:$AE$3=AD$3)*($V563:$AE563&lt;AD563)+($V$3:$AE$3=AD$3)*($V563:$AE563=AD563)*($V$2:$AE$2&lt;AD$2))),2))))</f>
      </c>
      <c r="AO563" s="33">
        <f>IF(AE563&lt;=0,0,MAX(0,MIN(AE563,ROUND($AZ563-SUMPRODUCT($V563:$AE563*($V563:$AE563&gt;0)*(($V$3:$AE$3&gt;AE$3)+($V$3:$AE$3=AE$3)*($V563:$AE563&lt;AE563)+($V$3:$AE$3=AE$3)*($V563:$AE563=AE563)*($V$2:$AE$2&lt;AE$2))),2))))</f>
      </c>
      <c r="AP563" s="33">
        <f>ROUND(V563-AF563,2)</f>
      </c>
      <c r="AQ563" s="33">
        <f>ROUND(W563-AG563,2)</f>
      </c>
      <c r="AR563" s="33">
        <f>ROUND(X563-AH563,2)</f>
      </c>
      <c r="AS563" s="33">
        <f>ROUND(Y563-AI563,2)</f>
      </c>
      <c r="AT563" s="33">
        <f>ROUND(Z563-AJ563,2)</f>
      </c>
      <c r="AU563" s="33">
        <f>ROUND(AA563-AK563,2)</f>
      </c>
      <c r="AV563" s="33">
        <f>ROUND(AB563-AL563,2)</f>
      </c>
      <c r="AW563" s="33">
        <f>ROUND(AC563-AM563,2)</f>
      </c>
      <c r="AX563" s="33">
        <f>ROUND(AD563-AN563,2)</f>
      </c>
      <c r="AY563" s="33">
        <f>ROUND(AE563-AO563,2)</f>
      </c>
      <c r="AZ563" s="33">
        <f>ROUND(MAX(0,'Your debts'!$D$22-SUM($L563:$U563)),2)</f>
      </c>
      <c r="BA563" s="33">
        <f>ROUND(SUM($B563:$K563)-SUM($AP562:$AY562),2)</f>
      </c>
      <c r="BB563" s="33">
        <f>SUM($AP563:$AY563)</f>
      </c>
      <c r="BC563" s="33">
        <f>ROUND(SUM($L563:$U563)+SUM($AF563:$AO563),2)</f>
      </c>
    </row>
    <row r="564" spans="1:55" x14ac:dyDescent="0.25">
      <c r="A564">
        <v>557</v>
      </c>
      <c r="B564" s="33">
        <f>IF(AP563&lt;=0,0,ROUND(AP563+ROUND(AP563*V$3/12,2),2))</f>
      </c>
      <c r="C564" s="33">
        <f>IF(AQ563&lt;=0,0,ROUND(AQ563+ROUND(AQ563*W$3/12,2),2))</f>
      </c>
      <c r="D564" s="33">
        <f>IF(AR563&lt;=0,0,ROUND(AR563+ROUND(AR563*X$3/12,2),2))</f>
      </c>
      <c r="E564" s="33">
        <f>IF(AS563&lt;=0,0,ROUND(AS563+ROUND(AS563*Y$3/12,2),2))</f>
      </c>
      <c r="F564" s="33">
        <f>IF(AT563&lt;=0,0,ROUND(AT563+ROUND(AT563*Z$3/12,2),2))</f>
      </c>
      <c r="G564" s="33">
        <f>IF(AU563&lt;=0,0,ROUND(AU563+ROUND(AU563*AA$3/12,2),2))</f>
      </c>
      <c r="H564" s="33">
        <f>IF(AV563&lt;=0,0,ROUND(AV563+ROUND(AV563*AB$3/12,2),2))</f>
      </c>
      <c r="I564" s="33">
        <f>IF(AW563&lt;=0,0,ROUND(AW563+ROUND(AW563*AC$3/12,2),2))</f>
      </c>
      <c r="J564" s="33">
        <f>IF(AX563&lt;=0,0,ROUND(AX563+ROUND(AX563*AD$3/12,2),2))</f>
      </c>
      <c r="K564" s="33">
        <f>IF(AY563&lt;=0,0,ROUND(AY563+ROUND(AY563*AE$3/12,2),2))</f>
      </c>
      <c r="L564" s="33">
        <f>ROUND(MIN(MAX(0,N('Your debts'!$E$6)),B564),2)</f>
      </c>
      <c r="M564" s="33">
        <f>ROUND(MIN(MAX(0,N('Your debts'!$E$7)),C564),2)</f>
      </c>
      <c r="N564" s="33">
        <f>ROUND(MIN(MAX(0,N('Your debts'!$E$8)),D564),2)</f>
      </c>
      <c r="O564" s="33">
        <f>ROUND(MIN(MAX(0,N('Your debts'!$E$9)),E564),2)</f>
      </c>
      <c r="P564" s="33">
        <f>ROUND(MIN(MAX(0,N('Your debts'!$E$10)),F564),2)</f>
      </c>
      <c r="Q564" s="33">
        <f>ROUND(MIN(MAX(0,N('Your debts'!$E$11)),G564),2)</f>
      </c>
      <c r="R564" s="33">
        <f>ROUND(MIN(MAX(0,N('Your debts'!$E$12)),H564),2)</f>
      </c>
      <c r="S564" s="33">
        <f>ROUND(MIN(MAX(0,N('Your debts'!$E$13)),I564),2)</f>
      </c>
      <c r="T564" s="33">
        <f>ROUND(MIN(MAX(0,N('Your debts'!$E$14)),J564),2)</f>
      </c>
      <c r="U564" s="33">
        <f>ROUND(MIN(MAX(0,N('Your debts'!$E$15)),K564),2)</f>
      </c>
      <c r="V564" s="33">
        <f>ROUND(B564-L564,2)</f>
      </c>
      <c r="W564" s="33">
        <f>ROUND(C564-M564,2)</f>
      </c>
      <c r="X564" s="33">
        <f>ROUND(D564-N564,2)</f>
      </c>
      <c r="Y564" s="33">
        <f>ROUND(E564-O564,2)</f>
      </c>
      <c r="Z564" s="33">
        <f>ROUND(F564-P564,2)</f>
      </c>
      <c r="AA564" s="33">
        <f>ROUND(G564-Q564,2)</f>
      </c>
      <c r="AB564" s="33">
        <f>ROUND(H564-R564,2)</f>
      </c>
      <c r="AC564" s="33">
        <f>ROUND(I564-S564,2)</f>
      </c>
      <c r="AD564" s="33">
        <f>ROUND(J564-T564,2)</f>
      </c>
      <c r="AE564" s="33">
        <f>ROUND(K564-U564,2)</f>
      </c>
      <c r="AF564" s="33">
        <f>IF(V564&lt;=0,0,MAX(0,MIN(V564,ROUND($AZ564-SUMPRODUCT($V564:$AE564*($V564:$AE564&gt;0)*(($V$3:$AE$3&gt;V$3)+($V$3:$AE$3=V$3)*($V564:$AE564&lt;V564)+($V$3:$AE$3=V$3)*($V564:$AE564=V564)*($V$2:$AE$2&lt;V$2))),2))))</f>
      </c>
      <c r="AG564" s="33">
        <f>IF(W564&lt;=0,0,MAX(0,MIN(W564,ROUND($AZ564-SUMPRODUCT($V564:$AE564*($V564:$AE564&gt;0)*(($V$3:$AE$3&gt;W$3)+($V$3:$AE$3=W$3)*($V564:$AE564&lt;W564)+($V$3:$AE$3=W$3)*($V564:$AE564=W564)*($V$2:$AE$2&lt;W$2))),2))))</f>
      </c>
      <c r="AH564" s="33">
        <f>IF(X564&lt;=0,0,MAX(0,MIN(X564,ROUND($AZ564-SUMPRODUCT($V564:$AE564*($V564:$AE564&gt;0)*(($V$3:$AE$3&gt;X$3)+($V$3:$AE$3=X$3)*($V564:$AE564&lt;X564)+($V$3:$AE$3=X$3)*($V564:$AE564=X564)*($V$2:$AE$2&lt;X$2))),2))))</f>
      </c>
      <c r="AI564" s="33">
        <f>IF(Y564&lt;=0,0,MAX(0,MIN(Y564,ROUND($AZ564-SUMPRODUCT($V564:$AE564*($V564:$AE564&gt;0)*(($V$3:$AE$3&gt;Y$3)+($V$3:$AE$3=Y$3)*($V564:$AE564&lt;Y564)+($V$3:$AE$3=Y$3)*($V564:$AE564=Y564)*($V$2:$AE$2&lt;Y$2))),2))))</f>
      </c>
      <c r="AJ564" s="33">
        <f>IF(Z564&lt;=0,0,MAX(0,MIN(Z564,ROUND($AZ564-SUMPRODUCT($V564:$AE564*($V564:$AE564&gt;0)*(($V$3:$AE$3&gt;Z$3)+($V$3:$AE$3=Z$3)*($V564:$AE564&lt;Z564)+($V$3:$AE$3=Z$3)*($V564:$AE564=Z564)*($V$2:$AE$2&lt;Z$2))),2))))</f>
      </c>
      <c r="AK564" s="33">
        <f>IF(AA564&lt;=0,0,MAX(0,MIN(AA564,ROUND($AZ564-SUMPRODUCT($V564:$AE564*($V564:$AE564&gt;0)*(($V$3:$AE$3&gt;AA$3)+($V$3:$AE$3=AA$3)*($V564:$AE564&lt;AA564)+($V$3:$AE$3=AA$3)*($V564:$AE564=AA564)*($V$2:$AE$2&lt;AA$2))),2))))</f>
      </c>
      <c r="AL564" s="33">
        <f>IF(AB564&lt;=0,0,MAX(0,MIN(AB564,ROUND($AZ564-SUMPRODUCT($V564:$AE564*($V564:$AE564&gt;0)*(($V$3:$AE$3&gt;AB$3)+($V$3:$AE$3=AB$3)*($V564:$AE564&lt;AB564)+($V$3:$AE$3=AB$3)*($V564:$AE564=AB564)*($V$2:$AE$2&lt;AB$2))),2))))</f>
      </c>
      <c r="AM564" s="33">
        <f>IF(AC564&lt;=0,0,MAX(0,MIN(AC564,ROUND($AZ564-SUMPRODUCT($V564:$AE564*($V564:$AE564&gt;0)*(($V$3:$AE$3&gt;AC$3)+($V$3:$AE$3=AC$3)*($V564:$AE564&lt;AC564)+($V$3:$AE$3=AC$3)*($V564:$AE564=AC564)*($V$2:$AE$2&lt;AC$2))),2))))</f>
      </c>
      <c r="AN564" s="33">
        <f>IF(AD564&lt;=0,0,MAX(0,MIN(AD564,ROUND($AZ564-SUMPRODUCT($V564:$AE564*($V564:$AE564&gt;0)*(($V$3:$AE$3&gt;AD$3)+($V$3:$AE$3=AD$3)*($V564:$AE564&lt;AD564)+($V$3:$AE$3=AD$3)*($V564:$AE564=AD564)*($V$2:$AE$2&lt;AD$2))),2))))</f>
      </c>
      <c r="AO564" s="33">
        <f>IF(AE564&lt;=0,0,MAX(0,MIN(AE564,ROUND($AZ564-SUMPRODUCT($V564:$AE564*($V564:$AE564&gt;0)*(($V$3:$AE$3&gt;AE$3)+($V$3:$AE$3=AE$3)*($V564:$AE564&lt;AE564)+($V$3:$AE$3=AE$3)*($V564:$AE564=AE564)*($V$2:$AE$2&lt;AE$2))),2))))</f>
      </c>
      <c r="AP564" s="33">
        <f>ROUND(V564-AF564,2)</f>
      </c>
      <c r="AQ564" s="33">
        <f>ROUND(W564-AG564,2)</f>
      </c>
      <c r="AR564" s="33">
        <f>ROUND(X564-AH564,2)</f>
      </c>
      <c r="AS564" s="33">
        <f>ROUND(Y564-AI564,2)</f>
      </c>
      <c r="AT564" s="33">
        <f>ROUND(Z564-AJ564,2)</f>
      </c>
      <c r="AU564" s="33">
        <f>ROUND(AA564-AK564,2)</f>
      </c>
      <c r="AV564" s="33">
        <f>ROUND(AB564-AL564,2)</f>
      </c>
      <c r="AW564" s="33">
        <f>ROUND(AC564-AM564,2)</f>
      </c>
      <c r="AX564" s="33">
        <f>ROUND(AD564-AN564,2)</f>
      </c>
      <c r="AY564" s="33">
        <f>ROUND(AE564-AO564,2)</f>
      </c>
      <c r="AZ564" s="33">
        <f>ROUND(MAX(0,'Your debts'!$D$22-SUM($L564:$U564)),2)</f>
      </c>
      <c r="BA564" s="33">
        <f>ROUND(SUM($B564:$K564)-SUM($AP563:$AY563),2)</f>
      </c>
      <c r="BB564" s="33">
        <f>SUM($AP564:$AY564)</f>
      </c>
      <c r="BC564" s="33">
        <f>ROUND(SUM($L564:$U564)+SUM($AF564:$AO564),2)</f>
      </c>
    </row>
    <row r="565" spans="1:55" x14ac:dyDescent="0.25">
      <c r="A565">
        <v>558</v>
      </c>
      <c r="B565" s="33">
        <f>IF(AP564&lt;=0,0,ROUND(AP564+ROUND(AP564*V$3/12,2),2))</f>
      </c>
      <c r="C565" s="33">
        <f>IF(AQ564&lt;=0,0,ROUND(AQ564+ROUND(AQ564*W$3/12,2),2))</f>
      </c>
      <c r="D565" s="33">
        <f>IF(AR564&lt;=0,0,ROUND(AR564+ROUND(AR564*X$3/12,2),2))</f>
      </c>
      <c r="E565" s="33">
        <f>IF(AS564&lt;=0,0,ROUND(AS564+ROUND(AS564*Y$3/12,2),2))</f>
      </c>
      <c r="F565" s="33">
        <f>IF(AT564&lt;=0,0,ROUND(AT564+ROUND(AT564*Z$3/12,2),2))</f>
      </c>
      <c r="G565" s="33">
        <f>IF(AU564&lt;=0,0,ROUND(AU564+ROUND(AU564*AA$3/12,2),2))</f>
      </c>
      <c r="H565" s="33">
        <f>IF(AV564&lt;=0,0,ROUND(AV564+ROUND(AV564*AB$3/12,2),2))</f>
      </c>
      <c r="I565" s="33">
        <f>IF(AW564&lt;=0,0,ROUND(AW564+ROUND(AW564*AC$3/12,2),2))</f>
      </c>
      <c r="J565" s="33">
        <f>IF(AX564&lt;=0,0,ROUND(AX564+ROUND(AX564*AD$3/12,2),2))</f>
      </c>
      <c r="K565" s="33">
        <f>IF(AY564&lt;=0,0,ROUND(AY564+ROUND(AY564*AE$3/12,2),2))</f>
      </c>
      <c r="L565" s="33">
        <f>ROUND(MIN(MAX(0,N('Your debts'!$E$6)),B565),2)</f>
      </c>
      <c r="M565" s="33">
        <f>ROUND(MIN(MAX(0,N('Your debts'!$E$7)),C565),2)</f>
      </c>
      <c r="N565" s="33">
        <f>ROUND(MIN(MAX(0,N('Your debts'!$E$8)),D565),2)</f>
      </c>
      <c r="O565" s="33">
        <f>ROUND(MIN(MAX(0,N('Your debts'!$E$9)),E565),2)</f>
      </c>
      <c r="P565" s="33">
        <f>ROUND(MIN(MAX(0,N('Your debts'!$E$10)),F565),2)</f>
      </c>
      <c r="Q565" s="33">
        <f>ROUND(MIN(MAX(0,N('Your debts'!$E$11)),G565),2)</f>
      </c>
      <c r="R565" s="33">
        <f>ROUND(MIN(MAX(0,N('Your debts'!$E$12)),H565),2)</f>
      </c>
      <c r="S565" s="33">
        <f>ROUND(MIN(MAX(0,N('Your debts'!$E$13)),I565),2)</f>
      </c>
      <c r="T565" s="33">
        <f>ROUND(MIN(MAX(0,N('Your debts'!$E$14)),J565),2)</f>
      </c>
      <c r="U565" s="33">
        <f>ROUND(MIN(MAX(0,N('Your debts'!$E$15)),K565),2)</f>
      </c>
      <c r="V565" s="33">
        <f>ROUND(B565-L565,2)</f>
      </c>
      <c r="W565" s="33">
        <f>ROUND(C565-M565,2)</f>
      </c>
      <c r="X565" s="33">
        <f>ROUND(D565-N565,2)</f>
      </c>
      <c r="Y565" s="33">
        <f>ROUND(E565-O565,2)</f>
      </c>
      <c r="Z565" s="33">
        <f>ROUND(F565-P565,2)</f>
      </c>
      <c r="AA565" s="33">
        <f>ROUND(G565-Q565,2)</f>
      </c>
      <c r="AB565" s="33">
        <f>ROUND(H565-R565,2)</f>
      </c>
      <c r="AC565" s="33">
        <f>ROUND(I565-S565,2)</f>
      </c>
      <c r="AD565" s="33">
        <f>ROUND(J565-T565,2)</f>
      </c>
      <c r="AE565" s="33">
        <f>ROUND(K565-U565,2)</f>
      </c>
      <c r="AF565" s="33">
        <f>IF(V565&lt;=0,0,MAX(0,MIN(V565,ROUND($AZ565-SUMPRODUCT($V565:$AE565*($V565:$AE565&gt;0)*(($V$3:$AE$3&gt;V$3)+($V$3:$AE$3=V$3)*($V565:$AE565&lt;V565)+($V$3:$AE$3=V$3)*($V565:$AE565=V565)*($V$2:$AE$2&lt;V$2))),2))))</f>
      </c>
      <c r="AG565" s="33">
        <f>IF(W565&lt;=0,0,MAX(0,MIN(W565,ROUND($AZ565-SUMPRODUCT($V565:$AE565*($V565:$AE565&gt;0)*(($V$3:$AE$3&gt;W$3)+($V$3:$AE$3=W$3)*($V565:$AE565&lt;W565)+($V$3:$AE$3=W$3)*($V565:$AE565=W565)*($V$2:$AE$2&lt;W$2))),2))))</f>
      </c>
      <c r="AH565" s="33">
        <f>IF(X565&lt;=0,0,MAX(0,MIN(X565,ROUND($AZ565-SUMPRODUCT($V565:$AE565*($V565:$AE565&gt;0)*(($V$3:$AE$3&gt;X$3)+($V$3:$AE$3=X$3)*($V565:$AE565&lt;X565)+($V$3:$AE$3=X$3)*($V565:$AE565=X565)*($V$2:$AE$2&lt;X$2))),2))))</f>
      </c>
      <c r="AI565" s="33">
        <f>IF(Y565&lt;=0,0,MAX(0,MIN(Y565,ROUND($AZ565-SUMPRODUCT($V565:$AE565*($V565:$AE565&gt;0)*(($V$3:$AE$3&gt;Y$3)+($V$3:$AE$3=Y$3)*($V565:$AE565&lt;Y565)+($V$3:$AE$3=Y$3)*($V565:$AE565=Y565)*($V$2:$AE$2&lt;Y$2))),2))))</f>
      </c>
      <c r="AJ565" s="33">
        <f>IF(Z565&lt;=0,0,MAX(0,MIN(Z565,ROUND($AZ565-SUMPRODUCT($V565:$AE565*($V565:$AE565&gt;0)*(($V$3:$AE$3&gt;Z$3)+($V$3:$AE$3=Z$3)*($V565:$AE565&lt;Z565)+($V$3:$AE$3=Z$3)*($V565:$AE565=Z565)*($V$2:$AE$2&lt;Z$2))),2))))</f>
      </c>
      <c r="AK565" s="33">
        <f>IF(AA565&lt;=0,0,MAX(0,MIN(AA565,ROUND($AZ565-SUMPRODUCT($V565:$AE565*($V565:$AE565&gt;0)*(($V$3:$AE$3&gt;AA$3)+($V$3:$AE$3=AA$3)*($V565:$AE565&lt;AA565)+($V$3:$AE$3=AA$3)*($V565:$AE565=AA565)*($V$2:$AE$2&lt;AA$2))),2))))</f>
      </c>
      <c r="AL565" s="33">
        <f>IF(AB565&lt;=0,0,MAX(0,MIN(AB565,ROUND($AZ565-SUMPRODUCT($V565:$AE565*($V565:$AE565&gt;0)*(($V$3:$AE$3&gt;AB$3)+($V$3:$AE$3=AB$3)*($V565:$AE565&lt;AB565)+($V$3:$AE$3=AB$3)*($V565:$AE565=AB565)*($V$2:$AE$2&lt;AB$2))),2))))</f>
      </c>
      <c r="AM565" s="33">
        <f>IF(AC565&lt;=0,0,MAX(0,MIN(AC565,ROUND($AZ565-SUMPRODUCT($V565:$AE565*($V565:$AE565&gt;0)*(($V$3:$AE$3&gt;AC$3)+($V$3:$AE$3=AC$3)*($V565:$AE565&lt;AC565)+($V$3:$AE$3=AC$3)*($V565:$AE565=AC565)*($V$2:$AE$2&lt;AC$2))),2))))</f>
      </c>
      <c r="AN565" s="33">
        <f>IF(AD565&lt;=0,0,MAX(0,MIN(AD565,ROUND($AZ565-SUMPRODUCT($V565:$AE565*($V565:$AE565&gt;0)*(($V$3:$AE$3&gt;AD$3)+($V$3:$AE$3=AD$3)*($V565:$AE565&lt;AD565)+($V$3:$AE$3=AD$3)*($V565:$AE565=AD565)*($V$2:$AE$2&lt;AD$2))),2))))</f>
      </c>
      <c r="AO565" s="33">
        <f>IF(AE565&lt;=0,0,MAX(0,MIN(AE565,ROUND($AZ565-SUMPRODUCT($V565:$AE565*($V565:$AE565&gt;0)*(($V$3:$AE$3&gt;AE$3)+($V$3:$AE$3=AE$3)*($V565:$AE565&lt;AE565)+($V$3:$AE$3=AE$3)*($V565:$AE565=AE565)*($V$2:$AE$2&lt;AE$2))),2))))</f>
      </c>
      <c r="AP565" s="33">
        <f>ROUND(V565-AF565,2)</f>
      </c>
      <c r="AQ565" s="33">
        <f>ROUND(W565-AG565,2)</f>
      </c>
      <c r="AR565" s="33">
        <f>ROUND(X565-AH565,2)</f>
      </c>
      <c r="AS565" s="33">
        <f>ROUND(Y565-AI565,2)</f>
      </c>
      <c r="AT565" s="33">
        <f>ROUND(Z565-AJ565,2)</f>
      </c>
      <c r="AU565" s="33">
        <f>ROUND(AA565-AK565,2)</f>
      </c>
      <c r="AV565" s="33">
        <f>ROUND(AB565-AL565,2)</f>
      </c>
      <c r="AW565" s="33">
        <f>ROUND(AC565-AM565,2)</f>
      </c>
      <c r="AX565" s="33">
        <f>ROUND(AD565-AN565,2)</f>
      </c>
      <c r="AY565" s="33">
        <f>ROUND(AE565-AO565,2)</f>
      </c>
      <c r="AZ565" s="33">
        <f>ROUND(MAX(0,'Your debts'!$D$22-SUM($L565:$U565)),2)</f>
      </c>
      <c r="BA565" s="33">
        <f>ROUND(SUM($B565:$K565)-SUM($AP564:$AY564),2)</f>
      </c>
      <c r="BB565" s="33">
        <f>SUM($AP565:$AY565)</f>
      </c>
      <c r="BC565" s="33">
        <f>ROUND(SUM($L565:$U565)+SUM($AF565:$AO565),2)</f>
      </c>
    </row>
    <row r="566" spans="1:55" x14ac:dyDescent="0.25">
      <c r="A566">
        <v>559</v>
      </c>
      <c r="B566" s="33">
        <f>IF(AP565&lt;=0,0,ROUND(AP565+ROUND(AP565*V$3/12,2),2))</f>
      </c>
      <c r="C566" s="33">
        <f>IF(AQ565&lt;=0,0,ROUND(AQ565+ROUND(AQ565*W$3/12,2),2))</f>
      </c>
      <c r="D566" s="33">
        <f>IF(AR565&lt;=0,0,ROUND(AR565+ROUND(AR565*X$3/12,2),2))</f>
      </c>
      <c r="E566" s="33">
        <f>IF(AS565&lt;=0,0,ROUND(AS565+ROUND(AS565*Y$3/12,2),2))</f>
      </c>
      <c r="F566" s="33">
        <f>IF(AT565&lt;=0,0,ROUND(AT565+ROUND(AT565*Z$3/12,2),2))</f>
      </c>
      <c r="G566" s="33">
        <f>IF(AU565&lt;=0,0,ROUND(AU565+ROUND(AU565*AA$3/12,2),2))</f>
      </c>
      <c r="H566" s="33">
        <f>IF(AV565&lt;=0,0,ROUND(AV565+ROUND(AV565*AB$3/12,2),2))</f>
      </c>
      <c r="I566" s="33">
        <f>IF(AW565&lt;=0,0,ROUND(AW565+ROUND(AW565*AC$3/12,2),2))</f>
      </c>
      <c r="J566" s="33">
        <f>IF(AX565&lt;=0,0,ROUND(AX565+ROUND(AX565*AD$3/12,2),2))</f>
      </c>
      <c r="K566" s="33">
        <f>IF(AY565&lt;=0,0,ROUND(AY565+ROUND(AY565*AE$3/12,2),2))</f>
      </c>
      <c r="L566" s="33">
        <f>ROUND(MIN(MAX(0,N('Your debts'!$E$6)),B566),2)</f>
      </c>
      <c r="M566" s="33">
        <f>ROUND(MIN(MAX(0,N('Your debts'!$E$7)),C566),2)</f>
      </c>
      <c r="N566" s="33">
        <f>ROUND(MIN(MAX(0,N('Your debts'!$E$8)),D566),2)</f>
      </c>
      <c r="O566" s="33">
        <f>ROUND(MIN(MAX(0,N('Your debts'!$E$9)),E566),2)</f>
      </c>
      <c r="P566" s="33">
        <f>ROUND(MIN(MAX(0,N('Your debts'!$E$10)),F566),2)</f>
      </c>
      <c r="Q566" s="33">
        <f>ROUND(MIN(MAX(0,N('Your debts'!$E$11)),G566),2)</f>
      </c>
      <c r="R566" s="33">
        <f>ROUND(MIN(MAX(0,N('Your debts'!$E$12)),H566),2)</f>
      </c>
      <c r="S566" s="33">
        <f>ROUND(MIN(MAX(0,N('Your debts'!$E$13)),I566),2)</f>
      </c>
      <c r="T566" s="33">
        <f>ROUND(MIN(MAX(0,N('Your debts'!$E$14)),J566),2)</f>
      </c>
      <c r="U566" s="33">
        <f>ROUND(MIN(MAX(0,N('Your debts'!$E$15)),K566),2)</f>
      </c>
      <c r="V566" s="33">
        <f>ROUND(B566-L566,2)</f>
      </c>
      <c r="W566" s="33">
        <f>ROUND(C566-M566,2)</f>
      </c>
      <c r="X566" s="33">
        <f>ROUND(D566-N566,2)</f>
      </c>
      <c r="Y566" s="33">
        <f>ROUND(E566-O566,2)</f>
      </c>
      <c r="Z566" s="33">
        <f>ROUND(F566-P566,2)</f>
      </c>
      <c r="AA566" s="33">
        <f>ROUND(G566-Q566,2)</f>
      </c>
      <c r="AB566" s="33">
        <f>ROUND(H566-R566,2)</f>
      </c>
      <c r="AC566" s="33">
        <f>ROUND(I566-S566,2)</f>
      </c>
      <c r="AD566" s="33">
        <f>ROUND(J566-T566,2)</f>
      </c>
      <c r="AE566" s="33">
        <f>ROUND(K566-U566,2)</f>
      </c>
      <c r="AF566" s="33">
        <f>IF(V566&lt;=0,0,MAX(0,MIN(V566,ROUND($AZ566-SUMPRODUCT($V566:$AE566*($V566:$AE566&gt;0)*(($V$3:$AE$3&gt;V$3)+($V$3:$AE$3=V$3)*($V566:$AE566&lt;V566)+($V$3:$AE$3=V$3)*($V566:$AE566=V566)*($V$2:$AE$2&lt;V$2))),2))))</f>
      </c>
      <c r="AG566" s="33">
        <f>IF(W566&lt;=0,0,MAX(0,MIN(W566,ROUND($AZ566-SUMPRODUCT($V566:$AE566*($V566:$AE566&gt;0)*(($V$3:$AE$3&gt;W$3)+($V$3:$AE$3=W$3)*($V566:$AE566&lt;W566)+($V$3:$AE$3=W$3)*($V566:$AE566=W566)*($V$2:$AE$2&lt;W$2))),2))))</f>
      </c>
      <c r="AH566" s="33">
        <f>IF(X566&lt;=0,0,MAX(0,MIN(X566,ROUND($AZ566-SUMPRODUCT($V566:$AE566*($V566:$AE566&gt;0)*(($V$3:$AE$3&gt;X$3)+($V$3:$AE$3=X$3)*($V566:$AE566&lt;X566)+($V$3:$AE$3=X$3)*($V566:$AE566=X566)*($V$2:$AE$2&lt;X$2))),2))))</f>
      </c>
      <c r="AI566" s="33">
        <f>IF(Y566&lt;=0,0,MAX(0,MIN(Y566,ROUND($AZ566-SUMPRODUCT($V566:$AE566*($V566:$AE566&gt;0)*(($V$3:$AE$3&gt;Y$3)+($V$3:$AE$3=Y$3)*($V566:$AE566&lt;Y566)+($V$3:$AE$3=Y$3)*($V566:$AE566=Y566)*($V$2:$AE$2&lt;Y$2))),2))))</f>
      </c>
      <c r="AJ566" s="33">
        <f>IF(Z566&lt;=0,0,MAX(0,MIN(Z566,ROUND($AZ566-SUMPRODUCT($V566:$AE566*($V566:$AE566&gt;0)*(($V$3:$AE$3&gt;Z$3)+($V$3:$AE$3=Z$3)*($V566:$AE566&lt;Z566)+($V$3:$AE$3=Z$3)*($V566:$AE566=Z566)*($V$2:$AE$2&lt;Z$2))),2))))</f>
      </c>
      <c r="AK566" s="33">
        <f>IF(AA566&lt;=0,0,MAX(0,MIN(AA566,ROUND($AZ566-SUMPRODUCT($V566:$AE566*($V566:$AE566&gt;0)*(($V$3:$AE$3&gt;AA$3)+($V$3:$AE$3=AA$3)*($V566:$AE566&lt;AA566)+($V$3:$AE$3=AA$3)*($V566:$AE566=AA566)*($V$2:$AE$2&lt;AA$2))),2))))</f>
      </c>
      <c r="AL566" s="33">
        <f>IF(AB566&lt;=0,0,MAX(0,MIN(AB566,ROUND($AZ566-SUMPRODUCT($V566:$AE566*($V566:$AE566&gt;0)*(($V$3:$AE$3&gt;AB$3)+($V$3:$AE$3=AB$3)*($V566:$AE566&lt;AB566)+($V$3:$AE$3=AB$3)*($V566:$AE566=AB566)*($V$2:$AE$2&lt;AB$2))),2))))</f>
      </c>
      <c r="AM566" s="33">
        <f>IF(AC566&lt;=0,0,MAX(0,MIN(AC566,ROUND($AZ566-SUMPRODUCT($V566:$AE566*($V566:$AE566&gt;0)*(($V$3:$AE$3&gt;AC$3)+($V$3:$AE$3=AC$3)*($V566:$AE566&lt;AC566)+($V$3:$AE$3=AC$3)*($V566:$AE566=AC566)*($V$2:$AE$2&lt;AC$2))),2))))</f>
      </c>
      <c r="AN566" s="33">
        <f>IF(AD566&lt;=0,0,MAX(0,MIN(AD566,ROUND($AZ566-SUMPRODUCT($V566:$AE566*($V566:$AE566&gt;0)*(($V$3:$AE$3&gt;AD$3)+($V$3:$AE$3=AD$3)*($V566:$AE566&lt;AD566)+($V$3:$AE$3=AD$3)*($V566:$AE566=AD566)*($V$2:$AE$2&lt;AD$2))),2))))</f>
      </c>
      <c r="AO566" s="33">
        <f>IF(AE566&lt;=0,0,MAX(0,MIN(AE566,ROUND($AZ566-SUMPRODUCT($V566:$AE566*($V566:$AE566&gt;0)*(($V$3:$AE$3&gt;AE$3)+($V$3:$AE$3=AE$3)*($V566:$AE566&lt;AE566)+($V$3:$AE$3=AE$3)*($V566:$AE566=AE566)*($V$2:$AE$2&lt;AE$2))),2))))</f>
      </c>
      <c r="AP566" s="33">
        <f>ROUND(V566-AF566,2)</f>
      </c>
      <c r="AQ566" s="33">
        <f>ROUND(W566-AG566,2)</f>
      </c>
      <c r="AR566" s="33">
        <f>ROUND(X566-AH566,2)</f>
      </c>
      <c r="AS566" s="33">
        <f>ROUND(Y566-AI566,2)</f>
      </c>
      <c r="AT566" s="33">
        <f>ROUND(Z566-AJ566,2)</f>
      </c>
      <c r="AU566" s="33">
        <f>ROUND(AA566-AK566,2)</f>
      </c>
      <c r="AV566" s="33">
        <f>ROUND(AB566-AL566,2)</f>
      </c>
      <c r="AW566" s="33">
        <f>ROUND(AC566-AM566,2)</f>
      </c>
      <c r="AX566" s="33">
        <f>ROUND(AD566-AN566,2)</f>
      </c>
      <c r="AY566" s="33">
        <f>ROUND(AE566-AO566,2)</f>
      </c>
      <c r="AZ566" s="33">
        <f>ROUND(MAX(0,'Your debts'!$D$22-SUM($L566:$U566)),2)</f>
      </c>
      <c r="BA566" s="33">
        <f>ROUND(SUM($B566:$K566)-SUM($AP565:$AY565),2)</f>
      </c>
      <c r="BB566" s="33">
        <f>SUM($AP566:$AY566)</f>
      </c>
      <c r="BC566" s="33">
        <f>ROUND(SUM($L566:$U566)+SUM($AF566:$AO566),2)</f>
      </c>
    </row>
    <row r="567" spans="1:55" x14ac:dyDescent="0.25">
      <c r="A567">
        <v>560</v>
      </c>
      <c r="B567" s="33">
        <f>IF(AP566&lt;=0,0,ROUND(AP566+ROUND(AP566*V$3/12,2),2))</f>
      </c>
      <c r="C567" s="33">
        <f>IF(AQ566&lt;=0,0,ROUND(AQ566+ROUND(AQ566*W$3/12,2),2))</f>
      </c>
      <c r="D567" s="33">
        <f>IF(AR566&lt;=0,0,ROUND(AR566+ROUND(AR566*X$3/12,2),2))</f>
      </c>
      <c r="E567" s="33">
        <f>IF(AS566&lt;=0,0,ROUND(AS566+ROUND(AS566*Y$3/12,2),2))</f>
      </c>
      <c r="F567" s="33">
        <f>IF(AT566&lt;=0,0,ROUND(AT566+ROUND(AT566*Z$3/12,2),2))</f>
      </c>
      <c r="G567" s="33">
        <f>IF(AU566&lt;=0,0,ROUND(AU566+ROUND(AU566*AA$3/12,2),2))</f>
      </c>
      <c r="H567" s="33">
        <f>IF(AV566&lt;=0,0,ROUND(AV566+ROUND(AV566*AB$3/12,2),2))</f>
      </c>
      <c r="I567" s="33">
        <f>IF(AW566&lt;=0,0,ROUND(AW566+ROUND(AW566*AC$3/12,2),2))</f>
      </c>
      <c r="J567" s="33">
        <f>IF(AX566&lt;=0,0,ROUND(AX566+ROUND(AX566*AD$3/12,2),2))</f>
      </c>
      <c r="K567" s="33">
        <f>IF(AY566&lt;=0,0,ROUND(AY566+ROUND(AY566*AE$3/12,2),2))</f>
      </c>
      <c r="L567" s="33">
        <f>ROUND(MIN(MAX(0,N('Your debts'!$E$6)),B567),2)</f>
      </c>
      <c r="M567" s="33">
        <f>ROUND(MIN(MAX(0,N('Your debts'!$E$7)),C567),2)</f>
      </c>
      <c r="N567" s="33">
        <f>ROUND(MIN(MAX(0,N('Your debts'!$E$8)),D567),2)</f>
      </c>
      <c r="O567" s="33">
        <f>ROUND(MIN(MAX(0,N('Your debts'!$E$9)),E567),2)</f>
      </c>
      <c r="P567" s="33">
        <f>ROUND(MIN(MAX(0,N('Your debts'!$E$10)),F567),2)</f>
      </c>
      <c r="Q567" s="33">
        <f>ROUND(MIN(MAX(0,N('Your debts'!$E$11)),G567),2)</f>
      </c>
      <c r="R567" s="33">
        <f>ROUND(MIN(MAX(0,N('Your debts'!$E$12)),H567),2)</f>
      </c>
      <c r="S567" s="33">
        <f>ROUND(MIN(MAX(0,N('Your debts'!$E$13)),I567),2)</f>
      </c>
      <c r="T567" s="33">
        <f>ROUND(MIN(MAX(0,N('Your debts'!$E$14)),J567),2)</f>
      </c>
      <c r="U567" s="33">
        <f>ROUND(MIN(MAX(0,N('Your debts'!$E$15)),K567),2)</f>
      </c>
      <c r="V567" s="33">
        <f>ROUND(B567-L567,2)</f>
      </c>
      <c r="W567" s="33">
        <f>ROUND(C567-M567,2)</f>
      </c>
      <c r="X567" s="33">
        <f>ROUND(D567-N567,2)</f>
      </c>
      <c r="Y567" s="33">
        <f>ROUND(E567-O567,2)</f>
      </c>
      <c r="Z567" s="33">
        <f>ROUND(F567-P567,2)</f>
      </c>
      <c r="AA567" s="33">
        <f>ROUND(G567-Q567,2)</f>
      </c>
      <c r="AB567" s="33">
        <f>ROUND(H567-R567,2)</f>
      </c>
      <c r="AC567" s="33">
        <f>ROUND(I567-S567,2)</f>
      </c>
      <c r="AD567" s="33">
        <f>ROUND(J567-T567,2)</f>
      </c>
      <c r="AE567" s="33">
        <f>ROUND(K567-U567,2)</f>
      </c>
      <c r="AF567" s="33">
        <f>IF(V567&lt;=0,0,MAX(0,MIN(V567,ROUND($AZ567-SUMPRODUCT($V567:$AE567*($V567:$AE567&gt;0)*(($V$3:$AE$3&gt;V$3)+($V$3:$AE$3=V$3)*($V567:$AE567&lt;V567)+($V$3:$AE$3=V$3)*($V567:$AE567=V567)*($V$2:$AE$2&lt;V$2))),2))))</f>
      </c>
      <c r="AG567" s="33">
        <f>IF(W567&lt;=0,0,MAX(0,MIN(W567,ROUND($AZ567-SUMPRODUCT($V567:$AE567*($V567:$AE567&gt;0)*(($V$3:$AE$3&gt;W$3)+($V$3:$AE$3=W$3)*($V567:$AE567&lt;W567)+($V$3:$AE$3=W$3)*($V567:$AE567=W567)*($V$2:$AE$2&lt;W$2))),2))))</f>
      </c>
      <c r="AH567" s="33">
        <f>IF(X567&lt;=0,0,MAX(0,MIN(X567,ROUND($AZ567-SUMPRODUCT($V567:$AE567*($V567:$AE567&gt;0)*(($V$3:$AE$3&gt;X$3)+($V$3:$AE$3=X$3)*($V567:$AE567&lt;X567)+($V$3:$AE$3=X$3)*($V567:$AE567=X567)*($V$2:$AE$2&lt;X$2))),2))))</f>
      </c>
      <c r="AI567" s="33">
        <f>IF(Y567&lt;=0,0,MAX(0,MIN(Y567,ROUND($AZ567-SUMPRODUCT($V567:$AE567*($V567:$AE567&gt;0)*(($V$3:$AE$3&gt;Y$3)+($V$3:$AE$3=Y$3)*($V567:$AE567&lt;Y567)+($V$3:$AE$3=Y$3)*($V567:$AE567=Y567)*($V$2:$AE$2&lt;Y$2))),2))))</f>
      </c>
      <c r="AJ567" s="33">
        <f>IF(Z567&lt;=0,0,MAX(0,MIN(Z567,ROUND($AZ567-SUMPRODUCT($V567:$AE567*($V567:$AE567&gt;0)*(($V$3:$AE$3&gt;Z$3)+($V$3:$AE$3=Z$3)*($V567:$AE567&lt;Z567)+($V$3:$AE$3=Z$3)*($V567:$AE567=Z567)*($V$2:$AE$2&lt;Z$2))),2))))</f>
      </c>
      <c r="AK567" s="33">
        <f>IF(AA567&lt;=0,0,MAX(0,MIN(AA567,ROUND($AZ567-SUMPRODUCT($V567:$AE567*($V567:$AE567&gt;0)*(($V$3:$AE$3&gt;AA$3)+($V$3:$AE$3=AA$3)*($V567:$AE567&lt;AA567)+($V$3:$AE$3=AA$3)*($V567:$AE567=AA567)*($V$2:$AE$2&lt;AA$2))),2))))</f>
      </c>
      <c r="AL567" s="33">
        <f>IF(AB567&lt;=0,0,MAX(0,MIN(AB567,ROUND($AZ567-SUMPRODUCT($V567:$AE567*($V567:$AE567&gt;0)*(($V$3:$AE$3&gt;AB$3)+($V$3:$AE$3=AB$3)*($V567:$AE567&lt;AB567)+($V$3:$AE$3=AB$3)*($V567:$AE567=AB567)*($V$2:$AE$2&lt;AB$2))),2))))</f>
      </c>
      <c r="AM567" s="33">
        <f>IF(AC567&lt;=0,0,MAX(0,MIN(AC567,ROUND($AZ567-SUMPRODUCT($V567:$AE567*($V567:$AE567&gt;0)*(($V$3:$AE$3&gt;AC$3)+($V$3:$AE$3=AC$3)*($V567:$AE567&lt;AC567)+($V$3:$AE$3=AC$3)*($V567:$AE567=AC567)*($V$2:$AE$2&lt;AC$2))),2))))</f>
      </c>
      <c r="AN567" s="33">
        <f>IF(AD567&lt;=0,0,MAX(0,MIN(AD567,ROUND($AZ567-SUMPRODUCT($V567:$AE567*($V567:$AE567&gt;0)*(($V$3:$AE$3&gt;AD$3)+($V$3:$AE$3=AD$3)*($V567:$AE567&lt;AD567)+($V$3:$AE$3=AD$3)*($V567:$AE567=AD567)*($V$2:$AE$2&lt;AD$2))),2))))</f>
      </c>
      <c r="AO567" s="33">
        <f>IF(AE567&lt;=0,0,MAX(0,MIN(AE567,ROUND($AZ567-SUMPRODUCT($V567:$AE567*($V567:$AE567&gt;0)*(($V$3:$AE$3&gt;AE$3)+($V$3:$AE$3=AE$3)*($V567:$AE567&lt;AE567)+($V$3:$AE$3=AE$3)*($V567:$AE567=AE567)*($V$2:$AE$2&lt;AE$2))),2))))</f>
      </c>
      <c r="AP567" s="33">
        <f>ROUND(V567-AF567,2)</f>
      </c>
      <c r="AQ567" s="33">
        <f>ROUND(W567-AG567,2)</f>
      </c>
      <c r="AR567" s="33">
        <f>ROUND(X567-AH567,2)</f>
      </c>
      <c r="AS567" s="33">
        <f>ROUND(Y567-AI567,2)</f>
      </c>
      <c r="AT567" s="33">
        <f>ROUND(Z567-AJ567,2)</f>
      </c>
      <c r="AU567" s="33">
        <f>ROUND(AA567-AK567,2)</f>
      </c>
      <c r="AV567" s="33">
        <f>ROUND(AB567-AL567,2)</f>
      </c>
      <c r="AW567" s="33">
        <f>ROUND(AC567-AM567,2)</f>
      </c>
      <c r="AX567" s="33">
        <f>ROUND(AD567-AN567,2)</f>
      </c>
      <c r="AY567" s="33">
        <f>ROUND(AE567-AO567,2)</f>
      </c>
      <c r="AZ567" s="33">
        <f>ROUND(MAX(0,'Your debts'!$D$22-SUM($L567:$U567)),2)</f>
      </c>
      <c r="BA567" s="33">
        <f>ROUND(SUM($B567:$K567)-SUM($AP566:$AY566),2)</f>
      </c>
      <c r="BB567" s="33">
        <f>SUM($AP567:$AY567)</f>
      </c>
      <c r="BC567" s="33">
        <f>ROUND(SUM($L567:$U567)+SUM($AF567:$AO567),2)</f>
      </c>
    </row>
    <row r="568" spans="1:55" x14ac:dyDescent="0.25">
      <c r="A568">
        <v>561</v>
      </c>
      <c r="B568" s="33">
        <f>IF(AP567&lt;=0,0,ROUND(AP567+ROUND(AP567*V$3/12,2),2))</f>
      </c>
      <c r="C568" s="33">
        <f>IF(AQ567&lt;=0,0,ROUND(AQ567+ROUND(AQ567*W$3/12,2),2))</f>
      </c>
      <c r="D568" s="33">
        <f>IF(AR567&lt;=0,0,ROUND(AR567+ROUND(AR567*X$3/12,2),2))</f>
      </c>
      <c r="E568" s="33">
        <f>IF(AS567&lt;=0,0,ROUND(AS567+ROUND(AS567*Y$3/12,2),2))</f>
      </c>
      <c r="F568" s="33">
        <f>IF(AT567&lt;=0,0,ROUND(AT567+ROUND(AT567*Z$3/12,2),2))</f>
      </c>
      <c r="G568" s="33">
        <f>IF(AU567&lt;=0,0,ROUND(AU567+ROUND(AU567*AA$3/12,2),2))</f>
      </c>
      <c r="H568" s="33">
        <f>IF(AV567&lt;=0,0,ROUND(AV567+ROUND(AV567*AB$3/12,2),2))</f>
      </c>
      <c r="I568" s="33">
        <f>IF(AW567&lt;=0,0,ROUND(AW567+ROUND(AW567*AC$3/12,2),2))</f>
      </c>
      <c r="J568" s="33">
        <f>IF(AX567&lt;=0,0,ROUND(AX567+ROUND(AX567*AD$3/12,2),2))</f>
      </c>
      <c r="K568" s="33">
        <f>IF(AY567&lt;=0,0,ROUND(AY567+ROUND(AY567*AE$3/12,2),2))</f>
      </c>
      <c r="L568" s="33">
        <f>ROUND(MIN(MAX(0,N('Your debts'!$E$6)),B568),2)</f>
      </c>
      <c r="M568" s="33">
        <f>ROUND(MIN(MAX(0,N('Your debts'!$E$7)),C568),2)</f>
      </c>
      <c r="N568" s="33">
        <f>ROUND(MIN(MAX(0,N('Your debts'!$E$8)),D568),2)</f>
      </c>
      <c r="O568" s="33">
        <f>ROUND(MIN(MAX(0,N('Your debts'!$E$9)),E568),2)</f>
      </c>
      <c r="P568" s="33">
        <f>ROUND(MIN(MAX(0,N('Your debts'!$E$10)),F568),2)</f>
      </c>
      <c r="Q568" s="33">
        <f>ROUND(MIN(MAX(0,N('Your debts'!$E$11)),G568),2)</f>
      </c>
      <c r="R568" s="33">
        <f>ROUND(MIN(MAX(0,N('Your debts'!$E$12)),H568),2)</f>
      </c>
      <c r="S568" s="33">
        <f>ROUND(MIN(MAX(0,N('Your debts'!$E$13)),I568),2)</f>
      </c>
      <c r="T568" s="33">
        <f>ROUND(MIN(MAX(0,N('Your debts'!$E$14)),J568),2)</f>
      </c>
      <c r="U568" s="33">
        <f>ROUND(MIN(MAX(0,N('Your debts'!$E$15)),K568),2)</f>
      </c>
      <c r="V568" s="33">
        <f>ROUND(B568-L568,2)</f>
      </c>
      <c r="W568" s="33">
        <f>ROUND(C568-M568,2)</f>
      </c>
      <c r="X568" s="33">
        <f>ROUND(D568-N568,2)</f>
      </c>
      <c r="Y568" s="33">
        <f>ROUND(E568-O568,2)</f>
      </c>
      <c r="Z568" s="33">
        <f>ROUND(F568-P568,2)</f>
      </c>
      <c r="AA568" s="33">
        <f>ROUND(G568-Q568,2)</f>
      </c>
      <c r="AB568" s="33">
        <f>ROUND(H568-R568,2)</f>
      </c>
      <c r="AC568" s="33">
        <f>ROUND(I568-S568,2)</f>
      </c>
      <c r="AD568" s="33">
        <f>ROUND(J568-T568,2)</f>
      </c>
      <c r="AE568" s="33">
        <f>ROUND(K568-U568,2)</f>
      </c>
      <c r="AF568" s="33">
        <f>IF(V568&lt;=0,0,MAX(0,MIN(V568,ROUND($AZ568-SUMPRODUCT($V568:$AE568*($V568:$AE568&gt;0)*(($V$3:$AE$3&gt;V$3)+($V$3:$AE$3=V$3)*($V568:$AE568&lt;V568)+($V$3:$AE$3=V$3)*($V568:$AE568=V568)*($V$2:$AE$2&lt;V$2))),2))))</f>
      </c>
      <c r="AG568" s="33">
        <f>IF(W568&lt;=0,0,MAX(0,MIN(W568,ROUND($AZ568-SUMPRODUCT($V568:$AE568*($V568:$AE568&gt;0)*(($V$3:$AE$3&gt;W$3)+($V$3:$AE$3=W$3)*($V568:$AE568&lt;W568)+($V$3:$AE$3=W$3)*($V568:$AE568=W568)*($V$2:$AE$2&lt;W$2))),2))))</f>
      </c>
      <c r="AH568" s="33">
        <f>IF(X568&lt;=0,0,MAX(0,MIN(X568,ROUND($AZ568-SUMPRODUCT($V568:$AE568*($V568:$AE568&gt;0)*(($V$3:$AE$3&gt;X$3)+($V$3:$AE$3=X$3)*($V568:$AE568&lt;X568)+($V$3:$AE$3=X$3)*($V568:$AE568=X568)*($V$2:$AE$2&lt;X$2))),2))))</f>
      </c>
      <c r="AI568" s="33">
        <f>IF(Y568&lt;=0,0,MAX(0,MIN(Y568,ROUND($AZ568-SUMPRODUCT($V568:$AE568*($V568:$AE568&gt;0)*(($V$3:$AE$3&gt;Y$3)+($V$3:$AE$3=Y$3)*($V568:$AE568&lt;Y568)+($V$3:$AE$3=Y$3)*($V568:$AE568=Y568)*($V$2:$AE$2&lt;Y$2))),2))))</f>
      </c>
      <c r="AJ568" s="33">
        <f>IF(Z568&lt;=0,0,MAX(0,MIN(Z568,ROUND($AZ568-SUMPRODUCT($V568:$AE568*($V568:$AE568&gt;0)*(($V$3:$AE$3&gt;Z$3)+($V$3:$AE$3=Z$3)*($V568:$AE568&lt;Z568)+($V$3:$AE$3=Z$3)*($V568:$AE568=Z568)*($V$2:$AE$2&lt;Z$2))),2))))</f>
      </c>
      <c r="AK568" s="33">
        <f>IF(AA568&lt;=0,0,MAX(0,MIN(AA568,ROUND($AZ568-SUMPRODUCT($V568:$AE568*($V568:$AE568&gt;0)*(($V$3:$AE$3&gt;AA$3)+($V$3:$AE$3=AA$3)*($V568:$AE568&lt;AA568)+($V$3:$AE$3=AA$3)*($V568:$AE568=AA568)*($V$2:$AE$2&lt;AA$2))),2))))</f>
      </c>
      <c r="AL568" s="33">
        <f>IF(AB568&lt;=0,0,MAX(0,MIN(AB568,ROUND($AZ568-SUMPRODUCT($V568:$AE568*($V568:$AE568&gt;0)*(($V$3:$AE$3&gt;AB$3)+($V$3:$AE$3=AB$3)*($V568:$AE568&lt;AB568)+($V$3:$AE$3=AB$3)*($V568:$AE568=AB568)*($V$2:$AE$2&lt;AB$2))),2))))</f>
      </c>
      <c r="AM568" s="33">
        <f>IF(AC568&lt;=0,0,MAX(0,MIN(AC568,ROUND($AZ568-SUMPRODUCT($V568:$AE568*($V568:$AE568&gt;0)*(($V$3:$AE$3&gt;AC$3)+($V$3:$AE$3=AC$3)*($V568:$AE568&lt;AC568)+($V$3:$AE$3=AC$3)*($V568:$AE568=AC568)*($V$2:$AE$2&lt;AC$2))),2))))</f>
      </c>
      <c r="AN568" s="33">
        <f>IF(AD568&lt;=0,0,MAX(0,MIN(AD568,ROUND($AZ568-SUMPRODUCT($V568:$AE568*($V568:$AE568&gt;0)*(($V$3:$AE$3&gt;AD$3)+($V$3:$AE$3=AD$3)*($V568:$AE568&lt;AD568)+($V$3:$AE$3=AD$3)*($V568:$AE568=AD568)*($V$2:$AE$2&lt;AD$2))),2))))</f>
      </c>
      <c r="AO568" s="33">
        <f>IF(AE568&lt;=0,0,MAX(0,MIN(AE568,ROUND($AZ568-SUMPRODUCT($V568:$AE568*($V568:$AE568&gt;0)*(($V$3:$AE$3&gt;AE$3)+($V$3:$AE$3=AE$3)*($V568:$AE568&lt;AE568)+($V$3:$AE$3=AE$3)*($V568:$AE568=AE568)*($V$2:$AE$2&lt;AE$2))),2))))</f>
      </c>
      <c r="AP568" s="33">
        <f>ROUND(V568-AF568,2)</f>
      </c>
      <c r="AQ568" s="33">
        <f>ROUND(W568-AG568,2)</f>
      </c>
      <c r="AR568" s="33">
        <f>ROUND(X568-AH568,2)</f>
      </c>
      <c r="AS568" s="33">
        <f>ROUND(Y568-AI568,2)</f>
      </c>
      <c r="AT568" s="33">
        <f>ROUND(Z568-AJ568,2)</f>
      </c>
      <c r="AU568" s="33">
        <f>ROUND(AA568-AK568,2)</f>
      </c>
      <c r="AV568" s="33">
        <f>ROUND(AB568-AL568,2)</f>
      </c>
      <c r="AW568" s="33">
        <f>ROUND(AC568-AM568,2)</f>
      </c>
      <c r="AX568" s="33">
        <f>ROUND(AD568-AN568,2)</f>
      </c>
      <c r="AY568" s="33">
        <f>ROUND(AE568-AO568,2)</f>
      </c>
      <c r="AZ568" s="33">
        <f>ROUND(MAX(0,'Your debts'!$D$22-SUM($L568:$U568)),2)</f>
      </c>
      <c r="BA568" s="33">
        <f>ROUND(SUM($B568:$K568)-SUM($AP567:$AY567),2)</f>
      </c>
      <c r="BB568" s="33">
        <f>SUM($AP568:$AY568)</f>
      </c>
      <c r="BC568" s="33">
        <f>ROUND(SUM($L568:$U568)+SUM($AF568:$AO568),2)</f>
      </c>
    </row>
    <row r="569" spans="1:55" x14ac:dyDescent="0.25">
      <c r="A569">
        <v>562</v>
      </c>
      <c r="B569" s="33">
        <f>IF(AP568&lt;=0,0,ROUND(AP568+ROUND(AP568*V$3/12,2),2))</f>
      </c>
      <c r="C569" s="33">
        <f>IF(AQ568&lt;=0,0,ROUND(AQ568+ROUND(AQ568*W$3/12,2),2))</f>
      </c>
      <c r="D569" s="33">
        <f>IF(AR568&lt;=0,0,ROUND(AR568+ROUND(AR568*X$3/12,2),2))</f>
      </c>
      <c r="E569" s="33">
        <f>IF(AS568&lt;=0,0,ROUND(AS568+ROUND(AS568*Y$3/12,2),2))</f>
      </c>
      <c r="F569" s="33">
        <f>IF(AT568&lt;=0,0,ROUND(AT568+ROUND(AT568*Z$3/12,2),2))</f>
      </c>
      <c r="G569" s="33">
        <f>IF(AU568&lt;=0,0,ROUND(AU568+ROUND(AU568*AA$3/12,2),2))</f>
      </c>
      <c r="H569" s="33">
        <f>IF(AV568&lt;=0,0,ROUND(AV568+ROUND(AV568*AB$3/12,2),2))</f>
      </c>
      <c r="I569" s="33">
        <f>IF(AW568&lt;=0,0,ROUND(AW568+ROUND(AW568*AC$3/12,2),2))</f>
      </c>
      <c r="J569" s="33">
        <f>IF(AX568&lt;=0,0,ROUND(AX568+ROUND(AX568*AD$3/12,2),2))</f>
      </c>
      <c r="K569" s="33">
        <f>IF(AY568&lt;=0,0,ROUND(AY568+ROUND(AY568*AE$3/12,2),2))</f>
      </c>
      <c r="L569" s="33">
        <f>ROUND(MIN(MAX(0,N('Your debts'!$E$6)),B569),2)</f>
      </c>
      <c r="M569" s="33">
        <f>ROUND(MIN(MAX(0,N('Your debts'!$E$7)),C569),2)</f>
      </c>
      <c r="N569" s="33">
        <f>ROUND(MIN(MAX(0,N('Your debts'!$E$8)),D569),2)</f>
      </c>
      <c r="O569" s="33">
        <f>ROUND(MIN(MAX(0,N('Your debts'!$E$9)),E569),2)</f>
      </c>
      <c r="P569" s="33">
        <f>ROUND(MIN(MAX(0,N('Your debts'!$E$10)),F569),2)</f>
      </c>
      <c r="Q569" s="33">
        <f>ROUND(MIN(MAX(0,N('Your debts'!$E$11)),G569),2)</f>
      </c>
      <c r="R569" s="33">
        <f>ROUND(MIN(MAX(0,N('Your debts'!$E$12)),H569),2)</f>
      </c>
      <c r="S569" s="33">
        <f>ROUND(MIN(MAX(0,N('Your debts'!$E$13)),I569),2)</f>
      </c>
      <c r="T569" s="33">
        <f>ROUND(MIN(MAX(0,N('Your debts'!$E$14)),J569),2)</f>
      </c>
      <c r="U569" s="33">
        <f>ROUND(MIN(MAX(0,N('Your debts'!$E$15)),K569),2)</f>
      </c>
      <c r="V569" s="33">
        <f>ROUND(B569-L569,2)</f>
      </c>
      <c r="W569" s="33">
        <f>ROUND(C569-M569,2)</f>
      </c>
      <c r="X569" s="33">
        <f>ROUND(D569-N569,2)</f>
      </c>
      <c r="Y569" s="33">
        <f>ROUND(E569-O569,2)</f>
      </c>
      <c r="Z569" s="33">
        <f>ROUND(F569-P569,2)</f>
      </c>
      <c r="AA569" s="33">
        <f>ROUND(G569-Q569,2)</f>
      </c>
      <c r="AB569" s="33">
        <f>ROUND(H569-R569,2)</f>
      </c>
      <c r="AC569" s="33">
        <f>ROUND(I569-S569,2)</f>
      </c>
      <c r="AD569" s="33">
        <f>ROUND(J569-T569,2)</f>
      </c>
      <c r="AE569" s="33">
        <f>ROUND(K569-U569,2)</f>
      </c>
      <c r="AF569" s="33">
        <f>IF(V569&lt;=0,0,MAX(0,MIN(V569,ROUND($AZ569-SUMPRODUCT($V569:$AE569*($V569:$AE569&gt;0)*(($V$3:$AE$3&gt;V$3)+($V$3:$AE$3=V$3)*($V569:$AE569&lt;V569)+($V$3:$AE$3=V$3)*($V569:$AE569=V569)*($V$2:$AE$2&lt;V$2))),2))))</f>
      </c>
      <c r="AG569" s="33">
        <f>IF(W569&lt;=0,0,MAX(0,MIN(W569,ROUND($AZ569-SUMPRODUCT($V569:$AE569*($V569:$AE569&gt;0)*(($V$3:$AE$3&gt;W$3)+($V$3:$AE$3=W$3)*($V569:$AE569&lt;W569)+($V$3:$AE$3=W$3)*($V569:$AE569=W569)*($V$2:$AE$2&lt;W$2))),2))))</f>
      </c>
      <c r="AH569" s="33">
        <f>IF(X569&lt;=0,0,MAX(0,MIN(X569,ROUND($AZ569-SUMPRODUCT($V569:$AE569*($V569:$AE569&gt;0)*(($V$3:$AE$3&gt;X$3)+($V$3:$AE$3=X$3)*($V569:$AE569&lt;X569)+($V$3:$AE$3=X$3)*($V569:$AE569=X569)*($V$2:$AE$2&lt;X$2))),2))))</f>
      </c>
      <c r="AI569" s="33">
        <f>IF(Y569&lt;=0,0,MAX(0,MIN(Y569,ROUND($AZ569-SUMPRODUCT($V569:$AE569*($V569:$AE569&gt;0)*(($V$3:$AE$3&gt;Y$3)+($V$3:$AE$3=Y$3)*($V569:$AE569&lt;Y569)+($V$3:$AE$3=Y$3)*($V569:$AE569=Y569)*($V$2:$AE$2&lt;Y$2))),2))))</f>
      </c>
      <c r="AJ569" s="33">
        <f>IF(Z569&lt;=0,0,MAX(0,MIN(Z569,ROUND($AZ569-SUMPRODUCT($V569:$AE569*($V569:$AE569&gt;0)*(($V$3:$AE$3&gt;Z$3)+($V$3:$AE$3=Z$3)*($V569:$AE569&lt;Z569)+($V$3:$AE$3=Z$3)*($V569:$AE569=Z569)*($V$2:$AE$2&lt;Z$2))),2))))</f>
      </c>
      <c r="AK569" s="33">
        <f>IF(AA569&lt;=0,0,MAX(0,MIN(AA569,ROUND($AZ569-SUMPRODUCT($V569:$AE569*($V569:$AE569&gt;0)*(($V$3:$AE$3&gt;AA$3)+($V$3:$AE$3=AA$3)*($V569:$AE569&lt;AA569)+($V$3:$AE$3=AA$3)*($V569:$AE569=AA569)*($V$2:$AE$2&lt;AA$2))),2))))</f>
      </c>
      <c r="AL569" s="33">
        <f>IF(AB569&lt;=0,0,MAX(0,MIN(AB569,ROUND($AZ569-SUMPRODUCT($V569:$AE569*($V569:$AE569&gt;0)*(($V$3:$AE$3&gt;AB$3)+($V$3:$AE$3=AB$3)*($V569:$AE569&lt;AB569)+($V$3:$AE$3=AB$3)*($V569:$AE569=AB569)*($V$2:$AE$2&lt;AB$2))),2))))</f>
      </c>
      <c r="AM569" s="33">
        <f>IF(AC569&lt;=0,0,MAX(0,MIN(AC569,ROUND($AZ569-SUMPRODUCT($V569:$AE569*($V569:$AE569&gt;0)*(($V$3:$AE$3&gt;AC$3)+($V$3:$AE$3=AC$3)*($V569:$AE569&lt;AC569)+($V$3:$AE$3=AC$3)*($V569:$AE569=AC569)*($V$2:$AE$2&lt;AC$2))),2))))</f>
      </c>
      <c r="AN569" s="33">
        <f>IF(AD569&lt;=0,0,MAX(0,MIN(AD569,ROUND($AZ569-SUMPRODUCT($V569:$AE569*($V569:$AE569&gt;0)*(($V$3:$AE$3&gt;AD$3)+($V$3:$AE$3=AD$3)*($V569:$AE569&lt;AD569)+($V$3:$AE$3=AD$3)*($V569:$AE569=AD569)*($V$2:$AE$2&lt;AD$2))),2))))</f>
      </c>
      <c r="AO569" s="33">
        <f>IF(AE569&lt;=0,0,MAX(0,MIN(AE569,ROUND($AZ569-SUMPRODUCT($V569:$AE569*($V569:$AE569&gt;0)*(($V$3:$AE$3&gt;AE$3)+($V$3:$AE$3=AE$3)*($V569:$AE569&lt;AE569)+($V$3:$AE$3=AE$3)*($V569:$AE569=AE569)*($V$2:$AE$2&lt;AE$2))),2))))</f>
      </c>
      <c r="AP569" s="33">
        <f>ROUND(V569-AF569,2)</f>
      </c>
      <c r="AQ569" s="33">
        <f>ROUND(W569-AG569,2)</f>
      </c>
      <c r="AR569" s="33">
        <f>ROUND(X569-AH569,2)</f>
      </c>
      <c r="AS569" s="33">
        <f>ROUND(Y569-AI569,2)</f>
      </c>
      <c r="AT569" s="33">
        <f>ROUND(Z569-AJ569,2)</f>
      </c>
      <c r="AU569" s="33">
        <f>ROUND(AA569-AK569,2)</f>
      </c>
      <c r="AV569" s="33">
        <f>ROUND(AB569-AL569,2)</f>
      </c>
      <c r="AW569" s="33">
        <f>ROUND(AC569-AM569,2)</f>
      </c>
      <c r="AX569" s="33">
        <f>ROUND(AD569-AN569,2)</f>
      </c>
      <c r="AY569" s="33">
        <f>ROUND(AE569-AO569,2)</f>
      </c>
      <c r="AZ569" s="33">
        <f>ROUND(MAX(0,'Your debts'!$D$22-SUM($L569:$U569)),2)</f>
      </c>
      <c r="BA569" s="33">
        <f>ROUND(SUM($B569:$K569)-SUM($AP568:$AY568),2)</f>
      </c>
      <c r="BB569" s="33">
        <f>SUM($AP569:$AY569)</f>
      </c>
      <c r="BC569" s="33">
        <f>ROUND(SUM($L569:$U569)+SUM($AF569:$AO569),2)</f>
      </c>
    </row>
    <row r="570" spans="1:55" x14ac:dyDescent="0.25">
      <c r="A570">
        <v>563</v>
      </c>
      <c r="B570" s="33">
        <f>IF(AP569&lt;=0,0,ROUND(AP569+ROUND(AP569*V$3/12,2),2))</f>
      </c>
      <c r="C570" s="33">
        <f>IF(AQ569&lt;=0,0,ROUND(AQ569+ROUND(AQ569*W$3/12,2),2))</f>
      </c>
      <c r="D570" s="33">
        <f>IF(AR569&lt;=0,0,ROUND(AR569+ROUND(AR569*X$3/12,2),2))</f>
      </c>
      <c r="E570" s="33">
        <f>IF(AS569&lt;=0,0,ROUND(AS569+ROUND(AS569*Y$3/12,2),2))</f>
      </c>
      <c r="F570" s="33">
        <f>IF(AT569&lt;=0,0,ROUND(AT569+ROUND(AT569*Z$3/12,2),2))</f>
      </c>
      <c r="G570" s="33">
        <f>IF(AU569&lt;=0,0,ROUND(AU569+ROUND(AU569*AA$3/12,2),2))</f>
      </c>
      <c r="H570" s="33">
        <f>IF(AV569&lt;=0,0,ROUND(AV569+ROUND(AV569*AB$3/12,2),2))</f>
      </c>
      <c r="I570" s="33">
        <f>IF(AW569&lt;=0,0,ROUND(AW569+ROUND(AW569*AC$3/12,2),2))</f>
      </c>
      <c r="J570" s="33">
        <f>IF(AX569&lt;=0,0,ROUND(AX569+ROUND(AX569*AD$3/12,2),2))</f>
      </c>
      <c r="K570" s="33">
        <f>IF(AY569&lt;=0,0,ROUND(AY569+ROUND(AY569*AE$3/12,2),2))</f>
      </c>
      <c r="L570" s="33">
        <f>ROUND(MIN(MAX(0,N('Your debts'!$E$6)),B570),2)</f>
      </c>
      <c r="M570" s="33">
        <f>ROUND(MIN(MAX(0,N('Your debts'!$E$7)),C570),2)</f>
      </c>
      <c r="N570" s="33">
        <f>ROUND(MIN(MAX(0,N('Your debts'!$E$8)),D570),2)</f>
      </c>
      <c r="O570" s="33">
        <f>ROUND(MIN(MAX(0,N('Your debts'!$E$9)),E570),2)</f>
      </c>
      <c r="P570" s="33">
        <f>ROUND(MIN(MAX(0,N('Your debts'!$E$10)),F570),2)</f>
      </c>
      <c r="Q570" s="33">
        <f>ROUND(MIN(MAX(0,N('Your debts'!$E$11)),G570),2)</f>
      </c>
      <c r="R570" s="33">
        <f>ROUND(MIN(MAX(0,N('Your debts'!$E$12)),H570),2)</f>
      </c>
      <c r="S570" s="33">
        <f>ROUND(MIN(MAX(0,N('Your debts'!$E$13)),I570),2)</f>
      </c>
      <c r="T570" s="33">
        <f>ROUND(MIN(MAX(0,N('Your debts'!$E$14)),J570),2)</f>
      </c>
      <c r="U570" s="33">
        <f>ROUND(MIN(MAX(0,N('Your debts'!$E$15)),K570),2)</f>
      </c>
      <c r="V570" s="33">
        <f>ROUND(B570-L570,2)</f>
      </c>
      <c r="W570" s="33">
        <f>ROUND(C570-M570,2)</f>
      </c>
      <c r="X570" s="33">
        <f>ROUND(D570-N570,2)</f>
      </c>
      <c r="Y570" s="33">
        <f>ROUND(E570-O570,2)</f>
      </c>
      <c r="Z570" s="33">
        <f>ROUND(F570-P570,2)</f>
      </c>
      <c r="AA570" s="33">
        <f>ROUND(G570-Q570,2)</f>
      </c>
      <c r="AB570" s="33">
        <f>ROUND(H570-R570,2)</f>
      </c>
      <c r="AC570" s="33">
        <f>ROUND(I570-S570,2)</f>
      </c>
      <c r="AD570" s="33">
        <f>ROUND(J570-T570,2)</f>
      </c>
      <c r="AE570" s="33">
        <f>ROUND(K570-U570,2)</f>
      </c>
      <c r="AF570" s="33">
        <f>IF(V570&lt;=0,0,MAX(0,MIN(V570,ROUND($AZ570-SUMPRODUCT($V570:$AE570*($V570:$AE570&gt;0)*(($V$3:$AE$3&gt;V$3)+($V$3:$AE$3=V$3)*($V570:$AE570&lt;V570)+($V$3:$AE$3=V$3)*($V570:$AE570=V570)*($V$2:$AE$2&lt;V$2))),2))))</f>
      </c>
      <c r="AG570" s="33">
        <f>IF(W570&lt;=0,0,MAX(0,MIN(W570,ROUND($AZ570-SUMPRODUCT($V570:$AE570*($V570:$AE570&gt;0)*(($V$3:$AE$3&gt;W$3)+($V$3:$AE$3=W$3)*($V570:$AE570&lt;W570)+($V$3:$AE$3=W$3)*($V570:$AE570=W570)*($V$2:$AE$2&lt;W$2))),2))))</f>
      </c>
      <c r="AH570" s="33">
        <f>IF(X570&lt;=0,0,MAX(0,MIN(X570,ROUND($AZ570-SUMPRODUCT($V570:$AE570*($V570:$AE570&gt;0)*(($V$3:$AE$3&gt;X$3)+($V$3:$AE$3=X$3)*($V570:$AE570&lt;X570)+($V$3:$AE$3=X$3)*($V570:$AE570=X570)*($V$2:$AE$2&lt;X$2))),2))))</f>
      </c>
      <c r="AI570" s="33">
        <f>IF(Y570&lt;=0,0,MAX(0,MIN(Y570,ROUND($AZ570-SUMPRODUCT($V570:$AE570*($V570:$AE570&gt;0)*(($V$3:$AE$3&gt;Y$3)+($V$3:$AE$3=Y$3)*($V570:$AE570&lt;Y570)+($V$3:$AE$3=Y$3)*($V570:$AE570=Y570)*($V$2:$AE$2&lt;Y$2))),2))))</f>
      </c>
      <c r="AJ570" s="33">
        <f>IF(Z570&lt;=0,0,MAX(0,MIN(Z570,ROUND($AZ570-SUMPRODUCT($V570:$AE570*($V570:$AE570&gt;0)*(($V$3:$AE$3&gt;Z$3)+($V$3:$AE$3=Z$3)*($V570:$AE570&lt;Z570)+($V$3:$AE$3=Z$3)*($V570:$AE570=Z570)*($V$2:$AE$2&lt;Z$2))),2))))</f>
      </c>
      <c r="AK570" s="33">
        <f>IF(AA570&lt;=0,0,MAX(0,MIN(AA570,ROUND($AZ570-SUMPRODUCT($V570:$AE570*($V570:$AE570&gt;0)*(($V$3:$AE$3&gt;AA$3)+($V$3:$AE$3=AA$3)*($V570:$AE570&lt;AA570)+($V$3:$AE$3=AA$3)*($V570:$AE570=AA570)*($V$2:$AE$2&lt;AA$2))),2))))</f>
      </c>
      <c r="AL570" s="33">
        <f>IF(AB570&lt;=0,0,MAX(0,MIN(AB570,ROUND($AZ570-SUMPRODUCT($V570:$AE570*($V570:$AE570&gt;0)*(($V$3:$AE$3&gt;AB$3)+($V$3:$AE$3=AB$3)*($V570:$AE570&lt;AB570)+($V$3:$AE$3=AB$3)*($V570:$AE570=AB570)*($V$2:$AE$2&lt;AB$2))),2))))</f>
      </c>
      <c r="AM570" s="33">
        <f>IF(AC570&lt;=0,0,MAX(0,MIN(AC570,ROUND($AZ570-SUMPRODUCT($V570:$AE570*($V570:$AE570&gt;0)*(($V$3:$AE$3&gt;AC$3)+($V$3:$AE$3=AC$3)*($V570:$AE570&lt;AC570)+($V$3:$AE$3=AC$3)*($V570:$AE570=AC570)*($V$2:$AE$2&lt;AC$2))),2))))</f>
      </c>
      <c r="AN570" s="33">
        <f>IF(AD570&lt;=0,0,MAX(0,MIN(AD570,ROUND($AZ570-SUMPRODUCT($V570:$AE570*($V570:$AE570&gt;0)*(($V$3:$AE$3&gt;AD$3)+($V$3:$AE$3=AD$3)*($V570:$AE570&lt;AD570)+($V$3:$AE$3=AD$3)*($V570:$AE570=AD570)*($V$2:$AE$2&lt;AD$2))),2))))</f>
      </c>
      <c r="AO570" s="33">
        <f>IF(AE570&lt;=0,0,MAX(0,MIN(AE570,ROUND($AZ570-SUMPRODUCT($V570:$AE570*($V570:$AE570&gt;0)*(($V$3:$AE$3&gt;AE$3)+($V$3:$AE$3=AE$3)*($V570:$AE570&lt;AE570)+($V$3:$AE$3=AE$3)*($V570:$AE570=AE570)*($V$2:$AE$2&lt;AE$2))),2))))</f>
      </c>
      <c r="AP570" s="33">
        <f>ROUND(V570-AF570,2)</f>
      </c>
      <c r="AQ570" s="33">
        <f>ROUND(W570-AG570,2)</f>
      </c>
      <c r="AR570" s="33">
        <f>ROUND(X570-AH570,2)</f>
      </c>
      <c r="AS570" s="33">
        <f>ROUND(Y570-AI570,2)</f>
      </c>
      <c r="AT570" s="33">
        <f>ROUND(Z570-AJ570,2)</f>
      </c>
      <c r="AU570" s="33">
        <f>ROUND(AA570-AK570,2)</f>
      </c>
      <c r="AV570" s="33">
        <f>ROUND(AB570-AL570,2)</f>
      </c>
      <c r="AW570" s="33">
        <f>ROUND(AC570-AM570,2)</f>
      </c>
      <c r="AX570" s="33">
        <f>ROUND(AD570-AN570,2)</f>
      </c>
      <c r="AY570" s="33">
        <f>ROUND(AE570-AO570,2)</f>
      </c>
      <c r="AZ570" s="33">
        <f>ROUND(MAX(0,'Your debts'!$D$22-SUM($L570:$U570)),2)</f>
      </c>
      <c r="BA570" s="33">
        <f>ROUND(SUM($B570:$K570)-SUM($AP569:$AY569),2)</f>
      </c>
      <c r="BB570" s="33">
        <f>SUM($AP570:$AY570)</f>
      </c>
      <c r="BC570" s="33">
        <f>ROUND(SUM($L570:$U570)+SUM($AF570:$AO570),2)</f>
      </c>
    </row>
    <row r="571" spans="1:55" x14ac:dyDescent="0.25">
      <c r="A571">
        <v>564</v>
      </c>
      <c r="B571" s="33">
        <f>IF(AP570&lt;=0,0,ROUND(AP570+ROUND(AP570*V$3/12,2),2))</f>
      </c>
      <c r="C571" s="33">
        <f>IF(AQ570&lt;=0,0,ROUND(AQ570+ROUND(AQ570*W$3/12,2),2))</f>
      </c>
      <c r="D571" s="33">
        <f>IF(AR570&lt;=0,0,ROUND(AR570+ROUND(AR570*X$3/12,2),2))</f>
      </c>
      <c r="E571" s="33">
        <f>IF(AS570&lt;=0,0,ROUND(AS570+ROUND(AS570*Y$3/12,2),2))</f>
      </c>
      <c r="F571" s="33">
        <f>IF(AT570&lt;=0,0,ROUND(AT570+ROUND(AT570*Z$3/12,2),2))</f>
      </c>
      <c r="G571" s="33">
        <f>IF(AU570&lt;=0,0,ROUND(AU570+ROUND(AU570*AA$3/12,2),2))</f>
      </c>
      <c r="H571" s="33">
        <f>IF(AV570&lt;=0,0,ROUND(AV570+ROUND(AV570*AB$3/12,2),2))</f>
      </c>
      <c r="I571" s="33">
        <f>IF(AW570&lt;=0,0,ROUND(AW570+ROUND(AW570*AC$3/12,2),2))</f>
      </c>
      <c r="J571" s="33">
        <f>IF(AX570&lt;=0,0,ROUND(AX570+ROUND(AX570*AD$3/12,2),2))</f>
      </c>
      <c r="K571" s="33">
        <f>IF(AY570&lt;=0,0,ROUND(AY570+ROUND(AY570*AE$3/12,2),2))</f>
      </c>
      <c r="L571" s="33">
        <f>ROUND(MIN(MAX(0,N('Your debts'!$E$6)),B571),2)</f>
      </c>
      <c r="M571" s="33">
        <f>ROUND(MIN(MAX(0,N('Your debts'!$E$7)),C571),2)</f>
      </c>
      <c r="N571" s="33">
        <f>ROUND(MIN(MAX(0,N('Your debts'!$E$8)),D571),2)</f>
      </c>
      <c r="O571" s="33">
        <f>ROUND(MIN(MAX(0,N('Your debts'!$E$9)),E571),2)</f>
      </c>
      <c r="P571" s="33">
        <f>ROUND(MIN(MAX(0,N('Your debts'!$E$10)),F571),2)</f>
      </c>
      <c r="Q571" s="33">
        <f>ROUND(MIN(MAX(0,N('Your debts'!$E$11)),G571),2)</f>
      </c>
      <c r="R571" s="33">
        <f>ROUND(MIN(MAX(0,N('Your debts'!$E$12)),H571),2)</f>
      </c>
      <c r="S571" s="33">
        <f>ROUND(MIN(MAX(0,N('Your debts'!$E$13)),I571),2)</f>
      </c>
      <c r="T571" s="33">
        <f>ROUND(MIN(MAX(0,N('Your debts'!$E$14)),J571),2)</f>
      </c>
      <c r="U571" s="33">
        <f>ROUND(MIN(MAX(0,N('Your debts'!$E$15)),K571),2)</f>
      </c>
      <c r="V571" s="33">
        <f>ROUND(B571-L571,2)</f>
      </c>
      <c r="W571" s="33">
        <f>ROUND(C571-M571,2)</f>
      </c>
      <c r="X571" s="33">
        <f>ROUND(D571-N571,2)</f>
      </c>
      <c r="Y571" s="33">
        <f>ROUND(E571-O571,2)</f>
      </c>
      <c r="Z571" s="33">
        <f>ROUND(F571-P571,2)</f>
      </c>
      <c r="AA571" s="33">
        <f>ROUND(G571-Q571,2)</f>
      </c>
      <c r="AB571" s="33">
        <f>ROUND(H571-R571,2)</f>
      </c>
      <c r="AC571" s="33">
        <f>ROUND(I571-S571,2)</f>
      </c>
      <c r="AD571" s="33">
        <f>ROUND(J571-T571,2)</f>
      </c>
      <c r="AE571" s="33">
        <f>ROUND(K571-U571,2)</f>
      </c>
      <c r="AF571" s="33">
        <f>IF(V571&lt;=0,0,MAX(0,MIN(V571,ROUND($AZ571-SUMPRODUCT($V571:$AE571*($V571:$AE571&gt;0)*(($V$3:$AE$3&gt;V$3)+($V$3:$AE$3=V$3)*($V571:$AE571&lt;V571)+($V$3:$AE$3=V$3)*($V571:$AE571=V571)*($V$2:$AE$2&lt;V$2))),2))))</f>
      </c>
      <c r="AG571" s="33">
        <f>IF(W571&lt;=0,0,MAX(0,MIN(W571,ROUND($AZ571-SUMPRODUCT($V571:$AE571*($V571:$AE571&gt;0)*(($V$3:$AE$3&gt;W$3)+($V$3:$AE$3=W$3)*($V571:$AE571&lt;W571)+($V$3:$AE$3=W$3)*($V571:$AE571=W571)*($V$2:$AE$2&lt;W$2))),2))))</f>
      </c>
      <c r="AH571" s="33">
        <f>IF(X571&lt;=0,0,MAX(0,MIN(X571,ROUND($AZ571-SUMPRODUCT($V571:$AE571*($V571:$AE571&gt;0)*(($V$3:$AE$3&gt;X$3)+($V$3:$AE$3=X$3)*($V571:$AE571&lt;X571)+($V$3:$AE$3=X$3)*($V571:$AE571=X571)*($V$2:$AE$2&lt;X$2))),2))))</f>
      </c>
      <c r="AI571" s="33">
        <f>IF(Y571&lt;=0,0,MAX(0,MIN(Y571,ROUND($AZ571-SUMPRODUCT($V571:$AE571*($V571:$AE571&gt;0)*(($V$3:$AE$3&gt;Y$3)+($V$3:$AE$3=Y$3)*($V571:$AE571&lt;Y571)+($V$3:$AE$3=Y$3)*($V571:$AE571=Y571)*($V$2:$AE$2&lt;Y$2))),2))))</f>
      </c>
      <c r="AJ571" s="33">
        <f>IF(Z571&lt;=0,0,MAX(0,MIN(Z571,ROUND($AZ571-SUMPRODUCT($V571:$AE571*($V571:$AE571&gt;0)*(($V$3:$AE$3&gt;Z$3)+($V$3:$AE$3=Z$3)*($V571:$AE571&lt;Z571)+($V$3:$AE$3=Z$3)*($V571:$AE571=Z571)*($V$2:$AE$2&lt;Z$2))),2))))</f>
      </c>
      <c r="AK571" s="33">
        <f>IF(AA571&lt;=0,0,MAX(0,MIN(AA571,ROUND($AZ571-SUMPRODUCT($V571:$AE571*($V571:$AE571&gt;0)*(($V$3:$AE$3&gt;AA$3)+($V$3:$AE$3=AA$3)*($V571:$AE571&lt;AA571)+($V$3:$AE$3=AA$3)*($V571:$AE571=AA571)*($V$2:$AE$2&lt;AA$2))),2))))</f>
      </c>
      <c r="AL571" s="33">
        <f>IF(AB571&lt;=0,0,MAX(0,MIN(AB571,ROUND($AZ571-SUMPRODUCT($V571:$AE571*($V571:$AE571&gt;0)*(($V$3:$AE$3&gt;AB$3)+($V$3:$AE$3=AB$3)*($V571:$AE571&lt;AB571)+($V$3:$AE$3=AB$3)*($V571:$AE571=AB571)*($V$2:$AE$2&lt;AB$2))),2))))</f>
      </c>
      <c r="AM571" s="33">
        <f>IF(AC571&lt;=0,0,MAX(0,MIN(AC571,ROUND($AZ571-SUMPRODUCT($V571:$AE571*($V571:$AE571&gt;0)*(($V$3:$AE$3&gt;AC$3)+($V$3:$AE$3=AC$3)*($V571:$AE571&lt;AC571)+($V$3:$AE$3=AC$3)*($V571:$AE571=AC571)*($V$2:$AE$2&lt;AC$2))),2))))</f>
      </c>
      <c r="AN571" s="33">
        <f>IF(AD571&lt;=0,0,MAX(0,MIN(AD571,ROUND($AZ571-SUMPRODUCT($V571:$AE571*($V571:$AE571&gt;0)*(($V$3:$AE$3&gt;AD$3)+($V$3:$AE$3=AD$3)*($V571:$AE571&lt;AD571)+($V$3:$AE$3=AD$3)*($V571:$AE571=AD571)*($V$2:$AE$2&lt;AD$2))),2))))</f>
      </c>
      <c r="AO571" s="33">
        <f>IF(AE571&lt;=0,0,MAX(0,MIN(AE571,ROUND($AZ571-SUMPRODUCT($V571:$AE571*($V571:$AE571&gt;0)*(($V$3:$AE$3&gt;AE$3)+($V$3:$AE$3=AE$3)*($V571:$AE571&lt;AE571)+($V$3:$AE$3=AE$3)*($V571:$AE571=AE571)*($V$2:$AE$2&lt;AE$2))),2))))</f>
      </c>
      <c r="AP571" s="33">
        <f>ROUND(V571-AF571,2)</f>
      </c>
      <c r="AQ571" s="33">
        <f>ROUND(W571-AG571,2)</f>
      </c>
      <c r="AR571" s="33">
        <f>ROUND(X571-AH571,2)</f>
      </c>
      <c r="AS571" s="33">
        <f>ROUND(Y571-AI571,2)</f>
      </c>
      <c r="AT571" s="33">
        <f>ROUND(Z571-AJ571,2)</f>
      </c>
      <c r="AU571" s="33">
        <f>ROUND(AA571-AK571,2)</f>
      </c>
      <c r="AV571" s="33">
        <f>ROUND(AB571-AL571,2)</f>
      </c>
      <c r="AW571" s="33">
        <f>ROUND(AC571-AM571,2)</f>
      </c>
      <c r="AX571" s="33">
        <f>ROUND(AD571-AN571,2)</f>
      </c>
      <c r="AY571" s="33">
        <f>ROUND(AE571-AO571,2)</f>
      </c>
      <c r="AZ571" s="33">
        <f>ROUND(MAX(0,'Your debts'!$D$22-SUM($L571:$U571)),2)</f>
      </c>
      <c r="BA571" s="33">
        <f>ROUND(SUM($B571:$K571)-SUM($AP570:$AY570),2)</f>
      </c>
      <c r="BB571" s="33">
        <f>SUM($AP571:$AY571)</f>
      </c>
      <c r="BC571" s="33">
        <f>ROUND(SUM($L571:$U571)+SUM($AF571:$AO571),2)</f>
      </c>
    </row>
    <row r="572" spans="1:55" x14ac:dyDescent="0.25">
      <c r="A572">
        <v>565</v>
      </c>
      <c r="B572" s="33">
        <f>IF(AP571&lt;=0,0,ROUND(AP571+ROUND(AP571*V$3/12,2),2))</f>
      </c>
      <c r="C572" s="33">
        <f>IF(AQ571&lt;=0,0,ROUND(AQ571+ROUND(AQ571*W$3/12,2),2))</f>
      </c>
      <c r="D572" s="33">
        <f>IF(AR571&lt;=0,0,ROUND(AR571+ROUND(AR571*X$3/12,2),2))</f>
      </c>
      <c r="E572" s="33">
        <f>IF(AS571&lt;=0,0,ROUND(AS571+ROUND(AS571*Y$3/12,2),2))</f>
      </c>
      <c r="F572" s="33">
        <f>IF(AT571&lt;=0,0,ROUND(AT571+ROUND(AT571*Z$3/12,2),2))</f>
      </c>
      <c r="G572" s="33">
        <f>IF(AU571&lt;=0,0,ROUND(AU571+ROUND(AU571*AA$3/12,2),2))</f>
      </c>
      <c r="H572" s="33">
        <f>IF(AV571&lt;=0,0,ROUND(AV571+ROUND(AV571*AB$3/12,2),2))</f>
      </c>
      <c r="I572" s="33">
        <f>IF(AW571&lt;=0,0,ROUND(AW571+ROUND(AW571*AC$3/12,2),2))</f>
      </c>
      <c r="J572" s="33">
        <f>IF(AX571&lt;=0,0,ROUND(AX571+ROUND(AX571*AD$3/12,2),2))</f>
      </c>
      <c r="K572" s="33">
        <f>IF(AY571&lt;=0,0,ROUND(AY571+ROUND(AY571*AE$3/12,2),2))</f>
      </c>
      <c r="L572" s="33">
        <f>ROUND(MIN(MAX(0,N('Your debts'!$E$6)),B572),2)</f>
      </c>
      <c r="M572" s="33">
        <f>ROUND(MIN(MAX(0,N('Your debts'!$E$7)),C572),2)</f>
      </c>
      <c r="N572" s="33">
        <f>ROUND(MIN(MAX(0,N('Your debts'!$E$8)),D572),2)</f>
      </c>
      <c r="O572" s="33">
        <f>ROUND(MIN(MAX(0,N('Your debts'!$E$9)),E572),2)</f>
      </c>
      <c r="P572" s="33">
        <f>ROUND(MIN(MAX(0,N('Your debts'!$E$10)),F572),2)</f>
      </c>
      <c r="Q572" s="33">
        <f>ROUND(MIN(MAX(0,N('Your debts'!$E$11)),G572),2)</f>
      </c>
      <c r="R572" s="33">
        <f>ROUND(MIN(MAX(0,N('Your debts'!$E$12)),H572),2)</f>
      </c>
      <c r="S572" s="33">
        <f>ROUND(MIN(MAX(0,N('Your debts'!$E$13)),I572),2)</f>
      </c>
      <c r="T572" s="33">
        <f>ROUND(MIN(MAX(0,N('Your debts'!$E$14)),J572),2)</f>
      </c>
      <c r="U572" s="33">
        <f>ROUND(MIN(MAX(0,N('Your debts'!$E$15)),K572),2)</f>
      </c>
      <c r="V572" s="33">
        <f>ROUND(B572-L572,2)</f>
      </c>
      <c r="W572" s="33">
        <f>ROUND(C572-M572,2)</f>
      </c>
      <c r="X572" s="33">
        <f>ROUND(D572-N572,2)</f>
      </c>
      <c r="Y572" s="33">
        <f>ROUND(E572-O572,2)</f>
      </c>
      <c r="Z572" s="33">
        <f>ROUND(F572-P572,2)</f>
      </c>
      <c r="AA572" s="33">
        <f>ROUND(G572-Q572,2)</f>
      </c>
      <c r="AB572" s="33">
        <f>ROUND(H572-R572,2)</f>
      </c>
      <c r="AC572" s="33">
        <f>ROUND(I572-S572,2)</f>
      </c>
      <c r="AD572" s="33">
        <f>ROUND(J572-T572,2)</f>
      </c>
      <c r="AE572" s="33">
        <f>ROUND(K572-U572,2)</f>
      </c>
      <c r="AF572" s="33">
        <f>IF(V572&lt;=0,0,MAX(0,MIN(V572,ROUND($AZ572-SUMPRODUCT($V572:$AE572*($V572:$AE572&gt;0)*(($V$3:$AE$3&gt;V$3)+($V$3:$AE$3=V$3)*($V572:$AE572&lt;V572)+($V$3:$AE$3=V$3)*($V572:$AE572=V572)*($V$2:$AE$2&lt;V$2))),2))))</f>
      </c>
      <c r="AG572" s="33">
        <f>IF(W572&lt;=0,0,MAX(0,MIN(W572,ROUND($AZ572-SUMPRODUCT($V572:$AE572*($V572:$AE572&gt;0)*(($V$3:$AE$3&gt;W$3)+($V$3:$AE$3=W$3)*($V572:$AE572&lt;W572)+($V$3:$AE$3=W$3)*($V572:$AE572=W572)*($V$2:$AE$2&lt;W$2))),2))))</f>
      </c>
      <c r="AH572" s="33">
        <f>IF(X572&lt;=0,0,MAX(0,MIN(X572,ROUND($AZ572-SUMPRODUCT($V572:$AE572*($V572:$AE572&gt;0)*(($V$3:$AE$3&gt;X$3)+($V$3:$AE$3=X$3)*($V572:$AE572&lt;X572)+($V$3:$AE$3=X$3)*($V572:$AE572=X572)*($V$2:$AE$2&lt;X$2))),2))))</f>
      </c>
      <c r="AI572" s="33">
        <f>IF(Y572&lt;=0,0,MAX(0,MIN(Y572,ROUND($AZ572-SUMPRODUCT($V572:$AE572*($V572:$AE572&gt;0)*(($V$3:$AE$3&gt;Y$3)+($V$3:$AE$3=Y$3)*($V572:$AE572&lt;Y572)+($V$3:$AE$3=Y$3)*($V572:$AE572=Y572)*($V$2:$AE$2&lt;Y$2))),2))))</f>
      </c>
      <c r="AJ572" s="33">
        <f>IF(Z572&lt;=0,0,MAX(0,MIN(Z572,ROUND($AZ572-SUMPRODUCT($V572:$AE572*($V572:$AE572&gt;0)*(($V$3:$AE$3&gt;Z$3)+($V$3:$AE$3=Z$3)*($V572:$AE572&lt;Z572)+($V$3:$AE$3=Z$3)*($V572:$AE572=Z572)*($V$2:$AE$2&lt;Z$2))),2))))</f>
      </c>
      <c r="AK572" s="33">
        <f>IF(AA572&lt;=0,0,MAX(0,MIN(AA572,ROUND($AZ572-SUMPRODUCT($V572:$AE572*($V572:$AE572&gt;0)*(($V$3:$AE$3&gt;AA$3)+($V$3:$AE$3=AA$3)*($V572:$AE572&lt;AA572)+($V$3:$AE$3=AA$3)*($V572:$AE572=AA572)*($V$2:$AE$2&lt;AA$2))),2))))</f>
      </c>
      <c r="AL572" s="33">
        <f>IF(AB572&lt;=0,0,MAX(0,MIN(AB572,ROUND($AZ572-SUMPRODUCT($V572:$AE572*($V572:$AE572&gt;0)*(($V$3:$AE$3&gt;AB$3)+($V$3:$AE$3=AB$3)*($V572:$AE572&lt;AB572)+($V$3:$AE$3=AB$3)*($V572:$AE572=AB572)*($V$2:$AE$2&lt;AB$2))),2))))</f>
      </c>
      <c r="AM572" s="33">
        <f>IF(AC572&lt;=0,0,MAX(0,MIN(AC572,ROUND($AZ572-SUMPRODUCT($V572:$AE572*($V572:$AE572&gt;0)*(($V$3:$AE$3&gt;AC$3)+($V$3:$AE$3=AC$3)*($V572:$AE572&lt;AC572)+($V$3:$AE$3=AC$3)*($V572:$AE572=AC572)*($V$2:$AE$2&lt;AC$2))),2))))</f>
      </c>
      <c r="AN572" s="33">
        <f>IF(AD572&lt;=0,0,MAX(0,MIN(AD572,ROUND($AZ572-SUMPRODUCT($V572:$AE572*($V572:$AE572&gt;0)*(($V$3:$AE$3&gt;AD$3)+($V$3:$AE$3=AD$3)*($V572:$AE572&lt;AD572)+($V$3:$AE$3=AD$3)*($V572:$AE572=AD572)*($V$2:$AE$2&lt;AD$2))),2))))</f>
      </c>
      <c r="AO572" s="33">
        <f>IF(AE572&lt;=0,0,MAX(0,MIN(AE572,ROUND($AZ572-SUMPRODUCT($V572:$AE572*($V572:$AE572&gt;0)*(($V$3:$AE$3&gt;AE$3)+($V$3:$AE$3=AE$3)*($V572:$AE572&lt;AE572)+($V$3:$AE$3=AE$3)*($V572:$AE572=AE572)*($V$2:$AE$2&lt;AE$2))),2))))</f>
      </c>
      <c r="AP572" s="33">
        <f>ROUND(V572-AF572,2)</f>
      </c>
      <c r="AQ572" s="33">
        <f>ROUND(W572-AG572,2)</f>
      </c>
      <c r="AR572" s="33">
        <f>ROUND(X572-AH572,2)</f>
      </c>
      <c r="AS572" s="33">
        <f>ROUND(Y572-AI572,2)</f>
      </c>
      <c r="AT572" s="33">
        <f>ROUND(Z572-AJ572,2)</f>
      </c>
      <c r="AU572" s="33">
        <f>ROUND(AA572-AK572,2)</f>
      </c>
      <c r="AV572" s="33">
        <f>ROUND(AB572-AL572,2)</f>
      </c>
      <c r="AW572" s="33">
        <f>ROUND(AC572-AM572,2)</f>
      </c>
      <c r="AX572" s="33">
        <f>ROUND(AD572-AN572,2)</f>
      </c>
      <c r="AY572" s="33">
        <f>ROUND(AE572-AO572,2)</f>
      </c>
      <c r="AZ572" s="33">
        <f>ROUND(MAX(0,'Your debts'!$D$22-SUM($L572:$U572)),2)</f>
      </c>
      <c r="BA572" s="33">
        <f>ROUND(SUM($B572:$K572)-SUM($AP571:$AY571),2)</f>
      </c>
      <c r="BB572" s="33">
        <f>SUM($AP572:$AY572)</f>
      </c>
      <c r="BC572" s="33">
        <f>ROUND(SUM($L572:$U572)+SUM($AF572:$AO572),2)</f>
      </c>
    </row>
    <row r="573" spans="1:55" x14ac:dyDescent="0.25">
      <c r="A573">
        <v>566</v>
      </c>
      <c r="B573" s="33">
        <f>IF(AP572&lt;=0,0,ROUND(AP572+ROUND(AP572*V$3/12,2),2))</f>
      </c>
      <c r="C573" s="33">
        <f>IF(AQ572&lt;=0,0,ROUND(AQ572+ROUND(AQ572*W$3/12,2),2))</f>
      </c>
      <c r="D573" s="33">
        <f>IF(AR572&lt;=0,0,ROUND(AR572+ROUND(AR572*X$3/12,2),2))</f>
      </c>
      <c r="E573" s="33">
        <f>IF(AS572&lt;=0,0,ROUND(AS572+ROUND(AS572*Y$3/12,2),2))</f>
      </c>
      <c r="F573" s="33">
        <f>IF(AT572&lt;=0,0,ROUND(AT572+ROUND(AT572*Z$3/12,2),2))</f>
      </c>
      <c r="G573" s="33">
        <f>IF(AU572&lt;=0,0,ROUND(AU572+ROUND(AU572*AA$3/12,2),2))</f>
      </c>
      <c r="H573" s="33">
        <f>IF(AV572&lt;=0,0,ROUND(AV572+ROUND(AV572*AB$3/12,2),2))</f>
      </c>
      <c r="I573" s="33">
        <f>IF(AW572&lt;=0,0,ROUND(AW572+ROUND(AW572*AC$3/12,2),2))</f>
      </c>
      <c r="J573" s="33">
        <f>IF(AX572&lt;=0,0,ROUND(AX572+ROUND(AX572*AD$3/12,2),2))</f>
      </c>
      <c r="K573" s="33">
        <f>IF(AY572&lt;=0,0,ROUND(AY572+ROUND(AY572*AE$3/12,2),2))</f>
      </c>
      <c r="L573" s="33">
        <f>ROUND(MIN(MAX(0,N('Your debts'!$E$6)),B573),2)</f>
      </c>
      <c r="M573" s="33">
        <f>ROUND(MIN(MAX(0,N('Your debts'!$E$7)),C573),2)</f>
      </c>
      <c r="N573" s="33">
        <f>ROUND(MIN(MAX(0,N('Your debts'!$E$8)),D573),2)</f>
      </c>
      <c r="O573" s="33">
        <f>ROUND(MIN(MAX(0,N('Your debts'!$E$9)),E573),2)</f>
      </c>
      <c r="P573" s="33">
        <f>ROUND(MIN(MAX(0,N('Your debts'!$E$10)),F573),2)</f>
      </c>
      <c r="Q573" s="33">
        <f>ROUND(MIN(MAX(0,N('Your debts'!$E$11)),G573),2)</f>
      </c>
      <c r="R573" s="33">
        <f>ROUND(MIN(MAX(0,N('Your debts'!$E$12)),H573),2)</f>
      </c>
      <c r="S573" s="33">
        <f>ROUND(MIN(MAX(0,N('Your debts'!$E$13)),I573),2)</f>
      </c>
      <c r="T573" s="33">
        <f>ROUND(MIN(MAX(0,N('Your debts'!$E$14)),J573),2)</f>
      </c>
      <c r="U573" s="33">
        <f>ROUND(MIN(MAX(0,N('Your debts'!$E$15)),K573),2)</f>
      </c>
      <c r="V573" s="33">
        <f>ROUND(B573-L573,2)</f>
      </c>
      <c r="W573" s="33">
        <f>ROUND(C573-M573,2)</f>
      </c>
      <c r="X573" s="33">
        <f>ROUND(D573-N573,2)</f>
      </c>
      <c r="Y573" s="33">
        <f>ROUND(E573-O573,2)</f>
      </c>
      <c r="Z573" s="33">
        <f>ROUND(F573-P573,2)</f>
      </c>
      <c r="AA573" s="33">
        <f>ROUND(G573-Q573,2)</f>
      </c>
      <c r="AB573" s="33">
        <f>ROUND(H573-R573,2)</f>
      </c>
      <c r="AC573" s="33">
        <f>ROUND(I573-S573,2)</f>
      </c>
      <c r="AD573" s="33">
        <f>ROUND(J573-T573,2)</f>
      </c>
      <c r="AE573" s="33">
        <f>ROUND(K573-U573,2)</f>
      </c>
      <c r="AF573" s="33">
        <f>IF(V573&lt;=0,0,MAX(0,MIN(V573,ROUND($AZ573-SUMPRODUCT($V573:$AE573*($V573:$AE573&gt;0)*(($V$3:$AE$3&gt;V$3)+($V$3:$AE$3=V$3)*($V573:$AE573&lt;V573)+($V$3:$AE$3=V$3)*($V573:$AE573=V573)*($V$2:$AE$2&lt;V$2))),2))))</f>
      </c>
      <c r="AG573" s="33">
        <f>IF(W573&lt;=0,0,MAX(0,MIN(W573,ROUND($AZ573-SUMPRODUCT($V573:$AE573*($V573:$AE573&gt;0)*(($V$3:$AE$3&gt;W$3)+($V$3:$AE$3=W$3)*($V573:$AE573&lt;W573)+($V$3:$AE$3=W$3)*($V573:$AE573=W573)*($V$2:$AE$2&lt;W$2))),2))))</f>
      </c>
      <c r="AH573" s="33">
        <f>IF(X573&lt;=0,0,MAX(0,MIN(X573,ROUND($AZ573-SUMPRODUCT($V573:$AE573*($V573:$AE573&gt;0)*(($V$3:$AE$3&gt;X$3)+($V$3:$AE$3=X$3)*($V573:$AE573&lt;X573)+($V$3:$AE$3=X$3)*($V573:$AE573=X573)*($V$2:$AE$2&lt;X$2))),2))))</f>
      </c>
      <c r="AI573" s="33">
        <f>IF(Y573&lt;=0,0,MAX(0,MIN(Y573,ROUND($AZ573-SUMPRODUCT($V573:$AE573*($V573:$AE573&gt;0)*(($V$3:$AE$3&gt;Y$3)+($V$3:$AE$3=Y$3)*($V573:$AE573&lt;Y573)+($V$3:$AE$3=Y$3)*($V573:$AE573=Y573)*($V$2:$AE$2&lt;Y$2))),2))))</f>
      </c>
      <c r="AJ573" s="33">
        <f>IF(Z573&lt;=0,0,MAX(0,MIN(Z573,ROUND($AZ573-SUMPRODUCT($V573:$AE573*($V573:$AE573&gt;0)*(($V$3:$AE$3&gt;Z$3)+($V$3:$AE$3=Z$3)*($V573:$AE573&lt;Z573)+($V$3:$AE$3=Z$3)*($V573:$AE573=Z573)*($V$2:$AE$2&lt;Z$2))),2))))</f>
      </c>
      <c r="AK573" s="33">
        <f>IF(AA573&lt;=0,0,MAX(0,MIN(AA573,ROUND($AZ573-SUMPRODUCT($V573:$AE573*($V573:$AE573&gt;0)*(($V$3:$AE$3&gt;AA$3)+($V$3:$AE$3=AA$3)*($V573:$AE573&lt;AA573)+($V$3:$AE$3=AA$3)*($V573:$AE573=AA573)*($V$2:$AE$2&lt;AA$2))),2))))</f>
      </c>
      <c r="AL573" s="33">
        <f>IF(AB573&lt;=0,0,MAX(0,MIN(AB573,ROUND($AZ573-SUMPRODUCT($V573:$AE573*($V573:$AE573&gt;0)*(($V$3:$AE$3&gt;AB$3)+($V$3:$AE$3=AB$3)*($V573:$AE573&lt;AB573)+($V$3:$AE$3=AB$3)*($V573:$AE573=AB573)*($V$2:$AE$2&lt;AB$2))),2))))</f>
      </c>
      <c r="AM573" s="33">
        <f>IF(AC573&lt;=0,0,MAX(0,MIN(AC573,ROUND($AZ573-SUMPRODUCT($V573:$AE573*($V573:$AE573&gt;0)*(($V$3:$AE$3&gt;AC$3)+($V$3:$AE$3=AC$3)*($V573:$AE573&lt;AC573)+($V$3:$AE$3=AC$3)*($V573:$AE573=AC573)*($V$2:$AE$2&lt;AC$2))),2))))</f>
      </c>
      <c r="AN573" s="33">
        <f>IF(AD573&lt;=0,0,MAX(0,MIN(AD573,ROUND($AZ573-SUMPRODUCT($V573:$AE573*($V573:$AE573&gt;0)*(($V$3:$AE$3&gt;AD$3)+($V$3:$AE$3=AD$3)*($V573:$AE573&lt;AD573)+($V$3:$AE$3=AD$3)*($V573:$AE573=AD573)*($V$2:$AE$2&lt;AD$2))),2))))</f>
      </c>
      <c r="AO573" s="33">
        <f>IF(AE573&lt;=0,0,MAX(0,MIN(AE573,ROUND($AZ573-SUMPRODUCT($V573:$AE573*($V573:$AE573&gt;0)*(($V$3:$AE$3&gt;AE$3)+($V$3:$AE$3=AE$3)*($V573:$AE573&lt;AE573)+($V$3:$AE$3=AE$3)*($V573:$AE573=AE573)*($V$2:$AE$2&lt;AE$2))),2))))</f>
      </c>
      <c r="AP573" s="33">
        <f>ROUND(V573-AF573,2)</f>
      </c>
      <c r="AQ573" s="33">
        <f>ROUND(W573-AG573,2)</f>
      </c>
      <c r="AR573" s="33">
        <f>ROUND(X573-AH573,2)</f>
      </c>
      <c r="AS573" s="33">
        <f>ROUND(Y573-AI573,2)</f>
      </c>
      <c r="AT573" s="33">
        <f>ROUND(Z573-AJ573,2)</f>
      </c>
      <c r="AU573" s="33">
        <f>ROUND(AA573-AK573,2)</f>
      </c>
      <c r="AV573" s="33">
        <f>ROUND(AB573-AL573,2)</f>
      </c>
      <c r="AW573" s="33">
        <f>ROUND(AC573-AM573,2)</f>
      </c>
      <c r="AX573" s="33">
        <f>ROUND(AD573-AN573,2)</f>
      </c>
      <c r="AY573" s="33">
        <f>ROUND(AE573-AO573,2)</f>
      </c>
      <c r="AZ573" s="33">
        <f>ROUND(MAX(0,'Your debts'!$D$22-SUM($L573:$U573)),2)</f>
      </c>
      <c r="BA573" s="33">
        <f>ROUND(SUM($B573:$K573)-SUM($AP572:$AY572),2)</f>
      </c>
      <c r="BB573" s="33">
        <f>SUM($AP573:$AY573)</f>
      </c>
      <c r="BC573" s="33">
        <f>ROUND(SUM($L573:$U573)+SUM($AF573:$AO573),2)</f>
      </c>
    </row>
    <row r="574" spans="1:55" x14ac:dyDescent="0.25">
      <c r="A574">
        <v>567</v>
      </c>
      <c r="B574" s="33">
        <f>IF(AP573&lt;=0,0,ROUND(AP573+ROUND(AP573*V$3/12,2),2))</f>
      </c>
      <c r="C574" s="33">
        <f>IF(AQ573&lt;=0,0,ROUND(AQ573+ROUND(AQ573*W$3/12,2),2))</f>
      </c>
      <c r="D574" s="33">
        <f>IF(AR573&lt;=0,0,ROUND(AR573+ROUND(AR573*X$3/12,2),2))</f>
      </c>
      <c r="E574" s="33">
        <f>IF(AS573&lt;=0,0,ROUND(AS573+ROUND(AS573*Y$3/12,2),2))</f>
      </c>
      <c r="F574" s="33">
        <f>IF(AT573&lt;=0,0,ROUND(AT573+ROUND(AT573*Z$3/12,2),2))</f>
      </c>
      <c r="G574" s="33">
        <f>IF(AU573&lt;=0,0,ROUND(AU573+ROUND(AU573*AA$3/12,2),2))</f>
      </c>
      <c r="H574" s="33">
        <f>IF(AV573&lt;=0,0,ROUND(AV573+ROUND(AV573*AB$3/12,2),2))</f>
      </c>
      <c r="I574" s="33">
        <f>IF(AW573&lt;=0,0,ROUND(AW573+ROUND(AW573*AC$3/12,2),2))</f>
      </c>
      <c r="J574" s="33">
        <f>IF(AX573&lt;=0,0,ROUND(AX573+ROUND(AX573*AD$3/12,2),2))</f>
      </c>
      <c r="K574" s="33">
        <f>IF(AY573&lt;=0,0,ROUND(AY573+ROUND(AY573*AE$3/12,2),2))</f>
      </c>
      <c r="L574" s="33">
        <f>ROUND(MIN(MAX(0,N('Your debts'!$E$6)),B574),2)</f>
      </c>
      <c r="M574" s="33">
        <f>ROUND(MIN(MAX(0,N('Your debts'!$E$7)),C574),2)</f>
      </c>
      <c r="N574" s="33">
        <f>ROUND(MIN(MAX(0,N('Your debts'!$E$8)),D574),2)</f>
      </c>
      <c r="O574" s="33">
        <f>ROUND(MIN(MAX(0,N('Your debts'!$E$9)),E574),2)</f>
      </c>
      <c r="P574" s="33">
        <f>ROUND(MIN(MAX(0,N('Your debts'!$E$10)),F574),2)</f>
      </c>
      <c r="Q574" s="33">
        <f>ROUND(MIN(MAX(0,N('Your debts'!$E$11)),G574),2)</f>
      </c>
      <c r="R574" s="33">
        <f>ROUND(MIN(MAX(0,N('Your debts'!$E$12)),H574),2)</f>
      </c>
      <c r="S574" s="33">
        <f>ROUND(MIN(MAX(0,N('Your debts'!$E$13)),I574),2)</f>
      </c>
      <c r="T574" s="33">
        <f>ROUND(MIN(MAX(0,N('Your debts'!$E$14)),J574),2)</f>
      </c>
      <c r="U574" s="33">
        <f>ROUND(MIN(MAX(0,N('Your debts'!$E$15)),K574),2)</f>
      </c>
      <c r="V574" s="33">
        <f>ROUND(B574-L574,2)</f>
      </c>
      <c r="W574" s="33">
        <f>ROUND(C574-M574,2)</f>
      </c>
      <c r="X574" s="33">
        <f>ROUND(D574-N574,2)</f>
      </c>
      <c r="Y574" s="33">
        <f>ROUND(E574-O574,2)</f>
      </c>
      <c r="Z574" s="33">
        <f>ROUND(F574-P574,2)</f>
      </c>
      <c r="AA574" s="33">
        <f>ROUND(G574-Q574,2)</f>
      </c>
      <c r="AB574" s="33">
        <f>ROUND(H574-R574,2)</f>
      </c>
      <c r="AC574" s="33">
        <f>ROUND(I574-S574,2)</f>
      </c>
      <c r="AD574" s="33">
        <f>ROUND(J574-T574,2)</f>
      </c>
      <c r="AE574" s="33">
        <f>ROUND(K574-U574,2)</f>
      </c>
      <c r="AF574" s="33">
        <f>IF(V574&lt;=0,0,MAX(0,MIN(V574,ROUND($AZ574-SUMPRODUCT($V574:$AE574*($V574:$AE574&gt;0)*(($V$3:$AE$3&gt;V$3)+($V$3:$AE$3=V$3)*($V574:$AE574&lt;V574)+($V$3:$AE$3=V$3)*($V574:$AE574=V574)*($V$2:$AE$2&lt;V$2))),2))))</f>
      </c>
      <c r="AG574" s="33">
        <f>IF(W574&lt;=0,0,MAX(0,MIN(W574,ROUND($AZ574-SUMPRODUCT($V574:$AE574*($V574:$AE574&gt;0)*(($V$3:$AE$3&gt;W$3)+($V$3:$AE$3=W$3)*($V574:$AE574&lt;W574)+($V$3:$AE$3=W$3)*($V574:$AE574=W574)*($V$2:$AE$2&lt;W$2))),2))))</f>
      </c>
      <c r="AH574" s="33">
        <f>IF(X574&lt;=0,0,MAX(0,MIN(X574,ROUND($AZ574-SUMPRODUCT($V574:$AE574*($V574:$AE574&gt;0)*(($V$3:$AE$3&gt;X$3)+($V$3:$AE$3=X$3)*($V574:$AE574&lt;X574)+($V$3:$AE$3=X$3)*($V574:$AE574=X574)*($V$2:$AE$2&lt;X$2))),2))))</f>
      </c>
      <c r="AI574" s="33">
        <f>IF(Y574&lt;=0,0,MAX(0,MIN(Y574,ROUND($AZ574-SUMPRODUCT($V574:$AE574*($V574:$AE574&gt;0)*(($V$3:$AE$3&gt;Y$3)+($V$3:$AE$3=Y$3)*($V574:$AE574&lt;Y574)+($V$3:$AE$3=Y$3)*($V574:$AE574=Y574)*($V$2:$AE$2&lt;Y$2))),2))))</f>
      </c>
      <c r="AJ574" s="33">
        <f>IF(Z574&lt;=0,0,MAX(0,MIN(Z574,ROUND($AZ574-SUMPRODUCT($V574:$AE574*($V574:$AE574&gt;0)*(($V$3:$AE$3&gt;Z$3)+($V$3:$AE$3=Z$3)*($V574:$AE574&lt;Z574)+($V$3:$AE$3=Z$3)*($V574:$AE574=Z574)*($V$2:$AE$2&lt;Z$2))),2))))</f>
      </c>
      <c r="AK574" s="33">
        <f>IF(AA574&lt;=0,0,MAX(0,MIN(AA574,ROUND($AZ574-SUMPRODUCT($V574:$AE574*($V574:$AE574&gt;0)*(($V$3:$AE$3&gt;AA$3)+($V$3:$AE$3=AA$3)*($V574:$AE574&lt;AA574)+($V$3:$AE$3=AA$3)*($V574:$AE574=AA574)*($V$2:$AE$2&lt;AA$2))),2))))</f>
      </c>
      <c r="AL574" s="33">
        <f>IF(AB574&lt;=0,0,MAX(0,MIN(AB574,ROUND($AZ574-SUMPRODUCT($V574:$AE574*($V574:$AE574&gt;0)*(($V$3:$AE$3&gt;AB$3)+($V$3:$AE$3=AB$3)*($V574:$AE574&lt;AB574)+($V$3:$AE$3=AB$3)*($V574:$AE574=AB574)*($V$2:$AE$2&lt;AB$2))),2))))</f>
      </c>
      <c r="AM574" s="33">
        <f>IF(AC574&lt;=0,0,MAX(0,MIN(AC574,ROUND($AZ574-SUMPRODUCT($V574:$AE574*($V574:$AE574&gt;0)*(($V$3:$AE$3&gt;AC$3)+($V$3:$AE$3=AC$3)*($V574:$AE574&lt;AC574)+($V$3:$AE$3=AC$3)*($V574:$AE574=AC574)*($V$2:$AE$2&lt;AC$2))),2))))</f>
      </c>
      <c r="AN574" s="33">
        <f>IF(AD574&lt;=0,0,MAX(0,MIN(AD574,ROUND($AZ574-SUMPRODUCT($V574:$AE574*($V574:$AE574&gt;0)*(($V$3:$AE$3&gt;AD$3)+($V$3:$AE$3=AD$3)*($V574:$AE574&lt;AD574)+($V$3:$AE$3=AD$3)*($V574:$AE574=AD574)*($V$2:$AE$2&lt;AD$2))),2))))</f>
      </c>
      <c r="AO574" s="33">
        <f>IF(AE574&lt;=0,0,MAX(0,MIN(AE574,ROUND($AZ574-SUMPRODUCT($V574:$AE574*($V574:$AE574&gt;0)*(($V$3:$AE$3&gt;AE$3)+($V$3:$AE$3=AE$3)*($V574:$AE574&lt;AE574)+($V$3:$AE$3=AE$3)*($V574:$AE574=AE574)*($V$2:$AE$2&lt;AE$2))),2))))</f>
      </c>
      <c r="AP574" s="33">
        <f>ROUND(V574-AF574,2)</f>
      </c>
      <c r="AQ574" s="33">
        <f>ROUND(W574-AG574,2)</f>
      </c>
      <c r="AR574" s="33">
        <f>ROUND(X574-AH574,2)</f>
      </c>
      <c r="AS574" s="33">
        <f>ROUND(Y574-AI574,2)</f>
      </c>
      <c r="AT574" s="33">
        <f>ROUND(Z574-AJ574,2)</f>
      </c>
      <c r="AU574" s="33">
        <f>ROUND(AA574-AK574,2)</f>
      </c>
      <c r="AV574" s="33">
        <f>ROUND(AB574-AL574,2)</f>
      </c>
      <c r="AW574" s="33">
        <f>ROUND(AC574-AM574,2)</f>
      </c>
      <c r="AX574" s="33">
        <f>ROUND(AD574-AN574,2)</f>
      </c>
      <c r="AY574" s="33">
        <f>ROUND(AE574-AO574,2)</f>
      </c>
      <c r="AZ574" s="33">
        <f>ROUND(MAX(0,'Your debts'!$D$22-SUM($L574:$U574)),2)</f>
      </c>
      <c r="BA574" s="33">
        <f>ROUND(SUM($B574:$K574)-SUM($AP573:$AY573),2)</f>
      </c>
      <c r="BB574" s="33">
        <f>SUM($AP574:$AY574)</f>
      </c>
      <c r="BC574" s="33">
        <f>ROUND(SUM($L574:$U574)+SUM($AF574:$AO574),2)</f>
      </c>
    </row>
    <row r="575" spans="1:55" x14ac:dyDescent="0.25">
      <c r="A575">
        <v>568</v>
      </c>
      <c r="B575" s="33">
        <f>IF(AP574&lt;=0,0,ROUND(AP574+ROUND(AP574*V$3/12,2),2))</f>
      </c>
      <c r="C575" s="33">
        <f>IF(AQ574&lt;=0,0,ROUND(AQ574+ROUND(AQ574*W$3/12,2),2))</f>
      </c>
      <c r="D575" s="33">
        <f>IF(AR574&lt;=0,0,ROUND(AR574+ROUND(AR574*X$3/12,2),2))</f>
      </c>
      <c r="E575" s="33">
        <f>IF(AS574&lt;=0,0,ROUND(AS574+ROUND(AS574*Y$3/12,2),2))</f>
      </c>
      <c r="F575" s="33">
        <f>IF(AT574&lt;=0,0,ROUND(AT574+ROUND(AT574*Z$3/12,2),2))</f>
      </c>
      <c r="G575" s="33">
        <f>IF(AU574&lt;=0,0,ROUND(AU574+ROUND(AU574*AA$3/12,2),2))</f>
      </c>
      <c r="H575" s="33">
        <f>IF(AV574&lt;=0,0,ROUND(AV574+ROUND(AV574*AB$3/12,2),2))</f>
      </c>
      <c r="I575" s="33">
        <f>IF(AW574&lt;=0,0,ROUND(AW574+ROUND(AW574*AC$3/12,2),2))</f>
      </c>
      <c r="J575" s="33">
        <f>IF(AX574&lt;=0,0,ROUND(AX574+ROUND(AX574*AD$3/12,2),2))</f>
      </c>
      <c r="K575" s="33">
        <f>IF(AY574&lt;=0,0,ROUND(AY574+ROUND(AY574*AE$3/12,2),2))</f>
      </c>
      <c r="L575" s="33">
        <f>ROUND(MIN(MAX(0,N('Your debts'!$E$6)),B575),2)</f>
      </c>
      <c r="M575" s="33">
        <f>ROUND(MIN(MAX(0,N('Your debts'!$E$7)),C575),2)</f>
      </c>
      <c r="N575" s="33">
        <f>ROUND(MIN(MAX(0,N('Your debts'!$E$8)),D575),2)</f>
      </c>
      <c r="O575" s="33">
        <f>ROUND(MIN(MAX(0,N('Your debts'!$E$9)),E575),2)</f>
      </c>
      <c r="P575" s="33">
        <f>ROUND(MIN(MAX(0,N('Your debts'!$E$10)),F575),2)</f>
      </c>
      <c r="Q575" s="33">
        <f>ROUND(MIN(MAX(0,N('Your debts'!$E$11)),G575),2)</f>
      </c>
      <c r="R575" s="33">
        <f>ROUND(MIN(MAX(0,N('Your debts'!$E$12)),H575),2)</f>
      </c>
      <c r="S575" s="33">
        <f>ROUND(MIN(MAX(0,N('Your debts'!$E$13)),I575),2)</f>
      </c>
      <c r="T575" s="33">
        <f>ROUND(MIN(MAX(0,N('Your debts'!$E$14)),J575),2)</f>
      </c>
      <c r="U575" s="33">
        <f>ROUND(MIN(MAX(0,N('Your debts'!$E$15)),K575),2)</f>
      </c>
      <c r="V575" s="33">
        <f>ROUND(B575-L575,2)</f>
      </c>
      <c r="W575" s="33">
        <f>ROUND(C575-M575,2)</f>
      </c>
      <c r="X575" s="33">
        <f>ROUND(D575-N575,2)</f>
      </c>
      <c r="Y575" s="33">
        <f>ROUND(E575-O575,2)</f>
      </c>
      <c r="Z575" s="33">
        <f>ROUND(F575-P575,2)</f>
      </c>
      <c r="AA575" s="33">
        <f>ROUND(G575-Q575,2)</f>
      </c>
      <c r="AB575" s="33">
        <f>ROUND(H575-R575,2)</f>
      </c>
      <c r="AC575" s="33">
        <f>ROUND(I575-S575,2)</f>
      </c>
      <c r="AD575" s="33">
        <f>ROUND(J575-T575,2)</f>
      </c>
      <c r="AE575" s="33">
        <f>ROUND(K575-U575,2)</f>
      </c>
      <c r="AF575" s="33">
        <f>IF(V575&lt;=0,0,MAX(0,MIN(V575,ROUND($AZ575-SUMPRODUCT($V575:$AE575*($V575:$AE575&gt;0)*(($V$3:$AE$3&gt;V$3)+($V$3:$AE$3=V$3)*($V575:$AE575&lt;V575)+($V$3:$AE$3=V$3)*($V575:$AE575=V575)*($V$2:$AE$2&lt;V$2))),2))))</f>
      </c>
      <c r="AG575" s="33">
        <f>IF(W575&lt;=0,0,MAX(0,MIN(W575,ROUND($AZ575-SUMPRODUCT($V575:$AE575*($V575:$AE575&gt;0)*(($V$3:$AE$3&gt;W$3)+($V$3:$AE$3=W$3)*($V575:$AE575&lt;W575)+($V$3:$AE$3=W$3)*($V575:$AE575=W575)*($V$2:$AE$2&lt;W$2))),2))))</f>
      </c>
      <c r="AH575" s="33">
        <f>IF(X575&lt;=0,0,MAX(0,MIN(X575,ROUND($AZ575-SUMPRODUCT($V575:$AE575*($V575:$AE575&gt;0)*(($V$3:$AE$3&gt;X$3)+($V$3:$AE$3=X$3)*($V575:$AE575&lt;X575)+($V$3:$AE$3=X$3)*($V575:$AE575=X575)*($V$2:$AE$2&lt;X$2))),2))))</f>
      </c>
      <c r="AI575" s="33">
        <f>IF(Y575&lt;=0,0,MAX(0,MIN(Y575,ROUND($AZ575-SUMPRODUCT($V575:$AE575*($V575:$AE575&gt;0)*(($V$3:$AE$3&gt;Y$3)+($V$3:$AE$3=Y$3)*($V575:$AE575&lt;Y575)+($V$3:$AE$3=Y$3)*($V575:$AE575=Y575)*($V$2:$AE$2&lt;Y$2))),2))))</f>
      </c>
      <c r="AJ575" s="33">
        <f>IF(Z575&lt;=0,0,MAX(0,MIN(Z575,ROUND($AZ575-SUMPRODUCT($V575:$AE575*($V575:$AE575&gt;0)*(($V$3:$AE$3&gt;Z$3)+($V$3:$AE$3=Z$3)*($V575:$AE575&lt;Z575)+($V$3:$AE$3=Z$3)*($V575:$AE575=Z575)*($V$2:$AE$2&lt;Z$2))),2))))</f>
      </c>
      <c r="AK575" s="33">
        <f>IF(AA575&lt;=0,0,MAX(0,MIN(AA575,ROUND($AZ575-SUMPRODUCT($V575:$AE575*($V575:$AE575&gt;0)*(($V$3:$AE$3&gt;AA$3)+($V$3:$AE$3=AA$3)*($V575:$AE575&lt;AA575)+($V$3:$AE$3=AA$3)*($V575:$AE575=AA575)*($V$2:$AE$2&lt;AA$2))),2))))</f>
      </c>
      <c r="AL575" s="33">
        <f>IF(AB575&lt;=0,0,MAX(0,MIN(AB575,ROUND($AZ575-SUMPRODUCT($V575:$AE575*($V575:$AE575&gt;0)*(($V$3:$AE$3&gt;AB$3)+($V$3:$AE$3=AB$3)*($V575:$AE575&lt;AB575)+($V$3:$AE$3=AB$3)*($V575:$AE575=AB575)*($V$2:$AE$2&lt;AB$2))),2))))</f>
      </c>
      <c r="AM575" s="33">
        <f>IF(AC575&lt;=0,0,MAX(0,MIN(AC575,ROUND($AZ575-SUMPRODUCT($V575:$AE575*($V575:$AE575&gt;0)*(($V$3:$AE$3&gt;AC$3)+($V$3:$AE$3=AC$3)*($V575:$AE575&lt;AC575)+($V$3:$AE$3=AC$3)*($V575:$AE575=AC575)*($V$2:$AE$2&lt;AC$2))),2))))</f>
      </c>
      <c r="AN575" s="33">
        <f>IF(AD575&lt;=0,0,MAX(0,MIN(AD575,ROUND($AZ575-SUMPRODUCT($V575:$AE575*($V575:$AE575&gt;0)*(($V$3:$AE$3&gt;AD$3)+($V$3:$AE$3=AD$3)*($V575:$AE575&lt;AD575)+($V$3:$AE$3=AD$3)*($V575:$AE575=AD575)*($V$2:$AE$2&lt;AD$2))),2))))</f>
      </c>
      <c r="AO575" s="33">
        <f>IF(AE575&lt;=0,0,MAX(0,MIN(AE575,ROUND($AZ575-SUMPRODUCT($V575:$AE575*($V575:$AE575&gt;0)*(($V$3:$AE$3&gt;AE$3)+($V$3:$AE$3=AE$3)*($V575:$AE575&lt;AE575)+($V$3:$AE$3=AE$3)*($V575:$AE575=AE575)*($V$2:$AE$2&lt;AE$2))),2))))</f>
      </c>
      <c r="AP575" s="33">
        <f>ROUND(V575-AF575,2)</f>
      </c>
      <c r="AQ575" s="33">
        <f>ROUND(W575-AG575,2)</f>
      </c>
      <c r="AR575" s="33">
        <f>ROUND(X575-AH575,2)</f>
      </c>
      <c r="AS575" s="33">
        <f>ROUND(Y575-AI575,2)</f>
      </c>
      <c r="AT575" s="33">
        <f>ROUND(Z575-AJ575,2)</f>
      </c>
      <c r="AU575" s="33">
        <f>ROUND(AA575-AK575,2)</f>
      </c>
      <c r="AV575" s="33">
        <f>ROUND(AB575-AL575,2)</f>
      </c>
      <c r="AW575" s="33">
        <f>ROUND(AC575-AM575,2)</f>
      </c>
      <c r="AX575" s="33">
        <f>ROUND(AD575-AN575,2)</f>
      </c>
      <c r="AY575" s="33">
        <f>ROUND(AE575-AO575,2)</f>
      </c>
      <c r="AZ575" s="33">
        <f>ROUND(MAX(0,'Your debts'!$D$22-SUM($L575:$U575)),2)</f>
      </c>
      <c r="BA575" s="33">
        <f>ROUND(SUM($B575:$K575)-SUM($AP574:$AY574),2)</f>
      </c>
      <c r="BB575" s="33">
        <f>SUM($AP575:$AY575)</f>
      </c>
      <c r="BC575" s="33">
        <f>ROUND(SUM($L575:$U575)+SUM($AF575:$AO575),2)</f>
      </c>
    </row>
    <row r="576" spans="1:55" x14ac:dyDescent="0.25">
      <c r="A576">
        <v>569</v>
      </c>
      <c r="B576" s="33">
        <f>IF(AP575&lt;=0,0,ROUND(AP575+ROUND(AP575*V$3/12,2),2))</f>
      </c>
      <c r="C576" s="33">
        <f>IF(AQ575&lt;=0,0,ROUND(AQ575+ROUND(AQ575*W$3/12,2),2))</f>
      </c>
      <c r="D576" s="33">
        <f>IF(AR575&lt;=0,0,ROUND(AR575+ROUND(AR575*X$3/12,2),2))</f>
      </c>
      <c r="E576" s="33">
        <f>IF(AS575&lt;=0,0,ROUND(AS575+ROUND(AS575*Y$3/12,2),2))</f>
      </c>
      <c r="F576" s="33">
        <f>IF(AT575&lt;=0,0,ROUND(AT575+ROUND(AT575*Z$3/12,2),2))</f>
      </c>
      <c r="G576" s="33">
        <f>IF(AU575&lt;=0,0,ROUND(AU575+ROUND(AU575*AA$3/12,2),2))</f>
      </c>
      <c r="H576" s="33">
        <f>IF(AV575&lt;=0,0,ROUND(AV575+ROUND(AV575*AB$3/12,2),2))</f>
      </c>
      <c r="I576" s="33">
        <f>IF(AW575&lt;=0,0,ROUND(AW575+ROUND(AW575*AC$3/12,2),2))</f>
      </c>
      <c r="J576" s="33">
        <f>IF(AX575&lt;=0,0,ROUND(AX575+ROUND(AX575*AD$3/12,2),2))</f>
      </c>
      <c r="K576" s="33">
        <f>IF(AY575&lt;=0,0,ROUND(AY575+ROUND(AY575*AE$3/12,2),2))</f>
      </c>
      <c r="L576" s="33">
        <f>ROUND(MIN(MAX(0,N('Your debts'!$E$6)),B576),2)</f>
      </c>
      <c r="M576" s="33">
        <f>ROUND(MIN(MAX(0,N('Your debts'!$E$7)),C576),2)</f>
      </c>
      <c r="N576" s="33">
        <f>ROUND(MIN(MAX(0,N('Your debts'!$E$8)),D576),2)</f>
      </c>
      <c r="O576" s="33">
        <f>ROUND(MIN(MAX(0,N('Your debts'!$E$9)),E576),2)</f>
      </c>
      <c r="P576" s="33">
        <f>ROUND(MIN(MAX(0,N('Your debts'!$E$10)),F576),2)</f>
      </c>
      <c r="Q576" s="33">
        <f>ROUND(MIN(MAX(0,N('Your debts'!$E$11)),G576),2)</f>
      </c>
      <c r="R576" s="33">
        <f>ROUND(MIN(MAX(0,N('Your debts'!$E$12)),H576),2)</f>
      </c>
      <c r="S576" s="33">
        <f>ROUND(MIN(MAX(0,N('Your debts'!$E$13)),I576),2)</f>
      </c>
      <c r="T576" s="33">
        <f>ROUND(MIN(MAX(0,N('Your debts'!$E$14)),J576),2)</f>
      </c>
      <c r="U576" s="33">
        <f>ROUND(MIN(MAX(0,N('Your debts'!$E$15)),K576),2)</f>
      </c>
      <c r="V576" s="33">
        <f>ROUND(B576-L576,2)</f>
      </c>
      <c r="W576" s="33">
        <f>ROUND(C576-M576,2)</f>
      </c>
      <c r="X576" s="33">
        <f>ROUND(D576-N576,2)</f>
      </c>
      <c r="Y576" s="33">
        <f>ROUND(E576-O576,2)</f>
      </c>
      <c r="Z576" s="33">
        <f>ROUND(F576-P576,2)</f>
      </c>
      <c r="AA576" s="33">
        <f>ROUND(G576-Q576,2)</f>
      </c>
      <c r="AB576" s="33">
        <f>ROUND(H576-R576,2)</f>
      </c>
      <c r="AC576" s="33">
        <f>ROUND(I576-S576,2)</f>
      </c>
      <c r="AD576" s="33">
        <f>ROUND(J576-T576,2)</f>
      </c>
      <c r="AE576" s="33">
        <f>ROUND(K576-U576,2)</f>
      </c>
      <c r="AF576" s="33">
        <f>IF(V576&lt;=0,0,MAX(0,MIN(V576,ROUND($AZ576-SUMPRODUCT($V576:$AE576*($V576:$AE576&gt;0)*(($V$3:$AE$3&gt;V$3)+($V$3:$AE$3=V$3)*($V576:$AE576&lt;V576)+($V$3:$AE$3=V$3)*($V576:$AE576=V576)*($V$2:$AE$2&lt;V$2))),2))))</f>
      </c>
      <c r="AG576" s="33">
        <f>IF(W576&lt;=0,0,MAX(0,MIN(W576,ROUND($AZ576-SUMPRODUCT($V576:$AE576*($V576:$AE576&gt;0)*(($V$3:$AE$3&gt;W$3)+($V$3:$AE$3=W$3)*($V576:$AE576&lt;W576)+($V$3:$AE$3=W$3)*($V576:$AE576=W576)*($V$2:$AE$2&lt;W$2))),2))))</f>
      </c>
      <c r="AH576" s="33">
        <f>IF(X576&lt;=0,0,MAX(0,MIN(X576,ROUND($AZ576-SUMPRODUCT($V576:$AE576*($V576:$AE576&gt;0)*(($V$3:$AE$3&gt;X$3)+($V$3:$AE$3=X$3)*($V576:$AE576&lt;X576)+($V$3:$AE$3=X$3)*($V576:$AE576=X576)*($V$2:$AE$2&lt;X$2))),2))))</f>
      </c>
      <c r="AI576" s="33">
        <f>IF(Y576&lt;=0,0,MAX(0,MIN(Y576,ROUND($AZ576-SUMPRODUCT($V576:$AE576*($V576:$AE576&gt;0)*(($V$3:$AE$3&gt;Y$3)+($V$3:$AE$3=Y$3)*($V576:$AE576&lt;Y576)+($V$3:$AE$3=Y$3)*($V576:$AE576=Y576)*($V$2:$AE$2&lt;Y$2))),2))))</f>
      </c>
      <c r="AJ576" s="33">
        <f>IF(Z576&lt;=0,0,MAX(0,MIN(Z576,ROUND($AZ576-SUMPRODUCT($V576:$AE576*($V576:$AE576&gt;0)*(($V$3:$AE$3&gt;Z$3)+($V$3:$AE$3=Z$3)*($V576:$AE576&lt;Z576)+($V$3:$AE$3=Z$3)*($V576:$AE576=Z576)*($V$2:$AE$2&lt;Z$2))),2))))</f>
      </c>
      <c r="AK576" s="33">
        <f>IF(AA576&lt;=0,0,MAX(0,MIN(AA576,ROUND($AZ576-SUMPRODUCT($V576:$AE576*($V576:$AE576&gt;0)*(($V$3:$AE$3&gt;AA$3)+($V$3:$AE$3=AA$3)*($V576:$AE576&lt;AA576)+($V$3:$AE$3=AA$3)*($V576:$AE576=AA576)*($V$2:$AE$2&lt;AA$2))),2))))</f>
      </c>
      <c r="AL576" s="33">
        <f>IF(AB576&lt;=0,0,MAX(0,MIN(AB576,ROUND($AZ576-SUMPRODUCT($V576:$AE576*($V576:$AE576&gt;0)*(($V$3:$AE$3&gt;AB$3)+($V$3:$AE$3=AB$3)*($V576:$AE576&lt;AB576)+($V$3:$AE$3=AB$3)*($V576:$AE576=AB576)*($V$2:$AE$2&lt;AB$2))),2))))</f>
      </c>
      <c r="AM576" s="33">
        <f>IF(AC576&lt;=0,0,MAX(0,MIN(AC576,ROUND($AZ576-SUMPRODUCT($V576:$AE576*($V576:$AE576&gt;0)*(($V$3:$AE$3&gt;AC$3)+($V$3:$AE$3=AC$3)*($V576:$AE576&lt;AC576)+($V$3:$AE$3=AC$3)*($V576:$AE576=AC576)*($V$2:$AE$2&lt;AC$2))),2))))</f>
      </c>
      <c r="AN576" s="33">
        <f>IF(AD576&lt;=0,0,MAX(0,MIN(AD576,ROUND($AZ576-SUMPRODUCT($V576:$AE576*($V576:$AE576&gt;0)*(($V$3:$AE$3&gt;AD$3)+($V$3:$AE$3=AD$3)*($V576:$AE576&lt;AD576)+($V$3:$AE$3=AD$3)*($V576:$AE576=AD576)*($V$2:$AE$2&lt;AD$2))),2))))</f>
      </c>
      <c r="AO576" s="33">
        <f>IF(AE576&lt;=0,0,MAX(0,MIN(AE576,ROUND($AZ576-SUMPRODUCT($V576:$AE576*($V576:$AE576&gt;0)*(($V$3:$AE$3&gt;AE$3)+($V$3:$AE$3=AE$3)*($V576:$AE576&lt;AE576)+($V$3:$AE$3=AE$3)*($V576:$AE576=AE576)*($V$2:$AE$2&lt;AE$2))),2))))</f>
      </c>
      <c r="AP576" s="33">
        <f>ROUND(V576-AF576,2)</f>
      </c>
      <c r="AQ576" s="33">
        <f>ROUND(W576-AG576,2)</f>
      </c>
      <c r="AR576" s="33">
        <f>ROUND(X576-AH576,2)</f>
      </c>
      <c r="AS576" s="33">
        <f>ROUND(Y576-AI576,2)</f>
      </c>
      <c r="AT576" s="33">
        <f>ROUND(Z576-AJ576,2)</f>
      </c>
      <c r="AU576" s="33">
        <f>ROUND(AA576-AK576,2)</f>
      </c>
      <c r="AV576" s="33">
        <f>ROUND(AB576-AL576,2)</f>
      </c>
      <c r="AW576" s="33">
        <f>ROUND(AC576-AM576,2)</f>
      </c>
      <c r="AX576" s="33">
        <f>ROUND(AD576-AN576,2)</f>
      </c>
      <c r="AY576" s="33">
        <f>ROUND(AE576-AO576,2)</f>
      </c>
      <c r="AZ576" s="33">
        <f>ROUND(MAX(0,'Your debts'!$D$22-SUM($L576:$U576)),2)</f>
      </c>
      <c r="BA576" s="33">
        <f>ROUND(SUM($B576:$K576)-SUM($AP575:$AY575),2)</f>
      </c>
      <c r="BB576" s="33">
        <f>SUM($AP576:$AY576)</f>
      </c>
      <c r="BC576" s="33">
        <f>ROUND(SUM($L576:$U576)+SUM($AF576:$AO576),2)</f>
      </c>
    </row>
    <row r="577" spans="1:55" x14ac:dyDescent="0.25">
      <c r="A577">
        <v>570</v>
      </c>
      <c r="B577" s="33">
        <f>IF(AP576&lt;=0,0,ROUND(AP576+ROUND(AP576*V$3/12,2),2))</f>
      </c>
      <c r="C577" s="33">
        <f>IF(AQ576&lt;=0,0,ROUND(AQ576+ROUND(AQ576*W$3/12,2),2))</f>
      </c>
      <c r="D577" s="33">
        <f>IF(AR576&lt;=0,0,ROUND(AR576+ROUND(AR576*X$3/12,2),2))</f>
      </c>
      <c r="E577" s="33">
        <f>IF(AS576&lt;=0,0,ROUND(AS576+ROUND(AS576*Y$3/12,2),2))</f>
      </c>
      <c r="F577" s="33">
        <f>IF(AT576&lt;=0,0,ROUND(AT576+ROUND(AT576*Z$3/12,2),2))</f>
      </c>
      <c r="G577" s="33">
        <f>IF(AU576&lt;=0,0,ROUND(AU576+ROUND(AU576*AA$3/12,2),2))</f>
      </c>
      <c r="H577" s="33">
        <f>IF(AV576&lt;=0,0,ROUND(AV576+ROUND(AV576*AB$3/12,2),2))</f>
      </c>
      <c r="I577" s="33">
        <f>IF(AW576&lt;=0,0,ROUND(AW576+ROUND(AW576*AC$3/12,2),2))</f>
      </c>
      <c r="J577" s="33">
        <f>IF(AX576&lt;=0,0,ROUND(AX576+ROUND(AX576*AD$3/12,2),2))</f>
      </c>
      <c r="K577" s="33">
        <f>IF(AY576&lt;=0,0,ROUND(AY576+ROUND(AY576*AE$3/12,2),2))</f>
      </c>
      <c r="L577" s="33">
        <f>ROUND(MIN(MAX(0,N('Your debts'!$E$6)),B577),2)</f>
      </c>
      <c r="M577" s="33">
        <f>ROUND(MIN(MAX(0,N('Your debts'!$E$7)),C577),2)</f>
      </c>
      <c r="N577" s="33">
        <f>ROUND(MIN(MAX(0,N('Your debts'!$E$8)),D577),2)</f>
      </c>
      <c r="O577" s="33">
        <f>ROUND(MIN(MAX(0,N('Your debts'!$E$9)),E577),2)</f>
      </c>
      <c r="P577" s="33">
        <f>ROUND(MIN(MAX(0,N('Your debts'!$E$10)),F577),2)</f>
      </c>
      <c r="Q577" s="33">
        <f>ROUND(MIN(MAX(0,N('Your debts'!$E$11)),G577),2)</f>
      </c>
      <c r="R577" s="33">
        <f>ROUND(MIN(MAX(0,N('Your debts'!$E$12)),H577),2)</f>
      </c>
      <c r="S577" s="33">
        <f>ROUND(MIN(MAX(0,N('Your debts'!$E$13)),I577),2)</f>
      </c>
      <c r="T577" s="33">
        <f>ROUND(MIN(MAX(0,N('Your debts'!$E$14)),J577),2)</f>
      </c>
      <c r="U577" s="33">
        <f>ROUND(MIN(MAX(0,N('Your debts'!$E$15)),K577),2)</f>
      </c>
      <c r="V577" s="33">
        <f>ROUND(B577-L577,2)</f>
      </c>
      <c r="W577" s="33">
        <f>ROUND(C577-M577,2)</f>
      </c>
      <c r="X577" s="33">
        <f>ROUND(D577-N577,2)</f>
      </c>
      <c r="Y577" s="33">
        <f>ROUND(E577-O577,2)</f>
      </c>
      <c r="Z577" s="33">
        <f>ROUND(F577-P577,2)</f>
      </c>
      <c r="AA577" s="33">
        <f>ROUND(G577-Q577,2)</f>
      </c>
      <c r="AB577" s="33">
        <f>ROUND(H577-R577,2)</f>
      </c>
      <c r="AC577" s="33">
        <f>ROUND(I577-S577,2)</f>
      </c>
      <c r="AD577" s="33">
        <f>ROUND(J577-T577,2)</f>
      </c>
      <c r="AE577" s="33">
        <f>ROUND(K577-U577,2)</f>
      </c>
      <c r="AF577" s="33">
        <f>IF(V577&lt;=0,0,MAX(0,MIN(V577,ROUND($AZ577-SUMPRODUCT($V577:$AE577*($V577:$AE577&gt;0)*(($V$3:$AE$3&gt;V$3)+($V$3:$AE$3=V$3)*($V577:$AE577&lt;V577)+($V$3:$AE$3=V$3)*($V577:$AE577=V577)*($V$2:$AE$2&lt;V$2))),2))))</f>
      </c>
      <c r="AG577" s="33">
        <f>IF(W577&lt;=0,0,MAX(0,MIN(W577,ROUND($AZ577-SUMPRODUCT($V577:$AE577*($V577:$AE577&gt;0)*(($V$3:$AE$3&gt;W$3)+($V$3:$AE$3=W$3)*($V577:$AE577&lt;W577)+($V$3:$AE$3=W$3)*($V577:$AE577=W577)*($V$2:$AE$2&lt;W$2))),2))))</f>
      </c>
      <c r="AH577" s="33">
        <f>IF(X577&lt;=0,0,MAX(0,MIN(X577,ROUND($AZ577-SUMPRODUCT($V577:$AE577*($V577:$AE577&gt;0)*(($V$3:$AE$3&gt;X$3)+($V$3:$AE$3=X$3)*($V577:$AE577&lt;X577)+($V$3:$AE$3=X$3)*($V577:$AE577=X577)*($V$2:$AE$2&lt;X$2))),2))))</f>
      </c>
      <c r="AI577" s="33">
        <f>IF(Y577&lt;=0,0,MAX(0,MIN(Y577,ROUND($AZ577-SUMPRODUCT($V577:$AE577*($V577:$AE577&gt;0)*(($V$3:$AE$3&gt;Y$3)+($V$3:$AE$3=Y$3)*($V577:$AE577&lt;Y577)+($V$3:$AE$3=Y$3)*($V577:$AE577=Y577)*($V$2:$AE$2&lt;Y$2))),2))))</f>
      </c>
      <c r="AJ577" s="33">
        <f>IF(Z577&lt;=0,0,MAX(0,MIN(Z577,ROUND($AZ577-SUMPRODUCT($V577:$AE577*($V577:$AE577&gt;0)*(($V$3:$AE$3&gt;Z$3)+($V$3:$AE$3=Z$3)*($V577:$AE577&lt;Z577)+($V$3:$AE$3=Z$3)*($V577:$AE577=Z577)*($V$2:$AE$2&lt;Z$2))),2))))</f>
      </c>
      <c r="AK577" s="33">
        <f>IF(AA577&lt;=0,0,MAX(0,MIN(AA577,ROUND($AZ577-SUMPRODUCT($V577:$AE577*($V577:$AE577&gt;0)*(($V$3:$AE$3&gt;AA$3)+($V$3:$AE$3=AA$3)*($V577:$AE577&lt;AA577)+($V$3:$AE$3=AA$3)*($V577:$AE577=AA577)*($V$2:$AE$2&lt;AA$2))),2))))</f>
      </c>
      <c r="AL577" s="33">
        <f>IF(AB577&lt;=0,0,MAX(0,MIN(AB577,ROUND($AZ577-SUMPRODUCT($V577:$AE577*($V577:$AE577&gt;0)*(($V$3:$AE$3&gt;AB$3)+($V$3:$AE$3=AB$3)*($V577:$AE577&lt;AB577)+($V$3:$AE$3=AB$3)*($V577:$AE577=AB577)*($V$2:$AE$2&lt;AB$2))),2))))</f>
      </c>
      <c r="AM577" s="33">
        <f>IF(AC577&lt;=0,0,MAX(0,MIN(AC577,ROUND($AZ577-SUMPRODUCT($V577:$AE577*($V577:$AE577&gt;0)*(($V$3:$AE$3&gt;AC$3)+($V$3:$AE$3=AC$3)*($V577:$AE577&lt;AC577)+($V$3:$AE$3=AC$3)*($V577:$AE577=AC577)*($V$2:$AE$2&lt;AC$2))),2))))</f>
      </c>
      <c r="AN577" s="33">
        <f>IF(AD577&lt;=0,0,MAX(0,MIN(AD577,ROUND($AZ577-SUMPRODUCT($V577:$AE577*($V577:$AE577&gt;0)*(($V$3:$AE$3&gt;AD$3)+($V$3:$AE$3=AD$3)*($V577:$AE577&lt;AD577)+($V$3:$AE$3=AD$3)*($V577:$AE577=AD577)*($V$2:$AE$2&lt;AD$2))),2))))</f>
      </c>
      <c r="AO577" s="33">
        <f>IF(AE577&lt;=0,0,MAX(0,MIN(AE577,ROUND($AZ577-SUMPRODUCT($V577:$AE577*($V577:$AE577&gt;0)*(($V$3:$AE$3&gt;AE$3)+($V$3:$AE$3=AE$3)*($V577:$AE577&lt;AE577)+($V$3:$AE$3=AE$3)*($V577:$AE577=AE577)*($V$2:$AE$2&lt;AE$2))),2))))</f>
      </c>
      <c r="AP577" s="33">
        <f>ROUND(V577-AF577,2)</f>
      </c>
      <c r="AQ577" s="33">
        <f>ROUND(W577-AG577,2)</f>
      </c>
      <c r="AR577" s="33">
        <f>ROUND(X577-AH577,2)</f>
      </c>
      <c r="AS577" s="33">
        <f>ROUND(Y577-AI577,2)</f>
      </c>
      <c r="AT577" s="33">
        <f>ROUND(Z577-AJ577,2)</f>
      </c>
      <c r="AU577" s="33">
        <f>ROUND(AA577-AK577,2)</f>
      </c>
      <c r="AV577" s="33">
        <f>ROUND(AB577-AL577,2)</f>
      </c>
      <c r="AW577" s="33">
        <f>ROUND(AC577-AM577,2)</f>
      </c>
      <c r="AX577" s="33">
        <f>ROUND(AD577-AN577,2)</f>
      </c>
      <c r="AY577" s="33">
        <f>ROUND(AE577-AO577,2)</f>
      </c>
      <c r="AZ577" s="33">
        <f>ROUND(MAX(0,'Your debts'!$D$22-SUM($L577:$U577)),2)</f>
      </c>
      <c r="BA577" s="33">
        <f>ROUND(SUM($B577:$K577)-SUM($AP576:$AY576),2)</f>
      </c>
      <c r="BB577" s="33">
        <f>SUM($AP577:$AY577)</f>
      </c>
      <c r="BC577" s="33">
        <f>ROUND(SUM($L577:$U577)+SUM($AF577:$AO577),2)</f>
      </c>
    </row>
    <row r="578" spans="1:55" x14ac:dyDescent="0.25">
      <c r="A578">
        <v>571</v>
      </c>
      <c r="B578" s="33">
        <f>IF(AP577&lt;=0,0,ROUND(AP577+ROUND(AP577*V$3/12,2),2))</f>
      </c>
      <c r="C578" s="33">
        <f>IF(AQ577&lt;=0,0,ROUND(AQ577+ROUND(AQ577*W$3/12,2),2))</f>
      </c>
      <c r="D578" s="33">
        <f>IF(AR577&lt;=0,0,ROUND(AR577+ROUND(AR577*X$3/12,2),2))</f>
      </c>
      <c r="E578" s="33">
        <f>IF(AS577&lt;=0,0,ROUND(AS577+ROUND(AS577*Y$3/12,2),2))</f>
      </c>
      <c r="F578" s="33">
        <f>IF(AT577&lt;=0,0,ROUND(AT577+ROUND(AT577*Z$3/12,2),2))</f>
      </c>
      <c r="G578" s="33">
        <f>IF(AU577&lt;=0,0,ROUND(AU577+ROUND(AU577*AA$3/12,2),2))</f>
      </c>
      <c r="H578" s="33">
        <f>IF(AV577&lt;=0,0,ROUND(AV577+ROUND(AV577*AB$3/12,2),2))</f>
      </c>
      <c r="I578" s="33">
        <f>IF(AW577&lt;=0,0,ROUND(AW577+ROUND(AW577*AC$3/12,2),2))</f>
      </c>
      <c r="J578" s="33">
        <f>IF(AX577&lt;=0,0,ROUND(AX577+ROUND(AX577*AD$3/12,2),2))</f>
      </c>
      <c r="K578" s="33">
        <f>IF(AY577&lt;=0,0,ROUND(AY577+ROUND(AY577*AE$3/12,2),2))</f>
      </c>
      <c r="L578" s="33">
        <f>ROUND(MIN(MAX(0,N('Your debts'!$E$6)),B578),2)</f>
      </c>
      <c r="M578" s="33">
        <f>ROUND(MIN(MAX(0,N('Your debts'!$E$7)),C578),2)</f>
      </c>
      <c r="N578" s="33">
        <f>ROUND(MIN(MAX(0,N('Your debts'!$E$8)),D578),2)</f>
      </c>
      <c r="O578" s="33">
        <f>ROUND(MIN(MAX(0,N('Your debts'!$E$9)),E578),2)</f>
      </c>
      <c r="P578" s="33">
        <f>ROUND(MIN(MAX(0,N('Your debts'!$E$10)),F578),2)</f>
      </c>
      <c r="Q578" s="33">
        <f>ROUND(MIN(MAX(0,N('Your debts'!$E$11)),G578),2)</f>
      </c>
      <c r="R578" s="33">
        <f>ROUND(MIN(MAX(0,N('Your debts'!$E$12)),H578),2)</f>
      </c>
      <c r="S578" s="33">
        <f>ROUND(MIN(MAX(0,N('Your debts'!$E$13)),I578),2)</f>
      </c>
      <c r="T578" s="33">
        <f>ROUND(MIN(MAX(0,N('Your debts'!$E$14)),J578),2)</f>
      </c>
      <c r="U578" s="33">
        <f>ROUND(MIN(MAX(0,N('Your debts'!$E$15)),K578),2)</f>
      </c>
      <c r="V578" s="33">
        <f>ROUND(B578-L578,2)</f>
      </c>
      <c r="W578" s="33">
        <f>ROUND(C578-M578,2)</f>
      </c>
      <c r="X578" s="33">
        <f>ROUND(D578-N578,2)</f>
      </c>
      <c r="Y578" s="33">
        <f>ROUND(E578-O578,2)</f>
      </c>
      <c r="Z578" s="33">
        <f>ROUND(F578-P578,2)</f>
      </c>
      <c r="AA578" s="33">
        <f>ROUND(G578-Q578,2)</f>
      </c>
      <c r="AB578" s="33">
        <f>ROUND(H578-R578,2)</f>
      </c>
      <c r="AC578" s="33">
        <f>ROUND(I578-S578,2)</f>
      </c>
      <c r="AD578" s="33">
        <f>ROUND(J578-T578,2)</f>
      </c>
      <c r="AE578" s="33">
        <f>ROUND(K578-U578,2)</f>
      </c>
      <c r="AF578" s="33">
        <f>IF(V578&lt;=0,0,MAX(0,MIN(V578,ROUND($AZ578-SUMPRODUCT($V578:$AE578*($V578:$AE578&gt;0)*(($V$3:$AE$3&gt;V$3)+($V$3:$AE$3=V$3)*($V578:$AE578&lt;V578)+($V$3:$AE$3=V$3)*($V578:$AE578=V578)*($V$2:$AE$2&lt;V$2))),2))))</f>
      </c>
      <c r="AG578" s="33">
        <f>IF(W578&lt;=0,0,MAX(0,MIN(W578,ROUND($AZ578-SUMPRODUCT($V578:$AE578*($V578:$AE578&gt;0)*(($V$3:$AE$3&gt;W$3)+($V$3:$AE$3=W$3)*($V578:$AE578&lt;W578)+($V$3:$AE$3=W$3)*($V578:$AE578=W578)*($V$2:$AE$2&lt;W$2))),2))))</f>
      </c>
      <c r="AH578" s="33">
        <f>IF(X578&lt;=0,0,MAX(0,MIN(X578,ROUND($AZ578-SUMPRODUCT($V578:$AE578*($V578:$AE578&gt;0)*(($V$3:$AE$3&gt;X$3)+($V$3:$AE$3=X$3)*($V578:$AE578&lt;X578)+($V$3:$AE$3=X$3)*($V578:$AE578=X578)*($V$2:$AE$2&lt;X$2))),2))))</f>
      </c>
      <c r="AI578" s="33">
        <f>IF(Y578&lt;=0,0,MAX(0,MIN(Y578,ROUND($AZ578-SUMPRODUCT($V578:$AE578*($V578:$AE578&gt;0)*(($V$3:$AE$3&gt;Y$3)+($V$3:$AE$3=Y$3)*($V578:$AE578&lt;Y578)+($V$3:$AE$3=Y$3)*($V578:$AE578=Y578)*($V$2:$AE$2&lt;Y$2))),2))))</f>
      </c>
      <c r="AJ578" s="33">
        <f>IF(Z578&lt;=0,0,MAX(0,MIN(Z578,ROUND($AZ578-SUMPRODUCT($V578:$AE578*($V578:$AE578&gt;0)*(($V$3:$AE$3&gt;Z$3)+($V$3:$AE$3=Z$3)*($V578:$AE578&lt;Z578)+($V$3:$AE$3=Z$3)*($V578:$AE578=Z578)*($V$2:$AE$2&lt;Z$2))),2))))</f>
      </c>
      <c r="AK578" s="33">
        <f>IF(AA578&lt;=0,0,MAX(0,MIN(AA578,ROUND($AZ578-SUMPRODUCT($V578:$AE578*($V578:$AE578&gt;0)*(($V$3:$AE$3&gt;AA$3)+($V$3:$AE$3=AA$3)*($V578:$AE578&lt;AA578)+($V$3:$AE$3=AA$3)*($V578:$AE578=AA578)*($V$2:$AE$2&lt;AA$2))),2))))</f>
      </c>
      <c r="AL578" s="33">
        <f>IF(AB578&lt;=0,0,MAX(0,MIN(AB578,ROUND($AZ578-SUMPRODUCT($V578:$AE578*($V578:$AE578&gt;0)*(($V$3:$AE$3&gt;AB$3)+($V$3:$AE$3=AB$3)*($V578:$AE578&lt;AB578)+($V$3:$AE$3=AB$3)*($V578:$AE578=AB578)*($V$2:$AE$2&lt;AB$2))),2))))</f>
      </c>
      <c r="AM578" s="33">
        <f>IF(AC578&lt;=0,0,MAX(0,MIN(AC578,ROUND($AZ578-SUMPRODUCT($V578:$AE578*($V578:$AE578&gt;0)*(($V$3:$AE$3&gt;AC$3)+($V$3:$AE$3=AC$3)*($V578:$AE578&lt;AC578)+($V$3:$AE$3=AC$3)*($V578:$AE578=AC578)*($V$2:$AE$2&lt;AC$2))),2))))</f>
      </c>
      <c r="AN578" s="33">
        <f>IF(AD578&lt;=0,0,MAX(0,MIN(AD578,ROUND($AZ578-SUMPRODUCT($V578:$AE578*($V578:$AE578&gt;0)*(($V$3:$AE$3&gt;AD$3)+($V$3:$AE$3=AD$3)*($V578:$AE578&lt;AD578)+($V$3:$AE$3=AD$3)*($V578:$AE578=AD578)*($V$2:$AE$2&lt;AD$2))),2))))</f>
      </c>
      <c r="AO578" s="33">
        <f>IF(AE578&lt;=0,0,MAX(0,MIN(AE578,ROUND($AZ578-SUMPRODUCT($V578:$AE578*($V578:$AE578&gt;0)*(($V$3:$AE$3&gt;AE$3)+($V$3:$AE$3=AE$3)*($V578:$AE578&lt;AE578)+($V$3:$AE$3=AE$3)*($V578:$AE578=AE578)*($V$2:$AE$2&lt;AE$2))),2))))</f>
      </c>
      <c r="AP578" s="33">
        <f>ROUND(V578-AF578,2)</f>
      </c>
      <c r="AQ578" s="33">
        <f>ROUND(W578-AG578,2)</f>
      </c>
      <c r="AR578" s="33">
        <f>ROUND(X578-AH578,2)</f>
      </c>
      <c r="AS578" s="33">
        <f>ROUND(Y578-AI578,2)</f>
      </c>
      <c r="AT578" s="33">
        <f>ROUND(Z578-AJ578,2)</f>
      </c>
      <c r="AU578" s="33">
        <f>ROUND(AA578-AK578,2)</f>
      </c>
      <c r="AV578" s="33">
        <f>ROUND(AB578-AL578,2)</f>
      </c>
      <c r="AW578" s="33">
        <f>ROUND(AC578-AM578,2)</f>
      </c>
      <c r="AX578" s="33">
        <f>ROUND(AD578-AN578,2)</f>
      </c>
      <c r="AY578" s="33">
        <f>ROUND(AE578-AO578,2)</f>
      </c>
      <c r="AZ578" s="33">
        <f>ROUND(MAX(0,'Your debts'!$D$22-SUM($L578:$U578)),2)</f>
      </c>
      <c r="BA578" s="33">
        <f>ROUND(SUM($B578:$K578)-SUM($AP577:$AY577),2)</f>
      </c>
      <c r="BB578" s="33">
        <f>SUM($AP578:$AY578)</f>
      </c>
      <c r="BC578" s="33">
        <f>ROUND(SUM($L578:$U578)+SUM($AF578:$AO578),2)</f>
      </c>
    </row>
    <row r="579" spans="1:55" x14ac:dyDescent="0.25">
      <c r="A579">
        <v>572</v>
      </c>
      <c r="B579" s="33">
        <f>IF(AP578&lt;=0,0,ROUND(AP578+ROUND(AP578*V$3/12,2),2))</f>
      </c>
      <c r="C579" s="33">
        <f>IF(AQ578&lt;=0,0,ROUND(AQ578+ROUND(AQ578*W$3/12,2),2))</f>
      </c>
      <c r="D579" s="33">
        <f>IF(AR578&lt;=0,0,ROUND(AR578+ROUND(AR578*X$3/12,2),2))</f>
      </c>
      <c r="E579" s="33">
        <f>IF(AS578&lt;=0,0,ROUND(AS578+ROUND(AS578*Y$3/12,2),2))</f>
      </c>
      <c r="F579" s="33">
        <f>IF(AT578&lt;=0,0,ROUND(AT578+ROUND(AT578*Z$3/12,2),2))</f>
      </c>
      <c r="G579" s="33">
        <f>IF(AU578&lt;=0,0,ROUND(AU578+ROUND(AU578*AA$3/12,2),2))</f>
      </c>
      <c r="H579" s="33">
        <f>IF(AV578&lt;=0,0,ROUND(AV578+ROUND(AV578*AB$3/12,2),2))</f>
      </c>
      <c r="I579" s="33">
        <f>IF(AW578&lt;=0,0,ROUND(AW578+ROUND(AW578*AC$3/12,2),2))</f>
      </c>
      <c r="J579" s="33">
        <f>IF(AX578&lt;=0,0,ROUND(AX578+ROUND(AX578*AD$3/12,2),2))</f>
      </c>
      <c r="K579" s="33">
        <f>IF(AY578&lt;=0,0,ROUND(AY578+ROUND(AY578*AE$3/12,2),2))</f>
      </c>
      <c r="L579" s="33">
        <f>ROUND(MIN(MAX(0,N('Your debts'!$E$6)),B579),2)</f>
      </c>
      <c r="M579" s="33">
        <f>ROUND(MIN(MAX(0,N('Your debts'!$E$7)),C579),2)</f>
      </c>
      <c r="N579" s="33">
        <f>ROUND(MIN(MAX(0,N('Your debts'!$E$8)),D579),2)</f>
      </c>
      <c r="O579" s="33">
        <f>ROUND(MIN(MAX(0,N('Your debts'!$E$9)),E579),2)</f>
      </c>
      <c r="P579" s="33">
        <f>ROUND(MIN(MAX(0,N('Your debts'!$E$10)),F579),2)</f>
      </c>
      <c r="Q579" s="33">
        <f>ROUND(MIN(MAX(0,N('Your debts'!$E$11)),G579),2)</f>
      </c>
      <c r="R579" s="33">
        <f>ROUND(MIN(MAX(0,N('Your debts'!$E$12)),H579),2)</f>
      </c>
      <c r="S579" s="33">
        <f>ROUND(MIN(MAX(0,N('Your debts'!$E$13)),I579),2)</f>
      </c>
      <c r="T579" s="33">
        <f>ROUND(MIN(MAX(0,N('Your debts'!$E$14)),J579),2)</f>
      </c>
      <c r="U579" s="33">
        <f>ROUND(MIN(MAX(0,N('Your debts'!$E$15)),K579),2)</f>
      </c>
      <c r="V579" s="33">
        <f>ROUND(B579-L579,2)</f>
      </c>
      <c r="W579" s="33">
        <f>ROUND(C579-M579,2)</f>
      </c>
      <c r="X579" s="33">
        <f>ROUND(D579-N579,2)</f>
      </c>
      <c r="Y579" s="33">
        <f>ROUND(E579-O579,2)</f>
      </c>
      <c r="Z579" s="33">
        <f>ROUND(F579-P579,2)</f>
      </c>
      <c r="AA579" s="33">
        <f>ROUND(G579-Q579,2)</f>
      </c>
      <c r="AB579" s="33">
        <f>ROUND(H579-R579,2)</f>
      </c>
      <c r="AC579" s="33">
        <f>ROUND(I579-S579,2)</f>
      </c>
      <c r="AD579" s="33">
        <f>ROUND(J579-T579,2)</f>
      </c>
      <c r="AE579" s="33">
        <f>ROUND(K579-U579,2)</f>
      </c>
      <c r="AF579" s="33">
        <f>IF(V579&lt;=0,0,MAX(0,MIN(V579,ROUND($AZ579-SUMPRODUCT($V579:$AE579*($V579:$AE579&gt;0)*(($V$3:$AE$3&gt;V$3)+($V$3:$AE$3=V$3)*($V579:$AE579&lt;V579)+($V$3:$AE$3=V$3)*($V579:$AE579=V579)*($V$2:$AE$2&lt;V$2))),2))))</f>
      </c>
      <c r="AG579" s="33">
        <f>IF(W579&lt;=0,0,MAX(0,MIN(W579,ROUND($AZ579-SUMPRODUCT($V579:$AE579*($V579:$AE579&gt;0)*(($V$3:$AE$3&gt;W$3)+($V$3:$AE$3=W$3)*($V579:$AE579&lt;W579)+($V$3:$AE$3=W$3)*($V579:$AE579=W579)*($V$2:$AE$2&lt;W$2))),2))))</f>
      </c>
      <c r="AH579" s="33">
        <f>IF(X579&lt;=0,0,MAX(0,MIN(X579,ROUND($AZ579-SUMPRODUCT($V579:$AE579*($V579:$AE579&gt;0)*(($V$3:$AE$3&gt;X$3)+($V$3:$AE$3=X$3)*($V579:$AE579&lt;X579)+($V$3:$AE$3=X$3)*($V579:$AE579=X579)*($V$2:$AE$2&lt;X$2))),2))))</f>
      </c>
      <c r="AI579" s="33">
        <f>IF(Y579&lt;=0,0,MAX(0,MIN(Y579,ROUND($AZ579-SUMPRODUCT($V579:$AE579*($V579:$AE579&gt;0)*(($V$3:$AE$3&gt;Y$3)+($V$3:$AE$3=Y$3)*($V579:$AE579&lt;Y579)+($V$3:$AE$3=Y$3)*($V579:$AE579=Y579)*($V$2:$AE$2&lt;Y$2))),2))))</f>
      </c>
      <c r="AJ579" s="33">
        <f>IF(Z579&lt;=0,0,MAX(0,MIN(Z579,ROUND($AZ579-SUMPRODUCT($V579:$AE579*($V579:$AE579&gt;0)*(($V$3:$AE$3&gt;Z$3)+($V$3:$AE$3=Z$3)*($V579:$AE579&lt;Z579)+($V$3:$AE$3=Z$3)*($V579:$AE579=Z579)*($V$2:$AE$2&lt;Z$2))),2))))</f>
      </c>
      <c r="AK579" s="33">
        <f>IF(AA579&lt;=0,0,MAX(0,MIN(AA579,ROUND($AZ579-SUMPRODUCT($V579:$AE579*($V579:$AE579&gt;0)*(($V$3:$AE$3&gt;AA$3)+($V$3:$AE$3=AA$3)*($V579:$AE579&lt;AA579)+($V$3:$AE$3=AA$3)*($V579:$AE579=AA579)*($V$2:$AE$2&lt;AA$2))),2))))</f>
      </c>
      <c r="AL579" s="33">
        <f>IF(AB579&lt;=0,0,MAX(0,MIN(AB579,ROUND($AZ579-SUMPRODUCT($V579:$AE579*($V579:$AE579&gt;0)*(($V$3:$AE$3&gt;AB$3)+($V$3:$AE$3=AB$3)*($V579:$AE579&lt;AB579)+($V$3:$AE$3=AB$3)*($V579:$AE579=AB579)*($V$2:$AE$2&lt;AB$2))),2))))</f>
      </c>
      <c r="AM579" s="33">
        <f>IF(AC579&lt;=0,0,MAX(0,MIN(AC579,ROUND($AZ579-SUMPRODUCT($V579:$AE579*($V579:$AE579&gt;0)*(($V$3:$AE$3&gt;AC$3)+($V$3:$AE$3=AC$3)*($V579:$AE579&lt;AC579)+($V$3:$AE$3=AC$3)*($V579:$AE579=AC579)*($V$2:$AE$2&lt;AC$2))),2))))</f>
      </c>
      <c r="AN579" s="33">
        <f>IF(AD579&lt;=0,0,MAX(0,MIN(AD579,ROUND($AZ579-SUMPRODUCT($V579:$AE579*($V579:$AE579&gt;0)*(($V$3:$AE$3&gt;AD$3)+($V$3:$AE$3=AD$3)*($V579:$AE579&lt;AD579)+($V$3:$AE$3=AD$3)*($V579:$AE579=AD579)*($V$2:$AE$2&lt;AD$2))),2))))</f>
      </c>
      <c r="AO579" s="33">
        <f>IF(AE579&lt;=0,0,MAX(0,MIN(AE579,ROUND($AZ579-SUMPRODUCT($V579:$AE579*($V579:$AE579&gt;0)*(($V$3:$AE$3&gt;AE$3)+($V$3:$AE$3=AE$3)*($V579:$AE579&lt;AE579)+($V$3:$AE$3=AE$3)*($V579:$AE579=AE579)*($V$2:$AE$2&lt;AE$2))),2))))</f>
      </c>
      <c r="AP579" s="33">
        <f>ROUND(V579-AF579,2)</f>
      </c>
      <c r="AQ579" s="33">
        <f>ROUND(W579-AG579,2)</f>
      </c>
      <c r="AR579" s="33">
        <f>ROUND(X579-AH579,2)</f>
      </c>
      <c r="AS579" s="33">
        <f>ROUND(Y579-AI579,2)</f>
      </c>
      <c r="AT579" s="33">
        <f>ROUND(Z579-AJ579,2)</f>
      </c>
      <c r="AU579" s="33">
        <f>ROUND(AA579-AK579,2)</f>
      </c>
      <c r="AV579" s="33">
        <f>ROUND(AB579-AL579,2)</f>
      </c>
      <c r="AW579" s="33">
        <f>ROUND(AC579-AM579,2)</f>
      </c>
      <c r="AX579" s="33">
        <f>ROUND(AD579-AN579,2)</f>
      </c>
      <c r="AY579" s="33">
        <f>ROUND(AE579-AO579,2)</f>
      </c>
      <c r="AZ579" s="33">
        <f>ROUND(MAX(0,'Your debts'!$D$22-SUM($L579:$U579)),2)</f>
      </c>
      <c r="BA579" s="33">
        <f>ROUND(SUM($B579:$K579)-SUM($AP578:$AY578),2)</f>
      </c>
      <c r="BB579" s="33">
        <f>SUM($AP579:$AY579)</f>
      </c>
      <c r="BC579" s="33">
        <f>ROUND(SUM($L579:$U579)+SUM($AF579:$AO579),2)</f>
      </c>
    </row>
    <row r="580" spans="1:55" x14ac:dyDescent="0.25">
      <c r="A580">
        <v>573</v>
      </c>
      <c r="B580" s="33">
        <f>IF(AP579&lt;=0,0,ROUND(AP579+ROUND(AP579*V$3/12,2),2))</f>
      </c>
      <c r="C580" s="33">
        <f>IF(AQ579&lt;=0,0,ROUND(AQ579+ROUND(AQ579*W$3/12,2),2))</f>
      </c>
      <c r="D580" s="33">
        <f>IF(AR579&lt;=0,0,ROUND(AR579+ROUND(AR579*X$3/12,2),2))</f>
      </c>
      <c r="E580" s="33">
        <f>IF(AS579&lt;=0,0,ROUND(AS579+ROUND(AS579*Y$3/12,2),2))</f>
      </c>
      <c r="F580" s="33">
        <f>IF(AT579&lt;=0,0,ROUND(AT579+ROUND(AT579*Z$3/12,2),2))</f>
      </c>
      <c r="G580" s="33">
        <f>IF(AU579&lt;=0,0,ROUND(AU579+ROUND(AU579*AA$3/12,2),2))</f>
      </c>
      <c r="H580" s="33">
        <f>IF(AV579&lt;=0,0,ROUND(AV579+ROUND(AV579*AB$3/12,2),2))</f>
      </c>
      <c r="I580" s="33">
        <f>IF(AW579&lt;=0,0,ROUND(AW579+ROUND(AW579*AC$3/12,2),2))</f>
      </c>
      <c r="J580" s="33">
        <f>IF(AX579&lt;=0,0,ROUND(AX579+ROUND(AX579*AD$3/12,2),2))</f>
      </c>
      <c r="K580" s="33">
        <f>IF(AY579&lt;=0,0,ROUND(AY579+ROUND(AY579*AE$3/12,2),2))</f>
      </c>
      <c r="L580" s="33">
        <f>ROUND(MIN(MAX(0,N('Your debts'!$E$6)),B580),2)</f>
      </c>
      <c r="M580" s="33">
        <f>ROUND(MIN(MAX(0,N('Your debts'!$E$7)),C580),2)</f>
      </c>
      <c r="N580" s="33">
        <f>ROUND(MIN(MAX(0,N('Your debts'!$E$8)),D580),2)</f>
      </c>
      <c r="O580" s="33">
        <f>ROUND(MIN(MAX(0,N('Your debts'!$E$9)),E580),2)</f>
      </c>
      <c r="P580" s="33">
        <f>ROUND(MIN(MAX(0,N('Your debts'!$E$10)),F580),2)</f>
      </c>
      <c r="Q580" s="33">
        <f>ROUND(MIN(MAX(0,N('Your debts'!$E$11)),G580),2)</f>
      </c>
      <c r="R580" s="33">
        <f>ROUND(MIN(MAX(0,N('Your debts'!$E$12)),H580),2)</f>
      </c>
      <c r="S580" s="33">
        <f>ROUND(MIN(MAX(0,N('Your debts'!$E$13)),I580),2)</f>
      </c>
      <c r="T580" s="33">
        <f>ROUND(MIN(MAX(0,N('Your debts'!$E$14)),J580),2)</f>
      </c>
      <c r="U580" s="33">
        <f>ROUND(MIN(MAX(0,N('Your debts'!$E$15)),K580),2)</f>
      </c>
      <c r="V580" s="33">
        <f>ROUND(B580-L580,2)</f>
      </c>
      <c r="W580" s="33">
        <f>ROUND(C580-M580,2)</f>
      </c>
      <c r="X580" s="33">
        <f>ROUND(D580-N580,2)</f>
      </c>
      <c r="Y580" s="33">
        <f>ROUND(E580-O580,2)</f>
      </c>
      <c r="Z580" s="33">
        <f>ROUND(F580-P580,2)</f>
      </c>
      <c r="AA580" s="33">
        <f>ROUND(G580-Q580,2)</f>
      </c>
      <c r="AB580" s="33">
        <f>ROUND(H580-R580,2)</f>
      </c>
      <c r="AC580" s="33">
        <f>ROUND(I580-S580,2)</f>
      </c>
      <c r="AD580" s="33">
        <f>ROUND(J580-T580,2)</f>
      </c>
      <c r="AE580" s="33">
        <f>ROUND(K580-U580,2)</f>
      </c>
      <c r="AF580" s="33">
        <f>IF(V580&lt;=0,0,MAX(0,MIN(V580,ROUND($AZ580-SUMPRODUCT($V580:$AE580*($V580:$AE580&gt;0)*(($V$3:$AE$3&gt;V$3)+($V$3:$AE$3=V$3)*($V580:$AE580&lt;V580)+($V$3:$AE$3=V$3)*($V580:$AE580=V580)*($V$2:$AE$2&lt;V$2))),2))))</f>
      </c>
      <c r="AG580" s="33">
        <f>IF(W580&lt;=0,0,MAX(0,MIN(W580,ROUND($AZ580-SUMPRODUCT($V580:$AE580*($V580:$AE580&gt;0)*(($V$3:$AE$3&gt;W$3)+($V$3:$AE$3=W$3)*($V580:$AE580&lt;W580)+($V$3:$AE$3=W$3)*($V580:$AE580=W580)*($V$2:$AE$2&lt;W$2))),2))))</f>
      </c>
      <c r="AH580" s="33">
        <f>IF(X580&lt;=0,0,MAX(0,MIN(X580,ROUND($AZ580-SUMPRODUCT($V580:$AE580*($V580:$AE580&gt;0)*(($V$3:$AE$3&gt;X$3)+($V$3:$AE$3=X$3)*($V580:$AE580&lt;X580)+($V$3:$AE$3=X$3)*($V580:$AE580=X580)*($V$2:$AE$2&lt;X$2))),2))))</f>
      </c>
      <c r="AI580" s="33">
        <f>IF(Y580&lt;=0,0,MAX(0,MIN(Y580,ROUND($AZ580-SUMPRODUCT($V580:$AE580*($V580:$AE580&gt;0)*(($V$3:$AE$3&gt;Y$3)+($V$3:$AE$3=Y$3)*($V580:$AE580&lt;Y580)+($V$3:$AE$3=Y$3)*($V580:$AE580=Y580)*($V$2:$AE$2&lt;Y$2))),2))))</f>
      </c>
      <c r="AJ580" s="33">
        <f>IF(Z580&lt;=0,0,MAX(0,MIN(Z580,ROUND($AZ580-SUMPRODUCT($V580:$AE580*($V580:$AE580&gt;0)*(($V$3:$AE$3&gt;Z$3)+($V$3:$AE$3=Z$3)*($V580:$AE580&lt;Z580)+($V$3:$AE$3=Z$3)*($V580:$AE580=Z580)*($V$2:$AE$2&lt;Z$2))),2))))</f>
      </c>
      <c r="AK580" s="33">
        <f>IF(AA580&lt;=0,0,MAX(0,MIN(AA580,ROUND($AZ580-SUMPRODUCT($V580:$AE580*($V580:$AE580&gt;0)*(($V$3:$AE$3&gt;AA$3)+($V$3:$AE$3=AA$3)*($V580:$AE580&lt;AA580)+($V$3:$AE$3=AA$3)*($V580:$AE580=AA580)*($V$2:$AE$2&lt;AA$2))),2))))</f>
      </c>
      <c r="AL580" s="33">
        <f>IF(AB580&lt;=0,0,MAX(0,MIN(AB580,ROUND($AZ580-SUMPRODUCT($V580:$AE580*($V580:$AE580&gt;0)*(($V$3:$AE$3&gt;AB$3)+($V$3:$AE$3=AB$3)*($V580:$AE580&lt;AB580)+($V$3:$AE$3=AB$3)*($V580:$AE580=AB580)*($V$2:$AE$2&lt;AB$2))),2))))</f>
      </c>
      <c r="AM580" s="33">
        <f>IF(AC580&lt;=0,0,MAX(0,MIN(AC580,ROUND($AZ580-SUMPRODUCT($V580:$AE580*($V580:$AE580&gt;0)*(($V$3:$AE$3&gt;AC$3)+($V$3:$AE$3=AC$3)*($V580:$AE580&lt;AC580)+($V$3:$AE$3=AC$3)*($V580:$AE580=AC580)*($V$2:$AE$2&lt;AC$2))),2))))</f>
      </c>
      <c r="AN580" s="33">
        <f>IF(AD580&lt;=0,0,MAX(0,MIN(AD580,ROUND($AZ580-SUMPRODUCT($V580:$AE580*($V580:$AE580&gt;0)*(($V$3:$AE$3&gt;AD$3)+($V$3:$AE$3=AD$3)*($V580:$AE580&lt;AD580)+($V$3:$AE$3=AD$3)*($V580:$AE580=AD580)*($V$2:$AE$2&lt;AD$2))),2))))</f>
      </c>
      <c r="AO580" s="33">
        <f>IF(AE580&lt;=0,0,MAX(0,MIN(AE580,ROUND($AZ580-SUMPRODUCT($V580:$AE580*($V580:$AE580&gt;0)*(($V$3:$AE$3&gt;AE$3)+($V$3:$AE$3=AE$3)*($V580:$AE580&lt;AE580)+($V$3:$AE$3=AE$3)*($V580:$AE580=AE580)*($V$2:$AE$2&lt;AE$2))),2))))</f>
      </c>
      <c r="AP580" s="33">
        <f>ROUND(V580-AF580,2)</f>
      </c>
      <c r="AQ580" s="33">
        <f>ROUND(W580-AG580,2)</f>
      </c>
      <c r="AR580" s="33">
        <f>ROUND(X580-AH580,2)</f>
      </c>
      <c r="AS580" s="33">
        <f>ROUND(Y580-AI580,2)</f>
      </c>
      <c r="AT580" s="33">
        <f>ROUND(Z580-AJ580,2)</f>
      </c>
      <c r="AU580" s="33">
        <f>ROUND(AA580-AK580,2)</f>
      </c>
      <c r="AV580" s="33">
        <f>ROUND(AB580-AL580,2)</f>
      </c>
      <c r="AW580" s="33">
        <f>ROUND(AC580-AM580,2)</f>
      </c>
      <c r="AX580" s="33">
        <f>ROUND(AD580-AN580,2)</f>
      </c>
      <c r="AY580" s="33">
        <f>ROUND(AE580-AO580,2)</f>
      </c>
      <c r="AZ580" s="33">
        <f>ROUND(MAX(0,'Your debts'!$D$22-SUM($L580:$U580)),2)</f>
      </c>
      <c r="BA580" s="33">
        <f>ROUND(SUM($B580:$K580)-SUM($AP579:$AY579),2)</f>
      </c>
      <c r="BB580" s="33">
        <f>SUM($AP580:$AY580)</f>
      </c>
      <c r="BC580" s="33">
        <f>ROUND(SUM($L580:$U580)+SUM($AF580:$AO580),2)</f>
      </c>
    </row>
    <row r="581" spans="1:55" x14ac:dyDescent="0.25">
      <c r="A581">
        <v>574</v>
      </c>
      <c r="B581" s="33">
        <f>IF(AP580&lt;=0,0,ROUND(AP580+ROUND(AP580*V$3/12,2),2))</f>
      </c>
      <c r="C581" s="33">
        <f>IF(AQ580&lt;=0,0,ROUND(AQ580+ROUND(AQ580*W$3/12,2),2))</f>
      </c>
      <c r="D581" s="33">
        <f>IF(AR580&lt;=0,0,ROUND(AR580+ROUND(AR580*X$3/12,2),2))</f>
      </c>
      <c r="E581" s="33">
        <f>IF(AS580&lt;=0,0,ROUND(AS580+ROUND(AS580*Y$3/12,2),2))</f>
      </c>
      <c r="F581" s="33">
        <f>IF(AT580&lt;=0,0,ROUND(AT580+ROUND(AT580*Z$3/12,2),2))</f>
      </c>
      <c r="G581" s="33">
        <f>IF(AU580&lt;=0,0,ROUND(AU580+ROUND(AU580*AA$3/12,2),2))</f>
      </c>
      <c r="H581" s="33">
        <f>IF(AV580&lt;=0,0,ROUND(AV580+ROUND(AV580*AB$3/12,2),2))</f>
      </c>
      <c r="I581" s="33">
        <f>IF(AW580&lt;=0,0,ROUND(AW580+ROUND(AW580*AC$3/12,2),2))</f>
      </c>
      <c r="J581" s="33">
        <f>IF(AX580&lt;=0,0,ROUND(AX580+ROUND(AX580*AD$3/12,2),2))</f>
      </c>
      <c r="K581" s="33">
        <f>IF(AY580&lt;=0,0,ROUND(AY580+ROUND(AY580*AE$3/12,2),2))</f>
      </c>
      <c r="L581" s="33">
        <f>ROUND(MIN(MAX(0,N('Your debts'!$E$6)),B581),2)</f>
      </c>
      <c r="M581" s="33">
        <f>ROUND(MIN(MAX(0,N('Your debts'!$E$7)),C581),2)</f>
      </c>
      <c r="N581" s="33">
        <f>ROUND(MIN(MAX(0,N('Your debts'!$E$8)),D581),2)</f>
      </c>
      <c r="O581" s="33">
        <f>ROUND(MIN(MAX(0,N('Your debts'!$E$9)),E581),2)</f>
      </c>
      <c r="P581" s="33">
        <f>ROUND(MIN(MAX(0,N('Your debts'!$E$10)),F581),2)</f>
      </c>
      <c r="Q581" s="33">
        <f>ROUND(MIN(MAX(0,N('Your debts'!$E$11)),G581),2)</f>
      </c>
      <c r="R581" s="33">
        <f>ROUND(MIN(MAX(0,N('Your debts'!$E$12)),H581),2)</f>
      </c>
      <c r="S581" s="33">
        <f>ROUND(MIN(MAX(0,N('Your debts'!$E$13)),I581),2)</f>
      </c>
      <c r="T581" s="33">
        <f>ROUND(MIN(MAX(0,N('Your debts'!$E$14)),J581),2)</f>
      </c>
      <c r="U581" s="33">
        <f>ROUND(MIN(MAX(0,N('Your debts'!$E$15)),K581),2)</f>
      </c>
      <c r="V581" s="33">
        <f>ROUND(B581-L581,2)</f>
      </c>
      <c r="W581" s="33">
        <f>ROUND(C581-M581,2)</f>
      </c>
      <c r="X581" s="33">
        <f>ROUND(D581-N581,2)</f>
      </c>
      <c r="Y581" s="33">
        <f>ROUND(E581-O581,2)</f>
      </c>
      <c r="Z581" s="33">
        <f>ROUND(F581-P581,2)</f>
      </c>
      <c r="AA581" s="33">
        <f>ROUND(G581-Q581,2)</f>
      </c>
      <c r="AB581" s="33">
        <f>ROUND(H581-R581,2)</f>
      </c>
      <c r="AC581" s="33">
        <f>ROUND(I581-S581,2)</f>
      </c>
      <c r="AD581" s="33">
        <f>ROUND(J581-T581,2)</f>
      </c>
      <c r="AE581" s="33">
        <f>ROUND(K581-U581,2)</f>
      </c>
      <c r="AF581" s="33">
        <f>IF(V581&lt;=0,0,MAX(0,MIN(V581,ROUND($AZ581-SUMPRODUCT($V581:$AE581*($V581:$AE581&gt;0)*(($V$3:$AE$3&gt;V$3)+($V$3:$AE$3=V$3)*($V581:$AE581&lt;V581)+($V$3:$AE$3=V$3)*($V581:$AE581=V581)*($V$2:$AE$2&lt;V$2))),2))))</f>
      </c>
      <c r="AG581" s="33">
        <f>IF(W581&lt;=0,0,MAX(0,MIN(W581,ROUND($AZ581-SUMPRODUCT($V581:$AE581*($V581:$AE581&gt;0)*(($V$3:$AE$3&gt;W$3)+($V$3:$AE$3=W$3)*($V581:$AE581&lt;W581)+($V$3:$AE$3=W$3)*($V581:$AE581=W581)*($V$2:$AE$2&lt;W$2))),2))))</f>
      </c>
      <c r="AH581" s="33">
        <f>IF(X581&lt;=0,0,MAX(0,MIN(X581,ROUND($AZ581-SUMPRODUCT($V581:$AE581*($V581:$AE581&gt;0)*(($V$3:$AE$3&gt;X$3)+($V$3:$AE$3=X$3)*($V581:$AE581&lt;X581)+($V$3:$AE$3=X$3)*($V581:$AE581=X581)*($V$2:$AE$2&lt;X$2))),2))))</f>
      </c>
      <c r="AI581" s="33">
        <f>IF(Y581&lt;=0,0,MAX(0,MIN(Y581,ROUND($AZ581-SUMPRODUCT($V581:$AE581*($V581:$AE581&gt;0)*(($V$3:$AE$3&gt;Y$3)+($V$3:$AE$3=Y$3)*($V581:$AE581&lt;Y581)+($V$3:$AE$3=Y$3)*($V581:$AE581=Y581)*($V$2:$AE$2&lt;Y$2))),2))))</f>
      </c>
      <c r="AJ581" s="33">
        <f>IF(Z581&lt;=0,0,MAX(0,MIN(Z581,ROUND($AZ581-SUMPRODUCT($V581:$AE581*($V581:$AE581&gt;0)*(($V$3:$AE$3&gt;Z$3)+($V$3:$AE$3=Z$3)*($V581:$AE581&lt;Z581)+($V$3:$AE$3=Z$3)*($V581:$AE581=Z581)*($V$2:$AE$2&lt;Z$2))),2))))</f>
      </c>
      <c r="AK581" s="33">
        <f>IF(AA581&lt;=0,0,MAX(0,MIN(AA581,ROUND($AZ581-SUMPRODUCT($V581:$AE581*($V581:$AE581&gt;0)*(($V$3:$AE$3&gt;AA$3)+($V$3:$AE$3=AA$3)*($V581:$AE581&lt;AA581)+($V$3:$AE$3=AA$3)*($V581:$AE581=AA581)*($V$2:$AE$2&lt;AA$2))),2))))</f>
      </c>
      <c r="AL581" s="33">
        <f>IF(AB581&lt;=0,0,MAX(0,MIN(AB581,ROUND($AZ581-SUMPRODUCT($V581:$AE581*($V581:$AE581&gt;0)*(($V$3:$AE$3&gt;AB$3)+($V$3:$AE$3=AB$3)*($V581:$AE581&lt;AB581)+($V$3:$AE$3=AB$3)*($V581:$AE581=AB581)*($V$2:$AE$2&lt;AB$2))),2))))</f>
      </c>
      <c r="AM581" s="33">
        <f>IF(AC581&lt;=0,0,MAX(0,MIN(AC581,ROUND($AZ581-SUMPRODUCT($V581:$AE581*($V581:$AE581&gt;0)*(($V$3:$AE$3&gt;AC$3)+($V$3:$AE$3=AC$3)*($V581:$AE581&lt;AC581)+($V$3:$AE$3=AC$3)*($V581:$AE581=AC581)*($V$2:$AE$2&lt;AC$2))),2))))</f>
      </c>
      <c r="AN581" s="33">
        <f>IF(AD581&lt;=0,0,MAX(0,MIN(AD581,ROUND($AZ581-SUMPRODUCT($V581:$AE581*($V581:$AE581&gt;0)*(($V$3:$AE$3&gt;AD$3)+($V$3:$AE$3=AD$3)*($V581:$AE581&lt;AD581)+($V$3:$AE$3=AD$3)*($V581:$AE581=AD581)*($V$2:$AE$2&lt;AD$2))),2))))</f>
      </c>
      <c r="AO581" s="33">
        <f>IF(AE581&lt;=0,0,MAX(0,MIN(AE581,ROUND($AZ581-SUMPRODUCT($V581:$AE581*($V581:$AE581&gt;0)*(($V$3:$AE$3&gt;AE$3)+($V$3:$AE$3=AE$3)*($V581:$AE581&lt;AE581)+($V$3:$AE$3=AE$3)*($V581:$AE581=AE581)*($V$2:$AE$2&lt;AE$2))),2))))</f>
      </c>
      <c r="AP581" s="33">
        <f>ROUND(V581-AF581,2)</f>
      </c>
      <c r="AQ581" s="33">
        <f>ROUND(W581-AG581,2)</f>
      </c>
      <c r="AR581" s="33">
        <f>ROUND(X581-AH581,2)</f>
      </c>
      <c r="AS581" s="33">
        <f>ROUND(Y581-AI581,2)</f>
      </c>
      <c r="AT581" s="33">
        <f>ROUND(Z581-AJ581,2)</f>
      </c>
      <c r="AU581" s="33">
        <f>ROUND(AA581-AK581,2)</f>
      </c>
      <c r="AV581" s="33">
        <f>ROUND(AB581-AL581,2)</f>
      </c>
      <c r="AW581" s="33">
        <f>ROUND(AC581-AM581,2)</f>
      </c>
      <c r="AX581" s="33">
        <f>ROUND(AD581-AN581,2)</f>
      </c>
      <c r="AY581" s="33">
        <f>ROUND(AE581-AO581,2)</f>
      </c>
      <c r="AZ581" s="33">
        <f>ROUND(MAX(0,'Your debts'!$D$22-SUM($L581:$U581)),2)</f>
      </c>
      <c r="BA581" s="33">
        <f>ROUND(SUM($B581:$K581)-SUM($AP580:$AY580),2)</f>
      </c>
      <c r="BB581" s="33">
        <f>SUM($AP581:$AY581)</f>
      </c>
      <c r="BC581" s="33">
        <f>ROUND(SUM($L581:$U581)+SUM($AF581:$AO581),2)</f>
      </c>
    </row>
    <row r="582" spans="1:55" x14ac:dyDescent="0.25">
      <c r="A582">
        <v>575</v>
      </c>
      <c r="B582" s="33">
        <f>IF(AP581&lt;=0,0,ROUND(AP581+ROUND(AP581*V$3/12,2),2))</f>
      </c>
      <c r="C582" s="33">
        <f>IF(AQ581&lt;=0,0,ROUND(AQ581+ROUND(AQ581*W$3/12,2),2))</f>
      </c>
      <c r="D582" s="33">
        <f>IF(AR581&lt;=0,0,ROUND(AR581+ROUND(AR581*X$3/12,2),2))</f>
      </c>
      <c r="E582" s="33">
        <f>IF(AS581&lt;=0,0,ROUND(AS581+ROUND(AS581*Y$3/12,2),2))</f>
      </c>
      <c r="F582" s="33">
        <f>IF(AT581&lt;=0,0,ROUND(AT581+ROUND(AT581*Z$3/12,2),2))</f>
      </c>
      <c r="G582" s="33">
        <f>IF(AU581&lt;=0,0,ROUND(AU581+ROUND(AU581*AA$3/12,2),2))</f>
      </c>
      <c r="H582" s="33">
        <f>IF(AV581&lt;=0,0,ROUND(AV581+ROUND(AV581*AB$3/12,2),2))</f>
      </c>
      <c r="I582" s="33">
        <f>IF(AW581&lt;=0,0,ROUND(AW581+ROUND(AW581*AC$3/12,2),2))</f>
      </c>
      <c r="J582" s="33">
        <f>IF(AX581&lt;=0,0,ROUND(AX581+ROUND(AX581*AD$3/12,2),2))</f>
      </c>
      <c r="K582" s="33">
        <f>IF(AY581&lt;=0,0,ROUND(AY581+ROUND(AY581*AE$3/12,2),2))</f>
      </c>
      <c r="L582" s="33">
        <f>ROUND(MIN(MAX(0,N('Your debts'!$E$6)),B582),2)</f>
      </c>
      <c r="M582" s="33">
        <f>ROUND(MIN(MAX(0,N('Your debts'!$E$7)),C582),2)</f>
      </c>
      <c r="N582" s="33">
        <f>ROUND(MIN(MAX(0,N('Your debts'!$E$8)),D582),2)</f>
      </c>
      <c r="O582" s="33">
        <f>ROUND(MIN(MAX(0,N('Your debts'!$E$9)),E582),2)</f>
      </c>
      <c r="P582" s="33">
        <f>ROUND(MIN(MAX(0,N('Your debts'!$E$10)),F582),2)</f>
      </c>
      <c r="Q582" s="33">
        <f>ROUND(MIN(MAX(0,N('Your debts'!$E$11)),G582),2)</f>
      </c>
      <c r="R582" s="33">
        <f>ROUND(MIN(MAX(0,N('Your debts'!$E$12)),H582),2)</f>
      </c>
      <c r="S582" s="33">
        <f>ROUND(MIN(MAX(0,N('Your debts'!$E$13)),I582),2)</f>
      </c>
      <c r="T582" s="33">
        <f>ROUND(MIN(MAX(0,N('Your debts'!$E$14)),J582),2)</f>
      </c>
      <c r="U582" s="33">
        <f>ROUND(MIN(MAX(0,N('Your debts'!$E$15)),K582),2)</f>
      </c>
      <c r="V582" s="33">
        <f>ROUND(B582-L582,2)</f>
      </c>
      <c r="W582" s="33">
        <f>ROUND(C582-M582,2)</f>
      </c>
      <c r="X582" s="33">
        <f>ROUND(D582-N582,2)</f>
      </c>
      <c r="Y582" s="33">
        <f>ROUND(E582-O582,2)</f>
      </c>
      <c r="Z582" s="33">
        <f>ROUND(F582-P582,2)</f>
      </c>
      <c r="AA582" s="33">
        <f>ROUND(G582-Q582,2)</f>
      </c>
      <c r="AB582" s="33">
        <f>ROUND(H582-R582,2)</f>
      </c>
      <c r="AC582" s="33">
        <f>ROUND(I582-S582,2)</f>
      </c>
      <c r="AD582" s="33">
        <f>ROUND(J582-T582,2)</f>
      </c>
      <c r="AE582" s="33">
        <f>ROUND(K582-U582,2)</f>
      </c>
      <c r="AF582" s="33">
        <f>IF(V582&lt;=0,0,MAX(0,MIN(V582,ROUND($AZ582-SUMPRODUCT($V582:$AE582*($V582:$AE582&gt;0)*(($V$3:$AE$3&gt;V$3)+($V$3:$AE$3=V$3)*($V582:$AE582&lt;V582)+($V$3:$AE$3=V$3)*($V582:$AE582=V582)*($V$2:$AE$2&lt;V$2))),2))))</f>
      </c>
      <c r="AG582" s="33">
        <f>IF(W582&lt;=0,0,MAX(0,MIN(W582,ROUND($AZ582-SUMPRODUCT($V582:$AE582*($V582:$AE582&gt;0)*(($V$3:$AE$3&gt;W$3)+($V$3:$AE$3=W$3)*($V582:$AE582&lt;W582)+($V$3:$AE$3=W$3)*($V582:$AE582=W582)*($V$2:$AE$2&lt;W$2))),2))))</f>
      </c>
      <c r="AH582" s="33">
        <f>IF(X582&lt;=0,0,MAX(0,MIN(X582,ROUND($AZ582-SUMPRODUCT($V582:$AE582*($V582:$AE582&gt;0)*(($V$3:$AE$3&gt;X$3)+($V$3:$AE$3=X$3)*($V582:$AE582&lt;X582)+($V$3:$AE$3=X$3)*($V582:$AE582=X582)*($V$2:$AE$2&lt;X$2))),2))))</f>
      </c>
      <c r="AI582" s="33">
        <f>IF(Y582&lt;=0,0,MAX(0,MIN(Y582,ROUND($AZ582-SUMPRODUCT($V582:$AE582*($V582:$AE582&gt;0)*(($V$3:$AE$3&gt;Y$3)+($V$3:$AE$3=Y$3)*($V582:$AE582&lt;Y582)+($V$3:$AE$3=Y$3)*($V582:$AE582=Y582)*($V$2:$AE$2&lt;Y$2))),2))))</f>
      </c>
      <c r="AJ582" s="33">
        <f>IF(Z582&lt;=0,0,MAX(0,MIN(Z582,ROUND($AZ582-SUMPRODUCT($V582:$AE582*($V582:$AE582&gt;0)*(($V$3:$AE$3&gt;Z$3)+($V$3:$AE$3=Z$3)*($V582:$AE582&lt;Z582)+($V$3:$AE$3=Z$3)*($V582:$AE582=Z582)*($V$2:$AE$2&lt;Z$2))),2))))</f>
      </c>
      <c r="AK582" s="33">
        <f>IF(AA582&lt;=0,0,MAX(0,MIN(AA582,ROUND($AZ582-SUMPRODUCT($V582:$AE582*($V582:$AE582&gt;0)*(($V$3:$AE$3&gt;AA$3)+($V$3:$AE$3=AA$3)*($V582:$AE582&lt;AA582)+($V$3:$AE$3=AA$3)*($V582:$AE582=AA582)*($V$2:$AE$2&lt;AA$2))),2))))</f>
      </c>
      <c r="AL582" s="33">
        <f>IF(AB582&lt;=0,0,MAX(0,MIN(AB582,ROUND($AZ582-SUMPRODUCT($V582:$AE582*($V582:$AE582&gt;0)*(($V$3:$AE$3&gt;AB$3)+($V$3:$AE$3=AB$3)*($V582:$AE582&lt;AB582)+($V$3:$AE$3=AB$3)*($V582:$AE582=AB582)*($V$2:$AE$2&lt;AB$2))),2))))</f>
      </c>
      <c r="AM582" s="33">
        <f>IF(AC582&lt;=0,0,MAX(0,MIN(AC582,ROUND($AZ582-SUMPRODUCT($V582:$AE582*($V582:$AE582&gt;0)*(($V$3:$AE$3&gt;AC$3)+($V$3:$AE$3=AC$3)*($V582:$AE582&lt;AC582)+($V$3:$AE$3=AC$3)*($V582:$AE582=AC582)*($V$2:$AE$2&lt;AC$2))),2))))</f>
      </c>
      <c r="AN582" s="33">
        <f>IF(AD582&lt;=0,0,MAX(0,MIN(AD582,ROUND($AZ582-SUMPRODUCT($V582:$AE582*($V582:$AE582&gt;0)*(($V$3:$AE$3&gt;AD$3)+($V$3:$AE$3=AD$3)*($V582:$AE582&lt;AD582)+($V$3:$AE$3=AD$3)*($V582:$AE582=AD582)*($V$2:$AE$2&lt;AD$2))),2))))</f>
      </c>
      <c r="AO582" s="33">
        <f>IF(AE582&lt;=0,0,MAX(0,MIN(AE582,ROUND($AZ582-SUMPRODUCT($V582:$AE582*($V582:$AE582&gt;0)*(($V$3:$AE$3&gt;AE$3)+($V$3:$AE$3=AE$3)*($V582:$AE582&lt;AE582)+($V$3:$AE$3=AE$3)*($V582:$AE582=AE582)*($V$2:$AE$2&lt;AE$2))),2))))</f>
      </c>
      <c r="AP582" s="33">
        <f>ROUND(V582-AF582,2)</f>
      </c>
      <c r="AQ582" s="33">
        <f>ROUND(W582-AG582,2)</f>
      </c>
      <c r="AR582" s="33">
        <f>ROUND(X582-AH582,2)</f>
      </c>
      <c r="AS582" s="33">
        <f>ROUND(Y582-AI582,2)</f>
      </c>
      <c r="AT582" s="33">
        <f>ROUND(Z582-AJ582,2)</f>
      </c>
      <c r="AU582" s="33">
        <f>ROUND(AA582-AK582,2)</f>
      </c>
      <c r="AV582" s="33">
        <f>ROUND(AB582-AL582,2)</f>
      </c>
      <c r="AW582" s="33">
        <f>ROUND(AC582-AM582,2)</f>
      </c>
      <c r="AX582" s="33">
        <f>ROUND(AD582-AN582,2)</f>
      </c>
      <c r="AY582" s="33">
        <f>ROUND(AE582-AO582,2)</f>
      </c>
      <c r="AZ582" s="33">
        <f>ROUND(MAX(0,'Your debts'!$D$22-SUM($L582:$U582)),2)</f>
      </c>
      <c r="BA582" s="33">
        <f>ROUND(SUM($B582:$K582)-SUM($AP581:$AY581),2)</f>
      </c>
      <c r="BB582" s="33">
        <f>SUM($AP582:$AY582)</f>
      </c>
      <c r="BC582" s="33">
        <f>ROUND(SUM($L582:$U582)+SUM($AF582:$AO582),2)</f>
      </c>
    </row>
    <row r="583" spans="1:55" x14ac:dyDescent="0.25">
      <c r="A583">
        <v>576</v>
      </c>
      <c r="B583" s="33">
        <f>IF(AP582&lt;=0,0,ROUND(AP582+ROUND(AP582*V$3/12,2),2))</f>
      </c>
      <c r="C583" s="33">
        <f>IF(AQ582&lt;=0,0,ROUND(AQ582+ROUND(AQ582*W$3/12,2),2))</f>
      </c>
      <c r="D583" s="33">
        <f>IF(AR582&lt;=0,0,ROUND(AR582+ROUND(AR582*X$3/12,2),2))</f>
      </c>
      <c r="E583" s="33">
        <f>IF(AS582&lt;=0,0,ROUND(AS582+ROUND(AS582*Y$3/12,2),2))</f>
      </c>
      <c r="F583" s="33">
        <f>IF(AT582&lt;=0,0,ROUND(AT582+ROUND(AT582*Z$3/12,2),2))</f>
      </c>
      <c r="G583" s="33">
        <f>IF(AU582&lt;=0,0,ROUND(AU582+ROUND(AU582*AA$3/12,2),2))</f>
      </c>
      <c r="H583" s="33">
        <f>IF(AV582&lt;=0,0,ROUND(AV582+ROUND(AV582*AB$3/12,2),2))</f>
      </c>
      <c r="I583" s="33">
        <f>IF(AW582&lt;=0,0,ROUND(AW582+ROUND(AW582*AC$3/12,2),2))</f>
      </c>
      <c r="J583" s="33">
        <f>IF(AX582&lt;=0,0,ROUND(AX582+ROUND(AX582*AD$3/12,2),2))</f>
      </c>
      <c r="K583" s="33">
        <f>IF(AY582&lt;=0,0,ROUND(AY582+ROUND(AY582*AE$3/12,2),2))</f>
      </c>
      <c r="L583" s="33">
        <f>ROUND(MIN(MAX(0,N('Your debts'!$E$6)),B583),2)</f>
      </c>
      <c r="M583" s="33">
        <f>ROUND(MIN(MAX(0,N('Your debts'!$E$7)),C583),2)</f>
      </c>
      <c r="N583" s="33">
        <f>ROUND(MIN(MAX(0,N('Your debts'!$E$8)),D583),2)</f>
      </c>
      <c r="O583" s="33">
        <f>ROUND(MIN(MAX(0,N('Your debts'!$E$9)),E583),2)</f>
      </c>
      <c r="P583" s="33">
        <f>ROUND(MIN(MAX(0,N('Your debts'!$E$10)),F583),2)</f>
      </c>
      <c r="Q583" s="33">
        <f>ROUND(MIN(MAX(0,N('Your debts'!$E$11)),G583),2)</f>
      </c>
      <c r="R583" s="33">
        <f>ROUND(MIN(MAX(0,N('Your debts'!$E$12)),H583),2)</f>
      </c>
      <c r="S583" s="33">
        <f>ROUND(MIN(MAX(0,N('Your debts'!$E$13)),I583),2)</f>
      </c>
      <c r="T583" s="33">
        <f>ROUND(MIN(MAX(0,N('Your debts'!$E$14)),J583),2)</f>
      </c>
      <c r="U583" s="33">
        <f>ROUND(MIN(MAX(0,N('Your debts'!$E$15)),K583),2)</f>
      </c>
      <c r="V583" s="33">
        <f>ROUND(B583-L583,2)</f>
      </c>
      <c r="W583" s="33">
        <f>ROUND(C583-M583,2)</f>
      </c>
      <c r="X583" s="33">
        <f>ROUND(D583-N583,2)</f>
      </c>
      <c r="Y583" s="33">
        <f>ROUND(E583-O583,2)</f>
      </c>
      <c r="Z583" s="33">
        <f>ROUND(F583-P583,2)</f>
      </c>
      <c r="AA583" s="33">
        <f>ROUND(G583-Q583,2)</f>
      </c>
      <c r="AB583" s="33">
        <f>ROUND(H583-R583,2)</f>
      </c>
      <c r="AC583" s="33">
        <f>ROUND(I583-S583,2)</f>
      </c>
      <c r="AD583" s="33">
        <f>ROUND(J583-T583,2)</f>
      </c>
      <c r="AE583" s="33">
        <f>ROUND(K583-U583,2)</f>
      </c>
      <c r="AF583" s="33">
        <f>IF(V583&lt;=0,0,MAX(0,MIN(V583,ROUND($AZ583-SUMPRODUCT($V583:$AE583*($V583:$AE583&gt;0)*(($V$3:$AE$3&gt;V$3)+($V$3:$AE$3=V$3)*($V583:$AE583&lt;V583)+($V$3:$AE$3=V$3)*($V583:$AE583=V583)*($V$2:$AE$2&lt;V$2))),2))))</f>
      </c>
      <c r="AG583" s="33">
        <f>IF(W583&lt;=0,0,MAX(0,MIN(W583,ROUND($AZ583-SUMPRODUCT($V583:$AE583*($V583:$AE583&gt;0)*(($V$3:$AE$3&gt;W$3)+($V$3:$AE$3=W$3)*($V583:$AE583&lt;W583)+($V$3:$AE$3=W$3)*($V583:$AE583=W583)*($V$2:$AE$2&lt;W$2))),2))))</f>
      </c>
      <c r="AH583" s="33">
        <f>IF(X583&lt;=0,0,MAX(0,MIN(X583,ROUND($AZ583-SUMPRODUCT($V583:$AE583*($V583:$AE583&gt;0)*(($V$3:$AE$3&gt;X$3)+($V$3:$AE$3=X$3)*($V583:$AE583&lt;X583)+($V$3:$AE$3=X$3)*($V583:$AE583=X583)*($V$2:$AE$2&lt;X$2))),2))))</f>
      </c>
      <c r="AI583" s="33">
        <f>IF(Y583&lt;=0,0,MAX(0,MIN(Y583,ROUND($AZ583-SUMPRODUCT($V583:$AE583*($V583:$AE583&gt;0)*(($V$3:$AE$3&gt;Y$3)+($V$3:$AE$3=Y$3)*($V583:$AE583&lt;Y583)+($V$3:$AE$3=Y$3)*($V583:$AE583=Y583)*($V$2:$AE$2&lt;Y$2))),2))))</f>
      </c>
      <c r="AJ583" s="33">
        <f>IF(Z583&lt;=0,0,MAX(0,MIN(Z583,ROUND($AZ583-SUMPRODUCT($V583:$AE583*($V583:$AE583&gt;0)*(($V$3:$AE$3&gt;Z$3)+($V$3:$AE$3=Z$3)*($V583:$AE583&lt;Z583)+($V$3:$AE$3=Z$3)*($V583:$AE583=Z583)*($V$2:$AE$2&lt;Z$2))),2))))</f>
      </c>
      <c r="AK583" s="33">
        <f>IF(AA583&lt;=0,0,MAX(0,MIN(AA583,ROUND($AZ583-SUMPRODUCT($V583:$AE583*($V583:$AE583&gt;0)*(($V$3:$AE$3&gt;AA$3)+($V$3:$AE$3=AA$3)*($V583:$AE583&lt;AA583)+($V$3:$AE$3=AA$3)*($V583:$AE583=AA583)*($V$2:$AE$2&lt;AA$2))),2))))</f>
      </c>
      <c r="AL583" s="33">
        <f>IF(AB583&lt;=0,0,MAX(0,MIN(AB583,ROUND($AZ583-SUMPRODUCT($V583:$AE583*($V583:$AE583&gt;0)*(($V$3:$AE$3&gt;AB$3)+($V$3:$AE$3=AB$3)*($V583:$AE583&lt;AB583)+($V$3:$AE$3=AB$3)*($V583:$AE583=AB583)*($V$2:$AE$2&lt;AB$2))),2))))</f>
      </c>
      <c r="AM583" s="33">
        <f>IF(AC583&lt;=0,0,MAX(0,MIN(AC583,ROUND($AZ583-SUMPRODUCT($V583:$AE583*($V583:$AE583&gt;0)*(($V$3:$AE$3&gt;AC$3)+($V$3:$AE$3=AC$3)*($V583:$AE583&lt;AC583)+($V$3:$AE$3=AC$3)*($V583:$AE583=AC583)*($V$2:$AE$2&lt;AC$2))),2))))</f>
      </c>
      <c r="AN583" s="33">
        <f>IF(AD583&lt;=0,0,MAX(0,MIN(AD583,ROUND($AZ583-SUMPRODUCT($V583:$AE583*($V583:$AE583&gt;0)*(($V$3:$AE$3&gt;AD$3)+($V$3:$AE$3=AD$3)*($V583:$AE583&lt;AD583)+($V$3:$AE$3=AD$3)*($V583:$AE583=AD583)*($V$2:$AE$2&lt;AD$2))),2))))</f>
      </c>
      <c r="AO583" s="33">
        <f>IF(AE583&lt;=0,0,MAX(0,MIN(AE583,ROUND($AZ583-SUMPRODUCT($V583:$AE583*($V583:$AE583&gt;0)*(($V$3:$AE$3&gt;AE$3)+($V$3:$AE$3=AE$3)*($V583:$AE583&lt;AE583)+($V$3:$AE$3=AE$3)*($V583:$AE583=AE583)*($V$2:$AE$2&lt;AE$2))),2))))</f>
      </c>
      <c r="AP583" s="33">
        <f>ROUND(V583-AF583,2)</f>
      </c>
      <c r="AQ583" s="33">
        <f>ROUND(W583-AG583,2)</f>
      </c>
      <c r="AR583" s="33">
        <f>ROUND(X583-AH583,2)</f>
      </c>
      <c r="AS583" s="33">
        <f>ROUND(Y583-AI583,2)</f>
      </c>
      <c r="AT583" s="33">
        <f>ROUND(Z583-AJ583,2)</f>
      </c>
      <c r="AU583" s="33">
        <f>ROUND(AA583-AK583,2)</f>
      </c>
      <c r="AV583" s="33">
        <f>ROUND(AB583-AL583,2)</f>
      </c>
      <c r="AW583" s="33">
        <f>ROUND(AC583-AM583,2)</f>
      </c>
      <c r="AX583" s="33">
        <f>ROUND(AD583-AN583,2)</f>
      </c>
      <c r="AY583" s="33">
        <f>ROUND(AE583-AO583,2)</f>
      </c>
      <c r="AZ583" s="33">
        <f>ROUND(MAX(0,'Your debts'!$D$22-SUM($L583:$U583)),2)</f>
      </c>
      <c r="BA583" s="33">
        <f>ROUND(SUM($B583:$K583)-SUM($AP582:$AY582),2)</f>
      </c>
      <c r="BB583" s="33">
        <f>SUM($AP583:$AY583)</f>
      </c>
      <c r="BC583" s="33">
        <f>ROUND(SUM($L583:$U583)+SUM($AF583:$AO583),2)</f>
      </c>
    </row>
    <row r="584" spans="1:55" x14ac:dyDescent="0.25">
      <c r="A584">
        <v>577</v>
      </c>
      <c r="B584" s="33">
        <f>IF(AP583&lt;=0,0,ROUND(AP583+ROUND(AP583*V$3/12,2),2))</f>
      </c>
      <c r="C584" s="33">
        <f>IF(AQ583&lt;=0,0,ROUND(AQ583+ROUND(AQ583*W$3/12,2),2))</f>
      </c>
      <c r="D584" s="33">
        <f>IF(AR583&lt;=0,0,ROUND(AR583+ROUND(AR583*X$3/12,2),2))</f>
      </c>
      <c r="E584" s="33">
        <f>IF(AS583&lt;=0,0,ROUND(AS583+ROUND(AS583*Y$3/12,2),2))</f>
      </c>
      <c r="F584" s="33">
        <f>IF(AT583&lt;=0,0,ROUND(AT583+ROUND(AT583*Z$3/12,2),2))</f>
      </c>
      <c r="G584" s="33">
        <f>IF(AU583&lt;=0,0,ROUND(AU583+ROUND(AU583*AA$3/12,2),2))</f>
      </c>
      <c r="H584" s="33">
        <f>IF(AV583&lt;=0,0,ROUND(AV583+ROUND(AV583*AB$3/12,2),2))</f>
      </c>
      <c r="I584" s="33">
        <f>IF(AW583&lt;=0,0,ROUND(AW583+ROUND(AW583*AC$3/12,2),2))</f>
      </c>
      <c r="J584" s="33">
        <f>IF(AX583&lt;=0,0,ROUND(AX583+ROUND(AX583*AD$3/12,2),2))</f>
      </c>
      <c r="K584" s="33">
        <f>IF(AY583&lt;=0,0,ROUND(AY583+ROUND(AY583*AE$3/12,2),2))</f>
      </c>
      <c r="L584" s="33">
        <f>ROUND(MIN(MAX(0,N('Your debts'!$E$6)),B584),2)</f>
      </c>
      <c r="M584" s="33">
        <f>ROUND(MIN(MAX(0,N('Your debts'!$E$7)),C584),2)</f>
      </c>
      <c r="N584" s="33">
        <f>ROUND(MIN(MAX(0,N('Your debts'!$E$8)),D584),2)</f>
      </c>
      <c r="O584" s="33">
        <f>ROUND(MIN(MAX(0,N('Your debts'!$E$9)),E584),2)</f>
      </c>
      <c r="P584" s="33">
        <f>ROUND(MIN(MAX(0,N('Your debts'!$E$10)),F584),2)</f>
      </c>
      <c r="Q584" s="33">
        <f>ROUND(MIN(MAX(0,N('Your debts'!$E$11)),G584),2)</f>
      </c>
      <c r="R584" s="33">
        <f>ROUND(MIN(MAX(0,N('Your debts'!$E$12)),H584),2)</f>
      </c>
      <c r="S584" s="33">
        <f>ROUND(MIN(MAX(0,N('Your debts'!$E$13)),I584),2)</f>
      </c>
      <c r="T584" s="33">
        <f>ROUND(MIN(MAX(0,N('Your debts'!$E$14)),J584),2)</f>
      </c>
      <c r="U584" s="33">
        <f>ROUND(MIN(MAX(0,N('Your debts'!$E$15)),K584),2)</f>
      </c>
      <c r="V584" s="33">
        <f>ROUND(B584-L584,2)</f>
      </c>
      <c r="W584" s="33">
        <f>ROUND(C584-M584,2)</f>
      </c>
      <c r="X584" s="33">
        <f>ROUND(D584-N584,2)</f>
      </c>
      <c r="Y584" s="33">
        <f>ROUND(E584-O584,2)</f>
      </c>
      <c r="Z584" s="33">
        <f>ROUND(F584-P584,2)</f>
      </c>
      <c r="AA584" s="33">
        <f>ROUND(G584-Q584,2)</f>
      </c>
      <c r="AB584" s="33">
        <f>ROUND(H584-R584,2)</f>
      </c>
      <c r="AC584" s="33">
        <f>ROUND(I584-S584,2)</f>
      </c>
      <c r="AD584" s="33">
        <f>ROUND(J584-T584,2)</f>
      </c>
      <c r="AE584" s="33">
        <f>ROUND(K584-U584,2)</f>
      </c>
      <c r="AF584" s="33">
        <f>IF(V584&lt;=0,0,MAX(0,MIN(V584,ROUND($AZ584-SUMPRODUCT($V584:$AE584*($V584:$AE584&gt;0)*(($V$3:$AE$3&gt;V$3)+($V$3:$AE$3=V$3)*($V584:$AE584&lt;V584)+($V$3:$AE$3=V$3)*($V584:$AE584=V584)*($V$2:$AE$2&lt;V$2))),2))))</f>
      </c>
      <c r="AG584" s="33">
        <f>IF(W584&lt;=0,0,MAX(0,MIN(W584,ROUND($AZ584-SUMPRODUCT($V584:$AE584*($V584:$AE584&gt;0)*(($V$3:$AE$3&gt;W$3)+($V$3:$AE$3=W$3)*($V584:$AE584&lt;W584)+($V$3:$AE$3=W$3)*($V584:$AE584=W584)*($V$2:$AE$2&lt;W$2))),2))))</f>
      </c>
      <c r="AH584" s="33">
        <f>IF(X584&lt;=0,0,MAX(0,MIN(X584,ROUND($AZ584-SUMPRODUCT($V584:$AE584*($V584:$AE584&gt;0)*(($V$3:$AE$3&gt;X$3)+($V$3:$AE$3=X$3)*($V584:$AE584&lt;X584)+($V$3:$AE$3=X$3)*($V584:$AE584=X584)*($V$2:$AE$2&lt;X$2))),2))))</f>
      </c>
      <c r="AI584" s="33">
        <f>IF(Y584&lt;=0,0,MAX(0,MIN(Y584,ROUND($AZ584-SUMPRODUCT($V584:$AE584*($V584:$AE584&gt;0)*(($V$3:$AE$3&gt;Y$3)+($V$3:$AE$3=Y$3)*($V584:$AE584&lt;Y584)+($V$3:$AE$3=Y$3)*($V584:$AE584=Y584)*($V$2:$AE$2&lt;Y$2))),2))))</f>
      </c>
      <c r="AJ584" s="33">
        <f>IF(Z584&lt;=0,0,MAX(0,MIN(Z584,ROUND($AZ584-SUMPRODUCT($V584:$AE584*($V584:$AE584&gt;0)*(($V$3:$AE$3&gt;Z$3)+($V$3:$AE$3=Z$3)*($V584:$AE584&lt;Z584)+($V$3:$AE$3=Z$3)*($V584:$AE584=Z584)*($V$2:$AE$2&lt;Z$2))),2))))</f>
      </c>
      <c r="AK584" s="33">
        <f>IF(AA584&lt;=0,0,MAX(0,MIN(AA584,ROUND($AZ584-SUMPRODUCT($V584:$AE584*($V584:$AE584&gt;0)*(($V$3:$AE$3&gt;AA$3)+($V$3:$AE$3=AA$3)*($V584:$AE584&lt;AA584)+($V$3:$AE$3=AA$3)*($V584:$AE584=AA584)*($V$2:$AE$2&lt;AA$2))),2))))</f>
      </c>
      <c r="AL584" s="33">
        <f>IF(AB584&lt;=0,0,MAX(0,MIN(AB584,ROUND($AZ584-SUMPRODUCT($V584:$AE584*($V584:$AE584&gt;0)*(($V$3:$AE$3&gt;AB$3)+($V$3:$AE$3=AB$3)*($V584:$AE584&lt;AB584)+($V$3:$AE$3=AB$3)*($V584:$AE584=AB584)*($V$2:$AE$2&lt;AB$2))),2))))</f>
      </c>
      <c r="AM584" s="33">
        <f>IF(AC584&lt;=0,0,MAX(0,MIN(AC584,ROUND($AZ584-SUMPRODUCT($V584:$AE584*($V584:$AE584&gt;0)*(($V$3:$AE$3&gt;AC$3)+($V$3:$AE$3=AC$3)*($V584:$AE584&lt;AC584)+($V$3:$AE$3=AC$3)*($V584:$AE584=AC584)*($V$2:$AE$2&lt;AC$2))),2))))</f>
      </c>
      <c r="AN584" s="33">
        <f>IF(AD584&lt;=0,0,MAX(0,MIN(AD584,ROUND($AZ584-SUMPRODUCT($V584:$AE584*($V584:$AE584&gt;0)*(($V$3:$AE$3&gt;AD$3)+($V$3:$AE$3=AD$3)*($V584:$AE584&lt;AD584)+($V$3:$AE$3=AD$3)*($V584:$AE584=AD584)*($V$2:$AE$2&lt;AD$2))),2))))</f>
      </c>
      <c r="AO584" s="33">
        <f>IF(AE584&lt;=0,0,MAX(0,MIN(AE584,ROUND($AZ584-SUMPRODUCT($V584:$AE584*($V584:$AE584&gt;0)*(($V$3:$AE$3&gt;AE$3)+($V$3:$AE$3=AE$3)*($V584:$AE584&lt;AE584)+($V$3:$AE$3=AE$3)*($V584:$AE584=AE584)*($V$2:$AE$2&lt;AE$2))),2))))</f>
      </c>
      <c r="AP584" s="33">
        <f>ROUND(V584-AF584,2)</f>
      </c>
      <c r="AQ584" s="33">
        <f>ROUND(W584-AG584,2)</f>
      </c>
      <c r="AR584" s="33">
        <f>ROUND(X584-AH584,2)</f>
      </c>
      <c r="AS584" s="33">
        <f>ROUND(Y584-AI584,2)</f>
      </c>
      <c r="AT584" s="33">
        <f>ROUND(Z584-AJ584,2)</f>
      </c>
      <c r="AU584" s="33">
        <f>ROUND(AA584-AK584,2)</f>
      </c>
      <c r="AV584" s="33">
        <f>ROUND(AB584-AL584,2)</f>
      </c>
      <c r="AW584" s="33">
        <f>ROUND(AC584-AM584,2)</f>
      </c>
      <c r="AX584" s="33">
        <f>ROUND(AD584-AN584,2)</f>
      </c>
      <c r="AY584" s="33">
        <f>ROUND(AE584-AO584,2)</f>
      </c>
      <c r="AZ584" s="33">
        <f>ROUND(MAX(0,'Your debts'!$D$22-SUM($L584:$U584)),2)</f>
      </c>
      <c r="BA584" s="33">
        <f>ROUND(SUM($B584:$K584)-SUM($AP583:$AY583),2)</f>
      </c>
      <c r="BB584" s="33">
        <f>SUM($AP584:$AY584)</f>
      </c>
      <c r="BC584" s="33">
        <f>ROUND(SUM($L584:$U584)+SUM($AF584:$AO584),2)</f>
      </c>
    </row>
    <row r="585" spans="1:55" x14ac:dyDescent="0.25">
      <c r="A585">
        <v>578</v>
      </c>
      <c r="B585" s="33">
        <f>IF(AP584&lt;=0,0,ROUND(AP584+ROUND(AP584*V$3/12,2),2))</f>
      </c>
      <c r="C585" s="33">
        <f>IF(AQ584&lt;=0,0,ROUND(AQ584+ROUND(AQ584*W$3/12,2),2))</f>
      </c>
      <c r="D585" s="33">
        <f>IF(AR584&lt;=0,0,ROUND(AR584+ROUND(AR584*X$3/12,2),2))</f>
      </c>
      <c r="E585" s="33">
        <f>IF(AS584&lt;=0,0,ROUND(AS584+ROUND(AS584*Y$3/12,2),2))</f>
      </c>
      <c r="F585" s="33">
        <f>IF(AT584&lt;=0,0,ROUND(AT584+ROUND(AT584*Z$3/12,2),2))</f>
      </c>
      <c r="G585" s="33">
        <f>IF(AU584&lt;=0,0,ROUND(AU584+ROUND(AU584*AA$3/12,2),2))</f>
      </c>
      <c r="H585" s="33">
        <f>IF(AV584&lt;=0,0,ROUND(AV584+ROUND(AV584*AB$3/12,2),2))</f>
      </c>
      <c r="I585" s="33">
        <f>IF(AW584&lt;=0,0,ROUND(AW584+ROUND(AW584*AC$3/12,2),2))</f>
      </c>
      <c r="J585" s="33">
        <f>IF(AX584&lt;=0,0,ROUND(AX584+ROUND(AX584*AD$3/12,2),2))</f>
      </c>
      <c r="K585" s="33">
        <f>IF(AY584&lt;=0,0,ROUND(AY584+ROUND(AY584*AE$3/12,2),2))</f>
      </c>
      <c r="L585" s="33">
        <f>ROUND(MIN(MAX(0,N('Your debts'!$E$6)),B585),2)</f>
      </c>
      <c r="M585" s="33">
        <f>ROUND(MIN(MAX(0,N('Your debts'!$E$7)),C585),2)</f>
      </c>
      <c r="N585" s="33">
        <f>ROUND(MIN(MAX(0,N('Your debts'!$E$8)),D585),2)</f>
      </c>
      <c r="O585" s="33">
        <f>ROUND(MIN(MAX(0,N('Your debts'!$E$9)),E585),2)</f>
      </c>
      <c r="P585" s="33">
        <f>ROUND(MIN(MAX(0,N('Your debts'!$E$10)),F585),2)</f>
      </c>
      <c r="Q585" s="33">
        <f>ROUND(MIN(MAX(0,N('Your debts'!$E$11)),G585),2)</f>
      </c>
      <c r="R585" s="33">
        <f>ROUND(MIN(MAX(0,N('Your debts'!$E$12)),H585),2)</f>
      </c>
      <c r="S585" s="33">
        <f>ROUND(MIN(MAX(0,N('Your debts'!$E$13)),I585),2)</f>
      </c>
      <c r="T585" s="33">
        <f>ROUND(MIN(MAX(0,N('Your debts'!$E$14)),J585),2)</f>
      </c>
      <c r="U585" s="33">
        <f>ROUND(MIN(MAX(0,N('Your debts'!$E$15)),K585),2)</f>
      </c>
      <c r="V585" s="33">
        <f>ROUND(B585-L585,2)</f>
      </c>
      <c r="W585" s="33">
        <f>ROUND(C585-M585,2)</f>
      </c>
      <c r="X585" s="33">
        <f>ROUND(D585-N585,2)</f>
      </c>
      <c r="Y585" s="33">
        <f>ROUND(E585-O585,2)</f>
      </c>
      <c r="Z585" s="33">
        <f>ROUND(F585-P585,2)</f>
      </c>
      <c r="AA585" s="33">
        <f>ROUND(G585-Q585,2)</f>
      </c>
      <c r="AB585" s="33">
        <f>ROUND(H585-R585,2)</f>
      </c>
      <c r="AC585" s="33">
        <f>ROUND(I585-S585,2)</f>
      </c>
      <c r="AD585" s="33">
        <f>ROUND(J585-T585,2)</f>
      </c>
      <c r="AE585" s="33">
        <f>ROUND(K585-U585,2)</f>
      </c>
      <c r="AF585" s="33">
        <f>IF(V585&lt;=0,0,MAX(0,MIN(V585,ROUND($AZ585-SUMPRODUCT($V585:$AE585*($V585:$AE585&gt;0)*(($V$3:$AE$3&gt;V$3)+($V$3:$AE$3=V$3)*($V585:$AE585&lt;V585)+($V$3:$AE$3=V$3)*($V585:$AE585=V585)*($V$2:$AE$2&lt;V$2))),2))))</f>
      </c>
      <c r="AG585" s="33">
        <f>IF(W585&lt;=0,0,MAX(0,MIN(W585,ROUND($AZ585-SUMPRODUCT($V585:$AE585*($V585:$AE585&gt;0)*(($V$3:$AE$3&gt;W$3)+($V$3:$AE$3=W$3)*($V585:$AE585&lt;W585)+($V$3:$AE$3=W$3)*($V585:$AE585=W585)*($V$2:$AE$2&lt;W$2))),2))))</f>
      </c>
      <c r="AH585" s="33">
        <f>IF(X585&lt;=0,0,MAX(0,MIN(X585,ROUND($AZ585-SUMPRODUCT($V585:$AE585*($V585:$AE585&gt;0)*(($V$3:$AE$3&gt;X$3)+($V$3:$AE$3=X$3)*($V585:$AE585&lt;X585)+($V$3:$AE$3=X$3)*($V585:$AE585=X585)*($V$2:$AE$2&lt;X$2))),2))))</f>
      </c>
      <c r="AI585" s="33">
        <f>IF(Y585&lt;=0,0,MAX(0,MIN(Y585,ROUND($AZ585-SUMPRODUCT($V585:$AE585*($V585:$AE585&gt;0)*(($V$3:$AE$3&gt;Y$3)+($V$3:$AE$3=Y$3)*($V585:$AE585&lt;Y585)+($V$3:$AE$3=Y$3)*($V585:$AE585=Y585)*($V$2:$AE$2&lt;Y$2))),2))))</f>
      </c>
      <c r="AJ585" s="33">
        <f>IF(Z585&lt;=0,0,MAX(0,MIN(Z585,ROUND($AZ585-SUMPRODUCT($V585:$AE585*($V585:$AE585&gt;0)*(($V$3:$AE$3&gt;Z$3)+($V$3:$AE$3=Z$3)*($V585:$AE585&lt;Z585)+($V$3:$AE$3=Z$3)*($V585:$AE585=Z585)*($V$2:$AE$2&lt;Z$2))),2))))</f>
      </c>
      <c r="AK585" s="33">
        <f>IF(AA585&lt;=0,0,MAX(0,MIN(AA585,ROUND($AZ585-SUMPRODUCT($V585:$AE585*($V585:$AE585&gt;0)*(($V$3:$AE$3&gt;AA$3)+($V$3:$AE$3=AA$3)*($V585:$AE585&lt;AA585)+($V$3:$AE$3=AA$3)*($V585:$AE585=AA585)*($V$2:$AE$2&lt;AA$2))),2))))</f>
      </c>
      <c r="AL585" s="33">
        <f>IF(AB585&lt;=0,0,MAX(0,MIN(AB585,ROUND($AZ585-SUMPRODUCT($V585:$AE585*($V585:$AE585&gt;0)*(($V$3:$AE$3&gt;AB$3)+($V$3:$AE$3=AB$3)*($V585:$AE585&lt;AB585)+($V$3:$AE$3=AB$3)*($V585:$AE585=AB585)*($V$2:$AE$2&lt;AB$2))),2))))</f>
      </c>
      <c r="AM585" s="33">
        <f>IF(AC585&lt;=0,0,MAX(0,MIN(AC585,ROUND($AZ585-SUMPRODUCT($V585:$AE585*($V585:$AE585&gt;0)*(($V$3:$AE$3&gt;AC$3)+($V$3:$AE$3=AC$3)*($V585:$AE585&lt;AC585)+($V$3:$AE$3=AC$3)*($V585:$AE585=AC585)*($V$2:$AE$2&lt;AC$2))),2))))</f>
      </c>
      <c r="AN585" s="33">
        <f>IF(AD585&lt;=0,0,MAX(0,MIN(AD585,ROUND($AZ585-SUMPRODUCT($V585:$AE585*($V585:$AE585&gt;0)*(($V$3:$AE$3&gt;AD$3)+($V$3:$AE$3=AD$3)*($V585:$AE585&lt;AD585)+($V$3:$AE$3=AD$3)*($V585:$AE585=AD585)*($V$2:$AE$2&lt;AD$2))),2))))</f>
      </c>
      <c r="AO585" s="33">
        <f>IF(AE585&lt;=0,0,MAX(0,MIN(AE585,ROUND($AZ585-SUMPRODUCT($V585:$AE585*($V585:$AE585&gt;0)*(($V$3:$AE$3&gt;AE$3)+($V$3:$AE$3=AE$3)*($V585:$AE585&lt;AE585)+($V$3:$AE$3=AE$3)*($V585:$AE585=AE585)*($V$2:$AE$2&lt;AE$2))),2))))</f>
      </c>
      <c r="AP585" s="33">
        <f>ROUND(V585-AF585,2)</f>
      </c>
      <c r="AQ585" s="33">
        <f>ROUND(W585-AG585,2)</f>
      </c>
      <c r="AR585" s="33">
        <f>ROUND(X585-AH585,2)</f>
      </c>
      <c r="AS585" s="33">
        <f>ROUND(Y585-AI585,2)</f>
      </c>
      <c r="AT585" s="33">
        <f>ROUND(Z585-AJ585,2)</f>
      </c>
      <c r="AU585" s="33">
        <f>ROUND(AA585-AK585,2)</f>
      </c>
      <c r="AV585" s="33">
        <f>ROUND(AB585-AL585,2)</f>
      </c>
      <c r="AW585" s="33">
        <f>ROUND(AC585-AM585,2)</f>
      </c>
      <c r="AX585" s="33">
        <f>ROUND(AD585-AN585,2)</f>
      </c>
      <c r="AY585" s="33">
        <f>ROUND(AE585-AO585,2)</f>
      </c>
      <c r="AZ585" s="33">
        <f>ROUND(MAX(0,'Your debts'!$D$22-SUM($L585:$U585)),2)</f>
      </c>
      <c r="BA585" s="33">
        <f>ROUND(SUM($B585:$K585)-SUM($AP584:$AY584),2)</f>
      </c>
      <c r="BB585" s="33">
        <f>SUM($AP585:$AY585)</f>
      </c>
      <c r="BC585" s="33">
        <f>ROUND(SUM($L585:$U585)+SUM($AF585:$AO585),2)</f>
      </c>
    </row>
    <row r="586" spans="1:55" x14ac:dyDescent="0.25">
      <c r="A586">
        <v>579</v>
      </c>
      <c r="B586" s="33">
        <f>IF(AP585&lt;=0,0,ROUND(AP585+ROUND(AP585*V$3/12,2),2))</f>
      </c>
      <c r="C586" s="33">
        <f>IF(AQ585&lt;=0,0,ROUND(AQ585+ROUND(AQ585*W$3/12,2),2))</f>
      </c>
      <c r="D586" s="33">
        <f>IF(AR585&lt;=0,0,ROUND(AR585+ROUND(AR585*X$3/12,2),2))</f>
      </c>
      <c r="E586" s="33">
        <f>IF(AS585&lt;=0,0,ROUND(AS585+ROUND(AS585*Y$3/12,2),2))</f>
      </c>
      <c r="F586" s="33">
        <f>IF(AT585&lt;=0,0,ROUND(AT585+ROUND(AT585*Z$3/12,2),2))</f>
      </c>
      <c r="G586" s="33">
        <f>IF(AU585&lt;=0,0,ROUND(AU585+ROUND(AU585*AA$3/12,2),2))</f>
      </c>
      <c r="H586" s="33">
        <f>IF(AV585&lt;=0,0,ROUND(AV585+ROUND(AV585*AB$3/12,2),2))</f>
      </c>
      <c r="I586" s="33">
        <f>IF(AW585&lt;=0,0,ROUND(AW585+ROUND(AW585*AC$3/12,2),2))</f>
      </c>
      <c r="J586" s="33">
        <f>IF(AX585&lt;=0,0,ROUND(AX585+ROUND(AX585*AD$3/12,2),2))</f>
      </c>
      <c r="K586" s="33">
        <f>IF(AY585&lt;=0,0,ROUND(AY585+ROUND(AY585*AE$3/12,2),2))</f>
      </c>
      <c r="L586" s="33">
        <f>ROUND(MIN(MAX(0,N('Your debts'!$E$6)),B586),2)</f>
      </c>
      <c r="M586" s="33">
        <f>ROUND(MIN(MAX(0,N('Your debts'!$E$7)),C586),2)</f>
      </c>
      <c r="N586" s="33">
        <f>ROUND(MIN(MAX(0,N('Your debts'!$E$8)),D586),2)</f>
      </c>
      <c r="O586" s="33">
        <f>ROUND(MIN(MAX(0,N('Your debts'!$E$9)),E586),2)</f>
      </c>
      <c r="P586" s="33">
        <f>ROUND(MIN(MAX(0,N('Your debts'!$E$10)),F586),2)</f>
      </c>
      <c r="Q586" s="33">
        <f>ROUND(MIN(MAX(0,N('Your debts'!$E$11)),G586),2)</f>
      </c>
      <c r="R586" s="33">
        <f>ROUND(MIN(MAX(0,N('Your debts'!$E$12)),H586),2)</f>
      </c>
      <c r="S586" s="33">
        <f>ROUND(MIN(MAX(0,N('Your debts'!$E$13)),I586),2)</f>
      </c>
      <c r="T586" s="33">
        <f>ROUND(MIN(MAX(0,N('Your debts'!$E$14)),J586),2)</f>
      </c>
      <c r="U586" s="33">
        <f>ROUND(MIN(MAX(0,N('Your debts'!$E$15)),K586),2)</f>
      </c>
      <c r="V586" s="33">
        <f>ROUND(B586-L586,2)</f>
      </c>
      <c r="W586" s="33">
        <f>ROUND(C586-M586,2)</f>
      </c>
      <c r="X586" s="33">
        <f>ROUND(D586-N586,2)</f>
      </c>
      <c r="Y586" s="33">
        <f>ROUND(E586-O586,2)</f>
      </c>
      <c r="Z586" s="33">
        <f>ROUND(F586-P586,2)</f>
      </c>
      <c r="AA586" s="33">
        <f>ROUND(G586-Q586,2)</f>
      </c>
      <c r="AB586" s="33">
        <f>ROUND(H586-R586,2)</f>
      </c>
      <c r="AC586" s="33">
        <f>ROUND(I586-S586,2)</f>
      </c>
      <c r="AD586" s="33">
        <f>ROUND(J586-T586,2)</f>
      </c>
      <c r="AE586" s="33">
        <f>ROUND(K586-U586,2)</f>
      </c>
      <c r="AF586" s="33">
        <f>IF(V586&lt;=0,0,MAX(0,MIN(V586,ROUND($AZ586-SUMPRODUCT($V586:$AE586*($V586:$AE586&gt;0)*(($V$3:$AE$3&gt;V$3)+($V$3:$AE$3=V$3)*($V586:$AE586&lt;V586)+($V$3:$AE$3=V$3)*($V586:$AE586=V586)*($V$2:$AE$2&lt;V$2))),2))))</f>
      </c>
      <c r="AG586" s="33">
        <f>IF(W586&lt;=0,0,MAX(0,MIN(W586,ROUND($AZ586-SUMPRODUCT($V586:$AE586*($V586:$AE586&gt;0)*(($V$3:$AE$3&gt;W$3)+($V$3:$AE$3=W$3)*($V586:$AE586&lt;W586)+($V$3:$AE$3=W$3)*($V586:$AE586=W586)*($V$2:$AE$2&lt;W$2))),2))))</f>
      </c>
      <c r="AH586" s="33">
        <f>IF(X586&lt;=0,0,MAX(0,MIN(X586,ROUND($AZ586-SUMPRODUCT($V586:$AE586*($V586:$AE586&gt;0)*(($V$3:$AE$3&gt;X$3)+($V$3:$AE$3=X$3)*($V586:$AE586&lt;X586)+($V$3:$AE$3=X$3)*($V586:$AE586=X586)*($V$2:$AE$2&lt;X$2))),2))))</f>
      </c>
      <c r="AI586" s="33">
        <f>IF(Y586&lt;=0,0,MAX(0,MIN(Y586,ROUND($AZ586-SUMPRODUCT($V586:$AE586*($V586:$AE586&gt;0)*(($V$3:$AE$3&gt;Y$3)+($V$3:$AE$3=Y$3)*($V586:$AE586&lt;Y586)+($V$3:$AE$3=Y$3)*($V586:$AE586=Y586)*($V$2:$AE$2&lt;Y$2))),2))))</f>
      </c>
      <c r="AJ586" s="33">
        <f>IF(Z586&lt;=0,0,MAX(0,MIN(Z586,ROUND($AZ586-SUMPRODUCT($V586:$AE586*($V586:$AE586&gt;0)*(($V$3:$AE$3&gt;Z$3)+($V$3:$AE$3=Z$3)*($V586:$AE586&lt;Z586)+($V$3:$AE$3=Z$3)*($V586:$AE586=Z586)*($V$2:$AE$2&lt;Z$2))),2))))</f>
      </c>
      <c r="AK586" s="33">
        <f>IF(AA586&lt;=0,0,MAX(0,MIN(AA586,ROUND($AZ586-SUMPRODUCT($V586:$AE586*($V586:$AE586&gt;0)*(($V$3:$AE$3&gt;AA$3)+($V$3:$AE$3=AA$3)*($V586:$AE586&lt;AA586)+($V$3:$AE$3=AA$3)*($V586:$AE586=AA586)*($V$2:$AE$2&lt;AA$2))),2))))</f>
      </c>
      <c r="AL586" s="33">
        <f>IF(AB586&lt;=0,0,MAX(0,MIN(AB586,ROUND($AZ586-SUMPRODUCT($V586:$AE586*($V586:$AE586&gt;0)*(($V$3:$AE$3&gt;AB$3)+($V$3:$AE$3=AB$3)*($V586:$AE586&lt;AB586)+($V$3:$AE$3=AB$3)*($V586:$AE586=AB586)*($V$2:$AE$2&lt;AB$2))),2))))</f>
      </c>
      <c r="AM586" s="33">
        <f>IF(AC586&lt;=0,0,MAX(0,MIN(AC586,ROUND($AZ586-SUMPRODUCT($V586:$AE586*($V586:$AE586&gt;0)*(($V$3:$AE$3&gt;AC$3)+($V$3:$AE$3=AC$3)*($V586:$AE586&lt;AC586)+($V$3:$AE$3=AC$3)*($V586:$AE586=AC586)*($V$2:$AE$2&lt;AC$2))),2))))</f>
      </c>
      <c r="AN586" s="33">
        <f>IF(AD586&lt;=0,0,MAX(0,MIN(AD586,ROUND($AZ586-SUMPRODUCT($V586:$AE586*($V586:$AE586&gt;0)*(($V$3:$AE$3&gt;AD$3)+($V$3:$AE$3=AD$3)*($V586:$AE586&lt;AD586)+($V$3:$AE$3=AD$3)*($V586:$AE586=AD586)*($V$2:$AE$2&lt;AD$2))),2))))</f>
      </c>
      <c r="AO586" s="33">
        <f>IF(AE586&lt;=0,0,MAX(0,MIN(AE586,ROUND($AZ586-SUMPRODUCT($V586:$AE586*($V586:$AE586&gt;0)*(($V$3:$AE$3&gt;AE$3)+($V$3:$AE$3=AE$3)*($V586:$AE586&lt;AE586)+($V$3:$AE$3=AE$3)*($V586:$AE586=AE586)*($V$2:$AE$2&lt;AE$2))),2))))</f>
      </c>
      <c r="AP586" s="33">
        <f>ROUND(V586-AF586,2)</f>
      </c>
      <c r="AQ586" s="33">
        <f>ROUND(W586-AG586,2)</f>
      </c>
      <c r="AR586" s="33">
        <f>ROUND(X586-AH586,2)</f>
      </c>
      <c r="AS586" s="33">
        <f>ROUND(Y586-AI586,2)</f>
      </c>
      <c r="AT586" s="33">
        <f>ROUND(Z586-AJ586,2)</f>
      </c>
      <c r="AU586" s="33">
        <f>ROUND(AA586-AK586,2)</f>
      </c>
      <c r="AV586" s="33">
        <f>ROUND(AB586-AL586,2)</f>
      </c>
      <c r="AW586" s="33">
        <f>ROUND(AC586-AM586,2)</f>
      </c>
      <c r="AX586" s="33">
        <f>ROUND(AD586-AN586,2)</f>
      </c>
      <c r="AY586" s="33">
        <f>ROUND(AE586-AO586,2)</f>
      </c>
      <c r="AZ586" s="33">
        <f>ROUND(MAX(0,'Your debts'!$D$22-SUM($L586:$U586)),2)</f>
      </c>
      <c r="BA586" s="33">
        <f>ROUND(SUM($B586:$K586)-SUM($AP585:$AY585),2)</f>
      </c>
      <c r="BB586" s="33">
        <f>SUM($AP586:$AY586)</f>
      </c>
      <c r="BC586" s="33">
        <f>ROUND(SUM($L586:$U586)+SUM($AF586:$AO586),2)</f>
      </c>
    </row>
    <row r="587" spans="1:55" x14ac:dyDescent="0.25">
      <c r="A587">
        <v>580</v>
      </c>
      <c r="B587" s="33">
        <f>IF(AP586&lt;=0,0,ROUND(AP586+ROUND(AP586*V$3/12,2),2))</f>
      </c>
      <c r="C587" s="33">
        <f>IF(AQ586&lt;=0,0,ROUND(AQ586+ROUND(AQ586*W$3/12,2),2))</f>
      </c>
      <c r="D587" s="33">
        <f>IF(AR586&lt;=0,0,ROUND(AR586+ROUND(AR586*X$3/12,2),2))</f>
      </c>
      <c r="E587" s="33">
        <f>IF(AS586&lt;=0,0,ROUND(AS586+ROUND(AS586*Y$3/12,2),2))</f>
      </c>
      <c r="F587" s="33">
        <f>IF(AT586&lt;=0,0,ROUND(AT586+ROUND(AT586*Z$3/12,2),2))</f>
      </c>
      <c r="G587" s="33">
        <f>IF(AU586&lt;=0,0,ROUND(AU586+ROUND(AU586*AA$3/12,2),2))</f>
      </c>
      <c r="H587" s="33">
        <f>IF(AV586&lt;=0,0,ROUND(AV586+ROUND(AV586*AB$3/12,2),2))</f>
      </c>
      <c r="I587" s="33">
        <f>IF(AW586&lt;=0,0,ROUND(AW586+ROUND(AW586*AC$3/12,2),2))</f>
      </c>
      <c r="J587" s="33">
        <f>IF(AX586&lt;=0,0,ROUND(AX586+ROUND(AX586*AD$3/12,2),2))</f>
      </c>
      <c r="K587" s="33">
        <f>IF(AY586&lt;=0,0,ROUND(AY586+ROUND(AY586*AE$3/12,2),2))</f>
      </c>
      <c r="L587" s="33">
        <f>ROUND(MIN(MAX(0,N('Your debts'!$E$6)),B587),2)</f>
      </c>
      <c r="M587" s="33">
        <f>ROUND(MIN(MAX(0,N('Your debts'!$E$7)),C587),2)</f>
      </c>
      <c r="N587" s="33">
        <f>ROUND(MIN(MAX(0,N('Your debts'!$E$8)),D587),2)</f>
      </c>
      <c r="O587" s="33">
        <f>ROUND(MIN(MAX(0,N('Your debts'!$E$9)),E587),2)</f>
      </c>
      <c r="P587" s="33">
        <f>ROUND(MIN(MAX(0,N('Your debts'!$E$10)),F587),2)</f>
      </c>
      <c r="Q587" s="33">
        <f>ROUND(MIN(MAX(0,N('Your debts'!$E$11)),G587),2)</f>
      </c>
      <c r="R587" s="33">
        <f>ROUND(MIN(MAX(0,N('Your debts'!$E$12)),H587),2)</f>
      </c>
      <c r="S587" s="33">
        <f>ROUND(MIN(MAX(0,N('Your debts'!$E$13)),I587),2)</f>
      </c>
      <c r="T587" s="33">
        <f>ROUND(MIN(MAX(0,N('Your debts'!$E$14)),J587),2)</f>
      </c>
      <c r="U587" s="33">
        <f>ROUND(MIN(MAX(0,N('Your debts'!$E$15)),K587),2)</f>
      </c>
      <c r="V587" s="33">
        <f>ROUND(B587-L587,2)</f>
      </c>
      <c r="W587" s="33">
        <f>ROUND(C587-M587,2)</f>
      </c>
      <c r="X587" s="33">
        <f>ROUND(D587-N587,2)</f>
      </c>
      <c r="Y587" s="33">
        <f>ROUND(E587-O587,2)</f>
      </c>
      <c r="Z587" s="33">
        <f>ROUND(F587-P587,2)</f>
      </c>
      <c r="AA587" s="33">
        <f>ROUND(G587-Q587,2)</f>
      </c>
      <c r="AB587" s="33">
        <f>ROUND(H587-R587,2)</f>
      </c>
      <c r="AC587" s="33">
        <f>ROUND(I587-S587,2)</f>
      </c>
      <c r="AD587" s="33">
        <f>ROUND(J587-T587,2)</f>
      </c>
      <c r="AE587" s="33">
        <f>ROUND(K587-U587,2)</f>
      </c>
      <c r="AF587" s="33">
        <f>IF(V587&lt;=0,0,MAX(0,MIN(V587,ROUND($AZ587-SUMPRODUCT($V587:$AE587*($V587:$AE587&gt;0)*(($V$3:$AE$3&gt;V$3)+($V$3:$AE$3=V$3)*($V587:$AE587&lt;V587)+($V$3:$AE$3=V$3)*($V587:$AE587=V587)*($V$2:$AE$2&lt;V$2))),2))))</f>
      </c>
      <c r="AG587" s="33">
        <f>IF(W587&lt;=0,0,MAX(0,MIN(W587,ROUND($AZ587-SUMPRODUCT($V587:$AE587*($V587:$AE587&gt;0)*(($V$3:$AE$3&gt;W$3)+($V$3:$AE$3=W$3)*($V587:$AE587&lt;W587)+($V$3:$AE$3=W$3)*($V587:$AE587=W587)*($V$2:$AE$2&lt;W$2))),2))))</f>
      </c>
      <c r="AH587" s="33">
        <f>IF(X587&lt;=0,0,MAX(0,MIN(X587,ROUND($AZ587-SUMPRODUCT($V587:$AE587*($V587:$AE587&gt;0)*(($V$3:$AE$3&gt;X$3)+($V$3:$AE$3=X$3)*($V587:$AE587&lt;X587)+($V$3:$AE$3=X$3)*($V587:$AE587=X587)*($V$2:$AE$2&lt;X$2))),2))))</f>
      </c>
      <c r="AI587" s="33">
        <f>IF(Y587&lt;=0,0,MAX(0,MIN(Y587,ROUND($AZ587-SUMPRODUCT($V587:$AE587*($V587:$AE587&gt;0)*(($V$3:$AE$3&gt;Y$3)+($V$3:$AE$3=Y$3)*($V587:$AE587&lt;Y587)+($V$3:$AE$3=Y$3)*($V587:$AE587=Y587)*($V$2:$AE$2&lt;Y$2))),2))))</f>
      </c>
      <c r="AJ587" s="33">
        <f>IF(Z587&lt;=0,0,MAX(0,MIN(Z587,ROUND($AZ587-SUMPRODUCT($V587:$AE587*($V587:$AE587&gt;0)*(($V$3:$AE$3&gt;Z$3)+($V$3:$AE$3=Z$3)*($V587:$AE587&lt;Z587)+($V$3:$AE$3=Z$3)*($V587:$AE587=Z587)*($V$2:$AE$2&lt;Z$2))),2))))</f>
      </c>
      <c r="AK587" s="33">
        <f>IF(AA587&lt;=0,0,MAX(0,MIN(AA587,ROUND($AZ587-SUMPRODUCT($V587:$AE587*($V587:$AE587&gt;0)*(($V$3:$AE$3&gt;AA$3)+($V$3:$AE$3=AA$3)*($V587:$AE587&lt;AA587)+($V$3:$AE$3=AA$3)*($V587:$AE587=AA587)*($V$2:$AE$2&lt;AA$2))),2))))</f>
      </c>
      <c r="AL587" s="33">
        <f>IF(AB587&lt;=0,0,MAX(0,MIN(AB587,ROUND($AZ587-SUMPRODUCT($V587:$AE587*($V587:$AE587&gt;0)*(($V$3:$AE$3&gt;AB$3)+($V$3:$AE$3=AB$3)*($V587:$AE587&lt;AB587)+($V$3:$AE$3=AB$3)*($V587:$AE587=AB587)*($V$2:$AE$2&lt;AB$2))),2))))</f>
      </c>
      <c r="AM587" s="33">
        <f>IF(AC587&lt;=0,0,MAX(0,MIN(AC587,ROUND($AZ587-SUMPRODUCT($V587:$AE587*($V587:$AE587&gt;0)*(($V$3:$AE$3&gt;AC$3)+($V$3:$AE$3=AC$3)*($V587:$AE587&lt;AC587)+($V$3:$AE$3=AC$3)*($V587:$AE587=AC587)*($V$2:$AE$2&lt;AC$2))),2))))</f>
      </c>
      <c r="AN587" s="33">
        <f>IF(AD587&lt;=0,0,MAX(0,MIN(AD587,ROUND($AZ587-SUMPRODUCT($V587:$AE587*($V587:$AE587&gt;0)*(($V$3:$AE$3&gt;AD$3)+($V$3:$AE$3=AD$3)*($V587:$AE587&lt;AD587)+($V$3:$AE$3=AD$3)*($V587:$AE587=AD587)*($V$2:$AE$2&lt;AD$2))),2))))</f>
      </c>
      <c r="AO587" s="33">
        <f>IF(AE587&lt;=0,0,MAX(0,MIN(AE587,ROUND($AZ587-SUMPRODUCT($V587:$AE587*($V587:$AE587&gt;0)*(($V$3:$AE$3&gt;AE$3)+($V$3:$AE$3=AE$3)*($V587:$AE587&lt;AE587)+($V$3:$AE$3=AE$3)*($V587:$AE587=AE587)*($V$2:$AE$2&lt;AE$2))),2))))</f>
      </c>
      <c r="AP587" s="33">
        <f>ROUND(V587-AF587,2)</f>
      </c>
      <c r="AQ587" s="33">
        <f>ROUND(W587-AG587,2)</f>
      </c>
      <c r="AR587" s="33">
        <f>ROUND(X587-AH587,2)</f>
      </c>
      <c r="AS587" s="33">
        <f>ROUND(Y587-AI587,2)</f>
      </c>
      <c r="AT587" s="33">
        <f>ROUND(Z587-AJ587,2)</f>
      </c>
      <c r="AU587" s="33">
        <f>ROUND(AA587-AK587,2)</f>
      </c>
      <c r="AV587" s="33">
        <f>ROUND(AB587-AL587,2)</f>
      </c>
      <c r="AW587" s="33">
        <f>ROUND(AC587-AM587,2)</f>
      </c>
      <c r="AX587" s="33">
        <f>ROUND(AD587-AN587,2)</f>
      </c>
      <c r="AY587" s="33">
        <f>ROUND(AE587-AO587,2)</f>
      </c>
      <c r="AZ587" s="33">
        <f>ROUND(MAX(0,'Your debts'!$D$22-SUM($L587:$U587)),2)</f>
      </c>
      <c r="BA587" s="33">
        <f>ROUND(SUM($B587:$K587)-SUM($AP586:$AY586),2)</f>
      </c>
      <c r="BB587" s="33">
        <f>SUM($AP587:$AY587)</f>
      </c>
      <c r="BC587" s="33">
        <f>ROUND(SUM($L587:$U587)+SUM($AF587:$AO587),2)</f>
      </c>
    </row>
    <row r="588" spans="1:55" x14ac:dyDescent="0.25">
      <c r="A588">
        <v>581</v>
      </c>
      <c r="B588" s="33">
        <f>IF(AP587&lt;=0,0,ROUND(AP587+ROUND(AP587*V$3/12,2),2))</f>
      </c>
      <c r="C588" s="33">
        <f>IF(AQ587&lt;=0,0,ROUND(AQ587+ROUND(AQ587*W$3/12,2),2))</f>
      </c>
      <c r="D588" s="33">
        <f>IF(AR587&lt;=0,0,ROUND(AR587+ROUND(AR587*X$3/12,2),2))</f>
      </c>
      <c r="E588" s="33">
        <f>IF(AS587&lt;=0,0,ROUND(AS587+ROUND(AS587*Y$3/12,2),2))</f>
      </c>
      <c r="F588" s="33">
        <f>IF(AT587&lt;=0,0,ROUND(AT587+ROUND(AT587*Z$3/12,2),2))</f>
      </c>
      <c r="G588" s="33">
        <f>IF(AU587&lt;=0,0,ROUND(AU587+ROUND(AU587*AA$3/12,2),2))</f>
      </c>
      <c r="H588" s="33">
        <f>IF(AV587&lt;=0,0,ROUND(AV587+ROUND(AV587*AB$3/12,2),2))</f>
      </c>
      <c r="I588" s="33">
        <f>IF(AW587&lt;=0,0,ROUND(AW587+ROUND(AW587*AC$3/12,2),2))</f>
      </c>
      <c r="J588" s="33">
        <f>IF(AX587&lt;=0,0,ROUND(AX587+ROUND(AX587*AD$3/12,2),2))</f>
      </c>
      <c r="K588" s="33">
        <f>IF(AY587&lt;=0,0,ROUND(AY587+ROUND(AY587*AE$3/12,2),2))</f>
      </c>
      <c r="L588" s="33">
        <f>ROUND(MIN(MAX(0,N('Your debts'!$E$6)),B588),2)</f>
      </c>
      <c r="M588" s="33">
        <f>ROUND(MIN(MAX(0,N('Your debts'!$E$7)),C588),2)</f>
      </c>
      <c r="N588" s="33">
        <f>ROUND(MIN(MAX(0,N('Your debts'!$E$8)),D588),2)</f>
      </c>
      <c r="O588" s="33">
        <f>ROUND(MIN(MAX(0,N('Your debts'!$E$9)),E588),2)</f>
      </c>
      <c r="P588" s="33">
        <f>ROUND(MIN(MAX(0,N('Your debts'!$E$10)),F588),2)</f>
      </c>
      <c r="Q588" s="33">
        <f>ROUND(MIN(MAX(0,N('Your debts'!$E$11)),G588),2)</f>
      </c>
      <c r="R588" s="33">
        <f>ROUND(MIN(MAX(0,N('Your debts'!$E$12)),H588),2)</f>
      </c>
      <c r="S588" s="33">
        <f>ROUND(MIN(MAX(0,N('Your debts'!$E$13)),I588),2)</f>
      </c>
      <c r="T588" s="33">
        <f>ROUND(MIN(MAX(0,N('Your debts'!$E$14)),J588),2)</f>
      </c>
      <c r="U588" s="33">
        <f>ROUND(MIN(MAX(0,N('Your debts'!$E$15)),K588),2)</f>
      </c>
      <c r="V588" s="33">
        <f>ROUND(B588-L588,2)</f>
      </c>
      <c r="W588" s="33">
        <f>ROUND(C588-M588,2)</f>
      </c>
      <c r="X588" s="33">
        <f>ROUND(D588-N588,2)</f>
      </c>
      <c r="Y588" s="33">
        <f>ROUND(E588-O588,2)</f>
      </c>
      <c r="Z588" s="33">
        <f>ROUND(F588-P588,2)</f>
      </c>
      <c r="AA588" s="33">
        <f>ROUND(G588-Q588,2)</f>
      </c>
      <c r="AB588" s="33">
        <f>ROUND(H588-R588,2)</f>
      </c>
      <c r="AC588" s="33">
        <f>ROUND(I588-S588,2)</f>
      </c>
      <c r="AD588" s="33">
        <f>ROUND(J588-T588,2)</f>
      </c>
      <c r="AE588" s="33">
        <f>ROUND(K588-U588,2)</f>
      </c>
      <c r="AF588" s="33">
        <f>IF(V588&lt;=0,0,MAX(0,MIN(V588,ROUND($AZ588-SUMPRODUCT($V588:$AE588*($V588:$AE588&gt;0)*(($V$3:$AE$3&gt;V$3)+($V$3:$AE$3=V$3)*($V588:$AE588&lt;V588)+($V$3:$AE$3=V$3)*($V588:$AE588=V588)*($V$2:$AE$2&lt;V$2))),2))))</f>
      </c>
      <c r="AG588" s="33">
        <f>IF(W588&lt;=0,0,MAX(0,MIN(W588,ROUND($AZ588-SUMPRODUCT($V588:$AE588*($V588:$AE588&gt;0)*(($V$3:$AE$3&gt;W$3)+($V$3:$AE$3=W$3)*($V588:$AE588&lt;W588)+($V$3:$AE$3=W$3)*($V588:$AE588=W588)*($V$2:$AE$2&lt;W$2))),2))))</f>
      </c>
      <c r="AH588" s="33">
        <f>IF(X588&lt;=0,0,MAX(0,MIN(X588,ROUND($AZ588-SUMPRODUCT($V588:$AE588*($V588:$AE588&gt;0)*(($V$3:$AE$3&gt;X$3)+($V$3:$AE$3=X$3)*($V588:$AE588&lt;X588)+($V$3:$AE$3=X$3)*($V588:$AE588=X588)*($V$2:$AE$2&lt;X$2))),2))))</f>
      </c>
      <c r="AI588" s="33">
        <f>IF(Y588&lt;=0,0,MAX(0,MIN(Y588,ROUND($AZ588-SUMPRODUCT($V588:$AE588*($V588:$AE588&gt;0)*(($V$3:$AE$3&gt;Y$3)+($V$3:$AE$3=Y$3)*($V588:$AE588&lt;Y588)+($V$3:$AE$3=Y$3)*($V588:$AE588=Y588)*($V$2:$AE$2&lt;Y$2))),2))))</f>
      </c>
      <c r="AJ588" s="33">
        <f>IF(Z588&lt;=0,0,MAX(0,MIN(Z588,ROUND($AZ588-SUMPRODUCT($V588:$AE588*($V588:$AE588&gt;0)*(($V$3:$AE$3&gt;Z$3)+($V$3:$AE$3=Z$3)*($V588:$AE588&lt;Z588)+($V$3:$AE$3=Z$3)*($V588:$AE588=Z588)*($V$2:$AE$2&lt;Z$2))),2))))</f>
      </c>
      <c r="AK588" s="33">
        <f>IF(AA588&lt;=0,0,MAX(0,MIN(AA588,ROUND($AZ588-SUMPRODUCT($V588:$AE588*($V588:$AE588&gt;0)*(($V$3:$AE$3&gt;AA$3)+($V$3:$AE$3=AA$3)*($V588:$AE588&lt;AA588)+($V$3:$AE$3=AA$3)*($V588:$AE588=AA588)*($V$2:$AE$2&lt;AA$2))),2))))</f>
      </c>
      <c r="AL588" s="33">
        <f>IF(AB588&lt;=0,0,MAX(0,MIN(AB588,ROUND($AZ588-SUMPRODUCT($V588:$AE588*($V588:$AE588&gt;0)*(($V$3:$AE$3&gt;AB$3)+($V$3:$AE$3=AB$3)*($V588:$AE588&lt;AB588)+($V$3:$AE$3=AB$3)*($V588:$AE588=AB588)*($V$2:$AE$2&lt;AB$2))),2))))</f>
      </c>
      <c r="AM588" s="33">
        <f>IF(AC588&lt;=0,0,MAX(0,MIN(AC588,ROUND($AZ588-SUMPRODUCT($V588:$AE588*($V588:$AE588&gt;0)*(($V$3:$AE$3&gt;AC$3)+($V$3:$AE$3=AC$3)*($V588:$AE588&lt;AC588)+($V$3:$AE$3=AC$3)*($V588:$AE588=AC588)*($V$2:$AE$2&lt;AC$2))),2))))</f>
      </c>
      <c r="AN588" s="33">
        <f>IF(AD588&lt;=0,0,MAX(0,MIN(AD588,ROUND($AZ588-SUMPRODUCT($V588:$AE588*($V588:$AE588&gt;0)*(($V$3:$AE$3&gt;AD$3)+($V$3:$AE$3=AD$3)*($V588:$AE588&lt;AD588)+($V$3:$AE$3=AD$3)*($V588:$AE588=AD588)*($V$2:$AE$2&lt;AD$2))),2))))</f>
      </c>
      <c r="AO588" s="33">
        <f>IF(AE588&lt;=0,0,MAX(0,MIN(AE588,ROUND($AZ588-SUMPRODUCT($V588:$AE588*($V588:$AE588&gt;0)*(($V$3:$AE$3&gt;AE$3)+($V$3:$AE$3=AE$3)*($V588:$AE588&lt;AE588)+($V$3:$AE$3=AE$3)*($V588:$AE588=AE588)*($V$2:$AE$2&lt;AE$2))),2))))</f>
      </c>
      <c r="AP588" s="33">
        <f>ROUND(V588-AF588,2)</f>
      </c>
      <c r="AQ588" s="33">
        <f>ROUND(W588-AG588,2)</f>
      </c>
      <c r="AR588" s="33">
        <f>ROUND(X588-AH588,2)</f>
      </c>
      <c r="AS588" s="33">
        <f>ROUND(Y588-AI588,2)</f>
      </c>
      <c r="AT588" s="33">
        <f>ROUND(Z588-AJ588,2)</f>
      </c>
      <c r="AU588" s="33">
        <f>ROUND(AA588-AK588,2)</f>
      </c>
      <c r="AV588" s="33">
        <f>ROUND(AB588-AL588,2)</f>
      </c>
      <c r="AW588" s="33">
        <f>ROUND(AC588-AM588,2)</f>
      </c>
      <c r="AX588" s="33">
        <f>ROUND(AD588-AN588,2)</f>
      </c>
      <c r="AY588" s="33">
        <f>ROUND(AE588-AO588,2)</f>
      </c>
      <c r="AZ588" s="33">
        <f>ROUND(MAX(0,'Your debts'!$D$22-SUM($L588:$U588)),2)</f>
      </c>
      <c r="BA588" s="33">
        <f>ROUND(SUM($B588:$K588)-SUM($AP587:$AY587),2)</f>
      </c>
      <c r="BB588" s="33">
        <f>SUM($AP588:$AY588)</f>
      </c>
      <c r="BC588" s="33">
        <f>ROUND(SUM($L588:$U588)+SUM($AF588:$AO588),2)</f>
      </c>
    </row>
    <row r="589" spans="1:55" x14ac:dyDescent="0.25">
      <c r="A589">
        <v>582</v>
      </c>
      <c r="B589" s="33">
        <f>IF(AP588&lt;=0,0,ROUND(AP588+ROUND(AP588*V$3/12,2),2))</f>
      </c>
      <c r="C589" s="33">
        <f>IF(AQ588&lt;=0,0,ROUND(AQ588+ROUND(AQ588*W$3/12,2),2))</f>
      </c>
      <c r="D589" s="33">
        <f>IF(AR588&lt;=0,0,ROUND(AR588+ROUND(AR588*X$3/12,2),2))</f>
      </c>
      <c r="E589" s="33">
        <f>IF(AS588&lt;=0,0,ROUND(AS588+ROUND(AS588*Y$3/12,2),2))</f>
      </c>
      <c r="F589" s="33">
        <f>IF(AT588&lt;=0,0,ROUND(AT588+ROUND(AT588*Z$3/12,2),2))</f>
      </c>
      <c r="G589" s="33">
        <f>IF(AU588&lt;=0,0,ROUND(AU588+ROUND(AU588*AA$3/12,2),2))</f>
      </c>
      <c r="H589" s="33">
        <f>IF(AV588&lt;=0,0,ROUND(AV588+ROUND(AV588*AB$3/12,2),2))</f>
      </c>
      <c r="I589" s="33">
        <f>IF(AW588&lt;=0,0,ROUND(AW588+ROUND(AW588*AC$3/12,2),2))</f>
      </c>
      <c r="J589" s="33">
        <f>IF(AX588&lt;=0,0,ROUND(AX588+ROUND(AX588*AD$3/12,2),2))</f>
      </c>
      <c r="K589" s="33">
        <f>IF(AY588&lt;=0,0,ROUND(AY588+ROUND(AY588*AE$3/12,2),2))</f>
      </c>
      <c r="L589" s="33">
        <f>ROUND(MIN(MAX(0,N('Your debts'!$E$6)),B589),2)</f>
      </c>
      <c r="M589" s="33">
        <f>ROUND(MIN(MAX(0,N('Your debts'!$E$7)),C589),2)</f>
      </c>
      <c r="N589" s="33">
        <f>ROUND(MIN(MAX(0,N('Your debts'!$E$8)),D589),2)</f>
      </c>
      <c r="O589" s="33">
        <f>ROUND(MIN(MAX(0,N('Your debts'!$E$9)),E589),2)</f>
      </c>
      <c r="P589" s="33">
        <f>ROUND(MIN(MAX(0,N('Your debts'!$E$10)),F589),2)</f>
      </c>
      <c r="Q589" s="33">
        <f>ROUND(MIN(MAX(0,N('Your debts'!$E$11)),G589),2)</f>
      </c>
      <c r="R589" s="33">
        <f>ROUND(MIN(MAX(0,N('Your debts'!$E$12)),H589),2)</f>
      </c>
      <c r="S589" s="33">
        <f>ROUND(MIN(MAX(0,N('Your debts'!$E$13)),I589),2)</f>
      </c>
      <c r="T589" s="33">
        <f>ROUND(MIN(MAX(0,N('Your debts'!$E$14)),J589),2)</f>
      </c>
      <c r="U589" s="33">
        <f>ROUND(MIN(MAX(0,N('Your debts'!$E$15)),K589),2)</f>
      </c>
      <c r="V589" s="33">
        <f>ROUND(B589-L589,2)</f>
      </c>
      <c r="W589" s="33">
        <f>ROUND(C589-M589,2)</f>
      </c>
      <c r="X589" s="33">
        <f>ROUND(D589-N589,2)</f>
      </c>
      <c r="Y589" s="33">
        <f>ROUND(E589-O589,2)</f>
      </c>
      <c r="Z589" s="33">
        <f>ROUND(F589-P589,2)</f>
      </c>
      <c r="AA589" s="33">
        <f>ROUND(G589-Q589,2)</f>
      </c>
      <c r="AB589" s="33">
        <f>ROUND(H589-R589,2)</f>
      </c>
      <c r="AC589" s="33">
        <f>ROUND(I589-S589,2)</f>
      </c>
      <c r="AD589" s="33">
        <f>ROUND(J589-T589,2)</f>
      </c>
      <c r="AE589" s="33">
        <f>ROUND(K589-U589,2)</f>
      </c>
      <c r="AF589" s="33">
        <f>IF(V589&lt;=0,0,MAX(0,MIN(V589,ROUND($AZ589-SUMPRODUCT($V589:$AE589*($V589:$AE589&gt;0)*(($V$3:$AE$3&gt;V$3)+($V$3:$AE$3=V$3)*($V589:$AE589&lt;V589)+($V$3:$AE$3=V$3)*($V589:$AE589=V589)*($V$2:$AE$2&lt;V$2))),2))))</f>
      </c>
      <c r="AG589" s="33">
        <f>IF(W589&lt;=0,0,MAX(0,MIN(W589,ROUND($AZ589-SUMPRODUCT($V589:$AE589*($V589:$AE589&gt;0)*(($V$3:$AE$3&gt;W$3)+($V$3:$AE$3=W$3)*($V589:$AE589&lt;W589)+($V$3:$AE$3=W$3)*($V589:$AE589=W589)*($V$2:$AE$2&lt;W$2))),2))))</f>
      </c>
      <c r="AH589" s="33">
        <f>IF(X589&lt;=0,0,MAX(0,MIN(X589,ROUND($AZ589-SUMPRODUCT($V589:$AE589*($V589:$AE589&gt;0)*(($V$3:$AE$3&gt;X$3)+($V$3:$AE$3=X$3)*($V589:$AE589&lt;X589)+($V$3:$AE$3=X$3)*($V589:$AE589=X589)*($V$2:$AE$2&lt;X$2))),2))))</f>
      </c>
      <c r="AI589" s="33">
        <f>IF(Y589&lt;=0,0,MAX(0,MIN(Y589,ROUND($AZ589-SUMPRODUCT($V589:$AE589*($V589:$AE589&gt;0)*(($V$3:$AE$3&gt;Y$3)+($V$3:$AE$3=Y$3)*($V589:$AE589&lt;Y589)+($V$3:$AE$3=Y$3)*($V589:$AE589=Y589)*($V$2:$AE$2&lt;Y$2))),2))))</f>
      </c>
      <c r="AJ589" s="33">
        <f>IF(Z589&lt;=0,0,MAX(0,MIN(Z589,ROUND($AZ589-SUMPRODUCT($V589:$AE589*($V589:$AE589&gt;0)*(($V$3:$AE$3&gt;Z$3)+($V$3:$AE$3=Z$3)*($V589:$AE589&lt;Z589)+($V$3:$AE$3=Z$3)*($V589:$AE589=Z589)*($V$2:$AE$2&lt;Z$2))),2))))</f>
      </c>
      <c r="AK589" s="33">
        <f>IF(AA589&lt;=0,0,MAX(0,MIN(AA589,ROUND($AZ589-SUMPRODUCT($V589:$AE589*($V589:$AE589&gt;0)*(($V$3:$AE$3&gt;AA$3)+($V$3:$AE$3=AA$3)*($V589:$AE589&lt;AA589)+($V$3:$AE$3=AA$3)*($V589:$AE589=AA589)*($V$2:$AE$2&lt;AA$2))),2))))</f>
      </c>
      <c r="AL589" s="33">
        <f>IF(AB589&lt;=0,0,MAX(0,MIN(AB589,ROUND($AZ589-SUMPRODUCT($V589:$AE589*($V589:$AE589&gt;0)*(($V$3:$AE$3&gt;AB$3)+($V$3:$AE$3=AB$3)*($V589:$AE589&lt;AB589)+($V$3:$AE$3=AB$3)*($V589:$AE589=AB589)*($V$2:$AE$2&lt;AB$2))),2))))</f>
      </c>
      <c r="AM589" s="33">
        <f>IF(AC589&lt;=0,0,MAX(0,MIN(AC589,ROUND($AZ589-SUMPRODUCT($V589:$AE589*($V589:$AE589&gt;0)*(($V$3:$AE$3&gt;AC$3)+($V$3:$AE$3=AC$3)*($V589:$AE589&lt;AC589)+($V$3:$AE$3=AC$3)*($V589:$AE589=AC589)*($V$2:$AE$2&lt;AC$2))),2))))</f>
      </c>
      <c r="AN589" s="33">
        <f>IF(AD589&lt;=0,0,MAX(0,MIN(AD589,ROUND($AZ589-SUMPRODUCT($V589:$AE589*($V589:$AE589&gt;0)*(($V$3:$AE$3&gt;AD$3)+($V$3:$AE$3=AD$3)*($V589:$AE589&lt;AD589)+($V$3:$AE$3=AD$3)*($V589:$AE589=AD589)*($V$2:$AE$2&lt;AD$2))),2))))</f>
      </c>
      <c r="AO589" s="33">
        <f>IF(AE589&lt;=0,0,MAX(0,MIN(AE589,ROUND($AZ589-SUMPRODUCT($V589:$AE589*($V589:$AE589&gt;0)*(($V$3:$AE$3&gt;AE$3)+($V$3:$AE$3=AE$3)*($V589:$AE589&lt;AE589)+($V$3:$AE$3=AE$3)*($V589:$AE589=AE589)*($V$2:$AE$2&lt;AE$2))),2))))</f>
      </c>
      <c r="AP589" s="33">
        <f>ROUND(V589-AF589,2)</f>
      </c>
      <c r="AQ589" s="33">
        <f>ROUND(W589-AG589,2)</f>
      </c>
      <c r="AR589" s="33">
        <f>ROUND(X589-AH589,2)</f>
      </c>
      <c r="AS589" s="33">
        <f>ROUND(Y589-AI589,2)</f>
      </c>
      <c r="AT589" s="33">
        <f>ROUND(Z589-AJ589,2)</f>
      </c>
      <c r="AU589" s="33">
        <f>ROUND(AA589-AK589,2)</f>
      </c>
      <c r="AV589" s="33">
        <f>ROUND(AB589-AL589,2)</f>
      </c>
      <c r="AW589" s="33">
        <f>ROUND(AC589-AM589,2)</f>
      </c>
      <c r="AX589" s="33">
        <f>ROUND(AD589-AN589,2)</f>
      </c>
      <c r="AY589" s="33">
        <f>ROUND(AE589-AO589,2)</f>
      </c>
      <c r="AZ589" s="33">
        <f>ROUND(MAX(0,'Your debts'!$D$22-SUM($L589:$U589)),2)</f>
      </c>
      <c r="BA589" s="33">
        <f>ROUND(SUM($B589:$K589)-SUM($AP588:$AY588),2)</f>
      </c>
      <c r="BB589" s="33">
        <f>SUM($AP589:$AY589)</f>
      </c>
      <c r="BC589" s="33">
        <f>ROUND(SUM($L589:$U589)+SUM($AF589:$AO589),2)</f>
      </c>
    </row>
    <row r="590" spans="1:55" x14ac:dyDescent="0.25">
      <c r="A590">
        <v>583</v>
      </c>
      <c r="B590" s="33">
        <f>IF(AP589&lt;=0,0,ROUND(AP589+ROUND(AP589*V$3/12,2),2))</f>
      </c>
      <c r="C590" s="33">
        <f>IF(AQ589&lt;=0,0,ROUND(AQ589+ROUND(AQ589*W$3/12,2),2))</f>
      </c>
      <c r="D590" s="33">
        <f>IF(AR589&lt;=0,0,ROUND(AR589+ROUND(AR589*X$3/12,2),2))</f>
      </c>
      <c r="E590" s="33">
        <f>IF(AS589&lt;=0,0,ROUND(AS589+ROUND(AS589*Y$3/12,2),2))</f>
      </c>
      <c r="F590" s="33">
        <f>IF(AT589&lt;=0,0,ROUND(AT589+ROUND(AT589*Z$3/12,2),2))</f>
      </c>
      <c r="G590" s="33">
        <f>IF(AU589&lt;=0,0,ROUND(AU589+ROUND(AU589*AA$3/12,2),2))</f>
      </c>
      <c r="H590" s="33">
        <f>IF(AV589&lt;=0,0,ROUND(AV589+ROUND(AV589*AB$3/12,2),2))</f>
      </c>
      <c r="I590" s="33">
        <f>IF(AW589&lt;=0,0,ROUND(AW589+ROUND(AW589*AC$3/12,2),2))</f>
      </c>
      <c r="J590" s="33">
        <f>IF(AX589&lt;=0,0,ROUND(AX589+ROUND(AX589*AD$3/12,2),2))</f>
      </c>
      <c r="K590" s="33">
        <f>IF(AY589&lt;=0,0,ROUND(AY589+ROUND(AY589*AE$3/12,2),2))</f>
      </c>
      <c r="L590" s="33">
        <f>ROUND(MIN(MAX(0,N('Your debts'!$E$6)),B590),2)</f>
      </c>
      <c r="M590" s="33">
        <f>ROUND(MIN(MAX(0,N('Your debts'!$E$7)),C590),2)</f>
      </c>
      <c r="N590" s="33">
        <f>ROUND(MIN(MAX(0,N('Your debts'!$E$8)),D590),2)</f>
      </c>
      <c r="O590" s="33">
        <f>ROUND(MIN(MAX(0,N('Your debts'!$E$9)),E590),2)</f>
      </c>
      <c r="P590" s="33">
        <f>ROUND(MIN(MAX(0,N('Your debts'!$E$10)),F590),2)</f>
      </c>
      <c r="Q590" s="33">
        <f>ROUND(MIN(MAX(0,N('Your debts'!$E$11)),G590),2)</f>
      </c>
      <c r="R590" s="33">
        <f>ROUND(MIN(MAX(0,N('Your debts'!$E$12)),H590),2)</f>
      </c>
      <c r="S590" s="33">
        <f>ROUND(MIN(MAX(0,N('Your debts'!$E$13)),I590),2)</f>
      </c>
      <c r="T590" s="33">
        <f>ROUND(MIN(MAX(0,N('Your debts'!$E$14)),J590),2)</f>
      </c>
      <c r="U590" s="33">
        <f>ROUND(MIN(MAX(0,N('Your debts'!$E$15)),K590),2)</f>
      </c>
      <c r="V590" s="33">
        <f>ROUND(B590-L590,2)</f>
      </c>
      <c r="W590" s="33">
        <f>ROUND(C590-M590,2)</f>
      </c>
      <c r="X590" s="33">
        <f>ROUND(D590-N590,2)</f>
      </c>
      <c r="Y590" s="33">
        <f>ROUND(E590-O590,2)</f>
      </c>
      <c r="Z590" s="33">
        <f>ROUND(F590-P590,2)</f>
      </c>
      <c r="AA590" s="33">
        <f>ROUND(G590-Q590,2)</f>
      </c>
      <c r="AB590" s="33">
        <f>ROUND(H590-R590,2)</f>
      </c>
      <c r="AC590" s="33">
        <f>ROUND(I590-S590,2)</f>
      </c>
      <c r="AD590" s="33">
        <f>ROUND(J590-T590,2)</f>
      </c>
      <c r="AE590" s="33">
        <f>ROUND(K590-U590,2)</f>
      </c>
      <c r="AF590" s="33">
        <f>IF(V590&lt;=0,0,MAX(0,MIN(V590,ROUND($AZ590-SUMPRODUCT($V590:$AE590*($V590:$AE590&gt;0)*(($V$3:$AE$3&gt;V$3)+($V$3:$AE$3=V$3)*($V590:$AE590&lt;V590)+($V$3:$AE$3=V$3)*($V590:$AE590=V590)*($V$2:$AE$2&lt;V$2))),2))))</f>
      </c>
      <c r="AG590" s="33">
        <f>IF(W590&lt;=0,0,MAX(0,MIN(W590,ROUND($AZ590-SUMPRODUCT($V590:$AE590*($V590:$AE590&gt;0)*(($V$3:$AE$3&gt;W$3)+($V$3:$AE$3=W$3)*($V590:$AE590&lt;W590)+($V$3:$AE$3=W$3)*($V590:$AE590=W590)*($V$2:$AE$2&lt;W$2))),2))))</f>
      </c>
      <c r="AH590" s="33">
        <f>IF(X590&lt;=0,0,MAX(0,MIN(X590,ROUND($AZ590-SUMPRODUCT($V590:$AE590*($V590:$AE590&gt;0)*(($V$3:$AE$3&gt;X$3)+($V$3:$AE$3=X$3)*($V590:$AE590&lt;X590)+($V$3:$AE$3=X$3)*($V590:$AE590=X590)*($V$2:$AE$2&lt;X$2))),2))))</f>
      </c>
      <c r="AI590" s="33">
        <f>IF(Y590&lt;=0,0,MAX(0,MIN(Y590,ROUND($AZ590-SUMPRODUCT($V590:$AE590*($V590:$AE590&gt;0)*(($V$3:$AE$3&gt;Y$3)+($V$3:$AE$3=Y$3)*($V590:$AE590&lt;Y590)+($V$3:$AE$3=Y$3)*($V590:$AE590=Y590)*($V$2:$AE$2&lt;Y$2))),2))))</f>
      </c>
      <c r="AJ590" s="33">
        <f>IF(Z590&lt;=0,0,MAX(0,MIN(Z590,ROUND($AZ590-SUMPRODUCT($V590:$AE590*($V590:$AE590&gt;0)*(($V$3:$AE$3&gt;Z$3)+($V$3:$AE$3=Z$3)*($V590:$AE590&lt;Z590)+($V$3:$AE$3=Z$3)*($V590:$AE590=Z590)*($V$2:$AE$2&lt;Z$2))),2))))</f>
      </c>
      <c r="AK590" s="33">
        <f>IF(AA590&lt;=0,0,MAX(0,MIN(AA590,ROUND($AZ590-SUMPRODUCT($V590:$AE590*($V590:$AE590&gt;0)*(($V$3:$AE$3&gt;AA$3)+($V$3:$AE$3=AA$3)*($V590:$AE590&lt;AA590)+($V$3:$AE$3=AA$3)*($V590:$AE590=AA590)*($V$2:$AE$2&lt;AA$2))),2))))</f>
      </c>
      <c r="AL590" s="33">
        <f>IF(AB590&lt;=0,0,MAX(0,MIN(AB590,ROUND($AZ590-SUMPRODUCT($V590:$AE590*($V590:$AE590&gt;0)*(($V$3:$AE$3&gt;AB$3)+($V$3:$AE$3=AB$3)*($V590:$AE590&lt;AB590)+($V$3:$AE$3=AB$3)*($V590:$AE590=AB590)*($V$2:$AE$2&lt;AB$2))),2))))</f>
      </c>
      <c r="AM590" s="33">
        <f>IF(AC590&lt;=0,0,MAX(0,MIN(AC590,ROUND($AZ590-SUMPRODUCT($V590:$AE590*($V590:$AE590&gt;0)*(($V$3:$AE$3&gt;AC$3)+($V$3:$AE$3=AC$3)*($V590:$AE590&lt;AC590)+($V$3:$AE$3=AC$3)*($V590:$AE590=AC590)*($V$2:$AE$2&lt;AC$2))),2))))</f>
      </c>
      <c r="AN590" s="33">
        <f>IF(AD590&lt;=0,0,MAX(0,MIN(AD590,ROUND($AZ590-SUMPRODUCT($V590:$AE590*($V590:$AE590&gt;0)*(($V$3:$AE$3&gt;AD$3)+($V$3:$AE$3=AD$3)*($V590:$AE590&lt;AD590)+($V$3:$AE$3=AD$3)*($V590:$AE590=AD590)*($V$2:$AE$2&lt;AD$2))),2))))</f>
      </c>
      <c r="AO590" s="33">
        <f>IF(AE590&lt;=0,0,MAX(0,MIN(AE590,ROUND($AZ590-SUMPRODUCT($V590:$AE590*($V590:$AE590&gt;0)*(($V$3:$AE$3&gt;AE$3)+($V$3:$AE$3=AE$3)*($V590:$AE590&lt;AE590)+($V$3:$AE$3=AE$3)*($V590:$AE590=AE590)*($V$2:$AE$2&lt;AE$2))),2))))</f>
      </c>
      <c r="AP590" s="33">
        <f>ROUND(V590-AF590,2)</f>
      </c>
      <c r="AQ590" s="33">
        <f>ROUND(W590-AG590,2)</f>
      </c>
      <c r="AR590" s="33">
        <f>ROUND(X590-AH590,2)</f>
      </c>
      <c r="AS590" s="33">
        <f>ROUND(Y590-AI590,2)</f>
      </c>
      <c r="AT590" s="33">
        <f>ROUND(Z590-AJ590,2)</f>
      </c>
      <c r="AU590" s="33">
        <f>ROUND(AA590-AK590,2)</f>
      </c>
      <c r="AV590" s="33">
        <f>ROUND(AB590-AL590,2)</f>
      </c>
      <c r="AW590" s="33">
        <f>ROUND(AC590-AM590,2)</f>
      </c>
      <c r="AX590" s="33">
        <f>ROUND(AD590-AN590,2)</f>
      </c>
      <c r="AY590" s="33">
        <f>ROUND(AE590-AO590,2)</f>
      </c>
      <c r="AZ590" s="33">
        <f>ROUND(MAX(0,'Your debts'!$D$22-SUM($L590:$U590)),2)</f>
      </c>
      <c r="BA590" s="33">
        <f>ROUND(SUM($B590:$K590)-SUM($AP589:$AY589),2)</f>
      </c>
      <c r="BB590" s="33">
        <f>SUM($AP590:$AY590)</f>
      </c>
      <c r="BC590" s="33">
        <f>ROUND(SUM($L590:$U590)+SUM($AF590:$AO590),2)</f>
      </c>
    </row>
    <row r="591" spans="1:55" x14ac:dyDescent="0.25">
      <c r="A591">
        <v>584</v>
      </c>
      <c r="B591" s="33">
        <f>IF(AP590&lt;=0,0,ROUND(AP590+ROUND(AP590*V$3/12,2),2))</f>
      </c>
      <c r="C591" s="33">
        <f>IF(AQ590&lt;=0,0,ROUND(AQ590+ROUND(AQ590*W$3/12,2),2))</f>
      </c>
      <c r="D591" s="33">
        <f>IF(AR590&lt;=0,0,ROUND(AR590+ROUND(AR590*X$3/12,2),2))</f>
      </c>
      <c r="E591" s="33">
        <f>IF(AS590&lt;=0,0,ROUND(AS590+ROUND(AS590*Y$3/12,2),2))</f>
      </c>
      <c r="F591" s="33">
        <f>IF(AT590&lt;=0,0,ROUND(AT590+ROUND(AT590*Z$3/12,2),2))</f>
      </c>
      <c r="G591" s="33">
        <f>IF(AU590&lt;=0,0,ROUND(AU590+ROUND(AU590*AA$3/12,2),2))</f>
      </c>
      <c r="H591" s="33">
        <f>IF(AV590&lt;=0,0,ROUND(AV590+ROUND(AV590*AB$3/12,2),2))</f>
      </c>
      <c r="I591" s="33">
        <f>IF(AW590&lt;=0,0,ROUND(AW590+ROUND(AW590*AC$3/12,2),2))</f>
      </c>
      <c r="J591" s="33">
        <f>IF(AX590&lt;=0,0,ROUND(AX590+ROUND(AX590*AD$3/12,2),2))</f>
      </c>
      <c r="K591" s="33">
        <f>IF(AY590&lt;=0,0,ROUND(AY590+ROUND(AY590*AE$3/12,2),2))</f>
      </c>
      <c r="L591" s="33">
        <f>ROUND(MIN(MAX(0,N('Your debts'!$E$6)),B591),2)</f>
      </c>
      <c r="M591" s="33">
        <f>ROUND(MIN(MAX(0,N('Your debts'!$E$7)),C591),2)</f>
      </c>
      <c r="N591" s="33">
        <f>ROUND(MIN(MAX(0,N('Your debts'!$E$8)),D591),2)</f>
      </c>
      <c r="O591" s="33">
        <f>ROUND(MIN(MAX(0,N('Your debts'!$E$9)),E591),2)</f>
      </c>
      <c r="P591" s="33">
        <f>ROUND(MIN(MAX(0,N('Your debts'!$E$10)),F591),2)</f>
      </c>
      <c r="Q591" s="33">
        <f>ROUND(MIN(MAX(0,N('Your debts'!$E$11)),G591),2)</f>
      </c>
      <c r="R591" s="33">
        <f>ROUND(MIN(MAX(0,N('Your debts'!$E$12)),H591),2)</f>
      </c>
      <c r="S591" s="33">
        <f>ROUND(MIN(MAX(0,N('Your debts'!$E$13)),I591),2)</f>
      </c>
      <c r="T591" s="33">
        <f>ROUND(MIN(MAX(0,N('Your debts'!$E$14)),J591),2)</f>
      </c>
      <c r="U591" s="33">
        <f>ROUND(MIN(MAX(0,N('Your debts'!$E$15)),K591),2)</f>
      </c>
      <c r="V591" s="33">
        <f>ROUND(B591-L591,2)</f>
      </c>
      <c r="W591" s="33">
        <f>ROUND(C591-M591,2)</f>
      </c>
      <c r="X591" s="33">
        <f>ROUND(D591-N591,2)</f>
      </c>
      <c r="Y591" s="33">
        <f>ROUND(E591-O591,2)</f>
      </c>
      <c r="Z591" s="33">
        <f>ROUND(F591-P591,2)</f>
      </c>
      <c r="AA591" s="33">
        <f>ROUND(G591-Q591,2)</f>
      </c>
      <c r="AB591" s="33">
        <f>ROUND(H591-R591,2)</f>
      </c>
      <c r="AC591" s="33">
        <f>ROUND(I591-S591,2)</f>
      </c>
      <c r="AD591" s="33">
        <f>ROUND(J591-T591,2)</f>
      </c>
      <c r="AE591" s="33">
        <f>ROUND(K591-U591,2)</f>
      </c>
      <c r="AF591" s="33">
        <f>IF(V591&lt;=0,0,MAX(0,MIN(V591,ROUND($AZ591-SUMPRODUCT($V591:$AE591*($V591:$AE591&gt;0)*(($V$3:$AE$3&gt;V$3)+($V$3:$AE$3=V$3)*($V591:$AE591&lt;V591)+($V$3:$AE$3=V$3)*($V591:$AE591=V591)*($V$2:$AE$2&lt;V$2))),2))))</f>
      </c>
      <c r="AG591" s="33">
        <f>IF(W591&lt;=0,0,MAX(0,MIN(W591,ROUND($AZ591-SUMPRODUCT($V591:$AE591*($V591:$AE591&gt;0)*(($V$3:$AE$3&gt;W$3)+($V$3:$AE$3=W$3)*($V591:$AE591&lt;W591)+($V$3:$AE$3=W$3)*($V591:$AE591=W591)*($V$2:$AE$2&lt;W$2))),2))))</f>
      </c>
      <c r="AH591" s="33">
        <f>IF(X591&lt;=0,0,MAX(0,MIN(X591,ROUND($AZ591-SUMPRODUCT($V591:$AE591*($V591:$AE591&gt;0)*(($V$3:$AE$3&gt;X$3)+($V$3:$AE$3=X$3)*($V591:$AE591&lt;X591)+($V$3:$AE$3=X$3)*($V591:$AE591=X591)*($V$2:$AE$2&lt;X$2))),2))))</f>
      </c>
      <c r="AI591" s="33">
        <f>IF(Y591&lt;=0,0,MAX(0,MIN(Y591,ROUND($AZ591-SUMPRODUCT($V591:$AE591*($V591:$AE591&gt;0)*(($V$3:$AE$3&gt;Y$3)+($V$3:$AE$3=Y$3)*($V591:$AE591&lt;Y591)+($V$3:$AE$3=Y$3)*($V591:$AE591=Y591)*($V$2:$AE$2&lt;Y$2))),2))))</f>
      </c>
      <c r="AJ591" s="33">
        <f>IF(Z591&lt;=0,0,MAX(0,MIN(Z591,ROUND($AZ591-SUMPRODUCT($V591:$AE591*($V591:$AE591&gt;0)*(($V$3:$AE$3&gt;Z$3)+($V$3:$AE$3=Z$3)*($V591:$AE591&lt;Z591)+($V$3:$AE$3=Z$3)*($V591:$AE591=Z591)*($V$2:$AE$2&lt;Z$2))),2))))</f>
      </c>
      <c r="AK591" s="33">
        <f>IF(AA591&lt;=0,0,MAX(0,MIN(AA591,ROUND($AZ591-SUMPRODUCT($V591:$AE591*($V591:$AE591&gt;0)*(($V$3:$AE$3&gt;AA$3)+($V$3:$AE$3=AA$3)*($V591:$AE591&lt;AA591)+($V$3:$AE$3=AA$3)*($V591:$AE591=AA591)*($V$2:$AE$2&lt;AA$2))),2))))</f>
      </c>
      <c r="AL591" s="33">
        <f>IF(AB591&lt;=0,0,MAX(0,MIN(AB591,ROUND($AZ591-SUMPRODUCT($V591:$AE591*($V591:$AE591&gt;0)*(($V$3:$AE$3&gt;AB$3)+($V$3:$AE$3=AB$3)*($V591:$AE591&lt;AB591)+($V$3:$AE$3=AB$3)*($V591:$AE591=AB591)*($V$2:$AE$2&lt;AB$2))),2))))</f>
      </c>
      <c r="AM591" s="33">
        <f>IF(AC591&lt;=0,0,MAX(0,MIN(AC591,ROUND($AZ591-SUMPRODUCT($V591:$AE591*($V591:$AE591&gt;0)*(($V$3:$AE$3&gt;AC$3)+($V$3:$AE$3=AC$3)*($V591:$AE591&lt;AC591)+($V$3:$AE$3=AC$3)*($V591:$AE591=AC591)*($V$2:$AE$2&lt;AC$2))),2))))</f>
      </c>
      <c r="AN591" s="33">
        <f>IF(AD591&lt;=0,0,MAX(0,MIN(AD591,ROUND($AZ591-SUMPRODUCT($V591:$AE591*($V591:$AE591&gt;0)*(($V$3:$AE$3&gt;AD$3)+($V$3:$AE$3=AD$3)*($V591:$AE591&lt;AD591)+($V$3:$AE$3=AD$3)*($V591:$AE591=AD591)*($V$2:$AE$2&lt;AD$2))),2))))</f>
      </c>
      <c r="AO591" s="33">
        <f>IF(AE591&lt;=0,0,MAX(0,MIN(AE591,ROUND($AZ591-SUMPRODUCT($V591:$AE591*($V591:$AE591&gt;0)*(($V$3:$AE$3&gt;AE$3)+($V$3:$AE$3=AE$3)*($V591:$AE591&lt;AE591)+($V$3:$AE$3=AE$3)*($V591:$AE591=AE591)*($V$2:$AE$2&lt;AE$2))),2))))</f>
      </c>
      <c r="AP591" s="33">
        <f>ROUND(V591-AF591,2)</f>
      </c>
      <c r="AQ591" s="33">
        <f>ROUND(W591-AG591,2)</f>
      </c>
      <c r="AR591" s="33">
        <f>ROUND(X591-AH591,2)</f>
      </c>
      <c r="AS591" s="33">
        <f>ROUND(Y591-AI591,2)</f>
      </c>
      <c r="AT591" s="33">
        <f>ROUND(Z591-AJ591,2)</f>
      </c>
      <c r="AU591" s="33">
        <f>ROUND(AA591-AK591,2)</f>
      </c>
      <c r="AV591" s="33">
        <f>ROUND(AB591-AL591,2)</f>
      </c>
      <c r="AW591" s="33">
        <f>ROUND(AC591-AM591,2)</f>
      </c>
      <c r="AX591" s="33">
        <f>ROUND(AD591-AN591,2)</f>
      </c>
      <c r="AY591" s="33">
        <f>ROUND(AE591-AO591,2)</f>
      </c>
      <c r="AZ591" s="33">
        <f>ROUND(MAX(0,'Your debts'!$D$22-SUM($L591:$U591)),2)</f>
      </c>
      <c r="BA591" s="33">
        <f>ROUND(SUM($B591:$K591)-SUM($AP590:$AY590),2)</f>
      </c>
      <c r="BB591" s="33">
        <f>SUM($AP591:$AY591)</f>
      </c>
      <c r="BC591" s="33">
        <f>ROUND(SUM($L591:$U591)+SUM($AF591:$AO591),2)</f>
      </c>
    </row>
    <row r="592" spans="1:55" x14ac:dyDescent="0.25">
      <c r="A592">
        <v>585</v>
      </c>
      <c r="B592" s="33">
        <f>IF(AP591&lt;=0,0,ROUND(AP591+ROUND(AP591*V$3/12,2),2))</f>
      </c>
      <c r="C592" s="33">
        <f>IF(AQ591&lt;=0,0,ROUND(AQ591+ROUND(AQ591*W$3/12,2),2))</f>
      </c>
      <c r="D592" s="33">
        <f>IF(AR591&lt;=0,0,ROUND(AR591+ROUND(AR591*X$3/12,2),2))</f>
      </c>
      <c r="E592" s="33">
        <f>IF(AS591&lt;=0,0,ROUND(AS591+ROUND(AS591*Y$3/12,2),2))</f>
      </c>
      <c r="F592" s="33">
        <f>IF(AT591&lt;=0,0,ROUND(AT591+ROUND(AT591*Z$3/12,2),2))</f>
      </c>
      <c r="G592" s="33">
        <f>IF(AU591&lt;=0,0,ROUND(AU591+ROUND(AU591*AA$3/12,2),2))</f>
      </c>
      <c r="H592" s="33">
        <f>IF(AV591&lt;=0,0,ROUND(AV591+ROUND(AV591*AB$3/12,2),2))</f>
      </c>
      <c r="I592" s="33">
        <f>IF(AW591&lt;=0,0,ROUND(AW591+ROUND(AW591*AC$3/12,2),2))</f>
      </c>
      <c r="J592" s="33">
        <f>IF(AX591&lt;=0,0,ROUND(AX591+ROUND(AX591*AD$3/12,2),2))</f>
      </c>
      <c r="K592" s="33">
        <f>IF(AY591&lt;=0,0,ROUND(AY591+ROUND(AY591*AE$3/12,2),2))</f>
      </c>
      <c r="L592" s="33">
        <f>ROUND(MIN(MAX(0,N('Your debts'!$E$6)),B592),2)</f>
      </c>
      <c r="M592" s="33">
        <f>ROUND(MIN(MAX(0,N('Your debts'!$E$7)),C592),2)</f>
      </c>
      <c r="N592" s="33">
        <f>ROUND(MIN(MAX(0,N('Your debts'!$E$8)),D592),2)</f>
      </c>
      <c r="O592" s="33">
        <f>ROUND(MIN(MAX(0,N('Your debts'!$E$9)),E592),2)</f>
      </c>
      <c r="P592" s="33">
        <f>ROUND(MIN(MAX(0,N('Your debts'!$E$10)),F592),2)</f>
      </c>
      <c r="Q592" s="33">
        <f>ROUND(MIN(MAX(0,N('Your debts'!$E$11)),G592),2)</f>
      </c>
      <c r="R592" s="33">
        <f>ROUND(MIN(MAX(0,N('Your debts'!$E$12)),H592),2)</f>
      </c>
      <c r="S592" s="33">
        <f>ROUND(MIN(MAX(0,N('Your debts'!$E$13)),I592),2)</f>
      </c>
      <c r="T592" s="33">
        <f>ROUND(MIN(MAX(0,N('Your debts'!$E$14)),J592),2)</f>
      </c>
      <c r="U592" s="33">
        <f>ROUND(MIN(MAX(0,N('Your debts'!$E$15)),K592),2)</f>
      </c>
      <c r="V592" s="33">
        <f>ROUND(B592-L592,2)</f>
      </c>
      <c r="W592" s="33">
        <f>ROUND(C592-M592,2)</f>
      </c>
      <c r="X592" s="33">
        <f>ROUND(D592-N592,2)</f>
      </c>
      <c r="Y592" s="33">
        <f>ROUND(E592-O592,2)</f>
      </c>
      <c r="Z592" s="33">
        <f>ROUND(F592-P592,2)</f>
      </c>
      <c r="AA592" s="33">
        <f>ROUND(G592-Q592,2)</f>
      </c>
      <c r="AB592" s="33">
        <f>ROUND(H592-R592,2)</f>
      </c>
      <c r="AC592" s="33">
        <f>ROUND(I592-S592,2)</f>
      </c>
      <c r="AD592" s="33">
        <f>ROUND(J592-T592,2)</f>
      </c>
      <c r="AE592" s="33">
        <f>ROUND(K592-U592,2)</f>
      </c>
      <c r="AF592" s="33">
        <f>IF(V592&lt;=0,0,MAX(0,MIN(V592,ROUND($AZ592-SUMPRODUCT($V592:$AE592*($V592:$AE592&gt;0)*(($V$3:$AE$3&gt;V$3)+($V$3:$AE$3=V$3)*($V592:$AE592&lt;V592)+($V$3:$AE$3=V$3)*($V592:$AE592=V592)*($V$2:$AE$2&lt;V$2))),2))))</f>
      </c>
      <c r="AG592" s="33">
        <f>IF(W592&lt;=0,0,MAX(0,MIN(W592,ROUND($AZ592-SUMPRODUCT($V592:$AE592*($V592:$AE592&gt;0)*(($V$3:$AE$3&gt;W$3)+($V$3:$AE$3=W$3)*($V592:$AE592&lt;W592)+($V$3:$AE$3=W$3)*($V592:$AE592=W592)*($V$2:$AE$2&lt;W$2))),2))))</f>
      </c>
      <c r="AH592" s="33">
        <f>IF(X592&lt;=0,0,MAX(0,MIN(X592,ROUND($AZ592-SUMPRODUCT($V592:$AE592*($V592:$AE592&gt;0)*(($V$3:$AE$3&gt;X$3)+($V$3:$AE$3=X$3)*($V592:$AE592&lt;X592)+($V$3:$AE$3=X$3)*($V592:$AE592=X592)*($V$2:$AE$2&lt;X$2))),2))))</f>
      </c>
      <c r="AI592" s="33">
        <f>IF(Y592&lt;=0,0,MAX(0,MIN(Y592,ROUND($AZ592-SUMPRODUCT($V592:$AE592*($V592:$AE592&gt;0)*(($V$3:$AE$3&gt;Y$3)+($V$3:$AE$3=Y$3)*($V592:$AE592&lt;Y592)+($V$3:$AE$3=Y$3)*($V592:$AE592=Y592)*($V$2:$AE$2&lt;Y$2))),2))))</f>
      </c>
      <c r="AJ592" s="33">
        <f>IF(Z592&lt;=0,0,MAX(0,MIN(Z592,ROUND($AZ592-SUMPRODUCT($V592:$AE592*($V592:$AE592&gt;0)*(($V$3:$AE$3&gt;Z$3)+($V$3:$AE$3=Z$3)*($V592:$AE592&lt;Z592)+($V$3:$AE$3=Z$3)*($V592:$AE592=Z592)*($V$2:$AE$2&lt;Z$2))),2))))</f>
      </c>
      <c r="AK592" s="33">
        <f>IF(AA592&lt;=0,0,MAX(0,MIN(AA592,ROUND($AZ592-SUMPRODUCT($V592:$AE592*($V592:$AE592&gt;0)*(($V$3:$AE$3&gt;AA$3)+($V$3:$AE$3=AA$3)*($V592:$AE592&lt;AA592)+($V$3:$AE$3=AA$3)*($V592:$AE592=AA592)*($V$2:$AE$2&lt;AA$2))),2))))</f>
      </c>
      <c r="AL592" s="33">
        <f>IF(AB592&lt;=0,0,MAX(0,MIN(AB592,ROUND($AZ592-SUMPRODUCT($V592:$AE592*($V592:$AE592&gt;0)*(($V$3:$AE$3&gt;AB$3)+($V$3:$AE$3=AB$3)*($V592:$AE592&lt;AB592)+($V$3:$AE$3=AB$3)*($V592:$AE592=AB592)*($V$2:$AE$2&lt;AB$2))),2))))</f>
      </c>
      <c r="AM592" s="33">
        <f>IF(AC592&lt;=0,0,MAX(0,MIN(AC592,ROUND($AZ592-SUMPRODUCT($V592:$AE592*($V592:$AE592&gt;0)*(($V$3:$AE$3&gt;AC$3)+($V$3:$AE$3=AC$3)*($V592:$AE592&lt;AC592)+($V$3:$AE$3=AC$3)*($V592:$AE592=AC592)*($V$2:$AE$2&lt;AC$2))),2))))</f>
      </c>
      <c r="AN592" s="33">
        <f>IF(AD592&lt;=0,0,MAX(0,MIN(AD592,ROUND($AZ592-SUMPRODUCT($V592:$AE592*($V592:$AE592&gt;0)*(($V$3:$AE$3&gt;AD$3)+($V$3:$AE$3=AD$3)*($V592:$AE592&lt;AD592)+($V$3:$AE$3=AD$3)*($V592:$AE592=AD592)*($V$2:$AE$2&lt;AD$2))),2))))</f>
      </c>
      <c r="AO592" s="33">
        <f>IF(AE592&lt;=0,0,MAX(0,MIN(AE592,ROUND($AZ592-SUMPRODUCT($V592:$AE592*($V592:$AE592&gt;0)*(($V$3:$AE$3&gt;AE$3)+($V$3:$AE$3=AE$3)*($V592:$AE592&lt;AE592)+($V$3:$AE$3=AE$3)*($V592:$AE592=AE592)*($V$2:$AE$2&lt;AE$2))),2))))</f>
      </c>
      <c r="AP592" s="33">
        <f>ROUND(V592-AF592,2)</f>
      </c>
      <c r="AQ592" s="33">
        <f>ROUND(W592-AG592,2)</f>
      </c>
      <c r="AR592" s="33">
        <f>ROUND(X592-AH592,2)</f>
      </c>
      <c r="AS592" s="33">
        <f>ROUND(Y592-AI592,2)</f>
      </c>
      <c r="AT592" s="33">
        <f>ROUND(Z592-AJ592,2)</f>
      </c>
      <c r="AU592" s="33">
        <f>ROUND(AA592-AK592,2)</f>
      </c>
      <c r="AV592" s="33">
        <f>ROUND(AB592-AL592,2)</f>
      </c>
      <c r="AW592" s="33">
        <f>ROUND(AC592-AM592,2)</f>
      </c>
      <c r="AX592" s="33">
        <f>ROUND(AD592-AN592,2)</f>
      </c>
      <c r="AY592" s="33">
        <f>ROUND(AE592-AO592,2)</f>
      </c>
      <c r="AZ592" s="33">
        <f>ROUND(MAX(0,'Your debts'!$D$22-SUM($L592:$U592)),2)</f>
      </c>
      <c r="BA592" s="33">
        <f>ROUND(SUM($B592:$K592)-SUM($AP591:$AY591),2)</f>
      </c>
      <c r="BB592" s="33">
        <f>SUM($AP592:$AY592)</f>
      </c>
      <c r="BC592" s="33">
        <f>ROUND(SUM($L592:$U592)+SUM($AF592:$AO592),2)</f>
      </c>
    </row>
    <row r="593" spans="1:55" x14ac:dyDescent="0.25">
      <c r="A593">
        <v>586</v>
      </c>
      <c r="B593" s="33">
        <f>IF(AP592&lt;=0,0,ROUND(AP592+ROUND(AP592*V$3/12,2),2))</f>
      </c>
      <c r="C593" s="33">
        <f>IF(AQ592&lt;=0,0,ROUND(AQ592+ROUND(AQ592*W$3/12,2),2))</f>
      </c>
      <c r="D593" s="33">
        <f>IF(AR592&lt;=0,0,ROUND(AR592+ROUND(AR592*X$3/12,2),2))</f>
      </c>
      <c r="E593" s="33">
        <f>IF(AS592&lt;=0,0,ROUND(AS592+ROUND(AS592*Y$3/12,2),2))</f>
      </c>
      <c r="F593" s="33">
        <f>IF(AT592&lt;=0,0,ROUND(AT592+ROUND(AT592*Z$3/12,2),2))</f>
      </c>
      <c r="G593" s="33">
        <f>IF(AU592&lt;=0,0,ROUND(AU592+ROUND(AU592*AA$3/12,2),2))</f>
      </c>
      <c r="H593" s="33">
        <f>IF(AV592&lt;=0,0,ROUND(AV592+ROUND(AV592*AB$3/12,2),2))</f>
      </c>
      <c r="I593" s="33">
        <f>IF(AW592&lt;=0,0,ROUND(AW592+ROUND(AW592*AC$3/12,2),2))</f>
      </c>
      <c r="J593" s="33">
        <f>IF(AX592&lt;=0,0,ROUND(AX592+ROUND(AX592*AD$3/12,2),2))</f>
      </c>
      <c r="K593" s="33">
        <f>IF(AY592&lt;=0,0,ROUND(AY592+ROUND(AY592*AE$3/12,2),2))</f>
      </c>
      <c r="L593" s="33">
        <f>ROUND(MIN(MAX(0,N('Your debts'!$E$6)),B593),2)</f>
      </c>
      <c r="M593" s="33">
        <f>ROUND(MIN(MAX(0,N('Your debts'!$E$7)),C593),2)</f>
      </c>
      <c r="N593" s="33">
        <f>ROUND(MIN(MAX(0,N('Your debts'!$E$8)),D593),2)</f>
      </c>
      <c r="O593" s="33">
        <f>ROUND(MIN(MAX(0,N('Your debts'!$E$9)),E593),2)</f>
      </c>
      <c r="P593" s="33">
        <f>ROUND(MIN(MAX(0,N('Your debts'!$E$10)),F593),2)</f>
      </c>
      <c r="Q593" s="33">
        <f>ROUND(MIN(MAX(0,N('Your debts'!$E$11)),G593),2)</f>
      </c>
      <c r="R593" s="33">
        <f>ROUND(MIN(MAX(0,N('Your debts'!$E$12)),H593),2)</f>
      </c>
      <c r="S593" s="33">
        <f>ROUND(MIN(MAX(0,N('Your debts'!$E$13)),I593),2)</f>
      </c>
      <c r="T593" s="33">
        <f>ROUND(MIN(MAX(0,N('Your debts'!$E$14)),J593),2)</f>
      </c>
      <c r="U593" s="33">
        <f>ROUND(MIN(MAX(0,N('Your debts'!$E$15)),K593),2)</f>
      </c>
      <c r="V593" s="33">
        <f>ROUND(B593-L593,2)</f>
      </c>
      <c r="W593" s="33">
        <f>ROUND(C593-M593,2)</f>
      </c>
      <c r="X593" s="33">
        <f>ROUND(D593-N593,2)</f>
      </c>
      <c r="Y593" s="33">
        <f>ROUND(E593-O593,2)</f>
      </c>
      <c r="Z593" s="33">
        <f>ROUND(F593-P593,2)</f>
      </c>
      <c r="AA593" s="33">
        <f>ROUND(G593-Q593,2)</f>
      </c>
      <c r="AB593" s="33">
        <f>ROUND(H593-R593,2)</f>
      </c>
      <c r="AC593" s="33">
        <f>ROUND(I593-S593,2)</f>
      </c>
      <c r="AD593" s="33">
        <f>ROUND(J593-T593,2)</f>
      </c>
      <c r="AE593" s="33">
        <f>ROUND(K593-U593,2)</f>
      </c>
      <c r="AF593" s="33">
        <f>IF(V593&lt;=0,0,MAX(0,MIN(V593,ROUND($AZ593-SUMPRODUCT($V593:$AE593*($V593:$AE593&gt;0)*(($V$3:$AE$3&gt;V$3)+($V$3:$AE$3=V$3)*($V593:$AE593&lt;V593)+($V$3:$AE$3=V$3)*($V593:$AE593=V593)*($V$2:$AE$2&lt;V$2))),2))))</f>
      </c>
      <c r="AG593" s="33">
        <f>IF(W593&lt;=0,0,MAX(0,MIN(W593,ROUND($AZ593-SUMPRODUCT($V593:$AE593*($V593:$AE593&gt;0)*(($V$3:$AE$3&gt;W$3)+($V$3:$AE$3=W$3)*($V593:$AE593&lt;W593)+($V$3:$AE$3=W$3)*($V593:$AE593=W593)*($V$2:$AE$2&lt;W$2))),2))))</f>
      </c>
      <c r="AH593" s="33">
        <f>IF(X593&lt;=0,0,MAX(0,MIN(X593,ROUND($AZ593-SUMPRODUCT($V593:$AE593*($V593:$AE593&gt;0)*(($V$3:$AE$3&gt;X$3)+($V$3:$AE$3=X$3)*($V593:$AE593&lt;X593)+($V$3:$AE$3=X$3)*($V593:$AE593=X593)*($V$2:$AE$2&lt;X$2))),2))))</f>
      </c>
      <c r="AI593" s="33">
        <f>IF(Y593&lt;=0,0,MAX(0,MIN(Y593,ROUND($AZ593-SUMPRODUCT($V593:$AE593*($V593:$AE593&gt;0)*(($V$3:$AE$3&gt;Y$3)+($V$3:$AE$3=Y$3)*($V593:$AE593&lt;Y593)+($V$3:$AE$3=Y$3)*($V593:$AE593=Y593)*($V$2:$AE$2&lt;Y$2))),2))))</f>
      </c>
      <c r="AJ593" s="33">
        <f>IF(Z593&lt;=0,0,MAX(0,MIN(Z593,ROUND($AZ593-SUMPRODUCT($V593:$AE593*($V593:$AE593&gt;0)*(($V$3:$AE$3&gt;Z$3)+($V$3:$AE$3=Z$3)*($V593:$AE593&lt;Z593)+($V$3:$AE$3=Z$3)*($V593:$AE593=Z593)*($V$2:$AE$2&lt;Z$2))),2))))</f>
      </c>
      <c r="AK593" s="33">
        <f>IF(AA593&lt;=0,0,MAX(0,MIN(AA593,ROUND($AZ593-SUMPRODUCT($V593:$AE593*($V593:$AE593&gt;0)*(($V$3:$AE$3&gt;AA$3)+($V$3:$AE$3=AA$3)*($V593:$AE593&lt;AA593)+($V$3:$AE$3=AA$3)*($V593:$AE593=AA593)*($V$2:$AE$2&lt;AA$2))),2))))</f>
      </c>
      <c r="AL593" s="33">
        <f>IF(AB593&lt;=0,0,MAX(0,MIN(AB593,ROUND($AZ593-SUMPRODUCT($V593:$AE593*($V593:$AE593&gt;0)*(($V$3:$AE$3&gt;AB$3)+($V$3:$AE$3=AB$3)*($V593:$AE593&lt;AB593)+($V$3:$AE$3=AB$3)*($V593:$AE593=AB593)*($V$2:$AE$2&lt;AB$2))),2))))</f>
      </c>
      <c r="AM593" s="33">
        <f>IF(AC593&lt;=0,0,MAX(0,MIN(AC593,ROUND($AZ593-SUMPRODUCT($V593:$AE593*($V593:$AE593&gt;0)*(($V$3:$AE$3&gt;AC$3)+($V$3:$AE$3=AC$3)*($V593:$AE593&lt;AC593)+($V$3:$AE$3=AC$3)*($V593:$AE593=AC593)*($V$2:$AE$2&lt;AC$2))),2))))</f>
      </c>
      <c r="AN593" s="33">
        <f>IF(AD593&lt;=0,0,MAX(0,MIN(AD593,ROUND($AZ593-SUMPRODUCT($V593:$AE593*($V593:$AE593&gt;0)*(($V$3:$AE$3&gt;AD$3)+($V$3:$AE$3=AD$3)*($V593:$AE593&lt;AD593)+($V$3:$AE$3=AD$3)*($V593:$AE593=AD593)*($V$2:$AE$2&lt;AD$2))),2))))</f>
      </c>
      <c r="AO593" s="33">
        <f>IF(AE593&lt;=0,0,MAX(0,MIN(AE593,ROUND($AZ593-SUMPRODUCT($V593:$AE593*($V593:$AE593&gt;0)*(($V$3:$AE$3&gt;AE$3)+($V$3:$AE$3=AE$3)*($V593:$AE593&lt;AE593)+($V$3:$AE$3=AE$3)*($V593:$AE593=AE593)*($V$2:$AE$2&lt;AE$2))),2))))</f>
      </c>
      <c r="AP593" s="33">
        <f>ROUND(V593-AF593,2)</f>
      </c>
      <c r="AQ593" s="33">
        <f>ROUND(W593-AG593,2)</f>
      </c>
      <c r="AR593" s="33">
        <f>ROUND(X593-AH593,2)</f>
      </c>
      <c r="AS593" s="33">
        <f>ROUND(Y593-AI593,2)</f>
      </c>
      <c r="AT593" s="33">
        <f>ROUND(Z593-AJ593,2)</f>
      </c>
      <c r="AU593" s="33">
        <f>ROUND(AA593-AK593,2)</f>
      </c>
      <c r="AV593" s="33">
        <f>ROUND(AB593-AL593,2)</f>
      </c>
      <c r="AW593" s="33">
        <f>ROUND(AC593-AM593,2)</f>
      </c>
      <c r="AX593" s="33">
        <f>ROUND(AD593-AN593,2)</f>
      </c>
      <c r="AY593" s="33">
        <f>ROUND(AE593-AO593,2)</f>
      </c>
      <c r="AZ593" s="33">
        <f>ROUND(MAX(0,'Your debts'!$D$22-SUM($L593:$U593)),2)</f>
      </c>
      <c r="BA593" s="33">
        <f>ROUND(SUM($B593:$K593)-SUM($AP592:$AY592),2)</f>
      </c>
      <c r="BB593" s="33">
        <f>SUM($AP593:$AY593)</f>
      </c>
      <c r="BC593" s="33">
        <f>ROUND(SUM($L593:$U593)+SUM($AF593:$AO593),2)</f>
      </c>
    </row>
    <row r="594" spans="1:55" x14ac:dyDescent="0.25">
      <c r="A594">
        <v>587</v>
      </c>
      <c r="B594" s="33">
        <f>IF(AP593&lt;=0,0,ROUND(AP593+ROUND(AP593*V$3/12,2),2))</f>
      </c>
      <c r="C594" s="33">
        <f>IF(AQ593&lt;=0,0,ROUND(AQ593+ROUND(AQ593*W$3/12,2),2))</f>
      </c>
      <c r="D594" s="33">
        <f>IF(AR593&lt;=0,0,ROUND(AR593+ROUND(AR593*X$3/12,2),2))</f>
      </c>
      <c r="E594" s="33">
        <f>IF(AS593&lt;=0,0,ROUND(AS593+ROUND(AS593*Y$3/12,2),2))</f>
      </c>
      <c r="F594" s="33">
        <f>IF(AT593&lt;=0,0,ROUND(AT593+ROUND(AT593*Z$3/12,2),2))</f>
      </c>
      <c r="G594" s="33">
        <f>IF(AU593&lt;=0,0,ROUND(AU593+ROUND(AU593*AA$3/12,2),2))</f>
      </c>
      <c r="H594" s="33">
        <f>IF(AV593&lt;=0,0,ROUND(AV593+ROUND(AV593*AB$3/12,2),2))</f>
      </c>
      <c r="I594" s="33">
        <f>IF(AW593&lt;=0,0,ROUND(AW593+ROUND(AW593*AC$3/12,2),2))</f>
      </c>
      <c r="J594" s="33">
        <f>IF(AX593&lt;=0,0,ROUND(AX593+ROUND(AX593*AD$3/12,2),2))</f>
      </c>
      <c r="K594" s="33">
        <f>IF(AY593&lt;=0,0,ROUND(AY593+ROUND(AY593*AE$3/12,2),2))</f>
      </c>
      <c r="L594" s="33">
        <f>ROUND(MIN(MAX(0,N('Your debts'!$E$6)),B594),2)</f>
      </c>
      <c r="M594" s="33">
        <f>ROUND(MIN(MAX(0,N('Your debts'!$E$7)),C594),2)</f>
      </c>
      <c r="N594" s="33">
        <f>ROUND(MIN(MAX(0,N('Your debts'!$E$8)),D594),2)</f>
      </c>
      <c r="O594" s="33">
        <f>ROUND(MIN(MAX(0,N('Your debts'!$E$9)),E594),2)</f>
      </c>
      <c r="P594" s="33">
        <f>ROUND(MIN(MAX(0,N('Your debts'!$E$10)),F594),2)</f>
      </c>
      <c r="Q594" s="33">
        <f>ROUND(MIN(MAX(0,N('Your debts'!$E$11)),G594),2)</f>
      </c>
      <c r="R594" s="33">
        <f>ROUND(MIN(MAX(0,N('Your debts'!$E$12)),H594),2)</f>
      </c>
      <c r="S594" s="33">
        <f>ROUND(MIN(MAX(0,N('Your debts'!$E$13)),I594),2)</f>
      </c>
      <c r="T594" s="33">
        <f>ROUND(MIN(MAX(0,N('Your debts'!$E$14)),J594),2)</f>
      </c>
      <c r="U594" s="33">
        <f>ROUND(MIN(MAX(0,N('Your debts'!$E$15)),K594),2)</f>
      </c>
      <c r="V594" s="33">
        <f>ROUND(B594-L594,2)</f>
      </c>
      <c r="W594" s="33">
        <f>ROUND(C594-M594,2)</f>
      </c>
      <c r="X594" s="33">
        <f>ROUND(D594-N594,2)</f>
      </c>
      <c r="Y594" s="33">
        <f>ROUND(E594-O594,2)</f>
      </c>
      <c r="Z594" s="33">
        <f>ROUND(F594-P594,2)</f>
      </c>
      <c r="AA594" s="33">
        <f>ROUND(G594-Q594,2)</f>
      </c>
      <c r="AB594" s="33">
        <f>ROUND(H594-R594,2)</f>
      </c>
      <c r="AC594" s="33">
        <f>ROUND(I594-S594,2)</f>
      </c>
      <c r="AD594" s="33">
        <f>ROUND(J594-T594,2)</f>
      </c>
      <c r="AE594" s="33">
        <f>ROUND(K594-U594,2)</f>
      </c>
      <c r="AF594" s="33">
        <f>IF(V594&lt;=0,0,MAX(0,MIN(V594,ROUND($AZ594-SUMPRODUCT($V594:$AE594*($V594:$AE594&gt;0)*(($V$3:$AE$3&gt;V$3)+($V$3:$AE$3=V$3)*($V594:$AE594&lt;V594)+($V$3:$AE$3=V$3)*($V594:$AE594=V594)*($V$2:$AE$2&lt;V$2))),2))))</f>
      </c>
      <c r="AG594" s="33">
        <f>IF(W594&lt;=0,0,MAX(0,MIN(W594,ROUND($AZ594-SUMPRODUCT($V594:$AE594*($V594:$AE594&gt;0)*(($V$3:$AE$3&gt;W$3)+($V$3:$AE$3=W$3)*($V594:$AE594&lt;W594)+($V$3:$AE$3=W$3)*($V594:$AE594=W594)*($V$2:$AE$2&lt;W$2))),2))))</f>
      </c>
      <c r="AH594" s="33">
        <f>IF(X594&lt;=0,0,MAX(0,MIN(X594,ROUND($AZ594-SUMPRODUCT($V594:$AE594*($V594:$AE594&gt;0)*(($V$3:$AE$3&gt;X$3)+($V$3:$AE$3=X$3)*($V594:$AE594&lt;X594)+($V$3:$AE$3=X$3)*($V594:$AE594=X594)*($V$2:$AE$2&lt;X$2))),2))))</f>
      </c>
      <c r="AI594" s="33">
        <f>IF(Y594&lt;=0,0,MAX(0,MIN(Y594,ROUND($AZ594-SUMPRODUCT($V594:$AE594*($V594:$AE594&gt;0)*(($V$3:$AE$3&gt;Y$3)+($V$3:$AE$3=Y$3)*($V594:$AE594&lt;Y594)+($V$3:$AE$3=Y$3)*($V594:$AE594=Y594)*($V$2:$AE$2&lt;Y$2))),2))))</f>
      </c>
      <c r="AJ594" s="33">
        <f>IF(Z594&lt;=0,0,MAX(0,MIN(Z594,ROUND($AZ594-SUMPRODUCT($V594:$AE594*($V594:$AE594&gt;0)*(($V$3:$AE$3&gt;Z$3)+($V$3:$AE$3=Z$3)*($V594:$AE594&lt;Z594)+($V$3:$AE$3=Z$3)*($V594:$AE594=Z594)*($V$2:$AE$2&lt;Z$2))),2))))</f>
      </c>
      <c r="AK594" s="33">
        <f>IF(AA594&lt;=0,0,MAX(0,MIN(AA594,ROUND($AZ594-SUMPRODUCT($V594:$AE594*($V594:$AE594&gt;0)*(($V$3:$AE$3&gt;AA$3)+($V$3:$AE$3=AA$3)*($V594:$AE594&lt;AA594)+($V$3:$AE$3=AA$3)*($V594:$AE594=AA594)*($V$2:$AE$2&lt;AA$2))),2))))</f>
      </c>
      <c r="AL594" s="33">
        <f>IF(AB594&lt;=0,0,MAX(0,MIN(AB594,ROUND($AZ594-SUMPRODUCT($V594:$AE594*($V594:$AE594&gt;0)*(($V$3:$AE$3&gt;AB$3)+($V$3:$AE$3=AB$3)*($V594:$AE594&lt;AB594)+($V$3:$AE$3=AB$3)*($V594:$AE594=AB594)*($V$2:$AE$2&lt;AB$2))),2))))</f>
      </c>
      <c r="AM594" s="33">
        <f>IF(AC594&lt;=0,0,MAX(0,MIN(AC594,ROUND($AZ594-SUMPRODUCT($V594:$AE594*($V594:$AE594&gt;0)*(($V$3:$AE$3&gt;AC$3)+($V$3:$AE$3=AC$3)*($V594:$AE594&lt;AC594)+($V$3:$AE$3=AC$3)*($V594:$AE594=AC594)*($V$2:$AE$2&lt;AC$2))),2))))</f>
      </c>
      <c r="AN594" s="33">
        <f>IF(AD594&lt;=0,0,MAX(0,MIN(AD594,ROUND($AZ594-SUMPRODUCT($V594:$AE594*($V594:$AE594&gt;0)*(($V$3:$AE$3&gt;AD$3)+($V$3:$AE$3=AD$3)*($V594:$AE594&lt;AD594)+($V$3:$AE$3=AD$3)*($V594:$AE594=AD594)*($V$2:$AE$2&lt;AD$2))),2))))</f>
      </c>
      <c r="AO594" s="33">
        <f>IF(AE594&lt;=0,0,MAX(0,MIN(AE594,ROUND($AZ594-SUMPRODUCT($V594:$AE594*($V594:$AE594&gt;0)*(($V$3:$AE$3&gt;AE$3)+($V$3:$AE$3=AE$3)*($V594:$AE594&lt;AE594)+($V$3:$AE$3=AE$3)*($V594:$AE594=AE594)*($V$2:$AE$2&lt;AE$2))),2))))</f>
      </c>
      <c r="AP594" s="33">
        <f>ROUND(V594-AF594,2)</f>
      </c>
      <c r="AQ594" s="33">
        <f>ROUND(W594-AG594,2)</f>
      </c>
      <c r="AR594" s="33">
        <f>ROUND(X594-AH594,2)</f>
      </c>
      <c r="AS594" s="33">
        <f>ROUND(Y594-AI594,2)</f>
      </c>
      <c r="AT594" s="33">
        <f>ROUND(Z594-AJ594,2)</f>
      </c>
      <c r="AU594" s="33">
        <f>ROUND(AA594-AK594,2)</f>
      </c>
      <c r="AV594" s="33">
        <f>ROUND(AB594-AL594,2)</f>
      </c>
      <c r="AW594" s="33">
        <f>ROUND(AC594-AM594,2)</f>
      </c>
      <c r="AX594" s="33">
        <f>ROUND(AD594-AN594,2)</f>
      </c>
      <c r="AY594" s="33">
        <f>ROUND(AE594-AO594,2)</f>
      </c>
      <c r="AZ594" s="33">
        <f>ROUND(MAX(0,'Your debts'!$D$22-SUM($L594:$U594)),2)</f>
      </c>
      <c r="BA594" s="33">
        <f>ROUND(SUM($B594:$K594)-SUM($AP593:$AY593),2)</f>
      </c>
      <c r="BB594" s="33">
        <f>SUM($AP594:$AY594)</f>
      </c>
      <c r="BC594" s="33">
        <f>ROUND(SUM($L594:$U594)+SUM($AF594:$AO594),2)</f>
      </c>
    </row>
    <row r="595" spans="1:55" x14ac:dyDescent="0.25">
      <c r="A595">
        <v>588</v>
      </c>
      <c r="B595" s="33">
        <f>IF(AP594&lt;=0,0,ROUND(AP594+ROUND(AP594*V$3/12,2),2))</f>
      </c>
      <c r="C595" s="33">
        <f>IF(AQ594&lt;=0,0,ROUND(AQ594+ROUND(AQ594*W$3/12,2),2))</f>
      </c>
      <c r="D595" s="33">
        <f>IF(AR594&lt;=0,0,ROUND(AR594+ROUND(AR594*X$3/12,2),2))</f>
      </c>
      <c r="E595" s="33">
        <f>IF(AS594&lt;=0,0,ROUND(AS594+ROUND(AS594*Y$3/12,2),2))</f>
      </c>
      <c r="F595" s="33">
        <f>IF(AT594&lt;=0,0,ROUND(AT594+ROUND(AT594*Z$3/12,2),2))</f>
      </c>
      <c r="G595" s="33">
        <f>IF(AU594&lt;=0,0,ROUND(AU594+ROUND(AU594*AA$3/12,2),2))</f>
      </c>
      <c r="H595" s="33">
        <f>IF(AV594&lt;=0,0,ROUND(AV594+ROUND(AV594*AB$3/12,2),2))</f>
      </c>
      <c r="I595" s="33">
        <f>IF(AW594&lt;=0,0,ROUND(AW594+ROUND(AW594*AC$3/12,2),2))</f>
      </c>
      <c r="J595" s="33">
        <f>IF(AX594&lt;=0,0,ROUND(AX594+ROUND(AX594*AD$3/12,2),2))</f>
      </c>
      <c r="K595" s="33">
        <f>IF(AY594&lt;=0,0,ROUND(AY594+ROUND(AY594*AE$3/12,2),2))</f>
      </c>
      <c r="L595" s="33">
        <f>ROUND(MIN(MAX(0,N('Your debts'!$E$6)),B595),2)</f>
      </c>
      <c r="M595" s="33">
        <f>ROUND(MIN(MAX(0,N('Your debts'!$E$7)),C595),2)</f>
      </c>
      <c r="N595" s="33">
        <f>ROUND(MIN(MAX(0,N('Your debts'!$E$8)),D595),2)</f>
      </c>
      <c r="O595" s="33">
        <f>ROUND(MIN(MAX(0,N('Your debts'!$E$9)),E595),2)</f>
      </c>
      <c r="P595" s="33">
        <f>ROUND(MIN(MAX(0,N('Your debts'!$E$10)),F595),2)</f>
      </c>
      <c r="Q595" s="33">
        <f>ROUND(MIN(MAX(0,N('Your debts'!$E$11)),G595),2)</f>
      </c>
      <c r="R595" s="33">
        <f>ROUND(MIN(MAX(0,N('Your debts'!$E$12)),H595),2)</f>
      </c>
      <c r="S595" s="33">
        <f>ROUND(MIN(MAX(0,N('Your debts'!$E$13)),I595),2)</f>
      </c>
      <c r="T595" s="33">
        <f>ROUND(MIN(MAX(0,N('Your debts'!$E$14)),J595),2)</f>
      </c>
      <c r="U595" s="33">
        <f>ROUND(MIN(MAX(0,N('Your debts'!$E$15)),K595),2)</f>
      </c>
      <c r="V595" s="33">
        <f>ROUND(B595-L595,2)</f>
      </c>
      <c r="W595" s="33">
        <f>ROUND(C595-M595,2)</f>
      </c>
      <c r="X595" s="33">
        <f>ROUND(D595-N595,2)</f>
      </c>
      <c r="Y595" s="33">
        <f>ROUND(E595-O595,2)</f>
      </c>
      <c r="Z595" s="33">
        <f>ROUND(F595-P595,2)</f>
      </c>
      <c r="AA595" s="33">
        <f>ROUND(G595-Q595,2)</f>
      </c>
      <c r="AB595" s="33">
        <f>ROUND(H595-R595,2)</f>
      </c>
      <c r="AC595" s="33">
        <f>ROUND(I595-S595,2)</f>
      </c>
      <c r="AD595" s="33">
        <f>ROUND(J595-T595,2)</f>
      </c>
      <c r="AE595" s="33">
        <f>ROUND(K595-U595,2)</f>
      </c>
      <c r="AF595" s="33">
        <f>IF(V595&lt;=0,0,MAX(0,MIN(V595,ROUND($AZ595-SUMPRODUCT($V595:$AE595*($V595:$AE595&gt;0)*(($V$3:$AE$3&gt;V$3)+($V$3:$AE$3=V$3)*($V595:$AE595&lt;V595)+($V$3:$AE$3=V$3)*($V595:$AE595=V595)*($V$2:$AE$2&lt;V$2))),2))))</f>
      </c>
      <c r="AG595" s="33">
        <f>IF(W595&lt;=0,0,MAX(0,MIN(W595,ROUND($AZ595-SUMPRODUCT($V595:$AE595*($V595:$AE595&gt;0)*(($V$3:$AE$3&gt;W$3)+($V$3:$AE$3=W$3)*($V595:$AE595&lt;W595)+($V$3:$AE$3=W$3)*($V595:$AE595=W595)*($V$2:$AE$2&lt;W$2))),2))))</f>
      </c>
      <c r="AH595" s="33">
        <f>IF(X595&lt;=0,0,MAX(0,MIN(X595,ROUND($AZ595-SUMPRODUCT($V595:$AE595*($V595:$AE595&gt;0)*(($V$3:$AE$3&gt;X$3)+($V$3:$AE$3=X$3)*($V595:$AE595&lt;X595)+($V$3:$AE$3=X$3)*($V595:$AE595=X595)*($V$2:$AE$2&lt;X$2))),2))))</f>
      </c>
      <c r="AI595" s="33">
        <f>IF(Y595&lt;=0,0,MAX(0,MIN(Y595,ROUND($AZ595-SUMPRODUCT($V595:$AE595*($V595:$AE595&gt;0)*(($V$3:$AE$3&gt;Y$3)+($V$3:$AE$3=Y$3)*($V595:$AE595&lt;Y595)+($V$3:$AE$3=Y$3)*($V595:$AE595=Y595)*($V$2:$AE$2&lt;Y$2))),2))))</f>
      </c>
      <c r="AJ595" s="33">
        <f>IF(Z595&lt;=0,0,MAX(0,MIN(Z595,ROUND($AZ595-SUMPRODUCT($V595:$AE595*($V595:$AE595&gt;0)*(($V$3:$AE$3&gt;Z$3)+($V$3:$AE$3=Z$3)*($V595:$AE595&lt;Z595)+($V$3:$AE$3=Z$3)*($V595:$AE595=Z595)*($V$2:$AE$2&lt;Z$2))),2))))</f>
      </c>
      <c r="AK595" s="33">
        <f>IF(AA595&lt;=0,0,MAX(0,MIN(AA595,ROUND($AZ595-SUMPRODUCT($V595:$AE595*($V595:$AE595&gt;0)*(($V$3:$AE$3&gt;AA$3)+($V$3:$AE$3=AA$3)*($V595:$AE595&lt;AA595)+($V$3:$AE$3=AA$3)*($V595:$AE595=AA595)*($V$2:$AE$2&lt;AA$2))),2))))</f>
      </c>
      <c r="AL595" s="33">
        <f>IF(AB595&lt;=0,0,MAX(0,MIN(AB595,ROUND($AZ595-SUMPRODUCT($V595:$AE595*($V595:$AE595&gt;0)*(($V$3:$AE$3&gt;AB$3)+($V$3:$AE$3=AB$3)*($V595:$AE595&lt;AB595)+($V$3:$AE$3=AB$3)*($V595:$AE595=AB595)*($V$2:$AE$2&lt;AB$2))),2))))</f>
      </c>
      <c r="AM595" s="33">
        <f>IF(AC595&lt;=0,0,MAX(0,MIN(AC595,ROUND($AZ595-SUMPRODUCT($V595:$AE595*($V595:$AE595&gt;0)*(($V$3:$AE$3&gt;AC$3)+($V$3:$AE$3=AC$3)*($V595:$AE595&lt;AC595)+($V$3:$AE$3=AC$3)*($V595:$AE595=AC595)*($V$2:$AE$2&lt;AC$2))),2))))</f>
      </c>
      <c r="AN595" s="33">
        <f>IF(AD595&lt;=0,0,MAX(0,MIN(AD595,ROUND($AZ595-SUMPRODUCT($V595:$AE595*($V595:$AE595&gt;0)*(($V$3:$AE$3&gt;AD$3)+($V$3:$AE$3=AD$3)*($V595:$AE595&lt;AD595)+($V$3:$AE$3=AD$3)*($V595:$AE595=AD595)*($V$2:$AE$2&lt;AD$2))),2))))</f>
      </c>
      <c r="AO595" s="33">
        <f>IF(AE595&lt;=0,0,MAX(0,MIN(AE595,ROUND($AZ595-SUMPRODUCT($V595:$AE595*($V595:$AE595&gt;0)*(($V$3:$AE$3&gt;AE$3)+($V$3:$AE$3=AE$3)*($V595:$AE595&lt;AE595)+($V$3:$AE$3=AE$3)*($V595:$AE595=AE595)*($V$2:$AE$2&lt;AE$2))),2))))</f>
      </c>
      <c r="AP595" s="33">
        <f>ROUND(V595-AF595,2)</f>
      </c>
      <c r="AQ595" s="33">
        <f>ROUND(W595-AG595,2)</f>
      </c>
      <c r="AR595" s="33">
        <f>ROUND(X595-AH595,2)</f>
      </c>
      <c r="AS595" s="33">
        <f>ROUND(Y595-AI595,2)</f>
      </c>
      <c r="AT595" s="33">
        <f>ROUND(Z595-AJ595,2)</f>
      </c>
      <c r="AU595" s="33">
        <f>ROUND(AA595-AK595,2)</f>
      </c>
      <c r="AV595" s="33">
        <f>ROUND(AB595-AL595,2)</f>
      </c>
      <c r="AW595" s="33">
        <f>ROUND(AC595-AM595,2)</f>
      </c>
      <c r="AX595" s="33">
        <f>ROUND(AD595-AN595,2)</f>
      </c>
      <c r="AY595" s="33">
        <f>ROUND(AE595-AO595,2)</f>
      </c>
      <c r="AZ595" s="33">
        <f>ROUND(MAX(0,'Your debts'!$D$22-SUM($L595:$U595)),2)</f>
      </c>
      <c r="BA595" s="33">
        <f>ROUND(SUM($B595:$K595)-SUM($AP594:$AY594),2)</f>
      </c>
      <c r="BB595" s="33">
        <f>SUM($AP595:$AY595)</f>
      </c>
      <c r="BC595" s="33">
        <f>ROUND(SUM($L595:$U595)+SUM($AF595:$AO595),2)</f>
      </c>
    </row>
    <row r="596" spans="1:55" x14ac:dyDescent="0.25">
      <c r="A596">
        <v>589</v>
      </c>
      <c r="B596" s="33">
        <f>IF(AP595&lt;=0,0,ROUND(AP595+ROUND(AP595*V$3/12,2),2))</f>
      </c>
      <c r="C596" s="33">
        <f>IF(AQ595&lt;=0,0,ROUND(AQ595+ROUND(AQ595*W$3/12,2),2))</f>
      </c>
      <c r="D596" s="33">
        <f>IF(AR595&lt;=0,0,ROUND(AR595+ROUND(AR595*X$3/12,2),2))</f>
      </c>
      <c r="E596" s="33">
        <f>IF(AS595&lt;=0,0,ROUND(AS595+ROUND(AS595*Y$3/12,2),2))</f>
      </c>
      <c r="F596" s="33">
        <f>IF(AT595&lt;=0,0,ROUND(AT595+ROUND(AT595*Z$3/12,2),2))</f>
      </c>
      <c r="G596" s="33">
        <f>IF(AU595&lt;=0,0,ROUND(AU595+ROUND(AU595*AA$3/12,2),2))</f>
      </c>
      <c r="H596" s="33">
        <f>IF(AV595&lt;=0,0,ROUND(AV595+ROUND(AV595*AB$3/12,2),2))</f>
      </c>
      <c r="I596" s="33">
        <f>IF(AW595&lt;=0,0,ROUND(AW595+ROUND(AW595*AC$3/12,2),2))</f>
      </c>
      <c r="J596" s="33">
        <f>IF(AX595&lt;=0,0,ROUND(AX595+ROUND(AX595*AD$3/12,2),2))</f>
      </c>
      <c r="K596" s="33">
        <f>IF(AY595&lt;=0,0,ROUND(AY595+ROUND(AY595*AE$3/12,2),2))</f>
      </c>
      <c r="L596" s="33">
        <f>ROUND(MIN(MAX(0,N('Your debts'!$E$6)),B596),2)</f>
      </c>
      <c r="M596" s="33">
        <f>ROUND(MIN(MAX(0,N('Your debts'!$E$7)),C596),2)</f>
      </c>
      <c r="N596" s="33">
        <f>ROUND(MIN(MAX(0,N('Your debts'!$E$8)),D596),2)</f>
      </c>
      <c r="O596" s="33">
        <f>ROUND(MIN(MAX(0,N('Your debts'!$E$9)),E596),2)</f>
      </c>
      <c r="P596" s="33">
        <f>ROUND(MIN(MAX(0,N('Your debts'!$E$10)),F596),2)</f>
      </c>
      <c r="Q596" s="33">
        <f>ROUND(MIN(MAX(0,N('Your debts'!$E$11)),G596),2)</f>
      </c>
      <c r="R596" s="33">
        <f>ROUND(MIN(MAX(0,N('Your debts'!$E$12)),H596),2)</f>
      </c>
      <c r="S596" s="33">
        <f>ROUND(MIN(MAX(0,N('Your debts'!$E$13)),I596),2)</f>
      </c>
      <c r="T596" s="33">
        <f>ROUND(MIN(MAX(0,N('Your debts'!$E$14)),J596),2)</f>
      </c>
      <c r="U596" s="33">
        <f>ROUND(MIN(MAX(0,N('Your debts'!$E$15)),K596),2)</f>
      </c>
      <c r="V596" s="33">
        <f>ROUND(B596-L596,2)</f>
      </c>
      <c r="W596" s="33">
        <f>ROUND(C596-M596,2)</f>
      </c>
      <c r="X596" s="33">
        <f>ROUND(D596-N596,2)</f>
      </c>
      <c r="Y596" s="33">
        <f>ROUND(E596-O596,2)</f>
      </c>
      <c r="Z596" s="33">
        <f>ROUND(F596-P596,2)</f>
      </c>
      <c r="AA596" s="33">
        <f>ROUND(G596-Q596,2)</f>
      </c>
      <c r="AB596" s="33">
        <f>ROUND(H596-R596,2)</f>
      </c>
      <c r="AC596" s="33">
        <f>ROUND(I596-S596,2)</f>
      </c>
      <c r="AD596" s="33">
        <f>ROUND(J596-T596,2)</f>
      </c>
      <c r="AE596" s="33">
        <f>ROUND(K596-U596,2)</f>
      </c>
      <c r="AF596" s="33">
        <f>IF(V596&lt;=0,0,MAX(0,MIN(V596,ROUND($AZ596-SUMPRODUCT($V596:$AE596*($V596:$AE596&gt;0)*(($V$3:$AE$3&gt;V$3)+($V$3:$AE$3=V$3)*($V596:$AE596&lt;V596)+($V$3:$AE$3=V$3)*($V596:$AE596=V596)*($V$2:$AE$2&lt;V$2))),2))))</f>
      </c>
      <c r="AG596" s="33">
        <f>IF(W596&lt;=0,0,MAX(0,MIN(W596,ROUND($AZ596-SUMPRODUCT($V596:$AE596*($V596:$AE596&gt;0)*(($V$3:$AE$3&gt;W$3)+($V$3:$AE$3=W$3)*($V596:$AE596&lt;W596)+($V$3:$AE$3=W$3)*($V596:$AE596=W596)*($V$2:$AE$2&lt;W$2))),2))))</f>
      </c>
      <c r="AH596" s="33">
        <f>IF(X596&lt;=0,0,MAX(0,MIN(X596,ROUND($AZ596-SUMPRODUCT($V596:$AE596*($V596:$AE596&gt;0)*(($V$3:$AE$3&gt;X$3)+($V$3:$AE$3=X$3)*($V596:$AE596&lt;X596)+($V$3:$AE$3=X$3)*($V596:$AE596=X596)*($V$2:$AE$2&lt;X$2))),2))))</f>
      </c>
      <c r="AI596" s="33">
        <f>IF(Y596&lt;=0,0,MAX(0,MIN(Y596,ROUND($AZ596-SUMPRODUCT($V596:$AE596*($V596:$AE596&gt;0)*(($V$3:$AE$3&gt;Y$3)+($V$3:$AE$3=Y$3)*($V596:$AE596&lt;Y596)+($V$3:$AE$3=Y$3)*($V596:$AE596=Y596)*($V$2:$AE$2&lt;Y$2))),2))))</f>
      </c>
      <c r="AJ596" s="33">
        <f>IF(Z596&lt;=0,0,MAX(0,MIN(Z596,ROUND($AZ596-SUMPRODUCT($V596:$AE596*($V596:$AE596&gt;0)*(($V$3:$AE$3&gt;Z$3)+($V$3:$AE$3=Z$3)*($V596:$AE596&lt;Z596)+($V$3:$AE$3=Z$3)*($V596:$AE596=Z596)*($V$2:$AE$2&lt;Z$2))),2))))</f>
      </c>
      <c r="AK596" s="33">
        <f>IF(AA596&lt;=0,0,MAX(0,MIN(AA596,ROUND($AZ596-SUMPRODUCT($V596:$AE596*($V596:$AE596&gt;0)*(($V$3:$AE$3&gt;AA$3)+($V$3:$AE$3=AA$3)*($V596:$AE596&lt;AA596)+($V$3:$AE$3=AA$3)*($V596:$AE596=AA596)*($V$2:$AE$2&lt;AA$2))),2))))</f>
      </c>
      <c r="AL596" s="33">
        <f>IF(AB596&lt;=0,0,MAX(0,MIN(AB596,ROUND($AZ596-SUMPRODUCT($V596:$AE596*($V596:$AE596&gt;0)*(($V$3:$AE$3&gt;AB$3)+($V$3:$AE$3=AB$3)*($V596:$AE596&lt;AB596)+($V$3:$AE$3=AB$3)*($V596:$AE596=AB596)*($V$2:$AE$2&lt;AB$2))),2))))</f>
      </c>
      <c r="AM596" s="33">
        <f>IF(AC596&lt;=0,0,MAX(0,MIN(AC596,ROUND($AZ596-SUMPRODUCT($V596:$AE596*($V596:$AE596&gt;0)*(($V$3:$AE$3&gt;AC$3)+($V$3:$AE$3=AC$3)*($V596:$AE596&lt;AC596)+($V$3:$AE$3=AC$3)*($V596:$AE596=AC596)*($V$2:$AE$2&lt;AC$2))),2))))</f>
      </c>
      <c r="AN596" s="33">
        <f>IF(AD596&lt;=0,0,MAX(0,MIN(AD596,ROUND($AZ596-SUMPRODUCT($V596:$AE596*($V596:$AE596&gt;0)*(($V$3:$AE$3&gt;AD$3)+($V$3:$AE$3=AD$3)*($V596:$AE596&lt;AD596)+($V$3:$AE$3=AD$3)*($V596:$AE596=AD596)*($V$2:$AE$2&lt;AD$2))),2))))</f>
      </c>
      <c r="AO596" s="33">
        <f>IF(AE596&lt;=0,0,MAX(0,MIN(AE596,ROUND($AZ596-SUMPRODUCT($V596:$AE596*($V596:$AE596&gt;0)*(($V$3:$AE$3&gt;AE$3)+($V$3:$AE$3=AE$3)*($V596:$AE596&lt;AE596)+($V$3:$AE$3=AE$3)*($V596:$AE596=AE596)*($V$2:$AE$2&lt;AE$2))),2))))</f>
      </c>
      <c r="AP596" s="33">
        <f>ROUND(V596-AF596,2)</f>
      </c>
      <c r="AQ596" s="33">
        <f>ROUND(W596-AG596,2)</f>
      </c>
      <c r="AR596" s="33">
        <f>ROUND(X596-AH596,2)</f>
      </c>
      <c r="AS596" s="33">
        <f>ROUND(Y596-AI596,2)</f>
      </c>
      <c r="AT596" s="33">
        <f>ROUND(Z596-AJ596,2)</f>
      </c>
      <c r="AU596" s="33">
        <f>ROUND(AA596-AK596,2)</f>
      </c>
      <c r="AV596" s="33">
        <f>ROUND(AB596-AL596,2)</f>
      </c>
      <c r="AW596" s="33">
        <f>ROUND(AC596-AM596,2)</f>
      </c>
      <c r="AX596" s="33">
        <f>ROUND(AD596-AN596,2)</f>
      </c>
      <c r="AY596" s="33">
        <f>ROUND(AE596-AO596,2)</f>
      </c>
      <c r="AZ596" s="33">
        <f>ROUND(MAX(0,'Your debts'!$D$22-SUM($L596:$U596)),2)</f>
      </c>
      <c r="BA596" s="33">
        <f>ROUND(SUM($B596:$K596)-SUM($AP595:$AY595),2)</f>
      </c>
      <c r="BB596" s="33">
        <f>SUM($AP596:$AY596)</f>
      </c>
      <c r="BC596" s="33">
        <f>ROUND(SUM($L596:$U596)+SUM($AF596:$AO596),2)</f>
      </c>
    </row>
    <row r="597" spans="1:55" x14ac:dyDescent="0.25">
      <c r="A597">
        <v>590</v>
      </c>
      <c r="B597" s="33">
        <f>IF(AP596&lt;=0,0,ROUND(AP596+ROUND(AP596*V$3/12,2),2))</f>
      </c>
      <c r="C597" s="33">
        <f>IF(AQ596&lt;=0,0,ROUND(AQ596+ROUND(AQ596*W$3/12,2),2))</f>
      </c>
      <c r="D597" s="33">
        <f>IF(AR596&lt;=0,0,ROUND(AR596+ROUND(AR596*X$3/12,2),2))</f>
      </c>
      <c r="E597" s="33">
        <f>IF(AS596&lt;=0,0,ROUND(AS596+ROUND(AS596*Y$3/12,2),2))</f>
      </c>
      <c r="F597" s="33">
        <f>IF(AT596&lt;=0,0,ROUND(AT596+ROUND(AT596*Z$3/12,2),2))</f>
      </c>
      <c r="G597" s="33">
        <f>IF(AU596&lt;=0,0,ROUND(AU596+ROUND(AU596*AA$3/12,2),2))</f>
      </c>
      <c r="H597" s="33">
        <f>IF(AV596&lt;=0,0,ROUND(AV596+ROUND(AV596*AB$3/12,2),2))</f>
      </c>
      <c r="I597" s="33">
        <f>IF(AW596&lt;=0,0,ROUND(AW596+ROUND(AW596*AC$3/12,2),2))</f>
      </c>
      <c r="J597" s="33">
        <f>IF(AX596&lt;=0,0,ROUND(AX596+ROUND(AX596*AD$3/12,2),2))</f>
      </c>
      <c r="K597" s="33">
        <f>IF(AY596&lt;=0,0,ROUND(AY596+ROUND(AY596*AE$3/12,2),2))</f>
      </c>
      <c r="L597" s="33">
        <f>ROUND(MIN(MAX(0,N('Your debts'!$E$6)),B597),2)</f>
      </c>
      <c r="M597" s="33">
        <f>ROUND(MIN(MAX(0,N('Your debts'!$E$7)),C597),2)</f>
      </c>
      <c r="N597" s="33">
        <f>ROUND(MIN(MAX(0,N('Your debts'!$E$8)),D597),2)</f>
      </c>
      <c r="O597" s="33">
        <f>ROUND(MIN(MAX(0,N('Your debts'!$E$9)),E597),2)</f>
      </c>
      <c r="P597" s="33">
        <f>ROUND(MIN(MAX(0,N('Your debts'!$E$10)),F597),2)</f>
      </c>
      <c r="Q597" s="33">
        <f>ROUND(MIN(MAX(0,N('Your debts'!$E$11)),G597),2)</f>
      </c>
      <c r="R597" s="33">
        <f>ROUND(MIN(MAX(0,N('Your debts'!$E$12)),H597),2)</f>
      </c>
      <c r="S597" s="33">
        <f>ROUND(MIN(MAX(0,N('Your debts'!$E$13)),I597),2)</f>
      </c>
      <c r="T597" s="33">
        <f>ROUND(MIN(MAX(0,N('Your debts'!$E$14)),J597),2)</f>
      </c>
      <c r="U597" s="33">
        <f>ROUND(MIN(MAX(0,N('Your debts'!$E$15)),K597),2)</f>
      </c>
      <c r="V597" s="33">
        <f>ROUND(B597-L597,2)</f>
      </c>
      <c r="W597" s="33">
        <f>ROUND(C597-M597,2)</f>
      </c>
      <c r="X597" s="33">
        <f>ROUND(D597-N597,2)</f>
      </c>
      <c r="Y597" s="33">
        <f>ROUND(E597-O597,2)</f>
      </c>
      <c r="Z597" s="33">
        <f>ROUND(F597-P597,2)</f>
      </c>
      <c r="AA597" s="33">
        <f>ROUND(G597-Q597,2)</f>
      </c>
      <c r="AB597" s="33">
        <f>ROUND(H597-R597,2)</f>
      </c>
      <c r="AC597" s="33">
        <f>ROUND(I597-S597,2)</f>
      </c>
      <c r="AD597" s="33">
        <f>ROUND(J597-T597,2)</f>
      </c>
      <c r="AE597" s="33">
        <f>ROUND(K597-U597,2)</f>
      </c>
      <c r="AF597" s="33">
        <f>IF(V597&lt;=0,0,MAX(0,MIN(V597,ROUND($AZ597-SUMPRODUCT($V597:$AE597*($V597:$AE597&gt;0)*(($V$3:$AE$3&gt;V$3)+($V$3:$AE$3=V$3)*($V597:$AE597&lt;V597)+($V$3:$AE$3=V$3)*($V597:$AE597=V597)*($V$2:$AE$2&lt;V$2))),2))))</f>
      </c>
      <c r="AG597" s="33">
        <f>IF(W597&lt;=0,0,MAX(0,MIN(W597,ROUND($AZ597-SUMPRODUCT($V597:$AE597*($V597:$AE597&gt;0)*(($V$3:$AE$3&gt;W$3)+($V$3:$AE$3=W$3)*($V597:$AE597&lt;W597)+($V$3:$AE$3=W$3)*($V597:$AE597=W597)*($V$2:$AE$2&lt;W$2))),2))))</f>
      </c>
      <c r="AH597" s="33">
        <f>IF(X597&lt;=0,0,MAX(0,MIN(X597,ROUND($AZ597-SUMPRODUCT($V597:$AE597*($V597:$AE597&gt;0)*(($V$3:$AE$3&gt;X$3)+($V$3:$AE$3=X$3)*($V597:$AE597&lt;X597)+($V$3:$AE$3=X$3)*($V597:$AE597=X597)*($V$2:$AE$2&lt;X$2))),2))))</f>
      </c>
      <c r="AI597" s="33">
        <f>IF(Y597&lt;=0,0,MAX(0,MIN(Y597,ROUND($AZ597-SUMPRODUCT($V597:$AE597*($V597:$AE597&gt;0)*(($V$3:$AE$3&gt;Y$3)+($V$3:$AE$3=Y$3)*($V597:$AE597&lt;Y597)+($V$3:$AE$3=Y$3)*($V597:$AE597=Y597)*($V$2:$AE$2&lt;Y$2))),2))))</f>
      </c>
      <c r="AJ597" s="33">
        <f>IF(Z597&lt;=0,0,MAX(0,MIN(Z597,ROUND($AZ597-SUMPRODUCT($V597:$AE597*($V597:$AE597&gt;0)*(($V$3:$AE$3&gt;Z$3)+($V$3:$AE$3=Z$3)*($V597:$AE597&lt;Z597)+($V$3:$AE$3=Z$3)*($V597:$AE597=Z597)*($V$2:$AE$2&lt;Z$2))),2))))</f>
      </c>
      <c r="AK597" s="33">
        <f>IF(AA597&lt;=0,0,MAX(0,MIN(AA597,ROUND($AZ597-SUMPRODUCT($V597:$AE597*($V597:$AE597&gt;0)*(($V$3:$AE$3&gt;AA$3)+($V$3:$AE$3=AA$3)*($V597:$AE597&lt;AA597)+($V$3:$AE$3=AA$3)*($V597:$AE597=AA597)*($V$2:$AE$2&lt;AA$2))),2))))</f>
      </c>
      <c r="AL597" s="33">
        <f>IF(AB597&lt;=0,0,MAX(0,MIN(AB597,ROUND($AZ597-SUMPRODUCT($V597:$AE597*($V597:$AE597&gt;0)*(($V$3:$AE$3&gt;AB$3)+($V$3:$AE$3=AB$3)*($V597:$AE597&lt;AB597)+($V$3:$AE$3=AB$3)*($V597:$AE597=AB597)*($V$2:$AE$2&lt;AB$2))),2))))</f>
      </c>
      <c r="AM597" s="33">
        <f>IF(AC597&lt;=0,0,MAX(0,MIN(AC597,ROUND($AZ597-SUMPRODUCT($V597:$AE597*($V597:$AE597&gt;0)*(($V$3:$AE$3&gt;AC$3)+($V$3:$AE$3=AC$3)*($V597:$AE597&lt;AC597)+($V$3:$AE$3=AC$3)*($V597:$AE597=AC597)*($V$2:$AE$2&lt;AC$2))),2))))</f>
      </c>
      <c r="AN597" s="33">
        <f>IF(AD597&lt;=0,0,MAX(0,MIN(AD597,ROUND($AZ597-SUMPRODUCT($V597:$AE597*($V597:$AE597&gt;0)*(($V$3:$AE$3&gt;AD$3)+($V$3:$AE$3=AD$3)*($V597:$AE597&lt;AD597)+($V$3:$AE$3=AD$3)*($V597:$AE597=AD597)*($V$2:$AE$2&lt;AD$2))),2))))</f>
      </c>
      <c r="AO597" s="33">
        <f>IF(AE597&lt;=0,0,MAX(0,MIN(AE597,ROUND($AZ597-SUMPRODUCT($V597:$AE597*($V597:$AE597&gt;0)*(($V$3:$AE$3&gt;AE$3)+($V$3:$AE$3=AE$3)*($V597:$AE597&lt;AE597)+($V$3:$AE$3=AE$3)*($V597:$AE597=AE597)*($V$2:$AE$2&lt;AE$2))),2))))</f>
      </c>
      <c r="AP597" s="33">
        <f>ROUND(V597-AF597,2)</f>
      </c>
      <c r="AQ597" s="33">
        <f>ROUND(W597-AG597,2)</f>
      </c>
      <c r="AR597" s="33">
        <f>ROUND(X597-AH597,2)</f>
      </c>
      <c r="AS597" s="33">
        <f>ROUND(Y597-AI597,2)</f>
      </c>
      <c r="AT597" s="33">
        <f>ROUND(Z597-AJ597,2)</f>
      </c>
      <c r="AU597" s="33">
        <f>ROUND(AA597-AK597,2)</f>
      </c>
      <c r="AV597" s="33">
        <f>ROUND(AB597-AL597,2)</f>
      </c>
      <c r="AW597" s="33">
        <f>ROUND(AC597-AM597,2)</f>
      </c>
      <c r="AX597" s="33">
        <f>ROUND(AD597-AN597,2)</f>
      </c>
      <c r="AY597" s="33">
        <f>ROUND(AE597-AO597,2)</f>
      </c>
      <c r="AZ597" s="33">
        <f>ROUND(MAX(0,'Your debts'!$D$22-SUM($L597:$U597)),2)</f>
      </c>
      <c r="BA597" s="33">
        <f>ROUND(SUM($B597:$K597)-SUM($AP596:$AY596),2)</f>
      </c>
      <c r="BB597" s="33">
        <f>SUM($AP597:$AY597)</f>
      </c>
      <c r="BC597" s="33">
        <f>ROUND(SUM($L597:$U597)+SUM($AF597:$AO597),2)</f>
      </c>
    </row>
    <row r="598" spans="1:55" x14ac:dyDescent="0.25">
      <c r="A598">
        <v>591</v>
      </c>
      <c r="B598" s="33">
        <f>IF(AP597&lt;=0,0,ROUND(AP597+ROUND(AP597*V$3/12,2),2))</f>
      </c>
      <c r="C598" s="33">
        <f>IF(AQ597&lt;=0,0,ROUND(AQ597+ROUND(AQ597*W$3/12,2),2))</f>
      </c>
      <c r="D598" s="33">
        <f>IF(AR597&lt;=0,0,ROUND(AR597+ROUND(AR597*X$3/12,2),2))</f>
      </c>
      <c r="E598" s="33">
        <f>IF(AS597&lt;=0,0,ROUND(AS597+ROUND(AS597*Y$3/12,2),2))</f>
      </c>
      <c r="F598" s="33">
        <f>IF(AT597&lt;=0,0,ROUND(AT597+ROUND(AT597*Z$3/12,2),2))</f>
      </c>
      <c r="G598" s="33">
        <f>IF(AU597&lt;=0,0,ROUND(AU597+ROUND(AU597*AA$3/12,2),2))</f>
      </c>
      <c r="H598" s="33">
        <f>IF(AV597&lt;=0,0,ROUND(AV597+ROUND(AV597*AB$3/12,2),2))</f>
      </c>
      <c r="I598" s="33">
        <f>IF(AW597&lt;=0,0,ROUND(AW597+ROUND(AW597*AC$3/12,2),2))</f>
      </c>
      <c r="J598" s="33">
        <f>IF(AX597&lt;=0,0,ROUND(AX597+ROUND(AX597*AD$3/12,2),2))</f>
      </c>
      <c r="K598" s="33">
        <f>IF(AY597&lt;=0,0,ROUND(AY597+ROUND(AY597*AE$3/12,2),2))</f>
      </c>
      <c r="L598" s="33">
        <f>ROUND(MIN(MAX(0,N('Your debts'!$E$6)),B598),2)</f>
      </c>
      <c r="M598" s="33">
        <f>ROUND(MIN(MAX(0,N('Your debts'!$E$7)),C598),2)</f>
      </c>
      <c r="N598" s="33">
        <f>ROUND(MIN(MAX(0,N('Your debts'!$E$8)),D598),2)</f>
      </c>
      <c r="O598" s="33">
        <f>ROUND(MIN(MAX(0,N('Your debts'!$E$9)),E598),2)</f>
      </c>
      <c r="P598" s="33">
        <f>ROUND(MIN(MAX(0,N('Your debts'!$E$10)),F598),2)</f>
      </c>
      <c r="Q598" s="33">
        <f>ROUND(MIN(MAX(0,N('Your debts'!$E$11)),G598),2)</f>
      </c>
      <c r="R598" s="33">
        <f>ROUND(MIN(MAX(0,N('Your debts'!$E$12)),H598),2)</f>
      </c>
      <c r="S598" s="33">
        <f>ROUND(MIN(MAX(0,N('Your debts'!$E$13)),I598),2)</f>
      </c>
      <c r="T598" s="33">
        <f>ROUND(MIN(MAX(0,N('Your debts'!$E$14)),J598),2)</f>
      </c>
      <c r="U598" s="33">
        <f>ROUND(MIN(MAX(0,N('Your debts'!$E$15)),K598),2)</f>
      </c>
      <c r="V598" s="33">
        <f>ROUND(B598-L598,2)</f>
      </c>
      <c r="W598" s="33">
        <f>ROUND(C598-M598,2)</f>
      </c>
      <c r="X598" s="33">
        <f>ROUND(D598-N598,2)</f>
      </c>
      <c r="Y598" s="33">
        <f>ROUND(E598-O598,2)</f>
      </c>
      <c r="Z598" s="33">
        <f>ROUND(F598-P598,2)</f>
      </c>
      <c r="AA598" s="33">
        <f>ROUND(G598-Q598,2)</f>
      </c>
      <c r="AB598" s="33">
        <f>ROUND(H598-R598,2)</f>
      </c>
      <c r="AC598" s="33">
        <f>ROUND(I598-S598,2)</f>
      </c>
      <c r="AD598" s="33">
        <f>ROUND(J598-T598,2)</f>
      </c>
      <c r="AE598" s="33">
        <f>ROUND(K598-U598,2)</f>
      </c>
      <c r="AF598" s="33">
        <f>IF(V598&lt;=0,0,MAX(0,MIN(V598,ROUND($AZ598-SUMPRODUCT($V598:$AE598*($V598:$AE598&gt;0)*(($V$3:$AE$3&gt;V$3)+($V$3:$AE$3=V$3)*($V598:$AE598&lt;V598)+($V$3:$AE$3=V$3)*($V598:$AE598=V598)*($V$2:$AE$2&lt;V$2))),2))))</f>
      </c>
      <c r="AG598" s="33">
        <f>IF(W598&lt;=0,0,MAX(0,MIN(W598,ROUND($AZ598-SUMPRODUCT($V598:$AE598*($V598:$AE598&gt;0)*(($V$3:$AE$3&gt;W$3)+($V$3:$AE$3=W$3)*($V598:$AE598&lt;W598)+($V$3:$AE$3=W$3)*($V598:$AE598=W598)*($V$2:$AE$2&lt;W$2))),2))))</f>
      </c>
      <c r="AH598" s="33">
        <f>IF(X598&lt;=0,0,MAX(0,MIN(X598,ROUND($AZ598-SUMPRODUCT($V598:$AE598*($V598:$AE598&gt;0)*(($V$3:$AE$3&gt;X$3)+($V$3:$AE$3=X$3)*($V598:$AE598&lt;X598)+($V$3:$AE$3=X$3)*($V598:$AE598=X598)*($V$2:$AE$2&lt;X$2))),2))))</f>
      </c>
      <c r="AI598" s="33">
        <f>IF(Y598&lt;=0,0,MAX(0,MIN(Y598,ROUND($AZ598-SUMPRODUCT($V598:$AE598*($V598:$AE598&gt;0)*(($V$3:$AE$3&gt;Y$3)+($V$3:$AE$3=Y$3)*($V598:$AE598&lt;Y598)+($V$3:$AE$3=Y$3)*($V598:$AE598=Y598)*($V$2:$AE$2&lt;Y$2))),2))))</f>
      </c>
      <c r="AJ598" s="33">
        <f>IF(Z598&lt;=0,0,MAX(0,MIN(Z598,ROUND($AZ598-SUMPRODUCT($V598:$AE598*($V598:$AE598&gt;0)*(($V$3:$AE$3&gt;Z$3)+($V$3:$AE$3=Z$3)*($V598:$AE598&lt;Z598)+($V$3:$AE$3=Z$3)*($V598:$AE598=Z598)*($V$2:$AE$2&lt;Z$2))),2))))</f>
      </c>
      <c r="AK598" s="33">
        <f>IF(AA598&lt;=0,0,MAX(0,MIN(AA598,ROUND($AZ598-SUMPRODUCT($V598:$AE598*($V598:$AE598&gt;0)*(($V$3:$AE$3&gt;AA$3)+($V$3:$AE$3=AA$3)*($V598:$AE598&lt;AA598)+($V$3:$AE$3=AA$3)*($V598:$AE598=AA598)*($V$2:$AE$2&lt;AA$2))),2))))</f>
      </c>
      <c r="AL598" s="33">
        <f>IF(AB598&lt;=0,0,MAX(0,MIN(AB598,ROUND($AZ598-SUMPRODUCT($V598:$AE598*($V598:$AE598&gt;0)*(($V$3:$AE$3&gt;AB$3)+($V$3:$AE$3=AB$3)*($V598:$AE598&lt;AB598)+($V$3:$AE$3=AB$3)*($V598:$AE598=AB598)*($V$2:$AE$2&lt;AB$2))),2))))</f>
      </c>
      <c r="AM598" s="33">
        <f>IF(AC598&lt;=0,0,MAX(0,MIN(AC598,ROUND($AZ598-SUMPRODUCT($V598:$AE598*($V598:$AE598&gt;0)*(($V$3:$AE$3&gt;AC$3)+($V$3:$AE$3=AC$3)*($V598:$AE598&lt;AC598)+($V$3:$AE$3=AC$3)*($V598:$AE598=AC598)*($V$2:$AE$2&lt;AC$2))),2))))</f>
      </c>
      <c r="AN598" s="33">
        <f>IF(AD598&lt;=0,0,MAX(0,MIN(AD598,ROUND($AZ598-SUMPRODUCT($V598:$AE598*($V598:$AE598&gt;0)*(($V$3:$AE$3&gt;AD$3)+($V$3:$AE$3=AD$3)*($V598:$AE598&lt;AD598)+($V$3:$AE$3=AD$3)*($V598:$AE598=AD598)*($V$2:$AE$2&lt;AD$2))),2))))</f>
      </c>
      <c r="AO598" s="33">
        <f>IF(AE598&lt;=0,0,MAX(0,MIN(AE598,ROUND($AZ598-SUMPRODUCT($V598:$AE598*($V598:$AE598&gt;0)*(($V$3:$AE$3&gt;AE$3)+($V$3:$AE$3=AE$3)*($V598:$AE598&lt;AE598)+($V$3:$AE$3=AE$3)*($V598:$AE598=AE598)*($V$2:$AE$2&lt;AE$2))),2))))</f>
      </c>
      <c r="AP598" s="33">
        <f>ROUND(V598-AF598,2)</f>
      </c>
      <c r="AQ598" s="33">
        <f>ROUND(W598-AG598,2)</f>
      </c>
      <c r="AR598" s="33">
        <f>ROUND(X598-AH598,2)</f>
      </c>
      <c r="AS598" s="33">
        <f>ROUND(Y598-AI598,2)</f>
      </c>
      <c r="AT598" s="33">
        <f>ROUND(Z598-AJ598,2)</f>
      </c>
      <c r="AU598" s="33">
        <f>ROUND(AA598-AK598,2)</f>
      </c>
      <c r="AV598" s="33">
        <f>ROUND(AB598-AL598,2)</f>
      </c>
      <c r="AW598" s="33">
        <f>ROUND(AC598-AM598,2)</f>
      </c>
      <c r="AX598" s="33">
        <f>ROUND(AD598-AN598,2)</f>
      </c>
      <c r="AY598" s="33">
        <f>ROUND(AE598-AO598,2)</f>
      </c>
      <c r="AZ598" s="33">
        <f>ROUND(MAX(0,'Your debts'!$D$22-SUM($L598:$U598)),2)</f>
      </c>
      <c r="BA598" s="33">
        <f>ROUND(SUM($B598:$K598)-SUM($AP597:$AY597),2)</f>
      </c>
      <c r="BB598" s="33">
        <f>SUM($AP598:$AY598)</f>
      </c>
      <c r="BC598" s="33">
        <f>ROUND(SUM($L598:$U598)+SUM($AF598:$AO598),2)</f>
      </c>
    </row>
    <row r="599" spans="1:55" x14ac:dyDescent="0.25">
      <c r="A599">
        <v>592</v>
      </c>
      <c r="B599" s="33">
        <f>IF(AP598&lt;=0,0,ROUND(AP598+ROUND(AP598*V$3/12,2),2))</f>
      </c>
      <c r="C599" s="33">
        <f>IF(AQ598&lt;=0,0,ROUND(AQ598+ROUND(AQ598*W$3/12,2),2))</f>
      </c>
      <c r="D599" s="33">
        <f>IF(AR598&lt;=0,0,ROUND(AR598+ROUND(AR598*X$3/12,2),2))</f>
      </c>
      <c r="E599" s="33">
        <f>IF(AS598&lt;=0,0,ROUND(AS598+ROUND(AS598*Y$3/12,2),2))</f>
      </c>
      <c r="F599" s="33">
        <f>IF(AT598&lt;=0,0,ROUND(AT598+ROUND(AT598*Z$3/12,2),2))</f>
      </c>
      <c r="G599" s="33">
        <f>IF(AU598&lt;=0,0,ROUND(AU598+ROUND(AU598*AA$3/12,2),2))</f>
      </c>
      <c r="H599" s="33">
        <f>IF(AV598&lt;=0,0,ROUND(AV598+ROUND(AV598*AB$3/12,2),2))</f>
      </c>
      <c r="I599" s="33">
        <f>IF(AW598&lt;=0,0,ROUND(AW598+ROUND(AW598*AC$3/12,2),2))</f>
      </c>
      <c r="J599" s="33">
        <f>IF(AX598&lt;=0,0,ROUND(AX598+ROUND(AX598*AD$3/12,2),2))</f>
      </c>
      <c r="K599" s="33">
        <f>IF(AY598&lt;=0,0,ROUND(AY598+ROUND(AY598*AE$3/12,2),2))</f>
      </c>
      <c r="L599" s="33">
        <f>ROUND(MIN(MAX(0,N('Your debts'!$E$6)),B599),2)</f>
      </c>
      <c r="M599" s="33">
        <f>ROUND(MIN(MAX(0,N('Your debts'!$E$7)),C599),2)</f>
      </c>
      <c r="N599" s="33">
        <f>ROUND(MIN(MAX(0,N('Your debts'!$E$8)),D599),2)</f>
      </c>
      <c r="O599" s="33">
        <f>ROUND(MIN(MAX(0,N('Your debts'!$E$9)),E599),2)</f>
      </c>
      <c r="P599" s="33">
        <f>ROUND(MIN(MAX(0,N('Your debts'!$E$10)),F599),2)</f>
      </c>
      <c r="Q599" s="33">
        <f>ROUND(MIN(MAX(0,N('Your debts'!$E$11)),G599),2)</f>
      </c>
      <c r="R599" s="33">
        <f>ROUND(MIN(MAX(0,N('Your debts'!$E$12)),H599),2)</f>
      </c>
      <c r="S599" s="33">
        <f>ROUND(MIN(MAX(0,N('Your debts'!$E$13)),I599),2)</f>
      </c>
      <c r="T599" s="33">
        <f>ROUND(MIN(MAX(0,N('Your debts'!$E$14)),J599),2)</f>
      </c>
      <c r="U599" s="33">
        <f>ROUND(MIN(MAX(0,N('Your debts'!$E$15)),K599),2)</f>
      </c>
      <c r="V599" s="33">
        <f>ROUND(B599-L599,2)</f>
      </c>
      <c r="W599" s="33">
        <f>ROUND(C599-M599,2)</f>
      </c>
      <c r="X599" s="33">
        <f>ROUND(D599-N599,2)</f>
      </c>
      <c r="Y599" s="33">
        <f>ROUND(E599-O599,2)</f>
      </c>
      <c r="Z599" s="33">
        <f>ROUND(F599-P599,2)</f>
      </c>
      <c r="AA599" s="33">
        <f>ROUND(G599-Q599,2)</f>
      </c>
      <c r="AB599" s="33">
        <f>ROUND(H599-R599,2)</f>
      </c>
      <c r="AC599" s="33">
        <f>ROUND(I599-S599,2)</f>
      </c>
      <c r="AD599" s="33">
        <f>ROUND(J599-T599,2)</f>
      </c>
      <c r="AE599" s="33">
        <f>ROUND(K599-U599,2)</f>
      </c>
      <c r="AF599" s="33">
        <f>IF(V599&lt;=0,0,MAX(0,MIN(V599,ROUND($AZ599-SUMPRODUCT($V599:$AE599*($V599:$AE599&gt;0)*(($V$3:$AE$3&gt;V$3)+($V$3:$AE$3=V$3)*($V599:$AE599&lt;V599)+($V$3:$AE$3=V$3)*($V599:$AE599=V599)*($V$2:$AE$2&lt;V$2))),2))))</f>
      </c>
      <c r="AG599" s="33">
        <f>IF(W599&lt;=0,0,MAX(0,MIN(W599,ROUND($AZ599-SUMPRODUCT($V599:$AE599*($V599:$AE599&gt;0)*(($V$3:$AE$3&gt;W$3)+($V$3:$AE$3=W$3)*($V599:$AE599&lt;W599)+($V$3:$AE$3=W$3)*($V599:$AE599=W599)*($V$2:$AE$2&lt;W$2))),2))))</f>
      </c>
      <c r="AH599" s="33">
        <f>IF(X599&lt;=0,0,MAX(0,MIN(X599,ROUND($AZ599-SUMPRODUCT($V599:$AE599*($V599:$AE599&gt;0)*(($V$3:$AE$3&gt;X$3)+($V$3:$AE$3=X$3)*($V599:$AE599&lt;X599)+($V$3:$AE$3=X$3)*($V599:$AE599=X599)*($V$2:$AE$2&lt;X$2))),2))))</f>
      </c>
      <c r="AI599" s="33">
        <f>IF(Y599&lt;=0,0,MAX(0,MIN(Y599,ROUND($AZ599-SUMPRODUCT($V599:$AE599*($V599:$AE599&gt;0)*(($V$3:$AE$3&gt;Y$3)+($V$3:$AE$3=Y$3)*($V599:$AE599&lt;Y599)+($V$3:$AE$3=Y$3)*($V599:$AE599=Y599)*($V$2:$AE$2&lt;Y$2))),2))))</f>
      </c>
      <c r="AJ599" s="33">
        <f>IF(Z599&lt;=0,0,MAX(0,MIN(Z599,ROUND($AZ599-SUMPRODUCT($V599:$AE599*($V599:$AE599&gt;0)*(($V$3:$AE$3&gt;Z$3)+($V$3:$AE$3=Z$3)*($V599:$AE599&lt;Z599)+($V$3:$AE$3=Z$3)*($V599:$AE599=Z599)*($V$2:$AE$2&lt;Z$2))),2))))</f>
      </c>
      <c r="AK599" s="33">
        <f>IF(AA599&lt;=0,0,MAX(0,MIN(AA599,ROUND($AZ599-SUMPRODUCT($V599:$AE599*($V599:$AE599&gt;0)*(($V$3:$AE$3&gt;AA$3)+($V$3:$AE$3=AA$3)*($V599:$AE599&lt;AA599)+($V$3:$AE$3=AA$3)*($V599:$AE599=AA599)*($V$2:$AE$2&lt;AA$2))),2))))</f>
      </c>
      <c r="AL599" s="33">
        <f>IF(AB599&lt;=0,0,MAX(0,MIN(AB599,ROUND($AZ599-SUMPRODUCT($V599:$AE599*($V599:$AE599&gt;0)*(($V$3:$AE$3&gt;AB$3)+($V$3:$AE$3=AB$3)*($V599:$AE599&lt;AB599)+($V$3:$AE$3=AB$3)*($V599:$AE599=AB599)*($V$2:$AE$2&lt;AB$2))),2))))</f>
      </c>
      <c r="AM599" s="33">
        <f>IF(AC599&lt;=0,0,MAX(0,MIN(AC599,ROUND($AZ599-SUMPRODUCT($V599:$AE599*($V599:$AE599&gt;0)*(($V$3:$AE$3&gt;AC$3)+($V$3:$AE$3=AC$3)*($V599:$AE599&lt;AC599)+($V$3:$AE$3=AC$3)*($V599:$AE599=AC599)*($V$2:$AE$2&lt;AC$2))),2))))</f>
      </c>
      <c r="AN599" s="33">
        <f>IF(AD599&lt;=0,0,MAX(0,MIN(AD599,ROUND($AZ599-SUMPRODUCT($V599:$AE599*($V599:$AE599&gt;0)*(($V$3:$AE$3&gt;AD$3)+($V$3:$AE$3=AD$3)*($V599:$AE599&lt;AD599)+($V$3:$AE$3=AD$3)*($V599:$AE599=AD599)*($V$2:$AE$2&lt;AD$2))),2))))</f>
      </c>
      <c r="AO599" s="33">
        <f>IF(AE599&lt;=0,0,MAX(0,MIN(AE599,ROUND($AZ599-SUMPRODUCT($V599:$AE599*($V599:$AE599&gt;0)*(($V$3:$AE$3&gt;AE$3)+($V$3:$AE$3=AE$3)*($V599:$AE599&lt;AE599)+($V$3:$AE$3=AE$3)*($V599:$AE599=AE599)*($V$2:$AE$2&lt;AE$2))),2))))</f>
      </c>
      <c r="AP599" s="33">
        <f>ROUND(V599-AF599,2)</f>
      </c>
      <c r="AQ599" s="33">
        <f>ROUND(W599-AG599,2)</f>
      </c>
      <c r="AR599" s="33">
        <f>ROUND(X599-AH599,2)</f>
      </c>
      <c r="AS599" s="33">
        <f>ROUND(Y599-AI599,2)</f>
      </c>
      <c r="AT599" s="33">
        <f>ROUND(Z599-AJ599,2)</f>
      </c>
      <c r="AU599" s="33">
        <f>ROUND(AA599-AK599,2)</f>
      </c>
      <c r="AV599" s="33">
        <f>ROUND(AB599-AL599,2)</f>
      </c>
      <c r="AW599" s="33">
        <f>ROUND(AC599-AM599,2)</f>
      </c>
      <c r="AX599" s="33">
        <f>ROUND(AD599-AN599,2)</f>
      </c>
      <c r="AY599" s="33">
        <f>ROUND(AE599-AO599,2)</f>
      </c>
      <c r="AZ599" s="33">
        <f>ROUND(MAX(0,'Your debts'!$D$22-SUM($L599:$U599)),2)</f>
      </c>
      <c r="BA599" s="33">
        <f>ROUND(SUM($B599:$K599)-SUM($AP598:$AY598),2)</f>
      </c>
      <c r="BB599" s="33">
        <f>SUM($AP599:$AY599)</f>
      </c>
      <c r="BC599" s="33">
        <f>ROUND(SUM($L599:$U599)+SUM($AF599:$AO599),2)</f>
      </c>
    </row>
    <row r="600" spans="1:55" x14ac:dyDescent="0.25">
      <c r="A600">
        <v>593</v>
      </c>
      <c r="B600" s="33">
        <f>IF(AP599&lt;=0,0,ROUND(AP599+ROUND(AP599*V$3/12,2),2))</f>
      </c>
      <c r="C600" s="33">
        <f>IF(AQ599&lt;=0,0,ROUND(AQ599+ROUND(AQ599*W$3/12,2),2))</f>
      </c>
      <c r="D600" s="33">
        <f>IF(AR599&lt;=0,0,ROUND(AR599+ROUND(AR599*X$3/12,2),2))</f>
      </c>
      <c r="E600" s="33">
        <f>IF(AS599&lt;=0,0,ROUND(AS599+ROUND(AS599*Y$3/12,2),2))</f>
      </c>
      <c r="F600" s="33">
        <f>IF(AT599&lt;=0,0,ROUND(AT599+ROUND(AT599*Z$3/12,2),2))</f>
      </c>
      <c r="G600" s="33">
        <f>IF(AU599&lt;=0,0,ROUND(AU599+ROUND(AU599*AA$3/12,2),2))</f>
      </c>
      <c r="H600" s="33">
        <f>IF(AV599&lt;=0,0,ROUND(AV599+ROUND(AV599*AB$3/12,2),2))</f>
      </c>
      <c r="I600" s="33">
        <f>IF(AW599&lt;=0,0,ROUND(AW599+ROUND(AW599*AC$3/12,2),2))</f>
      </c>
      <c r="J600" s="33">
        <f>IF(AX599&lt;=0,0,ROUND(AX599+ROUND(AX599*AD$3/12,2),2))</f>
      </c>
      <c r="K600" s="33">
        <f>IF(AY599&lt;=0,0,ROUND(AY599+ROUND(AY599*AE$3/12,2),2))</f>
      </c>
      <c r="L600" s="33">
        <f>ROUND(MIN(MAX(0,N('Your debts'!$E$6)),B600),2)</f>
      </c>
      <c r="M600" s="33">
        <f>ROUND(MIN(MAX(0,N('Your debts'!$E$7)),C600),2)</f>
      </c>
      <c r="N600" s="33">
        <f>ROUND(MIN(MAX(0,N('Your debts'!$E$8)),D600),2)</f>
      </c>
      <c r="O600" s="33">
        <f>ROUND(MIN(MAX(0,N('Your debts'!$E$9)),E600),2)</f>
      </c>
      <c r="P600" s="33">
        <f>ROUND(MIN(MAX(0,N('Your debts'!$E$10)),F600),2)</f>
      </c>
      <c r="Q600" s="33">
        <f>ROUND(MIN(MAX(0,N('Your debts'!$E$11)),G600),2)</f>
      </c>
      <c r="R600" s="33">
        <f>ROUND(MIN(MAX(0,N('Your debts'!$E$12)),H600),2)</f>
      </c>
      <c r="S600" s="33">
        <f>ROUND(MIN(MAX(0,N('Your debts'!$E$13)),I600),2)</f>
      </c>
      <c r="T600" s="33">
        <f>ROUND(MIN(MAX(0,N('Your debts'!$E$14)),J600),2)</f>
      </c>
      <c r="U600" s="33">
        <f>ROUND(MIN(MAX(0,N('Your debts'!$E$15)),K600),2)</f>
      </c>
      <c r="V600" s="33">
        <f>ROUND(B600-L600,2)</f>
      </c>
      <c r="W600" s="33">
        <f>ROUND(C600-M600,2)</f>
      </c>
      <c r="X600" s="33">
        <f>ROUND(D600-N600,2)</f>
      </c>
      <c r="Y600" s="33">
        <f>ROUND(E600-O600,2)</f>
      </c>
      <c r="Z600" s="33">
        <f>ROUND(F600-P600,2)</f>
      </c>
      <c r="AA600" s="33">
        <f>ROUND(G600-Q600,2)</f>
      </c>
      <c r="AB600" s="33">
        <f>ROUND(H600-R600,2)</f>
      </c>
      <c r="AC600" s="33">
        <f>ROUND(I600-S600,2)</f>
      </c>
      <c r="AD600" s="33">
        <f>ROUND(J600-T600,2)</f>
      </c>
      <c r="AE600" s="33">
        <f>ROUND(K600-U600,2)</f>
      </c>
      <c r="AF600" s="33">
        <f>IF(V600&lt;=0,0,MAX(0,MIN(V600,ROUND($AZ600-SUMPRODUCT($V600:$AE600*($V600:$AE600&gt;0)*(($V$3:$AE$3&gt;V$3)+($V$3:$AE$3=V$3)*($V600:$AE600&lt;V600)+($V$3:$AE$3=V$3)*($V600:$AE600=V600)*($V$2:$AE$2&lt;V$2))),2))))</f>
      </c>
      <c r="AG600" s="33">
        <f>IF(W600&lt;=0,0,MAX(0,MIN(W600,ROUND($AZ600-SUMPRODUCT($V600:$AE600*($V600:$AE600&gt;0)*(($V$3:$AE$3&gt;W$3)+($V$3:$AE$3=W$3)*($V600:$AE600&lt;W600)+($V$3:$AE$3=W$3)*($V600:$AE600=W600)*($V$2:$AE$2&lt;W$2))),2))))</f>
      </c>
      <c r="AH600" s="33">
        <f>IF(X600&lt;=0,0,MAX(0,MIN(X600,ROUND($AZ600-SUMPRODUCT($V600:$AE600*($V600:$AE600&gt;0)*(($V$3:$AE$3&gt;X$3)+($V$3:$AE$3=X$3)*($V600:$AE600&lt;X600)+($V$3:$AE$3=X$3)*($V600:$AE600=X600)*($V$2:$AE$2&lt;X$2))),2))))</f>
      </c>
      <c r="AI600" s="33">
        <f>IF(Y600&lt;=0,0,MAX(0,MIN(Y600,ROUND($AZ600-SUMPRODUCT($V600:$AE600*($V600:$AE600&gt;0)*(($V$3:$AE$3&gt;Y$3)+($V$3:$AE$3=Y$3)*($V600:$AE600&lt;Y600)+($V$3:$AE$3=Y$3)*($V600:$AE600=Y600)*($V$2:$AE$2&lt;Y$2))),2))))</f>
      </c>
      <c r="AJ600" s="33">
        <f>IF(Z600&lt;=0,0,MAX(0,MIN(Z600,ROUND($AZ600-SUMPRODUCT($V600:$AE600*($V600:$AE600&gt;0)*(($V$3:$AE$3&gt;Z$3)+($V$3:$AE$3=Z$3)*($V600:$AE600&lt;Z600)+($V$3:$AE$3=Z$3)*($V600:$AE600=Z600)*($V$2:$AE$2&lt;Z$2))),2))))</f>
      </c>
      <c r="AK600" s="33">
        <f>IF(AA600&lt;=0,0,MAX(0,MIN(AA600,ROUND($AZ600-SUMPRODUCT($V600:$AE600*($V600:$AE600&gt;0)*(($V$3:$AE$3&gt;AA$3)+($V$3:$AE$3=AA$3)*($V600:$AE600&lt;AA600)+($V$3:$AE$3=AA$3)*($V600:$AE600=AA600)*($V$2:$AE$2&lt;AA$2))),2))))</f>
      </c>
      <c r="AL600" s="33">
        <f>IF(AB600&lt;=0,0,MAX(0,MIN(AB600,ROUND($AZ600-SUMPRODUCT($V600:$AE600*($V600:$AE600&gt;0)*(($V$3:$AE$3&gt;AB$3)+($V$3:$AE$3=AB$3)*($V600:$AE600&lt;AB600)+($V$3:$AE$3=AB$3)*($V600:$AE600=AB600)*($V$2:$AE$2&lt;AB$2))),2))))</f>
      </c>
      <c r="AM600" s="33">
        <f>IF(AC600&lt;=0,0,MAX(0,MIN(AC600,ROUND($AZ600-SUMPRODUCT($V600:$AE600*($V600:$AE600&gt;0)*(($V$3:$AE$3&gt;AC$3)+($V$3:$AE$3=AC$3)*($V600:$AE600&lt;AC600)+($V$3:$AE$3=AC$3)*($V600:$AE600=AC600)*($V$2:$AE$2&lt;AC$2))),2))))</f>
      </c>
      <c r="AN600" s="33">
        <f>IF(AD600&lt;=0,0,MAX(0,MIN(AD600,ROUND($AZ600-SUMPRODUCT($V600:$AE600*($V600:$AE600&gt;0)*(($V$3:$AE$3&gt;AD$3)+($V$3:$AE$3=AD$3)*($V600:$AE600&lt;AD600)+($V$3:$AE$3=AD$3)*($V600:$AE600=AD600)*($V$2:$AE$2&lt;AD$2))),2))))</f>
      </c>
      <c r="AO600" s="33">
        <f>IF(AE600&lt;=0,0,MAX(0,MIN(AE600,ROUND($AZ600-SUMPRODUCT($V600:$AE600*($V600:$AE600&gt;0)*(($V$3:$AE$3&gt;AE$3)+($V$3:$AE$3=AE$3)*($V600:$AE600&lt;AE600)+($V$3:$AE$3=AE$3)*($V600:$AE600=AE600)*($V$2:$AE$2&lt;AE$2))),2))))</f>
      </c>
      <c r="AP600" s="33">
        <f>ROUND(V600-AF600,2)</f>
      </c>
      <c r="AQ600" s="33">
        <f>ROUND(W600-AG600,2)</f>
      </c>
      <c r="AR600" s="33">
        <f>ROUND(X600-AH600,2)</f>
      </c>
      <c r="AS600" s="33">
        <f>ROUND(Y600-AI600,2)</f>
      </c>
      <c r="AT600" s="33">
        <f>ROUND(Z600-AJ600,2)</f>
      </c>
      <c r="AU600" s="33">
        <f>ROUND(AA600-AK600,2)</f>
      </c>
      <c r="AV600" s="33">
        <f>ROUND(AB600-AL600,2)</f>
      </c>
      <c r="AW600" s="33">
        <f>ROUND(AC600-AM600,2)</f>
      </c>
      <c r="AX600" s="33">
        <f>ROUND(AD600-AN600,2)</f>
      </c>
      <c r="AY600" s="33">
        <f>ROUND(AE600-AO600,2)</f>
      </c>
      <c r="AZ600" s="33">
        <f>ROUND(MAX(0,'Your debts'!$D$22-SUM($L600:$U600)),2)</f>
      </c>
      <c r="BA600" s="33">
        <f>ROUND(SUM($B600:$K600)-SUM($AP599:$AY599),2)</f>
      </c>
      <c r="BB600" s="33">
        <f>SUM($AP600:$AY600)</f>
      </c>
      <c r="BC600" s="33">
        <f>ROUND(SUM($L600:$U600)+SUM($AF600:$AO600),2)</f>
      </c>
    </row>
    <row r="601" spans="1:55" x14ac:dyDescent="0.25">
      <c r="A601">
        <v>594</v>
      </c>
      <c r="B601" s="33">
        <f>IF(AP600&lt;=0,0,ROUND(AP600+ROUND(AP600*V$3/12,2),2))</f>
      </c>
      <c r="C601" s="33">
        <f>IF(AQ600&lt;=0,0,ROUND(AQ600+ROUND(AQ600*W$3/12,2),2))</f>
      </c>
      <c r="D601" s="33">
        <f>IF(AR600&lt;=0,0,ROUND(AR600+ROUND(AR600*X$3/12,2),2))</f>
      </c>
      <c r="E601" s="33">
        <f>IF(AS600&lt;=0,0,ROUND(AS600+ROUND(AS600*Y$3/12,2),2))</f>
      </c>
      <c r="F601" s="33">
        <f>IF(AT600&lt;=0,0,ROUND(AT600+ROUND(AT600*Z$3/12,2),2))</f>
      </c>
      <c r="G601" s="33">
        <f>IF(AU600&lt;=0,0,ROUND(AU600+ROUND(AU600*AA$3/12,2),2))</f>
      </c>
      <c r="H601" s="33">
        <f>IF(AV600&lt;=0,0,ROUND(AV600+ROUND(AV600*AB$3/12,2),2))</f>
      </c>
      <c r="I601" s="33">
        <f>IF(AW600&lt;=0,0,ROUND(AW600+ROUND(AW600*AC$3/12,2),2))</f>
      </c>
      <c r="J601" s="33">
        <f>IF(AX600&lt;=0,0,ROUND(AX600+ROUND(AX600*AD$3/12,2),2))</f>
      </c>
      <c r="K601" s="33">
        <f>IF(AY600&lt;=0,0,ROUND(AY600+ROUND(AY600*AE$3/12,2),2))</f>
      </c>
      <c r="L601" s="33">
        <f>ROUND(MIN(MAX(0,N('Your debts'!$E$6)),B601),2)</f>
      </c>
      <c r="M601" s="33">
        <f>ROUND(MIN(MAX(0,N('Your debts'!$E$7)),C601),2)</f>
      </c>
      <c r="N601" s="33">
        <f>ROUND(MIN(MAX(0,N('Your debts'!$E$8)),D601),2)</f>
      </c>
      <c r="O601" s="33">
        <f>ROUND(MIN(MAX(0,N('Your debts'!$E$9)),E601),2)</f>
      </c>
      <c r="P601" s="33">
        <f>ROUND(MIN(MAX(0,N('Your debts'!$E$10)),F601),2)</f>
      </c>
      <c r="Q601" s="33">
        <f>ROUND(MIN(MAX(0,N('Your debts'!$E$11)),G601),2)</f>
      </c>
      <c r="R601" s="33">
        <f>ROUND(MIN(MAX(0,N('Your debts'!$E$12)),H601),2)</f>
      </c>
      <c r="S601" s="33">
        <f>ROUND(MIN(MAX(0,N('Your debts'!$E$13)),I601),2)</f>
      </c>
      <c r="T601" s="33">
        <f>ROUND(MIN(MAX(0,N('Your debts'!$E$14)),J601),2)</f>
      </c>
      <c r="U601" s="33">
        <f>ROUND(MIN(MAX(0,N('Your debts'!$E$15)),K601),2)</f>
      </c>
      <c r="V601" s="33">
        <f>ROUND(B601-L601,2)</f>
      </c>
      <c r="W601" s="33">
        <f>ROUND(C601-M601,2)</f>
      </c>
      <c r="X601" s="33">
        <f>ROUND(D601-N601,2)</f>
      </c>
      <c r="Y601" s="33">
        <f>ROUND(E601-O601,2)</f>
      </c>
      <c r="Z601" s="33">
        <f>ROUND(F601-P601,2)</f>
      </c>
      <c r="AA601" s="33">
        <f>ROUND(G601-Q601,2)</f>
      </c>
      <c r="AB601" s="33">
        <f>ROUND(H601-R601,2)</f>
      </c>
      <c r="AC601" s="33">
        <f>ROUND(I601-S601,2)</f>
      </c>
      <c r="AD601" s="33">
        <f>ROUND(J601-T601,2)</f>
      </c>
      <c r="AE601" s="33">
        <f>ROUND(K601-U601,2)</f>
      </c>
      <c r="AF601" s="33">
        <f>IF(V601&lt;=0,0,MAX(0,MIN(V601,ROUND($AZ601-SUMPRODUCT($V601:$AE601*($V601:$AE601&gt;0)*(($V$3:$AE$3&gt;V$3)+($V$3:$AE$3=V$3)*($V601:$AE601&lt;V601)+($V$3:$AE$3=V$3)*($V601:$AE601=V601)*($V$2:$AE$2&lt;V$2))),2))))</f>
      </c>
      <c r="AG601" s="33">
        <f>IF(W601&lt;=0,0,MAX(0,MIN(W601,ROUND($AZ601-SUMPRODUCT($V601:$AE601*($V601:$AE601&gt;0)*(($V$3:$AE$3&gt;W$3)+($V$3:$AE$3=W$3)*($V601:$AE601&lt;W601)+($V$3:$AE$3=W$3)*($V601:$AE601=W601)*($V$2:$AE$2&lt;W$2))),2))))</f>
      </c>
      <c r="AH601" s="33">
        <f>IF(X601&lt;=0,0,MAX(0,MIN(X601,ROUND($AZ601-SUMPRODUCT($V601:$AE601*($V601:$AE601&gt;0)*(($V$3:$AE$3&gt;X$3)+($V$3:$AE$3=X$3)*($V601:$AE601&lt;X601)+($V$3:$AE$3=X$3)*($V601:$AE601=X601)*($V$2:$AE$2&lt;X$2))),2))))</f>
      </c>
      <c r="AI601" s="33">
        <f>IF(Y601&lt;=0,0,MAX(0,MIN(Y601,ROUND($AZ601-SUMPRODUCT($V601:$AE601*($V601:$AE601&gt;0)*(($V$3:$AE$3&gt;Y$3)+($V$3:$AE$3=Y$3)*($V601:$AE601&lt;Y601)+($V$3:$AE$3=Y$3)*($V601:$AE601=Y601)*($V$2:$AE$2&lt;Y$2))),2))))</f>
      </c>
      <c r="AJ601" s="33">
        <f>IF(Z601&lt;=0,0,MAX(0,MIN(Z601,ROUND($AZ601-SUMPRODUCT($V601:$AE601*($V601:$AE601&gt;0)*(($V$3:$AE$3&gt;Z$3)+($V$3:$AE$3=Z$3)*($V601:$AE601&lt;Z601)+($V$3:$AE$3=Z$3)*($V601:$AE601=Z601)*($V$2:$AE$2&lt;Z$2))),2))))</f>
      </c>
      <c r="AK601" s="33">
        <f>IF(AA601&lt;=0,0,MAX(0,MIN(AA601,ROUND($AZ601-SUMPRODUCT($V601:$AE601*($V601:$AE601&gt;0)*(($V$3:$AE$3&gt;AA$3)+($V$3:$AE$3=AA$3)*($V601:$AE601&lt;AA601)+($V$3:$AE$3=AA$3)*($V601:$AE601=AA601)*($V$2:$AE$2&lt;AA$2))),2))))</f>
      </c>
      <c r="AL601" s="33">
        <f>IF(AB601&lt;=0,0,MAX(0,MIN(AB601,ROUND($AZ601-SUMPRODUCT($V601:$AE601*($V601:$AE601&gt;0)*(($V$3:$AE$3&gt;AB$3)+($V$3:$AE$3=AB$3)*($V601:$AE601&lt;AB601)+($V$3:$AE$3=AB$3)*($V601:$AE601=AB601)*($V$2:$AE$2&lt;AB$2))),2))))</f>
      </c>
      <c r="AM601" s="33">
        <f>IF(AC601&lt;=0,0,MAX(0,MIN(AC601,ROUND($AZ601-SUMPRODUCT($V601:$AE601*($V601:$AE601&gt;0)*(($V$3:$AE$3&gt;AC$3)+($V$3:$AE$3=AC$3)*($V601:$AE601&lt;AC601)+($V$3:$AE$3=AC$3)*($V601:$AE601=AC601)*($V$2:$AE$2&lt;AC$2))),2))))</f>
      </c>
      <c r="AN601" s="33">
        <f>IF(AD601&lt;=0,0,MAX(0,MIN(AD601,ROUND($AZ601-SUMPRODUCT($V601:$AE601*($V601:$AE601&gt;0)*(($V$3:$AE$3&gt;AD$3)+($V$3:$AE$3=AD$3)*($V601:$AE601&lt;AD601)+($V$3:$AE$3=AD$3)*($V601:$AE601=AD601)*($V$2:$AE$2&lt;AD$2))),2))))</f>
      </c>
      <c r="AO601" s="33">
        <f>IF(AE601&lt;=0,0,MAX(0,MIN(AE601,ROUND($AZ601-SUMPRODUCT($V601:$AE601*($V601:$AE601&gt;0)*(($V$3:$AE$3&gt;AE$3)+($V$3:$AE$3=AE$3)*($V601:$AE601&lt;AE601)+($V$3:$AE$3=AE$3)*($V601:$AE601=AE601)*($V$2:$AE$2&lt;AE$2))),2))))</f>
      </c>
      <c r="AP601" s="33">
        <f>ROUND(V601-AF601,2)</f>
      </c>
      <c r="AQ601" s="33">
        <f>ROUND(W601-AG601,2)</f>
      </c>
      <c r="AR601" s="33">
        <f>ROUND(X601-AH601,2)</f>
      </c>
      <c r="AS601" s="33">
        <f>ROUND(Y601-AI601,2)</f>
      </c>
      <c r="AT601" s="33">
        <f>ROUND(Z601-AJ601,2)</f>
      </c>
      <c r="AU601" s="33">
        <f>ROUND(AA601-AK601,2)</f>
      </c>
      <c r="AV601" s="33">
        <f>ROUND(AB601-AL601,2)</f>
      </c>
      <c r="AW601" s="33">
        <f>ROUND(AC601-AM601,2)</f>
      </c>
      <c r="AX601" s="33">
        <f>ROUND(AD601-AN601,2)</f>
      </c>
      <c r="AY601" s="33">
        <f>ROUND(AE601-AO601,2)</f>
      </c>
      <c r="AZ601" s="33">
        <f>ROUND(MAX(0,'Your debts'!$D$22-SUM($L601:$U601)),2)</f>
      </c>
      <c r="BA601" s="33">
        <f>ROUND(SUM($B601:$K601)-SUM($AP600:$AY600),2)</f>
      </c>
      <c r="BB601" s="33">
        <f>SUM($AP601:$AY601)</f>
      </c>
      <c r="BC601" s="33">
        <f>ROUND(SUM($L601:$U601)+SUM($AF601:$AO601),2)</f>
      </c>
    </row>
    <row r="602" spans="1:55" x14ac:dyDescent="0.25">
      <c r="A602">
        <v>595</v>
      </c>
      <c r="B602" s="33">
        <f>IF(AP601&lt;=0,0,ROUND(AP601+ROUND(AP601*V$3/12,2),2))</f>
      </c>
      <c r="C602" s="33">
        <f>IF(AQ601&lt;=0,0,ROUND(AQ601+ROUND(AQ601*W$3/12,2),2))</f>
      </c>
      <c r="D602" s="33">
        <f>IF(AR601&lt;=0,0,ROUND(AR601+ROUND(AR601*X$3/12,2),2))</f>
      </c>
      <c r="E602" s="33">
        <f>IF(AS601&lt;=0,0,ROUND(AS601+ROUND(AS601*Y$3/12,2),2))</f>
      </c>
      <c r="F602" s="33">
        <f>IF(AT601&lt;=0,0,ROUND(AT601+ROUND(AT601*Z$3/12,2),2))</f>
      </c>
      <c r="G602" s="33">
        <f>IF(AU601&lt;=0,0,ROUND(AU601+ROUND(AU601*AA$3/12,2),2))</f>
      </c>
      <c r="H602" s="33">
        <f>IF(AV601&lt;=0,0,ROUND(AV601+ROUND(AV601*AB$3/12,2),2))</f>
      </c>
      <c r="I602" s="33">
        <f>IF(AW601&lt;=0,0,ROUND(AW601+ROUND(AW601*AC$3/12,2),2))</f>
      </c>
      <c r="J602" s="33">
        <f>IF(AX601&lt;=0,0,ROUND(AX601+ROUND(AX601*AD$3/12,2),2))</f>
      </c>
      <c r="K602" s="33">
        <f>IF(AY601&lt;=0,0,ROUND(AY601+ROUND(AY601*AE$3/12,2),2))</f>
      </c>
      <c r="L602" s="33">
        <f>ROUND(MIN(MAX(0,N('Your debts'!$E$6)),B602),2)</f>
      </c>
      <c r="M602" s="33">
        <f>ROUND(MIN(MAX(0,N('Your debts'!$E$7)),C602),2)</f>
      </c>
      <c r="N602" s="33">
        <f>ROUND(MIN(MAX(0,N('Your debts'!$E$8)),D602),2)</f>
      </c>
      <c r="O602" s="33">
        <f>ROUND(MIN(MAX(0,N('Your debts'!$E$9)),E602),2)</f>
      </c>
      <c r="P602" s="33">
        <f>ROUND(MIN(MAX(0,N('Your debts'!$E$10)),F602),2)</f>
      </c>
      <c r="Q602" s="33">
        <f>ROUND(MIN(MAX(0,N('Your debts'!$E$11)),G602),2)</f>
      </c>
      <c r="R602" s="33">
        <f>ROUND(MIN(MAX(0,N('Your debts'!$E$12)),H602),2)</f>
      </c>
      <c r="S602" s="33">
        <f>ROUND(MIN(MAX(0,N('Your debts'!$E$13)),I602),2)</f>
      </c>
      <c r="T602" s="33">
        <f>ROUND(MIN(MAX(0,N('Your debts'!$E$14)),J602),2)</f>
      </c>
      <c r="U602" s="33">
        <f>ROUND(MIN(MAX(0,N('Your debts'!$E$15)),K602),2)</f>
      </c>
      <c r="V602" s="33">
        <f>ROUND(B602-L602,2)</f>
      </c>
      <c r="W602" s="33">
        <f>ROUND(C602-M602,2)</f>
      </c>
      <c r="X602" s="33">
        <f>ROUND(D602-N602,2)</f>
      </c>
      <c r="Y602" s="33">
        <f>ROUND(E602-O602,2)</f>
      </c>
      <c r="Z602" s="33">
        <f>ROUND(F602-P602,2)</f>
      </c>
      <c r="AA602" s="33">
        <f>ROUND(G602-Q602,2)</f>
      </c>
      <c r="AB602" s="33">
        <f>ROUND(H602-R602,2)</f>
      </c>
      <c r="AC602" s="33">
        <f>ROUND(I602-S602,2)</f>
      </c>
      <c r="AD602" s="33">
        <f>ROUND(J602-T602,2)</f>
      </c>
      <c r="AE602" s="33">
        <f>ROUND(K602-U602,2)</f>
      </c>
      <c r="AF602" s="33">
        <f>IF(V602&lt;=0,0,MAX(0,MIN(V602,ROUND($AZ602-SUMPRODUCT($V602:$AE602*($V602:$AE602&gt;0)*(($V$3:$AE$3&gt;V$3)+($V$3:$AE$3=V$3)*($V602:$AE602&lt;V602)+($V$3:$AE$3=V$3)*($V602:$AE602=V602)*($V$2:$AE$2&lt;V$2))),2))))</f>
      </c>
      <c r="AG602" s="33">
        <f>IF(W602&lt;=0,0,MAX(0,MIN(W602,ROUND($AZ602-SUMPRODUCT($V602:$AE602*($V602:$AE602&gt;0)*(($V$3:$AE$3&gt;W$3)+($V$3:$AE$3=W$3)*($V602:$AE602&lt;W602)+($V$3:$AE$3=W$3)*($V602:$AE602=W602)*($V$2:$AE$2&lt;W$2))),2))))</f>
      </c>
      <c r="AH602" s="33">
        <f>IF(X602&lt;=0,0,MAX(0,MIN(X602,ROUND($AZ602-SUMPRODUCT($V602:$AE602*($V602:$AE602&gt;0)*(($V$3:$AE$3&gt;X$3)+($V$3:$AE$3=X$3)*($V602:$AE602&lt;X602)+($V$3:$AE$3=X$3)*($V602:$AE602=X602)*($V$2:$AE$2&lt;X$2))),2))))</f>
      </c>
      <c r="AI602" s="33">
        <f>IF(Y602&lt;=0,0,MAX(0,MIN(Y602,ROUND($AZ602-SUMPRODUCT($V602:$AE602*($V602:$AE602&gt;0)*(($V$3:$AE$3&gt;Y$3)+($V$3:$AE$3=Y$3)*($V602:$AE602&lt;Y602)+($V$3:$AE$3=Y$3)*($V602:$AE602=Y602)*($V$2:$AE$2&lt;Y$2))),2))))</f>
      </c>
      <c r="AJ602" s="33">
        <f>IF(Z602&lt;=0,0,MAX(0,MIN(Z602,ROUND($AZ602-SUMPRODUCT($V602:$AE602*($V602:$AE602&gt;0)*(($V$3:$AE$3&gt;Z$3)+($V$3:$AE$3=Z$3)*($V602:$AE602&lt;Z602)+($V$3:$AE$3=Z$3)*($V602:$AE602=Z602)*($V$2:$AE$2&lt;Z$2))),2))))</f>
      </c>
      <c r="AK602" s="33">
        <f>IF(AA602&lt;=0,0,MAX(0,MIN(AA602,ROUND($AZ602-SUMPRODUCT($V602:$AE602*($V602:$AE602&gt;0)*(($V$3:$AE$3&gt;AA$3)+($V$3:$AE$3=AA$3)*($V602:$AE602&lt;AA602)+($V$3:$AE$3=AA$3)*($V602:$AE602=AA602)*($V$2:$AE$2&lt;AA$2))),2))))</f>
      </c>
      <c r="AL602" s="33">
        <f>IF(AB602&lt;=0,0,MAX(0,MIN(AB602,ROUND($AZ602-SUMPRODUCT($V602:$AE602*($V602:$AE602&gt;0)*(($V$3:$AE$3&gt;AB$3)+($V$3:$AE$3=AB$3)*($V602:$AE602&lt;AB602)+($V$3:$AE$3=AB$3)*($V602:$AE602=AB602)*($V$2:$AE$2&lt;AB$2))),2))))</f>
      </c>
      <c r="AM602" s="33">
        <f>IF(AC602&lt;=0,0,MAX(0,MIN(AC602,ROUND($AZ602-SUMPRODUCT($V602:$AE602*($V602:$AE602&gt;0)*(($V$3:$AE$3&gt;AC$3)+($V$3:$AE$3=AC$3)*($V602:$AE602&lt;AC602)+($V$3:$AE$3=AC$3)*($V602:$AE602=AC602)*($V$2:$AE$2&lt;AC$2))),2))))</f>
      </c>
      <c r="AN602" s="33">
        <f>IF(AD602&lt;=0,0,MAX(0,MIN(AD602,ROUND($AZ602-SUMPRODUCT($V602:$AE602*($V602:$AE602&gt;0)*(($V$3:$AE$3&gt;AD$3)+($V$3:$AE$3=AD$3)*($V602:$AE602&lt;AD602)+($V$3:$AE$3=AD$3)*($V602:$AE602=AD602)*($V$2:$AE$2&lt;AD$2))),2))))</f>
      </c>
      <c r="AO602" s="33">
        <f>IF(AE602&lt;=0,0,MAX(0,MIN(AE602,ROUND($AZ602-SUMPRODUCT($V602:$AE602*($V602:$AE602&gt;0)*(($V$3:$AE$3&gt;AE$3)+($V$3:$AE$3=AE$3)*($V602:$AE602&lt;AE602)+($V$3:$AE$3=AE$3)*($V602:$AE602=AE602)*($V$2:$AE$2&lt;AE$2))),2))))</f>
      </c>
      <c r="AP602" s="33">
        <f>ROUND(V602-AF602,2)</f>
      </c>
      <c r="AQ602" s="33">
        <f>ROUND(W602-AG602,2)</f>
      </c>
      <c r="AR602" s="33">
        <f>ROUND(X602-AH602,2)</f>
      </c>
      <c r="AS602" s="33">
        <f>ROUND(Y602-AI602,2)</f>
      </c>
      <c r="AT602" s="33">
        <f>ROUND(Z602-AJ602,2)</f>
      </c>
      <c r="AU602" s="33">
        <f>ROUND(AA602-AK602,2)</f>
      </c>
      <c r="AV602" s="33">
        <f>ROUND(AB602-AL602,2)</f>
      </c>
      <c r="AW602" s="33">
        <f>ROUND(AC602-AM602,2)</f>
      </c>
      <c r="AX602" s="33">
        <f>ROUND(AD602-AN602,2)</f>
      </c>
      <c r="AY602" s="33">
        <f>ROUND(AE602-AO602,2)</f>
      </c>
      <c r="AZ602" s="33">
        <f>ROUND(MAX(0,'Your debts'!$D$22-SUM($L602:$U602)),2)</f>
      </c>
      <c r="BA602" s="33">
        <f>ROUND(SUM($B602:$K602)-SUM($AP601:$AY601),2)</f>
      </c>
      <c r="BB602" s="33">
        <f>SUM($AP602:$AY602)</f>
      </c>
      <c r="BC602" s="33">
        <f>ROUND(SUM($L602:$U602)+SUM($AF602:$AO602),2)</f>
      </c>
    </row>
    <row r="603" spans="1:55" x14ac:dyDescent="0.25">
      <c r="A603">
        <v>596</v>
      </c>
      <c r="B603" s="33">
        <f>IF(AP602&lt;=0,0,ROUND(AP602+ROUND(AP602*V$3/12,2),2))</f>
      </c>
      <c r="C603" s="33">
        <f>IF(AQ602&lt;=0,0,ROUND(AQ602+ROUND(AQ602*W$3/12,2),2))</f>
      </c>
      <c r="D603" s="33">
        <f>IF(AR602&lt;=0,0,ROUND(AR602+ROUND(AR602*X$3/12,2),2))</f>
      </c>
      <c r="E603" s="33">
        <f>IF(AS602&lt;=0,0,ROUND(AS602+ROUND(AS602*Y$3/12,2),2))</f>
      </c>
      <c r="F603" s="33">
        <f>IF(AT602&lt;=0,0,ROUND(AT602+ROUND(AT602*Z$3/12,2),2))</f>
      </c>
      <c r="G603" s="33">
        <f>IF(AU602&lt;=0,0,ROUND(AU602+ROUND(AU602*AA$3/12,2),2))</f>
      </c>
      <c r="H603" s="33">
        <f>IF(AV602&lt;=0,0,ROUND(AV602+ROUND(AV602*AB$3/12,2),2))</f>
      </c>
      <c r="I603" s="33">
        <f>IF(AW602&lt;=0,0,ROUND(AW602+ROUND(AW602*AC$3/12,2),2))</f>
      </c>
      <c r="J603" s="33">
        <f>IF(AX602&lt;=0,0,ROUND(AX602+ROUND(AX602*AD$3/12,2),2))</f>
      </c>
      <c r="K603" s="33">
        <f>IF(AY602&lt;=0,0,ROUND(AY602+ROUND(AY602*AE$3/12,2),2))</f>
      </c>
      <c r="L603" s="33">
        <f>ROUND(MIN(MAX(0,N('Your debts'!$E$6)),B603),2)</f>
      </c>
      <c r="M603" s="33">
        <f>ROUND(MIN(MAX(0,N('Your debts'!$E$7)),C603),2)</f>
      </c>
      <c r="N603" s="33">
        <f>ROUND(MIN(MAX(0,N('Your debts'!$E$8)),D603),2)</f>
      </c>
      <c r="O603" s="33">
        <f>ROUND(MIN(MAX(0,N('Your debts'!$E$9)),E603),2)</f>
      </c>
      <c r="P603" s="33">
        <f>ROUND(MIN(MAX(0,N('Your debts'!$E$10)),F603),2)</f>
      </c>
      <c r="Q603" s="33">
        <f>ROUND(MIN(MAX(0,N('Your debts'!$E$11)),G603),2)</f>
      </c>
      <c r="R603" s="33">
        <f>ROUND(MIN(MAX(0,N('Your debts'!$E$12)),H603),2)</f>
      </c>
      <c r="S603" s="33">
        <f>ROUND(MIN(MAX(0,N('Your debts'!$E$13)),I603),2)</f>
      </c>
      <c r="T603" s="33">
        <f>ROUND(MIN(MAX(0,N('Your debts'!$E$14)),J603),2)</f>
      </c>
      <c r="U603" s="33">
        <f>ROUND(MIN(MAX(0,N('Your debts'!$E$15)),K603),2)</f>
      </c>
      <c r="V603" s="33">
        <f>ROUND(B603-L603,2)</f>
      </c>
      <c r="W603" s="33">
        <f>ROUND(C603-M603,2)</f>
      </c>
      <c r="X603" s="33">
        <f>ROUND(D603-N603,2)</f>
      </c>
      <c r="Y603" s="33">
        <f>ROUND(E603-O603,2)</f>
      </c>
      <c r="Z603" s="33">
        <f>ROUND(F603-P603,2)</f>
      </c>
      <c r="AA603" s="33">
        <f>ROUND(G603-Q603,2)</f>
      </c>
      <c r="AB603" s="33">
        <f>ROUND(H603-R603,2)</f>
      </c>
      <c r="AC603" s="33">
        <f>ROUND(I603-S603,2)</f>
      </c>
      <c r="AD603" s="33">
        <f>ROUND(J603-T603,2)</f>
      </c>
      <c r="AE603" s="33">
        <f>ROUND(K603-U603,2)</f>
      </c>
      <c r="AF603" s="33">
        <f>IF(V603&lt;=0,0,MAX(0,MIN(V603,ROUND($AZ603-SUMPRODUCT($V603:$AE603*($V603:$AE603&gt;0)*(($V$3:$AE$3&gt;V$3)+($V$3:$AE$3=V$3)*($V603:$AE603&lt;V603)+($V$3:$AE$3=V$3)*($V603:$AE603=V603)*($V$2:$AE$2&lt;V$2))),2))))</f>
      </c>
      <c r="AG603" s="33">
        <f>IF(W603&lt;=0,0,MAX(0,MIN(W603,ROUND($AZ603-SUMPRODUCT($V603:$AE603*($V603:$AE603&gt;0)*(($V$3:$AE$3&gt;W$3)+($V$3:$AE$3=W$3)*($V603:$AE603&lt;W603)+($V$3:$AE$3=W$3)*($V603:$AE603=W603)*($V$2:$AE$2&lt;W$2))),2))))</f>
      </c>
      <c r="AH603" s="33">
        <f>IF(X603&lt;=0,0,MAX(0,MIN(X603,ROUND($AZ603-SUMPRODUCT($V603:$AE603*($V603:$AE603&gt;0)*(($V$3:$AE$3&gt;X$3)+($V$3:$AE$3=X$3)*($V603:$AE603&lt;X603)+($V$3:$AE$3=X$3)*($V603:$AE603=X603)*($V$2:$AE$2&lt;X$2))),2))))</f>
      </c>
      <c r="AI603" s="33">
        <f>IF(Y603&lt;=0,0,MAX(0,MIN(Y603,ROUND($AZ603-SUMPRODUCT($V603:$AE603*($V603:$AE603&gt;0)*(($V$3:$AE$3&gt;Y$3)+($V$3:$AE$3=Y$3)*($V603:$AE603&lt;Y603)+($V$3:$AE$3=Y$3)*($V603:$AE603=Y603)*($V$2:$AE$2&lt;Y$2))),2))))</f>
      </c>
      <c r="AJ603" s="33">
        <f>IF(Z603&lt;=0,0,MAX(0,MIN(Z603,ROUND($AZ603-SUMPRODUCT($V603:$AE603*($V603:$AE603&gt;0)*(($V$3:$AE$3&gt;Z$3)+($V$3:$AE$3=Z$3)*($V603:$AE603&lt;Z603)+($V$3:$AE$3=Z$3)*($V603:$AE603=Z603)*($V$2:$AE$2&lt;Z$2))),2))))</f>
      </c>
      <c r="AK603" s="33">
        <f>IF(AA603&lt;=0,0,MAX(0,MIN(AA603,ROUND($AZ603-SUMPRODUCT($V603:$AE603*($V603:$AE603&gt;0)*(($V$3:$AE$3&gt;AA$3)+($V$3:$AE$3=AA$3)*($V603:$AE603&lt;AA603)+($V$3:$AE$3=AA$3)*($V603:$AE603=AA603)*($V$2:$AE$2&lt;AA$2))),2))))</f>
      </c>
      <c r="AL603" s="33">
        <f>IF(AB603&lt;=0,0,MAX(0,MIN(AB603,ROUND($AZ603-SUMPRODUCT($V603:$AE603*($V603:$AE603&gt;0)*(($V$3:$AE$3&gt;AB$3)+($V$3:$AE$3=AB$3)*($V603:$AE603&lt;AB603)+($V$3:$AE$3=AB$3)*($V603:$AE603=AB603)*($V$2:$AE$2&lt;AB$2))),2))))</f>
      </c>
      <c r="AM603" s="33">
        <f>IF(AC603&lt;=0,0,MAX(0,MIN(AC603,ROUND($AZ603-SUMPRODUCT($V603:$AE603*($V603:$AE603&gt;0)*(($V$3:$AE$3&gt;AC$3)+($V$3:$AE$3=AC$3)*($V603:$AE603&lt;AC603)+($V$3:$AE$3=AC$3)*($V603:$AE603=AC603)*($V$2:$AE$2&lt;AC$2))),2))))</f>
      </c>
      <c r="AN603" s="33">
        <f>IF(AD603&lt;=0,0,MAX(0,MIN(AD603,ROUND($AZ603-SUMPRODUCT($V603:$AE603*($V603:$AE603&gt;0)*(($V$3:$AE$3&gt;AD$3)+($V$3:$AE$3=AD$3)*($V603:$AE603&lt;AD603)+($V$3:$AE$3=AD$3)*($V603:$AE603=AD603)*($V$2:$AE$2&lt;AD$2))),2))))</f>
      </c>
      <c r="AO603" s="33">
        <f>IF(AE603&lt;=0,0,MAX(0,MIN(AE603,ROUND($AZ603-SUMPRODUCT($V603:$AE603*($V603:$AE603&gt;0)*(($V$3:$AE$3&gt;AE$3)+($V$3:$AE$3=AE$3)*($V603:$AE603&lt;AE603)+($V$3:$AE$3=AE$3)*($V603:$AE603=AE603)*($V$2:$AE$2&lt;AE$2))),2))))</f>
      </c>
      <c r="AP603" s="33">
        <f>ROUND(V603-AF603,2)</f>
      </c>
      <c r="AQ603" s="33">
        <f>ROUND(W603-AG603,2)</f>
      </c>
      <c r="AR603" s="33">
        <f>ROUND(X603-AH603,2)</f>
      </c>
      <c r="AS603" s="33">
        <f>ROUND(Y603-AI603,2)</f>
      </c>
      <c r="AT603" s="33">
        <f>ROUND(Z603-AJ603,2)</f>
      </c>
      <c r="AU603" s="33">
        <f>ROUND(AA603-AK603,2)</f>
      </c>
      <c r="AV603" s="33">
        <f>ROUND(AB603-AL603,2)</f>
      </c>
      <c r="AW603" s="33">
        <f>ROUND(AC603-AM603,2)</f>
      </c>
      <c r="AX603" s="33">
        <f>ROUND(AD603-AN603,2)</f>
      </c>
      <c r="AY603" s="33">
        <f>ROUND(AE603-AO603,2)</f>
      </c>
      <c r="AZ603" s="33">
        <f>ROUND(MAX(0,'Your debts'!$D$22-SUM($L603:$U603)),2)</f>
      </c>
      <c r="BA603" s="33">
        <f>ROUND(SUM($B603:$K603)-SUM($AP602:$AY602),2)</f>
      </c>
      <c r="BB603" s="33">
        <f>SUM($AP603:$AY603)</f>
      </c>
      <c r="BC603" s="33">
        <f>ROUND(SUM($L603:$U603)+SUM($AF603:$AO603),2)</f>
      </c>
    </row>
    <row r="604" spans="1:55" x14ac:dyDescent="0.25">
      <c r="A604">
        <v>597</v>
      </c>
      <c r="B604" s="33">
        <f>IF(AP603&lt;=0,0,ROUND(AP603+ROUND(AP603*V$3/12,2),2))</f>
      </c>
      <c r="C604" s="33">
        <f>IF(AQ603&lt;=0,0,ROUND(AQ603+ROUND(AQ603*W$3/12,2),2))</f>
      </c>
      <c r="D604" s="33">
        <f>IF(AR603&lt;=0,0,ROUND(AR603+ROUND(AR603*X$3/12,2),2))</f>
      </c>
      <c r="E604" s="33">
        <f>IF(AS603&lt;=0,0,ROUND(AS603+ROUND(AS603*Y$3/12,2),2))</f>
      </c>
      <c r="F604" s="33">
        <f>IF(AT603&lt;=0,0,ROUND(AT603+ROUND(AT603*Z$3/12,2),2))</f>
      </c>
      <c r="G604" s="33">
        <f>IF(AU603&lt;=0,0,ROUND(AU603+ROUND(AU603*AA$3/12,2),2))</f>
      </c>
      <c r="H604" s="33">
        <f>IF(AV603&lt;=0,0,ROUND(AV603+ROUND(AV603*AB$3/12,2),2))</f>
      </c>
      <c r="I604" s="33">
        <f>IF(AW603&lt;=0,0,ROUND(AW603+ROUND(AW603*AC$3/12,2),2))</f>
      </c>
      <c r="J604" s="33">
        <f>IF(AX603&lt;=0,0,ROUND(AX603+ROUND(AX603*AD$3/12,2),2))</f>
      </c>
      <c r="K604" s="33">
        <f>IF(AY603&lt;=0,0,ROUND(AY603+ROUND(AY603*AE$3/12,2),2))</f>
      </c>
      <c r="L604" s="33">
        <f>ROUND(MIN(MAX(0,N('Your debts'!$E$6)),B604),2)</f>
      </c>
      <c r="M604" s="33">
        <f>ROUND(MIN(MAX(0,N('Your debts'!$E$7)),C604),2)</f>
      </c>
      <c r="N604" s="33">
        <f>ROUND(MIN(MAX(0,N('Your debts'!$E$8)),D604),2)</f>
      </c>
      <c r="O604" s="33">
        <f>ROUND(MIN(MAX(0,N('Your debts'!$E$9)),E604),2)</f>
      </c>
      <c r="P604" s="33">
        <f>ROUND(MIN(MAX(0,N('Your debts'!$E$10)),F604),2)</f>
      </c>
      <c r="Q604" s="33">
        <f>ROUND(MIN(MAX(0,N('Your debts'!$E$11)),G604),2)</f>
      </c>
      <c r="R604" s="33">
        <f>ROUND(MIN(MAX(0,N('Your debts'!$E$12)),H604),2)</f>
      </c>
      <c r="S604" s="33">
        <f>ROUND(MIN(MAX(0,N('Your debts'!$E$13)),I604),2)</f>
      </c>
      <c r="T604" s="33">
        <f>ROUND(MIN(MAX(0,N('Your debts'!$E$14)),J604),2)</f>
      </c>
      <c r="U604" s="33">
        <f>ROUND(MIN(MAX(0,N('Your debts'!$E$15)),K604),2)</f>
      </c>
      <c r="V604" s="33">
        <f>ROUND(B604-L604,2)</f>
      </c>
      <c r="W604" s="33">
        <f>ROUND(C604-M604,2)</f>
      </c>
      <c r="X604" s="33">
        <f>ROUND(D604-N604,2)</f>
      </c>
      <c r="Y604" s="33">
        <f>ROUND(E604-O604,2)</f>
      </c>
      <c r="Z604" s="33">
        <f>ROUND(F604-P604,2)</f>
      </c>
      <c r="AA604" s="33">
        <f>ROUND(G604-Q604,2)</f>
      </c>
      <c r="AB604" s="33">
        <f>ROUND(H604-R604,2)</f>
      </c>
      <c r="AC604" s="33">
        <f>ROUND(I604-S604,2)</f>
      </c>
      <c r="AD604" s="33">
        <f>ROUND(J604-T604,2)</f>
      </c>
      <c r="AE604" s="33">
        <f>ROUND(K604-U604,2)</f>
      </c>
      <c r="AF604" s="33">
        <f>IF(V604&lt;=0,0,MAX(0,MIN(V604,ROUND($AZ604-SUMPRODUCT($V604:$AE604*($V604:$AE604&gt;0)*(($V$3:$AE$3&gt;V$3)+($V$3:$AE$3=V$3)*($V604:$AE604&lt;V604)+($V$3:$AE$3=V$3)*($V604:$AE604=V604)*($V$2:$AE$2&lt;V$2))),2))))</f>
      </c>
      <c r="AG604" s="33">
        <f>IF(W604&lt;=0,0,MAX(0,MIN(W604,ROUND($AZ604-SUMPRODUCT($V604:$AE604*($V604:$AE604&gt;0)*(($V$3:$AE$3&gt;W$3)+($V$3:$AE$3=W$3)*($V604:$AE604&lt;W604)+($V$3:$AE$3=W$3)*($V604:$AE604=W604)*($V$2:$AE$2&lt;W$2))),2))))</f>
      </c>
      <c r="AH604" s="33">
        <f>IF(X604&lt;=0,0,MAX(0,MIN(X604,ROUND($AZ604-SUMPRODUCT($V604:$AE604*($V604:$AE604&gt;0)*(($V$3:$AE$3&gt;X$3)+($V$3:$AE$3=X$3)*($V604:$AE604&lt;X604)+($V$3:$AE$3=X$3)*($V604:$AE604=X604)*($V$2:$AE$2&lt;X$2))),2))))</f>
      </c>
      <c r="AI604" s="33">
        <f>IF(Y604&lt;=0,0,MAX(0,MIN(Y604,ROUND($AZ604-SUMPRODUCT($V604:$AE604*($V604:$AE604&gt;0)*(($V$3:$AE$3&gt;Y$3)+($V$3:$AE$3=Y$3)*($V604:$AE604&lt;Y604)+($V$3:$AE$3=Y$3)*($V604:$AE604=Y604)*($V$2:$AE$2&lt;Y$2))),2))))</f>
      </c>
      <c r="AJ604" s="33">
        <f>IF(Z604&lt;=0,0,MAX(0,MIN(Z604,ROUND($AZ604-SUMPRODUCT($V604:$AE604*($V604:$AE604&gt;0)*(($V$3:$AE$3&gt;Z$3)+($V$3:$AE$3=Z$3)*($V604:$AE604&lt;Z604)+($V$3:$AE$3=Z$3)*($V604:$AE604=Z604)*($V$2:$AE$2&lt;Z$2))),2))))</f>
      </c>
      <c r="AK604" s="33">
        <f>IF(AA604&lt;=0,0,MAX(0,MIN(AA604,ROUND($AZ604-SUMPRODUCT($V604:$AE604*($V604:$AE604&gt;0)*(($V$3:$AE$3&gt;AA$3)+($V$3:$AE$3=AA$3)*($V604:$AE604&lt;AA604)+($V$3:$AE$3=AA$3)*($V604:$AE604=AA604)*($V$2:$AE$2&lt;AA$2))),2))))</f>
      </c>
      <c r="AL604" s="33">
        <f>IF(AB604&lt;=0,0,MAX(0,MIN(AB604,ROUND($AZ604-SUMPRODUCT($V604:$AE604*($V604:$AE604&gt;0)*(($V$3:$AE$3&gt;AB$3)+($V$3:$AE$3=AB$3)*($V604:$AE604&lt;AB604)+($V$3:$AE$3=AB$3)*($V604:$AE604=AB604)*($V$2:$AE$2&lt;AB$2))),2))))</f>
      </c>
      <c r="AM604" s="33">
        <f>IF(AC604&lt;=0,0,MAX(0,MIN(AC604,ROUND($AZ604-SUMPRODUCT($V604:$AE604*($V604:$AE604&gt;0)*(($V$3:$AE$3&gt;AC$3)+($V$3:$AE$3=AC$3)*($V604:$AE604&lt;AC604)+($V$3:$AE$3=AC$3)*($V604:$AE604=AC604)*($V$2:$AE$2&lt;AC$2))),2))))</f>
      </c>
      <c r="AN604" s="33">
        <f>IF(AD604&lt;=0,0,MAX(0,MIN(AD604,ROUND($AZ604-SUMPRODUCT($V604:$AE604*($V604:$AE604&gt;0)*(($V$3:$AE$3&gt;AD$3)+($V$3:$AE$3=AD$3)*($V604:$AE604&lt;AD604)+($V$3:$AE$3=AD$3)*($V604:$AE604=AD604)*($V$2:$AE$2&lt;AD$2))),2))))</f>
      </c>
      <c r="AO604" s="33">
        <f>IF(AE604&lt;=0,0,MAX(0,MIN(AE604,ROUND($AZ604-SUMPRODUCT($V604:$AE604*($V604:$AE604&gt;0)*(($V$3:$AE$3&gt;AE$3)+($V$3:$AE$3=AE$3)*($V604:$AE604&lt;AE604)+($V$3:$AE$3=AE$3)*($V604:$AE604=AE604)*($V$2:$AE$2&lt;AE$2))),2))))</f>
      </c>
      <c r="AP604" s="33">
        <f>ROUND(V604-AF604,2)</f>
      </c>
      <c r="AQ604" s="33">
        <f>ROUND(W604-AG604,2)</f>
      </c>
      <c r="AR604" s="33">
        <f>ROUND(X604-AH604,2)</f>
      </c>
      <c r="AS604" s="33">
        <f>ROUND(Y604-AI604,2)</f>
      </c>
      <c r="AT604" s="33">
        <f>ROUND(Z604-AJ604,2)</f>
      </c>
      <c r="AU604" s="33">
        <f>ROUND(AA604-AK604,2)</f>
      </c>
      <c r="AV604" s="33">
        <f>ROUND(AB604-AL604,2)</f>
      </c>
      <c r="AW604" s="33">
        <f>ROUND(AC604-AM604,2)</f>
      </c>
      <c r="AX604" s="33">
        <f>ROUND(AD604-AN604,2)</f>
      </c>
      <c r="AY604" s="33">
        <f>ROUND(AE604-AO604,2)</f>
      </c>
      <c r="AZ604" s="33">
        <f>ROUND(MAX(0,'Your debts'!$D$22-SUM($L604:$U604)),2)</f>
      </c>
      <c r="BA604" s="33">
        <f>ROUND(SUM($B604:$K604)-SUM($AP603:$AY603),2)</f>
      </c>
      <c r="BB604" s="33">
        <f>SUM($AP604:$AY604)</f>
      </c>
      <c r="BC604" s="33">
        <f>ROUND(SUM($L604:$U604)+SUM($AF604:$AO604),2)</f>
      </c>
    </row>
    <row r="605" spans="1:55" x14ac:dyDescent="0.25">
      <c r="A605">
        <v>598</v>
      </c>
      <c r="B605" s="33">
        <f>IF(AP604&lt;=0,0,ROUND(AP604+ROUND(AP604*V$3/12,2),2))</f>
      </c>
      <c r="C605" s="33">
        <f>IF(AQ604&lt;=0,0,ROUND(AQ604+ROUND(AQ604*W$3/12,2),2))</f>
      </c>
      <c r="D605" s="33">
        <f>IF(AR604&lt;=0,0,ROUND(AR604+ROUND(AR604*X$3/12,2),2))</f>
      </c>
      <c r="E605" s="33">
        <f>IF(AS604&lt;=0,0,ROUND(AS604+ROUND(AS604*Y$3/12,2),2))</f>
      </c>
      <c r="F605" s="33">
        <f>IF(AT604&lt;=0,0,ROUND(AT604+ROUND(AT604*Z$3/12,2),2))</f>
      </c>
      <c r="G605" s="33">
        <f>IF(AU604&lt;=0,0,ROUND(AU604+ROUND(AU604*AA$3/12,2),2))</f>
      </c>
      <c r="H605" s="33">
        <f>IF(AV604&lt;=0,0,ROUND(AV604+ROUND(AV604*AB$3/12,2),2))</f>
      </c>
      <c r="I605" s="33">
        <f>IF(AW604&lt;=0,0,ROUND(AW604+ROUND(AW604*AC$3/12,2),2))</f>
      </c>
      <c r="J605" s="33">
        <f>IF(AX604&lt;=0,0,ROUND(AX604+ROUND(AX604*AD$3/12,2),2))</f>
      </c>
      <c r="K605" s="33">
        <f>IF(AY604&lt;=0,0,ROUND(AY604+ROUND(AY604*AE$3/12,2),2))</f>
      </c>
      <c r="L605" s="33">
        <f>ROUND(MIN(MAX(0,N('Your debts'!$E$6)),B605),2)</f>
      </c>
      <c r="M605" s="33">
        <f>ROUND(MIN(MAX(0,N('Your debts'!$E$7)),C605),2)</f>
      </c>
      <c r="N605" s="33">
        <f>ROUND(MIN(MAX(0,N('Your debts'!$E$8)),D605),2)</f>
      </c>
      <c r="O605" s="33">
        <f>ROUND(MIN(MAX(0,N('Your debts'!$E$9)),E605),2)</f>
      </c>
      <c r="P605" s="33">
        <f>ROUND(MIN(MAX(0,N('Your debts'!$E$10)),F605),2)</f>
      </c>
      <c r="Q605" s="33">
        <f>ROUND(MIN(MAX(0,N('Your debts'!$E$11)),G605),2)</f>
      </c>
      <c r="R605" s="33">
        <f>ROUND(MIN(MAX(0,N('Your debts'!$E$12)),H605),2)</f>
      </c>
      <c r="S605" s="33">
        <f>ROUND(MIN(MAX(0,N('Your debts'!$E$13)),I605),2)</f>
      </c>
      <c r="T605" s="33">
        <f>ROUND(MIN(MAX(0,N('Your debts'!$E$14)),J605),2)</f>
      </c>
      <c r="U605" s="33">
        <f>ROUND(MIN(MAX(0,N('Your debts'!$E$15)),K605),2)</f>
      </c>
      <c r="V605" s="33">
        <f>ROUND(B605-L605,2)</f>
      </c>
      <c r="W605" s="33">
        <f>ROUND(C605-M605,2)</f>
      </c>
      <c r="X605" s="33">
        <f>ROUND(D605-N605,2)</f>
      </c>
      <c r="Y605" s="33">
        <f>ROUND(E605-O605,2)</f>
      </c>
      <c r="Z605" s="33">
        <f>ROUND(F605-P605,2)</f>
      </c>
      <c r="AA605" s="33">
        <f>ROUND(G605-Q605,2)</f>
      </c>
      <c r="AB605" s="33">
        <f>ROUND(H605-R605,2)</f>
      </c>
      <c r="AC605" s="33">
        <f>ROUND(I605-S605,2)</f>
      </c>
      <c r="AD605" s="33">
        <f>ROUND(J605-T605,2)</f>
      </c>
      <c r="AE605" s="33">
        <f>ROUND(K605-U605,2)</f>
      </c>
      <c r="AF605" s="33">
        <f>IF(V605&lt;=0,0,MAX(0,MIN(V605,ROUND($AZ605-SUMPRODUCT($V605:$AE605*($V605:$AE605&gt;0)*(($V$3:$AE$3&gt;V$3)+($V$3:$AE$3=V$3)*($V605:$AE605&lt;V605)+($V$3:$AE$3=V$3)*($V605:$AE605=V605)*($V$2:$AE$2&lt;V$2))),2))))</f>
      </c>
      <c r="AG605" s="33">
        <f>IF(W605&lt;=0,0,MAX(0,MIN(W605,ROUND($AZ605-SUMPRODUCT($V605:$AE605*($V605:$AE605&gt;0)*(($V$3:$AE$3&gt;W$3)+($V$3:$AE$3=W$3)*($V605:$AE605&lt;W605)+($V$3:$AE$3=W$3)*($V605:$AE605=W605)*($V$2:$AE$2&lt;W$2))),2))))</f>
      </c>
      <c r="AH605" s="33">
        <f>IF(X605&lt;=0,0,MAX(0,MIN(X605,ROUND($AZ605-SUMPRODUCT($V605:$AE605*($V605:$AE605&gt;0)*(($V$3:$AE$3&gt;X$3)+($V$3:$AE$3=X$3)*($V605:$AE605&lt;X605)+($V$3:$AE$3=X$3)*($V605:$AE605=X605)*($V$2:$AE$2&lt;X$2))),2))))</f>
      </c>
      <c r="AI605" s="33">
        <f>IF(Y605&lt;=0,0,MAX(0,MIN(Y605,ROUND($AZ605-SUMPRODUCT($V605:$AE605*($V605:$AE605&gt;0)*(($V$3:$AE$3&gt;Y$3)+($V$3:$AE$3=Y$3)*($V605:$AE605&lt;Y605)+($V$3:$AE$3=Y$3)*($V605:$AE605=Y605)*($V$2:$AE$2&lt;Y$2))),2))))</f>
      </c>
      <c r="AJ605" s="33">
        <f>IF(Z605&lt;=0,0,MAX(0,MIN(Z605,ROUND($AZ605-SUMPRODUCT($V605:$AE605*($V605:$AE605&gt;0)*(($V$3:$AE$3&gt;Z$3)+($V$3:$AE$3=Z$3)*($V605:$AE605&lt;Z605)+($V$3:$AE$3=Z$3)*($V605:$AE605=Z605)*($V$2:$AE$2&lt;Z$2))),2))))</f>
      </c>
      <c r="AK605" s="33">
        <f>IF(AA605&lt;=0,0,MAX(0,MIN(AA605,ROUND($AZ605-SUMPRODUCT($V605:$AE605*($V605:$AE605&gt;0)*(($V$3:$AE$3&gt;AA$3)+($V$3:$AE$3=AA$3)*($V605:$AE605&lt;AA605)+($V$3:$AE$3=AA$3)*($V605:$AE605=AA605)*($V$2:$AE$2&lt;AA$2))),2))))</f>
      </c>
      <c r="AL605" s="33">
        <f>IF(AB605&lt;=0,0,MAX(0,MIN(AB605,ROUND($AZ605-SUMPRODUCT($V605:$AE605*($V605:$AE605&gt;0)*(($V$3:$AE$3&gt;AB$3)+($V$3:$AE$3=AB$3)*($V605:$AE605&lt;AB605)+($V$3:$AE$3=AB$3)*($V605:$AE605=AB605)*($V$2:$AE$2&lt;AB$2))),2))))</f>
      </c>
      <c r="AM605" s="33">
        <f>IF(AC605&lt;=0,0,MAX(0,MIN(AC605,ROUND($AZ605-SUMPRODUCT($V605:$AE605*($V605:$AE605&gt;0)*(($V$3:$AE$3&gt;AC$3)+($V$3:$AE$3=AC$3)*($V605:$AE605&lt;AC605)+($V$3:$AE$3=AC$3)*($V605:$AE605=AC605)*($V$2:$AE$2&lt;AC$2))),2))))</f>
      </c>
      <c r="AN605" s="33">
        <f>IF(AD605&lt;=0,0,MAX(0,MIN(AD605,ROUND($AZ605-SUMPRODUCT($V605:$AE605*($V605:$AE605&gt;0)*(($V$3:$AE$3&gt;AD$3)+($V$3:$AE$3=AD$3)*($V605:$AE605&lt;AD605)+($V$3:$AE$3=AD$3)*($V605:$AE605=AD605)*($V$2:$AE$2&lt;AD$2))),2))))</f>
      </c>
      <c r="AO605" s="33">
        <f>IF(AE605&lt;=0,0,MAX(0,MIN(AE605,ROUND($AZ605-SUMPRODUCT($V605:$AE605*($V605:$AE605&gt;0)*(($V$3:$AE$3&gt;AE$3)+($V$3:$AE$3=AE$3)*($V605:$AE605&lt;AE605)+($V$3:$AE$3=AE$3)*($V605:$AE605=AE605)*($V$2:$AE$2&lt;AE$2))),2))))</f>
      </c>
      <c r="AP605" s="33">
        <f>ROUND(V605-AF605,2)</f>
      </c>
      <c r="AQ605" s="33">
        <f>ROUND(W605-AG605,2)</f>
      </c>
      <c r="AR605" s="33">
        <f>ROUND(X605-AH605,2)</f>
      </c>
      <c r="AS605" s="33">
        <f>ROUND(Y605-AI605,2)</f>
      </c>
      <c r="AT605" s="33">
        <f>ROUND(Z605-AJ605,2)</f>
      </c>
      <c r="AU605" s="33">
        <f>ROUND(AA605-AK605,2)</f>
      </c>
      <c r="AV605" s="33">
        <f>ROUND(AB605-AL605,2)</f>
      </c>
      <c r="AW605" s="33">
        <f>ROUND(AC605-AM605,2)</f>
      </c>
      <c r="AX605" s="33">
        <f>ROUND(AD605-AN605,2)</f>
      </c>
      <c r="AY605" s="33">
        <f>ROUND(AE605-AO605,2)</f>
      </c>
      <c r="AZ605" s="33">
        <f>ROUND(MAX(0,'Your debts'!$D$22-SUM($L605:$U605)),2)</f>
      </c>
      <c r="BA605" s="33">
        <f>ROUND(SUM($B605:$K605)-SUM($AP604:$AY604),2)</f>
      </c>
      <c r="BB605" s="33">
        <f>SUM($AP605:$AY605)</f>
      </c>
      <c r="BC605" s="33">
        <f>ROUND(SUM($L605:$U605)+SUM($AF605:$AO605),2)</f>
      </c>
    </row>
    <row r="606" spans="1:55" x14ac:dyDescent="0.25">
      <c r="A606">
        <v>599</v>
      </c>
      <c r="B606" s="33">
        <f>IF(AP605&lt;=0,0,ROUND(AP605+ROUND(AP605*V$3/12,2),2))</f>
      </c>
      <c r="C606" s="33">
        <f>IF(AQ605&lt;=0,0,ROUND(AQ605+ROUND(AQ605*W$3/12,2),2))</f>
      </c>
      <c r="D606" s="33">
        <f>IF(AR605&lt;=0,0,ROUND(AR605+ROUND(AR605*X$3/12,2),2))</f>
      </c>
      <c r="E606" s="33">
        <f>IF(AS605&lt;=0,0,ROUND(AS605+ROUND(AS605*Y$3/12,2),2))</f>
      </c>
      <c r="F606" s="33">
        <f>IF(AT605&lt;=0,0,ROUND(AT605+ROUND(AT605*Z$3/12,2),2))</f>
      </c>
      <c r="G606" s="33">
        <f>IF(AU605&lt;=0,0,ROUND(AU605+ROUND(AU605*AA$3/12,2),2))</f>
      </c>
      <c r="H606" s="33">
        <f>IF(AV605&lt;=0,0,ROUND(AV605+ROUND(AV605*AB$3/12,2),2))</f>
      </c>
      <c r="I606" s="33">
        <f>IF(AW605&lt;=0,0,ROUND(AW605+ROUND(AW605*AC$3/12,2),2))</f>
      </c>
      <c r="J606" s="33">
        <f>IF(AX605&lt;=0,0,ROUND(AX605+ROUND(AX605*AD$3/12,2),2))</f>
      </c>
      <c r="K606" s="33">
        <f>IF(AY605&lt;=0,0,ROUND(AY605+ROUND(AY605*AE$3/12,2),2))</f>
      </c>
      <c r="L606" s="33">
        <f>ROUND(MIN(MAX(0,N('Your debts'!$E$6)),B606),2)</f>
      </c>
      <c r="M606" s="33">
        <f>ROUND(MIN(MAX(0,N('Your debts'!$E$7)),C606),2)</f>
      </c>
      <c r="N606" s="33">
        <f>ROUND(MIN(MAX(0,N('Your debts'!$E$8)),D606),2)</f>
      </c>
      <c r="O606" s="33">
        <f>ROUND(MIN(MAX(0,N('Your debts'!$E$9)),E606),2)</f>
      </c>
      <c r="P606" s="33">
        <f>ROUND(MIN(MAX(0,N('Your debts'!$E$10)),F606),2)</f>
      </c>
      <c r="Q606" s="33">
        <f>ROUND(MIN(MAX(0,N('Your debts'!$E$11)),G606),2)</f>
      </c>
      <c r="R606" s="33">
        <f>ROUND(MIN(MAX(0,N('Your debts'!$E$12)),H606),2)</f>
      </c>
      <c r="S606" s="33">
        <f>ROUND(MIN(MAX(0,N('Your debts'!$E$13)),I606),2)</f>
      </c>
      <c r="T606" s="33">
        <f>ROUND(MIN(MAX(0,N('Your debts'!$E$14)),J606),2)</f>
      </c>
      <c r="U606" s="33">
        <f>ROUND(MIN(MAX(0,N('Your debts'!$E$15)),K606),2)</f>
      </c>
      <c r="V606" s="33">
        <f>ROUND(B606-L606,2)</f>
      </c>
      <c r="W606" s="33">
        <f>ROUND(C606-M606,2)</f>
      </c>
      <c r="X606" s="33">
        <f>ROUND(D606-N606,2)</f>
      </c>
      <c r="Y606" s="33">
        <f>ROUND(E606-O606,2)</f>
      </c>
      <c r="Z606" s="33">
        <f>ROUND(F606-P606,2)</f>
      </c>
      <c r="AA606" s="33">
        <f>ROUND(G606-Q606,2)</f>
      </c>
      <c r="AB606" s="33">
        <f>ROUND(H606-R606,2)</f>
      </c>
      <c r="AC606" s="33">
        <f>ROUND(I606-S606,2)</f>
      </c>
      <c r="AD606" s="33">
        <f>ROUND(J606-T606,2)</f>
      </c>
      <c r="AE606" s="33">
        <f>ROUND(K606-U606,2)</f>
      </c>
      <c r="AF606" s="33">
        <f>IF(V606&lt;=0,0,MAX(0,MIN(V606,ROUND($AZ606-SUMPRODUCT($V606:$AE606*($V606:$AE606&gt;0)*(($V$3:$AE$3&gt;V$3)+($V$3:$AE$3=V$3)*($V606:$AE606&lt;V606)+($V$3:$AE$3=V$3)*($V606:$AE606=V606)*($V$2:$AE$2&lt;V$2))),2))))</f>
      </c>
      <c r="AG606" s="33">
        <f>IF(W606&lt;=0,0,MAX(0,MIN(W606,ROUND($AZ606-SUMPRODUCT($V606:$AE606*($V606:$AE606&gt;0)*(($V$3:$AE$3&gt;W$3)+($V$3:$AE$3=W$3)*($V606:$AE606&lt;W606)+($V$3:$AE$3=W$3)*($V606:$AE606=W606)*($V$2:$AE$2&lt;W$2))),2))))</f>
      </c>
      <c r="AH606" s="33">
        <f>IF(X606&lt;=0,0,MAX(0,MIN(X606,ROUND($AZ606-SUMPRODUCT($V606:$AE606*($V606:$AE606&gt;0)*(($V$3:$AE$3&gt;X$3)+($V$3:$AE$3=X$3)*($V606:$AE606&lt;X606)+($V$3:$AE$3=X$3)*($V606:$AE606=X606)*($V$2:$AE$2&lt;X$2))),2))))</f>
      </c>
      <c r="AI606" s="33">
        <f>IF(Y606&lt;=0,0,MAX(0,MIN(Y606,ROUND($AZ606-SUMPRODUCT($V606:$AE606*($V606:$AE606&gt;0)*(($V$3:$AE$3&gt;Y$3)+($V$3:$AE$3=Y$3)*($V606:$AE606&lt;Y606)+($V$3:$AE$3=Y$3)*($V606:$AE606=Y606)*($V$2:$AE$2&lt;Y$2))),2))))</f>
      </c>
      <c r="AJ606" s="33">
        <f>IF(Z606&lt;=0,0,MAX(0,MIN(Z606,ROUND($AZ606-SUMPRODUCT($V606:$AE606*($V606:$AE606&gt;0)*(($V$3:$AE$3&gt;Z$3)+($V$3:$AE$3=Z$3)*($V606:$AE606&lt;Z606)+($V$3:$AE$3=Z$3)*($V606:$AE606=Z606)*($V$2:$AE$2&lt;Z$2))),2))))</f>
      </c>
      <c r="AK606" s="33">
        <f>IF(AA606&lt;=0,0,MAX(0,MIN(AA606,ROUND($AZ606-SUMPRODUCT($V606:$AE606*($V606:$AE606&gt;0)*(($V$3:$AE$3&gt;AA$3)+($V$3:$AE$3=AA$3)*($V606:$AE606&lt;AA606)+($V$3:$AE$3=AA$3)*($V606:$AE606=AA606)*($V$2:$AE$2&lt;AA$2))),2))))</f>
      </c>
      <c r="AL606" s="33">
        <f>IF(AB606&lt;=0,0,MAX(0,MIN(AB606,ROUND($AZ606-SUMPRODUCT($V606:$AE606*($V606:$AE606&gt;0)*(($V$3:$AE$3&gt;AB$3)+($V$3:$AE$3=AB$3)*($V606:$AE606&lt;AB606)+($V$3:$AE$3=AB$3)*($V606:$AE606=AB606)*($V$2:$AE$2&lt;AB$2))),2))))</f>
      </c>
      <c r="AM606" s="33">
        <f>IF(AC606&lt;=0,0,MAX(0,MIN(AC606,ROUND($AZ606-SUMPRODUCT($V606:$AE606*($V606:$AE606&gt;0)*(($V$3:$AE$3&gt;AC$3)+($V$3:$AE$3=AC$3)*($V606:$AE606&lt;AC606)+($V$3:$AE$3=AC$3)*($V606:$AE606=AC606)*($V$2:$AE$2&lt;AC$2))),2))))</f>
      </c>
      <c r="AN606" s="33">
        <f>IF(AD606&lt;=0,0,MAX(0,MIN(AD606,ROUND($AZ606-SUMPRODUCT($V606:$AE606*($V606:$AE606&gt;0)*(($V$3:$AE$3&gt;AD$3)+($V$3:$AE$3=AD$3)*($V606:$AE606&lt;AD606)+($V$3:$AE$3=AD$3)*($V606:$AE606=AD606)*($V$2:$AE$2&lt;AD$2))),2))))</f>
      </c>
      <c r="AO606" s="33">
        <f>IF(AE606&lt;=0,0,MAX(0,MIN(AE606,ROUND($AZ606-SUMPRODUCT($V606:$AE606*($V606:$AE606&gt;0)*(($V$3:$AE$3&gt;AE$3)+($V$3:$AE$3=AE$3)*($V606:$AE606&lt;AE606)+($V$3:$AE$3=AE$3)*($V606:$AE606=AE606)*($V$2:$AE$2&lt;AE$2))),2))))</f>
      </c>
      <c r="AP606" s="33">
        <f>ROUND(V606-AF606,2)</f>
      </c>
      <c r="AQ606" s="33">
        <f>ROUND(W606-AG606,2)</f>
      </c>
      <c r="AR606" s="33">
        <f>ROUND(X606-AH606,2)</f>
      </c>
      <c r="AS606" s="33">
        <f>ROUND(Y606-AI606,2)</f>
      </c>
      <c r="AT606" s="33">
        <f>ROUND(Z606-AJ606,2)</f>
      </c>
      <c r="AU606" s="33">
        <f>ROUND(AA606-AK606,2)</f>
      </c>
      <c r="AV606" s="33">
        <f>ROUND(AB606-AL606,2)</f>
      </c>
      <c r="AW606" s="33">
        <f>ROUND(AC606-AM606,2)</f>
      </c>
      <c r="AX606" s="33">
        <f>ROUND(AD606-AN606,2)</f>
      </c>
      <c r="AY606" s="33">
        <f>ROUND(AE606-AO606,2)</f>
      </c>
      <c r="AZ606" s="33">
        <f>ROUND(MAX(0,'Your debts'!$D$22-SUM($L606:$U606)),2)</f>
      </c>
      <c r="BA606" s="33">
        <f>ROUND(SUM($B606:$K606)-SUM($AP605:$AY605),2)</f>
      </c>
      <c r="BB606" s="33">
        <f>SUM($AP606:$AY606)</f>
      </c>
      <c r="BC606" s="33">
        <f>ROUND(SUM($L606:$U606)+SUM($AF606:$AO606),2)</f>
      </c>
    </row>
    <row r="607" spans="1:55" x14ac:dyDescent="0.25">
      <c r="A607">
        <v>600</v>
      </c>
      <c r="B607" s="33">
        <f>IF(AP606&lt;=0,0,ROUND(AP606+ROUND(AP606*V$3/12,2),2))</f>
      </c>
      <c r="C607" s="33">
        <f>IF(AQ606&lt;=0,0,ROUND(AQ606+ROUND(AQ606*W$3/12,2),2))</f>
      </c>
      <c r="D607" s="33">
        <f>IF(AR606&lt;=0,0,ROUND(AR606+ROUND(AR606*X$3/12,2),2))</f>
      </c>
      <c r="E607" s="33">
        <f>IF(AS606&lt;=0,0,ROUND(AS606+ROUND(AS606*Y$3/12,2),2))</f>
      </c>
      <c r="F607" s="33">
        <f>IF(AT606&lt;=0,0,ROUND(AT606+ROUND(AT606*Z$3/12,2),2))</f>
      </c>
      <c r="G607" s="33">
        <f>IF(AU606&lt;=0,0,ROUND(AU606+ROUND(AU606*AA$3/12,2),2))</f>
      </c>
      <c r="H607" s="33">
        <f>IF(AV606&lt;=0,0,ROUND(AV606+ROUND(AV606*AB$3/12,2),2))</f>
      </c>
      <c r="I607" s="33">
        <f>IF(AW606&lt;=0,0,ROUND(AW606+ROUND(AW606*AC$3/12,2),2))</f>
      </c>
      <c r="J607" s="33">
        <f>IF(AX606&lt;=0,0,ROUND(AX606+ROUND(AX606*AD$3/12,2),2))</f>
      </c>
      <c r="K607" s="33">
        <f>IF(AY606&lt;=0,0,ROUND(AY606+ROUND(AY606*AE$3/12,2),2))</f>
      </c>
      <c r="L607" s="33">
        <f>ROUND(MIN(MAX(0,N('Your debts'!$E$6)),B607),2)</f>
      </c>
      <c r="M607" s="33">
        <f>ROUND(MIN(MAX(0,N('Your debts'!$E$7)),C607),2)</f>
      </c>
      <c r="N607" s="33">
        <f>ROUND(MIN(MAX(0,N('Your debts'!$E$8)),D607),2)</f>
      </c>
      <c r="O607" s="33">
        <f>ROUND(MIN(MAX(0,N('Your debts'!$E$9)),E607),2)</f>
      </c>
      <c r="P607" s="33">
        <f>ROUND(MIN(MAX(0,N('Your debts'!$E$10)),F607),2)</f>
      </c>
      <c r="Q607" s="33">
        <f>ROUND(MIN(MAX(0,N('Your debts'!$E$11)),G607),2)</f>
      </c>
      <c r="R607" s="33">
        <f>ROUND(MIN(MAX(0,N('Your debts'!$E$12)),H607),2)</f>
      </c>
      <c r="S607" s="33">
        <f>ROUND(MIN(MAX(0,N('Your debts'!$E$13)),I607),2)</f>
      </c>
      <c r="T607" s="33">
        <f>ROUND(MIN(MAX(0,N('Your debts'!$E$14)),J607),2)</f>
      </c>
      <c r="U607" s="33">
        <f>ROUND(MIN(MAX(0,N('Your debts'!$E$15)),K607),2)</f>
      </c>
      <c r="V607" s="33">
        <f>ROUND(B607-L607,2)</f>
      </c>
      <c r="W607" s="33">
        <f>ROUND(C607-M607,2)</f>
      </c>
      <c r="X607" s="33">
        <f>ROUND(D607-N607,2)</f>
      </c>
      <c r="Y607" s="33">
        <f>ROUND(E607-O607,2)</f>
      </c>
      <c r="Z607" s="33">
        <f>ROUND(F607-P607,2)</f>
      </c>
      <c r="AA607" s="33">
        <f>ROUND(G607-Q607,2)</f>
      </c>
      <c r="AB607" s="33">
        <f>ROUND(H607-R607,2)</f>
      </c>
      <c r="AC607" s="33">
        <f>ROUND(I607-S607,2)</f>
      </c>
      <c r="AD607" s="33">
        <f>ROUND(J607-T607,2)</f>
      </c>
      <c r="AE607" s="33">
        <f>ROUND(K607-U607,2)</f>
      </c>
      <c r="AF607" s="33">
        <f>IF(V607&lt;=0,0,MAX(0,MIN(V607,ROUND($AZ607-SUMPRODUCT($V607:$AE607*($V607:$AE607&gt;0)*(($V$3:$AE$3&gt;V$3)+($V$3:$AE$3=V$3)*($V607:$AE607&lt;V607)+($V$3:$AE$3=V$3)*($V607:$AE607=V607)*($V$2:$AE$2&lt;V$2))),2))))</f>
      </c>
      <c r="AG607" s="33">
        <f>IF(W607&lt;=0,0,MAX(0,MIN(W607,ROUND($AZ607-SUMPRODUCT($V607:$AE607*($V607:$AE607&gt;0)*(($V$3:$AE$3&gt;W$3)+($V$3:$AE$3=W$3)*($V607:$AE607&lt;W607)+($V$3:$AE$3=W$3)*($V607:$AE607=W607)*($V$2:$AE$2&lt;W$2))),2))))</f>
      </c>
      <c r="AH607" s="33">
        <f>IF(X607&lt;=0,0,MAX(0,MIN(X607,ROUND($AZ607-SUMPRODUCT($V607:$AE607*($V607:$AE607&gt;0)*(($V$3:$AE$3&gt;X$3)+($V$3:$AE$3=X$3)*($V607:$AE607&lt;X607)+($V$3:$AE$3=X$3)*($V607:$AE607=X607)*($V$2:$AE$2&lt;X$2))),2))))</f>
      </c>
      <c r="AI607" s="33">
        <f>IF(Y607&lt;=0,0,MAX(0,MIN(Y607,ROUND($AZ607-SUMPRODUCT($V607:$AE607*($V607:$AE607&gt;0)*(($V$3:$AE$3&gt;Y$3)+($V$3:$AE$3=Y$3)*($V607:$AE607&lt;Y607)+($V$3:$AE$3=Y$3)*($V607:$AE607=Y607)*($V$2:$AE$2&lt;Y$2))),2))))</f>
      </c>
      <c r="AJ607" s="33">
        <f>IF(Z607&lt;=0,0,MAX(0,MIN(Z607,ROUND($AZ607-SUMPRODUCT($V607:$AE607*($V607:$AE607&gt;0)*(($V$3:$AE$3&gt;Z$3)+($V$3:$AE$3=Z$3)*($V607:$AE607&lt;Z607)+($V$3:$AE$3=Z$3)*($V607:$AE607=Z607)*($V$2:$AE$2&lt;Z$2))),2))))</f>
      </c>
      <c r="AK607" s="33">
        <f>IF(AA607&lt;=0,0,MAX(0,MIN(AA607,ROUND($AZ607-SUMPRODUCT($V607:$AE607*($V607:$AE607&gt;0)*(($V$3:$AE$3&gt;AA$3)+($V$3:$AE$3=AA$3)*($V607:$AE607&lt;AA607)+($V$3:$AE$3=AA$3)*($V607:$AE607=AA607)*($V$2:$AE$2&lt;AA$2))),2))))</f>
      </c>
      <c r="AL607" s="33">
        <f>IF(AB607&lt;=0,0,MAX(0,MIN(AB607,ROUND($AZ607-SUMPRODUCT($V607:$AE607*($V607:$AE607&gt;0)*(($V$3:$AE$3&gt;AB$3)+($V$3:$AE$3=AB$3)*($V607:$AE607&lt;AB607)+($V$3:$AE$3=AB$3)*($V607:$AE607=AB607)*($V$2:$AE$2&lt;AB$2))),2))))</f>
      </c>
      <c r="AM607" s="33">
        <f>IF(AC607&lt;=0,0,MAX(0,MIN(AC607,ROUND($AZ607-SUMPRODUCT($V607:$AE607*($V607:$AE607&gt;0)*(($V$3:$AE$3&gt;AC$3)+($V$3:$AE$3=AC$3)*($V607:$AE607&lt;AC607)+($V$3:$AE$3=AC$3)*($V607:$AE607=AC607)*($V$2:$AE$2&lt;AC$2))),2))))</f>
      </c>
      <c r="AN607" s="33">
        <f>IF(AD607&lt;=0,0,MAX(0,MIN(AD607,ROUND($AZ607-SUMPRODUCT($V607:$AE607*($V607:$AE607&gt;0)*(($V$3:$AE$3&gt;AD$3)+($V$3:$AE$3=AD$3)*($V607:$AE607&lt;AD607)+($V$3:$AE$3=AD$3)*($V607:$AE607=AD607)*($V$2:$AE$2&lt;AD$2))),2))))</f>
      </c>
      <c r="AO607" s="33">
        <f>IF(AE607&lt;=0,0,MAX(0,MIN(AE607,ROUND($AZ607-SUMPRODUCT($V607:$AE607*($V607:$AE607&gt;0)*(($V$3:$AE$3&gt;AE$3)+($V$3:$AE$3=AE$3)*($V607:$AE607&lt;AE607)+($V$3:$AE$3=AE$3)*($V607:$AE607=AE607)*($V$2:$AE$2&lt;AE$2))),2))))</f>
      </c>
      <c r="AP607" s="33">
        <f>ROUND(V607-AF607,2)</f>
      </c>
      <c r="AQ607" s="33">
        <f>ROUND(W607-AG607,2)</f>
      </c>
      <c r="AR607" s="33">
        <f>ROUND(X607-AH607,2)</f>
      </c>
      <c r="AS607" s="33">
        <f>ROUND(Y607-AI607,2)</f>
      </c>
      <c r="AT607" s="33">
        <f>ROUND(Z607-AJ607,2)</f>
      </c>
      <c r="AU607" s="33">
        <f>ROUND(AA607-AK607,2)</f>
      </c>
      <c r="AV607" s="33">
        <f>ROUND(AB607-AL607,2)</f>
      </c>
      <c r="AW607" s="33">
        <f>ROUND(AC607-AM607,2)</f>
      </c>
      <c r="AX607" s="33">
        <f>ROUND(AD607-AN607,2)</f>
      </c>
      <c r="AY607" s="33">
        <f>ROUND(AE607-AO607,2)</f>
      </c>
      <c r="AZ607" s="33">
        <f>ROUND(MAX(0,'Your debts'!$D$22-SUM($L607:$U607)),2)</f>
      </c>
      <c r="BA607" s="33">
        <f>ROUND(SUM($B607:$K607)-SUM($AP606:$AY606),2)</f>
      </c>
      <c r="BB607" s="33">
        <f>SUM($AP607:$AY607)</f>
      </c>
      <c r="BC607" s="33">
        <f>ROUND(SUM($L607:$U607)+SUM($AF607:$AO607),2)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Your debts</vt:lpstr>
      <vt:lpstr>Payment plan</vt:lpstr>
      <vt:lpstr>Snowball workings</vt:lpstr>
      <vt:lpstr>Avalanche workings</vt:lpstr>
    </vt:vector>
  </TitlesOfParts>
  <Company>Zero Debt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Zero Debt</dc:creator>
  <dc:title>Debt snowball spreadsheet</dc:title>
  <dc:subject/>
  <dc:description/>
  <cp:keywords/>
  <cp:category/>
  <cp:lastModifiedBy>Unknown</cp:lastModifiedBy>
  <dcterms:created xsi:type="dcterms:W3CDTF">2026-10-14T22:41:14Z</dcterms:created>
  <dcterms:modified xsi:type="dcterms:W3CDTF">2026-10-14T22:41:14Z</dcterms:modified>
</cp:coreProperties>
</file>